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545" windowHeight="11460" firstSheet="14" activeTab="14"/>
  </bookViews>
  <sheets>
    <sheet name="3 pr-1" sheetId="1" state="hidden" r:id="rId1"/>
    <sheet name="IV-1 su proj" sheetId="10" state="hidden" r:id="rId2"/>
    <sheet name="3 pr-2" sheetId="2" state="hidden" r:id="rId3"/>
    <sheet name="IV-3" sheetId="11" state="hidden" r:id="rId4"/>
    <sheet name="3 pr-3" sheetId="20" state="hidden" r:id="rId5"/>
    <sheet name="3 pr-4" sheetId="22" state="hidden" r:id="rId6"/>
    <sheet name="3 pr-(5-6)" sheetId="19" state="hidden" r:id="rId7"/>
    <sheet name="3 pr-7" sheetId="12" state="hidden"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r:id="rId19"/>
    <sheet name="Veiklos" sheetId="39" state="hidden" r:id="rId20"/>
    <sheet name="ketv. 1" sheetId="29" state="hidden" r:id="rId21"/>
    <sheet name="ketv. 2" sheetId="23" state="hidden" r:id="rId22"/>
    <sheet name="PP pateikimas" sheetId="38" state="hidden" r:id="rId23"/>
    <sheet name="ketv. 3" sheetId="24" state="hidden" r:id="rId24"/>
    <sheet name="ketv. 4 " sheetId="25" state="hidden" r:id="rId25"/>
    <sheet name="ketv. 5 " sheetId="26" state="hidden" r:id="rId26"/>
    <sheet name="ketv. 6 " sheetId="27" state="hidden" r:id="rId27"/>
    <sheet name="ketv. 7 " sheetId="28" state="hidden" r:id="rId28"/>
    <sheet name="ketv. 8" sheetId="30" state="hidden" r:id="rId29"/>
    <sheet name="ketv. 9" sheetId="31" state="hidden" r:id="rId30"/>
    <sheet name="ketv. 10 " sheetId="32" state="hidden" r:id="rId31"/>
    <sheet name="ES lėšos" sheetId="40" state="hidden" r:id="rId32"/>
    <sheet name="SFMIS AR 2017" sheetId="41" state="hidden" r:id="rId33"/>
    <sheet name="mokėjimų ataskaita" sheetId="43" state="hidden" r:id="rId34"/>
    <sheet name="sutarčių ataskaita" sheetId="44" state="hidden" r:id="rId35"/>
    <sheet name="Lapas4" sheetId="45" state="hidden" r:id="rId36"/>
  </sheets>
  <definedNames>
    <definedName name="_xlnm._FilterDatabase" localSheetId="2" hidden="1">'3 pr-2'!$A$1:$AK$188</definedName>
    <definedName name="_xlnm._FilterDatabase" localSheetId="4" hidden="1">'3 pr-3'!$A$1:$DG$894</definedName>
    <definedName name="_xlnm._FilterDatabase" localSheetId="31" hidden="1">'ES lėšos'!$A$1:$I$147</definedName>
    <definedName name="_xlnm._FilterDatabase" localSheetId="3" hidden="1">'IV-3'!$A$1:$W$180</definedName>
    <definedName name="_xlnm._FilterDatabase" localSheetId="21" hidden="1">'ketv. 2'!$A$5:$AG$181</definedName>
    <definedName name="_xlnm._FilterDatabase" localSheetId="23" hidden="1">'ketv. 3'!$A$5:$U$180</definedName>
    <definedName name="_xlnm._FilterDatabase" localSheetId="24" hidden="1">'ketv. 4 '!$A$1:$Z$182</definedName>
    <definedName name="_xlnm._FilterDatabase" localSheetId="25" hidden="1">'ketv. 5 '!$A$1:$U$181</definedName>
    <definedName name="_xlnm._FilterDatabase" localSheetId="35" hidden="1">Lapas4!$A$11:$P$126</definedName>
    <definedName name="_xlnm._FilterDatabase" localSheetId="33" hidden="1">'mokėjimų ataskaita'!$A$12:$DH$460</definedName>
    <definedName name="_xlnm._FilterDatabase" localSheetId="32" hidden="1">'SFMIS AR 2017'!$D$1:$Z$139</definedName>
    <definedName name="_xlnm._FilterDatabase" localSheetId="34" hidden="1">'sutarčių ataskaita'!$A$18:$DV$176</definedName>
    <definedName name="_GoBack" localSheetId="0">'3 pr-1'!#REF!</definedName>
    <definedName name="_xlnm.Print_Titles" localSheetId="6">'3 pr-(5-6)'!$2:$3</definedName>
    <definedName name="_xlnm.Print_Titles" localSheetId="0">'3 pr-1'!$10:$11</definedName>
    <definedName name="_xlnm.Print_Titles" localSheetId="2">'3 pr-2'!$3:$6</definedName>
    <definedName name="_xlnm.Print_Titles" localSheetId="4">'3 pr-3'!$4:$6</definedName>
    <definedName name="_xlnm.Print_Titles" localSheetId="5">'3 pr-4'!$2:$2</definedName>
    <definedName name="_xlnm.Print_Titles" localSheetId="7">'3 pr-7'!$2:$2</definedName>
    <definedName name="_xlnm.Print_Titles" localSheetId="16">'4pr-(4-5)'!$3:$3</definedName>
    <definedName name="_xlnm.Print_Titles" localSheetId="20">'ketv. 1'!$10:$11</definedName>
    <definedName name="_xlnm.Print_Titles" localSheetId="30">'ketv. 10 '!$3:$3</definedName>
    <definedName name="_xlnm.Print_Titles" localSheetId="21">'ketv. 2'!$2:$4</definedName>
    <definedName name="_xlnm.Print_Titles" localSheetId="23">'ketv. 3'!$2:$4</definedName>
    <definedName name="_xlnm.Print_Titles" localSheetId="24">'ketv. 4 '!$3:$5</definedName>
    <definedName name="_xlnm.Print_Titles" localSheetId="25">'ketv. 5 '!$2:$5</definedName>
    <definedName name="_xlnm.Print_Titles" localSheetId="26">'ketv. 6 '!$3:$5</definedName>
    <definedName name="_xlnm.Print_Titles" localSheetId="27">'ketv. 7 '!$2:$4</definedName>
    <definedName name="_xlnm.Print_Titles" localSheetId="28">'ketv. 8'!$2:$3</definedName>
    <definedName name="_xlnm.Print_Titles" localSheetId="29">'ketv. 9'!$3:$3</definedName>
    <definedName name="_xlnm.Print_Titles" localSheetId="32">'SFMIS AR 2017'!$1:$1</definedName>
  </definedNames>
  <calcPr calcId="152511"/>
  <fileRecoveryPr autoRecover="0"/>
</workbook>
</file>

<file path=xl/calcChain.xml><?xml version="1.0" encoding="utf-8"?>
<calcChain xmlns="http://schemas.openxmlformats.org/spreadsheetml/2006/main">
  <c r="AK180" i="2" l="1"/>
  <c r="AI180" i="2"/>
  <c r="AH180" i="2"/>
  <c r="AG180" i="2"/>
  <c r="Q86" i="10" l="1"/>
  <c r="R86" i="10"/>
  <c r="V86" i="10"/>
  <c r="W86" i="10"/>
  <c r="X86" i="10"/>
  <c r="AB86" i="10"/>
  <c r="CO86" i="10"/>
  <c r="AH86" i="10" s="1"/>
  <c r="CM86" i="10"/>
  <c r="CL86" i="10"/>
  <c r="AC86" i="10" s="1"/>
  <c r="AD86" i="10"/>
  <c r="V69" i="10"/>
  <c r="R69" i="10"/>
  <c r="Q69" i="10"/>
  <c r="AH69" i="10"/>
  <c r="AD69" i="10"/>
  <c r="AC69" i="10"/>
  <c r="CS69" i="10"/>
  <c r="CT69" i="10" s="1"/>
  <c r="V48" i="10"/>
  <c r="S48" i="10"/>
  <c r="R48" i="10"/>
  <c r="Q48" i="10"/>
  <c r="CL93" i="10" l="1"/>
  <c r="CK98" i="10"/>
  <c r="CK97" i="10"/>
  <c r="CK96" i="10"/>
  <c r="CK94" i="10"/>
  <c r="CK92" i="10"/>
  <c r="CI98" i="10"/>
  <c r="CH98" i="10"/>
  <c r="CH97" i="10"/>
  <c r="CH96" i="10"/>
  <c r="CG98" i="10"/>
  <c r="CG97" i="10"/>
  <c r="CG96" i="10"/>
  <c r="CJ94" i="10"/>
  <c r="CJ93" i="10"/>
  <c r="CJ92" i="10"/>
  <c r="AB94" i="10"/>
  <c r="X94" i="10"/>
  <c r="W94" i="10"/>
  <c r="V94" i="10"/>
  <c r="R94" i="10"/>
  <c r="Q94" i="10"/>
  <c r="CO94" i="10"/>
  <c r="CM94" i="10"/>
  <c r="CL94" i="10"/>
  <c r="CP94" i="10"/>
  <c r="CO93" i="10"/>
  <c r="V93" i="10" s="1"/>
  <c r="CI93" i="10" s="1"/>
  <c r="R93" i="10"/>
  <c r="Q93" i="10"/>
  <c r="CK93" i="10" s="1"/>
  <c r="CP93" i="10"/>
  <c r="CN94" i="10"/>
  <c r="CN93" i="10"/>
  <c r="CM93" i="10"/>
  <c r="CG94" i="10"/>
  <c r="CG93" i="10"/>
  <c r="CH94" i="10"/>
  <c r="CH93" i="10"/>
  <c r="V92" i="10"/>
  <c r="U92" i="10"/>
  <c r="R92" i="10"/>
  <c r="Q92" i="10"/>
  <c r="AH92" i="10"/>
  <c r="AG92" i="10"/>
  <c r="AD92" i="10"/>
  <c r="AC92" i="10"/>
  <c r="AB92" i="10"/>
  <c r="AA92" i="10"/>
  <c r="X92" i="10"/>
  <c r="W92" i="10"/>
  <c r="CN92" i="10"/>
  <c r="CP92" i="10"/>
  <c r="CS92" i="10"/>
  <c r="CO92" i="10"/>
  <c r="CM92" i="10"/>
  <c r="CL92" i="10"/>
  <c r="CG92" i="10"/>
  <c r="CH92" i="10"/>
  <c r="CJ95" i="10"/>
  <c r="CI95" i="10"/>
  <c r="CO95" i="10"/>
  <c r="AB95" i="10" s="1"/>
  <c r="V95" i="10"/>
  <c r="Q96" i="10"/>
  <c r="CN95" i="10"/>
  <c r="CP95" i="10"/>
  <c r="CG95" i="10"/>
  <c r="CH95" i="10"/>
  <c r="CI86" i="10"/>
  <c r="CJ86" i="10" s="1"/>
  <c r="AB65" i="10"/>
  <c r="X65" i="10"/>
  <c r="W65" i="10"/>
  <c r="CS65" i="10"/>
  <c r="V65" i="10"/>
  <c r="R65" i="10"/>
  <c r="Q65" i="10"/>
  <c r="CR65" i="10"/>
  <c r="CM65" i="10"/>
  <c r="CP65" i="10"/>
  <c r="CL65" i="10"/>
  <c r="Y65" i="10"/>
  <c r="S65" i="10"/>
  <c r="Q62" i="10"/>
  <c r="CN65" i="10"/>
  <c r="CO65" i="10"/>
  <c r="AB62" i="10"/>
  <c r="X62" i="10"/>
  <c r="W62" i="10"/>
  <c r="V62" i="10"/>
  <c r="R62" i="10"/>
  <c r="CP62" i="10"/>
  <c r="CM62" i="10"/>
  <c r="CL62" i="10"/>
  <c r="CI62" i="10"/>
  <c r="Y62" i="10"/>
  <c r="S62" i="10"/>
  <c r="CO62" i="10"/>
  <c r="CN62" i="10"/>
  <c r="AB37" i="10"/>
  <c r="Y37" i="10"/>
  <c r="X37" i="10"/>
  <c r="W37" i="10"/>
  <c r="CO37" i="10"/>
  <c r="V37" i="10"/>
  <c r="CN37" i="10"/>
  <c r="S37" i="10" s="1"/>
  <c r="CM37" i="10"/>
  <c r="R37" i="10" s="1"/>
  <c r="CL37" i="10"/>
  <c r="CO31" i="10"/>
  <c r="CO30" i="10"/>
  <c r="CM30" i="10"/>
  <c r="Q37" i="10"/>
  <c r="P33" i="41" l="1"/>
  <c r="P32" i="41"/>
  <c r="P31" i="41"/>
  <c r="P30" i="41"/>
  <c r="P29" i="41"/>
  <c r="P28" i="41"/>
  <c r="P26" i="41"/>
  <c r="P25" i="41"/>
  <c r="Q24" i="41"/>
  <c r="Q23" i="41"/>
  <c r="Q22" i="41"/>
  <c r="Q21" i="41"/>
  <c r="Q20" i="41"/>
  <c r="Q19" i="41"/>
  <c r="Q18" i="41"/>
  <c r="Q17" i="41"/>
  <c r="Q16" i="41"/>
  <c r="Q15" i="41"/>
  <c r="Q14" i="41"/>
  <c r="Q13" i="41"/>
  <c r="Q12" i="41"/>
  <c r="Q11" i="41"/>
  <c r="Q10" i="41"/>
  <c r="Q9" i="41"/>
  <c r="Q8" i="41"/>
  <c r="Q7" i="41"/>
  <c r="Q6" i="41"/>
  <c r="Q5" i="41"/>
  <c r="Q4" i="41"/>
  <c r="Q3" i="41"/>
  <c r="Q2" i="41"/>
  <c r="U24" i="41"/>
  <c r="U23" i="41"/>
  <c r="U22" i="41"/>
  <c r="U21" i="41"/>
  <c r="U20" i="41"/>
  <c r="U19" i="41"/>
  <c r="U18" i="41"/>
  <c r="U17" i="41"/>
  <c r="U16" i="41"/>
  <c r="U15" i="41"/>
  <c r="U14" i="41"/>
  <c r="U13" i="41"/>
  <c r="U12" i="41"/>
  <c r="U11" i="41"/>
  <c r="U10" i="41"/>
  <c r="U9" i="41"/>
  <c r="U8" i="41"/>
  <c r="U7" i="41"/>
  <c r="U6" i="41"/>
  <c r="U5" i="41"/>
  <c r="U4" i="41"/>
  <c r="U3" i="41"/>
  <c r="U2" i="41"/>
  <c r="Q139" i="41" l="1"/>
  <c r="Q137" i="41"/>
  <c r="Q132" i="41"/>
  <c r="Q129" i="41"/>
  <c r="Q103" i="41"/>
  <c r="Q102" i="41"/>
  <c r="Q101" i="41"/>
  <c r="Q100" i="41"/>
  <c r="Q99" i="41"/>
  <c r="Q98" i="41"/>
  <c r="Q97" i="41"/>
  <c r="Q96" i="41"/>
  <c r="Q95" i="41"/>
  <c r="Q94" i="41"/>
  <c r="Q93" i="41"/>
  <c r="Q92" i="41"/>
  <c r="Q91" i="41"/>
  <c r="Q75" i="41"/>
  <c r="Q73" i="41"/>
  <c r="Q71" i="41"/>
  <c r="Q68" i="41"/>
  <c r="T31" i="27"/>
  <c r="T30" i="27"/>
  <c r="T29" i="27"/>
  <c r="T28" i="27"/>
  <c r="L28" i="27" s="1"/>
  <c r="T27" i="27"/>
  <c r="T26" i="27"/>
  <c r="T25" i="27"/>
  <c r="T24" i="27"/>
  <c r="AL24" i="27" s="1"/>
  <c r="T23" i="27"/>
  <c r="T22" i="27"/>
  <c r="T21" i="27"/>
  <c r="T20" i="27"/>
  <c r="AL20" i="27" s="1"/>
  <c r="T19" i="27"/>
  <c r="T18" i="27"/>
  <c r="T17" i="27"/>
  <c r="T16" i="27"/>
  <c r="T15" i="27"/>
  <c r="T14" i="27"/>
  <c r="T13" i="27"/>
  <c r="T12" i="27"/>
  <c r="T11" i="27"/>
  <c r="T10" i="27"/>
  <c r="T9" i="27"/>
  <c r="AF31" i="27"/>
  <c r="AF30" i="27"/>
  <c r="AF29" i="27"/>
  <c r="AF28" i="27"/>
  <c r="AF27" i="27"/>
  <c r="AL27" i="27" s="1"/>
  <c r="AF26" i="27"/>
  <c r="L26" i="27" s="1"/>
  <c r="AF25" i="27"/>
  <c r="AF24" i="27"/>
  <c r="AF23" i="27"/>
  <c r="AF22" i="27"/>
  <c r="AF21" i="27"/>
  <c r="AF20" i="27"/>
  <c r="AF19" i="27"/>
  <c r="AF18" i="27"/>
  <c r="AF17" i="27"/>
  <c r="AF16" i="27"/>
  <c r="AF15" i="27"/>
  <c r="AF14" i="27"/>
  <c r="AF13" i="27"/>
  <c r="AF12" i="27"/>
  <c r="AF11" i="27"/>
  <c r="AF10" i="27"/>
  <c r="L10" i="27" s="1"/>
  <c r="AF9" i="27"/>
  <c r="AP22" i="27"/>
  <c r="AO22" i="27"/>
  <c r="AN22" i="27"/>
  <c r="AP25" i="27"/>
  <c r="AO25" i="27"/>
  <c r="AN25" i="27"/>
  <c r="AP28" i="27"/>
  <c r="AO28" i="27"/>
  <c r="AN28" i="27"/>
  <c r="AO26" i="27"/>
  <c r="AN26" i="27"/>
  <c r="AP17" i="27"/>
  <c r="AL17" i="27"/>
  <c r="AN17" i="27"/>
  <c r="AO17" i="27"/>
  <c r="AP12" i="27"/>
  <c r="AO12" i="27"/>
  <c r="AN12" i="27"/>
  <c r="AL12" i="27"/>
  <c r="AL30" i="27"/>
  <c r="AL28" i="27"/>
  <c r="AL26" i="27"/>
  <c r="AL25" i="27"/>
  <c r="AL23" i="27"/>
  <c r="AL22" i="27"/>
  <c r="AL9" i="27"/>
  <c r="AL10" i="27"/>
  <c r="AL11" i="27"/>
  <c r="AL13" i="27"/>
  <c r="AL14" i="27"/>
  <c r="AL15" i="27"/>
  <c r="AL16" i="27"/>
  <c r="AL19" i="27"/>
  <c r="AL18" i="27"/>
  <c r="AP18" i="27"/>
  <c r="AO18" i="27"/>
  <c r="AN18" i="27"/>
  <c r="AP14" i="27"/>
  <c r="AN14" i="27"/>
  <c r="AO14" i="27"/>
  <c r="AP29" i="27"/>
  <c r="AO29" i="27"/>
  <c r="AN29" i="27"/>
  <c r="AL29" i="27"/>
  <c r="AP19" i="27"/>
  <c r="AO19" i="27"/>
  <c r="AN19" i="27"/>
  <c r="AO27" i="27"/>
  <c r="AN27" i="27"/>
  <c r="AP15" i="27"/>
  <c r="AO15" i="27"/>
  <c r="AN15" i="27"/>
  <c r="AP24" i="27"/>
  <c r="AO24" i="27"/>
  <c r="AN24" i="27"/>
  <c r="AP16" i="27"/>
  <c r="AO16" i="27"/>
  <c r="AN16" i="27"/>
  <c r="AP20" i="27"/>
  <c r="AO20" i="27"/>
  <c r="AN20" i="27"/>
  <c r="AP21" i="27"/>
  <c r="AO21" i="27"/>
  <c r="AN21" i="27"/>
  <c r="AL21" i="27"/>
  <c r="AP10" i="27"/>
  <c r="AO10" i="27"/>
  <c r="AN10" i="27"/>
  <c r="AP11" i="27"/>
  <c r="AO11" i="27"/>
  <c r="AN11" i="27"/>
  <c r="AP13" i="27"/>
  <c r="AO13" i="27"/>
  <c r="AN13" i="27"/>
  <c r="AO9" i="27"/>
  <c r="AN9" i="27"/>
  <c r="AP9" i="27"/>
  <c r="C16" i="41"/>
  <c r="C23" i="41"/>
  <c r="C54" i="41"/>
  <c r="C75" i="41"/>
  <c r="M54" i="40"/>
  <c r="M24" i="40"/>
  <c r="M23" i="40"/>
  <c r="M22" i="40"/>
  <c r="M21" i="40"/>
  <c r="M20" i="40"/>
  <c r="M19" i="40"/>
  <c r="M18" i="40"/>
  <c r="M17" i="40"/>
  <c r="M16" i="40"/>
  <c r="M15" i="40"/>
  <c r="M14" i="40"/>
  <c r="M13" i="40"/>
  <c r="M12" i="40"/>
  <c r="M11" i="40"/>
  <c r="M10" i="40"/>
  <c r="M9" i="40"/>
  <c r="M8" i="40"/>
  <c r="M7" i="40"/>
  <c r="M6" i="40"/>
  <c r="M5" i="40"/>
  <c r="M4" i="40"/>
  <c r="M3" i="40"/>
  <c r="M2" i="40"/>
  <c r="L54" i="40"/>
  <c r="L24" i="40"/>
  <c r="L23" i="40"/>
  <c r="L22" i="40"/>
  <c r="L21" i="40"/>
  <c r="L20" i="40"/>
  <c r="L19" i="40"/>
  <c r="L18" i="40"/>
  <c r="L17" i="40"/>
  <c r="L16" i="40"/>
  <c r="L15" i="40"/>
  <c r="L14" i="40"/>
  <c r="L13" i="40"/>
  <c r="L12" i="40"/>
  <c r="L11" i="40"/>
  <c r="L10" i="40"/>
  <c r="L9" i="40"/>
  <c r="L8" i="40"/>
  <c r="L7" i="40"/>
  <c r="L6" i="40"/>
  <c r="L5" i="40"/>
  <c r="L4" i="40"/>
  <c r="L3" i="40"/>
  <c r="L2" i="40"/>
  <c r="L31" i="27"/>
  <c r="L30" i="27"/>
  <c r="L29" i="27"/>
  <c r="L27" i="27"/>
  <c r="L25" i="27"/>
  <c r="L24" i="27"/>
  <c r="L23" i="27"/>
  <c r="L22" i="27"/>
  <c r="L21" i="27"/>
  <c r="L20" i="27"/>
  <c r="L19" i="27"/>
  <c r="L18" i="27"/>
  <c r="L17" i="27"/>
  <c r="L16" i="27"/>
  <c r="L15" i="27"/>
  <c r="L14" i="27"/>
  <c r="L13" i="27"/>
  <c r="L12" i="27"/>
  <c r="L11" i="27"/>
  <c r="P181" i="27"/>
  <c r="P180" i="27"/>
  <c r="P179" i="27"/>
  <c r="P178" i="27"/>
  <c r="P177" i="27"/>
  <c r="P176" i="27"/>
  <c r="P175" i="27"/>
  <c r="P174" i="27"/>
  <c r="P173" i="27"/>
  <c r="P170" i="27"/>
  <c r="P166" i="27"/>
  <c r="P165" i="27"/>
  <c r="P164" i="27"/>
  <c r="P163" i="27"/>
  <c r="P162" i="27"/>
  <c r="P161" i="27"/>
  <c r="P158" i="27"/>
  <c r="P157" i="27"/>
  <c r="P156" i="27"/>
  <c r="P155" i="27"/>
  <c r="P154" i="27"/>
  <c r="P152" i="27"/>
  <c r="P151" i="27"/>
  <c r="P150" i="27"/>
  <c r="P149" i="27"/>
  <c r="P148" i="27"/>
  <c r="P145" i="27"/>
  <c r="P144" i="27"/>
  <c r="P143" i="27"/>
  <c r="P142" i="27"/>
  <c r="P141" i="27"/>
  <c r="P139" i="27"/>
  <c r="P138" i="27"/>
  <c r="P137" i="27"/>
  <c r="P136" i="27"/>
  <c r="P135" i="27"/>
  <c r="P133" i="27"/>
  <c r="P132" i="27"/>
  <c r="P131" i="27"/>
  <c r="P130" i="27"/>
  <c r="P129" i="27"/>
  <c r="P128" i="27"/>
  <c r="P127" i="27"/>
  <c r="P126" i="27"/>
  <c r="P125" i="27"/>
  <c r="P124" i="27"/>
  <c r="P123" i="27"/>
  <c r="P122" i="27"/>
  <c r="P121" i="27"/>
  <c r="P118" i="27"/>
  <c r="P117" i="27"/>
  <c r="P116" i="27"/>
  <c r="P115" i="27"/>
  <c r="P114" i="27"/>
  <c r="P112" i="27"/>
  <c r="P111" i="27"/>
  <c r="P110" i="27"/>
  <c r="P109" i="27"/>
  <c r="P108" i="27"/>
  <c r="P106" i="27"/>
  <c r="P105" i="27"/>
  <c r="P104" i="27"/>
  <c r="P103" i="27"/>
  <c r="P102" i="27"/>
  <c r="P98" i="27"/>
  <c r="P97" i="27"/>
  <c r="P96" i="27"/>
  <c r="P95" i="27"/>
  <c r="P94" i="27"/>
  <c r="P93" i="27"/>
  <c r="P92" i="27"/>
  <c r="P90" i="27"/>
  <c r="P89" i="27"/>
  <c r="P88" i="27"/>
  <c r="P87" i="27"/>
  <c r="P86" i="27"/>
  <c r="P84" i="27"/>
  <c r="P83" i="27"/>
  <c r="P81" i="27"/>
  <c r="P79" i="27"/>
  <c r="P77" i="27"/>
  <c r="P76" i="27"/>
  <c r="P75" i="27"/>
  <c r="P74" i="27"/>
  <c r="P71" i="27"/>
  <c r="P70" i="27"/>
  <c r="P69" i="27"/>
  <c r="P68" i="27"/>
  <c r="P67" i="27"/>
  <c r="P65" i="27"/>
  <c r="P64" i="27"/>
  <c r="P63" i="27"/>
  <c r="P62" i="27"/>
  <c r="P60" i="27"/>
  <c r="P59" i="27"/>
  <c r="P58" i="27"/>
  <c r="P56" i="27"/>
  <c r="P54" i="27"/>
  <c r="P53" i="27"/>
  <c r="P52" i="27"/>
  <c r="P51" i="27"/>
  <c r="P50" i="27"/>
  <c r="P48" i="27"/>
  <c r="P47" i="27"/>
  <c r="P46" i="27"/>
  <c r="P44" i="27"/>
  <c r="P43" i="27"/>
  <c r="P42" i="27"/>
  <c r="P41" i="27"/>
  <c r="P40" i="27"/>
  <c r="P39" i="27"/>
  <c r="P37" i="27"/>
  <c r="P36" i="27"/>
  <c r="P35" i="27"/>
  <c r="P34" i="27"/>
  <c r="P33" i="27"/>
  <c r="T181" i="27"/>
  <c r="T180" i="27"/>
  <c r="T179" i="27"/>
  <c r="T178" i="27"/>
  <c r="T177" i="27"/>
  <c r="T176" i="27"/>
  <c r="T175" i="27"/>
  <c r="T174" i="27"/>
  <c r="T173" i="27"/>
  <c r="T170" i="27"/>
  <c r="T166" i="27"/>
  <c r="T165" i="27"/>
  <c r="T164" i="27"/>
  <c r="T163" i="27"/>
  <c r="T162" i="27"/>
  <c r="T161" i="27"/>
  <c r="T158" i="27"/>
  <c r="T157" i="27"/>
  <c r="T156" i="27"/>
  <c r="T155" i="27"/>
  <c r="T154" i="27"/>
  <c r="T152" i="27"/>
  <c r="T151" i="27"/>
  <c r="T150" i="27"/>
  <c r="T149" i="27"/>
  <c r="T148" i="27"/>
  <c r="T145" i="27"/>
  <c r="T144" i="27"/>
  <c r="T143" i="27"/>
  <c r="T142" i="27"/>
  <c r="T141" i="27"/>
  <c r="T139" i="27"/>
  <c r="T138" i="27"/>
  <c r="T137" i="27"/>
  <c r="T136" i="27"/>
  <c r="T135" i="27"/>
  <c r="T133" i="27"/>
  <c r="T132" i="27"/>
  <c r="T131" i="27"/>
  <c r="T130" i="27"/>
  <c r="T129" i="27"/>
  <c r="T128" i="27"/>
  <c r="T127" i="27"/>
  <c r="T126" i="27"/>
  <c r="T125" i="27"/>
  <c r="T124" i="27"/>
  <c r="T123" i="27"/>
  <c r="T122" i="27"/>
  <c r="T121" i="27"/>
  <c r="T118" i="27"/>
  <c r="T117" i="27"/>
  <c r="T116" i="27"/>
  <c r="T115" i="27"/>
  <c r="T114" i="27"/>
  <c r="T112" i="27"/>
  <c r="T111" i="27"/>
  <c r="T110" i="27"/>
  <c r="T109" i="27"/>
  <c r="T108" i="27"/>
  <c r="T106" i="27"/>
  <c r="T105" i="27"/>
  <c r="T104" i="27"/>
  <c r="T103" i="27"/>
  <c r="T102" i="27"/>
  <c r="T98" i="27"/>
  <c r="T97" i="27"/>
  <c r="T96" i="27"/>
  <c r="T95" i="27"/>
  <c r="T94" i="27"/>
  <c r="T93" i="27"/>
  <c r="T92" i="27"/>
  <c r="T90" i="27"/>
  <c r="T89" i="27"/>
  <c r="T88" i="27"/>
  <c r="T87" i="27"/>
  <c r="T86" i="27"/>
  <c r="T84" i="27"/>
  <c r="T83" i="27"/>
  <c r="T82" i="27"/>
  <c r="T81" i="27"/>
  <c r="T80" i="27"/>
  <c r="T79" i="27"/>
  <c r="T77" i="27"/>
  <c r="T76" i="27"/>
  <c r="T75" i="27"/>
  <c r="T74" i="27"/>
  <c r="T71" i="27"/>
  <c r="T70" i="27"/>
  <c r="T69" i="27"/>
  <c r="T68" i="27"/>
  <c r="T67" i="27"/>
  <c r="T65" i="27"/>
  <c r="T64" i="27"/>
  <c r="T63" i="27"/>
  <c r="T62" i="27"/>
  <c r="T60" i="27"/>
  <c r="T59" i="27"/>
  <c r="T58" i="27"/>
  <c r="T56" i="27"/>
  <c r="T54" i="27"/>
  <c r="T53" i="27"/>
  <c r="T52" i="27"/>
  <c r="T51" i="27"/>
  <c r="T50" i="27"/>
  <c r="T48" i="27"/>
  <c r="T47" i="27"/>
  <c r="T44" i="27"/>
  <c r="T43" i="27"/>
  <c r="T42" i="27"/>
  <c r="T41" i="27"/>
  <c r="T40" i="27"/>
  <c r="T39" i="27"/>
  <c r="T37" i="27"/>
  <c r="T36" i="27"/>
  <c r="T35" i="27"/>
  <c r="T34" i="27"/>
  <c r="T33" i="27"/>
  <c r="X181" i="27"/>
  <c r="X180" i="27"/>
  <c r="X179" i="27"/>
  <c r="X178" i="27"/>
  <c r="X177" i="27"/>
  <c r="X176" i="27"/>
  <c r="X175" i="27"/>
  <c r="X174" i="27"/>
  <c r="X173" i="27"/>
  <c r="X170" i="27"/>
  <c r="X166" i="27"/>
  <c r="X165" i="27"/>
  <c r="X164" i="27"/>
  <c r="X163" i="27"/>
  <c r="X162" i="27"/>
  <c r="X161" i="27"/>
  <c r="X158" i="27"/>
  <c r="X157" i="27"/>
  <c r="X156" i="27"/>
  <c r="X155" i="27"/>
  <c r="X154" i="27"/>
  <c r="X152" i="27"/>
  <c r="X151" i="27"/>
  <c r="X150" i="27"/>
  <c r="X149" i="27"/>
  <c r="X148" i="27"/>
  <c r="X145" i="27"/>
  <c r="X144" i="27"/>
  <c r="X143" i="27"/>
  <c r="X142" i="27"/>
  <c r="X141" i="27"/>
  <c r="X139" i="27"/>
  <c r="X138" i="27"/>
  <c r="X137" i="27"/>
  <c r="X136" i="27"/>
  <c r="X135" i="27"/>
  <c r="X133" i="27"/>
  <c r="X132" i="27"/>
  <c r="X131" i="27"/>
  <c r="X130" i="27"/>
  <c r="X129" i="27"/>
  <c r="X128" i="27"/>
  <c r="X127" i="27"/>
  <c r="X126" i="27"/>
  <c r="X125" i="27"/>
  <c r="X124" i="27"/>
  <c r="X123" i="27"/>
  <c r="X122" i="27"/>
  <c r="X121" i="27"/>
  <c r="X118" i="27"/>
  <c r="X117" i="27"/>
  <c r="X116" i="27"/>
  <c r="X115" i="27"/>
  <c r="X114" i="27"/>
  <c r="X112" i="27"/>
  <c r="X111" i="27"/>
  <c r="X110" i="27"/>
  <c r="X109" i="27"/>
  <c r="X108" i="27"/>
  <c r="X106" i="27"/>
  <c r="X105" i="27"/>
  <c r="X104" i="27"/>
  <c r="X103" i="27"/>
  <c r="X102" i="27"/>
  <c r="X98" i="27"/>
  <c r="X97" i="27"/>
  <c r="X96" i="27"/>
  <c r="X95" i="27"/>
  <c r="X94" i="27"/>
  <c r="X93" i="27"/>
  <c r="X92" i="27"/>
  <c r="X90" i="27"/>
  <c r="X89" i="27"/>
  <c r="X88" i="27"/>
  <c r="X87" i="27"/>
  <c r="X86" i="27"/>
  <c r="X84" i="27"/>
  <c r="X83" i="27"/>
  <c r="X82" i="27"/>
  <c r="X81" i="27"/>
  <c r="X80" i="27"/>
  <c r="X79" i="27"/>
  <c r="X77" i="27"/>
  <c r="X76" i="27"/>
  <c r="X75" i="27"/>
  <c r="X74" i="27"/>
  <c r="X71" i="27"/>
  <c r="X70" i="27"/>
  <c r="X69" i="27"/>
  <c r="X68" i="27"/>
  <c r="X67" i="27"/>
  <c r="X65" i="27"/>
  <c r="X64" i="27"/>
  <c r="X63" i="27"/>
  <c r="X62" i="27"/>
  <c r="X60" i="27"/>
  <c r="X59" i="27"/>
  <c r="X58" i="27"/>
  <c r="X56" i="27"/>
  <c r="X54" i="27"/>
  <c r="X53" i="27"/>
  <c r="X52" i="27"/>
  <c r="X51" i="27"/>
  <c r="X50" i="27"/>
  <c r="X48" i="27"/>
  <c r="X47" i="27"/>
  <c r="X46" i="27"/>
  <c r="X44" i="27"/>
  <c r="X43" i="27"/>
  <c r="X42" i="27"/>
  <c r="X41" i="27"/>
  <c r="X40" i="27"/>
  <c r="X39" i="27"/>
  <c r="X37" i="27"/>
  <c r="X36" i="27"/>
  <c r="X35" i="27"/>
  <c r="X34" i="27"/>
  <c r="X33" i="27"/>
  <c r="AB181" i="27"/>
  <c r="AB180" i="27"/>
  <c r="AB179" i="27"/>
  <c r="AB178" i="27"/>
  <c r="AB177" i="27"/>
  <c r="AB176" i="27"/>
  <c r="AB175" i="27"/>
  <c r="AB174" i="27"/>
  <c r="AB173" i="27"/>
  <c r="AB170" i="27"/>
  <c r="AB166" i="27"/>
  <c r="AB165" i="27"/>
  <c r="AB164" i="27"/>
  <c r="AB163" i="27"/>
  <c r="AB162" i="27"/>
  <c r="AB161" i="27"/>
  <c r="AB158" i="27"/>
  <c r="AB157" i="27"/>
  <c r="AB156" i="27"/>
  <c r="AB155" i="27"/>
  <c r="AB154" i="27"/>
  <c r="AB152" i="27"/>
  <c r="AB151" i="27"/>
  <c r="AB150" i="27"/>
  <c r="AB149" i="27"/>
  <c r="AB148" i="27"/>
  <c r="AB145" i="27"/>
  <c r="AB144" i="27"/>
  <c r="AB143" i="27"/>
  <c r="AB142" i="27"/>
  <c r="AB141" i="27"/>
  <c r="AB139" i="27"/>
  <c r="AB138" i="27"/>
  <c r="AB137" i="27"/>
  <c r="AB136" i="27"/>
  <c r="AB135" i="27"/>
  <c r="AB133" i="27"/>
  <c r="AB132" i="27"/>
  <c r="AB131" i="27"/>
  <c r="AB130" i="27"/>
  <c r="AB129" i="27"/>
  <c r="AB128" i="27"/>
  <c r="AB127" i="27"/>
  <c r="AB126" i="27"/>
  <c r="AB125" i="27"/>
  <c r="AB124" i="27"/>
  <c r="AB123" i="27"/>
  <c r="AB122" i="27"/>
  <c r="AB121" i="27"/>
  <c r="AB118" i="27"/>
  <c r="AB117" i="27"/>
  <c r="AB116" i="27"/>
  <c r="AB115" i="27"/>
  <c r="AB114" i="27"/>
  <c r="AB112" i="27"/>
  <c r="AB111" i="27"/>
  <c r="AB110" i="27"/>
  <c r="AB109" i="27"/>
  <c r="AB108" i="27"/>
  <c r="AB106" i="27"/>
  <c r="AB105" i="27"/>
  <c r="AB104" i="27"/>
  <c r="AB103" i="27"/>
  <c r="AB102" i="27"/>
  <c r="AB98" i="27"/>
  <c r="AB97" i="27"/>
  <c r="AB96" i="27"/>
  <c r="AB95" i="27"/>
  <c r="AB94" i="27"/>
  <c r="AB93" i="27"/>
  <c r="AB92" i="27"/>
  <c r="AB90" i="27"/>
  <c r="AB89" i="27"/>
  <c r="AB88" i="27"/>
  <c r="AB87" i="27"/>
  <c r="AB86" i="27"/>
  <c r="AB84" i="27"/>
  <c r="AB83" i="27"/>
  <c r="AB82" i="27"/>
  <c r="AB81" i="27"/>
  <c r="AB80" i="27"/>
  <c r="AB79" i="27"/>
  <c r="AB77" i="27"/>
  <c r="AB76" i="27"/>
  <c r="AB75" i="27"/>
  <c r="AB74" i="27"/>
  <c r="AB71" i="27"/>
  <c r="AB70" i="27"/>
  <c r="AB69" i="27"/>
  <c r="AB68" i="27"/>
  <c r="AB67" i="27"/>
  <c r="AB65" i="27"/>
  <c r="AB64" i="27"/>
  <c r="AB63" i="27"/>
  <c r="AB62" i="27"/>
  <c r="AB60" i="27"/>
  <c r="AB59" i="27"/>
  <c r="AB58" i="27"/>
  <c r="AB56" i="27"/>
  <c r="AB54" i="27"/>
  <c r="AB53" i="27"/>
  <c r="AB52" i="27"/>
  <c r="AB51" i="27"/>
  <c r="AB50" i="27"/>
  <c r="AB48" i="27"/>
  <c r="AB47" i="27"/>
  <c r="AB46" i="27"/>
  <c r="AB44" i="27"/>
  <c r="AB43" i="27"/>
  <c r="AB42" i="27"/>
  <c r="AB41" i="27"/>
  <c r="AB40" i="27"/>
  <c r="AB39" i="27"/>
  <c r="AB37" i="27"/>
  <c r="AB36" i="27"/>
  <c r="AB35" i="27"/>
  <c r="AB34" i="27"/>
  <c r="AB33" i="27"/>
  <c r="AF33" i="27"/>
  <c r="AF34" i="27"/>
  <c r="AF35" i="27"/>
  <c r="AF36" i="27"/>
  <c r="AF37" i="27"/>
  <c r="AF181" i="27"/>
  <c r="AF180" i="27"/>
  <c r="AF179" i="27"/>
  <c r="AF178" i="27"/>
  <c r="AF177" i="27"/>
  <c r="AF176" i="27"/>
  <c r="AF175" i="27"/>
  <c r="AF174" i="27"/>
  <c r="AF173" i="27"/>
  <c r="AF170" i="27"/>
  <c r="AF166" i="27"/>
  <c r="AF165" i="27"/>
  <c r="AF164" i="27"/>
  <c r="AF163" i="27"/>
  <c r="AF162" i="27"/>
  <c r="AF161" i="27"/>
  <c r="AF158" i="27"/>
  <c r="AF157" i="27"/>
  <c r="AF156" i="27"/>
  <c r="AF155" i="27"/>
  <c r="AF154" i="27"/>
  <c r="AF152" i="27"/>
  <c r="AF151" i="27"/>
  <c r="AF150" i="27"/>
  <c r="AF149" i="27"/>
  <c r="AF148" i="27"/>
  <c r="AF145" i="27"/>
  <c r="AF144" i="27"/>
  <c r="AF143" i="27"/>
  <c r="AF142" i="27"/>
  <c r="AF141" i="27"/>
  <c r="AF139" i="27"/>
  <c r="AF138" i="27"/>
  <c r="AF137" i="27"/>
  <c r="AF136" i="27"/>
  <c r="AF135" i="27"/>
  <c r="AF133" i="27"/>
  <c r="AF132" i="27"/>
  <c r="AF131" i="27"/>
  <c r="AF130" i="27"/>
  <c r="AF129" i="27"/>
  <c r="AF128" i="27"/>
  <c r="AF127" i="27"/>
  <c r="AF126" i="27"/>
  <c r="AF125" i="27"/>
  <c r="AF124" i="27"/>
  <c r="AF123" i="27"/>
  <c r="AF122" i="27"/>
  <c r="AF121" i="27"/>
  <c r="AF118" i="27"/>
  <c r="AF117" i="27"/>
  <c r="AF116" i="27"/>
  <c r="AF115" i="27"/>
  <c r="AF114" i="27"/>
  <c r="AF112" i="27"/>
  <c r="AF111" i="27"/>
  <c r="AF110" i="27"/>
  <c r="AF109" i="27"/>
  <c r="AF108" i="27"/>
  <c r="AF106" i="27"/>
  <c r="AF105" i="27"/>
  <c r="AF104" i="27"/>
  <c r="AF103" i="27"/>
  <c r="AF102" i="27"/>
  <c r="AF98" i="27"/>
  <c r="AF97" i="27"/>
  <c r="AF96" i="27"/>
  <c r="AF95" i="27"/>
  <c r="AF94" i="27"/>
  <c r="AF93" i="27"/>
  <c r="AF92" i="27"/>
  <c r="AF90" i="27"/>
  <c r="AF89" i="27"/>
  <c r="AF88" i="27"/>
  <c r="AF87" i="27"/>
  <c r="AF86" i="27"/>
  <c r="AF84" i="27"/>
  <c r="AF83" i="27"/>
  <c r="AF81" i="27"/>
  <c r="AF79" i="27"/>
  <c r="AF77" i="27"/>
  <c r="AF76" i="27"/>
  <c r="AF75" i="27"/>
  <c r="AF74" i="27"/>
  <c r="AF70" i="27"/>
  <c r="AF71" i="27"/>
  <c r="AF69" i="27"/>
  <c r="AF68" i="27"/>
  <c r="AF67" i="27"/>
  <c r="AF65" i="27"/>
  <c r="AF64" i="27"/>
  <c r="AF63" i="27"/>
  <c r="AF62" i="27"/>
  <c r="AF60" i="27"/>
  <c r="AF59" i="27"/>
  <c r="AF58" i="27"/>
  <c r="AF56" i="27"/>
  <c r="AF54" i="27"/>
  <c r="AF53" i="27"/>
  <c r="AF52" i="27"/>
  <c r="AF51" i="27"/>
  <c r="AF50" i="27"/>
  <c r="AF48" i="27"/>
  <c r="AF47" i="27"/>
  <c r="AF43" i="27"/>
  <c r="AF44" i="27"/>
  <c r="AF42" i="27"/>
  <c r="AF41" i="27"/>
  <c r="AF40" i="27"/>
  <c r="AF39" i="27"/>
  <c r="X181" i="25"/>
  <c r="X179" i="25"/>
  <c r="X178" i="25"/>
  <c r="X177" i="25"/>
  <c r="X176" i="25"/>
  <c r="X174" i="25"/>
  <c r="X171" i="25"/>
  <c r="X166" i="25"/>
  <c r="X165" i="25"/>
  <c r="X164" i="25"/>
  <c r="X163" i="25"/>
  <c r="X162" i="25"/>
  <c r="X159" i="25"/>
  <c r="X158" i="25"/>
  <c r="X157" i="25"/>
  <c r="X156" i="25"/>
  <c r="X155" i="25"/>
  <c r="X153" i="25"/>
  <c r="X152" i="25"/>
  <c r="X151" i="25"/>
  <c r="X150" i="25"/>
  <c r="X149" i="25"/>
  <c r="X146" i="25"/>
  <c r="X145" i="25"/>
  <c r="X144" i="25"/>
  <c r="X143" i="25"/>
  <c r="X142" i="25"/>
  <c r="X140" i="25"/>
  <c r="X139" i="25"/>
  <c r="X138" i="25"/>
  <c r="X137" i="25"/>
  <c r="X136" i="25"/>
  <c r="X119" i="25"/>
  <c r="X118" i="25"/>
  <c r="X117" i="25"/>
  <c r="X116" i="25"/>
  <c r="X115" i="25"/>
  <c r="X113" i="25"/>
  <c r="X112" i="25"/>
  <c r="X111" i="25"/>
  <c r="X110" i="25"/>
  <c r="X109" i="25"/>
  <c r="X107" i="25"/>
  <c r="X106" i="25"/>
  <c r="X105" i="25"/>
  <c r="X104" i="25"/>
  <c r="X103" i="25"/>
  <c r="X98" i="25"/>
  <c r="X96" i="25"/>
  <c r="X94" i="25"/>
  <c r="X93" i="25"/>
  <c r="X90" i="25"/>
  <c r="X89" i="25"/>
  <c r="X88" i="25"/>
  <c r="X87" i="25"/>
  <c r="X72" i="25"/>
  <c r="X70" i="25"/>
  <c r="X69" i="25"/>
  <c r="X68" i="25"/>
  <c r="X66" i="25"/>
  <c r="X65" i="25"/>
  <c r="X64" i="25"/>
  <c r="X63" i="25"/>
  <c r="X60" i="25"/>
  <c r="X59" i="25"/>
  <c r="X57" i="25"/>
  <c r="X55" i="25"/>
  <c r="X54" i="25"/>
  <c r="X53" i="25"/>
  <c r="X52" i="25"/>
  <c r="X51" i="25"/>
  <c r="X49" i="25"/>
  <c r="X48" i="25"/>
  <c r="X43" i="25"/>
  <c r="X42" i="25"/>
  <c r="X41" i="25"/>
  <c r="X40" i="25"/>
  <c r="X38" i="25"/>
  <c r="X37" i="25"/>
  <c r="X35" i="25"/>
  <c r="X34" i="25"/>
  <c r="S180" i="24"/>
  <c r="S178" i="24"/>
  <c r="S177" i="24"/>
  <c r="S176" i="24"/>
  <c r="S175" i="24"/>
  <c r="S173" i="24"/>
  <c r="S170" i="24"/>
  <c r="S165" i="24"/>
  <c r="S164" i="24"/>
  <c r="S163" i="24"/>
  <c r="S162" i="24"/>
  <c r="S161" i="24"/>
  <c r="S158" i="24"/>
  <c r="S157" i="24"/>
  <c r="S156" i="24"/>
  <c r="S155" i="24"/>
  <c r="S154" i="24"/>
  <c r="S152" i="24"/>
  <c r="S151" i="24"/>
  <c r="S150" i="24"/>
  <c r="S149" i="24"/>
  <c r="S148" i="24"/>
  <c r="S145" i="24"/>
  <c r="S144" i="24"/>
  <c r="S143" i="24"/>
  <c r="S142" i="24"/>
  <c r="S141" i="24"/>
  <c r="S139" i="24"/>
  <c r="S138" i="24"/>
  <c r="S137" i="24"/>
  <c r="S136" i="24"/>
  <c r="S135" i="24"/>
  <c r="S129" i="24"/>
  <c r="S124" i="24"/>
  <c r="S123" i="24"/>
  <c r="S122" i="24"/>
  <c r="S121" i="24"/>
  <c r="S118" i="24"/>
  <c r="S117" i="24"/>
  <c r="S116" i="24"/>
  <c r="S115" i="24"/>
  <c r="S114" i="24"/>
  <c r="S112" i="24"/>
  <c r="S111" i="24"/>
  <c r="S110" i="24"/>
  <c r="S109" i="24"/>
  <c r="S108" i="24"/>
  <c r="S106" i="24"/>
  <c r="S105" i="24"/>
  <c r="S104" i="24"/>
  <c r="S103" i="24"/>
  <c r="S97" i="24"/>
  <c r="S96" i="24"/>
  <c r="S95" i="24"/>
  <c r="S94" i="24"/>
  <c r="S93" i="24"/>
  <c r="S92" i="24"/>
  <c r="S89" i="24"/>
  <c r="S88" i="24"/>
  <c r="S87" i="24"/>
  <c r="S86" i="24"/>
  <c r="S77" i="24"/>
  <c r="S76" i="24"/>
  <c r="S71" i="24"/>
  <c r="S70" i="24"/>
  <c r="S69" i="24"/>
  <c r="S68" i="24"/>
  <c r="S67" i="24"/>
  <c r="S65" i="24"/>
  <c r="S64" i="24"/>
  <c r="S63" i="24"/>
  <c r="S62" i="24"/>
  <c r="S59" i="24"/>
  <c r="S58" i="24"/>
  <c r="S56" i="24"/>
  <c r="S54" i="24"/>
  <c r="S53" i="24"/>
  <c r="S52" i="24"/>
  <c r="S51" i="24"/>
  <c r="S50" i="24"/>
  <c r="S48" i="24"/>
  <c r="S47" i="24"/>
  <c r="S44" i="24"/>
  <c r="S43" i="24"/>
  <c r="S42" i="24"/>
  <c r="S41" i="24"/>
  <c r="S40" i="24"/>
  <c r="S39" i="24"/>
  <c r="S37" i="24"/>
  <c r="S36" i="24"/>
  <c r="S34" i="24"/>
  <c r="S33" i="24"/>
  <c r="C109" i="41"/>
  <c r="O109" i="41" s="1"/>
  <c r="C99" i="41"/>
  <c r="C94" i="41"/>
  <c r="C93" i="41"/>
  <c r="C92" i="41"/>
  <c r="C91" i="41"/>
  <c r="C71" i="41"/>
  <c r="S71" i="41" s="1"/>
  <c r="C73" i="41"/>
  <c r="T73" i="41" s="1"/>
  <c r="C59" i="41"/>
  <c r="T59" i="41" s="1"/>
  <c r="C58" i="41"/>
  <c r="S58" i="41" s="1"/>
  <c r="C35" i="41"/>
  <c r="C34" i="41"/>
  <c r="L30" i="28"/>
  <c r="L29" i="28"/>
  <c r="L28" i="28"/>
  <c r="L27" i="28"/>
  <c r="L26" i="28"/>
  <c r="L25" i="28"/>
  <c r="L24" i="28"/>
  <c r="L23" i="28"/>
  <c r="L22" i="28"/>
  <c r="L21" i="28"/>
  <c r="L20" i="28"/>
  <c r="L19" i="28"/>
  <c r="L18" i="28"/>
  <c r="L17" i="28"/>
  <c r="L16" i="28"/>
  <c r="L15" i="28"/>
  <c r="L14" i="28"/>
  <c r="L13" i="28"/>
  <c r="L12" i="28"/>
  <c r="L11" i="28"/>
  <c r="L10" i="28"/>
  <c r="L9" i="28"/>
  <c r="L8" i="28"/>
  <c r="Q83" i="28"/>
  <c r="Q82" i="28"/>
  <c r="Q80" i="28"/>
  <c r="Q45" i="28"/>
  <c r="V83" i="28"/>
  <c r="V82" i="28"/>
  <c r="V81" i="28"/>
  <c r="V80" i="28"/>
  <c r="V79" i="28"/>
  <c r="AA83" i="28"/>
  <c r="AA82" i="28"/>
  <c r="AA81" i="28"/>
  <c r="AA80" i="28"/>
  <c r="AA79" i="28"/>
  <c r="AA45" i="28"/>
  <c r="AF83" i="28"/>
  <c r="AF82" i="28"/>
  <c r="AF81" i="28"/>
  <c r="AF80" i="28"/>
  <c r="AF79" i="28"/>
  <c r="AF45" i="28"/>
  <c r="AK83" i="28"/>
  <c r="AK82" i="28"/>
  <c r="AK80" i="28"/>
  <c r="T58" i="41"/>
  <c r="T71" i="41" l="1"/>
  <c r="P109" i="41"/>
  <c r="T109" i="41"/>
  <c r="L79" i="28"/>
  <c r="L82" i="28"/>
  <c r="L83" i="28"/>
  <c r="L45" i="28"/>
  <c r="L81" i="28"/>
  <c r="L80" i="28"/>
  <c r="AP26" i="27"/>
  <c r="AP27" i="27"/>
  <c r="M109" i="41"/>
  <c r="Q109" i="41" s="1"/>
  <c r="S59" i="41"/>
  <c r="S109" i="41"/>
  <c r="S73" i="41"/>
  <c r="L173" i="27"/>
  <c r="L177" i="27"/>
  <c r="L181" i="27"/>
  <c r="L174" i="27"/>
  <c r="L178" i="27"/>
  <c r="L175" i="27"/>
  <c r="L179" i="27"/>
  <c r="L176" i="27"/>
  <c r="L180" i="27"/>
  <c r="L170" i="27"/>
  <c r="L161" i="27"/>
  <c r="L165" i="27"/>
  <c r="L163" i="27"/>
  <c r="L162" i="27"/>
  <c r="L166" i="27"/>
  <c r="L164" i="27"/>
  <c r="L156" i="27"/>
  <c r="L157" i="27"/>
  <c r="L154" i="27"/>
  <c r="L158" i="27"/>
  <c r="L109" i="27"/>
  <c r="L149" i="27"/>
  <c r="L155" i="27"/>
  <c r="L151" i="27"/>
  <c r="L148" i="27"/>
  <c r="L152" i="27"/>
  <c r="L150" i="27"/>
  <c r="L144" i="27"/>
  <c r="L141" i="27"/>
  <c r="L145" i="27"/>
  <c r="L142" i="27"/>
  <c r="L143" i="27"/>
  <c r="L136" i="27"/>
  <c r="L135" i="27"/>
  <c r="L139" i="27"/>
  <c r="L137" i="27"/>
  <c r="L138" i="27"/>
  <c r="L122" i="27"/>
  <c r="L126" i="27"/>
  <c r="L130" i="27"/>
  <c r="L123" i="27"/>
  <c r="L127" i="27"/>
  <c r="L131" i="27"/>
  <c r="L124" i="27"/>
  <c r="L128" i="27"/>
  <c r="L132" i="27"/>
  <c r="L121" i="27"/>
  <c r="L125" i="27"/>
  <c r="L129" i="27"/>
  <c r="L133" i="27"/>
  <c r="L115" i="27"/>
  <c r="L103" i="27"/>
  <c r="L116" i="27"/>
  <c r="L117" i="27"/>
  <c r="L114" i="27"/>
  <c r="L118" i="27"/>
  <c r="L108" i="27"/>
  <c r="L112" i="27"/>
  <c r="L111" i="27"/>
  <c r="L110" i="27"/>
  <c r="L106" i="27"/>
  <c r="L104" i="27"/>
  <c r="L102" i="27"/>
  <c r="L105" i="27"/>
  <c r="L95" i="27"/>
  <c r="L92" i="27"/>
  <c r="L96" i="27"/>
  <c r="L93" i="27"/>
  <c r="L97" i="27"/>
  <c r="L94" i="27"/>
  <c r="L98" i="27"/>
  <c r="L89" i="27"/>
  <c r="L87" i="27"/>
  <c r="L86" i="27"/>
  <c r="L90" i="27"/>
  <c r="L88" i="27"/>
  <c r="L83" i="27"/>
  <c r="L84" i="27"/>
  <c r="L81" i="27"/>
  <c r="L79" i="27"/>
  <c r="L77" i="27"/>
  <c r="L74" i="27"/>
  <c r="L75" i="27"/>
  <c r="L76" i="27"/>
  <c r="L69" i="27"/>
  <c r="L68" i="27"/>
  <c r="L70" i="27"/>
  <c r="L67" i="27"/>
  <c r="L71" i="27"/>
  <c r="L65" i="27"/>
  <c r="L63" i="27"/>
  <c r="L62" i="27"/>
  <c r="L59" i="27"/>
  <c r="L64" i="27"/>
  <c r="L60" i="27"/>
  <c r="L58" i="27"/>
  <c r="L51" i="27"/>
  <c r="L56" i="27"/>
  <c r="L50" i="27"/>
  <c r="L52" i="27"/>
  <c r="L54" i="27"/>
  <c r="L53" i="27"/>
  <c r="L46" i="27"/>
  <c r="L47" i="27"/>
  <c r="L48" i="27"/>
  <c r="L42" i="27"/>
  <c r="L39" i="27"/>
  <c r="L43" i="27"/>
  <c r="L40" i="27"/>
  <c r="L44" i="27"/>
  <c r="L41" i="27"/>
  <c r="L36" i="27"/>
  <c r="L33" i="27"/>
  <c r="L37" i="27"/>
  <c r="L34" i="27"/>
  <c r="L35" i="27"/>
  <c r="R63" i="41"/>
  <c r="R62" i="41"/>
  <c r="R61" i="41"/>
  <c r="R54" i="41"/>
  <c r="Q27" i="41"/>
  <c r="N139" i="41"/>
  <c r="N138" i="41"/>
  <c r="N135" i="41"/>
  <c r="N134" i="41"/>
  <c r="N133" i="41"/>
  <c r="N132" i="41"/>
  <c r="N130" i="41"/>
  <c r="N129" i="41"/>
  <c r="N128" i="41"/>
  <c r="N127" i="41"/>
  <c r="N126" i="41"/>
  <c r="N125" i="41"/>
  <c r="N124" i="41"/>
  <c r="N123" i="41"/>
  <c r="N122" i="41"/>
  <c r="N121" i="41"/>
  <c r="N120" i="41"/>
  <c r="N119" i="41"/>
  <c r="N118" i="41"/>
  <c r="N117" i="41"/>
  <c r="N116" i="41"/>
  <c r="N115" i="41"/>
  <c r="N113" i="41"/>
  <c r="N112" i="41"/>
  <c r="N111" i="41"/>
  <c r="N108" i="41"/>
  <c r="N107" i="41"/>
  <c r="N106" i="41"/>
  <c r="N103" i="41"/>
  <c r="N102" i="41"/>
  <c r="N101" i="41"/>
  <c r="N100" i="41"/>
  <c r="N99" i="41"/>
  <c r="N98" i="41"/>
  <c r="N97" i="41"/>
  <c r="N96" i="41"/>
  <c r="N95" i="41"/>
  <c r="N94" i="41"/>
  <c r="N93" i="41"/>
  <c r="N92" i="41"/>
  <c r="N91" i="41"/>
  <c r="N90" i="41"/>
  <c r="N89" i="41"/>
  <c r="N88" i="41"/>
  <c r="N87" i="41"/>
  <c r="N86" i="41"/>
  <c r="N85" i="41"/>
  <c r="N84" i="41"/>
  <c r="N83" i="41"/>
  <c r="N82" i="41"/>
  <c r="N80" i="41"/>
  <c r="N79" i="41"/>
  <c r="N78" i="41"/>
  <c r="N77" i="41"/>
  <c r="N76" i="41"/>
  <c r="N75" i="41"/>
  <c r="N74" i="41"/>
  <c r="N73" i="41"/>
  <c r="N71" i="41"/>
  <c r="N70" i="41"/>
  <c r="N69" i="41"/>
  <c r="N68" i="41"/>
  <c r="N67" i="41"/>
  <c r="N65" i="41"/>
  <c r="N63" i="41"/>
  <c r="N62" i="41"/>
  <c r="N61" i="41"/>
  <c r="N60" i="41"/>
  <c r="N59" i="41"/>
  <c r="N58" i="41"/>
  <c r="N57" i="41"/>
  <c r="N56" i="41"/>
  <c r="N55" i="41"/>
  <c r="N54" i="41"/>
  <c r="N52" i="41"/>
  <c r="N51" i="41"/>
  <c r="N48" i="41"/>
  <c r="N49" i="41"/>
  <c r="N46" i="41"/>
  <c r="N45" i="41"/>
  <c r="N43" i="41"/>
  <c r="N42" i="41"/>
  <c r="N41" i="41"/>
  <c r="N40" i="41"/>
  <c r="N39" i="41"/>
  <c r="N38" i="41"/>
  <c r="N35" i="41"/>
  <c r="N34" i="41"/>
  <c r="N32" i="41"/>
  <c r="N31" i="41"/>
  <c r="N30" i="41"/>
  <c r="N28" i="41"/>
  <c r="N27" i="41"/>
  <c r="N26" i="41"/>
  <c r="N25" i="41"/>
  <c r="N24" i="41"/>
  <c r="N23" i="41"/>
  <c r="N22" i="41"/>
  <c r="N21" i="41"/>
  <c r="N20" i="41"/>
  <c r="N19" i="41"/>
  <c r="N18" i="41"/>
  <c r="N17" i="41"/>
  <c r="N16" i="41"/>
  <c r="N15" i="41"/>
  <c r="N14" i="41"/>
  <c r="N13" i="41"/>
  <c r="N12" i="41"/>
  <c r="N11" i="41"/>
  <c r="N10" i="41"/>
  <c r="N9" i="41"/>
  <c r="N8" i="41"/>
  <c r="N7" i="41"/>
  <c r="N6" i="41"/>
  <c r="N5" i="41"/>
  <c r="N4" i="41"/>
  <c r="N3" i="41"/>
  <c r="N2" i="41"/>
  <c r="I15" i="41" l="1"/>
  <c r="I16" i="41"/>
  <c r="H68" i="40" l="1"/>
  <c r="J68" i="41" s="1"/>
  <c r="H67" i="40"/>
  <c r="J67" i="41" s="1"/>
  <c r="H66" i="40"/>
  <c r="J66" i="41" s="1"/>
  <c r="H65" i="40"/>
  <c r="J65" i="41" s="1"/>
  <c r="H64" i="40"/>
  <c r="J64" i="41" s="1"/>
  <c r="H63" i="40"/>
  <c r="J63" i="41" s="1"/>
  <c r="H62" i="40"/>
  <c r="J62" i="41" s="1"/>
  <c r="U62" i="41" s="1"/>
  <c r="H61" i="40"/>
  <c r="J61" i="41" s="1"/>
  <c r="H60" i="40"/>
  <c r="J60" i="41" s="1"/>
  <c r="H59" i="40"/>
  <c r="J59" i="41" s="1"/>
  <c r="H58" i="40"/>
  <c r="J58" i="41" s="1"/>
  <c r="H57" i="40"/>
  <c r="J57" i="41" s="1"/>
  <c r="H56" i="40"/>
  <c r="J56" i="41" s="1"/>
  <c r="C61" i="41"/>
  <c r="C62" i="41"/>
  <c r="I139" i="41"/>
  <c r="I138" i="41"/>
  <c r="I137" i="41"/>
  <c r="I136" i="41"/>
  <c r="I135" i="41"/>
  <c r="I134" i="41"/>
  <c r="I133" i="41"/>
  <c r="I132" i="41"/>
  <c r="I131" i="41"/>
  <c r="I130" i="41"/>
  <c r="I129" i="41"/>
  <c r="I128" i="41"/>
  <c r="I127" i="41"/>
  <c r="I126" i="41"/>
  <c r="I125" i="41"/>
  <c r="I124" i="41"/>
  <c r="I123" i="41"/>
  <c r="I122" i="41"/>
  <c r="I121" i="41"/>
  <c r="I120" i="41"/>
  <c r="I119" i="41"/>
  <c r="I118" i="41"/>
  <c r="I117" i="41"/>
  <c r="I116" i="41"/>
  <c r="I115" i="41"/>
  <c r="I114" i="41"/>
  <c r="I113" i="41"/>
  <c r="I112" i="41"/>
  <c r="I111" i="41"/>
  <c r="I110" i="41"/>
  <c r="I109" i="41"/>
  <c r="I108" i="41"/>
  <c r="I107" i="41"/>
  <c r="I106" i="41"/>
  <c r="I105" i="41"/>
  <c r="I104" i="41"/>
  <c r="I103" i="41"/>
  <c r="I102" i="41"/>
  <c r="I101" i="41"/>
  <c r="I100" i="41"/>
  <c r="I99" i="41"/>
  <c r="I98" i="41"/>
  <c r="I97" i="41"/>
  <c r="I96" i="41"/>
  <c r="I95" i="41"/>
  <c r="I94" i="41"/>
  <c r="I93" i="41"/>
  <c r="I92" i="41"/>
  <c r="I91" i="41"/>
  <c r="I90" i="41"/>
  <c r="I89" i="41"/>
  <c r="I88" i="41"/>
  <c r="I87" i="41"/>
  <c r="I86" i="41"/>
  <c r="I85" i="41"/>
  <c r="I84" i="41"/>
  <c r="I83" i="41"/>
  <c r="I82" i="41"/>
  <c r="I81" i="41"/>
  <c r="I80" i="41"/>
  <c r="I79" i="41"/>
  <c r="I78" i="41"/>
  <c r="I77" i="41"/>
  <c r="I76" i="41"/>
  <c r="I75" i="41"/>
  <c r="I74" i="41"/>
  <c r="I73" i="41"/>
  <c r="I72" i="41"/>
  <c r="I71" i="41"/>
  <c r="I70" i="41"/>
  <c r="I69" i="41"/>
  <c r="I68" i="41"/>
  <c r="I67" i="41"/>
  <c r="I66" i="41"/>
  <c r="I65" i="41"/>
  <c r="I64" i="41"/>
  <c r="I63" i="41"/>
  <c r="I62" i="41"/>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4" i="41"/>
  <c r="I13" i="41"/>
  <c r="I12" i="41"/>
  <c r="I11" i="41"/>
  <c r="I10" i="41"/>
  <c r="I9" i="41"/>
  <c r="I8" i="41"/>
  <c r="I7" i="41"/>
  <c r="I6" i="41"/>
  <c r="I5" i="41"/>
  <c r="I4" i="41"/>
  <c r="I3" i="41"/>
  <c r="I2" i="41"/>
  <c r="C63" i="41"/>
  <c r="A2" i="41"/>
  <c r="S63" i="41" l="1"/>
  <c r="T63" i="41"/>
  <c r="T62" i="41"/>
  <c r="S62" i="41"/>
  <c r="T61" i="41"/>
  <c r="S61" i="41"/>
  <c r="K57" i="41"/>
  <c r="U57" i="41"/>
  <c r="K59" i="41"/>
  <c r="U59" i="41"/>
  <c r="K63" i="41"/>
  <c r="U63" i="41"/>
  <c r="K61" i="41"/>
  <c r="U61" i="41"/>
  <c r="K58" i="41"/>
  <c r="U58" i="41"/>
  <c r="K56" i="41"/>
  <c r="U56" i="41"/>
  <c r="L60" i="41"/>
  <c r="U60" i="41"/>
  <c r="L68" i="41"/>
  <c r="U68" i="41"/>
  <c r="L57" i="41"/>
  <c r="L61" i="41"/>
  <c r="K64" i="41"/>
  <c r="K68" i="41"/>
  <c r="K67" i="41"/>
  <c r="K62" i="41"/>
  <c r="L62" i="41"/>
  <c r="K66" i="41"/>
  <c r="K65" i="41"/>
  <c r="L63" i="41"/>
  <c r="L59" i="41"/>
  <c r="L58" i="41"/>
  <c r="L56" i="41"/>
  <c r="K60" i="41"/>
  <c r="A62" i="40" l="1"/>
  <c r="A62" i="41" s="1"/>
  <c r="A61" i="40"/>
  <c r="A61" i="41" s="1"/>
  <c r="A36" i="40"/>
  <c r="A36" i="41" s="1"/>
  <c r="W182" i="20" l="1"/>
  <c r="BL181" i="20"/>
  <c r="X181" i="20"/>
  <c r="W180" i="20"/>
  <c r="BL165" i="20"/>
  <c r="BL163" i="20"/>
  <c r="BL162" i="20"/>
  <c r="AR166" i="20"/>
  <c r="AR165" i="20"/>
  <c r="AR164" i="20"/>
  <c r="AR163" i="20"/>
  <c r="AR162" i="20"/>
  <c r="X166" i="20"/>
  <c r="X165" i="20"/>
  <c r="X163" i="20"/>
  <c r="X164" i="20"/>
  <c r="W167" i="20"/>
  <c r="X162" i="20"/>
  <c r="X146" i="20"/>
  <c r="X145" i="20"/>
  <c r="X144" i="20"/>
  <c r="X143" i="20"/>
  <c r="W142" i="20"/>
  <c r="AR138" i="20"/>
  <c r="AR136" i="20"/>
  <c r="W134" i="20"/>
  <c r="W133" i="20"/>
  <c r="W132" i="20"/>
  <c r="W131" i="20"/>
  <c r="W130" i="20"/>
  <c r="W129" i="20"/>
  <c r="W128" i="20"/>
  <c r="W127" i="20"/>
  <c r="W126" i="20"/>
  <c r="W125" i="20"/>
  <c r="W124" i="20"/>
  <c r="W123" i="20"/>
  <c r="W122" i="20"/>
  <c r="CF119" i="20"/>
  <c r="CF118" i="20"/>
  <c r="CF117" i="20"/>
  <c r="CF116" i="20"/>
  <c r="CF115" i="20"/>
  <c r="BL119" i="20"/>
  <c r="BL118" i="20"/>
  <c r="BL117" i="20"/>
  <c r="BL116" i="20"/>
  <c r="BL115" i="20"/>
  <c r="X119" i="20"/>
  <c r="X118" i="20"/>
  <c r="X117" i="20"/>
  <c r="X116" i="20"/>
  <c r="X115" i="20"/>
  <c r="AR119" i="20"/>
  <c r="AR118" i="20"/>
  <c r="AR117" i="20"/>
  <c r="AR116" i="20"/>
  <c r="AR115" i="20"/>
  <c r="X110" i="20"/>
  <c r="AR110" i="20"/>
  <c r="AR111" i="20"/>
  <c r="X111" i="20"/>
  <c r="AR109" i="20"/>
  <c r="X109" i="20"/>
  <c r="X112" i="20"/>
  <c r="AR112" i="20"/>
  <c r="X104" i="20" l="1"/>
  <c r="X106" i="20"/>
  <c r="AR106" i="20"/>
  <c r="X103" i="20"/>
  <c r="AR103" i="20"/>
  <c r="X105" i="20"/>
  <c r="AR105" i="20"/>
  <c r="X107" i="20"/>
  <c r="AR107" i="20"/>
  <c r="AR98" i="20"/>
  <c r="W99" i="20"/>
  <c r="W97" i="20"/>
  <c r="X98" i="20"/>
  <c r="W95" i="20"/>
  <c r="AR96" i="20"/>
  <c r="X87" i="20"/>
  <c r="W85" i="20"/>
  <c r="W84" i="20"/>
  <c r="W71" i="20"/>
  <c r="X72" i="20"/>
  <c r="AR72" i="20"/>
  <c r="X68" i="20"/>
  <c r="AR68" i="20"/>
  <c r="X69" i="20"/>
  <c r="AR69" i="20"/>
  <c r="X70" i="20"/>
  <c r="AR70" i="20"/>
  <c r="X66" i="20"/>
  <c r="X57" i="20"/>
  <c r="AR57" i="20"/>
  <c r="DQ54" i="20"/>
  <c r="AR55" i="20"/>
  <c r="X55" i="20"/>
  <c r="EF55" i="20"/>
  <c r="EF54" i="20"/>
  <c r="EF53" i="20"/>
  <c r="EF52" i="20"/>
  <c r="EF51" i="20"/>
  <c r="EM182" i="20"/>
  <c r="EL182" i="20"/>
  <c r="EK182" i="20"/>
  <c r="EJ182" i="20"/>
  <c r="EI182" i="20"/>
  <c r="EH182" i="20"/>
  <c r="EG182" i="20"/>
  <c r="EM181" i="20"/>
  <c r="EL181" i="20"/>
  <c r="EK181" i="20"/>
  <c r="EJ181" i="20"/>
  <c r="EI181" i="20"/>
  <c r="EH181" i="20"/>
  <c r="EG181" i="20"/>
  <c r="EM180" i="20"/>
  <c r="EL180" i="20"/>
  <c r="EK180" i="20"/>
  <c r="EJ180" i="20"/>
  <c r="EI180" i="20"/>
  <c r="EH180" i="20"/>
  <c r="EG180" i="20"/>
  <c r="EM179" i="20"/>
  <c r="EL179" i="20"/>
  <c r="EK179" i="20"/>
  <c r="EJ179" i="20"/>
  <c r="EI179" i="20"/>
  <c r="EH179" i="20"/>
  <c r="EG179" i="20"/>
  <c r="EM178" i="20"/>
  <c r="EL178" i="20"/>
  <c r="EK178" i="20"/>
  <c r="EJ178" i="20"/>
  <c r="EI178" i="20"/>
  <c r="EH178" i="20"/>
  <c r="EG178" i="20"/>
  <c r="EM177" i="20"/>
  <c r="EL177" i="20"/>
  <c r="EK177" i="20"/>
  <c r="EJ177" i="20"/>
  <c r="EI177" i="20"/>
  <c r="EH177" i="20"/>
  <c r="EG177" i="20"/>
  <c r="EM176" i="20"/>
  <c r="EL176" i="20"/>
  <c r="EK176" i="20"/>
  <c r="EJ176" i="20"/>
  <c r="EI176" i="20"/>
  <c r="EH176" i="20"/>
  <c r="EG176" i="20"/>
  <c r="EM175" i="20"/>
  <c r="EL175" i="20"/>
  <c r="EK175" i="20"/>
  <c r="EJ175" i="20"/>
  <c r="EI175" i="20"/>
  <c r="EH175" i="20"/>
  <c r="EG175" i="20"/>
  <c r="EM174" i="20"/>
  <c r="EL174" i="20"/>
  <c r="EK174" i="20"/>
  <c r="EJ174" i="20"/>
  <c r="EI174" i="20"/>
  <c r="EH174" i="20"/>
  <c r="EG174" i="20"/>
  <c r="EM171" i="20"/>
  <c r="EL171" i="20"/>
  <c r="EK171" i="20"/>
  <c r="EJ171" i="20"/>
  <c r="EI171" i="20"/>
  <c r="EH171" i="20"/>
  <c r="EG171" i="20"/>
  <c r="EM167" i="20"/>
  <c r="EL167" i="20"/>
  <c r="EK167" i="20"/>
  <c r="EJ167" i="20"/>
  <c r="EI167" i="20"/>
  <c r="EH167" i="20"/>
  <c r="EG167" i="20"/>
  <c r="EM166" i="20"/>
  <c r="EL166" i="20"/>
  <c r="EK166" i="20"/>
  <c r="EJ166" i="20"/>
  <c r="EI166" i="20"/>
  <c r="EH166" i="20"/>
  <c r="EG166" i="20"/>
  <c r="EM165" i="20"/>
  <c r="EL165" i="20"/>
  <c r="EK165" i="20"/>
  <c r="EJ165" i="20"/>
  <c r="EI165" i="20"/>
  <c r="EH165" i="20"/>
  <c r="EG165" i="20"/>
  <c r="EM164" i="20"/>
  <c r="EL164" i="20"/>
  <c r="EK164" i="20"/>
  <c r="EJ164" i="20"/>
  <c r="EI164" i="20"/>
  <c r="EH164" i="20"/>
  <c r="EG164" i="20"/>
  <c r="EM163" i="20"/>
  <c r="EL163" i="20"/>
  <c r="EK163" i="20"/>
  <c r="EJ163" i="20"/>
  <c r="EI163" i="20"/>
  <c r="EH163" i="20"/>
  <c r="EG163" i="20"/>
  <c r="EM162" i="20"/>
  <c r="EL162" i="20"/>
  <c r="EK162" i="20"/>
  <c r="EJ162" i="20"/>
  <c r="EI162" i="20"/>
  <c r="EH162" i="20"/>
  <c r="EG162" i="20"/>
  <c r="EM159" i="20"/>
  <c r="EL159" i="20"/>
  <c r="EK159" i="20"/>
  <c r="EJ159" i="20"/>
  <c r="EI159" i="20"/>
  <c r="EH159" i="20"/>
  <c r="EG159" i="20"/>
  <c r="EM158" i="20"/>
  <c r="EL158" i="20"/>
  <c r="EK158" i="20"/>
  <c r="EJ158" i="20"/>
  <c r="EI158" i="20"/>
  <c r="EH158" i="20"/>
  <c r="EG158" i="20"/>
  <c r="EM157" i="20"/>
  <c r="EL157" i="20"/>
  <c r="EK157" i="20"/>
  <c r="EJ157" i="20"/>
  <c r="EI157" i="20"/>
  <c r="EH157" i="20"/>
  <c r="EG157" i="20"/>
  <c r="EM156" i="20"/>
  <c r="EL156" i="20"/>
  <c r="EK156" i="20"/>
  <c r="EJ156" i="20"/>
  <c r="EI156" i="20"/>
  <c r="EH156" i="20"/>
  <c r="EG156" i="20"/>
  <c r="EM155" i="20"/>
  <c r="EL155" i="20"/>
  <c r="EK155" i="20"/>
  <c r="EJ155" i="20"/>
  <c r="EI155" i="20"/>
  <c r="EH155" i="20"/>
  <c r="EG155" i="20"/>
  <c r="EM153" i="20"/>
  <c r="EL153" i="20"/>
  <c r="EK153" i="20"/>
  <c r="EJ153" i="20"/>
  <c r="EI153" i="20"/>
  <c r="EH153" i="20"/>
  <c r="EG153" i="20"/>
  <c r="EM152" i="20"/>
  <c r="EL152" i="20"/>
  <c r="EK152" i="20"/>
  <c r="EJ152" i="20"/>
  <c r="EI152" i="20"/>
  <c r="EH152" i="20"/>
  <c r="EG152" i="20"/>
  <c r="EM151" i="20"/>
  <c r="EL151" i="20"/>
  <c r="EK151" i="20"/>
  <c r="EJ151" i="20"/>
  <c r="EI151" i="20"/>
  <c r="EH151" i="20"/>
  <c r="EG151" i="20"/>
  <c r="EM150" i="20"/>
  <c r="EL150" i="20"/>
  <c r="EK150" i="20"/>
  <c r="EJ150" i="20"/>
  <c r="EI150" i="20"/>
  <c r="EH150" i="20"/>
  <c r="EG150" i="20"/>
  <c r="EM149" i="20"/>
  <c r="EL149" i="20"/>
  <c r="EK149" i="20"/>
  <c r="EJ149" i="20"/>
  <c r="EI149" i="20"/>
  <c r="EH149" i="20"/>
  <c r="EG149" i="20"/>
  <c r="EM146" i="20"/>
  <c r="EL146" i="20"/>
  <c r="EK146" i="20"/>
  <c r="EJ146" i="20"/>
  <c r="EI146" i="20"/>
  <c r="EH146" i="20"/>
  <c r="EG146" i="20"/>
  <c r="EM145" i="20"/>
  <c r="EL145" i="20"/>
  <c r="EK145" i="20"/>
  <c r="EJ145" i="20"/>
  <c r="EI145" i="20"/>
  <c r="EH145" i="20"/>
  <c r="EG145" i="20"/>
  <c r="EM144" i="20"/>
  <c r="EL144" i="20"/>
  <c r="EK144" i="20"/>
  <c r="EJ144" i="20"/>
  <c r="EI144" i="20"/>
  <c r="EH144" i="20"/>
  <c r="EG144" i="20"/>
  <c r="EM143" i="20"/>
  <c r="EL143" i="20"/>
  <c r="EK143" i="20"/>
  <c r="EJ143" i="20"/>
  <c r="EI143" i="20"/>
  <c r="EH143" i="20"/>
  <c r="EG143" i="20"/>
  <c r="EM142" i="20"/>
  <c r="EL142" i="20"/>
  <c r="EK142" i="20"/>
  <c r="EJ142" i="20"/>
  <c r="EI142" i="20"/>
  <c r="EH142" i="20"/>
  <c r="EG142" i="20"/>
  <c r="EM140" i="20"/>
  <c r="EL140" i="20"/>
  <c r="EK140" i="20"/>
  <c r="EJ140" i="20"/>
  <c r="EI140" i="20"/>
  <c r="EH140" i="20"/>
  <c r="EG140" i="20"/>
  <c r="EM139" i="20"/>
  <c r="EL139" i="20"/>
  <c r="EK139" i="20"/>
  <c r="EJ139" i="20"/>
  <c r="EI139" i="20"/>
  <c r="EH139" i="20"/>
  <c r="EG139" i="20"/>
  <c r="EM138" i="20"/>
  <c r="EL138" i="20"/>
  <c r="EK138" i="20"/>
  <c r="EJ138" i="20"/>
  <c r="EI138" i="20"/>
  <c r="EH138" i="20"/>
  <c r="EG138" i="20"/>
  <c r="EM137" i="20"/>
  <c r="EL137" i="20"/>
  <c r="EK137" i="20"/>
  <c r="EJ137" i="20"/>
  <c r="EI137" i="20"/>
  <c r="EH137" i="20"/>
  <c r="EG137" i="20"/>
  <c r="EM136" i="20"/>
  <c r="EL136" i="20"/>
  <c r="EK136" i="20"/>
  <c r="EJ136" i="20"/>
  <c r="EI136" i="20"/>
  <c r="EH136" i="20"/>
  <c r="EG136" i="20"/>
  <c r="EM134" i="20"/>
  <c r="EL134" i="20"/>
  <c r="EK134" i="20"/>
  <c r="EJ134" i="20"/>
  <c r="EI134" i="20"/>
  <c r="EH134" i="20"/>
  <c r="EG134" i="20"/>
  <c r="EM133" i="20"/>
  <c r="EL133" i="20"/>
  <c r="EK133" i="20"/>
  <c r="EJ133" i="20"/>
  <c r="EI133" i="20"/>
  <c r="EH133" i="20"/>
  <c r="EG133" i="20"/>
  <c r="EM132" i="20"/>
  <c r="EL132" i="20"/>
  <c r="EK132" i="20"/>
  <c r="EJ132" i="20"/>
  <c r="EI132" i="20"/>
  <c r="EH132" i="20"/>
  <c r="EG132" i="20"/>
  <c r="EM131" i="20"/>
  <c r="EL131" i="20"/>
  <c r="EK131" i="20"/>
  <c r="EJ131" i="20"/>
  <c r="EI131" i="20"/>
  <c r="EH131" i="20"/>
  <c r="EG131" i="20"/>
  <c r="EM130" i="20"/>
  <c r="EL130" i="20"/>
  <c r="EK130" i="20"/>
  <c r="EJ130" i="20"/>
  <c r="EI130" i="20"/>
  <c r="EH130" i="20"/>
  <c r="EG130" i="20"/>
  <c r="EM129" i="20"/>
  <c r="EL129" i="20"/>
  <c r="EK129" i="20"/>
  <c r="EJ129" i="20"/>
  <c r="EI129" i="20"/>
  <c r="EH129" i="20"/>
  <c r="EG129" i="20"/>
  <c r="EM128" i="20"/>
  <c r="EL128" i="20"/>
  <c r="EK128" i="20"/>
  <c r="EJ128" i="20"/>
  <c r="EI128" i="20"/>
  <c r="EH128" i="20"/>
  <c r="EG128" i="20"/>
  <c r="EM127" i="20"/>
  <c r="EL127" i="20"/>
  <c r="EK127" i="20"/>
  <c r="EJ127" i="20"/>
  <c r="EI127" i="20"/>
  <c r="EH127" i="20"/>
  <c r="EG127" i="20"/>
  <c r="EM126" i="20"/>
  <c r="EL126" i="20"/>
  <c r="EK126" i="20"/>
  <c r="EJ126" i="20"/>
  <c r="EI126" i="20"/>
  <c r="EH126" i="20"/>
  <c r="EG126" i="20"/>
  <c r="EM125" i="20"/>
  <c r="EL125" i="20"/>
  <c r="EK125" i="20"/>
  <c r="EJ125" i="20"/>
  <c r="EI125" i="20"/>
  <c r="EH125" i="20"/>
  <c r="EG125" i="20"/>
  <c r="EM124" i="20"/>
  <c r="EL124" i="20"/>
  <c r="EK124" i="20"/>
  <c r="EJ124" i="20"/>
  <c r="EI124" i="20"/>
  <c r="EH124" i="20"/>
  <c r="EG124" i="20"/>
  <c r="EM123" i="20"/>
  <c r="EL123" i="20"/>
  <c r="EK123" i="20"/>
  <c r="EJ123" i="20"/>
  <c r="EI123" i="20"/>
  <c r="EH123" i="20"/>
  <c r="EG123" i="20"/>
  <c r="EM122" i="20"/>
  <c r="EL122" i="20"/>
  <c r="EK122" i="20"/>
  <c r="EJ122" i="20"/>
  <c r="EI122" i="20"/>
  <c r="EH122" i="20"/>
  <c r="EG122" i="20"/>
  <c r="EM119" i="20"/>
  <c r="EL119" i="20"/>
  <c r="EK119" i="20"/>
  <c r="EJ119" i="20"/>
  <c r="EI119" i="20"/>
  <c r="EH119" i="20"/>
  <c r="EG119" i="20"/>
  <c r="EM118" i="20"/>
  <c r="EL118" i="20"/>
  <c r="EK118" i="20"/>
  <c r="EJ118" i="20"/>
  <c r="EI118" i="20"/>
  <c r="EH118" i="20"/>
  <c r="EG118" i="20"/>
  <c r="EM117" i="20"/>
  <c r="EL117" i="20"/>
  <c r="EK117" i="20"/>
  <c r="EJ117" i="20"/>
  <c r="EI117" i="20"/>
  <c r="EH117" i="20"/>
  <c r="EG117" i="20"/>
  <c r="EM116" i="20"/>
  <c r="EL116" i="20"/>
  <c r="EK116" i="20"/>
  <c r="EJ116" i="20"/>
  <c r="EI116" i="20"/>
  <c r="EH116" i="20"/>
  <c r="EG116" i="20"/>
  <c r="EM115" i="20"/>
  <c r="EL115" i="20"/>
  <c r="EK115" i="20"/>
  <c r="EJ115" i="20"/>
  <c r="EI115" i="20"/>
  <c r="EH115" i="20"/>
  <c r="EG115" i="20"/>
  <c r="EM113" i="20"/>
  <c r="EL113" i="20"/>
  <c r="EK113" i="20"/>
  <c r="EJ113" i="20"/>
  <c r="EI113" i="20"/>
  <c r="EH113" i="20"/>
  <c r="EG113" i="20"/>
  <c r="EM112" i="20"/>
  <c r="EL112" i="20"/>
  <c r="EK112" i="20"/>
  <c r="EJ112" i="20"/>
  <c r="EI112" i="20"/>
  <c r="EH112" i="20"/>
  <c r="EG112" i="20"/>
  <c r="EM111" i="20"/>
  <c r="EL111" i="20"/>
  <c r="EK111" i="20"/>
  <c r="EJ111" i="20"/>
  <c r="EI111" i="20"/>
  <c r="EH111" i="20"/>
  <c r="EG111" i="20"/>
  <c r="EM110" i="20"/>
  <c r="EL110" i="20"/>
  <c r="EK110" i="20"/>
  <c r="EJ110" i="20"/>
  <c r="EI110" i="20"/>
  <c r="EH110" i="20"/>
  <c r="EG110" i="20"/>
  <c r="EM109" i="20"/>
  <c r="EL109" i="20"/>
  <c r="EK109" i="20"/>
  <c r="EJ109" i="20"/>
  <c r="EI109" i="20"/>
  <c r="EH109" i="20"/>
  <c r="EG109" i="20"/>
  <c r="EM107" i="20"/>
  <c r="EL107" i="20"/>
  <c r="EK107" i="20"/>
  <c r="EJ107" i="20"/>
  <c r="EI107" i="20"/>
  <c r="EH107" i="20"/>
  <c r="EG107" i="20"/>
  <c r="EM106" i="20"/>
  <c r="EL106" i="20"/>
  <c r="EK106" i="20"/>
  <c r="EJ106" i="20"/>
  <c r="EI106" i="20"/>
  <c r="EH106" i="20"/>
  <c r="EG106" i="20"/>
  <c r="EM105" i="20"/>
  <c r="EL105" i="20"/>
  <c r="EK105" i="20"/>
  <c r="EJ105" i="20"/>
  <c r="EI105" i="20"/>
  <c r="EH105" i="20"/>
  <c r="EG105" i="20"/>
  <c r="EM104" i="20"/>
  <c r="EL104" i="20"/>
  <c r="EK104" i="20"/>
  <c r="EJ104" i="20"/>
  <c r="EI104" i="20"/>
  <c r="EH104" i="20"/>
  <c r="EG104" i="20"/>
  <c r="EM103" i="20"/>
  <c r="EL103" i="20"/>
  <c r="EK103" i="20"/>
  <c r="EJ103" i="20"/>
  <c r="EI103" i="20"/>
  <c r="EH103" i="20"/>
  <c r="EG103" i="20"/>
  <c r="EM102" i="20"/>
  <c r="EL102" i="20"/>
  <c r="EK102" i="20"/>
  <c r="EJ102" i="20"/>
  <c r="EI102" i="20"/>
  <c r="EH102" i="20"/>
  <c r="EG102" i="20"/>
  <c r="EM99" i="20"/>
  <c r="EL99" i="20"/>
  <c r="EK99" i="20"/>
  <c r="EJ99" i="20"/>
  <c r="EI99" i="20"/>
  <c r="EH99" i="20"/>
  <c r="EG99" i="20"/>
  <c r="EM98" i="20"/>
  <c r="EL98" i="20"/>
  <c r="EK98" i="20"/>
  <c r="EJ98" i="20"/>
  <c r="EI98" i="20"/>
  <c r="EH98" i="20"/>
  <c r="EG98" i="20"/>
  <c r="EM97" i="20"/>
  <c r="EL97" i="20"/>
  <c r="EK97" i="20"/>
  <c r="EJ97" i="20"/>
  <c r="EI97" i="20"/>
  <c r="EH97" i="20"/>
  <c r="EG97" i="20"/>
  <c r="EM96" i="20"/>
  <c r="EL96" i="20"/>
  <c r="EK96" i="20"/>
  <c r="EJ96" i="20"/>
  <c r="EI96" i="20"/>
  <c r="EH96" i="20"/>
  <c r="EG96" i="20"/>
  <c r="EM95" i="20"/>
  <c r="EL95" i="20"/>
  <c r="EK95" i="20"/>
  <c r="EJ95" i="20"/>
  <c r="EI95" i="20"/>
  <c r="EH95" i="20"/>
  <c r="EG95" i="20"/>
  <c r="EM94" i="20"/>
  <c r="EL94" i="20"/>
  <c r="EK94" i="20"/>
  <c r="EJ94" i="20"/>
  <c r="EI94" i="20"/>
  <c r="EH94" i="20"/>
  <c r="EG94" i="20"/>
  <c r="EM93" i="20"/>
  <c r="EL93" i="20"/>
  <c r="EK93" i="20"/>
  <c r="EJ93" i="20"/>
  <c r="EI93" i="20"/>
  <c r="EH93" i="20"/>
  <c r="EG93" i="20"/>
  <c r="EM92" i="20"/>
  <c r="EL92" i="20"/>
  <c r="EK92" i="20"/>
  <c r="EJ92" i="20"/>
  <c r="EI92" i="20"/>
  <c r="EH92" i="20"/>
  <c r="EG92" i="20"/>
  <c r="EM91" i="20"/>
  <c r="EL91" i="20"/>
  <c r="EK91" i="20"/>
  <c r="EJ91" i="20"/>
  <c r="EI91" i="20"/>
  <c r="EH91" i="20"/>
  <c r="EG91" i="20"/>
  <c r="EM90" i="20"/>
  <c r="EL90" i="20"/>
  <c r="EK90" i="20"/>
  <c r="EJ90" i="20"/>
  <c r="EI90" i="20"/>
  <c r="EH90" i="20"/>
  <c r="EG90" i="20"/>
  <c r="EM89" i="20"/>
  <c r="EL89" i="20"/>
  <c r="EK89" i="20"/>
  <c r="EJ89" i="20"/>
  <c r="EI89" i="20"/>
  <c r="EH89" i="20"/>
  <c r="EG89" i="20"/>
  <c r="EM88" i="20"/>
  <c r="EL88" i="20"/>
  <c r="EK88" i="20"/>
  <c r="EJ88" i="20"/>
  <c r="EI88" i="20"/>
  <c r="EH88" i="20"/>
  <c r="EG88" i="20"/>
  <c r="EM87" i="20"/>
  <c r="EL87" i="20"/>
  <c r="EK87" i="20"/>
  <c r="EJ87" i="20"/>
  <c r="EI87" i="20"/>
  <c r="EH87" i="20"/>
  <c r="EG87" i="20"/>
  <c r="EM83" i="20"/>
  <c r="EL83" i="20"/>
  <c r="EK83" i="20"/>
  <c r="EJ83" i="20"/>
  <c r="EI83" i="20"/>
  <c r="EH83" i="20"/>
  <c r="EG83" i="20"/>
  <c r="EM82" i="20"/>
  <c r="EL82" i="20"/>
  <c r="EK82" i="20"/>
  <c r="EJ82" i="20"/>
  <c r="EI82" i="20"/>
  <c r="EH82" i="20"/>
  <c r="EG82" i="20"/>
  <c r="EM81" i="20"/>
  <c r="EL81" i="20"/>
  <c r="EK81" i="20"/>
  <c r="EJ81" i="20"/>
  <c r="EI81" i="20"/>
  <c r="EH81" i="20"/>
  <c r="EG81" i="20"/>
  <c r="EM80" i="20"/>
  <c r="EL80" i="20"/>
  <c r="EK80" i="20"/>
  <c r="EJ80" i="20"/>
  <c r="EI80" i="20"/>
  <c r="EH80" i="20"/>
  <c r="EG80" i="20"/>
  <c r="EM79" i="20"/>
  <c r="EM78" i="20"/>
  <c r="EL78" i="20"/>
  <c r="EK78" i="20"/>
  <c r="EJ78" i="20"/>
  <c r="EI78" i="20"/>
  <c r="EH78" i="20"/>
  <c r="EG78" i="20"/>
  <c r="EM77" i="20"/>
  <c r="EL77" i="20"/>
  <c r="EK77" i="20"/>
  <c r="EJ77" i="20"/>
  <c r="EI77" i="20"/>
  <c r="EH77" i="20"/>
  <c r="EG77" i="20"/>
  <c r="EM76" i="20"/>
  <c r="EL76" i="20"/>
  <c r="EK76" i="20"/>
  <c r="EJ76" i="20"/>
  <c r="EI76" i="20"/>
  <c r="EH76" i="20"/>
  <c r="EG76" i="20"/>
  <c r="EM75" i="20"/>
  <c r="EL75" i="20"/>
  <c r="EK75" i="20"/>
  <c r="EJ75" i="20"/>
  <c r="EI75" i="20"/>
  <c r="EH75" i="20"/>
  <c r="EG75" i="20"/>
  <c r="EM72" i="20"/>
  <c r="EL72" i="20"/>
  <c r="EK72" i="20"/>
  <c r="EJ72" i="20"/>
  <c r="EI72" i="20"/>
  <c r="EH72" i="20"/>
  <c r="EG72" i="20"/>
  <c r="EM71" i="20"/>
  <c r="EL71" i="20"/>
  <c r="EK71" i="20"/>
  <c r="EJ71" i="20"/>
  <c r="EI71" i="20"/>
  <c r="EH71" i="20"/>
  <c r="EG71" i="20"/>
  <c r="EM70" i="20"/>
  <c r="EL70" i="20"/>
  <c r="EK70" i="20"/>
  <c r="EJ70" i="20"/>
  <c r="EI70" i="20"/>
  <c r="EH70" i="20"/>
  <c r="EG70" i="20"/>
  <c r="EM69" i="20"/>
  <c r="EL69" i="20"/>
  <c r="EK69" i="20"/>
  <c r="EJ69" i="20"/>
  <c r="EI69" i="20"/>
  <c r="EH69" i="20"/>
  <c r="EG69" i="20"/>
  <c r="EM68" i="20"/>
  <c r="EL68" i="20"/>
  <c r="EK68" i="20"/>
  <c r="EJ68" i="20"/>
  <c r="EI68" i="20"/>
  <c r="EH68" i="20"/>
  <c r="EG68" i="20"/>
  <c r="EM66" i="20"/>
  <c r="EL66" i="20"/>
  <c r="EK66" i="20"/>
  <c r="EJ66" i="20"/>
  <c r="EI66" i="20"/>
  <c r="EH66" i="20"/>
  <c r="EG66" i="20"/>
  <c r="EM65" i="20"/>
  <c r="EL65" i="20"/>
  <c r="EK65" i="20"/>
  <c r="EJ65" i="20"/>
  <c r="EI65" i="20"/>
  <c r="EH65" i="20"/>
  <c r="EG65" i="20"/>
  <c r="EM64" i="20"/>
  <c r="EL64" i="20"/>
  <c r="EK64" i="20"/>
  <c r="EJ64" i="20"/>
  <c r="EI64" i="20"/>
  <c r="EH64" i="20"/>
  <c r="EG64" i="20"/>
  <c r="EM63" i="20"/>
  <c r="EL63" i="20"/>
  <c r="EK63" i="20"/>
  <c r="EJ63" i="20"/>
  <c r="EI63" i="20"/>
  <c r="EH63" i="20"/>
  <c r="EG63" i="20"/>
  <c r="EM61" i="20"/>
  <c r="EL61" i="20"/>
  <c r="EK61" i="20"/>
  <c r="EJ61" i="20"/>
  <c r="EI61" i="20"/>
  <c r="EH61" i="20"/>
  <c r="EG61" i="20"/>
  <c r="EM60" i="20"/>
  <c r="EL60" i="20"/>
  <c r="EK60" i="20"/>
  <c r="EJ60" i="20"/>
  <c r="EI60" i="20"/>
  <c r="EH60" i="20"/>
  <c r="EG60" i="20"/>
  <c r="EM59" i="20"/>
  <c r="EL59" i="20"/>
  <c r="EK59" i="20"/>
  <c r="EJ59" i="20"/>
  <c r="EI59" i="20"/>
  <c r="EH59" i="20"/>
  <c r="EG59" i="20"/>
  <c r="EM57" i="20"/>
  <c r="EL57" i="20"/>
  <c r="EK57" i="20"/>
  <c r="EJ57" i="20"/>
  <c r="EI57" i="20"/>
  <c r="EH57" i="20"/>
  <c r="EG57" i="20"/>
  <c r="EM56" i="20"/>
  <c r="EL56" i="20"/>
  <c r="EK56" i="20"/>
  <c r="EJ56" i="20"/>
  <c r="EI56" i="20"/>
  <c r="EH56" i="20"/>
  <c r="EG56" i="20"/>
  <c r="EM55" i="20"/>
  <c r="EL55" i="20"/>
  <c r="EK55" i="20"/>
  <c r="EJ55" i="20"/>
  <c r="EI55" i="20"/>
  <c r="EH55" i="20"/>
  <c r="EG55" i="20"/>
  <c r="EM54" i="20"/>
  <c r="EL54" i="20"/>
  <c r="EK54" i="20"/>
  <c r="EJ54" i="20"/>
  <c r="EI54" i="20"/>
  <c r="EH54" i="20"/>
  <c r="EG54" i="20"/>
  <c r="EM53" i="20"/>
  <c r="EL53" i="20"/>
  <c r="EK53" i="20"/>
  <c r="EJ53" i="20"/>
  <c r="EI53" i="20"/>
  <c r="EH53" i="20"/>
  <c r="EG53" i="20"/>
  <c r="EM52" i="20"/>
  <c r="EL52" i="20"/>
  <c r="EK52" i="20"/>
  <c r="EJ52" i="20"/>
  <c r="EI52" i="20"/>
  <c r="EH52" i="20"/>
  <c r="EG52" i="20"/>
  <c r="EM51" i="20"/>
  <c r="EL51" i="20"/>
  <c r="EK51" i="20"/>
  <c r="EJ51" i="20"/>
  <c r="EI51" i="20"/>
  <c r="EH51" i="20"/>
  <c r="EG51" i="20"/>
  <c r="EM49" i="20"/>
  <c r="EL49" i="20"/>
  <c r="EK49" i="20"/>
  <c r="EJ49" i="20"/>
  <c r="EI49" i="20"/>
  <c r="EH49" i="20"/>
  <c r="EG49" i="20"/>
  <c r="EM48" i="20"/>
  <c r="EL48" i="20"/>
  <c r="EK48" i="20"/>
  <c r="EJ48" i="20"/>
  <c r="EI48" i="20"/>
  <c r="EH48" i="20"/>
  <c r="EG48" i="20"/>
  <c r="EM47" i="20"/>
  <c r="EL47" i="20"/>
  <c r="EK47" i="20"/>
  <c r="EJ47" i="20"/>
  <c r="EI47" i="20"/>
  <c r="EH47" i="20"/>
  <c r="EG47" i="20"/>
  <c r="EM45" i="20"/>
  <c r="EL45" i="20"/>
  <c r="EK45" i="20"/>
  <c r="EJ45" i="20"/>
  <c r="EI45" i="20"/>
  <c r="EH45" i="20"/>
  <c r="EG45" i="20"/>
  <c r="EM44" i="20"/>
  <c r="EL44" i="20"/>
  <c r="EK44" i="20"/>
  <c r="EJ44" i="20"/>
  <c r="EI44" i="20"/>
  <c r="EH44" i="20"/>
  <c r="EG44" i="20"/>
  <c r="EM43" i="20"/>
  <c r="EL43" i="20"/>
  <c r="EK43" i="20"/>
  <c r="EJ43" i="20"/>
  <c r="EI43" i="20"/>
  <c r="EH43" i="20"/>
  <c r="EG43" i="20"/>
  <c r="EM42" i="20"/>
  <c r="EL42" i="20"/>
  <c r="EK42" i="20"/>
  <c r="EJ42" i="20"/>
  <c r="EI42" i="20"/>
  <c r="EH42" i="20"/>
  <c r="EG42" i="20"/>
  <c r="EM41" i="20"/>
  <c r="EL41" i="20"/>
  <c r="EK41" i="20"/>
  <c r="EJ41" i="20"/>
  <c r="EI41" i="20"/>
  <c r="EH41" i="20"/>
  <c r="EG41" i="20"/>
  <c r="EM40" i="20"/>
  <c r="EL40" i="20"/>
  <c r="EK40" i="20"/>
  <c r="EJ40" i="20"/>
  <c r="EI40" i="20"/>
  <c r="EH40" i="20"/>
  <c r="EG40" i="20"/>
  <c r="EM38" i="20"/>
  <c r="EL38" i="20"/>
  <c r="EK38" i="20"/>
  <c r="EJ38" i="20"/>
  <c r="EI38" i="20"/>
  <c r="EH38" i="20"/>
  <c r="EG38" i="20"/>
  <c r="EM37" i="20"/>
  <c r="EL37" i="20"/>
  <c r="EK37" i="20"/>
  <c r="EJ37" i="20"/>
  <c r="EI37" i="20"/>
  <c r="EH37" i="20"/>
  <c r="EG37" i="20"/>
  <c r="EM36" i="20"/>
  <c r="EL36" i="20"/>
  <c r="EK36" i="20"/>
  <c r="EJ36" i="20"/>
  <c r="EI36" i="20"/>
  <c r="EH36" i="20"/>
  <c r="EG36" i="20"/>
  <c r="EM35" i="20"/>
  <c r="EL35" i="20"/>
  <c r="EK35" i="20"/>
  <c r="EJ35" i="20"/>
  <c r="EI35" i="20"/>
  <c r="EH35" i="20"/>
  <c r="EG35" i="20"/>
  <c r="EM34" i="20"/>
  <c r="EL34" i="20"/>
  <c r="EK34" i="20"/>
  <c r="EJ34" i="20"/>
  <c r="EI34" i="20"/>
  <c r="EH34" i="20"/>
  <c r="EG34" i="20"/>
  <c r="EM32" i="20"/>
  <c r="EL32" i="20"/>
  <c r="EK32" i="20"/>
  <c r="EJ32" i="20"/>
  <c r="EI32" i="20"/>
  <c r="EH32" i="20"/>
  <c r="EG32" i="20"/>
  <c r="EM31" i="20"/>
  <c r="EL31" i="20"/>
  <c r="EK31" i="20"/>
  <c r="EJ31" i="20"/>
  <c r="EI31" i="20"/>
  <c r="EH31" i="20"/>
  <c r="EG31" i="20"/>
  <c r="EM30" i="20"/>
  <c r="EL30" i="20"/>
  <c r="EK30" i="20"/>
  <c r="EJ30" i="20"/>
  <c r="EI30" i="20"/>
  <c r="EH30" i="20"/>
  <c r="EG30" i="20"/>
  <c r="EM29" i="20"/>
  <c r="EL29" i="20"/>
  <c r="EK29" i="20"/>
  <c r="EJ29" i="20"/>
  <c r="EI29" i="20"/>
  <c r="EH29" i="20"/>
  <c r="EG29" i="20"/>
  <c r="EM28" i="20"/>
  <c r="EL28" i="20"/>
  <c r="EK28" i="20"/>
  <c r="EJ28" i="20"/>
  <c r="EI28" i="20"/>
  <c r="EH28" i="20"/>
  <c r="EG28" i="20"/>
  <c r="EM27" i="20"/>
  <c r="EL27" i="20"/>
  <c r="EK27" i="20"/>
  <c r="EJ27" i="20"/>
  <c r="EI27" i="20"/>
  <c r="EH27" i="20"/>
  <c r="EG27" i="20"/>
  <c r="EM26" i="20"/>
  <c r="EL26" i="20"/>
  <c r="EK26" i="20"/>
  <c r="EJ26" i="20"/>
  <c r="EI26" i="20"/>
  <c r="EH26" i="20"/>
  <c r="EG26" i="20"/>
  <c r="EM25" i="20"/>
  <c r="EL25" i="20"/>
  <c r="EK25" i="20"/>
  <c r="EJ25" i="20"/>
  <c r="EI25" i="20"/>
  <c r="EH25" i="20"/>
  <c r="EG25" i="20"/>
  <c r="EM24" i="20"/>
  <c r="EL24" i="20"/>
  <c r="EK24" i="20"/>
  <c r="EJ24" i="20"/>
  <c r="EI24" i="20"/>
  <c r="EH24" i="20"/>
  <c r="EG24" i="20"/>
  <c r="EM23" i="20"/>
  <c r="EL23" i="20"/>
  <c r="EK23" i="20"/>
  <c r="EJ23" i="20"/>
  <c r="EI23" i="20"/>
  <c r="EH23" i="20"/>
  <c r="EG23" i="20"/>
  <c r="EM22" i="20"/>
  <c r="EL22" i="20"/>
  <c r="EK22" i="20"/>
  <c r="EJ22" i="20"/>
  <c r="EI22" i="20"/>
  <c r="EH22" i="20"/>
  <c r="EG22" i="20"/>
  <c r="EM21" i="20"/>
  <c r="EL21" i="20"/>
  <c r="EK21" i="20"/>
  <c r="EJ21" i="20"/>
  <c r="EI21" i="20"/>
  <c r="EH21" i="20"/>
  <c r="EG21" i="20"/>
  <c r="EM20" i="20"/>
  <c r="EL20" i="20"/>
  <c r="EK20" i="20"/>
  <c r="EJ20" i="20"/>
  <c r="EI20" i="20"/>
  <c r="EH20" i="20"/>
  <c r="EG20" i="20"/>
  <c r="EM19" i="20"/>
  <c r="EL19" i="20"/>
  <c r="EK19" i="20"/>
  <c r="EJ19" i="20"/>
  <c r="EI19" i="20"/>
  <c r="EH19" i="20"/>
  <c r="EG19" i="20"/>
  <c r="EM18" i="20"/>
  <c r="EL18" i="20"/>
  <c r="EK18" i="20"/>
  <c r="EJ18" i="20"/>
  <c r="EI18" i="20"/>
  <c r="EH18" i="20"/>
  <c r="EG18" i="20"/>
  <c r="EM17" i="20"/>
  <c r="EL17" i="20"/>
  <c r="EK17" i="20"/>
  <c r="EJ17" i="20"/>
  <c r="EI17" i="20"/>
  <c r="EH17" i="20"/>
  <c r="EG17" i="20"/>
  <c r="EM16" i="20"/>
  <c r="EL16" i="20"/>
  <c r="EK16" i="20"/>
  <c r="EJ16" i="20"/>
  <c r="EI16" i="20"/>
  <c r="EH16" i="20"/>
  <c r="EG16" i="20"/>
  <c r="EM15" i="20"/>
  <c r="EL15" i="20"/>
  <c r="EK15" i="20"/>
  <c r="EJ15" i="20"/>
  <c r="EI15" i="20"/>
  <c r="EH15" i="20"/>
  <c r="EG15" i="20"/>
  <c r="EM14" i="20"/>
  <c r="EL14" i="20"/>
  <c r="EK14" i="20"/>
  <c r="EJ14" i="20"/>
  <c r="EI14" i="20"/>
  <c r="EH14" i="20"/>
  <c r="EG14" i="20"/>
  <c r="EM13" i="20"/>
  <c r="EL13" i="20"/>
  <c r="EK13" i="20"/>
  <c r="EJ13" i="20"/>
  <c r="EI13" i="20"/>
  <c r="EH13" i="20"/>
  <c r="EG13" i="20"/>
  <c r="EM12" i="20"/>
  <c r="EL12" i="20"/>
  <c r="EK12" i="20"/>
  <c r="EJ12" i="20"/>
  <c r="EI12" i="20"/>
  <c r="EH12" i="20"/>
  <c r="EG12" i="20"/>
  <c r="EM11" i="20"/>
  <c r="EL11" i="20"/>
  <c r="EK11" i="20"/>
  <c r="EJ11" i="20"/>
  <c r="EI11" i="20"/>
  <c r="EH11" i="20"/>
  <c r="EG11" i="20"/>
  <c r="EM10" i="20"/>
  <c r="EL10" i="20"/>
  <c r="EK10" i="20"/>
  <c r="EJ10" i="20"/>
  <c r="EI10" i="20"/>
  <c r="EH10" i="20"/>
  <c r="EG10" i="20"/>
  <c r="EA55" i="20"/>
  <c r="DZ55" i="20"/>
  <c r="DY55" i="20"/>
  <c r="DX55" i="20"/>
  <c r="DW55" i="20"/>
  <c r="DV55" i="20"/>
  <c r="DU55" i="20"/>
  <c r="EA54" i="20"/>
  <c r="DZ54" i="20"/>
  <c r="DY54" i="20"/>
  <c r="DX54" i="20"/>
  <c r="DW54" i="20"/>
  <c r="DV54" i="20"/>
  <c r="DU54" i="20"/>
  <c r="EA53" i="20"/>
  <c r="DZ53" i="20"/>
  <c r="DY53" i="20"/>
  <c r="DX53" i="20"/>
  <c r="DW53" i="20"/>
  <c r="DV53" i="20"/>
  <c r="DU53" i="20"/>
  <c r="EA52" i="20"/>
  <c r="DZ52" i="20"/>
  <c r="DY52" i="20"/>
  <c r="DX52" i="20"/>
  <c r="DW52" i="20"/>
  <c r="DV52" i="20"/>
  <c r="DU52" i="20"/>
  <c r="DT55" i="20"/>
  <c r="DT54" i="20"/>
  <c r="DT53" i="20"/>
  <c r="DT52" i="20"/>
  <c r="DT51" i="20"/>
  <c r="EA51" i="20"/>
  <c r="DG51" i="20"/>
  <c r="DZ51" i="20"/>
  <c r="DF51" i="20"/>
  <c r="DY51" i="20"/>
  <c r="DE51" i="20"/>
  <c r="DX51" i="20"/>
  <c r="DD51" i="20"/>
  <c r="DW51" i="20"/>
  <c r="DC51" i="20"/>
  <c r="DV51" i="20"/>
  <c r="DB51" i="20"/>
  <c r="DU51" i="20"/>
  <c r="DA51" i="20"/>
  <c r="EA56" i="20"/>
  <c r="DZ56" i="20"/>
  <c r="DY56" i="20"/>
  <c r="DX56" i="20"/>
  <c r="DW56" i="20"/>
  <c r="DV56" i="20"/>
  <c r="DU56" i="20"/>
  <c r="EA49" i="20"/>
  <c r="DZ49" i="20"/>
  <c r="DY49" i="20"/>
  <c r="DX49" i="20"/>
  <c r="DW49" i="20"/>
  <c r="DV49" i="20"/>
  <c r="DU49" i="20"/>
  <c r="EA48" i="20"/>
  <c r="DZ48" i="20"/>
  <c r="DY48" i="20"/>
  <c r="DX48" i="20"/>
  <c r="DW48" i="20"/>
  <c r="DV48" i="20"/>
  <c r="DU48" i="20"/>
  <c r="EA47" i="20"/>
  <c r="DZ47" i="20"/>
  <c r="DY47" i="20"/>
  <c r="DX47" i="20"/>
  <c r="DW47" i="20"/>
  <c r="DV47" i="20"/>
  <c r="DU47" i="20"/>
  <c r="EA45" i="20"/>
  <c r="DZ45" i="20"/>
  <c r="DY45" i="20"/>
  <c r="DX45" i="20"/>
  <c r="DW45" i="20"/>
  <c r="DV45" i="20"/>
  <c r="DU45" i="20"/>
  <c r="EA44" i="20"/>
  <c r="DZ44" i="20"/>
  <c r="DY44" i="20"/>
  <c r="DX44" i="20"/>
  <c r="DW44" i="20"/>
  <c r="DV44" i="20"/>
  <c r="DU44" i="20"/>
  <c r="EA43" i="20"/>
  <c r="DZ43" i="20"/>
  <c r="DY43" i="20"/>
  <c r="DX43" i="20"/>
  <c r="DW43" i="20"/>
  <c r="DV43" i="20"/>
  <c r="DU43" i="20"/>
  <c r="EA42" i="20"/>
  <c r="DZ42" i="20"/>
  <c r="DY42" i="20"/>
  <c r="DX42" i="20"/>
  <c r="DW42" i="20"/>
  <c r="DV42" i="20"/>
  <c r="DU42" i="20"/>
  <c r="EA41" i="20"/>
  <c r="DZ41" i="20"/>
  <c r="DY41" i="20"/>
  <c r="DX41" i="20"/>
  <c r="DW41" i="20"/>
  <c r="DV41" i="20"/>
  <c r="DU41" i="20"/>
  <c r="EA40" i="20"/>
  <c r="DZ40" i="20"/>
  <c r="DY40" i="20"/>
  <c r="DX40" i="20"/>
  <c r="DW40" i="20"/>
  <c r="DV40" i="20"/>
  <c r="DU40" i="20"/>
  <c r="EA38" i="20"/>
  <c r="DZ38" i="20"/>
  <c r="DY38" i="20"/>
  <c r="DX38" i="20"/>
  <c r="DW38" i="20"/>
  <c r="DV38" i="20"/>
  <c r="DU38" i="20"/>
  <c r="EA37" i="20"/>
  <c r="DZ37" i="20"/>
  <c r="DY37" i="20"/>
  <c r="DX37" i="20"/>
  <c r="DW37" i="20"/>
  <c r="DV37" i="20"/>
  <c r="DU37" i="20"/>
  <c r="EA36" i="20"/>
  <c r="DZ36" i="20"/>
  <c r="DY36" i="20"/>
  <c r="DX36" i="20"/>
  <c r="DW36" i="20"/>
  <c r="DV36" i="20"/>
  <c r="DU36" i="20"/>
  <c r="EA35" i="20"/>
  <c r="DZ35" i="20"/>
  <c r="DY35" i="20"/>
  <c r="DX35" i="20"/>
  <c r="DW35" i="20"/>
  <c r="DV35" i="20"/>
  <c r="DU35" i="20"/>
  <c r="EA34" i="20"/>
  <c r="DZ34" i="20"/>
  <c r="DY34" i="20"/>
  <c r="DX34" i="20"/>
  <c r="DW34" i="20"/>
  <c r="DV34" i="20"/>
  <c r="DU34" i="20"/>
  <c r="EA32" i="20"/>
  <c r="DZ32" i="20"/>
  <c r="DY32" i="20"/>
  <c r="DX32" i="20"/>
  <c r="DW32" i="20"/>
  <c r="DV32" i="20"/>
  <c r="DU32" i="20"/>
  <c r="EA31" i="20"/>
  <c r="DZ31" i="20"/>
  <c r="DY31" i="20"/>
  <c r="DX31" i="20"/>
  <c r="DW31" i="20"/>
  <c r="DV31" i="20"/>
  <c r="DU31" i="20"/>
  <c r="EA30" i="20"/>
  <c r="DZ30" i="20"/>
  <c r="DY30" i="20"/>
  <c r="DX30" i="20"/>
  <c r="DW30" i="20"/>
  <c r="DV30" i="20"/>
  <c r="DU30" i="20"/>
  <c r="EA29" i="20"/>
  <c r="DZ29" i="20"/>
  <c r="DY29" i="20"/>
  <c r="DX29" i="20"/>
  <c r="DW29" i="20"/>
  <c r="DV29" i="20"/>
  <c r="DU29" i="20"/>
  <c r="EA28" i="20"/>
  <c r="DZ28" i="20"/>
  <c r="DY28" i="20"/>
  <c r="DX28" i="20"/>
  <c r="DW28" i="20"/>
  <c r="DV28" i="20"/>
  <c r="DU28" i="20"/>
  <c r="EA27" i="20"/>
  <c r="DZ27" i="20"/>
  <c r="DY27" i="20"/>
  <c r="DX27" i="20"/>
  <c r="DW27" i="20"/>
  <c r="DV27" i="20"/>
  <c r="DU27" i="20"/>
  <c r="EA26" i="20"/>
  <c r="DZ26" i="20"/>
  <c r="DY26" i="20"/>
  <c r="DX26" i="20"/>
  <c r="DW26" i="20"/>
  <c r="DV26" i="20"/>
  <c r="DU26" i="20"/>
  <c r="EA25" i="20"/>
  <c r="DZ25" i="20"/>
  <c r="DY25" i="20"/>
  <c r="DX25" i="20"/>
  <c r="DW25" i="20"/>
  <c r="DV25" i="20"/>
  <c r="DU25" i="20"/>
  <c r="EA24" i="20"/>
  <c r="DZ24" i="20"/>
  <c r="DY24" i="20"/>
  <c r="DX24" i="20"/>
  <c r="DW24" i="20"/>
  <c r="DV24" i="20"/>
  <c r="DU24" i="20"/>
  <c r="EA23" i="20"/>
  <c r="DZ23" i="20"/>
  <c r="DY23" i="20"/>
  <c r="DX23" i="20"/>
  <c r="DW23" i="20"/>
  <c r="DV23" i="20"/>
  <c r="DU23" i="20"/>
  <c r="EA22" i="20"/>
  <c r="DZ22" i="20"/>
  <c r="DY22" i="20"/>
  <c r="DX22" i="20"/>
  <c r="DW22" i="20"/>
  <c r="DV22" i="20"/>
  <c r="DU22" i="20"/>
  <c r="EA21" i="20"/>
  <c r="DZ21" i="20"/>
  <c r="DY21" i="20"/>
  <c r="DX21" i="20"/>
  <c r="DW21" i="20"/>
  <c r="DV21" i="20"/>
  <c r="DU21" i="20"/>
  <c r="EA20" i="20"/>
  <c r="DZ20" i="20"/>
  <c r="DY20" i="20"/>
  <c r="DX20" i="20"/>
  <c r="DW20" i="20"/>
  <c r="DV20" i="20"/>
  <c r="DU20" i="20"/>
  <c r="EA19" i="20"/>
  <c r="DZ19" i="20"/>
  <c r="DY19" i="20"/>
  <c r="DX19" i="20"/>
  <c r="DW19" i="20"/>
  <c r="DV19" i="20"/>
  <c r="DU19" i="20"/>
  <c r="EA18" i="20"/>
  <c r="DZ18" i="20"/>
  <c r="DY18" i="20"/>
  <c r="DX18" i="20"/>
  <c r="DW18" i="20"/>
  <c r="DV18" i="20"/>
  <c r="DU18" i="20"/>
  <c r="EA17" i="20"/>
  <c r="DZ17" i="20"/>
  <c r="DY17" i="20"/>
  <c r="DX17" i="20"/>
  <c r="DW17" i="20"/>
  <c r="DV17" i="20"/>
  <c r="DU17" i="20"/>
  <c r="EA16" i="20"/>
  <c r="DZ16" i="20"/>
  <c r="DY16" i="20"/>
  <c r="DX16" i="20"/>
  <c r="DW16" i="20"/>
  <c r="DV16" i="20"/>
  <c r="DU16" i="20"/>
  <c r="EA15" i="20"/>
  <c r="DZ15" i="20"/>
  <c r="DY15" i="20"/>
  <c r="DX15" i="20"/>
  <c r="DW15" i="20"/>
  <c r="DV15" i="20"/>
  <c r="DU15" i="20"/>
  <c r="EA14" i="20"/>
  <c r="DZ14" i="20"/>
  <c r="DY14" i="20"/>
  <c r="DX14" i="20"/>
  <c r="DW14" i="20"/>
  <c r="DV14" i="20"/>
  <c r="DU14" i="20"/>
  <c r="EA13" i="20"/>
  <c r="DZ13" i="20"/>
  <c r="DY13" i="20"/>
  <c r="DX13" i="20"/>
  <c r="DW13" i="20"/>
  <c r="DV13" i="20"/>
  <c r="DU13" i="20"/>
  <c r="EA12" i="20"/>
  <c r="DZ12" i="20"/>
  <c r="DY12" i="20"/>
  <c r="DX12" i="20"/>
  <c r="DW12" i="20"/>
  <c r="DV12" i="20"/>
  <c r="DU12" i="20"/>
  <c r="EA11" i="20"/>
  <c r="DZ11" i="20"/>
  <c r="DY11" i="20"/>
  <c r="DX11" i="20"/>
  <c r="DW11" i="20"/>
  <c r="DV11" i="20"/>
  <c r="DU11" i="20"/>
  <c r="EA10" i="20"/>
  <c r="DZ10" i="20"/>
  <c r="DY10" i="20"/>
  <c r="DX10" i="20"/>
  <c r="DW10" i="20"/>
  <c r="DV10" i="20"/>
  <c r="DU10" i="20"/>
  <c r="DP56" i="20"/>
  <c r="DO56" i="20"/>
  <c r="DN56" i="20"/>
  <c r="DM56" i="20"/>
  <c r="DL56" i="20"/>
  <c r="DK56" i="20"/>
  <c r="DJ56" i="20"/>
  <c r="DQ55" i="20"/>
  <c r="DP50" i="20"/>
  <c r="DO50" i="20"/>
  <c r="DN50" i="20"/>
  <c r="DM50" i="20"/>
  <c r="DL50" i="20"/>
  <c r="DK50" i="20"/>
  <c r="DJ50" i="20"/>
  <c r="DQ49" i="20"/>
  <c r="DQ48" i="20"/>
  <c r="DQ47" i="20"/>
  <c r="DP46" i="20"/>
  <c r="DO46" i="20"/>
  <c r="DN46" i="20"/>
  <c r="DM46" i="20"/>
  <c r="DL46" i="20"/>
  <c r="DK46" i="20"/>
  <c r="DJ46" i="20"/>
  <c r="DQ45" i="20"/>
  <c r="DQ44" i="20"/>
  <c r="DQ43" i="20"/>
  <c r="DQ42" i="20"/>
  <c r="DQ41" i="20"/>
  <c r="DQ40" i="20"/>
  <c r="DP39" i="20"/>
  <c r="DO39" i="20"/>
  <c r="DN39" i="20"/>
  <c r="DM39" i="20"/>
  <c r="DL39" i="20"/>
  <c r="DK39" i="20"/>
  <c r="DJ39" i="20"/>
  <c r="DQ38" i="20"/>
  <c r="DQ37" i="20"/>
  <c r="DQ36" i="20"/>
  <c r="DQ35" i="20"/>
  <c r="DQ34" i="20"/>
  <c r="DP33" i="20"/>
  <c r="DO33" i="20"/>
  <c r="DN33" i="20"/>
  <c r="DM33" i="20"/>
  <c r="DL33" i="20"/>
  <c r="DK33" i="20"/>
  <c r="DJ33" i="20"/>
  <c r="DQ32" i="20"/>
  <c r="DQ31" i="20"/>
  <c r="DQ30" i="20"/>
  <c r="DQ29" i="20"/>
  <c r="DQ28" i="20"/>
  <c r="DQ27" i="20"/>
  <c r="DQ26" i="20"/>
  <c r="DQ25" i="20"/>
  <c r="DQ24" i="20"/>
  <c r="DQ23" i="20"/>
  <c r="DQ22" i="20"/>
  <c r="DQ21" i="20"/>
  <c r="DQ20" i="20"/>
  <c r="DQ19" i="20"/>
  <c r="DQ18" i="20"/>
  <c r="DQ17" i="20"/>
  <c r="DQ16" i="20"/>
  <c r="DQ15" i="20"/>
  <c r="DQ14" i="20"/>
  <c r="DQ13" i="20"/>
  <c r="DQ12" i="20"/>
  <c r="DQ11" i="20"/>
  <c r="DQ10" i="20"/>
  <c r="DP9" i="20"/>
  <c r="DO9" i="20"/>
  <c r="DN9" i="20"/>
  <c r="DM9" i="20"/>
  <c r="DL9" i="20"/>
  <c r="DK9" i="20"/>
  <c r="DJ9" i="20"/>
  <c r="W45" i="20"/>
  <c r="W44" i="20"/>
  <c r="X43" i="20"/>
  <c r="X38" i="20"/>
  <c r="X42" i="20"/>
  <c r="W36" i="20"/>
  <c r="X37" i="20"/>
  <c r="X35" i="20"/>
  <c r="AR34" i="20"/>
  <c r="X34" i="20"/>
  <c r="DQ46" i="20" l="1"/>
  <c r="EI50" i="20"/>
  <c r="EM50" i="20"/>
  <c r="EK50" i="20"/>
  <c r="EH50" i="20"/>
  <c r="EJ50" i="20"/>
  <c r="EL50" i="20"/>
  <c r="EI9" i="20"/>
  <c r="EM9" i="20"/>
  <c r="EG50" i="20"/>
  <c r="DZ50" i="20"/>
  <c r="EG173" i="20"/>
  <c r="EK173" i="20"/>
  <c r="EH173" i="20"/>
  <c r="EL173" i="20"/>
  <c r="EI173" i="20"/>
  <c r="EM173" i="20"/>
  <c r="EJ173" i="20"/>
  <c r="DV50" i="20"/>
  <c r="DX9" i="20"/>
  <c r="EJ9" i="20"/>
  <c r="EG9" i="20"/>
  <c r="EK9" i="20"/>
  <c r="EH9" i="20"/>
  <c r="EL9" i="20"/>
  <c r="DQ39" i="20"/>
  <c r="DQ56" i="20"/>
  <c r="DU9" i="20"/>
  <c r="DY9" i="20"/>
  <c r="DW50" i="20"/>
  <c r="EA50" i="20"/>
  <c r="DQ33" i="20"/>
  <c r="DQ50" i="20"/>
  <c r="DQ9" i="20"/>
  <c r="DV9" i="20"/>
  <c r="DZ9" i="20"/>
  <c r="DW9" i="20"/>
  <c r="EA9" i="20"/>
  <c r="DU50" i="20"/>
  <c r="DY50" i="20"/>
  <c r="DX50" i="20"/>
  <c r="H139" i="40"/>
  <c r="J139" i="41" s="1"/>
  <c r="F139" i="40"/>
  <c r="E139" i="40"/>
  <c r="F139" i="41" s="1"/>
  <c r="D139" i="40"/>
  <c r="E139" i="41" s="1"/>
  <c r="B139" i="40"/>
  <c r="D139" i="41" s="1"/>
  <c r="H138" i="40"/>
  <c r="J138" i="41" s="1"/>
  <c r="F138" i="40"/>
  <c r="E138" i="40"/>
  <c r="F138" i="41" s="1"/>
  <c r="D138" i="40"/>
  <c r="E138" i="41" s="1"/>
  <c r="B138" i="40"/>
  <c r="D138" i="41" s="1"/>
  <c r="H137" i="40"/>
  <c r="J137" i="41" s="1"/>
  <c r="F137" i="40"/>
  <c r="E137" i="40"/>
  <c r="F137" i="41" s="1"/>
  <c r="D137" i="40"/>
  <c r="E137" i="41" s="1"/>
  <c r="B137" i="40"/>
  <c r="D137" i="41" s="1"/>
  <c r="H136" i="40"/>
  <c r="J136" i="41" s="1"/>
  <c r="F136" i="40"/>
  <c r="E136" i="40"/>
  <c r="F136" i="41" s="1"/>
  <c r="D136" i="40"/>
  <c r="E136" i="41" s="1"/>
  <c r="B136" i="40"/>
  <c r="D136" i="41" s="1"/>
  <c r="H135" i="40"/>
  <c r="J135" i="41" s="1"/>
  <c r="F135" i="40"/>
  <c r="E135" i="40"/>
  <c r="F135" i="41" s="1"/>
  <c r="D135" i="40"/>
  <c r="E135" i="41" s="1"/>
  <c r="B135" i="40"/>
  <c r="D135" i="41" s="1"/>
  <c r="H134" i="40"/>
  <c r="J134" i="41" s="1"/>
  <c r="F134" i="40"/>
  <c r="E134" i="40"/>
  <c r="F134" i="41" s="1"/>
  <c r="D134" i="40"/>
  <c r="E134" i="41" s="1"/>
  <c r="B134" i="40"/>
  <c r="D134" i="41" s="1"/>
  <c r="H133" i="40"/>
  <c r="J133" i="41" s="1"/>
  <c r="F133" i="40"/>
  <c r="E133" i="40"/>
  <c r="F133" i="41" s="1"/>
  <c r="D133" i="40"/>
  <c r="E133" i="41" s="1"/>
  <c r="B133" i="40"/>
  <c r="D133" i="41" s="1"/>
  <c r="H132" i="40"/>
  <c r="J132" i="41" s="1"/>
  <c r="F132" i="40"/>
  <c r="E132" i="40"/>
  <c r="F132" i="41" s="1"/>
  <c r="D132" i="40"/>
  <c r="E132" i="41" s="1"/>
  <c r="B132" i="40"/>
  <c r="D132" i="41" s="1"/>
  <c r="A139" i="40"/>
  <c r="A139" i="41" s="1"/>
  <c r="H131" i="40"/>
  <c r="J131" i="41" s="1"/>
  <c r="E131" i="40"/>
  <c r="F131" i="41" s="1"/>
  <c r="D131" i="40"/>
  <c r="E131" i="41" s="1"/>
  <c r="B131" i="40"/>
  <c r="D131" i="41" s="1"/>
  <c r="H130" i="40"/>
  <c r="F130" i="40"/>
  <c r="E130" i="40"/>
  <c r="F130" i="41" s="1"/>
  <c r="D130" i="40"/>
  <c r="E130" i="41" s="1"/>
  <c r="C130" i="40"/>
  <c r="B130" i="41" s="1"/>
  <c r="B130" i="40"/>
  <c r="D130" i="41" s="1"/>
  <c r="A133" i="40"/>
  <c r="A133" i="41" s="1"/>
  <c r="A134" i="40"/>
  <c r="A134" i="41" s="1"/>
  <c r="A135" i="40"/>
  <c r="A135" i="41" s="1"/>
  <c r="A136" i="40"/>
  <c r="A136" i="41" s="1"/>
  <c r="A137" i="40"/>
  <c r="A137" i="41" s="1"/>
  <c r="A138" i="40"/>
  <c r="A138" i="41" s="1"/>
  <c r="H129" i="40"/>
  <c r="J129" i="41" s="1"/>
  <c r="F129" i="40"/>
  <c r="E129" i="40"/>
  <c r="F129" i="41" s="1"/>
  <c r="D129" i="40"/>
  <c r="E129" i="41" s="1"/>
  <c r="C129" i="40"/>
  <c r="B129" i="41" s="1"/>
  <c r="B129" i="40"/>
  <c r="D129" i="41" s="1"/>
  <c r="H128" i="40"/>
  <c r="J128" i="41" s="1"/>
  <c r="F128" i="40"/>
  <c r="E128" i="40"/>
  <c r="F128" i="41" s="1"/>
  <c r="D128" i="40"/>
  <c r="E128" i="41" s="1"/>
  <c r="C128" i="40"/>
  <c r="B128" i="41" s="1"/>
  <c r="B128" i="40"/>
  <c r="D128" i="41" s="1"/>
  <c r="H127" i="40"/>
  <c r="J127" i="41" s="1"/>
  <c r="F127" i="40"/>
  <c r="E127" i="40"/>
  <c r="F127" i="41" s="1"/>
  <c r="D127" i="40"/>
  <c r="E127" i="41" s="1"/>
  <c r="C127" i="40"/>
  <c r="B127" i="41" s="1"/>
  <c r="B127" i="40"/>
  <c r="D127" i="41" s="1"/>
  <c r="H126" i="40"/>
  <c r="J126" i="41" s="1"/>
  <c r="E126" i="40"/>
  <c r="F126" i="41" s="1"/>
  <c r="D126" i="40"/>
  <c r="E126" i="41" s="1"/>
  <c r="C126" i="40"/>
  <c r="B126" i="41" s="1"/>
  <c r="B126" i="40"/>
  <c r="D126" i="41" s="1"/>
  <c r="H125" i="40"/>
  <c r="J125" i="41" s="1"/>
  <c r="F125" i="40"/>
  <c r="E125" i="40"/>
  <c r="F125" i="41" s="1"/>
  <c r="D125" i="40"/>
  <c r="E125" i="41" s="1"/>
  <c r="C125" i="40"/>
  <c r="B125" i="41" s="1"/>
  <c r="B125" i="40"/>
  <c r="D125" i="41" s="1"/>
  <c r="H124" i="40"/>
  <c r="J124" i="41" s="1"/>
  <c r="F124" i="40"/>
  <c r="E124" i="40"/>
  <c r="F124" i="41" s="1"/>
  <c r="D124" i="40"/>
  <c r="E124" i="41" s="1"/>
  <c r="C124" i="40"/>
  <c r="B124" i="41" s="1"/>
  <c r="B124" i="40"/>
  <c r="D124" i="41" s="1"/>
  <c r="A127" i="40"/>
  <c r="A127" i="41" s="1"/>
  <c r="A128" i="40"/>
  <c r="A128" i="41" s="1"/>
  <c r="A129" i="40"/>
  <c r="A129" i="41" s="1"/>
  <c r="A130" i="40"/>
  <c r="A130" i="41" s="1"/>
  <c r="A131" i="40"/>
  <c r="A131" i="41" s="1"/>
  <c r="A132" i="40"/>
  <c r="A132" i="41" s="1"/>
  <c r="H123" i="40"/>
  <c r="J123" i="41" s="1"/>
  <c r="F123" i="40"/>
  <c r="E123" i="40"/>
  <c r="F123" i="41" s="1"/>
  <c r="D123" i="40"/>
  <c r="E123" i="41" s="1"/>
  <c r="C123" i="40"/>
  <c r="B123" i="41" s="1"/>
  <c r="B123" i="40"/>
  <c r="D123" i="41" s="1"/>
  <c r="H122" i="40"/>
  <c r="J122" i="41" s="1"/>
  <c r="F122" i="40"/>
  <c r="E122" i="40"/>
  <c r="F122" i="41" s="1"/>
  <c r="D122" i="40"/>
  <c r="E122" i="41" s="1"/>
  <c r="C122" i="40"/>
  <c r="B122" i="41" s="1"/>
  <c r="B122" i="40"/>
  <c r="D122" i="41" s="1"/>
  <c r="H121" i="40"/>
  <c r="J121" i="41" s="1"/>
  <c r="F121" i="40"/>
  <c r="E121" i="40"/>
  <c r="F121" i="41" s="1"/>
  <c r="D121" i="40"/>
  <c r="E121" i="41" s="1"/>
  <c r="C121" i="40"/>
  <c r="B121" i="41" s="1"/>
  <c r="B121" i="40"/>
  <c r="D121" i="41" s="1"/>
  <c r="H120" i="40"/>
  <c r="J120" i="41" s="1"/>
  <c r="F120" i="40"/>
  <c r="E120" i="40"/>
  <c r="F120" i="41" s="1"/>
  <c r="D120" i="40"/>
  <c r="E120" i="41" s="1"/>
  <c r="C120" i="40"/>
  <c r="B120" i="41" s="1"/>
  <c r="B120" i="40"/>
  <c r="D120" i="41" s="1"/>
  <c r="H119" i="40"/>
  <c r="J119" i="41" s="1"/>
  <c r="F119" i="40"/>
  <c r="E119" i="40"/>
  <c r="F119" i="41" s="1"/>
  <c r="D119" i="40"/>
  <c r="E119" i="41" s="1"/>
  <c r="C119" i="40"/>
  <c r="B119" i="41" s="1"/>
  <c r="B119" i="40"/>
  <c r="D119" i="41" s="1"/>
  <c r="H118" i="40"/>
  <c r="J118" i="41" s="1"/>
  <c r="E118" i="40"/>
  <c r="F118" i="41" s="1"/>
  <c r="D118" i="40"/>
  <c r="E118" i="41" s="1"/>
  <c r="C118" i="40"/>
  <c r="B118" i="41" s="1"/>
  <c r="B118" i="40"/>
  <c r="D118" i="41" s="1"/>
  <c r="H117" i="40"/>
  <c r="J117" i="41" s="1"/>
  <c r="F117" i="40"/>
  <c r="E117" i="40"/>
  <c r="F117" i="41" s="1"/>
  <c r="D117" i="40"/>
  <c r="E117" i="41" s="1"/>
  <c r="C117" i="40"/>
  <c r="B117" i="41" s="1"/>
  <c r="B117" i="40"/>
  <c r="D117" i="41" s="1"/>
  <c r="H116" i="40"/>
  <c r="J116" i="41" s="1"/>
  <c r="F116" i="40"/>
  <c r="E116" i="40"/>
  <c r="F116" i="41" s="1"/>
  <c r="D116" i="40"/>
  <c r="E116" i="41" s="1"/>
  <c r="C116" i="40"/>
  <c r="B116" i="41" s="1"/>
  <c r="B116" i="40"/>
  <c r="D116" i="41" s="1"/>
  <c r="H115" i="40"/>
  <c r="J115" i="41" s="1"/>
  <c r="F115" i="40"/>
  <c r="E115" i="40"/>
  <c r="F115" i="41" s="1"/>
  <c r="D115" i="40"/>
  <c r="E115" i="41" s="1"/>
  <c r="C115" i="40"/>
  <c r="B115" i="41" s="1"/>
  <c r="B115" i="40"/>
  <c r="D115" i="41" s="1"/>
  <c r="H114" i="40"/>
  <c r="J114" i="41" s="1"/>
  <c r="F114" i="40"/>
  <c r="E114" i="40"/>
  <c r="F114" i="41" s="1"/>
  <c r="D114" i="40"/>
  <c r="E114" i="41" s="1"/>
  <c r="C114" i="40"/>
  <c r="B114" i="41" s="1"/>
  <c r="B114" i="40"/>
  <c r="D114" i="41" s="1"/>
  <c r="A117" i="40"/>
  <c r="A117" i="41" s="1"/>
  <c r="A118" i="40"/>
  <c r="A118" i="41" s="1"/>
  <c r="A119" i="40"/>
  <c r="A119" i="41" s="1"/>
  <c r="A120" i="40"/>
  <c r="A120" i="41" s="1"/>
  <c r="A121" i="40"/>
  <c r="A121" i="41" s="1"/>
  <c r="A122" i="40"/>
  <c r="A122" i="41" s="1"/>
  <c r="A123" i="40"/>
  <c r="A123" i="41" s="1"/>
  <c r="A124" i="40"/>
  <c r="A124" i="41" s="1"/>
  <c r="A125" i="40"/>
  <c r="A125" i="41" s="1"/>
  <c r="A126" i="40"/>
  <c r="A126" i="41" s="1"/>
  <c r="H113" i="40"/>
  <c r="J113" i="41" s="1"/>
  <c r="F113" i="40"/>
  <c r="E113" i="40"/>
  <c r="F113" i="41" s="1"/>
  <c r="D113" i="40"/>
  <c r="E113" i="41" s="1"/>
  <c r="C113" i="40"/>
  <c r="B113" i="41" s="1"/>
  <c r="B113" i="40"/>
  <c r="D113" i="41" s="1"/>
  <c r="H112" i="40"/>
  <c r="J112" i="41" s="1"/>
  <c r="F112" i="40"/>
  <c r="E112" i="40"/>
  <c r="F112" i="41" s="1"/>
  <c r="D112" i="40"/>
  <c r="E112" i="41" s="1"/>
  <c r="C112" i="40"/>
  <c r="B112" i="41" s="1"/>
  <c r="B112" i="40"/>
  <c r="D112" i="41" s="1"/>
  <c r="H111" i="40"/>
  <c r="J111" i="41" s="1"/>
  <c r="F111" i="40"/>
  <c r="E111" i="40"/>
  <c r="F111" i="41" s="1"/>
  <c r="D111" i="40"/>
  <c r="E111" i="41" s="1"/>
  <c r="C111" i="40"/>
  <c r="B111" i="41" s="1"/>
  <c r="B111" i="40"/>
  <c r="D111" i="41" s="1"/>
  <c r="H110" i="40"/>
  <c r="J110" i="41" s="1"/>
  <c r="E110" i="40"/>
  <c r="F110" i="41" s="1"/>
  <c r="D110" i="40"/>
  <c r="E110" i="41" s="1"/>
  <c r="C110" i="40"/>
  <c r="B110" i="41" s="1"/>
  <c r="B110" i="40"/>
  <c r="D110" i="41" s="1"/>
  <c r="H109" i="40"/>
  <c r="J109" i="41" s="1"/>
  <c r="E109" i="40"/>
  <c r="F109" i="41" s="1"/>
  <c r="D109" i="40"/>
  <c r="E109" i="41" s="1"/>
  <c r="C109" i="40"/>
  <c r="B109" i="41" s="1"/>
  <c r="B109" i="40"/>
  <c r="D109" i="41" s="1"/>
  <c r="H108" i="40"/>
  <c r="J108" i="41" s="1"/>
  <c r="F108" i="40"/>
  <c r="E108" i="40"/>
  <c r="F108" i="41" s="1"/>
  <c r="D108" i="40"/>
  <c r="E108" i="41" s="1"/>
  <c r="C108" i="40"/>
  <c r="B108" i="41" s="1"/>
  <c r="B108" i="40"/>
  <c r="D108" i="41" s="1"/>
  <c r="H107" i="40"/>
  <c r="J107" i="41" s="1"/>
  <c r="F107" i="40"/>
  <c r="E107" i="40"/>
  <c r="F107" i="41" s="1"/>
  <c r="D107" i="40"/>
  <c r="E107" i="41" s="1"/>
  <c r="C107" i="40"/>
  <c r="B107" i="41" s="1"/>
  <c r="B107" i="40"/>
  <c r="D107" i="41" s="1"/>
  <c r="H106" i="40"/>
  <c r="J106" i="41" s="1"/>
  <c r="F106" i="40"/>
  <c r="E106" i="40"/>
  <c r="F106" i="41" s="1"/>
  <c r="D106" i="40"/>
  <c r="E106" i="41" s="1"/>
  <c r="C106" i="40"/>
  <c r="B106" i="41" s="1"/>
  <c r="B106" i="40"/>
  <c r="D106" i="41" s="1"/>
  <c r="H105" i="40"/>
  <c r="J105" i="41" s="1"/>
  <c r="F105" i="40"/>
  <c r="E105" i="40"/>
  <c r="F105" i="41" s="1"/>
  <c r="D105" i="40"/>
  <c r="E105" i="41" s="1"/>
  <c r="C105" i="40"/>
  <c r="B105" i="41" s="1"/>
  <c r="B105" i="40"/>
  <c r="D105" i="41" s="1"/>
  <c r="H104" i="40"/>
  <c r="J104" i="41" s="1"/>
  <c r="F104" i="40"/>
  <c r="E104" i="40"/>
  <c r="F104" i="41" s="1"/>
  <c r="D104" i="40"/>
  <c r="E104" i="41" s="1"/>
  <c r="C104" i="40"/>
  <c r="B104" i="41" s="1"/>
  <c r="B104" i="40"/>
  <c r="D104" i="41" s="1"/>
  <c r="A109" i="40"/>
  <c r="A109" i="41" s="1"/>
  <c r="A110" i="40"/>
  <c r="A110" i="41" s="1"/>
  <c r="A111" i="40"/>
  <c r="A111" i="41" s="1"/>
  <c r="A112" i="40"/>
  <c r="A112" i="41" s="1"/>
  <c r="A113" i="40"/>
  <c r="A113" i="41" s="1"/>
  <c r="A114" i="40"/>
  <c r="A114" i="41" s="1"/>
  <c r="A115" i="40"/>
  <c r="A115" i="41" s="1"/>
  <c r="A116" i="40"/>
  <c r="A116" i="41" s="1"/>
  <c r="H103" i="40"/>
  <c r="J103" i="41" s="1"/>
  <c r="F103" i="40"/>
  <c r="E103" i="40"/>
  <c r="F103" i="41" s="1"/>
  <c r="D103" i="40"/>
  <c r="E103" i="41" s="1"/>
  <c r="C103" i="40"/>
  <c r="B103" i="41" s="1"/>
  <c r="B103" i="40"/>
  <c r="D103" i="41" s="1"/>
  <c r="H102" i="40"/>
  <c r="J102" i="41" s="1"/>
  <c r="F102" i="40"/>
  <c r="E102" i="40"/>
  <c r="F102" i="41" s="1"/>
  <c r="D102" i="40"/>
  <c r="E102" i="41" s="1"/>
  <c r="C102" i="40"/>
  <c r="B102" i="41" s="1"/>
  <c r="B102" i="40"/>
  <c r="D102" i="41" s="1"/>
  <c r="H101" i="40"/>
  <c r="J101" i="41" s="1"/>
  <c r="F101" i="40"/>
  <c r="E101" i="40"/>
  <c r="F101" i="41" s="1"/>
  <c r="D101" i="40"/>
  <c r="E101" i="41" s="1"/>
  <c r="C101" i="40"/>
  <c r="B101" i="41" s="1"/>
  <c r="B101" i="40"/>
  <c r="D101" i="41" s="1"/>
  <c r="H100" i="40"/>
  <c r="J100" i="41" s="1"/>
  <c r="F100" i="40"/>
  <c r="E100" i="40"/>
  <c r="F100" i="41" s="1"/>
  <c r="D100" i="40"/>
  <c r="E100" i="41" s="1"/>
  <c r="C100" i="40"/>
  <c r="B100" i="41" s="1"/>
  <c r="B100" i="40"/>
  <c r="D100" i="41" s="1"/>
  <c r="H99" i="40"/>
  <c r="J99" i="41" s="1"/>
  <c r="F99" i="40"/>
  <c r="E99" i="40"/>
  <c r="F99" i="41" s="1"/>
  <c r="D99" i="40"/>
  <c r="E99" i="41" s="1"/>
  <c r="C99" i="40"/>
  <c r="B99" i="41" s="1"/>
  <c r="B99" i="40"/>
  <c r="D99" i="41" s="1"/>
  <c r="H98" i="40"/>
  <c r="J98" i="41" s="1"/>
  <c r="F98" i="40"/>
  <c r="E98" i="40"/>
  <c r="F98" i="41" s="1"/>
  <c r="D98" i="40"/>
  <c r="E98" i="41" s="1"/>
  <c r="C98" i="40"/>
  <c r="B98" i="41" s="1"/>
  <c r="B98" i="40"/>
  <c r="D98" i="41" s="1"/>
  <c r="H97" i="40"/>
  <c r="J97" i="41" s="1"/>
  <c r="F97" i="40"/>
  <c r="E97" i="40"/>
  <c r="F97" i="41" s="1"/>
  <c r="D97" i="40"/>
  <c r="E97" i="41" s="1"/>
  <c r="C97" i="40"/>
  <c r="B97" i="41" s="1"/>
  <c r="B97" i="40"/>
  <c r="D97" i="41" s="1"/>
  <c r="H96" i="40"/>
  <c r="J96" i="41" s="1"/>
  <c r="F96" i="40"/>
  <c r="E96" i="40"/>
  <c r="F96" i="41" s="1"/>
  <c r="D96" i="40"/>
  <c r="E96" i="41" s="1"/>
  <c r="C96" i="40"/>
  <c r="B96" i="41" s="1"/>
  <c r="B96" i="40"/>
  <c r="D96" i="41" s="1"/>
  <c r="H95" i="40"/>
  <c r="J95" i="41" s="1"/>
  <c r="F95" i="40"/>
  <c r="E95" i="40"/>
  <c r="F95" i="41" s="1"/>
  <c r="D95" i="40"/>
  <c r="E95" i="41" s="1"/>
  <c r="C95" i="40"/>
  <c r="B95" i="41" s="1"/>
  <c r="B95" i="40"/>
  <c r="D95" i="41" s="1"/>
  <c r="H94" i="40"/>
  <c r="J94" i="41" s="1"/>
  <c r="F94" i="40"/>
  <c r="E94" i="40"/>
  <c r="F94" i="41" s="1"/>
  <c r="D94" i="40"/>
  <c r="E94" i="41" s="1"/>
  <c r="C94" i="40"/>
  <c r="B94" i="41" s="1"/>
  <c r="B94" i="40"/>
  <c r="D94" i="41" s="1"/>
  <c r="H93" i="40"/>
  <c r="J93" i="41" s="1"/>
  <c r="F93" i="40"/>
  <c r="E93" i="40"/>
  <c r="F93" i="41" s="1"/>
  <c r="D93" i="40"/>
  <c r="E93" i="41" s="1"/>
  <c r="C93" i="40"/>
  <c r="B93" i="41" s="1"/>
  <c r="B93" i="40"/>
  <c r="D93" i="41" s="1"/>
  <c r="H92" i="40"/>
  <c r="J92" i="41" s="1"/>
  <c r="F92" i="40"/>
  <c r="E92" i="40"/>
  <c r="F92" i="41" s="1"/>
  <c r="D92" i="40"/>
  <c r="E92" i="41" s="1"/>
  <c r="C92" i="40"/>
  <c r="B92" i="41" s="1"/>
  <c r="B92" i="40"/>
  <c r="D92" i="41" s="1"/>
  <c r="H91" i="40"/>
  <c r="J91" i="41" s="1"/>
  <c r="F91" i="40"/>
  <c r="E91" i="40"/>
  <c r="F91" i="41" s="1"/>
  <c r="D91" i="40"/>
  <c r="E91" i="41" s="1"/>
  <c r="C91" i="40"/>
  <c r="B91" i="41" s="1"/>
  <c r="B91" i="40"/>
  <c r="D91" i="41" s="1"/>
  <c r="H90" i="40"/>
  <c r="J90" i="41" s="1"/>
  <c r="F90" i="40"/>
  <c r="E90" i="40"/>
  <c r="F90" i="41" s="1"/>
  <c r="D90" i="40"/>
  <c r="E90" i="41" s="1"/>
  <c r="C90" i="40"/>
  <c r="B90" i="41" s="1"/>
  <c r="B90" i="40"/>
  <c r="D90" i="41" s="1"/>
  <c r="H89" i="40"/>
  <c r="J89" i="41" s="1"/>
  <c r="F89" i="40"/>
  <c r="E89" i="40"/>
  <c r="F89" i="41" s="1"/>
  <c r="D89" i="40"/>
  <c r="E89" i="41" s="1"/>
  <c r="C89" i="40"/>
  <c r="B89" i="41" s="1"/>
  <c r="B89" i="40"/>
  <c r="D89" i="41" s="1"/>
  <c r="H88" i="40"/>
  <c r="J88" i="41" s="1"/>
  <c r="F88" i="40"/>
  <c r="E88" i="40"/>
  <c r="F88" i="41" s="1"/>
  <c r="D88" i="40"/>
  <c r="E88" i="41" s="1"/>
  <c r="C88" i="40"/>
  <c r="B88" i="41" s="1"/>
  <c r="B88" i="40"/>
  <c r="D88" i="41" s="1"/>
  <c r="H87" i="40"/>
  <c r="J87" i="41" s="1"/>
  <c r="F87" i="40"/>
  <c r="E87" i="40"/>
  <c r="F87" i="41" s="1"/>
  <c r="D87" i="40"/>
  <c r="E87" i="41" s="1"/>
  <c r="C87" i="40"/>
  <c r="B87" i="41" s="1"/>
  <c r="B87" i="40"/>
  <c r="D87" i="41" s="1"/>
  <c r="H86" i="40"/>
  <c r="F86" i="40"/>
  <c r="E86" i="40"/>
  <c r="F86" i="41" s="1"/>
  <c r="D86" i="40"/>
  <c r="E86" i="41" s="1"/>
  <c r="C86" i="40"/>
  <c r="B86" i="41" s="1"/>
  <c r="B86" i="40"/>
  <c r="D86" i="41" s="1"/>
  <c r="H85" i="40"/>
  <c r="J85" i="41" s="1"/>
  <c r="E85" i="40"/>
  <c r="F85" i="41" s="1"/>
  <c r="D85" i="40"/>
  <c r="E85" i="41" s="1"/>
  <c r="C85" i="40"/>
  <c r="B85" i="41" s="1"/>
  <c r="B85" i="40"/>
  <c r="D85" i="41" s="1"/>
  <c r="H84" i="40"/>
  <c r="J84" i="41" s="1"/>
  <c r="F84" i="40"/>
  <c r="E84" i="40"/>
  <c r="F84" i="41" s="1"/>
  <c r="D84" i="40"/>
  <c r="E84" i="41" s="1"/>
  <c r="C84" i="40"/>
  <c r="B84" i="41" s="1"/>
  <c r="B84" i="40"/>
  <c r="D84" i="41" s="1"/>
  <c r="H83" i="40"/>
  <c r="J83" i="41" s="1"/>
  <c r="F83" i="40"/>
  <c r="E83" i="40"/>
  <c r="F83" i="41" s="1"/>
  <c r="D83" i="40"/>
  <c r="E83" i="41" s="1"/>
  <c r="C83" i="40"/>
  <c r="B83" i="41" s="1"/>
  <c r="B83" i="40"/>
  <c r="D83" i="41" s="1"/>
  <c r="H82" i="40"/>
  <c r="J82" i="41" s="1"/>
  <c r="F82" i="40"/>
  <c r="E82" i="40"/>
  <c r="F82" i="41" s="1"/>
  <c r="D82" i="40"/>
  <c r="E82" i="41" s="1"/>
  <c r="C82" i="40"/>
  <c r="B82" i="41" s="1"/>
  <c r="B82" i="40"/>
  <c r="D82" i="41" s="1"/>
  <c r="H81" i="40"/>
  <c r="J81" i="41" s="1"/>
  <c r="F81" i="40"/>
  <c r="E81" i="40"/>
  <c r="F81" i="41" s="1"/>
  <c r="D81" i="40"/>
  <c r="E81" i="41" s="1"/>
  <c r="C81" i="40"/>
  <c r="B81" i="41" s="1"/>
  <c r="B81" i="40"/>
  <c r="D81" i="41" s="1"/>
  <c r="H80" i="40"/>
  <c r="J80" i="41" s="1"/>
  <c r="F80" i="40"/>
  <c r="E80" i="40"/>
  <c r="F80" i="41" s="1"/>
  <c r="D80" i="40"/>
  <c r="E80" i="41" s="1"/>
  <c r="C80" i="40"/>
  <c r="B80" i="41" s="1"/>
  <c r="B80" i="40"/>
  <c r="D80" i="41" s="1"/>
  <c r="H79" i="40"/>
  <c r="J79" i="41" s="1"/>
  <c r="F79" i="40"/>
  <c r="E79" i="40"/>
  <c r="F79" i="41" s="1"/>
  <c r="D79" i="40"/>
  <c r="E79" i="41" s="1"/>
  <c r="C79" i="40"/>
  <c r="B79" i="41" s="1"/>
  <c r="B79" i="40"/>
  <c r="D79" i="41" s="1"/>
  <c r="H78" i="40"/>
  <c r="J78" i="41" s="1"/>
  <c r="F78" i="40"/>
  <c r="E78" i="40"/>
  <c r="F78" i="41" s="1"/>
  <c r="D78" i="40"/>
  <c r="E78" i="41" s="1"/>
  <c r="C78" i="40"/>
  <c r="B78" i="41" s="1"/>
  <c r="B78" i="40"/>
  <c r="D78" i="41" s="1"/>
  <c r="H77" i="40"/>
  <c r="J77" i="41" s="1"/>
  <c r="F77" i="40"/>
  <c r="E77" i="40"/>
  <c r="F77" i="41" s="1"/>
  <c r="D77" i="40"/>
  <c r="E77" i="41" s="1"/>
  <c r="C77" i="40"/>
  <c r="B77" i="41" s="1"/>
  <c r="B77" i="40"/>
  <c r="D77" i="41" s="1"/>
  <c r="H76" i="40"/>
  <c r="J76" i="41" s="1"/>
  <c r="F76" i="40"/>
  <c r="E76" i="40"/>
  <c r="F76" i="41" s="1"/>
  <c r="D76" i="40"/>
  <c r="E76" i="41" s="1"/>
  <c r="C76" i="40"/>
  <c r="B76" i="41" s="1"/>
  <c r="B76" i="40"/>
  <c r="D76" i="41" s="1"/>
  <c r="H75" i="40"/>
  <c r="J75" i="41" s="1"/>
  <c r="F75" i="40"/>
  <c r="E75" i="40"/>
  <c r="F75" i="41" s="1"/>
  <c r="D75" i="40"/>
  <c r="E75" i="41" s="1"/>
  <c r="B75" i="40"/>
  <c r="D75" i="41" s="1"/>
  <c r="H74" i="40"/>
  <c r="J74" i="41" s="1"/>
  <c r="F74" i="40"/>
  <c r="E74" i="40"/>
  <c r="F74" i="41" s="1"/>
  <c r="D74" i="40"/>
  <c r="E74" i="41" s="1"/>
  <c r="B74" i="40"/>
  <c r="D74" i="41" s="1"/>
  <c r="H73" i="40"/>
  <c r="J73" i="41" s="1"/>
  <c r="F73" i="40"/>
  <c r="E73" i="40"/>
  <c r="F73" i="41" s="1"/>
  <c r="D73" i="40"/>
  <c r="E73" i="41" s="1"/>
  <c r="B73" i="40"/>
  <c r="D73" i="41" s="1"/>
  <c r="H72" i="40"/>
  <c r="J72" i="41" s="1"/>
  <c r="F72" i="40"/>
  <c r="E72" i="40"/>
  <c r="F72" i="41" s="1"/>
  <c r="D72" i="40"/>
  <c r="E72" i="41" s="1"/>
  <c r="B72" i="40"/>
  <c r="D72" i="41" s="1"/>
  <c r="H71" i="40"/>
  <c r="J71" i="41" s="1"/>
  <c r="F71" i="40"/>
  <c r="E71" i="40"/>
  <c r="F71" i="41" s="1"/>
  <c r="D71" i="40"/>
  <c r="E71" i="41" s="1"/>
  <c r="H70" i="40"/>
  <c r="J70" i="41" s="1"/>
  <c r="F70" i="40"/>
  <c r="E70" i="40"/>
  <c r="F70" i="41" s="1"/>
  <c r="D70" i="40"/>
  <c r="E70" i="41" s="1"/>
  <c r="H69" i="40"/>
  <c r="J69" i="41" s="1"/>
  <c r="F69" i="40"/>
  <c r="E69" i="40"/>
  <c r="F69" i="41" s="1"/>
  <c r="D69" i="40"/>
  <c r="E69" i="41" s="1"/>
  <c r="B69" i="40"/>
  <c r="D69" i="41" s="1"/>
  <c r="F68" i="40"/>
  <c r="E68" i="40"/>
  <c r="F68" i="41" s="1"/>
  <c r="D68" i="40"/>
  <c r="E68" i="41" s="1"/>
  <c r="B68" i="40"/>
  <c r="D68" i="41" s="1"/>
  <c r="F67" i="40"/>
  <c r="E67" i="40"/>
  <c r="F67" i="41" s="1"/>
  <c r="D67" i="40"/>
  <c r="E67" i="41" s="1"/>
  <c r="B67" i="40"/>
  <c r="D67" i="41" s="1"/>
  <c r="F66" i="40"/>
  <c r="E66" i="40"/>
  <c r="F66" i="41" s="1"/>
  <c r="D66" i="40"/>
  <c r="E66" i="41" s="1"/>
  <c r="B66" i="40"/>
  <c r="D66" i="41" s="1"/>
  <c r="F65" i="40"/>
  <c r="E65" i="40"/>
  <c r="F65" i="41" s="1"/>
  <c r="D65" i="40"/>
  <c r="E65" i="41" s="1"/>
  <c r="B65" i="40"/>
  <c r="D65" i="41" s="1"/>
  <c r="F64" i="40"/>
  <c r="E64" i="40"/>
  <c r="F64" i="41" s="1"/>
  <c r="D64" i="40"/>
  <c r="E64" i="41" s="1"/>
  <c r="B64" i="40"/>
  <c r="D64" i="41" s="1"/>
  <c r="I63" i="40"/>
  <c r="F63" i="40"/>
  <c r="E63" i="40"/>
  <c r="F63" i="41" s="1"/>
  <c r="D63" i="40"/>
  <c r="E63" i="41" s="1"/>
  <c r="B63" i="40"/>
  <c r="D63" i="41" s="1"/>
  <c r="I62" i="40"/>
  <c r="F62" i="40"/>
  <c r="E62" i="40"/>
  <c r="F62" i="41" s="1"/>
  <c r="D62" i="40"/>
  <c r="E62" i="41" s="1"/>
  <c r="B62" i="40"/>
  <c r="D62" i="41" s="1"/>
  <c r="I61" i="40"/>
  <c r="F61" i="40"/>
  <c r="E61" i="40"/>
  <c r="F61" i="41" s="1"/>
  <c r="D61" i="40"/>
  <c r="E61" i="41" s="1"/>
  <c r="B61" i="40"/>
  <c r="D61" i="41" s="1"/>
  <c r="F60" i="40"/>
  <c r="E60" i="40"/>
  <c r="F60" i="41" s="1"/>
  <c r="D60" i="40"/>
  <c r="E60" i="41" s="1"/>
  <c r="B60" i="40"/>
  <c r="D60" i="41" s="1"/>
  <c r="F59" i="40"/>
  <c r="E59" i="40"/>
  <c r="F59" i="41" s="1"/>
  <c r="D59" i="40"/>
  <c r="E59" i="41" s="1"/>
  <c r="B59" i="40"/>
  <c r="D59" i="41" s="1"/>
  <c r="F58" i="40"/>
  <c r="E58" i="40"/>
  <c r="F58" i="41" s="1"/>
  <c r="D58" i="40"/>
  <c r="E58" i="41" s="1"/>
  <c r="B58" i="40"/>
  <c r="D58" i="41" s="1"/>
  <c r="F57" i="40"/>
  <c r="E57" i="40"/>
  <c r="F57" i="41" s="1"/>
  <c r="D57" i="40"/>
  <c r="E57" i="41" s="1"/>
  <c r="B57" i="40"/>
  <c r="D57" i="41" s="1"/>
  <c r="F56" i="40"/>
  <c r="E56" i="40"/>
  <c r="F56" i="41" s="1"/>
  <c r="D56" i="40"/>
  <c r="E56" i="41" s="1"/>
  <c r="B56" i="40"/>
  <c r="D56" i="41" s="1"/>
  <c r="H55" i="40"/>
  <c r="J55" i="41" s="1"/>
  <c r="F55" i="40"/>
  <c r="E55" i="40"/>
  <c r="F55" i="41" s="1"/>
  <c r="D55" i="40"/>
  <c r="E55" i="41" s="1"/>
  <c r="B55" i="40"/>
  <c r="D55" i="41" s="1"/>
  <c r="I54" i="40"/>
  <c r="H54" i="40"/>
  <c r="J54" i="41" s="1"/>
  <c r="F54" i="40"/>
  <c r="E54" i="40"/>
  <c r="F54" i="41" s="1"/>
  <c r="D54" i="40"/>
  <c r="E54" i="41" s="1"/>
  <c r="B54" i="40"/>
  <c r="D54" i="41" s="1"/>
  <c r="H53" i="40"/>
  <c r="J53" i="41" s="1"/>
  <c r="F53" i="40"/>
  <c r="E53" i="40"/>
  <c r="F53" i="41" s="1"/>
  <c r="D53" i="40"/>
  <c r="E53" i="41" s="1"/>
  <c r="B53" i="40"/>
  <c r="D53" i="41" s="1"/>
  <c r="H52" i="40"/>
  <c r="J52" i="41" s="1"/>
  <c r="F52" i="40"/>
  <c r="E52" i="40"/>
  <c r="F52" i="41" s="1"/>
  <c r="D52" i="40"/>
  <c r="E52" i="41" s="1"/>
  <c r="B52" i="40"/>
  <c r="D52" i="41" s="1"/>
  <c r="H51" i="40"/>
  <c r="J51" i="41" s="1"/>
  <c r="F51" i="40"/>
  <c r="E51" i="40"/>
  <c r="F51" i="41" s="1"/>
  <c r="D51" i="40"/>
  <c r="E51" i="41" s="1"/>
  <c r="B51" i="40"/>
  <c r="D51" i="41" s="1"/>
  <c r="H50" i="40"/>
  <c r="J50" i="41" s="1"/>
  <c r="F50" i="40"/>
  <c r="E50" i="40"/>
  <c r="F50" i="41" s="1"/>
  <c r="D50" i="40"/>
  <c r="E50" i="41" s="1"/>
  <c r="C50" i="40"/>
  <c r="B50" i="41" s="1"/>
  <c r="B50" i="40"/>
  <c r="D50" i="41" s="1"/>
  <c r="H49" i="40"/>
  <c r="J49" i="41" s="1"/>
  <c r="F49" i="40"/>
  <c r="E49" i="40"/>
  <c r="F49" i="41" s="1"/>
  <c r="D49" i="40"/>
  <c r="E49" i="41" s="1"/>
  <c r="C49" i="40"/>
  <c r="B49" i="41" s="1"/>
  <c r="B49" i="40"/>
  <c r="D49" i="41" s="1"/>
  <c r="H48" i="40"/>
  <c r="J48" i="41" s="1"/>
  <c r="F48" i="40"/>
  <c r="E48" i="40"/>
  <c r="F48" i="41" s="1"/>
  <c r="D48" i="40"/>
  <c r="E48" i="41" s="1"/>
  <c r="C48" i="40"/>
  <c r="B48" i="41" s="1"/>
  <c r="B48" i="40"/>
  <c r="D48" i="41" s="1"/>
  <c r="H47" i="40"/>
  <c r="J47" i="41" s="1"/>
  <c r="F47" i="40"/>
  <c r="E47" i="40"/>
  <c r="F47" i="41" s="1"/>
  <c r="D47" i="40"/>
  <c r="E47" i="41" s="1"/>
  <c r="C47" i="40"/>
  <c r="B47" i="41" s="1"/>
  <c r="B47" i="40"/>
  <c r="D47" i="41" s="1"/>
  <c r="H46" i="40"/>
  <c r="J46" i="41" s="1"/>
  <c r="F46" i="40"/>
  <c r="E46" i="40"/>
  <c r="F46" i="41" s="1"/>
  <c r="D46" i="40"/>
  <c r="E46" i="41" s="1"/>
  <c r="C46" i="40"/>
  <c r="B46" i="41" s="1"/>
  <c r="B46" i="40"/>
  <c r="D46" i="41" s="1"/>
  <c r="H45" i="40"/>
  <c r="J45" i="41" s="1"/>
  <c r="F45" i="40"/>
  <c r="E45" i="40"/>
  <c r="F45" i="41" s="1"/>
  <c r="D45" i="40"/>
  <c r="E45" i="41" s="1"/>
  <c r="C45" i="40"/>
  <c r="B45" i="41" s="1"/>
  <c r="B45" i="40"/>
  <c r="D45" i="41" s="1"/>
  <c r="H44" i="40"/>
  <c r="J44" i="41" s="1"/>
  <c r="F44" i="40"/>
  <c r="E44" i="40"/>
  <c r="F44" i="41" s="1"/>
  <c r="D44" i="40"/>
  <c r="E44" i="41" s="1"/>
  <c r="C44" i="40"/>
  <c r="B44" i="41" s="1"/>
  <c r="B44" i="40"/>
  <c r="D44" i="41" s="1"/>
  <c r="H43" i="40"/>
  <c r="F43" i="40"/>
  <c r="E43" i="40"/>
  <c r="F43" i="41" s="1"/>
  <c r="D43" i="40"/>
  <c r="E43" i="41" s="1"/>
  <c r="C43" i="40"/>
  <c r="B43" i="41" s="1"/>
  <c r="B43" i="40"/>
  <c r="D43" i="41" s="1"/>
  <c r="H42" i="40"/>
  <c r="J42" i="41" s="1"/>
  <c r="F42" i="40"/>
  <c r="E42" i="40"/>
  <c r="F42" i="41" s="1"/>
  <c r="D42" i="40"/>
  <c r="E42" i="41" s="1"/>
  <c r="B42" i="40"/>
  <c r="D42" i="41" s="1"/>
  <c r="H41" i="40"/>
  <c r="J41" i="41" s="1"/>
  <c r="F41" i="40"/>
  <c r="E41" i="40"/>
  <c r="F41" i="41" s="1"/>
  <c r="D41" i="40"/>
  <c r="E41" i="41" s="1"/>
  <c r="B41" i="40"/>
  <c r="D41" i="41" s="1"/>
  <c r="H40" i="40"/>
  <c r="J40" i="41" s="1"/>
  <c r="F40" i="40"/>
  <c r="E40" i="40"/>
  <c r="F40" i="41" s="1"/>
  <c r="D40" i="40"/>
  <c r="E40" i="41" s="1"/>
  <c r="B40" i="40"/>
  <c r="D40" i="41" s="1"/>
  <c r="H39" i="40"/>
  <c r="J39" i="41" s="1"/>
  <c r="F39" i="40"/>
  <c r="E39" i="40"/>
  <c r="F39" i="41" s="1"/>
  <c r="D39" i="40"/>
  <c r="E39" i="41" s="1"/>
  <c r="B39" i="40"/>
  <c r="D39" i="41" s="1"/>
  <c r="H38" i="40"/>
  <c r="J38" i="41" s="1"/>
  <c r="F38" i="40"/>
  <c r="E38" i="40"/>
  <c r="F38" i="41" s="1"/>
  <c r="D38" i="40"/>
  <c r="E38" i="41" s="1"/>
  <c r="B38" i="40"/>
  <c r="D38" i="41" s="1"/>
  <c r="H37" i="40"/>
  <c r="J37" i="41" s="1"/>
  <c r="F37" i="40"/>
  <c r="E37" i="40"/>
  <c r="F37" i="41" s="1"/>
  <c r="D37" i="40"/>
  <c r="E37" i="41" s="1"/>
  <c r="C37" i="40"/>
  <c r="B37" i="41" s="1"/>
  <c r="B37" i="40"/>
  <c r="D37" i="41" s="1"/>
  <c r="H36" i="40"/>
  <c r="F36" i="40"/>
  <c r="E36" i="40"/>
  <c r="F36" i="41" s="1"/>
  <c r="D36" i="40"/>
  <c r="E36" i="41" s="1"/>
  <c r="C36" i="40"/>
  <c r="B36" i="41" s="1"/>
  <c r="B36" i="40"/>
  <c r="D36" i="41" s="1"/>
  <c r="H35" i="40"/>
  <c r="J35" i="41" s="1"/>
  <c r="F35" i="40"/>
  <c r="E35" i="40"/>
  <c r="F35" i="41" s="1"/>
  <c r="D35" i="40"/>
  <c r="E35" i="41" s="1"/>
  <c r="C35" i="40"/>
  <c r="B35" i="41" s="1"/>
  <c r="B35" i="40"/>
  <c r="D35" i="41" s="1"/>
  <c r="H34" i="40"/>
  <c r="J34" i="41" s="1"/>
  <c r="F34" i="40"/>
  <c r="E34" i="40"/>
  <c r="F34" i="41" s="1"/>
  <c r="D34" i="40"/>
  <c r="E34" i="41" s="1"/>
  <c r="C34" i="40"/>
  <c r="B34" i="41" s="1"/>
  <c r="B34" i="40"/>
  <c r="D34" i="41" s="1"/>
  <c r="H33" i="40"/>
  <c r="J33" i="41" s="1"/>
  <c r="F33" i="40"/>
  <c r="E33" i="40"/>
  <c r="F33" i="41" s="1"/>
  <c r="D33" i="40"/>
  <c r="E33" i="41" s="1"/>
  <c r="C33" i="40"/>
  <c r="B33" i="41" s="1"/>
  <c r="B33" i="40"/>
  <c r="D33" i="41" s="1"/>
  <c r="H32" i="40"/>
  <c r="J32" i="41" s="1"/>
  <c r="F32" i="40"/>
  <c r="E32" i="40"/>
  <c r="F32" i="41" s="1"/>
  <c r="D32" i="40"/>
  <c r="E32" i="41" s="1"/>
  <c r="C32" i="40"/>
  <c r="B32" i="41" s="1"/>
  <c r="B32" i="40"/>
  <c r="D32" i="41" s="1"/>
  <c r="H31" i="40"/>
  <c r="J31" i="41" s="1"/>
  <c r="F31" i="40"/>
  <c r="E31" i="40"/>
  <c r="F31" i="41" s="1"/>
  <c r="D31" i="40"/>
  <c r="E31" i="41" s="1"/>
  <c r="C31" i="40"/>
  <c r="B31" i="41" s="1"/>
  <c r="B31" i="40"/>
  <c r="D31" i="41" s="1"/>
  <c r="H30" i="40"/>
  <c r="F30" i="40"/>
  <c r="E30" i="40"/>
  <c r="F30" i="41" s="1"/>
  <c r="D30" i="40"/>
  <c r="E30" i="41" s="1"/>
  <c r="C30" i="40"/>
  <c r="B30" i="41" s="1"/>
  <c r="B30" i="40"/>
  <c r="D30" i="41" s="1"/>
  <c r="H29" i="40"/>
  <c r="J29" i="41" s="1"/>
  <c r="F29" i="40"/>
  <c r="E29" i="40"/>
  <c r="F29" i="41" s="1"/>
  <c r="D29" i="40"/>
  <c r="E29" i="41" s="1"/>
  <c r="C29" i="40"/>
  <c r="B29" i="41" s="1"/>
  <c r="B29" i="40"/>
  <c r="D29" i="41" s="1"/>
  <c r="H28" i="40"/>
  <c r="J28" i="41" s="1"/>
  <c r="F28" i="40"/>
  <c r="E28" i="40"/>
  <c r="F28" i="41" s="1"/>
  <c r="D28" i="40"/>
  <c r="E28" i="41" s="1"/>
  <c r="C28" i="40"/>
  <c r="B28" i="41" s="1"/>
  <c r="B28" i="40"/>
  <c r="D28" i="41" s="1"/>
  <c r="H27" i="40"/>
  <c r="J27" i="41" s="1"/>
  <c r="F27" i="40"/>
  <c r="E27" i="40"/>
  <c r="F27" i="41" s="1"/>
  <c r="D27" i="40"/>
  <c r="E27" i="41" s="1"/>
  <c r="C27" i="40"/>
  <c r="B27" i="41" s="1"/>
  <c r="B27" i="40"/>
  <c r="D27" i="41" s="1"/>
  <c r="H26" i="40"/>
  <c r="J26" i="41" s="1"/>
  <c r="F26" i="40"/>
  <c r="E26" i="40"/>
  <c r="F26" i="41" s="1"/>
  <c r="D26" i="40"/>
  <c r="E26" i="41" s="1"/>
  <c r="C26" i="40"/>
  <c r="B26" i="41" s="1"/>
  <c r="H25" i="40"/>
  <c r="J25" i="41" s="1"/>
  <c r="F25" i="40"/>
  <c r="E25" i="40"/>
  <c r="F25" i="41" s="1"/>
  <c r="D25" i="40"/>
  <c r="E25" i="41" s="1"/>
  <c r="C25" i="40"/>
  <c r="B25" i="41" s="1"/>
  <c r="A25" i="40"/>
  <c r="A25" i="41" s="1"/>
  <c r="I3" i="40"/>
  <c r="I4" i="40"/>
  <c r="I5" i="40"/>
  <c r="I6" i="40"/>
  <c r="I7" i="40"/>
  <c r="I8" i="40"/>
  <c r="I9" i="40"/>
  <c r="I10" i="40"/>
  <c r="I11" i="40"/>
  <c r="I12" i="40"/>
  <c r="I13" i="40"/>
  <c r="I14" i="40"/>
  <c r="I15" i="40"/>
  <c r="I16" i="40"/>
  <c r="I17" i="40"/>
  <c r="I18" i="40"/>
  <c r="I19" i="40"/>
  <c r="I20" i="40"/>
  <c r="I21" i="40"/>
  <c r="I22" i="40"/>
  <c r="I23" i="40"/>
  <c r="I24" i="40"/>
  <c r="I2" i="40"/>
  <c r="H3" i="40"/>
  <c r="J3" i="41" s="1"/>
  <c r="H4" i="40"/>
  <c r="J4" i="41" s="1"/>
  <c r="H5" i="40"/>
  <c r="J5" i="41" s="1"/>
  <c r="H6" i="40"/>
  <c r="J6" i="41" s="1"/>
  <c r="H7" i="40"/>
  <c r="J7" i="41" s="1"/>
  <c r="H8" i="40"/>
  <c r="J8" i="41" s="1"/>
  <c r="H9" i="40"/>
  <c r="J9" i="41" s="1"/>
  <c r="H10" i="40"/>
  <c r="J10" i="41" s="1"/>
  <c r="H11" i="40"/>
  <c r="J11" i="41" s="1"/>
  <c r="H12" i="40"/>
  <c r="J12" i="41" s="1"/>
  <c r="H13" i="40"/>
  <c r="J13" i="41" s="1"/>
  <c r="H14" i="40"/>
  <c r="J14" i="41" s="1"/>
  <c r="H15" i="40"/>
  <c r="J15" i="41" s="1"/>
  <c r="H16" i="40"/>
  <c r="J16" i="41" s="1"/>
  <c r="H17" i="40"/>
  <c r="J17" i="41" s="1"/>
  <c r="H18" i="40"/>
  <c r="J18" i="41" s="1"/>
  <c r="H19" i="40"/>
  <c r="J19" i="41" s="1"/>
  <c r="H20" i="40"/>
  <c r="J20" i="41" s="1"/>
  <c r="H21" i="40"/>
  <c r="J21" i="41" s="1"/>
  <c r="H22" i="40"/>
  <c r="J22" i="41" s="1"/>
  <c r="H23" i="40"/>
  <c r="J23" i="41" s="1"/>
  <c r="H24" i="40"/>
  <c r="J24" i="41" s="1"/>
  <c r="H2" i="40"/>
  <c r="J2" i="41" s="1"/>
  <c r="F3" i="40"/>
  <c r="F4" i="40"/>
  <c r="F5" i="40"/>
  <c r="F6" i="40"/>
  <c r="F7" i="40"/>
  <c r="F8" i="40"/>
  <c r="F9" i="40"/>
  <c r="F10" i="40"/>
  <c r="F11" i="40"/>
  <c r="F12" i="40"/>
  <c r="F13" i="40"/>
  <c r="F14" i="40"/>
  <c r="F15" i="40"/>
  <c r="F16" i="40"/>
  <c r="F17" i="40"/>
  <c r="F18" i="40"/>
  <c r="F19" i="40"/>
  <c r="F20" i="40"/>
  <c r="F21" i="40"/>
  <c r="F22" i="40"/>
  <c r="F23" i="40"/>
  <c r="F24" i="40"/>
  <c r="F2" i="40"/>
  <c r="E3" i="40"/>
  <c r="F3" i="41" s="1"/>
  <c r="E4" i="40"/>
  <c r="F4" i="41" s="1"/>
  <c r="E5" i="40"/>
  <c r="F5" i="41" s="1"/>
  <c r="E6" i="40"/>
  <c r="F6" i="41" s="1"/>
  <c r="E7" i="40"/>
  <c r="F7" i="41" s="1"/>
  <c r="E8" i="40"/>
  <c r="F8" i="41" s="1"/>
  <c r="E9" i="40"/>
  <c r="F9" i="41" s="1"/>
  <c r="E10" i="40"/>
  <c r="F10" i="41" s="1"/>
  <c r="E11" i="40"/>
  <c r="F11" i="41" s="1"/>
  <c r="E12" i="40"/>
  <c r="F12" i="41" s="1"/>
  <c r="E13" i="40"/>
  <c r="F13" i="41" s="1"/>
  <c r="E14" i="40"/>
  <c r="F14" i="41" s="1"/>
  <c r="E15" i="40"/>
  <c r="F15" i="41" s="1"/>
  <c r="E16" i="40"/>
  <c r="F16" i="41" s="1"/>
  <c r="E17" i="40"/>
  <c r="F17" i="41" s="1"/>
  <c r="E18" i="40"/>
  <c r="F18" i="41" s="1"/>
  <c r="E19" i="40"/>
  <c r="F19" i="41" s="1"/>
  <c r="E20" i="40"/>
  <c r="F20" i="41" s="1"/>
  <c r="E21" i="40"/>
  <c r="F21" i="41" s="1"/>
  <c r="E22" i="40"/>
  <c r="F22" i="41" s="1"/>
  <c r="E23" i="40"/>
  <c r="F23" i="41" s="1"/>
  <c r="E24" i="40"/>
  <c r="F24" i="41" s="1"/>
  <c r="E2" i="40"/>
  <c r="F2" i="41" s="1"/>
  <c r="D3" i="40"/>
  <c r="E3" i="41" s="1"/>
  <c r="D4" i="40"/>
  <c r="E4" i="41" s="1"/>
  <c r="D5" i="40"/>
  <c r="E5" i="41" s="1"/>
  <c r="D6" i="40"/>
  <c r="E6" i="41" s="1"/>
  <c r="D7" i="40"/>
  <c r="E7" i="41" s="1"/>
  <c r="D8" i="40"/>
  <c r="E8" i="41" s="1"/>
  <c r="D9" i="40"/>
  <c r="E9" i="41" s="1"/>
  <c r="D10" i="40"/>
  <c r="E10" i="41" s="1"/>
  <c r="D11" i="40"/>
  <c r="E11" i="41" s="1"/>
  <c r="D12" i="40"/>
  <c r="E12" i="41" s="1"/>
  <c r="D13" i="40"/>
  <c r="E13" i="41" s="1"/>
  <c r="D14" i="40"/>
  <c r="E14" i="41" s="1"/>
  <c r="D15" i="40"/>
  <c r="E15" i="41" s="1"/>
  <c r="D16" i="40"/>
  <c r="E16" i="41" s="1"/>
  <c r="D17" i="40"/>
  <c r="E17" i="41" s="1"/>
  <c r="D18" i="40"/>
  <c r="E18" i="41" s="1"/>
  <c r="D19" i="40"/>
  <c r="E19" i="41" s="1"/>
  <c r="D20" i="40"/>
  <c r="E20" i="41" s="1"/>
  <c r="D21" i="40"/>
  <c r="E21" i="41" s="1"/>
  <c r="D22" i="40"/>
  <c r="E22" i="41" s="1"/>
  <c r="D23" i="40"/>
  <c r="E23" i="41" s="1"/>
  <c r="D24" i="40"/>
  <c r="E24" i="41" s="1"/>
  <c r="D2" i="40"/>
  <c r="E2" i="41" s="1"/>
  <c r="C3" i="40"/>
  <c r="B3" i="41" s="1"/>
  <c r="C4" i="40"/>
  <c r="B4" i="41" s="1"/>
  <c r="C5" i="40"/>
  <c r="B5" i="41" s="1"/>
  <c r="C6" i="40"/>
  <c r="B6" i="41" s="1"/>
  <c r="C7" i="40"/>
  <c r="B7" i="41" s="1"/>
  <c r="C8" i="40"/>
  <c r="B8" i="41" s="1"/>
  <c r="C9" i="40"/>
  <c r="B9" i="41" s="1"/>
  <c r="C10" i="40"/>
  <c r="B10" i="41" s="1"/>
  <c r="C11" i="40"/>
  <c r="B11" i="41" s="1"/>
  <c r="C12" i="40"/>
  <c r="B12" i="41" s="1"/>
  <c r="C13" i="40"/>
  <c r="B13" i="41" s="1"/>
  <c r="C14" i="40"/>
  <c r="B14" i="41" s="1"/>
  <c r="C15" i="40"/>
  <c r="B15" i="41" s="1"/>
  <c r="C16" i="40"/>
  <c r="B16" i="41" s="1"/>
  <c r="C17" i="40"/>
  <c r="B17" i="41" s="1"/>
  <c r="C18" i="40"/>
  <c r="B18" i="41" s="1"/>
  <c r="C19" i="40"/>
  <c r="B19" i="41" s="1"/>
  <c r="C20" i="40"/>
  <c r="B20" i="41" s="1"/>
  <c r="C21" i="40"/>
  <c r="B21" i="41" s="1"/>
  <c r="C22" i="40"/>
  <c r="B22" i="41" s="1"/>
  <c r="C23" i="40"/>
  <c r="B23" i="41" s="1"/>
  <c r="C24" i="40"/>
  <c r="B24" i="41" s="1"/>
  <c r="C2" i="40"/>
  <c r="B3" i="40"/>
  <c r="D3" i="41" s="1"/>
  <c r="B4" i="40"/>
  <c r="D4" i="41" s="1"/>
  <c r="B5" i="40"/>
  <c r="D5" i="41" s="1"/>
  <c r="B6" i="40"/>
  <c r="D6" i="41" s="1"/>
  <c r="B7" i="40"/>
  <c r="D7" i="41" s="1"/>
  <c r="B8" i="40"/>
  <c r="D8" i="41" s="1"/>
  <c r="B9" i="40"/>
  <c r="D9" i="41" s="1"/>
  <c r="B10" i="40"/>
  <c r="D10" i="41" s="1"/>
  <c r="B11" i="40"/>
  <c r="D11" i="41" s="1"/>
  <c r="B12" i="40"/>
  <c r="D12" i="41" s="1"/>
  <c r="B13" i="40"/>
  <c r="D13" i="41" s="1"/>
  <c r="B14" i="40"/>
  <c r="D14" i="41" s="1"/>
  <c r="B15" i="40"/>
  <c r="D15" i="41" s="1"/>
  <c r="B16" i="40"/>
  <c r="D16" i="41" s="1"/>
  <c r="B17" i="40"/>
  <c r="D17" i="41" s="1"/>
  <c r="B18" i="40"/>
  <c r="D18" i="41" s="1"/>
  <c r="B19" i="40"/>
  <c r="D19" i="41" s="1"/>
  <c r="B20" i="40"/>
  <c r="D20" i="41" s="1"/>
  <c r="B21" i="40"/>
  <c r="D21" i="41" s="1"/>
  <c r="B22" i="40"/>
  <c r="D22" i="41" s="1"/>
  <c r="B23" i="40"/>
  <c r="D23" i="41" s="1"/>
  <c r="B24" i="40"/>
  <c r="D24" i="41" s="1"/>
  <c r="B2" i="40"/>
  <c r="D2" i="41" s="1"/>
  <c r="M62" i="40" l="1"/>
  <c r="L62" i="40"/>
  <c r="L61" i="40"/>
  <c r="M61" i="40"/>
  <c r="M63" i="40"/>
  <c r="L63" i="40"/>
  <c r="L10" i="41"/>
  <c r="K10" i="41"/>
  <c r="K14" i="41"/>
  <c r="L14" i="41"/>
  <c r="B2" i="41"/>
  <c r="K2" i="41"/>
  <c r="L2" i="41"/>
  <c r="L21" i="41"/>
  <c r="K21" i="41"/>
  <c r="L17" i="41"/>
  <c r="K17" i="41"/>
  <c r="L13" i="41"/>
  <c r="K13" i="41"/>
  <c r="L9" i="41"/>
  <c r="K9" i="41"/>
  <c r="L5" i="41"/>
  <c r="K5" i="41"/>
  <c r="K18" i="41"/>
  <c r="L18" i="41"/>
  <c r="L20" i="41"/>
  <c r="K20" i="41"/>
  <c r="L12" i="41"/>
  <c r="K12" i="41"/>
  <c r="L4" i="41"/>
  <c r="K4" i="41"/>
  <c r="K22" i="41"/>
  <c r="L22" i="41"/>
  <c r="K6" i="41"/>
  <c r="L6" i="41"/>
  <c r="L24" i="41"/>
  <c r="K24" i="41"/>
  <c r="L16" i="41"/>
  <c r="K16" i="41"/>
  <c r="L8" i="41"/>
  <c r="K8" i="41"/>
  <c r="K23" i="41"/>
  <c r="L23" i="41"/>
  <c r="L19" i="41"/>
  <c r="K19" i="41"/>
  <c r="K15" i="41"/>
  <c r="L15" i="41"/>
  <c r="K11" i="41"/>
  <c r="L11" i="41"/>
  <c r="K7" i="41"/>
  <c r="L7" i="41"/>
  <c r="L3" i="41"/>
  <c r="K3" i="41"/>
  <c r="K26" i="41"/>
  <c r="L27" i="41"/>
  <c r="U27" i="41"/>
  <c r="K27" i="41"/>
  <c r="K28" i="41"/>
  <c r="K29" i="41"/>
  <c r="K132" i="41"/>
  <c r="U132" i="41"/>
  <c r="L132" i="41"/>
  <c r="K138" i="41"/>
  <c r="K134" i="41"/>
  <c r="L134" i="41"/>
  <c r="K136" i="41"/>
  <c r="L136" i="41"/>
  <c r="L131" i="41"/>
  <c r="K131" i="41"/>
  <c r="K133" i="41"/>
  <c r="L133" i="41"/>
  <c r="K135" i="41"/>
  <c r="L135" i="41"/>
  <c r="L137" i="41"/>
  <c r="K137" i="41"/>
  <c r="U137" i="41"/>
  <c r="K139" i="41"/>
  <c r="U139" i="41"/>
  <c r="L139" i="41"/>
  <c r="J130" i="41"/>
  <c r="K129" i="41"/>
  <c r="L129" i="41"/>
  <c r="U129" i="41"/>
  <c r="K124" i="41"/>
  <c r="K126" i="41"/>
  <c r="K128" i="41"/>
  <c r="K125" i="41"/>
  <c r="K127" i="41"/>
  <c r="K119" i="41"/>
  <c r="L119" i="41"/>
  <c r="K121" i="41"/>
  <c r="L121" i="41"/>
  <c r="L123" i="41"/>
  <c r="K123" i="41"/>
  <c r="L120" i="41"/>
  <c r="K120" i="41"/>
  <c r="K122" i="41"/>
  <c r="L122" i="41"/>
  <c r="K114" i="41"/>
  <c r="L114" i="41"/>
  <c r="K116" i="41"/>
  <c r="L116" i="41"/>
  <c r="K118" i="41"/>
  <c r="L118" i="41"/>
  <c r="K115" i="41"/>
  <c r="L115" i="41"/>
  <c r="K117" i="41"/>
  <c r="L117" i="41"/>
  <c r="K110" i="41"/>
  <c r="K112" i="41"/>
  <c r="K109" i="41"/>
  <c r="L109" i="41"/>
  <c r="K111" i="41"/>
  <c r="K113" i="41"/>
  <c r="K107" i="41"/>
  <c r="K104" i="41"/>
  <c r="K106" i="41"/>
  <c r="K108" i="41"/>
  <c r="K105" i="41"/>
  <c r="K92" i="41"/>
  <c r="U92" i="41"/>
  <c r="L92" i="41"/>
  <c r="U94" i="41"/>
  <c r="K94" i="41"/>
  <c r="L94" i="41"/>
  <c r="L96" i="41"/>
  <c r="K96" i="41"/>
  <c r="U96" i="41"/>
  <c r="U98" i="41"/>
  <c r="L98" i="41"/>
  <c r="K98" i="41"/>
  <c r="K100" i="41"/>
  <c r="U100" i="41"/>
  <c r="L100" i="41"/>
  <c r="U102" i="41"/>
  <c r="K102" i="41"/>
  <c r="L102" i="41"/>
  <c r="U91" i="41"/>
  <c r="L91" i="41"/>
  <c r="K91" i="41"/>
  <c r="K93" i="41"/>
  <c r="U93" i="41"/>
  <c r="L93" i="41"/>
  <c r="K95" i="41"/>
  <c r="U95" i="41"/>
  <c r="L95" i="41"/>
  <c r="K97" i="41"/>
  <c r="U97" i="41"/>
  <c r="L97" i="41"/>
  <c r="U99" i="41"/>
  <c r="L99" i="41"/>
  <c r="K99" i="41"/>
  <c r="L101" i="41"/>
  <c r="K101" i="41"/>
  <c r="U101" i="41"/>
  <c r="K103" i="41"/>
  <c r="L103" i="41"/>
  <c r="U103" i="41"/>
  <c r="K89" i="41"/>
  <c r="J86" i="41"/>
  <c r="K88" i="41"/>
  <c r="K90" i="41"/>
  <c r="K87" i="41"/>
  <c r="K81" i="41"/>
  <c r="K83" i="41"/>
  <c r="K85" i="41"/>
  <c r="K82" i="41"/>
  <c r="K84" i="41"/>
  <c r="K77" i="41"/>
  <c r="K79" i="41"/>
  <c r="K76" i="41"/>
  <c r="K78" i="41"/>
  <c r="K80" i="41"/>
  <c r="U75" i="41"/>
  <c r="L75" i="41"/>
  <c r="K75" i="41"/>
  <c r="K74" i="41"/>
  <c r="L73" i="41"/>
  <c r="U73" i="41"/>
  <c r="K73" i="41"/>
  <c r="K72" i="41"/>
  <c r="U71" i="41"/>
  <c r="L71" i="41"/>
  <c r="K71" i="41"/>
  <c r="K69" i="41"/>
  <c r="K70" i="41"/>
  <c r="U54" i="41"/>
  <c r="L54" i="41"/>
  <c r="K54" i="41"/>
  <c r="K55" i="41"/>
  <c r="K52" i="41"/>
  <c r="K51" i="41"/>
  <c r="K53" i="41"/>
  <c r="L48" i="41"/>
  <c r="K48" i="41"/>
  <c r="K50" i="41"/>
  <c r="L47" i="41"/>
  <c r="K47" i="41"/>
  <c r="L49" i="41"/>
  <c r="K49" i="41"/>
  <c r="U46" i="41"/>
  <c r="K46" i="41"/>
  <c r="L46" i="41"/>
  <c r="L44" i="41"/>
  <c r="K44" i="41"/>
  <c r="L45" i="41"/>
  <c r="K45" i="41"/>
  <c r="J43" i="41"/>
  <c r="K38" i="41"/>
  <c r="K40" i="41"/>
  <c r="K42" i="41"/>
  <c r="K39" i="41"/>
  <c r="K41" i="41"/>
  <c r="J36" i="41"/>
  <c r="K37" i="41"/>
  <c r="U34" i="41"/>
  <c r="L34" i="41"/>
  <c r="K34" i="41"/>
  <c r="U35" i="41"/>
  <c r="K35" i="41"/>
  <c r="L35" i="41"/>
  <c r="K32" i="41"/>
  <c r="K31" i="41"/>
  <c r="K33" i="41"/>
  <c r="J30" i="41"/>
  <c r="K25" i="41"/>
  <c r="H147" i="40"/>
  <c r="H146" i="40"/>
  <c r="G147" i="40"/>
  <c r="G146" i="40"/>
  <c r="F147" i="40"/>
  <c r="F146" i="40"/>
  <c r="F143" i="40"/>
  <c r="H141" i="40"/>
  <c r="H144" i="40"/>
  <c r="H143" i="40"/>
  <c r="H142" i="40"/>
  <c r="G141" i="40"/>
  <c r="G145" i="40"/>
  <c r="G144" i="40"/>
  <c r="G143" i="40"/>
  <c r="G142" i="40"/>
  <c r="A97" i="40"/>
  <c r="A97" i="41" s="1"/>
  <c r="A98" i="40"/>
  <c r="A98" i="41" s="1"/>
  <c r="A99" i="40"/>
  <c r="A99" i="41" s="1"/>
  <c r="A100" i="40"/>
  <c r="A100" i="41" s="1"/>
  <c r="A101" i="40"/>
  <c r="A101" i="41" s="1"/>
  <c r="A102" i="40"/>
  <c r="A102" i="41" s="1"/>
  <c r="A103" i="40"/>
  <c r="A103" i="41" s="1"/>
  <c r="A104" i="40"/>
  <c r="A104" i="41" s="1"/>
  <c r="A105" i="40"/>
  <c r="A105" i="41" s="1"/>
  <c r="A106" i="40"/>
  <c r="A106" i="41" s="1"/>
  <c r="A107" i="40"/>
  <c r="A107" i="41" s="1"/>
  <c r="A108" i="40"/>
  <c r="A108" i="41" s="1"/>
  <c r="A64" i="40"/>
  <c r="A64" i="41" s="1"/>
  <c r="A65" i="40"/>
  <c r="A65" i="41" s="1"/>
  <c r="A66" i="40"/>
  <c r="A66" i="41" s="1"/>
  <c r="A67" i="40"/>
  <c r="A67" i="41" s="1"/>
  <c r="A68" i="40"/>
  <c r="A68" i="41" s="1"/>
  <c r="A69" i="40"/>
  <c r="A69" i="41" s="1"/>
  <c r="A70" i="40"/>
  <c r="A70" i="41" s="1"/>
  <c r="A71" i="40"/>
  <c r="A71" i="41" s="1"/>
  <c r="A72" i="40"/>
  <c r="A72" i="41" s="1"/>
  <c r="A73" i="40"/>
  <c r="A73" i="41" s="1"/>
  <c r="A74" i="40"/>
  <c r="A74" i="41" s="1"/>
  <c r="A75" i="40"/>
  <c r="A75" i="41" s="1"/>
  <c r="A76" i="40"/>
  <c r="A76" i="41" s="1"/>
  <c r="A77" i="40"/>
  <c r="A77" i="41" s="1"/>
  <c r="A78" i="40"/>
  <c r="A78" i="41" s="1"/>
  <c r="A79" i="40"/>
  <c r="A79" i="41" s="1"/>
  <c r="A80" i="40"/>
  <c r="A80" i="41" s="1"/>
  <c r="A81" i="40"/>
  <c r="A81" i="41" s="1"/>
  <c r="A82" i="40"/>
  <c r="A82" i="41" s="1"/>
  <c r="A83" i="40"/>
  <c r="A83" i="41" s="1"/>
  <c r="A84" i="40"/>
  <c r="A84" i="41" s="1"/>
  <c r="A85" i="40"/>
  <c r="A85" i="41" s="1"/>
  <c r="A86" i="40"/>
  <c r="A86" i="41" s="1"/>
  <c r="A87" i="40"/>
  <c r="A87" i="41" s="1"/>
  <c r="A88" i="40"/>
  <c r="A88" i="41" s="1"/>
  <c r="A89" i="40"/>
  <c r="A89" i="41" s="1"/>
  <c r="A90" i="40"/>
  <c r="A90" i="41" s="1"/>
  <c r="A91" i="40"/>
  <c r="A91" i="41" s="1"/>
  <c r="A92" i="40"/>
  <c r="A92" i="41" s="1"/>
  <c r="A93" i="40"/>
  <c r="A93" i="41" s="1"/>
  <c r="A94" i="40"/>
  <c r="A94" i="41" s="1"/>
  <c r="A95" i="40"/>
  <c r="A95" i="41" s="1"/>
  <c r="A96" i="40"/>
  <c r="A96" i="41" s="1"/>
  <c r="A35" i="40"/>
  <c r="A35" i="41" s="1"/>
  <c r="A37" i="40"/>
  <c r="A37" i="41" s="1"/>
  <c r="A38" i="40"/>
  <c r="A38" i="41" s="1"/>
  <c r="A39" i="40"/>
  <c r="A39" i="41" s="1"/>
  <c r="A40" i="40"/>
  <c r="A40" i="41" s="1"/>
  <c r="A41" i="40"/>
  <c r="A41" i="41" s="1"/>
  <c r="A42" i="40"/>
  <c r="A42" i="41" s="1"/>
  <c r="A43" i="40"/>
  <c r="A43" i="41" s="1"/>
  <c r="A44" i="40"/>
  <c r="A44" i="41" s="1"/>
  <c r="A45" i="40"/>
  <c r="A45" i="41" s="1"/>
  <c r="A46" i="40"/>
  <c r="A46" i="41" s="1"/>
  <c r="A47" i="40"/>
  <c r="A47" i="41" s="1"/>
  <c r="A48" i="40"/>
  <c r="A48" i="41" s="1"/>
  <c r="A49" i="40"/>
  <c r="A49" i="41" s="1"/>
  <c r="A50" i="40"/>
  <c r="A50" i="41" s="1"/>
  <c r="A51" i="40"/>
  <c r="A51" i="41" s="1"/>
  <c r="A52" i="40"/>
  <c r="A52" i="41" s="1"/>
  <c r="A53" i="40"/>
  <c r="A53" i="41" s="1"/>
  <c r="A54" i="40"/>
  <c r="A54" i="41" s="1"/>
  <c r="A55" i="40"/>
  <c r="A55" i="41" s="1"/>
  <c r="A56" i="40"/>
  <c r="A56" i="41" s="1"/>
  <c r="A57" i="40"/>
  <c r="A57" i="41" s="1"/>
  <c r="A58" i="40"/>
  <c r="A58" i="41" s="1"/>
  <c r="A59" i="40"/>
  <c r="A59" i="41" s="1"/>
  <c r="A60" i="40"/>
  <c r="A60" i="41" s="1"/>
  <c r="A63" i="40"/>
  <c r="A63" i="41" s="1"/>
  <c r="A34" i="40"/>
  <c r="A34" i="41" s="1"/>
  <c r="A33" i="40"/>
  <c r="A33" i="41" s="1"/>
  <c r="A32" i="40"/>
  <c r="A32" i="41" s="1"/>
  <c r="A31" i="40"/>
  <c r="A31" i="41" s="1"/>
  <c r="A30" i="40"/>
  <c r="A30" i="41" s="1"/>
  <c r="A29" i="40"/>
  <c r="A29" i="41" s="1"/>
  <c r="A28" i="40"/>
  <c r="A28" i="41" s="1"/>
  <c r="A27" i="40"/>
  <c r="A27" i="41" s="1"/>
  <c r="A26" i="40"/>
  <c r="A26" i="41" s="1"/>
  <c r="A24" i="40"/>
  <c r="A24" i="41" s="1"/>
  <c r="A23" i="40"/>
  <c r="A23" i="41" s="1"/>
  <c r="A22" i="40"/>
  <c r="A22" i="41" s="1"/>
  <c r="A21" i="40"/>
  <c r="A21" i="41" s="1"/>
  <c r="A20" i="40"/>
  <c r="A20" i="41" s="1"/>
  <c r="A19" i="40"/>
  <c r="A19" i="41" s="1"/>
  <c r="A18" i="40"/>
  <c r="A18" i="41" s="1"/>
  <c r="A17" i="40"/>
  <c r="A17" i="41" s="1"/>
  <c r="A16" i="40"/>
  <c r="A16" i="41" s="1"/>
  <c r="A15" i="40"/>
  <c r="A15" i="41" s="1"/>
  <c r="A14" i="40"/>
  <c r="A14" i="41" s="1"/>
  <c r="A13" i="40"/>
  <c r="A13" i="41" s="1"/>
  <c r="A12" i="40"/>
  <c r="A12" i="41" s="1"/>
  <c r="A11" i="40"/>
  <c r="A11" i="41" s="1"/>
  <c r="A10" i="40"/>
  <c r="A10" i="41" s="1"/>
  <c r="A9" i="40"/>
  <c r="A9" i="41" s="1"/>
  <c r="A8" i="40"/>
  <c r="A8" i="41" s="1"/>
  <c r="A7" i="40"/>
  <c r="A7" i="41" s="1"/>
  <c r="A6" i="40"/>
  <c r="A6" i="41" s="1"/>
  <c r="A5" i="40"/>
  <c r="A5" i="41" s="1"/>
  <c r="A4" i="40"/>
  <c r="A4" i="41" s="1"/>
  <c r="A3" i="40"/>
  <c r="A3" i="41" s="1"/>
  <c r="K130" i="41" l="1"/>
  <c r="L130" i="41"/>
  <c r="K86" i="41"/>
  <c r="L43" i="41"/>
  <c r="K43" i="41"/>
  <c r="K36" i="41"/>
  <c r="K30" i="41"/>
  <c r="G149" i="40"/>
  <c r="CR64" i="10"/>
  <c r="CQ64" i="10"/>
  <c r="W64" i="10"/>
  <c r="AB64" i="10"/>
  <c r="CI64" i="10" s="1"/>
  <c r="CP64" i="10"/>
  <c r="CL64" i="10"/>
  <c r="V64" i="10"/>
  <c r="Q64" i="10"/>
  <c r="Q181" i="24" l="1"/>
  <c r="U183" i="25"/>
  <c r="T183" i="25"/>
  <c r="S183" i="25"/>
  <c r="R183" i="25"/>
  <c r="Q183" i="25"/>
  <c r="B171" i="28"/>
  <c r="B168" i="28"/>
  <c r="B159" i="28"/>
  <c r="B152" i="28"/>
  <c r="B146" i="28"/>
  <c r="B139" i="28"/>
  <c r="B133" i="28"/>
  <c r="B119" i="28"/>
  <c r="B112" i="28"/>
  <c r="B106" i="28"/>
  <c r="B100" i="28"/>
  <c r="B90" i="28"/>
  <c r="B84" i="28"/>
  <c r="B77" i="28"/>
  <c r="B72" i="28"/>
  <c r="B65" i="28"/>
  <c r="B60" i="28"/>
  <c r="B56" i="28"/>
  <c r="B54" i="28"/>
  <c r="B48" i="28"/>
  <c r="B44" i="28"/>
  <c r="B37" i="28"/>
  <c r="B31" i="28"/>
  <c r="B170" i="28"/>
  <c r="B167" i="28"/>
  <c r="B158" i="28"/>
  <c r="B145" i="28"/>
  <c r="B118" i="28"/>
  <c r="B99" i="28"/>
  <c r="B71" i="28"/>
  <c r="B166" i="28"/>
  <c r="B98" i="28"/>
  <c r="B7" i="28"/>
  <c r="B6" i="28"/>
  <c r="B5" i="28"/>
  <c r="C172" i="23"/>
  <c r="C169" i="23"/>
  <c r="C160" i="23"/>
  <c r="C153" i="23"/>
  <c r="C147" i="23"/>
  <c r="C140" i="23"/>
  <c r="C134" i="23"/>
  <c r="C120" i="23"/>
  <c r="C113" i="23"/>
  <c r="C107" i="23"/>
  <c r="C101" i="23"/>
  <c r="C91" i="23"/>
  <c r="C85" i="23"/>
  <c r="C78" i="23"/>
  <c r="C73" i="23"/>
  <c r="C66" i="23"/>
  <c r="C61" i="23"/>
  <c r="C57" i="23"/>
  <c r="C55" i="23"/>
  <c r="C49" i="23"/>
  <c r="C45" i="23"/>
  <c r="C38" i="23"/>
  <c r="C32" i="23"/>
  <c r="C171" i="23"/>
  <c r="C168" i="23"/>
  <c r="C159" i="23"/>
  <c r="C146" i="23"/>
  <c r="C119" i="23"/>
  <c r="C100" i="23"/>
  <c r="C72" i="23"/>
  <c r="C167" i="23"/>
  <c r="C99" i="23"/>
  <c r="C8" i="23"/>
  <c r="C7" i="23"/>
  <c r="C6" i="23"/>
  <c r="B172" i="24"/>
  <c r="B169" i="24"/>
  <c r="B160" i="24"/>
  <c r="B153" i="24"/>
  <c r="B147" i="24"/>
  <c r="B140" i="24"/>
  <c r="B134" i="24"/>
  <c r="B120" i="24"/>
  <c r="B113" i="24"/>
  <c r="B107" i="24"/>
  <c r="B101" i="24"/>
  <c r="B91" i="24"/>
  <c r="B85" i="24"/>
  <c r="B78" i="24"/>
  <c r="B73" i="24"/>
  <c r="B66" i="24"/>
  <c r="B61" i="24"/>
  <c r="B57" i="24"/>
  <c r="B55" i="24"/>
  <c r="B49" i="24"/>
  <c r="B45" i="24"/>
  <c r="B38" i="24"/>
  <c r="B32" i="24"/>
  <c r="B171" i="24"/>
  <c r="B168" i="24"/>
  <c r="B159" i="24"/>
  <c r="B146" i="24"/>
  <c r="B119" i="24"/>
  <c r="B72" i="24"/>
  <c r="B100" i="24"/>
  <c r="B167" i="24"/>
  <c r="B99" i="24"/>
  <c r="B8" i="24"/>
  <c r="B7" i="24"/>
  <c r="B6" i="24"/>
  <c r="B173" i="25"/>
  <c r="B170" i="25"/>
  <c r="B161" i="25"/>
  <c r="B154" i="25"/>
  <c r="B148" i="25"/>
  <c r="B141" i="25"/>
  <c r="B135" i="25"/>
  <c r="B121" i="25"/>
  <c r="B114" i="25"/>
  <c r="B108" i="25"/>
  <c r="B102" i="25"/>
  <c r="B92" i="25"/>
  <c r="B86" i="25"/>
  <c r="B79" i="25"/>
  <c r="B73" i="25"/>
  <c r="B74" i="25"/>
  <c r="B67" i="25"/>
  <c r="B62" i="25"/>
  <c r="B58" i="25"/>
  <c r="B56" i="25"/>
  <c r="B50" i="25"/>
  <c r="B46" i="25"/>
  <c r="B39" i="25"/>
  <c r="B33" i="25"/>
  <c r="B172" i="25"/>
  <c r="B169" i="25"/>
  <c r="B160" i="25"/>
  <c r="B147" i="25"/>
  <c r="B120" i="25"/>
  <c r="B101" i="25"/>
  <c r="B168" i="25"/>
  <c r="B100" i="25"/>
  <c r="B9" i="25"/>
  <c r="B8" i="25"/>
  <c r="B7" i="25"/>
  <c r="B172" i="26"/>
  <c r="B169" i="26"/>
  <c r="B160" i="26"/>
  <c r="B153" i="26"/>
  <c r="B147" i="26"/>
  <c r="B140" i="26"/>
  <c r="B134" i="26"/>
  <c r="B120" i="26"/>
  <c r="B113" i="26"/>
  <c r="B107" i="26"/>
  <c r="B101" i="26"/>
  <c r="B91" i="26"/>
  <c r="B85" i="26"/>
  <c r="B78" i="26"/>
  <c r="B73" i="26"/>
  <c r="B66" i="26"/>
  <c r="B61" i="26"/>
  <c r="B57" i="26"/>
  <c r="B55" i="26"/>
  <c r="B49" i="26"/>
  <c r="B45" i="26"/>
  <c r="B38" i="26"/>
  <c r="B32" i="26"/>
  <c r="B171" i="26"/>
  <c r="B168" i="26"/>
  <c r="B159" i="26"/>
  <c r="B146" i="26"/>
  <c r="B119" i="26"/>
  <c r="B100" i="26"/>
  <c r="B72" i="26"/>
  <c r="B8" i="26"/>
  <c r="B7" i="26"/>
  <c r="B167" i="26"/>
  <c r="B99" i="26"/>
  <c r="B6" i="26"/>
  <c r="B172" i="27"/>
  <c r="B169" i="27"/>
  <c r="B171" i="27"/>
  <c r="B168" i="27"/>
  <c r="B167" i="27"/>
  <c r="B159" i="27"/>
  <c r="B160" i="27"/>
  <c r="B153" i="27"/>
  <c r="B147" i="27"/>
  <c r="B146" i="27"/>
  <c r="B140" i="27"/>
  <c r="B134" i="27"/>
  <c r="B120" i="27"/>
  <c r="B119" i="27"/>
  <c r="B113" i="27"/>
  <c r="B107" i="27"/>
  <c r="B101" i="27"/>
  <c r="B100" i="27"/>
  <c r="B99" i="27"/>
  <c r="B91" i="27"/>
  <c r="B85" i="27"/>
  <c r="B78" i="27"/>
  <c r="B73" i="27"/>
  <c r="B72" i="27"/>
  <c r="B66" i="27"/>
  <c r="B61" i="27"/>
  <c r="B58" i="2"/>
  <c r="B57" i="27" s="1"/>
  <c r="B55" i="27"/>
  <c r="B45" i="27"/>
  <c r="B38" i="27"/>
  <c r="AK33" i="27"/>
  <c r="AK34" i="27"/>
  <c r="AK36" i="27"/>
  <c r="AK37" i="27"/>
  <c r="AK39" i="27"/>
  <c r="AK40" i="27"/>
  <c r="AK41" i="27"/>
  <c r="AK42" i="27"/>
  <c r="Q181" i="26"/>
  <c r="P181" i="26"/>
  <c r="O181" i="26"/>
  <c r="N181" i="26"/>
  <c r="M181" i="26"/>
  <c r="L181" i="26"/>
  <c r="K181" i="26"/>
  <c r="Q180" i="26"/>
  <c r="P180" i="26"/>
  <c r="O180" i="26"/>
  <c r="N180" i="26"/>
  <c r="M180" i="26"/>
  <c r="L180" i="26"/>
  <c r="K180" i="26"/>
  <c r="Q179" i="26"/>
  <c r="P179" i="26"/>
  <c r="O179" i="26"/>
  <c r="N179" i="26"/>
  <c r="M179" i="26"/>
  <c r="L179" i="26"/>
  <c r="K179" i="26"/>
  <c r="Q178" i="26"/>
  <c r="P178" i="26"/>
  <c r="O178" i="26"/>
  <c r="N178" i="26"/>
  <c r="M178" i="26"/>
  <c r="L178" i="26"/>
  <c r="K178" i="26"/>
  <c r="Q177" i="26"/>
  <c r="Q176" i="26"/>
  <c r="P176" i="26"/>
  <c r="O176" i="26"/>
  <c r="N176" i="26"/>
  <c r="M176" i="26"/>
  <c r="L176" i="26"/>
  <c r="K176" i="26"/>
  <c r="Q175" i="26"/>
  <c r="P175" i="26"/>
  <c r="O175" i="26"/>
  <c r="N175" i="26"/>
  <c r="M175" i="26"/>
  <c r="L175" i="26"/>
  <c r="K175" i="26"/>
  <c r="Q174" i="26"/>
  <c r="P174" i="26"/>
  <c r="O174" i="26"/>
  <c r="N174" i="26"/>
  <c r="M174" i="26"/>
  <c r="L174" i="26"/>
  <c r="K174" i="26"/>
  <c r="Q173" i="26"/>
  <c r="P173" i="26"/>
  <c r="O173" i="26"/>
  <c r="N173" i="26"/>
  <c r="M173" i="26"/>
  <c r="L173" i="26"/>
  <c r="K173" i="26"/>
  <c r="Q170" i="26"/>
  <c r="P170" i="26"/>
  <c r="O170" i="26"/>
  <c r="N170" i="26"/>
  <c r="M170" i="26"/>
  <c r="L170" i="26"/>
  <c r="K170" i="26"/>
  <c r="Q166" i="26"/>
  <c r="P166" i="26"/>
  <c r="O166" i="26"/>
  <c r="N166" i="26"/>
  <c r="M166" i="26"/>
  <c r="L166" i="26"/>
  <c r="K166" i="26"/>
  <c r="Q165" i="26"/>
  <c r="P165" i="26"/>
  <c r="O165" i="26"/>
  <c r="N165" i="26"/>
  <c r="M165" i="26"/>
  <c r="L165" i="26"/>
  <c r="K165" i="26"/>
  <c r="Q164" i="26"/>
  <c r="P164" i="26"/>
  <c r="O164" i="26"/>
  <c r="N164" i="26"/>
  <c r="M164" i="26"/>
  <c r="L164" i="26"/>
  <c r="K164" i="26"/>
  <c r="Q163" i="26"/>
  <c r="P163" i="26"/>
  <c r="O163" i="26"/>
  <c r="N163" i="26"/>
  <c r="M163" i="26"/>
  <c r="L163" i="26"/>
  <c r="K163" i="26"/>
  <c r="Q162" i="26"/>
  <c r="P162" i="26"/>
  <c r="O162" i="26"/>
  <c r="N162" i="26"/>
  <c r="M162" i="26"/>
  <c r="L162" i="26"/>
  <c r="K162" i="26"/>
  <c r="Q161" i="26"/>
  <c r="P161" i="26"/>
  <c r="O161" i="26"/>
  <c r="N161" i="26"/>
  <c r="M161" i="26"/>
  <c r="L161" i="26"/>
  <c r="K161" i="26"/>
  <c r="Q158" i="26"/>
  <c r="P158" i="26"/>
  <c r="O158" i="26"/>
  <c r="N158" i="26"/>
  <c r="M158" i="26"/>
  <c r="L158" i="26"/>
  <c r="K158" i="26"/>
  <c r="Q157" i="26"/>
  <c r="P157" i="26"/>
  <c r="O157" i="26"/>
  <c r="N157" i="26"/>
  <c r="M157" i="26"/>
  <c r="L157" i="26"/>
  <c r="K157" i="26"/>
  <c r="Q156" i="26"/>
  <c r="P156" i="26"/>
  <c r="O156" i="26"/>
  <c r="N156" i="26"/>
  <c r="M156" i="26"/>
  <c r="L156" i="26"/>
  <c r="K156" i="26"/>
  <c r="Q155" i="26"/>
  <c r="P155" i="26"/>
  <c r="O155" i="26"/>
  <c r="N155" i="26"/>
  <c r="M155" i="26"/>
  <c r="L155" i="26"/>
  <c r="K155" i="26"/>
  <c r="Q154" i="26"/>
  <c r="P154" i="26"/>
  <c r="O154" i="26"/>
  <c r="N154" i="26"/>
  <c r="M154" i="26"/>
  <c r="L154" i="26"/>
  <c r="K154" i="26"/>
  <c r="Q152" i="26"/>
  <c r="P152" i="26"/>
  <c r="O152" i="26"/>
  <c r="N152" i="26"/>
  <c r="M152" i="26"/>
  <c r="L152" i="26"/>
  <c r="K152" i="26"/>
  <c r="Q151" i="26"/>
  <c r="P151" i="26"/>
  <c r="O151" i="26"/>
  <c r="N151" i="26"/>
  <c r="M151" i="26"/>
  <c r="L151" i="26"/>
  <c r="K151" i="26"/>
  <c r="Q150" i="26"/>
  <c r="P150" i="26"/>
  <c r="O150" i="26"/>
  <c r="N150" i="26"/>
  <c r="M150" i="26"/>
  <c r="L150" i="26"/>
  <c r="K150" i="26"/>
  <c r="Q149" i="26"/>
  <c r="P149" i="26"/>
  <c r="O149" i="26"/>
  <c r="N149" i="26"/>
  <c r="M149" i="26"/>
  <c r="L149" i="26"/>
  <c r="K149" i="26"/>
  <c r="Q148" i="26"/>
  <c r="P148" i="26"/>
  <c r="O148" i="26"/>
  <c r="N148" i="26"/>
  <c r="M148" i="26"/>
  <c r="L148" i="26"/>
  <c r="K148" i="26"/>
  <c r="Q145" i="26"/>
  <c r="P145" i="26"/>
  <c r="O145" i="26"/>
  <c r="N145" i="26"/>
  <c r="M145" i="26"/>
  <c r="L145" i="26"/>
  <c r="K145" i="26"/>
  <c r="Q144" i="26"/>
  <c r="P144" i="26"/>
  <c r="O144" i="26"/>
  <c r="N144" i="26"/>
  <c r="M144" i="26"/>
  <c r="L144" i="26"/>
  <c r="K144" i="26"/>
  <c r="Q143" i="26"/>
  <c r="P143" i="26"/>
  <c r="O143" i="26"/>
  <c r="N143" i="26"/>
  <c r="M143" i="26"/>
  <c r="L143" i="26"/>
  <c r="K143" i="26"/>
  <c r="Q142" i="26"/>
  <c r="P142" i="26"/>
  <c r="O142" i="26"/>
  <c r="N142" i="26"/>
  <c r="M142" i="26"/>
  <c r="L142" i="26"/>
  <c r="K142" i="26"/>
  <c r="Q141" i="26"/>
  <c r="P141" i="26"/>
  <c r="O141" i="26"/>
  <c r="N141" i="26"/>
  <c r="M141" i="26"/>
  <c r="L141" i="26"/>
  <c r="K141" i="26"/>
  <c r="Q139" i="26"/>
  <c r="P139" i="26"/>
  <c r="O139" i="26"/>
  <c r="N139" i="26"/>
  <c r="M139" i="26"/>
  <c r="L139" i="26"/>
  <c r="K139" i="26"/>
  <c r="Q138" i="26"/>
  <c r="P138" i="26"/>
  <c r="O138" i="26"/>
  <c r="N138" i="26"/>
  <c r="M138" i="26"/>
  <c r="L138" i="26"/>
  <c r="K138" i="26"/>
  <c r="Q137" i="26"/>
  <c r="P137" i="26"/>
  <c r="O137" i="26"/>
  <c r="N137" i="26"/>
  <c r="M137" i="26"/>
  <c r="L137" i="26"/>
  <c r="K137" i="26"/>
  <c r="Q136" i="26"/>
  <c r="P136" i="26"/>
  <c r="O136" i="26"/>
  <c r="N136" i="26"/>
  <c r="M136" i="26"/>
  <c r="L136" i="26"/>
  <c r="K136" i="26"/>
  <c r="Q135" i="26"/>
  <c r="P135" i="26"/>
  <c r="O135" i="26"/>
  <c r="N135" i="26"/>
  <c r="M135" i="26"/>
  <c r="L135" i="26"/>
  <c r="K135" i="26"/>
  <c r="Q133" i="26"/>
  <c r="P133" i="26"/>
  <c r="O133" i="26"/>
  <c r="N133" i="26"/>
  <c r="M133" i="26"/>
  <c r="L133" i="26"/>
  <c r="K133" i="26"/>
  <c r="Q132" i="26"/>
  <c r="P132" i="26"/>
  <c r="O132" i="26"/>
  <c r="N132" i="26"/>
  <c r="M132" i="26"/>
  <c r="L132" i="26"/>
  <c r="K132" i="26"/>
  <c r="Q131" i="26"/>
  <c r="P131" i="26"/>
  <c r="O131" i="26"/>
  <c r="N131" i="26"/>
  <c r="M131" i="26"/>
  <c r="L131" i="26"/>
  <c r="K131" i="26"/>
  <c r="Q130" i="26"/>
  <c r="P130" i="26"/>
  <c r="O130" i="26"/>
  <c r="N130" i="26"/>
  <c r="M130" i="26"/>
  <c r="L130" i="26"/>
  <c r="K130" i="26"/>
  <c r="Q129" i="26"/>
  <c r="P129" i="26"/>
  <c r="O129" i="26"/>
  <c r="N129" i="26"/>
  <c r="M129" i="26"/>
  <c r="L129" i="26"/>
  <c r="K129" i="26"/>
  <c r="Q128" i="26"/>
  <c r="P128" i="26"/>
  <c r="O128" i="26"/>
  <c r="N128" i="26"/>
  <c r="M128" i="26"/>
  <c r="L128" i="26"/>
  <c r="K128" i="26"/>
  <c r="Q127" i="26"/>
  <c r="P127" i="26"/>
  <c r="O127" i="26"/>
  <c r="N127" i="26"/>
  <c r="M127" i="26"/>
  <c r="L127" i="26"/>
  <c r="K127" i="26"/>
  <c r="Q126" i="26"/>
  <c r="P126" i="26"/>
  <c r="O126" i="26"/>
  <c r="N126" i="26"/>
  <c r="M126" i="26"/>
  <c r="L126" i="26"/>
  <c r="K126" i="26"/>
  <c r="Q125" i="26"/>
  <c r="P125" i="26"/>
  <c r="O125" i="26"/>
  <c r="N125" i="26"/>
  <c r="M125" i="26"/>
  <c r="L125" i="26"/>
  <c r="K125" i="26"/>
  <c r="Q124" i="26"/>
  <c r="P124" i="26"/>
  <c r="O124" i="26"/>
  <c r="N124" i="26"/>
  <c r="M124" i="26"/>
  <c r="L124" i="26"/>
  <c r="K124" i="26"/>
  <c r="Q123" i="26"/>
  <c r="P123" i="26"/>
  <c r="O123" i="26"/>
  <c r="N123" i="26"/>
  <c r="M123" i="26"/>
  <c r="L123" i="26"/>
  <c r="K123" i="26"/>
  <c r="Q122" i="26"/>
  <c r="P122" i="26"/>
  <c r="O122" i="26"/>
  <c r="N122" i="26"/>
  <c r="M122" i="26"/>
  <c r="L122" i="26"/>
  <c r="K122" i="26"/>
  <c r="Q121" i="26"/>
  <c r="P121" i="26"/>
  <c r="O121" i="26"/>
  <c r="N121" i="26"/>
  <c r="M121" i="26"/>
  <c r="L121" i="26"/>
  <c r="K121" i="26"/>
  <c r="Q118" i="26"/>
  <c r="P118" i="26"/>
  <c r="O118" i="26"/>
  <c r="N118" i="26"/>
  <c r="M118" i="26"/>
  <c r="L118" i="26"/>
  <c r="K118" i="26"/>
  <c r="Q117" i="26"/>
  <c r="P117" i="26"/>
  <c r="O117" i="26"/>
  <c r="N117" i="26"/>
  <c r="M117" i="26"/>
  <c r="L117" i="26"/>
  <c r="K117" i="26"/>
  <c r="Q116" i="26"/>
  <c r="P116" i="26"/>
  <c r="O116" i="26"/>
  <c r="N116" i="26"/>
  <c r="M116" i="26"/>
  <c r="L116" i="26"/>
  <c r="K116" i="26"/>
  <c r="Q115" i="26"/>
  <c r="P115" i="26"/>
  <c r="O115" i="26"/>
  <c r="N115" i="26"/>
  <c r="M115" i="26"/>
  <c r="L115" i="26"/>
  <c r="K115" i="26"/>
  <c r="Q114" i="26"/>
  <c r="P114" i="26"/>
  <c r="O114" i="26"/>
  <c r="N114" i="26"/>
  <c r="M114" i="26"/>
  <c r="L114" i="26"/>
  <c r="K114" i="26"/>
  <c r="Q112" i="26"/>
  <c r="P112" i="26"/>
  <c r="O112" i="26"/>
  <c r="N112" i="26"/>
  <c r="M112" i="26"/>
  <c r="L112" i="26"/>
  <c r="K112" i="26"/>
  <c r="Q111" i="26"/>
  <c r="P111" i="26"/>
  <c r="O111" i="26"/>
  <c r="N111" i="26"/>
  <c r="M111" i="26"/>
  <c r="L111" i="26"/>
  <c r="K111" i="26"/>
  <c r="Q110" i="26"/>
  <c r="P110" i="26"/>
  <c r="O110" i="26"/>
  <c r="N110" i="26"/>
  <c r="M110" i="26"/>
  <c r="L110" i="26"/>
  <c r="K110" i="26"/>
  <c r="Q109" i="26"/>
  <c r="P109" i="26"/>
  <c r="O109" i="26"/>
  <c r="N109" i="26"/>
  <c r="M109" i="26"/>
  <c r="L109" i="26"/>
  <c r="K109" i="26"/>
  <c r="Q108" i="26"/>
  <c r="P108" i="26"/>
  <c r="O108" i="26"/>
  <c r="N108" i="26"/>
  <c r="M108" i="26"/>
  <c r="L108" i="26"/>
  <c r="K108" i="26"/>
  <c r="Q106" i="26"/>
  <c r="P106" i="26"/>
  <c r="O106" i="26"/>
  <c r="N106" i="26"/>
  <c r="M106" i="26"/>
  <c r="L106" i="26"/>
  <c r="K106" i="26"/>
  <c r="Q105" i="26"/>
  <c r="P105" i="26"/>
  <c r="O105" i="26"/>
  <c r="N105" i="26"/>
  <c r="M105" i="26"/>
  <c r="L105" i="26"/>
  <c r="K105" i="26"/>
  <c r="Q104" i="26"/>
  <c r="P104" i="26"/>
  <c r="O104" i="26"/>
  <c r="N104" i="26"/>
  <c r="M104" i="26"/>
  <c r="L104" i="26"/>
  <c r="K104" i="26"/>
  <c r="Q103" i="26"/>
  <c r="P103" i="26"/>
  <c r="O103" i="26"/>
  <c r="N103" i="26"/>
  <c r="M103" i="26"/>
  <c r="L103" i="26"/>
  <c r="K103" i="26"/>
  <c r="Q102" i="26"/>
  <c r="P102" i="26"/>
  <c r="O102" i="26"/>
  <c r="N102" i="26"/>
  <c r="M102" i="26"/>
  <c r="L102" i="26"/>
  <c r="K102" i="26"/>
  <c r="Q98" i="26"/>
  <c r="P98" i="26"/>
  <c r="O98" i="26"/>
  <c r="N98" i="26"/>
  <c r="M98" i="26"/>
  <c r="L98" i="26"/>
  <c r="K98" i="26"/>
  <c r="Q97" i="26"/>
  <c r="P97" i="26"/>
  <c r="O97" i="26"/>
  <c r="N97" i="26"/>
  <c r="M97" i="26"/>
  <c r="L97" i="26"/>
  <c r="K97" i="26"/>
  <c r="Q96" i="26"/>
  <c r="P96" i="26"/>
  <c r="O96" i="26"/>
  <c r="N96" i="26"/>
  <c r="M96" i="26"/>
  <c r="L96" i="26"/>
  <c r="K96" i="26"/>
  <c r="Q95" i="26"/>
  <c r="P95" i="26"/>
  <c r="O95" i="26"/>
  <c r="N95" i="26"/>
  <c r="M95" i="26"/>
  <c r="L95" i="26"/>
  <c r="K95" i="26"/>
  <c r="Q94" i="26"/>
  <c r="P94" i="26"/>
  <c r="O94" i="26"/>
  <c r="N94" i="26"/>
  <c r="M94" i="26"/>
  <c r="L94" i="26"/>
  <c r="K94" i="26"/>
  <c r="Q93" i="26"/>
  <c r="P93" i="26"/>
  <c r="O93" i="26"/>
  <c r="N93" i="26"/>
  <c r="M93" i="26"/>
  <c r="L93" i="26"/>
  <c r="K93" i="26"/>
  <c r="Q92" i="26"/>
  <c r="P92" i="26"/>
  <c r="O92" i="26"/>
  <c r="N92" i="26"/>
  <c r="M92" i="26"/>
  <c r="L92" i="26"/>
  <c r="K92" i="26"/>
  <c r="Q90" i="26"/>
  <c r="P90" i="26"/>
  <c r="O90" i="26"/>
  <c r="N90" i="26"/>
  <c r="M90" i="26"/>
  <c r="L90" i="26"/>
  <c r="K90" i="26"/>
  <c r="Q89" i="26"/>
  <c r="P89" i="26"/>
  <c r="O89" i="26"/>
  <c r="N89" i="26"/>
  <c r="M89" i="26"/>
  <c r="L89" i="26"/>
  <c r="K89" i="26"/>
  <c r="Q88" i="26"/>
  <c r="P88" i="26"/>
  <c r="O88" i="26"/>
  <c r="N88" i="26"/>
  <c r="M88" i="26"/>
  <c r="L88" i="26"/>
  <c r="K88" i="26"/>
  <c r="Q87" i="26"/>
  <c r="P87" i="26"/>
  <c r="O87" i="26"/>
  <c r="N87" i="26"/>
  <c r="M87" i="26"/>
  <c r="L87" i="26"/>
  <c r="K87" i="26"/>
  <c r="Q86" i="26"/>
  <c r="P86" i="26"/>
  <c r="O86" i="26"/>
  <c r="N86" i="26"/>
  <c r="M86" i="26"/>
  <c r="L86" i="26"/>
  <c r="K86" i="26"/>
  <c r="Q84" i="26"/>
  <c r="P84" i="26"/>
  <c r="O84" i="26"/>
  <c r="N84" i="26"/>
  <c r="M84" i="26"/>
  <c r="L84" i="26"/>
  <c r="K84" i="26"/>
  <c r="Q83" i="26"/>
  <c r="P83" i="26"/>
  <c r="O83" i="26"/>
  <c r="N83" i="26"/>
  <c r="M83" i="26"/>
  <c r="L83" i="26"/>
  <c r="K83" i="26"/>
  <c r="Q82" i="26"/>
  <c r="Q81" i="26"/>
  <c r="P81" i="26"/>
  <c r="O81" i="26"/>
  <c r="N81" i="26"/>
  <c r="M81" i="26"/>
  <c r="L81" i="26"/>
  <c r="K81" i="26"/>
  <c r="Q80" i="26"/>
  <c r="P80" i="26"/>
  <c r="O80" i="26"/>
  <c r="N80" i="26"/>
  <c r="M80" i="26"/>
  <c r="L80" i="26"/>
  <c r="K80" i="26"/>
  <c r="Q79" i="26"/>
  <c r="P79" i="26"/>
  <c r="O79" i="26"/>
  <c r="N79" i="26"/>
  <c r="M79" i="26"/>
  <c r="L79" i="26"/>
  <c r="K79" i="26"/>
  <c r="Q77" i="26"/>
  <c r="P77" i="26"/>
  <c r="O77" i="26"/>
  <c r="N77" i="26"/>
  <c r="M77" i="26"/>
  <c r="L77" i="26"/>
  <c r="K77" i="26"/>
  <c r="Q76" i="26"/>
  <c r="P76" i="26"/>
  <c r="O76" i="26"/>
  <c r="N76" i="26"/>
  <c r="M76" i="26"/>
  <c r="L76" i="26"/>
  <c r="K76" i="26"/>
  <c r="Q75" i="26"/>
  <c r="P75" i="26"/>
  <c r="O75" i="26"/>
  <c r="N75" i="26"/>
  <c r="M75" i="26"/>
  <c r="L75" i="26"/>
  <c r="K75" i="26"/>
  <c r="Q74" i="26"/>
  <c r="P74" i="26"/>
  <c r="O74" i="26"/>
  <c r="N74" i="26"/>
  <c r="M74" i="26"/>
  <c r="L74" i="26"/>
  <c r="K74" i="26"/>
  <c r="Q71" i="26"/>
  <c r="P71" i="26"/>
  <c r="O71" i="26"/>
  <c r="N71" i="26"/>
  <c r="M71" i="26"/>
  <c r="L71" i="26"/>
  <c r="K71" i="26"/>
  <c r="Q70" i="26"/>
  <c r="P70" i="26"/>
  <c r="O70" i="26"/>
  <c r="N70" i="26"/>
  <c r="M70" i="26"/>
  <c r="L70" i="26"/>
  <c r="K70" i="26"/>
  <c r="Q69" i="26"/>
  <c r="P69" i="26"/>
  <c r="O69" i="26"/>
  <c r="N69" i="26"/>
  <c r="M69" i="26"/>
  <c r="L69" i="26"/>
  <c r="K69" i="26"/>
  <c r="Q68" i="26"/>
  <c r="P68" i="26"/>
  <c r="O68" i="26"/>
  <c r="N68" i="26"/>
  <c r="M68" i="26"/>
  <c r="L68" i="26"/>
  <c r="K68" i="26"/>
  <c r="Q67" i="26"/>
  <c r="P67" i="26"/>
  <c r="O67" i="26"/>
  <c r="N67" i="26"/>
  <c r="M67" i="26"/>
  <c r="L67" i="26"/>
  <c r="K67" i="26"/>
  <c r="Q65" i="26"/>
  <c r="P65" i="26"/>
  <c r="O65" i="26"/>
  <c r="N65" i="26"/>
  <c r="M65" i="26"/>
  <c r="L65" i="26"/>
  <c r="K65" i="26"/>
  <c r="Q64" i="26"/>
  <c r="P64" i="26"/>
  <c r="O64" i="26"/>
  <c r="N64" i="26"/>
  <c r="M64" i="26"/>
  <c r="L64" i="26"/>
  <c r="K64" i="26"/>
  <c r="Q63" i="26"/>
  <c r="P63" i="26"/>
  <c r="O63" i="26"/>
  <c r="N63" i="26"/>
  <c r="M63" i="26"/>
  <c r="L63" i="26"/>
  <c r="K63" i="26"/>
  <c r="Q62" i="26"/>
  <c r="P62" i="26"/>
  <c r="O62" i="26"/>
  <c r="N62" i="26"/>
  <c r="M62" i="26"/>
  <c r="L62" i="26"/>
  <c r="K62" i="26"/>
  <c r="Q60" i="26"/>
  <c r="P60" i="26"/>
  <c r="O60" i="26"/>
  <c r="N60" i="26"/>
  <c r="M60" i="26"/>
  <c r="L60" i="26"/>
  <c r="K60" i="26"/>
  <c r="Q59" i="26"/>
  <c r="P59" i="26"/>
  <c r="O59" i="26"/>
  <c r="N59" i="26"/>
  <c r="M59" i="26"/>
  <c r="L59" i="26"/>
  <c r="K59" i="26"/>
  <c r="Q58" i="26"/>
  <c r="P58" i="26"/>
  <c r="O58" i="26"/>
  <c r="N58" i="26"/>
  <c r="M58" i="26"/>
  <c r="L58" i="26"/>
  <c r="K58" i="26"/>
  <c r="Q56" i="26"/>
  <c r="P56" i="26"/>
  <c r="O56" i="26"/>
  <c r="N56" i="26"/>
  <c r="M56" i="26"/>
  <c r="L56" i="26"/>
  <c r="K56" i="26"/>
  <c r="Q54" i="26"/>
  <c r="P54" i="26"/>
  <c r="O54" i="26"/>
  <c r="N54" i="26"/>
  <c r="M54" i="26"/>
  <c r="L54" i="26"/>
  <c r="K54" i="26"/>
  <c r="Q53" i="26"/>
  <c r="P53" i="26"/>
  <c r="O53" i="26"/>
  <c r="N53" i="26"/>
  <c r="M53" i="26"/>
  <c r="L53" i="26"/>
  <c r="K53" i="26"/>
  <c r="Q52" i="26"/>
  <c r="P52" i="26"/>
  <c r="O52" i="26"/>
  <c r="N52" i="26"/>
  <c r="M52" i="26"/>
  <c r="L52" i="26"/>
  <c r="K52" i="26"/>
  <c r="Q51" i="26"/>
  <c r="P51" i="26"/>
  <c r="O51" i="26"/>
  <c r="N51" i="26"/>
  <c r="M51" i="26"/>
  <c r="L51" i="26"/>
  <c r="K51" i="26"/>
  <c r="Q50" i="26"/>
  <c r="P50" i="26"/>
  <c r="O50" i="26"/>
  <c r="N50" i="26"/>
  <c r="M50" i="26"/>
  <c r="L50" i="26"/>
  <c r="K50" i="26"/>
  <c r="Q31" i="26"/>
  <c r="P31" i="26"/>
  <c r="O31" i="26"/>
  <c r="N31" i="26"/>
  <c r="M31" i="26"/>
  <c r="L31" i="26"/>
  <c r="K31" i="26"/>
  <c r="Q30" i="26"/>
  <c r="P30" i="26"/>
  <c r="O30" i="26"/>
  <c r="N30" i="26"/>
  <c r="M30" i="26"/>
  <c r="L30" i="26"/>
  <c r="K30" i="26"/>
  <c r="Q29" i="26"/>
  <c r="P29" i="26"/>
  <c r="O29" i="26"/>
  <c r="N29" i="26"/>
  <c r="M29" i="26"/>
  <c r="L29" i="26"/>
  <c r="K29" i="26"/>
  <c r="Q28" i="26"/>
  <c r="P28" i="26"/>
  <c r="O28" i="26"/>
  <c r="N28" i="26"/>
  <c r="M28" i="26"/>
  <c r="L28" i="26"/>
  <c r="K28" i="26"/>
  <c r="Q27" i="26"/>
  <c r="P27" i="26"/>
  <c r="O27" i="26"/>
  <c r="N27" i="26"/>
  <c r="M27" i="26"/>
  <c r="L27" i="26"/>
  <c r="K27" i="26"/>
  <c r="Q26" i="26"/>
  <c r="P26" i="26"/>
  <c r="O26" i="26"/>
  <c r="N26" i="26"/>
  <c r="M26" i="26"/>
  <c r="L26" i="26"/>
  <c r="K26" i="26"/>
  <c r="Q25" i="26"/>
  <c r="P25" i="26"/>
  <c r="O25" i="26"/>
  <c r="N25" i="26"/>
  <c r="M25" i="26"/>
  <c r="L25" i="26"/>
  <c r="K25" i="26"/>
  <c r="Q24" i="26"/>
  <c r="P24" i="26"/>
  <c r="O24" i="26"/>
  <c r="N24" i="26"/>
  <c r="M24" i="26"/>
  <c r="L24" i="26"/>
  <c r="K24" i="26"/>
  <c r="Q23" i="26"/>
  <c r="P23" i="26"/>
  <c r="O23" i="26"/>
  <c r="N23" i="26"/>
  <c r="M23" i="26"/>
  <c r="L23" i="26"/>
  <c r="K23" i="26"/>
  <c r="Q22" i="26"/>
  <c r="P22" i="26"/>
  <c r="O22" i="26"/>
  <c r="N22" i="26"/>
  <c r="M22" i="26"/>
  <c r="L22" i="26"/>
  <c r="K22" i="26"/>
  <c r="Q21" i="26"/>
  <c r="P21" i="26"/>
  <c r="O21" i="26"/>
  <c r="N21" i="26"/>
  <c r="M21" i="26"/>
  <c r="L21" i="26"/>
  <c r="K21" i="26"/>
  <c r="Q20" i="26"/>
  <c r="P20" i="26"/>
  <c r="O20" i="26"/>
  <c r="N20" i="26"/>
  <c r="M20" i="26"/>
  <c r="L20" i="26"/>
  <c r="K20" i="26"/>
  <c r="Q19" i="26"/>
  <c r="P19" i="26"/>
  <c r="O19" i="26"/>
  <c r="N19" i="26"/>
  <c r="M19" i="26"/>
  <c r="L19" i="26"/>
  <c r="K19" i="26"/>
  <c r="Q18" i="26"/>
  <c r="P18" i="26"/>
  <c r="O18" i="26"/>
  <c r="N18" i="26"/>
  <c r="M18" i="26"/>
  <c r="L18" i="26"/>
  <c r="K18" i="26"/>
  <c r="Q17" i="26"/>
  <c r="P17" i="26"/>
  <c r="O17" i="26"/>
  <c r="N17" i="26"/>
  <c r="M17" i="26"/>
  <c r="L17" i="26"/>
  <c r="K17" i="26"/>
  <c r="Q16" i="26"/>
  <c r="P16" i="26"/>
  <c r="O16" i="26"/>
  <c r="N16" i="26"/>
  <c r="M16" i="26"/>
  <c r="L16" i="26"/>
  <c r="K16" i="26"/>
  <c r="Q15" i="26"/>
  <c r="P15" i="26"/>
  <c r="O15" i="26"/>
  <c r="N15" i="26"/>
  <c r="M15" i="26"/>
  <c r="L15" i="26"/>
  <c r="K15" i="26"/>
  <c r="Q14" i="26"/>
  <c r="P14" i="26"/>
  <c r="O14" i="26"/>
  <c r="N14" i="26"/>
  <c r="M14" i="26"/>
  <c r="L14" i="26"/>
  <c r="K14" i="26"/>
  <c r="Q13" i="26"/>
  <c r="P13" i="26"/>
  <c r="O13" i="26"/>
  <c r="N13" i="26"/>
  <c r="M13" i="26"/>
  <c r="L13" i="26"/>
  <c r="K13" i="26"/>
  <c r="Q12" i="26"/>
  <c r="P12" i="26"/>
  <c r="O12" i="26"/>
  <c r="N12" i="26"/>
  <c r="M12" i="26"/>
  <c r="L12" i="26"/>
  <c r="K12" i="26"/>
  <c r="Q11" i="26"/>
  <c r="P11" i="26"/>
  <c r="O11" i="26"/>
  <c r="N11" i="26"/>
  <c r="M11" i="26"/>
  <c r="L11" i="26"/>
  <c r="K11" i="26"/>
  <c r="Q10" i="26"/>
  <c r="P10" i="26"/>
  <c r="O10" i="26"/>
  <c r="N10" i="26"/>
  <c r="M10" i="26"/>
  <c r="L10" i="26"/>
  <c r="K10" i="26"/>
  <c r="Q9" i="26"/>
  <c r="P9" i="26"/>
  <c r="O9" i="26"/>
  <c r="N9" i="26"/>
  <c r="M9" i="26"/>
  <c r="L9" i="26"/>
  <c r="K9" i="26"/>
  <c r="Q37" i="26"/>
  <c r="P37" i="26"/>
  <c r="O37" i="26"/>
  <c r="N37" i="26"/>
  <c r="M37" i="26"/>
  <c r="L37" i="26"/>
  <c r="K37" i="26"/>
  <c r="Q36" i="26"/>
  <c r="P36" i="26"/>
  <c r="O36" i="26"/>
  <c r="N36" i="26"/>
  <c r="M36" i="26"/>
  <c r="L36" i="26"/>
  <c r="K36" i="26"/>
  <c r="Q35" i="26"/>
  <c r="P35" i="26"/>
  <c r="O35" i="26"/>
  <c r="N35" i="26"/>
  <c r="M35" i="26"/>
  <c r="L35" i="26"/>
  <c r="K35" i="26"/>
  <c r="Q34" i="26"/>
  <c r="P34" i="26"/>
  <c r="O34" i="26"/>
  <c r="N34" i="26"/>
  <c r="M34" i="26"/>
  <c r="L34" i="26"/>
  <c r="K34" i="26"/>
  <c r="Q33" i="26"/>
  <c r="P33" i="26"/>
  <c r="O33" i="26"/>
  <c r="N33" i="26"/>
  <c r="M33" i="26"/>
  <c r="L33" i="26"/>
  <c r="K33" i="26"/>
  <c r="Q48" i="26"/>
  <c r="P48" i="26"/>
  <c r="O48" i="26"/>
  <c r="N48" i="26"/>
  <c r="M48" i="26"/>
  <c r="L48" i="26"/>
  <c r="K48" i="26"/>
  <c r="Q47" i="26"/>
  <c r="P47" i="26"/>
  <c r="O47" i="26"/>
  <c r="N47" i="26"/>
  <c r="M47" i="26"/>
  <c r="L47" i="26"/>
  <c r="K47" i="26"/>
  <c r="Q46" i="26"/>
  <c r="Q44" i="26"/>
  <c r="P44" i="26"/>
  <c r="O44" i="26"/>
  <c r="N44" i="26"/>
  <c r="M44" i="26"/>
  <c r="L44" i="26"/>
  <c r="K44" i="26"/>
  <c r="Q43" i="26"/>
  <c r="P43" i="26"/>
  <c r="O43" i="26"/>
  <c r="N43" i="26"/>
  <c r="M43" i="26"/>
  <c r="L43" i="26"/>
  <c r="K43" i="26"/>
  <c r="Q42" i="26"/>
  <c r="P42" i="26"/>
  <c r="O42" i="26"/>
  <c r="N42" i="26"/>
  <c r="M42" i="26"/>
  <c r="L42" i="26"/>
  <c r="K42" i="26"/>
  <c r="Q41" i="26"/>
  <c r="P41" i="26"/>
  <c r="O41" i="26"/>
  <c r="N41" i="26"/>
  <c r="M41" i="26"/>
  <c r="L41" i="26"/>
  <c r="K41" i="26"/>
  <c r="Q40" i="26"/>
  <c r="P40" i="26"/>
  <c r="O40" i="26"/>
  <c r="N40" i="26"/>
  <c r="M40" i="26"/>
  <c r="L40" i="26"/>
  <c r="K40" i="26"/>
  <c r="P39" i="26"/>
  <c r="O39" i="26"/>
  <c r="N39" i="26"/>
  <c r="M39" i="26"/>
  <c r="L39" i="26"/>
  <c r="K39" i="26"/>
  <c r="Q39" i="26"/>
  <c r="V181" i="26" l="1"/>
  <c r="V180" i="26"/>
  <c r="V179" i="26"/>
  <c r="V178" i="26"/>
  <c r="V176" i="26"/>
  <c r="V175" i="26"/>
  <c r="V174" i="26"/>
  <c r="V173" i="26"/>
  <c r="V170" i="26"/>
  <c r="V166" i="26"/>
  <c r="V165" i="26"/>
  <c r="V164" i="26"/>
  <c r="V163" i="26"/>
  <c r="V162" i="26"/>
  <c r="V161" i="26"/>
  <c r="V158" i="26"/>
  <c r="V157" i="26"/>
  <c r="V156" i="26"/>
  <c r="V155" i="26"/>
  <c r="V154" i="26"/>
  <c r="V152" i="26"/>
  <c r="V151" i="26"/>
  <c r="V150" i="26"/>
  <c r="V149" i="26"/>
  <c r="V148" i="26"/>
  <c r="V145" i="26"/>
  <c r="V144" i="26"/>
  <c r="V143" i="26"/>
  <c r="V142" i="26"/>
  <c r="V141" i="26"/>
  <c r="V139" i="26"/>
  <c r="V138" i="26"/>
  <c r="V137" i="26"/>
  <c r="V136" i="26"/>
  <c r="V135" i="26"/>
  <c r="V133" i="26"/>
  <c r="V132" i="26"/>
  <c r="V131" i="26"/>
  <c r="V130" i="26"/>
  <c r="V129" i="26"/>
  <c r="V128" i="26"/>
  <c r="V127" i="26"/>
  <c r="V126" i="26"/>
  <c r="V125" i="26"/>
  <c r="V124" i="26"/>
  <c r="V123" i="26"/>
  <c r="V122" i="26"/>
  <c r="V121" i="26"/>
  <c r="V118" i="26"/>
  <c r="V117" i="26"/>
  <c r="V116" i="26"/>
  <c r="V115" i="26"/>
  <c r="V114" i="26"/>
  <c r="V112" i="26"/>
  <c r="V111" i="26"/>
  <c r="V110" i="26"/>
  <c r="V109" i="26"/>
  <c r="V108" i="26"/>
  <c r="V106" i="26"/>
  <c r="V105" i="26"/>
  <c r="V104" i="26"/>
  <c r="V103" i="26"/>
  <c r="V102" i="26"/>
  <c r="V98" i="26"/>
  <c r="V97" i="26"/>
  <c r="V96" i="26"/>
  <c r="V95" i="26"/>
  <c r="V94" i="26"/>
  <c r="V93" i="26"/>
  <c r="V92" i="26"/>
  <c r="V90" i="26"/>
  <c r="V89" i="26"/>
  <c r="V88" i="26"/>
  <c r="V87" i="26"/>
  <c r="V86" i="26"/>
  <c r="V84" i="26"/>
  <c r="V83" i="26"/>
  <c r="V81" i="26"/>
  <c r="V80" i="26"/>
  <c r="V79" i="26"/>
  <c r="V77" i="26"/>
  <c r="V76" i="26"/>
  <c r="V75" i="26"/>
  <c r="V74" i="26"/>
  <c r="V71" i="26"/>
  <c r="V70" i="26"/>
  <c r="V69" i="26"/>
  <c r="V68" i="26"/>
  <c r="V67" i="26"/>
  <c r="V65" i="26"/>
  <c r="V64" i="26"/>
  <c r="V63" i="26"/>
  <c r="V62" i="26"/>
  <c r="V60" i="26"/>
  <c r="V59" i="26"/>
  <c r="V58" i="26"/>
  <c r="V56" i="26"/>
  <c r="V54" i="26"/>
  <c r="V53" i="26"/>
  <c r="V52" i="26"/>
  <c r="V51" i="26"/>
  <c r="V50" i="26"/>
  <c r="V48" i="26"/>
  <c r="V47" i="26"/>
  <c r="V44" i="26"/>
  <c r="V43" i="26"/>
  <c r="V42" i="26"/>
  <c r="V41" i="26"/>
  <c r="V40" i="26"/>
  <c r="V39" i="26"/>
  <c r="V37" i="26"/>
  <c r="V36" i="26"/>
  <c r="V35" i="26"/>
  <c r="V34" i="26"/>
  <c r="V33" i="26"/>
  <c r="V31" i="26"/>
  <c r="V30" i="26"/>
  <c r="V29" i="26"/>
  <c r="V28" i="26"/>
  <c r="V27" i="26"/>
  <c r="V26" i="26"/>
  <c r="V25" i="26"/>
  <c r="V24" i="26"/>
  <c r="V23" i="26"/>
  <c r="V22" i="26"/>
  <c r="V21" i="26"/>
  <c r="V20" i="26"/>
  <c r="V19" i="26"/>
  <c r="V18" i="26"/>
  <c r="V17" i="26"/>
  <c r="V16" i="26"/>
  <c r="V15" i="26"/>
  <c r="V14" i="26"/>
  <c r="V13" i="26"/>
  <c r="V12" i="26"/>
  <c r="V11" i="26"/>
  <c r="V10" i="26"/>
  <c r="V9" i="26"/>
  <c r="W181" i="26"/>
  <c r="W180" i="26"/>
  <c r="W179" i="26"/>
  <c r="W178" i="26"/>
  <c r="W177" i="26"/>
  <c r="W176" i="26"/>
  <c r="W175" i="26"/>
  <c r="W174" i="26"/>
  <c r="W173" i="26"/>
  <c r="W172" i="26"/>
  <c r="W171" i="26"/>
  <c r="W170" i="26"/>
  <c r="W169" i="26"/>
  <c r="W168" i="26"/>
  <c r="W167" i="26"/>
  <c r="W166" i="26"/>
  <c r="W165" i="26"/>
  <c r="W164" i="26"/>
  <c r="W163" i="26"/>
  <c r="W162" i="26"/>
  <c r="W161" i="26"/>
  <c r="W160" i="26"/>
  <c r="W159" i="26"/>
  <c r="W158" i="26"/>
  <c r="W157" i="26"/>
  <c r="W156" i="26"/>
  <c r="W155" i="26"/>
  <c r="W154" i="26"/>
  <c r="W153" i="26"/>
  <c r="W152" i="26"/>
  <c r="W151" i="26"/>
  <c r="W150" i="26"/>
  <c r="W149" i="26"/>
  <c r="W148" i="26"/>
  <c r="W147" i="26"/>
  <c r="W146" i="26"/>
  <c r="W145" i="26"/>
  <c r="W144" i="26"/>
  <c r="W143" i="26"/>
  <c r="W142" i="26"/>
  <c r="W141" i="26"/>
  <c r="W140" i="26"/>
  <c r="W139" i="26"/>
  <c r="W138" i="26"/>
  <c r="W137" i="26"/>
  <c r="W136" i="26"/>
  <c r="W135" i="26"/>
  <c r="W134" i="26"/>
  <c r="W133" i="26"/>
  <c r="W132" i="26"/>
  <c r="W131" i="26"/>
  <c r="W130" i="26"/>
  <c r="W129" i="26"/>
  <c r="W128" i="26"/>
  <c r="W127" i="26"/>
  <c r="W126" i="26"/>
  <c r="W125" i="26"/>
  <c r="W124" i="26"/>
  <c r="W123" i="26"/>
  <c r="W122" i="26"/>
  <c r="W121" i="26"/>
  <c r="W120" i="26"/>
  <c r="W119" i="26"/>
  <c r="W118" i="26"/>
  <c r="W117" i="26"/>
  <c r="W116" i="26"/>
  <c r="W115" i="26"/>
  <c r="W114" i="26"/>
  <c r="W113" i="26"/>
  <c r="W112" i="26"/>
  <c r="W111" i="26"/>
  <c r="W110" i="26"/>
  <c r="W109" i="26"/>
  <c r="W108" i="26"/>
  <c r="W107" i="26"/>
  <c r="W106" i="26"/>
  <c r="W105" i="26"/>
  <c r="W104" i="26"/>
  <c r="W103" i="26"/>
  <c r="W102" i="26"/>
  <c r="W101" i="26"/>
  <c r="W100" i="26"/>
  <c r="W99" i="26"/>
  <c r="W98" i="26"/>
  <c r="W97" i="26"/>
  <c r="W96" i="26"/>
  <c r="W95" i="26"/>
  <c r="W94" i="26"/>
  <c r="W93" i="26"/>
  <c r="W92" i="26"/>
  <c r="W91" i="26"/>
  <c r="W90" i="26"/>
  <c r="W89" i="26"/>
  <c r="W88" i="26"/>
  <c r="W87" i="26"/>
  <c r="W86" i="26"/>
  <c r="W85" i="26"/>
  <c r="W84" i="26"/>
  <c r="W83" i="26"/>
  <c r="W82" i="26"/>
  <c r="W81" i="26"/>
  <c r="W80" i="26"/>
  <c r="W79" i="26"/>
  <c r="W78" i="26"/>
  <c r="W77" i="26"/>
  <c r="W76" i="26"/>
  <c r="W75" i="26"/>
  <c r="W74" i="26"/>
  <c r="W73" i="26"/>
  <c r="W72" i="26"/>
  <c r="W71" i="26"/>
  <c r="W70" i="26"/>
  <c r="W69" i="26"/>
  <c r="W68" i="26"/>
  <c r="W67" i="26"/>
  <c r="W66" i="26"/>
  <c r="W65" i="26"/>
  <c r="W64" i="26"/>
  <c r="W63" i="26"/>
  <c r="W62" i="26"/>
  <c r="W61" i="26"/>
  <c r="W60" i="26"/>
  <c r="W59" i="26"/>
  <c r="W58" i="26"/>
  <c r="W57" i="26"/>
  <c r="W56" i="26"/>
  <c r="W55" i="26"/>
  <c r="W54" i="26"/>
  <c r="W53" i="26"/>
  <c r="W52" i="26"/>
  <c r="W51" i="26"/>
  <c r="W50" i="26"/>
  <c r="W49" i="26"/>
  <c r="W48" i="26"/>
  <c r="W47" i="26"/>
  <c r="W46" i="26"/>
  <c r="W45" i="26"/>
  <c r="W44" i="26"/>
  <c r="W43" i="26"/>
  <c r="W42" i="26"/>
  <c r="W41" i="26"/>
  <c r="W40" i="26"/>
  <c r="W39" i="26"/>
  <c r="W38" i="26"/>
  <c r="W37" i="26"/>
  <c r="W36" i="26"/>
  <c r="W35" i="26"/>
  <c r="W34" i="26"/>
  <c r="W33" i="26"/>
  <c r="W32" i="26"/>
  <c r="W31" i="26"/>
  <c r="W30" i="26"/>
  <c r="W29" i="26"/>
  <c r="W28" i="26"/>
  <c r="W27" i="26"/>
  <c r="W26" i="26"/>
  <c r="W25" i="26"/>
  <c r="W24" i="26"/>
  <c r="W23" i="26"/>
  <c r="W22" i="26"/>
  <c r="W21" i="26"/>
  <c r="W20" i="26"/>
  <c r="W19" i="26"/>
  <c r="W18" i="26"/>
  <c r="W17" i="26"/>
  <c r="W16" i="26"/>
  <c r="W15" i="26"/>
  <c r="W14" i="26"/>
  <c r="W13" i="26"/>
  <c r="W12" i="26"/>
  <c r="W11" i="26"/>
  <c r="W10" i="26"/>
  <c r="W9" i="26"/>
  <c r="AP119" i="28" l="1"/>
  <c r="AM119" i="28"/>
  <c r="AL119" i="28"/>
  <c r="AH119" i="28"/>
  <c r="AG119" i="28"/>
  <c r="AC119" i="28"/>
  <c r="AB119" i="28"/>
  <c r="X119" i="28"/>
  <c r="W119" i="28"/>
  <c r="S119" i="28"/>
  <c r="R119" i="28"/>
  <c r="N119" i="28"/>
  <c r="M119" i="28"/>
  <c r="AP90" i="28"/>
  <c r="AL90" i="28"/>
  <c r="AG90" i="28"/>
  <c r="AC90" i="28"/>
  <c r="AB90" i="28"/>
  <c r="X90" i="28"/>
  <c r="W90" i="28"/>
  <c r="R90" i="28"/>
  <c r="M90" i="28"/>
  <c r="AP6" i="28"/>
  <c r="AL6" i="28"/>
  <c r="AH6" i="28"/>
  <c r="AG6" i="28"/>
  <c r="AB6" i="28"/>
  <c r="W6" i="28"/>
  <c r="R6" i="28"/>
  <c r="M6" i="28"/>
  <c r="AP7" i="28"/>
  <c r="AM7" i="28"/>
  <c r="AL7" i="28"/>
  <c r="AH7" i="28"/>
  <c r="AG7" i="28"/>
  <c r="AF7" i="28"/>
  <c r="AC7" i="28"/>
  <c r="AB7" i="28"/>
  <c r="AA7" i="28"/>
  <c r="X7" i="28"/>
  <c r="W7" i="28"/>
  <c r="V7" i="28"/>
  <c r="S7" i="28"/>
  <c r="R7" i="28"/>
  <c r="Q7" i="28"/>
  <c r="N7" i="28"/>
  <c r="M7" i="28"/>
  <c r="L7" i="28"/>
  <c r="AP31" i="28"/>
  <c r="AM31" i="28"/>
  <c r="AL31" i="28"/>
  <c r="AH31" i="28"/>
  <c r="AG31" i="28"/>
  <c r="AC31" i="28"/>
  <c r="AB31" i="28"/>
  <c r="AA31" i="28"/>
  <c r="X31" i="28"/>
  <c r="W31" i="28"/>
  <c r="S31" i="28"/>
  <c r="R31" i="28"/>
  <c r="N31" i="28"/>
  <c r="M31" i="28"/>
  <c r="AP37" i="28"/>
  <c r="AL37" i="28"/>
  <c r="AH37" i="28"/>
  <c r="AG37" i="28"/>
  <c r="AC37" i="28"/>
  <c r="AB37" i="28"/>
  <c r="W37" i="28"/>
  <c r="R37" i="28"/>
  <c r="M37" i="28"/>
  <c r="AP44" i="28"/>
  <c r="AL44" i="28"/>
  <c r="AH44" i="28"/>
  <c r="AG44" i="28"/>
  <c r="AC44" i="28"/>
  <c r="AB44" i="28"/>
  <c r="W44" i="28"/>
  <c r="R44" i="28"/>
  <c r="M44" i="28"/>
  <c r="AP48" i="28"/>
  <c r="AL48" i="28"/>
  <c r="AH48" i="28"/>
  <c r="AG48" i="28"/>
  <c r="AB48" i="28"/>
  <c r="X48" i="28"/>
  <c r="W48" i="28"/>
  <c r="S48" i="28"/>
  <c r="R48" i="28"/>
  <c r="M48" i="28"/>
  <c r="AP54" i="28"/>
  <c r="AL54" i="28"/>
  <c r="AH54" i="28"/>
  <c r="AG54" i="28"/>
  <c r="AB54" i="28"/>
  <c r="X54" i="28"/>
  <c r="W54" i="28"/>
  <c r="S54" i="28"/>
  <c r="R54" i="28"/>
  <c r="M54" i="28"/>
  <c r="AP56" i="28"/>
  <c r="AM56" i="28"/>
  <c r="AL56" i="28"/>
  <c r="AH56" i="28"/>
  <c r="AG56" i="28"/>
  <c r="AC56" i="28"/>
  <c r="AB56" i="28"/>
  <c r="X56" i="28"/>
  <c r="W56" i="28"/>
  <c r="S56" i="28"/>
  <c r="R56" i="28"/>
  <c r="N56" i="28"/>
  <c r="M56" i="28"/>
  <c r="AP60" i="28"/>
  <c r="AL60" i="28"/>
  <c r="AH60" i="28"/>
  <c r="AG60" i="28"/>
  <c r="AC60" i="28"/>
  <c r="AB60" i="28"/>
  <c r="W60" i="28"/>
  <c r="R60" i="28"/>
  <c r="M60" i="28"/>
  <c r="AP65" i="28"/>
  <c r="AM65" i="28"/>
  <c r="AL65" i="28"/>
  <c r="AH65" i="28"/>
  <c r="AG65" i="28"/>
  <c r="AC65" i="28"/>
  <c r="AB65" i="28"/>
  <c r="X65" i="28"/>
  <c r="W65" i="28"/>
  <c r="S65" i="28"/>
  <c r="R65" i="28"/>
  <c r="N65" i="28"/>
  <c r="M65" i="28"/>
  <c r="AP71" i="28"/>
  <c r="AP5" i="28" s="1"/>
  <c r="AL71" i="28"/>
  <c r="AL5" i="28" s="1"/>
  <c r="AG71" i="28"/>
  <c r="AG5" i="28" s="1"/>
  <c r="AC71" i="28"/>
  <c r="AB71" i="28"/>
  <c r="AB5" i="28" s="1"/>
  <c r="X71" i="28"/>
  <c r="W71" i="28"/>
  <c r="W5" i="28" s="1"/>
  <c r="R71" i="28"/>
  <c r="R5" i="28" s="1"/>
  <c r="M71" i="28"/>
  <c r="M5" i="28" s="1"/>
  <c r="AP72" i="28"/>
  <c r="AM72" i="28"/>
  <c r="AL72" i="28"/>
  <c r="AH72" i="28"/>
  <c r="AG72" i="28"/>
  <c r="AC72" i="28"/>
  <c r="AB72" i="28"/>
  <c r="X72" i="28"/>
  <c r="W72" i="28"/>
  <c r="S72" i="28"/>
  <c r="R72" i="28"/>
  <c r="N72" i="28"/>
  <c r="M72" i="28"/>
  <c r="AP77" i="28"/>
  <c r="AL77" i="28"/>
  <c r="AH77" i="28"/>
  <c r="AG77" i="28"/>
  <c r="AC77" i="28"/>
  <c r="AB77" i="28"/>
  <c r="X77" i="28"/>
  <c r="W77" i="28"/>
  <c r="R77" i="28"/>
  <c r="M77" i="28"/>
  <c r="AP84" i="28"/>
  <c r="AL84" i="28"/>
  <c r="AH84" i="28"/>
  <c r="AG84" i="28"/>
  <c r="AC84" i="28"/>
  <c r="AB84" i="28"/>
  <c r="X84" i="28"/>
  <c r="W84" i="28"/>
  <c r="R84" i="28"/>
  <c r="M84" i="28"/>
  <c r="AP99" i="28"/>
  <c r="AM99" i="28"/>
  <c r="AL99" i="28"/>
  <c r="AH99" i="28"/>
  <c r="AG99" i="28"/>
  <c r="AC99" i="28"/>
  <c r="AB99" i="28"/>
  <c r="X99" i="28"/>
  <c r="W99" i="28"/>
  <c r="S99" i="28"/>
  <c r="R99" i="28"/>
  <c r="N99" i="28"/>
  <c r="M99" i="28"/>
  <c r="AP100" i="28"/>
  <c r="AM100" i="28"/>
  <c r="AL100" i="28"/>
  <c r="AH100" i="28"/>
  <c r="AG100" i="28"/>
  <c r="AC100" i="28"/>
  <c r="AB100" i="28"/>
  <c r="X100" i="28"/>
  <c r="W100" i="28"/>
  <c r="S100" i="28"/>
  <c r="R100" i="28"/>
  <c r="N100" i="28"/>
  <c r="M100" i="28"/>
  <c r="AP106" i="28"/>
  <c r="AM106" i="28"/>
  <c r="AL106" i="28"/>
  <c r="AH106" i="28"/>
  <c r="AG106" i="28"/>
  <c r="AC106" i="28"/>
  <c r="AB106" i="28"/>
  <c r="X106" i="28"/>
  <c r="W106" i="28"/>
  <c r="S106" i="28"/>
  <c r="R106" i="28"/>
  <c r="N106" i="28"/>
  <c r="M106" i="28"/>
  <c r="AP112" i="28"/>
  <c r="AM112" i="28"/>
  <c r="AL112" i="28"/>
  <c r="AH112" i="28"/>
  <c r="AG112" i="28"/>
  <c r="AC112" i="28"/>
  <c r="AB112" i="28"/>
  <c r="X112" i="28"/>
  <c r="W112" i="28"/>
  <c r="S112" i="28"/>
  <c r="R112" i="28"/>
  <c r="N112" i="28"/>
  <c r="M112" i="28"/>
  <c r="AP118" i="28"/>
  <c r="AP98" i="28" s="1"/>
  <c r="AM118" i="28"/>
  <c r="AL118" i="28"/>
  <c r="AL98" i="28" s="1"/>
  <c r="AH118" i="28"/>
  <c r="AH98" i="28" s="1"/>
  <c r="AG118" i="28"/>
  <c r="AG98" i="28" s="1"/>
  <c r="AC118" i="28"/>
  <c r="AC98" i="28" s="1"/>
  <c r="AB118" i="28"/>
  <c r="AB98" i="28" s="1"/>
  <c r="X118" i="28"/>
  <c r="W118" i="28"/>
  <c r="W98" i="28" s="1"/>
  <c r="S118" i="28"/>
  <c r="R118" i="28"/>
  <c r="R98" i="28" s="1"/>
  <c r="N118" i="28"/>
  <c r="M118" i="28"/>
  <c r="M98" i="28" s="1"/>
  <c r="AP133" i="28"/>
  <c r="AM133" i="28"/>
  <c r="AL133" i="28"/>
  <c r="AH133" i="28"/>
  <c r="AG133" i="28"/>
  <c r="AC133" i="28"/>
  <c r="AB133" i="28"/>
  <c r="X133" i="28"/>
  <c r="W133" i="28"/>
  <c r="S133" i="28"/>
  <c r="R133" i="28"/>
  <c r="N133" i="28"/>
  <c r="M133" i="28"/>
  <c r="AP139" i="28"/>
  <c r="AM139" i="28"/>
  <c r="AL139" i="28"/>
  <c r="AH139" i="28"/>
  <c r="AG139" i="28"/>
  <c r="AC139" i="28"/>
  <c r="AB139" i="28"/>
  <c r="X139" i="28"/>
  <c r="W139" i="28"/>
  <c r="S139" i="28"/>
  <c r="R139" i="28"/>
  <c r="N139" i="28"/>
  <c r="M139" i="28"/>
  <c r="AP145" i="28"/>
  <c r="AL145" i="28"/>
  <c r="AH145" i="28"/>
  <c r="AG145" i="28"/>
  <c r="AC145" i="28"/>
  <c r="AB145" i="28"/>
  <c r="W145" i="28"/>
  <c r="R145" i="28"/>
  <c r="M145" i="28"/>
  <c r="AP146" i="28"/>
  <c r="AL146" i="28"/>
  <c r="AH146" i="28"/>
  <c r="AG146" i="28"/>
  <c r="AC146" i="28"/>
  <c r="AB146" i="28"/>
  <c r="W146" i="28"/>
  <c r="R146" i="28"/>
  <c r="M146" i="28"/>
  <c r="AP152" i="28"/>
  <c r="AL152" i="28"/>
  <c r="AH152" i="28"/>
  <c r="AG152" i="28"/>
  <c r="AC152" i="28"/>
  <c r="AB152" i="28"/>
  <c r="X152" i="28"/>
  <c r="W152" i="28"/>
  <c r="R152" i="28"/>
  <c r="M152" i="28"/>
  <c r="AP158" i="28"/>
  <c r="AM158" i="28"/>
  <c r="AL158" i="28"/>
  <c r="AH158" i="28"/>
  <c r="AG158" i="28"/>
  <c r="AC158" i="28"/>
  <c r="AB158" i="28"/>
  <c r="X158" i="28"/>
  <c r="W158" i="28"/>
  <c r="S158" i="28"/>
  <c r="R158" i="28"/>
  <c r="N158" i="28"/>
  <c r="M158" i="28"/>
  <c r="AP159" i="28"/>
  <c r="AM159" i="28"/>
  <c r="AL159" i="28"/>
  <c r="AH159" i="28"/>
  <c r="AG159" i="28"/>
  <c r="AC159" i="28"/>
  <c r="AB159" i="28"/>
  <c r="X159" i="28"/>
  <c r="W159" i="28"/>
  <c r="S159" i="28"/>
  <c r="R159" i="28"/>
  <c r="N159" i="28"/>
  <c r="M159" i="28"/>
  <c r="AP167" i="28"/>
  <c r="AM167" i="28"/>
  <c r="AL167" i="28"/>
  <c r="AH167" i="28"/>
  <c r="AG167" i="28"/>
  <c r="AC167" i="28"/>
  <c r="AB167" i="28"/>
  <c r="X167" i="28"/>
  <c r="W167" i="28"/>
  <c r="S167" i="28"/>
  <c r="R167" i="28"/>
  <c r="N167" i="28"/>
  <c r="M167" i="28"/>
  <c r="AP168" i="28"/>
  <c r="AM168" i="28"/>
  <c r="AL168" i="28"/>
  <c r="AH168" i="28"/>
  <c r="AG168" i="28"/>
  <c r="AC168" i="28"/>
  <c r="AB168" i="28"/>
  <c r="X168" i="28"/>
  <c r="W168" i="28"/>
  <c r="S168" i="28"/>
  <c r="R168" i="28"/>
  <c r="N168" i="28"/>
  <c r="M168" i="28"/>
  <c r="AP171" i="28"/>
  <c r="AP170" i="28" s="1"/>
  <c r="AP166" i="28" s="1"/>
  <c r="AL171" i="28"/>
  <c r="AL170" i="28" s="1"/>
  <c r="AL166" i="28" s="1"/>
  <c r="AH171" i="28"/>
  <c r="AH170" i="28" s="1"/>
  <c r="AH166" i="28" s="1"/>
  <c r="AG171" i="28"/>
  <c r="AG170" i="28" s="1"/>
  <c r="AG166" i="28" s="1"/>
  <c r="AC171" i="28"/>
  <c r="AC170" i="28" s="1"/>
  <c r="AC166" i="28" s="1"/>
  <c r="AB171" i="28"/>
  <c r="AB170" i="28" s="1"/>
  <c r="AB166" i="28" s="1"/>
  <c r="X171" i="28"/>
  <c r="X170" i="28" s="1"/>
  <c r="X166" i="28" s="1"/>
  <c r="W171" i="28"/>
  <c r="W170" i="28" s="1"/>
  <c r="W166" i="28" s="1"/>
  <c r="R171" i="28"/>
  <c r="R170" i="28" s="1"/>
  <c r="R166" i="28" s="1"/>
  <c r="M171" i="28"/>
  <c r="M170" i="28" s="1"/>
  <c r="M166" i="28" s="1"/>
  <c r="B132" i="28"/>
  <c r="A132" i="28"/>
  <c r="L90" i="41" l="1"/>
  <c r="L89" i="41"/>
  <c r="L88" i="41"/>
  <c r="L87" i="41"/>
  <c r="L86" i="41"/>
  <c r="W91" i="20"/>
  <c r="L67" i="41"/>
  <c r="L66" i="41"/>
  <c r="L64" i="41"/>
  <c r="L65" i="41"/>
  <c r="L72" i="41" l="1"/>
  <c r="L70" i="41"/>
  <c r="B84" i="27" l="1"/>
  <c r="B83" i="27"/>
  <c r="B82" i="27"/>
  <c r="B81" i="27"/>
  <c r="B80" i="27"/>
  <c r="B79" i="27"/>
  <c r="B32" i="27"/>
  <c r="B182" i="25"/>
  <c r="B181" i="25"/>
  <c r="B180" i="25"/>
  <c r="B179" i="25"/>
  <c r="B178" i="25"/>
  <c r="B177" i="25"/>
  <c r="B176" i="25"/>
  <c r="B175" i="25"/>
  <c r="B174" i="25"/>
  <c r="B171" i="25"/>
  <c r="B167" i="25"/>
  <c r="B166" i="25"/>
  <c r="B165" i="25"/>
  <c r="B164" i="25"/>
  <c r="B163" i="25"/>
  <c r="B162" i="25"/>
  <c r="B159" i="25"/>
  <c r="B158" i="25"/>
  <c r="B157" i="25"/>
  <c r="B156" i="25"/>
  <c r="B155" i="25"/>
  <c r="B153" i="25"/>
  <c r="B152" i="25"/>
  <c r="B151" i="25"/>
  <c r="B150" i="25"/>
  <c r="B149" i="25"/>
  <c r="B146" i="25"/>
  <c r="B145" i="25"/>
  <c r="B144" i="25"/>
  <c r="B143" i="25"/>
  <c r="B142" i="25"/>
  <c r="B140" i="25"/>
  <c r="B139" i="25"/>
  <c r="B138" i="25"/>
  <c r="B137" i="25"/>
  <c r="B136" i="25"/>
  <c r="B134" i="25"/>
  <c r="B133" i="25"/>
  <c r="B132" i="25"/>
  <c r="B131" i="25"/>
  <c r="B130" i="25"/>
  <c r="B129" i="25"/>
  <c r="B128" i="25"/>
  <c r="B127" i="25"/>
  <c r="B126" i="25"/>
  <c r="B125" i="25"/>
  <c r="B124" i="25"/>
  <c r="B123" i="25"/>
  <c r="B122" i="25"/>
  <c r="B119" i="25"/>
  <c r="B118" i="25"/>
  <c r="B117" i="25"/>
  <c r="B116" i="25"/>
  <c r="B115" i="25"/>
  <c r="B113" i="25"/>
  <c r="B112" i="25"/>
  <c r="B111" i="25"/>
  <c r="B110" i="25"/>
  <c r="B109" i="25"/>
  <c r="B107" i="25"/>
  <c r="B106" i="25"/>
  <c r="B105" i="25"/>
  <c r="B104" i="25"/>
  <c r="B103" i="25"/>
  <c r="B99" i="25"/>
  <c r="B98" i="25"/>
  <c r="B97" i="25"/>
  <c r="B96" i="25"/>
  <c r="B95" i="25"/>
  <c r="B94" i="25"/>
  <c r="B93" i="25"/>
  <c r="B91" i="25"/>
  <c r="B90" i="25"/>
  <c r="B89" i="25"/>
  <c r="B88" i="25"/>
  <c r="B87" i="25"/>
  <c r="B85" i="25"/>
  <c r="B84" i="25"/>
  <c r="B83" i="25"/>
  <c r="B82" i="25"/>
  <c r="B81" i="25"/>
  <c r="B80" i="25"/>
  <c r="B78" i="25"/>
  <c r="B77" i="25"/>
  <c r="B76" i="25"/>
  <c r="B75" i="25"/>
  <c r="B72" i="25"/>
  <c r="B71" i="25"/>
  <c r="B70" i="25"/>
  <c r="B69" i="25"/>
  <c r="B68" i="25"/>
  <c r="B66" i="25"/>
  <c r="B65" i="25"/>
  <c r="B64" i="25"/>
  <c r="B63" i="25"/>
  <c r="B61" i="25"/>
  <c r="B60" i="25"/>
  <c r="B59" i="25"/>
  <c r="B57" i="25"/>
  <c r="B55" i="25"/>
  <c r="B54" i="25"/>
  <c r="B53" i="25"/>
  <c r="B52" i="25"/>
  <c r="B51" i="25"/>
  <c r="B49" i="25"/>
  <c r="B48" i="25"/>
  <c r="B47" i="25"/>
  <c r="B45" i="25"/>
  <c r="B44" i="25"/>
  <c r="B43" i="25"/>
  <c r="B42" i="25"/>
  <c r="B41" i="25"/>
  <c r="B40" i="25"/>
  <c r="B38" i="25"/>
  <c r="B37" i="25"/>
  <c r="B36" i="25"/>
  <c r="B35" i="25"/>
  <c r="B34" i="25"/>
  <c r="B32" i="25"/>
  <c r="B31" i="25"/>
  <c r="B30" i="25"/>
  <c r="B29" i="25"/>
  <c r="B28" i="25"/>
  <c r="B27" i="25"/>
  <c r="B26" i="25"/>
  <c r="B25" i="25"/>
  <c r="B24" i="25"/>
  <c r="B23" i="25"/>
  <c r="B22" i="25"/>
  <c r="B21" i="25"/>
  <c r="B20" i="25"/>
  <c r="B19" i="25"/>
  <c r="B18" i="25"/>
  <c r="B17" i="25"/>
  <c r="B16" i="25"/>
  <c r="B15" i="25"/>
  <c r="B14" i="25"/>
  <c r="B13" i="25"/>
  <c r="B12" i="25"/>
  <c r="B11" i="25"/>
  <c r="B10" i="25"/>
  <c r="AO180" i="28"/>
  <c r="AO179" i="28"/>
  <c r="AO178" i="28"/>
  <c r="AO177" i="28"/>
  <c r="AO176" i="28"/>
  <c r="AO175" i="28"/>
  <c r="AO174" i="28"/>
  <c r="AO173" i="28"/>
  <c r="AO172" i="28"/>
  <c r="AO169" i="28"/>
  <c r="AO168" i="28" s="1"/>
  <c r="AO167" i="28" s="1"/>
  <c r="AO165" i="28"/>
  <c r="AO164" i="28"/>
  <c r="AO163" i="28"/>
  <c r="AO162" i="28"/>
  <c r="AO161" i="28"/>
  <c r="AO160" i="28"/>
  <c r="AO157" i="28"/>
  <c r="AO156" i="28"/>
  <c r="AO155" i="28"/>
  <c r="AO154" i="28"/>
  <c r="AO153" i="28"/>
  <c r="AO151" i="28"/>
  <c r="AO150" i="28"/>
  <c r="AO149" i="28"/>
  <c r="AO148" i="28"/>
  <c r="AO147" i="28"/>
  <c r="Q6" i="7"/>
  <c r="Q5" i="7"/>
  <c r="Q7" i="7"/>
  <c r="AK7" i="28"/>
  <c r="B180" i="28"/>
  <c r="B179" i="28"/>
  <c r="B178" i="28"/>
  <c r="B177" i="28"/>
  <c r="B176" i="28"/>
  <c r="B175" i="28"/>
  <c r="B174" i="28"/>
  <c r="B173" i="28"/>
  <c r="B172" i="28"/>
  <c r="B169" i="28"/>
  <c r="B165" i="28"/>
  <c r="B164" i="28"/>
  <c r="B163" i="28"/>
  <c r="B162" i="28"/>
  <c r="B161" i="28"/>
  <c r="B160" i="28"/>
  <c r="B157" i="28"/>
  <c r="B156" i="28"/>
  <c r="B155" i="28"/>
  <c r="B154" i="28"/>
  <c r="B153" i="28"/>
  <c r="B151" i="28"/>
  <c r="B150" i="28"/>
  <c r="B149" i="28"/>
  <c r="B148" i="28"/>
  <c r="B147" i="28"/>
  <c r="B144" i="28"/>
  <c r="B143" i="28"/>
  <c r="B142" i="28"/>
  <c r="B141" i="28"/>
  <c r="B140" i="28"/>
  <c r="B135" i="28"/>
  <c r="B136" i="28"/>
  <c r="B137" i="28"/>
  <c r="B138" i="28"/>
  <c r="B134" i="28"/>
  <c r="B131" i="28"/>
  <c r="B130" i="28"/>
  <c r="B129" i="28"/>
  <c r="B128" i="28"/>
  <c r="B127" i="28"/>
  <c r="B126" i="28"/>
  <c r="B125" i="28"/>
  <c r="B124" i="28"/>
  <c r="B123" i="28"/>
  <c r="B122" i="28"/>
  <c r="B121" i="28"/>
  <c r="B120" i="28"/>
  <c r="B117" i="28"/>
  <c r="B116" i="28"/>
  <c r="B115" i="28"/>
  <c r="B114" i="28"/>
  <c r="B113" i="28"/>
  <c r="B111" i="28"/>
  <c r="B110" i="28"/>
  <c r="B109" i="28"/>
  <c r="B108" i="28"/>
  <c r="B107" i="28"/>
  <c r="B105" i="28"/>
  <c r="B104" i="28"/>
  <c r="B103" i="28"/>
  <c r="B102" i="28"/>
  <c r="B101" i="28"/>
  <c r="B97" i="28"/>
  <c r="B96" i="28"/>
  <c r="B95" i="28"/>
  <c r="B94" i="28"/>
  <c r="B93" i="28"/>
  <c r="B92" i="28"/>
  <c r="B91" i="28"/>
  <c r="B89" i="28"/>
  <c r="B88" i="28"/>
  <c r="B87" i="28"/>
  <c r="B86" i="28"/>
  <c r="B85" i="28"/>
  <c r="B83" i="28"/>
  <c r="B82" i="28"/>
  <c r="B81" i="28"/>
  <c r="B80" i="28"/>
  <c r="B79" i="28"/>
  <c r="B78" i="28"/>
  <c r="B76" i="28"/>
  <c r="B75" i="28"/>
  <c r="B74" i="28"/>
  <c r="B73" i="28"/>
  <c r="B70" i="28"/>
  <c r="B69" i="28"/>
  <c r="B68" i="28"/>
  <c r="B67" i="28"/>
  <c r="B66" i="28"/>
  <c r="B64" i="28"/>
  <c r="B63" i="28"/>
  <c r="B62" i="28"/>
  <c r="B61" i="28"/>
  <c r="B59" i="28"/>
  <c r="B58" i="28"/>
  <c r="B57" i="28"/>
  <c r="B55" i="28"/>
  <c r="B53" i="28"/>
  <c r="B52" i="28"/>
  <c r="B51" i="28"/>
  <c r="B50" i="28"/>
  <c r="B49" i="28"/>
  <c r="B47" i="28"/>
  <c r="B46" i="28"/>
  <c r="B45" i="28"/>
  <c r="B43" i="28"/>
  <c r="B42" i="28"/>
  <c r="B41" i="28"/>
  <c r="B40" i="28"/>
  <c r="B39" i="28"/>
  <c r="B38" i="28"/>
  <c r="B36" i="28"/>
  <c r="B35" i="28"/>
  <c r="B34" i="28"/>
  <c r="B33" i="28"/>
  <c r="B32" i="28"/>
  <c r="B9" i="28"/>
  <c r="B10" i="28"/>
  <c r="B11" i="28"/>
  <c r="B12" i="28"/>
  <c r="B13" i="28"/>
  <c r="B14" i="28"/>
  <c r="B15" i="28"/>
  <c r="B16" i="28"/>
  <c r="B17" i="28"/>
  <c r="B18" i="28"/>
  <c r="B19" i="28"/>
  <c r="B20" i="28"/>
  <c r="B21" i="28"/>
  <c r="B22" i="28"/>
  <c r="B23" i="28"/>
  <c r="B24" i="28"/>
  <c r="B25" i="28"/>
  <c r="B26" i="28"/>
  <c r="B27" i="28"/>
  <c r="B28" i="28"/>
  <c r="B29" i="28"/>
  <c r="B30" i="28"/>
  <c r="B8" i="28"/>
  <c r="B181" i="27"/>
  <c r="B180" i="27"/>
  <c r="B179" i="27"/>
  <c r="B178" i="27"/>
  <c r="B177" i="27"/>
  <c r="B176" i="27"/>
  <c r="B175" i="27"/>
  <c r="B174" i="27"/>
  <c r="B173" i="27"/>
  <c r="B170" i="27"/>
  <c r="B166" i="27"/>
  <c r="B165" i="27"/>
  <c r="B164" i="27"/>
  <c r="B163" i="27"/>
  <c r="B162" i="27"/>
  <c r="B161" i="27"/>
  <c r="B158" i="27"/>
  <c r="B157" i="27"/>
  <c r="B156" i="27"/>
  <c r="B155" i="27"/>
  <c r="B154" i="27"/>
  <c r="B152" i="27"/>
  <c r="B151" i="27"/>
  <c r="B150" i="27"/>
  <c r="B149" i="27"/>
  <c r="B148" i="27"/>
  <c r="B145" i="27"/>
  <c r="B144" i="27"/>
  <c r="B143" i="27"/>
  <c r="B142" i="27"/>
  <c r="B141" i="27"/>
  <c r="B139" i="27"/>
  <c r="B138" i="27"/>
  <c r="B137" i="27"/>
  <c r="B136" i="27"/>
  <c r="B135" i="27"/>
  <c r="B133" i="27"/>
  <c r="B132" i="27"/>
  <c r="B131" i="27"/>
  <c r="B130" i="27"/>
  <c r="B129" i="27"/>
  <c r="B128" i="27"/>
  <c r="B127" i="27"/>
  <c r="B126" i="27"/>
  <c r="B125" i="27"/>
  <c r="B124" i="27"/>
  <c r="B123" i="27"/>
  <c r="B122" i="27"/>
  <c r="B121" i="27"/>
  <c r="B118" i="27"/>
  <c r="B117" i="27"/>
  <c r="B116" i="27"/>
  <c r="B115" i="27"/>
  <c r="B114" i="27"/>
  <c r="B112" i="27"/>
  <c r="B111" i="27"/>
  <c r="B110" i="27"/>
  <c r="B109" i="27"/>
  <c r="B108" i="27"/>
  <c r="B106" i="27"/>
  <c r="B105" i="27"/>
  <c r="B104" i="27"/>
  <c r="B103" i="27"/>
  <c r="B102" i="27"/>
  <c r="B98" i="27"/>
  <c r="B97" i="27"/>
  <c r="B96" i="27"/>
  <c r="B95" i="27"/>
  <c r="B94" i="27"/>
  <c r="B93" i="27"/>
  <c r="B92" i="27"/>
  <c r="B90" i="27"/>
  <c r="B89" i="27"/>
  <c r="B88" i="27"/>
  <c r="B87" i="27"/>
  <c r="B86" i="27"/>
  <c r="B77" i="27"/>
  <c r="B76" i="27"/>
  <c r="B75" i="27"/>
  <c r="B74" i="27"/>
  <c r="B71" i="27"/>
  <c r="B70" i="27"/>
  <c r="B69" i="27"/>
  <c r="B68" i="27"/>
  <c r="B67" i="27"/>
  <c r="B65" i="27"/>
  <c r="B64" i="27"/>
  <c r="B63" i="27"/>
  <c r="B62" i="27"/>
  <c r="B60" i="27"/>
  <c r="B59" i="27"/>
  <c r="B58" i="27"/>
  <c r="B56" i="27"/>
  <c r="B54" i="27"/>
  <c r="B53" i="27"/>
  <c r="B52" i="27"/>
  <c r="B51" i="27"/>
  <c r="B50" i="27"/>
  <c r="B48" i="27"/>
  <c r="B47" i="27"/>
  <c r="B46" i="27"/>
  <c r="B44" i="27"/>
  <c r="B43" i="27"/>
  <c r="B42" i="27"/>
  <c r="B41" i="27"/>
  <c r="B40" i="27"/>
  <c r="B39" i="27"/>
  <c r="B37" i="27"/>
  <c r="B36" i="27"/>
  <c r="B35" i="27"/>
  <c r="B34" i="27"/>
  <c r="B33" i="27"/>
  <c r="B10" i="27"/>
  <c r="B11" i="27"/>
  <c r="B12" i="27"/>
  <c r="B13" i="27"/>
  <c r="B14" i="27"/>
  <c r="B15" i="27"/>
  <c r="B16" i="27"/>
  <c r="B17" i="27"/>
  <c r="B18" i="27"/>
  <c r="B19" i="27"/>
  <c r="B20" i="27"/>
  <c r="B21" i="27"/>
  <c r="B22" i="27"/>
  <c r="B23" i="27"/>
  <c r="B24" i="27"/>
  <c r="B25" i="27"/>
  <c r="B26" i="27"/>
  <c r="B27" i="27"/>
  <c r="B28" i="27"/>
  <c r="B29" i="27"/>
  <c r="B30" i="27"/>
  <c r="B31" i="27"/>
  <c r="B9" i="27"/>
  <c r="AI181" i="27"/>
  <c r="AJ172" i="27"/>
  <c r="AJ171" i="27" s="1"/>
  <c r="AJ169" i="27"/>
  <c r="AJ168" i="27" s="1"/>
  <c r="AJ160" i="27"/>
  <c r="AJ159" i="27"/>
  <c r="AJ153" i="27"/>
  <c r="AJ147" i="27"/>
  <c r="AJ140" i="27"/>
  <c r="AJ134" i="27"/>
  <c r="AJ120" i="27"/>
  <c r="AJ119" i="27" s="1"/>
  <c r="AJ113" i="27"/>
  <c r="AJ107" i="27"/>
  <c r="AJ101" i="27"/>
  <c r="AJ91" i="27"/>
  <c r="AJ78" i="27"/>
  <c r="AJ73" i="27"/>
  <c r="AJ66" i="27"/>
  <c r="AJ61" i="27"/>
  <c r="AJ57" i="27"/>
  <c r="AJ32" i="27"/>
  <c r="AJ38" i="27"/>
  <c r="AJ45" i="27"/>
  <c r="AJ49" i="27"/>
  <c r="AJ55" i="27"/>
  <c r="AJ8" i="27"/>
  <c r="AI7" i="27"/>
  <c r="AI6" i="27"/>
  <c r="B181" i="26"/>
  <c r="B180" i="26"/>
  <c r="B179" i="26"/>
  <c r="B178" i="26"/>
  <c r="B177" i="26"/>
  <c r="B176" i="26"/>
  <c r="B175" i="26"/>
  <c r="B174" i="26"/>
  <c r="B173" i="26"/>
  <c r="B170" i="26"/>
  <c r="B166" i="26"/>
  <c r="B165" i="26"/>
  <c r="B164" i="26"/>
  <c r="B163" i="26"/>
  <c r="B162" i="26"/>
  <c r="B161" i="26"/>
  <c r="B158" i="26"/>
  <c r="B157" i="26"/>
  <c r="B156" i="26"/>
  <c r="B155" i="26"/>
  <c r="B154" i="26"/>
  <c r="B152" i="26"/>
  <c r="B151" i="26"/>
  <c r="B150" i="26"/>
  <c r="B149" i="26"/>
  <c r="B148" i="26"/>
  <c r="B145" i="26"/>
  <c r="B144" i="26"/>
  <c r="B143" i="26"/>
  <c r="B142" i="26"/>
  <c r="B141" i="26"/>
  <c r="B139" i="26"/>
  <c r="B138" i="26"/>
  <c r="B137" i="26"/>
  <c r="B136" i="26"/>
  <c r="B135" i="26"/>
  <c r="B133" i="26"/>
  <c r="B132" i="26"/>
  <c r="B131" i="26"/>
  <c r="B130" i="26"/>
  <c r="B129" i="26"/>
  <c r="B128" i="26"/>
  <c r="B127" i="26"/>
  <c r="B126" i="26"/>
  <c r="B125" i="26"/>
  <c r="B124" i="26"/>
  <c r="B123" i="26"/>
  <c r="B122" i="26"/>
  <c r="B121" i="26"/>
  <c r="B118" i="26"/>
  <c r="B117" i="26"/>
  <c r="B116" i="26"/>
  <c r="B115" i="26"/>
  <c r="B114" i="26"/>
  <c r="B112" i="26"/>
  <c r="B111" i="26"/>
  <c r="B110" i="26"/>
  <c r="B109" i="26"/>
  <c r="B108" i="26"/>
  <c r="B106" i="26"/>
  <c r="B105" i="26"/>
  <c r="B104" i="26"/>
  <c r="B103" i="26"/>
  <c r="B102" i="26"/>
  <c r="Q169" i="26"/>
  <c r="Q168" i="26" s="1"/>
  <c r="Q55" i="26"/>
  <c r="AJ100" i="27" l="1"/>
  <c r="AJ146" i="27"/>
  <c r="AO146" i="28"/>
  <c r="AO159" i="28"/>
  <c r="AO158" i="28" s="1"/>
  <c r="AO152" i="28"/>
  <c r="AO145" i="28" s="1"/>
  <c r="AO171" i="28"/>
  <c r="AO170" i="28" s="1"/>
  <c r="AO166" i="28" s="1"/>
  <c r="Q45" i="26"/>
  <c r="Q61" i="26"/>
  <c r="Q66" i="26"/>
  <c r="Q134" i="26"/>
  <c r="Q57" i="26"/>
  <c r="Q107" i="26"/>
  <c r="Q32" i="26"/>
  <c r="Q78" i="26"/>
  <c r="Q85" i="26"/>
  <c r="Q38" i="26"/>
  <c r="Q73" i="26"/>
  <c r="Q91" i="26"/>
  <c r="Q101" i="26"/>
  <c r="Q113" i="26"/>
  <c r="Q147" i="26"/>
  <c r="Q140" i="26"/>
  <c r="Q160" i="26"/>
  <c r="Q159" i="26" s="1"/>
  <c r="Q49" i="26"/>
  <c r="Q120" i="26"/>
  <c r="Q153" i="26"/>
  <c r="Q172" i="26"/>
  <c r="Q171" i="26" s="1"/>
  <c r="Q167" i="26" s="1"/>
  <c r="AJ167" i="27"/>
  <c r="AJ99" i="27"/>
  <c r="AJ72" i="27"/>
  <c r="AJ7" i="27"/>
  <c r="Q8" i="26"/>
  <c r="B98" i="26"/>
  <c r="B97" i="26"/>
  <c r="B96" i="26"/>
  <c r="B95" i="26"/>
  <c r="B94" i="26"/>
  <c r="B93" i="26"/>
  <c r="B92" i="26"/>
  <c r="B90" i="26"/>
  <c r="B89" i="26"/>
  <c r="B88" i="26"/>
  <c r="B87" i="26"/>
  <c r="B86" i="26"/>
  <c r="B84" i="26"/>
  <c r="B83" i="26"/>
  <c r="B82" i="26"/>
  <c r="B81" i="26"/>
  <c r="B80" i="26"/>
  <c r="B79" i="26"/>
  <c r="B77" i="26"/>
  <c r="B76" i="26"/>
  <c r="B75" i="26"/>
  <c r="B74" i="26"/>
  <c r="B71" i="26"/>
  <c r="B70" i="26"/>
  <c r="B69" i="26"/>
  <c r="B68" i="26"/>
  <c r="B67" i="26"/>
  <c r="B65" i="26"/>
  <c r="B64" i="26"/>
  <c r="B63" i="26"/>
  <c r="B62" i="26"/>
  <c r="B60" i="26"/>
  <c r="B59" i="26"/>
  <c r="B58" i="26"/>
  <c r="B56" i="26"/>
  <c r="B54" i="26"/>
  <c r="B53" i="26"/>
  <c r="B52" i="26"/>
  <c r="B51" i="26"/>
  <c r="B50" i="26"/>
  <c r="B48" i="26"/>
  <c r="B47" i="26"/>
  <c r="B46" i="26"/>
  <c r="B44" i="26"/>
  <c r="B43" i="26"/>
  <c r="B42" i="26"/>
  <c r="B41" i="26"/>
  <c r="B40" i="26"/>
  <c r="B39" i="26"/>
  <c r="B37" i="26"/>
  <c r="B36" i="26"/>
  <c r="B35" i="26"/>
  <c r="B34" i="26"/>
  <c r="B33" i="26"/>
  <c r="B31" i="26"/>
  <c r="B30" i="26"/>
  <c r="B29" i="26"/>
  <c r="B28" i="26"/>
  <c r="B27" i="26"/>
  <c r="B26" i="26"/>
  <c r="B25" i="26"/>
  <c r="B24" i="26"/>
  <c r="B23" i="26"/>
  <c r="B22" i="26"/>
  <c r="B21" i="26"/>
  <c r="B20" i="26"/>
  <c r="B19" i="26"/>
  <c r="B18" i="26"/>
  <c r="B17" i="26"/>
  <c r="B16" i="26"/>
  <c r="B15" i="26"/>
  <c r="B14" i="26"/>
  <c r="B13" i="26"/>
  <c r="B12" i="26"/>
  <c r="B11" i="26"/>
  <c r="B10" i="26"/>
  <c r="B9" i="26"/>
  <c r="AJ6" i="27" l="1"/>
  <c r="Q119" i="26"/>
  <c r="Q146" i="26"/>
  <c r="Q72" i="26"/>
  <c r="Q100" i="26"/>
  <c r="Q7" i="26"/>
  <c r="B180" i="24"/>
  <c r="B179" i="24"/>
  <c r="B178" i="24"/>
  <c r="B177" i="24"/>
  <c r="B176" i="24"/>
  <c r="B175" i="24"/>
  <c r="B174" i="24"/>
  <c r="B173" i="24"/>
  <c r="B170" i="24"/>
  <c r="B166" i="24"/>
  <c r="B165" i="24"/>
  <c r="B164" i="24"/>
  <c r="B163" i="24"/>
  <c r="B162" i="24"/>
  <c r="B161" i="24"/>
  <c r="B158" i="24"/>
  <c r="B157" i="24"/>
  <c r="B156" i="24"/>
  <c r="B155" i="24"/>
  <c r="B154" i="24"/>
  <c r="B152" i="24"/>
  <c r="B151" i="24"/>
  <c r="B150" i="24"/>
  <c r="B149" i="24"/>
  <c r="B148" i="24"/>
  <c r="B142" i="24"/>
  <c r="B143" i="24"/>
  <c r="B144" i="24"/>
  <c r="B145" i="24"/>
  <c r="B141" i="24"/>
  <c r="Q99" i="26" l="1"/>
  <c r="V102" i="25"/>
  <c r="V182" i="25"/>
  <c r="V180" i="25"/>
  <c r="V175" i="25"/>
  <c r="V167" i="25"/>
  <c r="V142" i="25"/>
  <c r="V134" i="25"/>
  <c r="V133" i="25"/>
  <c r="V132" i="25"/>
  <c r="V131" i="25"/>
  <c r="V130" i="25"/>
  <c r="V129" i="25"/>
  <c r="V128" i="25"/>
  <c r="V127" i="25"/>
  <c r="V126" i="25"/>
  <c r="V125" i="25"/>
  <c r="V124" i="25"/>
  <c r="V123" i="25"/>
  <c r="V122" i="25"/>
  <c r="V99" i="25"/>
  <c r="V97" i="25"/>
  <c r="V95" i="25"/>
  <c r="V91" i="25"/>
  <c r="V85" i="25"/>
  <c r="V84" i="25"/>
  <c r="V82" i="25"/>
  <c r="V80" i="25"/>
  <c r="V78" i="25"/>
  <c r="V77" i="25"/>
  <c r="V76" i="25"/>
  <c r="V75" i="25"/>
  <c r="V71" i="25"/>
  <c r="V61" i="25"/>
  <c r="V45" i="25"/>
  <c r="V44" i="25"/>
  <c r="V36" i="25"/>
  <c r="V32" i="25"/>
  <c r="V31" i="25"/>
  <c r="V28" i="25"/>
  <c r="V24" i="25"/>
  <c r="V21" i="25"/>
  <c r="V16" i="25"/>
  <c r="V74" i="25" l="1"/>
  <c r="V121" i="25"/>
  <c r="AC178" i="23" l="1"/>
  <c r="AC174" i="23"/>
  <c r="AC166" i="23"/>
  <c r="AC165" i="23"/>
  <c r="AC162" i="23"/>
  <c r="AC161" i="23"/>
  <c r="AC150" i="23"/>
  <c r="AC145" i="23"/>
  <c r="AC144" i="23"/>
  <c r="AC141" i="23"/>
  <c r="AC130" i="23"/>
  <c r="AC126" i="23"/>
  <c r="AC122" i="23"/>
  <c r="AC117" i="23"/>
  <c r="AC116" i="23"/>
  <c r="AC106" i="23"/>
  <c r="AC102" i="23"/>
  <c r="AC82" i="23"/>
  <c r="AC77" i="23"/>
  <c r="AC74" i="23"/>
  <c r="AC62" i="23"/>
  <c r="AC58" i="23"/>
  <c r="AC53" i="23"/>
  <c r="AC52" i="23"/>
  <c r="AC42" i="23"/>
  <c r="AC37" i="23"/>
  <c r="AC34" i="23"/>
  <c r="AC33" i="23"/>
  <c r="AB182" i="2"/>
  <c r="AI180" i="27" s="1"/>
  <c r="AB181" i="2"/>
  <c r="AB180" i="2"/>
  <c r="AB179" i="2"/>
  <c r="AB178" i="2"/>
  <c r="AB177" i="2"/>
  <c r="AC176" i="23" s="1"/>
  <c r="AB176" i="2"/>
  <c r="AC175" i="23" s="1"/>
  <c r="AB175" i="2"/>
  <c r="AB174" i="2"/>
  <c r="Q173" i="24" s="1"/>
  <c r="AB173" i="2"/>
  <c r="AB172" i="2"/>
  <c r="AI170" i="27" s="1"/>
  <c r="AI169" i="27" s="1"/>
  <c r="AI168" i="27" s="1"/>
  <c r="AB171" i="2"/>
  <c r="Q170" i="24" s="1"/>
  <c r="Q169" i="24" s="1"/>
  <c r="Q168" i="24" s="1"/>
  <c r="AB170" i="2"/>
  <c r="AB169" i="2"/>
  <c r="AB168" i="2"/>
  <c r="AI166" i="27" s="1"/>
  <c r="AB167" i="2"/>
  <c r="AB166" i="2"/>
  <c r="AB165" i="2"/>
  <c r="AB164" i="2"/>
  <c r="AB163" i="2"/>
  <c r="AB162" i="2"/>
  <c r="Q161" i="24" s="1"/>
  <c r="AB161" i="2"/>
  <c r="AB160" i="2"/>
  <c r="AI158" i="27" s="1"/>
  <c r="AB159" i="2"/>
  <c r="AB158" i="2"/>
  <c r="AB157" i="2"/>
  <c r="AB156" i="2"/>
  <c r="AB155" i="2"/>
  <c r="Q154" i="24" s="1"/>
  <c r="AB154" i="2"/>
  <c r="AI152" i="27" s="1"/>
  <c r="AB153" i="2"/>
  <c r="AB152" i="2"/>
  <c r="AB151" i="2"/>
  <c r="AB150" i="2"/>
  <c r="AB149" i="2"/>
  <c r="Q148" i="24" s="1"/>
  <c r="AB148" i="2"/>
  <c r="AB147" i="2"/>
  <c r="AI145" i="27" s="1"/>
  <c r="AB146" i="2"/>
  <c r="AB145" i="2"/>
  <c r="AB144" i="2"/>
  <c r="AB143" i="2"/>
  <c r="AC142" i="23" s="1"/>
  <c r="AB142" i="2"/>
  <c r="AB141" i="2"/>
  <c r="AI139" i="27" s="1"/>
  <c r="AB140" i="2"/>
  <c r="AC139" i="23" s="1"/>
  <c r="AB139" i="2"/>
  <c r="AB138" i="2"/>
  <c r="AB137" i="2"/>
  <c r="AB136" i="2"/>
  <c r="AB135" i="2"/>
  <c r="AI133" i="27" s="1"/>
  <c r="AB134" i="2"/>
  <c r="AB133" i="2"/>
  <c r="AB132" i="2"/>
  <c r="AB131" i="2"/>
  <c r="AB130" i="2"/>
  <c r="AB129" i="2"/>
  <c r="AB128" i="2"/>
  <c r="AC127" i="23" s="1"/>
  <c r="AB127" i="2"/>
  <c r="AB126" i="2"/>
  <c r="AB125" i="2"/>
  <c r="AC124" i="23" s="1"/>
  <c r="AB124" i="2"/>
  <c r="AB123" i="2"/>
  <c r="AB122" i="2"/>
  <c r="AB121" i="2"/>
  <c r="AB120" i="2"/>
  <c r="AI118" i="27" s="1"/>
  <c r="AB119" i="2"/>
  <c r="AC118" i="23" s="1"/>
  <c r="AB118" i="2"/>
  <c r="AB117" i="2"/>
  <c r="AB116" i="2"/>
  <c r="AB115" i="2"/>
  <c r="AC114" i="23" s="1"/>
  <c r="AB114" i="2"/>
  <c r="AI112" i="27" s="1"/>
  <c r="AB113" i="2"/>
  <c r="AC112" i="23" s="1"/>
  <c r="AB112" i="2"/>
  <c r="AB111" i="2"/>
  <c r="AB110" i="2"/>
  <c r="AB109" i="2"/>
  <c r="AB108" i="2"/>
  <c r="AI106" i="27" s="1"/>
  <c r="AB107" i="2"/>
  <c r="AB106" i="2"/>
  <c r="AB105" i="2"/>
  <c r="AC104" i="23" s="1"/>
  <c r="AB104" i="2"/>
  <c r="AB103" i="2"/>
  <c r="AB102" i="2"/>
  <c r="AB101" i="2"/>
  <c r="AB100" i="2"/>
  <c r="AB99" i="2"/>
  <c r="AB98" i="2"/>
  <c r="AB97" i="2"/>
  <c r="AB96" i="2"/>
  <c r="AC95" i="23" s="1"/>
  <c r="AB95" i="2"/>
  <c r="AB94" i="2"/>
  <c r="AB93" i="2"/>
  <c r="AC92" i="23" s="1"/>
  <c r="AB92" i="2"/>
  <c r="AI90" i="27" s="1"/>
  <c r="AB91" i="2"/>
  <c r="AB90" i="2"/>
  <c r="AB89" i="2"/>
  <c r="AB88" i="2"/>
  <c r="AB87" i="2"/>
  <c r="AB86" i="2"/>
  <c r="AI84" i="27" s="1"/>
  <c r="AB85" i="2"/>
  <c r="AC84" i="23" s="1"/>
  <c r="AB84" i="2"/>
  <c r="AC83" i="23" s="1"/>
  <c r="AB83" i="2"/>
  <c r="AB82" i="2"/>
  <c r="AB81" i="2"/>
  <c r="AB80" i="2"/>
  <c r="AB79" i="2"/>
  <c r="AI77" i="27" s="1"/>
  <c r="AB78" i="2"/>
  <c r="AB77" i="2"/>
  <c r="AB76" i="2"/>
  <c r="AC75" i="23" s="1"/>
  <c r="AB75" i="2"/>
  <c r="AB74" i="2"/>
  <c r="AB73" i="2"/>
  <c r="AB72" i="2"/>
  <c r="AB71" i="2"/>
  <c r="AB70" i="2"/>
  <c r="AB69" i="2"/>
  <c r="AC68" i="23" s="1"/>
  <c r="AB68" i="2"/>
  <c r="AB67" i="2"/>
  <c r="AB66" i="2"/>
  <c r="AB65" i="2"/>
  <c r="AB64" i="2"/>
  <c r="AB63" i="2"/>
  <c r="AB62" i="2"/>
  <c r="AB61" i="2"/>
  <c r="AB60" i="2"/>
  <c r="AB59" i="2"/>
  <c r="AB58" i="2"/>
  <c r="AB57" i="2"/>
  <c r="AB56" i="2"/>
  <c r="AB55" i="2"/>
  <c r="AC54" i="23" s="1"/>
  <c r="AB54" i="2"/>
  <c r="AB53" i="2"/>
  <c r="AB52" i="2"/>
  <c r="AB51" i="2"/>
  <c r="AC50" i="23" s="1"/>
  <c r="AB50" i="2"/>
  <c r="AB49" i="2"/>
  <c r="AB48" i="2"/>
  <c r="AB47" i="2"/>
  <c r="AB46" i="2"/>
  <c r="AB45" i="2"/>
  <c r="AC44" i="23" s="1"/>
  <c r="AB44" i="2"/>
  <c r="AC43" i="23" s="1"/>
  <c r="AB43" i="2"/>
  <c r="AB42" i="2"/>
  <c r="AB41" i="2"/>
  <c r="AB40" i="2"/>
  <c r="AB39" i="2"/>
  <c r="AB38" i="2"/>
  <c r="AB37" i="2"/>
  <c r="AB36" i="2"/>
  <c r="AC35" i="23" s="1"/>
  <c r="AB35" i="2"/>
  <c r="AB34" i="2"/>
  <c r="AA14" i="2"/>
  <c r="AJ12" i="28" s="1"/>
  <c r="B136" i="24"/>
  <c r="B137" i="24"/>
  <c r="B138" i="24"/>
  <c r="B139" i="24"/>
  <c r="B135" i="24"/>
  <c r="P133" i="24"/>
  <c r="O133" i="24"/>
  <c r="N133" i="24"/>
  <c r="M133" i="24"/>
  <c r="L133" i="24"/>
  <c r="K133" i="24"/>
  <c r="C133" i="24"/>
  <c r="B133" i="24"/>
  <c r="A133" i="24"/>
  <c r="B132" i="24"/>
  <c r="B131" i="24"/>
  <c r="B130" i="24"/>
  <c r="B129" i="24"/>
  <c r="B128" i="24"/>
  <c r="B127" i="24"/>
  <c r="B126" i="24"/>
  <c r="B125" i="24"/>
  <c r="B124" i="24"/>
  <c r="B123" i="24"/>
  <c r="B122" i="24"/>
  <c r="B121" i="24"/>
  <c r="B118" i="24"/>
  <c r="B117" i="24"/>
  <c r="B116" i="24"/>
  <c r="B115" i="24"/>
  <c r="B114" i="24"/>
  <c r="B112" i="24"/>
  <c r="B111" i="24"/>
  <c r="B110" i="24"/>
  <c r="B109" i="24"/>
  <c r="B108" i="24"/>
  <c r="B106" i="24"/>
  <c r="B105" i="24"/>
  <c r="B104" i="24"/>
  <c r="B103" i="24"/>
  <c r="B102" i="24"/>
  <c r="B98" i="24"/>
  <c r="B97" i="24"/>
  <c r="B96" i="24"/>
  <c r="B95" i="24"/>
  <c r="B94" i="24"/>
  <c r="B93" i="24"/>
  <c r="B92" i="24"/>
  <c r="B90" i="24"/>
  <c r="B89" i="24"/>
  <c r="B88" i="24"/>
  <c r="B87" i="24"/>
  <c r="B86" i="24"/>
  <c r="B80" i="24"/>
  <c r="B81" i="24"/>
  <c r="B82" i="24"/>
  <c r="B83" i="24"/>
  <c r="B84" i="24"/>
  <c r="B79" i="24"/>
  <c r="B77" i="24"/>
  <c r="B76" i="24"/>
  <c r="B75" i="24"/>
  <c r="B74" i="24"/>
  <c r="B71" i="24"/>
  <c r="B70" i="24"/>
  <c r="B69" i="24"/>
  <c r="B68" i="24"/>
  <c r="B67" i="24"/>
  <c r="B65" i="24"/>
  <c r="B64" i="24"/>
  <c r="B63" i="24"/>
  <c r="B62" i="24"/>
  <c r="B60" i="24"/>
  <c r="B59" i="24"/>
  <c r="B58" i="24"/>
  <c r="B56" i="24"/>
  <c r="B54" i="24"/>
  <c r="B53" i="24"/>
  <c r="B52" i="24"/>
  <c r="B51" i="24"/>
  <c r="B50" i="24"/>
  <c r="B48" i="24"/>
  <c r="B47" i="24"/>
  <c r="B46" i="24"/>
  <c r="B40" i="24"/>
  <c r="B41" i="24"/>
  <c r="B42" i="24"/>
  <c r="B43" i="24"/>
  <c r="B44" i="24"/>
  <c r="B39" i="24"/>
  <c r="B34" i="24"/>
  <c r="B35" i="24"/>
  <c r="B36" i="24"/>
  <c r="B37" i="24"/>
  <c r="B33" i="24"/>
  <c r="B10" i="24"/>
  <c r="B11" i="24"/>
  <c r="B12" i="24"/>
  <c r="B13" i="24"/>
  <c r="B14" i="24"/>
  <c r="B15" i="24"/>
  <c r="B16" i="24"/>
  <c r="B17" i="24"/>
  <c r="B18" i="24"/>
  <c r="B19" i="24"/>
  <c r="B20" i="24"/>
  <c r="B21" i="24"/>
  <c r="B22" i="24"/>
  <c r="B23" i="24"/>
  <c r="B24" i="24"/>
  <c r="B25" i="24"/>
  <c r="B26" i="24"/>
  <c r="B27" i="24"/>
  <c r="B28" i="24"/>
  <c r="B29" i="24"/>
  <c r="B30" i="24"/>
  <c r="B31" i="24"/>
  <c r="B9" i="24"/>
  <c r="K10" i="2"/>
  <c r="K11" i="2"/>
  <c r="K12" i="2"/>
  <c r="K13" i="2"/>
  <c r="K14" i="2"/>
  <c r="K15" i="2"/>
  <c r="K16" i="2"/>
  <c r="K17" i="2"/>
  <c r="K18" i="2"/>
  <c r="K19" i="2"/>
  <c r="K20" i="2"/>
  <c r="K21" i="2"/>
  <c r="K22" i="2"/>
  <c r="K23" i="2"/>
  <c r="K24" i="2"/>
  <c r="K25" i="2"/>
  <c r="K26" i="2"/>
  <c r="K28" i="2"/>
  <c r="K30" i="2"/>
  <c r="K31" i="2"/>
  <c r="K32" i="2"/>
  <c r="K34" i="2"/>
  <c r="K35" i="2"/>
  <c r="K36" i="2"/>
  <c r="K37" i="2"/>
  <c r="K38" i="2"/>
  <c r="K40" i="2"/>
  <c r="K41" i="2"/>
  <c r="K42" i="2"/>
  <c r="K44" i="2"/>
  <c r="K45" i="2"/>
  <c r="K47" i="2"/>
  <c r="K48" i="2"/>
  <c r="K49" i="2"/>
  <c r="K51" i="2"/>
  <c r="K52" i="2"/>
  <c r="K53" i="2"/>
  <c r="K54" i="2"/>
  <c r="K55" i="2"/>
  <c r="K57" i="2"/>
  <c r="K59" i="2"/>
  <c r="K60" i="2"/>
  <c r="K61" i="2"/>
  <c r="K63" i="2"/>
  <c r="K64" i="2"/>
  <c r="K66" i="2"/>
  <c r="K68" i="2"/>
  <c r="K69" i="2"/>
  <c r="K70" i="2"/>
  <c r="K71" i="2"/>
  <c r="K72" i="2"/>
  <c r="K75" i="2"/>
  <c r="K76" i="2"/>
  <c r="K77" i="2"/>
  <c r="K78" i="2"/>
  <c r="K80" i="2"/>
  <c r="K81" i="2"/>
  <c r="K82" i="2"/>
  <c r="K83" i="2"/>
  <c r="K84" i="2"/>
  <c r="K85" i="2"/>
  <c r="K87" i="2"/>
  <c r="K88" i="2"/>
  <c r="K89" i="2"/>
  <c r="K90" i="2"/>
  <c r="K91" i="2"/>
  <c r="K93" i="2"/>
  <c r="K94" i="2"/>
  <c r="K95" i="2"/>
  <c r="K96" i="2"/>
  <c r="K97" i="2"/>
  <c r="K98" i="2"/>
  <c r="K99" i="2"/>
  <c r="K103" i="2"/>
  <c r="K104" i="2"/>
  <c r="K105" i="2"/>
  <c r="K106" i="2"/>
  <c r="K107" i="2"/>
  <c r="K115" i="2"/>
  <c r="K116" i="2"/>
  <c r="K117" i="2"/>
  <c r="K118" i="2"/>
  <c r="K119" i="2"/>
  <c r="K122" i="2"/>
  <c r="K123" i="2"/>
  <c r="K124" i="2"/>
  <c r="K125" i="2"/>
  <c r="K126" i="2"/>
  <c r="K127" i="2"/>
  <c r="K128" i="2"/>
  <c r="K129" i="2"/>
  <c r="K130" i="2"/>
  <c r="K131" i="2"/>
  <c r="K132" i="2"/>
  <c r="K133" i="2"/>
  <c r="K134" i="2"/>
  <c r="K136" i="2"/>
  <c r="K137" i="2"/>
  <c r="K138" i="2"/>
  <c r="K139" i="2"/>
  <c r="K140" i="2"/>
  <c r="K142" i="2"/>
  <c r="K143" i="2"/>
  <c r="K144" i="2"/>
  <c r="K145" i="2"/>
  <c r="K146" i="2"/>
  <c r="K149" i="2"/>
  <c r="K150" i="2"/>
  <c r="K151" i="2"/>
  <c r="K152" i="2"/>
  <c r="K153" i="2"/>
  <c r="K155" i="2"/>
  <c r="K156" i="2"/>
  <c r="K157" i="2"/>
  <c r="K158" i="2"/>
  <c r="K159" i="2"/>
  <c r="K162" i="2"/>
  <c r="K163" i="2"/>
  <c r="K164" i="2"/>
  <c r="K165" i="2"/>
  <c r="K166" i="2"/>
  <c r="K167" i="2"/>
  <c r="K174" i="2"/>
  <c r="K175" i="2"/>
  <c r="K176" i="2"/>
  <c r="K177" i="2"/>
  <c r="K178" i="2"/>
  <c r="K179" i="2"/>
  <c r="K180" i="2"/>
  <c r="K181" i="2"/>
  <c r="K182" i="2"/>
  <c r="C181" i="23"/>
  <c r="C180" i="23"/>
  <c r="C179" i="23"/>
  <c r="C178" i="23"/>
  <c r="C177" i="23"/>
  <c r="C176" i="23"/>
  <c r="C175" i="23"/>
  <c r="C174" i="23"/>
  <c r="C173" i="23"/>
  <c r="C170" i="23"/>
  <c r="C166" i="23"/>
  <c r="C165" i="23"/>
  <c r="C164" i="23"/>
  <c r="C163" i="23"/>
  <c r="C162" i="23"/>
  <c r="C161" i="23"/>
  <c r="C158" i="23"/>
  <c r="C157" i="23"/>
  <c r="C156" i="23"/>
  <c r="C155" i="23"/>
  <c r="C154" i="23"/>
  <c r="C152" i="23"/>
  <c r="C151" i="23"/>
  <c r="C150" i="23"/>
  <c r="C149" i="23"/>
  <c r="C148" i="23"/>
  <c r="C145" i="23"/>
  <c r="C144" i="23"/>
  <c r="C143" i="23"/>
  <c r="C142" i="23"/>
  <c r="C141" i="23"/>
  <c r="C139" i="23"/>
  <c r="C138" i="23"/>
  <c r="C137" i="23"/>
  <c r="C136" i="23"/>
  <c r="C135" i="23"/>
  <c r="C133" i="23"/>
  <c r="C132" i="23"/>
  <c r="C131" i="23"/>
  <c r="C130" i="23"/>
  <c r="C129" i="23"/>
  <c r="C128" i="23"/>
  <c r="C127" i="23"/>
  <c r="C126" i="23"/>
  <c r="C125" i="23"/>
  <c r="C124" i="23"/>
  <c r="C123" i="23"/>
  <c r="C122" i="23"/>
  <c r="C121" i="23"/>
  <c r="C118" i="23"/>
  <c r="C117" i="23"/>
  <c r="C116" i="23"/>
  <c r="C115" i="23"/>
  <c r="C114" i="23"/>
  <c r="C112" i="23"/>
  <c r="C111" i="23"/>
  <c r="C110" i="23"/>
  <c r="C109" i="23"/>
  <c r="C108" i="23"/>
  <c r="C106" i="23"/>
  <c r="C105" i="23"/>
  <c r="C104" i="23"/>
  <c r="C103" i="23"/>
  <c r="C102" i="23"/>
  <c r="C98" i="23"/>
  <c r="C97" i="23"/>
  <c r="C96" i="23"/>
  <c r="C95" i="23"/>
  <c r="C94" i="23"/>
  <c r="C93" i="23"/>
  <c r="C92" i="23"/>
  <c r="C90" i="23"/>
  <c r="C89" i="23"/>
  <c r="C88" i="23"/>
  <c r="C87" i="23"/>
  <c r="C86" i="23"/>
  <c r="C84" i="23"/>
  <c r="C83" i="23"/>
  <c r="C82" i="23"/>
  <c r="C81" i="23"/>
  <c r="C80" i="23"/>
  <c r="C79" i="23"/>
  <c r="C77" i="23"/>
  <c r="C76" i="23"/>
  <c r="C75" i="23"/>
  <c r="C74" i="23"/>
  <c r="C71" i="23"/>
  <c r="C70" i="23"/>
  <c r="C69" i="23"/>
  <c r="C68" i="23"/>
  <c r="C67" i="23"/>
  <c r="C65" i="23"/>
  <c r="C64" i="23"/>
  <c r="C63" i="23"/>
  <c r="C62" i="23"/>
  <c r="C60" i="23"/>
  <c r="C59" i="23"/>
  <c r="C58" i="23"/>
  <c r="C56" i="23"/>
  <c r="C54" i="23"/>
  <c r="C53" i="23"/>
  <c r="C52" i="23"/>
  <c r="C51" i="23"/>
  <c r="C50" i="23"/>
  <c r="C48" i="23"/>
  <c r="C47" i="23"/>
  <c r="C46" i="23"/>
  <c r="C44" i="23"/>
  <c r="C43" i="23"/>
  <c r="C42" i="23"/>
  <c r="C41" i="23"/>
  <c r="C40" i="23"/>
  <c r="C39" i="23"/>
  <c r="C37" i="23"/>
  <c r="C36" i="23"/>
  <c r="C35" i="23"/>
  <c r="C34" i="23"/>
  <c r="C33" i="23"/>
  <c r="C11" i="23"/>
  <c r="C12" i="23"/>
  <c r="C13" i="23"/>
  <c r="C14" i="23"/>
  <c r="C15" i="23"/>
  <c r="C16" i="23"/>
  <c r="C17" i="23"/>
  <c r="C18" i="23"/>
  <c r="C19" i="23"/>
  <c r="C20" i="23"/>
  <c r="C21" i="23"/>
  <c r="C22" i="23"/>
  <c r="C23" i="23"/>
  <c r="C24" i="23"/>
  <c r="C25" i="23"/>
  <c r="C26" i="23"/>
  <c r="C27" i="23"/>
  <c r="C28" i="23"/>
  <c r="C29" i="23"/>
  <c r="C30" i="23"/>
  <c r="C31" i="23"/>
  <c r="C10" i="23"/>
  <c r="C9" i="23"/>
  <c r="AO46" i="28" l="1"/>
  <c r="AI47" i="27"/>
  <c r="Q47" i="24"/>
  <c r="AO58" i="28"/>
  <c r="AI59" i="27"/>
  <c r="Q59" i="24"/>
  <c r="AO70" i="28"/>
  <c r="AI71" i="27"/>
  <c r="Q71" i="24"/>
  <c r="AO110" i="28"/>
  <c r="AI110" i="27"/>
  <c r="Q111" i="24"/>
  <c r="AO122" i="28"/>
  <c r="AI122" i="27"/>
  <c r="Q123" i="24"/>
  <c r="AO130" i="28"/>
  <c r="AI130" i="27"/>
  <c r="Q131" i="24"/>
  <c r="AO142" i="28"/>
  <c r="AI142" i="27"/>
  <c r="Q143" i="24"/>
  <c r="AC71" i="23"/>
  <c r="AO39" i="28"/>
  <c r="AI40" i="27"/>
  <c r="Q40" i="24"/>
  <c r="AO51" i="28"/>
  <c r="AI52" i="27"/>
  <c r="Q52" i="24"/>
  <c r="AO59" i="28"/>
  <c r="AI60" i="27"/>
  <c r="Q60" i="24"/>
  <c r="AO75" i="28"/>
  <c r="AI75" i="27"/>
  <c r="Q76" i="24"/>
  <c r="AO87" i="28"/>
  <c r="AI87" i="27"/>
  <c r="Q88" i="24"/>
  <c r="AO95" i="28"/>
  <c r="AI95" i="27"/>
  <c r="Q96" i="24"/>
  <c r="AO107" i="28"/>
  <c r="Q108" i="24"/>
  <c r="AO127" i="28"/>
  <c r="AI127" i="27"/>
  <c r="Q128" i="24"/>
  <c r="AO143" i="28"/>
  <c r="AI143" i="27"/>
  <c r="Q144" i="24"/>
  <c r="AI155" i="27"/>
  <c r="Q156" i="24"/>
  <c r="AI163" i="27"/>
  <c r="Q164" i="24"/>
  <c r="AI179" i="27"/>
  <c r="Q180" i="24"/>
  <c r="AO38" i="28"/>
  <c r="AI39" i="27"/>
  <c r="Q39" i="24"/>
  <c r="AO50" i="28"/>
  <c r="AI51" i="27"/>
  <c r="Q51" i="24"/>
  <c r="AO62" i="28"/>
  <c r="AI63" i="27"/>
  <c r="Q63" i="24"/>
  <c r="AO78" i="28"/>
  <c r="Q79" i="24"/>
  <c r="AO86" i="28"/>
  <c r="AI86" i="27"/>
  <c r="Q87" i="24"/>
  <c r="AI98" i="27"/>
  <c r="Q99" i="24"/>
  <c r="AO114" i="28"/>
  <c r="AI114" i="27"/>
  <c r="Q115" i="24"/>
  <c r="AO134" i="28"/>
  <c r="Q135" i="24"/>
  <c r="AI150" i="27"/>
  <c r="Q151" i="24"/>
  <c r="AI154" i="27"/>
  <c r="Q155" i="24"/>
  <c r="AI162" i="27"/>
  <c r="Q163" i="24"/>
  <c r="AI178" i="27"/>
  <c r="Q179" i="24"/>
  <c r="AO47" i="28"/>
  <c r="AI48" i="27"/>
  <c r="Q48" i="24"/>
  <c r="AO63" i="28"/>
  <c r="AI64" i="27"/>
  <c r="Q64" i="24"/>
  <c r="AO79" i="28"/>
  <c r="AI79" i="27"/>
  <c r="Q80" i="24"/>
  <c r="AO115" i="28"/>
  <c r="AI115" i="27"/>
  <c r="Q116" i="24"/>
  <c r="AO131" i="28"/>
  <c r="AI131" i="27"/>
  <c r="Q132" i="24"/>
  <c r="AO135" i="28"/>
  <c r="AI135" i="27"/>
  <c r="Q136" i="24"/>
  <c r="AI151" i="27"/>
  <c r="Q152" i="24"/>
  <c r="AC39" i="23"/>
  <c r="AC38" i="23" s="1"/>
  <c r="AC108" i="23"/>
  <c r="AC136" i="23"/>
  <c r="AO32" i="28"/>
  <c r="AI33" i="27"/>
  <c r="Q33" i="24"/>
  <c r="AO36" i="28"/>
  <c r="AI37" i="27"/>
  <c r="Q37" i="24"/>
  <c r="AO40" i="28"/>
  <c r="AI41" i="27"/>
  <c r="Q41" i="24"/>
  <c r="AO52" i="28"/>
  <c r="AI53" i="27"/>
  <c r="Q53" i="24"/>
  <c r="AO64" i="28"/>
  <c r="AI65" i="27"/>
  <c r="Q65" i="24"/>
  <c r="AO68" i="28"/>
  <c r="AI69" i="27"/>
  <c r="Q69" i="24"/>
  <c r="AO76" i="28"/>
  <c r="AI76" i="27"/>
  <c r="Q77" i="24"/>
  <c r="AO80" i="28"/>
  <c r="AI80" i="27"/>
  <c r="Q81" i="24"/>
  <c r="AO88" i="28"/>
  <c r="AI88" i="27"/>
  <c r="Q89" i="24"/>
  <c r="AO92" i="28"/>
  <c r="AI92" i="27"/>
  <c r="Q93" i="24"/>
  <c r="AO96" i="28"/>
  <c r="AI96" i="27"/>
  <c r="Q97" i="24"/>
  <c r="AO104" i="28"/>
  <c r="AI104" i="27"/>
  <c r="Q105" i="24"/>
  <c r="AO108" i="28"/>
  <c r="AI108" i="27"/>
  <c r="Q109" i="24"/>
  <c r="AO116" i="28"/>
  <c r="AI116" i="27"/>
  <c r="Q117" i="24"/>
  <c r="AO120" i="28"/>
  <c r="Q121" i="24"/>
  <c r="AO124" i="28"/>
  <c r="AI124" i="27"/>
  <c r="Q125" i="24"/>
  <c r="AO128" i="28"/>
  <c r="AI128" i="27"/>
  <c r="Q129" i="24"/>
  <c r="AO132" i="28"/>
  <c r="AI132" i="27"/>
  <c r="Q133" i="24"/>
  <c r="AO136" i="28"/>
  <c r="AI136" i="27"/>
  <c r="Q137" i="24"/>
  <c r="AO140" i="28"/>
  <c r="Q141" i="24"/>
  <c r="AO144" i="28"/>
  <c r="AI144" i="27"/>
  <c r="Q145" i="24"/>
  <c r="AI148" i="27"/>
  <c r="AI147" i="27" s="1"/>
  <c r="Q149" i="24"/>
  <c r="AI156" i="27"/>
  <c r="Q157" i="24"/>
  <c r="Q160" i="24"/>
  <c r="Q159" i="24" s="1"/>
  <c r="AI164" i="27"/>
  <c r="Q165" i="24"/>
  <c r="AI176" i="27"/>
  <c r="Q177" i="24"/>
  <c r="AC40" i="23"/>
  <c r="AC59" i="23"/>
  <c r="AC64" i="23"/>
  <c r="AC69" i="23"/>
  <c r="AC80" i="23"/>
  <c r="AC89" i="23"/>
  <c r="AC93" i="23"/>
  <c r="AC91" i="23" s="1"/>
  <c r="AC97" i="23"/>
  <c r="AC109" i="23"/>
  <c r="AC128" i="23"/>
  <c r="AC132" i="23"/>
  <c r="AC137" i="23"/>
  <c r="AC148" i="23"/>
  <c r="AC152" i="23"/>
  <c r="AC157" i="23"/>
  <c r="AC163" i="23"/>
  <c r="AC170" i="23"/>
  <c r="AC169" i="23" s="1"/>
  <c r="AC168" i="23" s="1"/>
  <c r="AC180" i="23"/>
  <c r="AO34" i="28"/>
  <c r="AI35" i="27"/>
  <c r="Q35" i="24"/>
  <c r="AO42" i="28"/>
  <c r="AI43" i="27"/>
  <c r="Q43" i="24"/>
  <c r="AO66" i="28"/>
  <c r="AI67" i="27"/>
  <c r="Q67" i="24"/>
  <c r="Q66" i="24" s="1"/>
  <c r="AO74" i="28"/>
  <c r="AI74" i="27"/>
  <c r="Q75" i="24"/>
  <c r="AO82" i="28"/>
  <c r="AI82" i="27"/>
  <c r="Q83" i="24"/>
  <c r="AO94" i="28"/>
  <c r="AI94" i="27"/>
  <c r="Q95" i="24"/>
  <c r="AO102" i="28"/>
  <c r="AI102" i="27"/>
  <c r="Q103" i="24"/>
  <c r="AO126" i="28"/>
  <c r="AI126" i="27"/>
  <c r="Q127" i="24"/>
  <c r="AO138" i="28"/>
  <c r="AI138" i="27"/>
  <c r="Q139" i="24"/>
  <c r="AI174" i="27"/>
  <c r="Q175" i="24"/>
  <c r="AC47" i="23"/>
  <c r="AC67" i="23"/>
  <c r="AC66" i="23" s="1"/>
  <c r="AC87" i="23"/>
  <c r="AC111" i="23"/>
  <c r="AC107" i="23" s="1"/>
  <c r="AC100" i="23" s="1"/>
  <c r="AC135" i="23"/>
  <c r="AC155" i="23"/>
  <c r="AO35" i="28"/>
  <c r="AI36" i="27"/>
  <c r="Q36" i="24"/>
  <c r="AO43" i="28"/>
  <c r="AI44" i="27"/>
  <c r="Q44" i="24"/>
  <c r="AO55" i="28"/>
  <c r="AO54" i="28" s="1"/>
  <c r="AI56" i="27"/>
  <c r="AI55" i="27" s="1"/>
  <c r="Q56" i="24"/>
  <c r="Q55" i="24" s="1"/>
  <c r="AO67" i="28"/>
  <c r="AI68" i="27"/>
  <c r="Q68" i="24"/>
  <c r="AO83" i="28"/>
  <c r="AI83" i="27"/>
  <c r="Q84" i="24"/>
  <c r="AO91" i="28"/>
  <c r="Q92" i="24"/>
  <c r="AO103" i="28"/>
  <c r="AI103" i="27"/>
  <c r="Q104" i="24"/>
  <c r="AO111" i="28"/>
  <c r="AI111" i="27"/>
  <c r="Q112" i="24"/>
  <c r="AO123" i="28"/>
  <c r="AI123" i="27"/>
  <c r="Q124" i="24"/>
  <c r="AI175" i="27"/>
  <c r="Q176" i="24"/>
  <c r="AC48" i="23"/>
  <c r="AC63" i="23"/>
  <c r="AC61" i="23" s="1"/>
  <c r="AC79" i="23"/>
  <c r="AC88" i="23"/>
  <c r="AC96" i="23"/>
  <c r="AC103" i="23"/>
  <c r="AC123" i="23"/>
  <c r="AC131" i="23"/>
  <c r="AC151" i="23"/>
  <c r="AC147" i="23" s="1"/>
  <c r="AC156" i="23"/>
  <c r="AC179" i="23"/>
  <c r="AO33" i="28"/>
  <c r="AI34" i="27"/>
  <c r="Q34" i="24"/>
  <c r="AO41" i="28"/>
  <c r="AI42" i="27"/>
  <c r="Q42" i="24"/>
  <c r="AO45" i="28"/>
  <c r="AI46" i="27"/>
  <c r="AI45" i="27" s="1"/>
  <c r="Q46" i="24"/>
  <c r="AO49" i="28"/>
  <c r="AI50" i="27"/>
  <c r="Q50" i="24"/>
  <c r="Q49" i="24" s="1"/>
  <c r="AO53" i="28"/>
  <c r="AI54" i="27"/>
  <c r="Q54" i="24"/>
  <c r="AO57" i="28"/>
  <c r="AI58" i="27"/>
  <c r="AI57" i="27" s="1"/>
  <c r="Q58" i="24"/>
  <c r="Q57" i="24" s="1"/>
  <c r="AO61" i="28"/>
  <c r="AI62" i="27"/>
  <c r="Q62" i="24"/>
  <c r="Q61" i="24" s="1"/>
  <c r="AO69" i="28"/>
  <c r="AI70" i="27"/>
  <c r="Q70" i="24"/>
  <c r="AO73" i="28"/>
  <c r="AO72" i="28" s="1"/>
  <c r="Q74" i="24"/>
  <c r="Q73" i="24" s="1"/>
  <c r="AO81" i="28"/>
  <c r="AI81" i="27"/>
  <c r="Q82" i="24"/>
  <c r="AO85" i="28"/>
  <c r="Q86" i="24"/>
  <c r="AO89" i="28"/>
  <c r="AI89" i="27"/>
  <c r="Q90" i="24"/>
  <c r="AO93" i="28"/>
  <c r="AI93" i="27"/>
  <c r="Q94" i="24"/>
  <c r="AO97" i="28"/>
  <c r="AI97" i="27"/>
  <c r="Q98" i="24"/>
  <c r="AO101" i="28"/>
  <c r="Q102" i="24"/>
  <c r="Q101" i="24" s="1"/>
  <c r="AO105" i="28"/>
  <c r="AI105" i="27"/>
  <c r="Q106" i="24"/>
  <c r="AO109" i="28"/>
  <c r="AI109" i="27"/>
  <c r="Q110" i="24"/>
  <c r="AO113" i="28"/>
  <c r="AO112" i="28" s="1"/>
  <c r="Q114" i="24"/>
  <c r="Q113" i="24" s="1"/>
  <c r="AO117" i="28"/>
  <c r="AI117" i="27"/>
  <c r="Q118" i="24"/>
  <c r="AO121" i="28"/>
  <c r="AI121" i="27"/>
  <c r="Q122" i="24"/>
  <c r="AO125" i="28"/>
  <c r="AI125" i="27"/>
  <c r="Q126" i="24"/>
  <c r="AO129" i="28"/>
  <c r="AI129" i="27"/>
  <c r="Q130" i="24"/>
  <c r="AO137" i="28"/>
  <c r="AI137" i="27"/>
  <c r="Q138" i="24"/>
  <c r="AO141" i="28"/>
  <c r="AI141" i="27"/>
  <c r="Q142" i="24"/>
  <c r="AI149" i="27"/>
  <c r="Q150" i="24"/>
  <c r="Q147" i="24" s="1"/>
  <c r="AI157" i="27"/>
  <c r="Q158" i="24"/>
  <c r="Q153" i="24" s="1"/>
  <c r="AI161" i="27"/>
  <c r="Q162" i="24"/>
  <c r="AI165" i="27"/>
  <c r="Q166" i="24"/>
  <c r="AI173" i="27"/>
  <c r="Q174" i="24"/>
  <c r="Q172" i="24" s="1"/>
  <c r="Q171" i="24" s="1"/>
  <c r="Q167" i="24" s="1"/>
  <c r="AI177" i="27"/>
  <c r="Q178" i="24"/>
  <c r="AC36" i="23"/>
  <c r="AC32" i="23" s="1"/>
  <c r="AC41" i="23"/>
  <c r="AC46" i="23"/>
  <c r="AC45" i="23" s="1"/>
  <c r="AC51" i="23"/>
  <c r="AC56" i="23"/>
  <c r="AC55" i="23" s="1"/>
  <c r="AC60" i="23"/>
  <c r="AC65" i="23"/>
  <c r="AC70" i="23"/>
  <c r="AC76" i="23"/>
  <c r="AC73" i="23" s="1"/>
  <c r="AC81" i="23"/>
  <c r="AC86" i="23"/>
  <c r="AC85" i="23" s="1"/>
  <c r="AC90" i="23"/>
  <c r="AC94" i="23"/>
  <c r="AC98" i="23"/>
  <c r="AC105" i="23"/>
  <c r="AC110" i="23"/>
  <c r="AC115" i="23"/>
  <c r="AC113" i="23" s="1"/>
  <c r="AC121" i="23"/>
  <c r="AC125" i="23"/>
  <c r="AC120" i="23" s="1"/>
  <c r="AC129" i="23"/>
  <c r="AC133" i="23"/>
  <c r="AC138" i="23"/>
  <c r="AC143" i="23"/>
  <c r="AC140" i="23" s="1"/>
  <c r="AC149" i="23"/>
  <c r="AC154" i="23"/>
  <c r="AC158" i="23"/>
  <c r="AC164" i="23"/>
  <c r="AC173" i="23"/>
  <c r="AC172" i="23" s="1"/>
  <c r="AC171" i="23" s="1"/>
  <c r="AC167" i="23" s="1"/>
  <c r="AC177" i="23"/>
  <c r="AC181" i="23"/>
  <c r="AC78" i="23"/>
  <c r="AC160" i="23"/>
  <c r="AC159" i="23" s="1"/>
  <c r="AC101" i="23"/>
  <c r="AC49" i="23"/>
  <c r="AB33" i="2"/>
  <c r="AB32" i="2" s="1"/>
  <c r="AO30" i="28" s="1"/>
  <c r="AI134" i="27" l="1"/>
  <c r="AI140" i="27"/>
  <c r="AI172" i="27"/>
  <c r="AI171" i="27" s="1"/>
  <c r="AI167" i="27" s="1"/>
  <c r="AI160" i="27"/>
  <c r="AI159" i="27" s="1"/>
  <c r="Q146" i="24"/>
  <c r="Q140" i="24" s="1"/>
  <c r="Q100" i="24"/>
  <c r="AI32" i="27"/>
  <c r="Q78" i="24"/>
  <c r="Q38" i="24"/>
  <c r="AO106" i="28"/>
  <c r="AO139" i="28"/>
  <c r="Q120" i="24"/>
  <c r="Q45" i="24"/>
  <c r="Q91" i="24"/>
  <c r="AI101" i="27"/>
  <c r="AI66" i="27"/>
  <c r="AC57" i="23"/>
  <c r="AI91" i="27"/>
  <c r="AO31" i="28"/>
  <c r="AO133" i="28"/>
  <c r="AI78" i="27"/>
  <c r="AI113" i="27"/>
  <c r="AO77" i="28"/>
  <c r="AI38" i="27"/>
  <c r="AO90" i="28"/>
  <c r="AO100" i="28"/>
  <c r="AI73" i="27"/>
  <c r="AO65" i="28"/>
  <c r="Q134" i="24"/>
  <c r="AO37" i="28"/>
  <c r="AI107" i="27"/>
  <c r="AI61" i="27"/>
  <c r="AC153" i="23"/>
  <c r="AC146" i="23" s="1"/>
  <c r="AI120" i="27"/>
  <c r="AI119" i="27" s="1"/>
  <c r="Q85" i="24"/>
  <c r="Q72" i="24" s="1"/>
  <c r="AO60" i="28"/>
  <c r="AI49" i="27"/>
  <c r="AO44" i="28"/>
  <c r="AC134" i="23"/>
  <c r="AC119" i="23" s="1"/>
  <c r="AO119" i="28"/>
  <c r="Q32" i="24"/>
  <c r="AI153" i="27"/>
  <c r="AI146" i="27" s="1"/>
  <c r="AO84" i="28"/>
  <c r="AO71" i="28" s="1"/>
  <c r="AO48" i="28"/>
  <c r="Q107" i="24"/>
  <c r="AO56" i="28"/>
  <c r="AC72" i="23"/>
  <c r="AB31" i="2"/>
  <c r="AO29" i="28" s="1"/>
  <c r="AI31" i="27"/>
  <c r="Q31" i="24"/>
  <c r="AC31" i="23"/>
  <c r="B17" i="6"/>
  <c r="B15" i="6"/>
  <c r="B14" i="6"/>
  <c r="B12" i="6"/>
  <c r="B13" i="6"/>
  <c r="B11" i="6"/>
  <c r="B10" i="6"/>
  <c r="B9" i="6"/>
  <c r="B8" i="6"/>
  <c r="AC99" i="23" l="1"/>
  <c r="AC182" i="23" s="1"/>
  <c r="AO99" i="28"/>
  <c r="AI100" i="27"/>
  <c r="AI99" i="27" s="1"/>
  <c r="AI72" i="27"/>
  <c r="AO118" i="28"/>
  <c r="Q119" i="24"/>
  <c r="AB30" i="2"/>
  <c r="AO28" i="28" s="1"/>
  <c r="AI30" i="27"/>
  <c r="Q30" i="24"/>
  <c r="AC30" i="23"/>
  <c r="X139" i="20"/>
  <c r="AO98" i="28" l="1"/>
  <c r="AB29" i="2"/>
  <c r="AO27" i="28" s="1"/>
  <c r="AI29" i="27"/>
  <c r="Q29" i="24"/>
  <c r="AC29" i="23"/>
  <c r="A46" i="20"/>
  <c r="B46" i="20"/>
  <c r="AB28" i="2" l="1"/>
  <c r="AO26" i="28" s="1"/>
  <c r="AI28" i="27"/>
  <c r="Q28" i="24"/>
  <c r="AC28" i="23"/>
  <c r="C51" i="22"/>
  <c r="C50" i="22"/>
  <c r="C49" i="22"/>
  <c r="C48"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5" i="22"/>
  <c r="A147" i="20"/>
  <c r="AB27" i="2" l="1"/>
  <c r="AO25" i="28" s="1"/>
  <c r="AI27" i="27"/>
  <c r="Q27" i="24"/>
  <c r="AC27" i="23"/>
  <c r="C4" i="22"/>
  <c r="C3" i="22"/>
  <c r="N9" i="20"/>
  <c r="O9" i="20"/>
  <c r="P9" i="20"/>
  <c r="Q9" i="20"/>
  <c r="R9" i="20"/>
  <c r="S9" i="20"/>
  <c r="T9" i="20"/>
  <c r="AH9" i="20"/>
  <c r="AI9" i="20"/>
  <c r="AJ9" i="20"/>
  <c r="AK9" i="20"/>
  <c r="AL9" i="20"/>
  <c r="AM9" i="20"/>
  <c r="AN9" i="20"/>
  <c r="BB9" i="20"/>
  <c r="BC9" i="20"/>
  <c r="BD9" i="20"/>
  <c r="BE9" i="20"/>
  <c r="BF9" i="20"/>
  <c r="BG9" i="20"/>
  <c r="BH9" i="20"/>
  <c r="U9" i="20" l="1"/>
  <c r="AO9" i="20"/>
  <c r="BI9" i="20"/>
  <c r="AB26" i="2"/>
  <c r="AO24" i="28" s="1"/>
  <c r="AI26" i="27"/>
  <c r="Q26" i="24"/>
  <c r="AC26" i="23"/>
  <c r="CM158" i="10"/>
  <c r="CM157" i="10"/>
  <c r="CM155" i="10"/>
  <c r="CM154" i="10"/>
  <c r="AB25" i="2" l="1"/>
  <c r="AO23" i="28" s="1"/>
  <c r="AI25" i="27"/>
  <c r="Q25" i="24"/>
  <c r="AC25" i="23"/>
  <c r="B34" i="12"/>
  <c r="B32" i="12"/>
  <c r="B23" i="12"/>
  <c r="B13" i="12"/>
  <c r="AB24" i="2" l="1"/>
  <c r="AO22" i="28" s="1"/>
  <c r="AI24" i="27"/>
  <c r="Q24" i="24"/>
  <c r="AC24" i="23"/>
  <c r="O178" i="11"/>
  <c r="P178" i="11" s="1"/>
  <c r="M178" i="11"/>
  <c r="N178" i="11" s="1"/>
  <c r="K178" i="11"/>
  <c r="L178" i="11" s="1"/>
  <c r="O180" i="11"/>
  <c r="P180" i="11" s="1"/>
  <c r="M180" i="11"/>
  <c r="N180" i="11" s="1"/>
  <c r="K180" i="11"/>
  <c r="L180" i="11" s="1"/>
  <c r="O179" i="11"/>
  <c r="P179" i="11" s="1"/>
  <c r="M179" i="11"/>
  <c r="N179" i="11" s="1"/>
  <c r="K179" i="11"/>
  <c r="L179" i="11" s="1"/>
  <c r="O177" i="11"/>
  <c r="P177" i="11" s="1"/>
  <c r="M177" i="11"/>
  <c r="N177" i="11" s="1"/>
  <c r="K177" i="11"/>
  <c r="O176" i="11"/>
  <c r="P176" i="11" s="1"/>
  <c r="M176" i="11"/>
  <c r="N176" i="11" s="1"/>
  <c r="K176" i="11"/>
  <c r="L176" i="11" s="1"/>
  <c r="O175" i="11"/>
  <c r="P175" i="11" s="1"/>
  <c r="M175" i="11"/>
  <c r="N175" i="11" s="1"/>
  <c r="K175" i="11"/>
  <c r="L175" i="11" s="1"/>
  <c r="O174" i="11"/>
  <c r="P174" i="11" s="1"/>
  <c r="M174" i="11"/>
  <c r="N174" i="11" s="1"/>
  <c r="K174" i="11"/>
  <c r="L174" i="11" s="1"/>
  <c r="O173" i="11"/>
  <c r="P173" i="11" s="1"/>
  <c r="M173" i="11"/>
  <c r="N173" i="11" s="1"/>
  <c r="K173" i="11"/>
  <c r="L173" i="11" s="1"/>
  <c r="O172" i="11"/>
  <c r="P172" i="11" s="1"/>
  <c r="M172" i="11"/>
  <c r="N172" i="11" s="1"/>
  <c r="K172" i="11"/>
  <c r="L172" i="11" s="1"/>
  <c r="O169" i="11"/>
  <c r="P169" i="11" s="1"/>
  <c r="M169" i="11"/>
  <c r="N169" i="11" s="1"/>
  <c r="K169" i="11"/>
  <c r="L169" i="11" s="1"/>
  <c r="O165" i="11"/>
  <c r="P165" i="11" s="1"/>
  <c r="M165" i="11"/>
  <c r="N165" i="11" s="1"/>
  <c r="K165" i="11"/>
  <c r="L165" i="11" s="1"/>
  <c r="O164" i="11"/>
  <c r="P164" i="11" s="1"/>
  <c r="M164" i="11"/>
  <c r="N164" i="11" s="1"/>
  <c r="K164" i="11"/>
  <c r="L164" i="11" s="1"/>
  <c r="O163" i="11"/>
  <c r="P163" i="11" s="1"/>
  <c r="M163" i="11"/>
  <c r="N163" i="11" s="1"/>
  <c r="K163" i="11"/>
  <c r="L163" i="11" s="1"/>
  <c r="O162" i="11"/>
  <c r="P162" i="11" s="1"/>
  <c r="M162" i="11"/>
  <c r="N162" i="11" s="1"/>
  <c r="K162" i="11"/>
  <c r="L162" i="11" s="1"/>
  <c r="O161" i="11"/>
  <c r="P161" i="11" s="1"/>
  <c r="M161" i="11"/>
  <c r="N161" i="11" s="1"/>
  <c r="K161" i="11"/>
  <c r="L161" i="11" s="1"/>
  <c r="O160" i="11"/>
  <c r="P160" i="11" s="1"/>
  <c r="M160" i="11"/>
  <c r="N160" i="11" s="1"/>
  <c r="K160" i="11"/>
  <c r="L160" i="11" s="1"/>
  <c r="O157" i="11"/>
  <c r="P157" i="11" s="1"/>
  <c r="M157" i="11"/>
  <c r="N157" i="11" s="1"/>
  <c r="K157" i="11"/>
  <c r="L157" i="11" s="1"/>
  <c r="O156" i="11"/>
  <c r="P156" i="11" s="1"/>
  <c r="M156" i="11"/>
  <c r="N156" i="11" s="1"/>
  <c r="K156" i="11"/>
  <c r="L156" i="11" s="1"/>
  <c r="O155" i="11"/>
  <c r="P155" i="11" s="1"/>
  <c r="M155" i="11"/>
  <c r="N155" i="11" s="1"/>
  <c r="K155" i="11"/>
  <c r="L155" i="11" s="1"/>
  <c r="O154" i="11"/>
  <c r="P154" i="11" s="1"/>
  <c r="M154" i="11"/>
  <c r="N154" i="11" s="1"/>
  <c r="K154" i="11"/>
  <c r="L154" i="11" s="1"/>
  <c r="O153" i="11"/>
  <c r="P153" i="11" s="1"/>
  <c r="M153" i="11"/>
  <c r="N153" i="11" s="1"/>
  <c r="K153" i="11"/>
  <c r="L153" i="11" s="1"/>
  <c r="O151" i="11"/>
  <c r="P151" i="11" s="1"/>
  <c r="M151" i="11"/>
  <c r="N151" i="11" s="1"/>
  <c r="K151" i="11"/>
  <c r="L151" i="11" s="1"/>
  <c r="O150" i="11"/>
  <c r="P150" i="11" s="1"/>
  <c r="M150" i="11"/>
  <c r="N150" i="11" s="1"/>
  <c r="K150" i="11"/>
  <c r="L150" i="11" s="1"/>
  <c r="O149" i="11"/>
  <c r="P149" i="11" s="1"/>
  <c r="M149" i="11"/>
  <c r="N149" i="11" s="1"/>
  <c r="K149" i="11"/>
  <c r="L149" i="11" s="1"/>
  <c r="O148" i="11"/>
  <c r="P148" i="11" s="1"/>
  <c r="M148" i="11"/>
  <c r="N148" i="11" s="1"/>
  <c r="K148" i="11"/>
  <c r="L148" i="11" s="1"/>
  <c r="O147" i="11"/>
  <c r="P147" i="11" s="1"/>
  <c r="M147" i="11"/>
  <c r="N147" i="11" s="1"/>
  <c r="K147" i="11"/>
  <c r="L147" i="11" s="1"/>
  <c r="O144" i="11"/>
  <c r="P144" i="11" s="1"/>
  <c r="M144" i="11"/>
  <c r="N144" i="11" s="1"/>
  <c r="K144" i="11"/>
  <c r="L144" i="11" s="1"/>
  <c r="O143" i="11"/>
  <c r="P143" i="11" s="1"/>
  <c r="M143" i="11"/>
  <c r="N143" i="11" s="1"/>
  <c r="K143" i="11"/>
  <c r="L143" i="11" s="1"/>
  <c r="O142" i="11"/>
  <c r="P142" i="11" s="1"/>
  <c r="M142" i="11"/>
  <c r="N142" i="11" s="1"/>
  <c r="K142" i="11"/>
  <c r="L142" i="11" s="1"/>
  <c r="O141" i="11"/>
  <c r="P141" i="11" s="1"/>
  <c r="M141" i="11"/>
  <c r="N141" i="11" s="1"/>
  <c r="K141" i="11"/>
  <c r="L141" i="11" s="1"/>
  <c r="O140" i="11"/>
  <c r="P140" i="11" s="1"/>
  <c r="M140" i="11"/>
  <c r="N140" i="11" s="1"/>
  <c r="K140" i="11"/>
  <c r="L140" i="11" s="1"/>
  <c r="O138" i="11"/>
  <c r="P138" i="11" s="1"/>
  <c r="M138" i="11"/>
  <c r="N138" i="11" s="1"/>
  <c r="K138" i="11"/>
  <c r="L138" i="11" s="1"/>
  <c r="O137" i="11"/>
  <c r="P137" i="11" s="1"/>
  <c r="M137" i="11"/>
  <c r="N137" i="11" s="1"/>
  <c r="K137" i="11"/>
  <c r="L137" i="11" s="1"/>
  <c r="O136" i="11"/>
  <c r="P136" i="11" s="1"/>
  <c r="M136" i="11"/>
  <c r="N136" i="11" s="1"/>
  <c r="K136" i="11"/>
  <c r="L136" i="11" s="1"/>
  <c r="O135" i="11"/>
  <c r="P135" i="11" s="1"/>
  <c r="M135" i="11"/>
  <c r="N135" i="11" s="1"/>
  <c r="K135" i="11"/>
  <c r="L135" i="11" s="1"/>
  <c r="O134" i="11"/>
  <c r="P134" i="11" s="1"/>
  <c r="M134" i="11"/>
  <c r="N134" i="11" s="1"/>
  <c r="K134" i="11"/>
  <c r="L134" i="11" s="1"/>
  <c r="O132" i="11"/>
  <c r="P132" i="11" s="1"/>
  <c r="M132" i="11"/>
  <c r="N132" i="11" s="1"/>
  <c r="K132" i="11"/>
  <c r="L132" i="11" s="1"/>
  <c r="O131" i="11"/>
  <c r="P131" i="11" s="1"/>
  <c r="M131" i="11"/>
  <c r="N131" i="11" s="1"/>
  <c r="K131" i="11"/>
  <c r="L131" i="11" s="1"/>
  <c r="O130" i="11"/>
  <c r="P130" i="11" s="1"/>
  <c r="M130" i="11"/>
  <c r="N130" i="11" s="1"/>
  <c r="K130" i="11"/>
  <c r="L130" i="11" s="1"/>
  <c r="O129" i="11"/>
  <c r="P129" i="11" s="1"/>
  <c r="M129" i="11"/>
  <c r="N129" i="11" s="1"/>
  <c r="K129" i="11"/>
  <c r="L129" i="11" s="1"/>
  <c r="O128" i="11"/>
  <c r="P128" i="11" s="1"/>
  <c r="M128" i="11"/>
  <c r="N128" i="11" s="1"/>
  <c r="K128" i="11"/>
  <c r="L128" i="11" s="1"/>
  <c r="O127" i="11"/>
  <c r="P127" i="11" s="1"/>
  <c r="M127" i="11"/>
  <c r="N127" i="11" s="1"/>
  <c r="K127" i="11"/>
  <c r="L127" i="11" s="1"/>
  <c r="O126" i="11"/>
  <c r="P126" i="11" s="1"/>
  <c r="M126" i="11"/>
  <c r="N126" i="11" s="1"/>
  <c r="K126" i="11"/>
  <c r="L126" i="11" s="1"/>
  <c r="O125" i="11"/>
  <c r="P125" i="11" s="1"/>
  <c r="M125" i="11"/>
  <c r="N125" i="11" s="1"/>
  <c r="K125" i="11"/>
  <c r="L125" i="11" s="1"/>
  <c r="O124" i="11"/>
  <c r="P124" i="11" s="1"/>
  <c r="M124" i="11"/>
  <c r="N124" i="11" s="1"/>
  <c r="K124" i="11"/>
  <c r="L124" i="11" s="1"/>
  <c r="O123" i="11"/>
  <c r="P123" i="11" s="1"/>
  <c r="M123" i="11"/>
  <c r="N123" i="11" s="1"/>
  <c r="K123" i="11"/>
  <c r="L123" i="11" s="1"/>
  <c r="O122" i="11"/>
  <c r="P122" i="11" s="1"/>
  <c r="M122" i="11"/>
  <c r="N122" i="11" s="1"/>
  <c r="K122" i="11"/>
  <c r="L122" i="11" s="1"/>
  <c r="O121" i="11"/>
  <c r="P121" i="11" s="1"/>
  <c r="M121" i="11"/>
  <c r="N121" i="11" s="1"/>
  <c r="K121" i="11"/>
  <c r="L121" i="11" s="1"/>
  <c r="O120" i="11"/>
  <c r="P120" i="11" s="1"/>
  <c r="M120" i="11"/>
  <c r="N120" i="11" s="1"/>
  <c r="K120" i="11"/>
  <c r="L120" i="11" s="1"/>
  <c r="O117" i="11"/>
  <c r="P117" i="11" s="1"/>
  <c r="M117" i="11"/>
  <c r="N117" i="11" s="1"/>
  <c r="K117" i="11"/>
  <c r="L117" i="11" s="1"/>
  <c r="O116" i="11"/>
  <c r="P116" i="11" s="1"/>
  <c r="M116" i="11"/>
  <c r="N116" i="11" s="1"/>
  <c r="K116" i="11"/>
  <c r="L116" i="11" s="1"/>
  <c r="O115" i="11"/>
  <c r="P115" i="11" s="1"/>
  <c r="M115" i="11"/>
  <c r="N115" i="11" s="1"/>
  <c r="K115" i="11"/>
  <c r="L115" i="11" s="1"/>
  <c r="O114" i="11"/>
  <c r="P114" i="11" s="1"/>
  <c r="M114" i="11"/>
  <c r="N114" i="11" s="1"/>
  <c r="K114" i="11"/>
  <c r="L114" i="11" s="1"/>
  <c r="O113" i="11"/>
  <c r="P113" i="11" s="1"/>
  <c r="M113" i="11"/>
  <c r="N113" i="11" s="1"/>
  <c r="K113" i="11"/>
  <c r="L113" i="11" s="1"/>
  <c r="O111" i="11"/>
  <c r="P111" i="11" s="1"/>
  <c r="M111" i="11"/>
  <c r="N111" i="11" s="1"/>
  <c r="K111" i="11"/>
  <c r="L111" i="11" s="1"/>
  <c r="O110" i="11"/>
  <c r="P110" i="11" s="1"/>
  <c r="M110" i="11"/>
  <c r="N110" i="11" s="1"/>
  <c r="K110" i="11"/>
  <c r="L110" i="11" s="1"/>
  <c r="O109" i="11"/>
  <c r="P109" i="11" s="1"/>
  <c r="M109" i="11"/>
  <c r="N109" i="11" s="1"/>
  <c r="K109" i="11"/>
  <c r="L109" i="11" s="1"/>
  <c r="O108" i="11"/>
  <c r="P108" i="11" s="1"/>
  <c r="M108" i="11"/>
  <c r="N108" i="11" s="1"/>
  <c r="K108" i="11"/>
  <c r="L108" i="11" s="1"/>
  <c r="O107" i="11"/>
  <c r="P107" i="11" s="1"/>
  <c r="M107" i="11"/>
  <c r="N107" i="11" s="1"/>
  <c r="K107" i="11"/>
  <c r="L107" i="11" s="1"/>
  <c r="O105" i="11"/>
  <c r="P105" i="11" s="1"/>
  <c r="M105" i="11"/>
  <c r="N105" i="11" s="1"/>
  <c r="K105" i="11"/>
  <c r="L105" i="11" s="1"/>
  <c r="O104" i="11"/>
  <c r="P104" i="11" s="1"/>
  <c r="M104" i="11"/>
  <c r="N104" i="11" s="1"/>
  <c r="K104" i="11"/>
  <c r="L104" i="11" s="1"/>
  <c r="O103" i="11"/>
  <c r="P103" i="11" s="1"/>
  <c r="M103" i="11"/>
  <c r="N103" i="11" s="1"/>
  <c r="K103" i="11"/>
  <c r="L103" i="11" s="1"/>
  <c r="O102" i="11"/>
  <c r="P102" i="11" s="1"/>
  <c r="M102" i="11"/>
  <c r="N102" i="11" s="1"/>
  <c r="K102" i="11"/>
  <c r="L102" i="11" s="1"/>
  <c r="O101" i="11"/>
  <c r="P101" i="11" s="1"/>
  <c r="M101" i="11"/>
  <c r="N101" i="11" s="1"/>
  <c r="K101" i="11"/>
  <c r="L101" i="11" s="1"/>
  <c r="O97" i="11"/>
  <c r="P97" i="11" s="1"/>
  <c r="M97" i="11"/>
  <c r="N97" i="11" s="1"/>
  <c r="K97" i="11"/>
  <c r="L97" i="11" s="1"/>
  <c r="O96" i="11"/>
  <c r="P96" i="11" s="1"/>
  <c r="M96" i="11"/>
  <c r="N96" i="11" s="1"/>
  <c r="K96" i="11"/>
  <c r="L96" i="11" s="1"/>
  <c r="O95" i="11"/>
  <c r="P95" i="11" s="1"/>
  <c r="M95" i="11"/>
  <c r="N95" i="11" s="1"/>
  <c r="K95" i="11"/>
  <c r="L95" i="11" s="1"/>
  <c r="O94" i="11"/>
  <c r="P94" i="11" s="1"/>
  <c r="M94" i="11"/>
  <c r="N94" i="11" s="1"/>
  <c r="K94" i="11"/>
  <c r="L94" i="11" s="1"/>
  <c r="O93" i="11"/>
  <c r="P93" i="11" s="1"/>
  <c r="M93" i="11"/>
  <c r="N93" i="11" s="1"/>
  <c r="K93" i="11"/>
  <c r="L93" i="11" s="1"/>
  <c r="O92" i="11"/>
  <c r="P92" i="11" s="1"/>
  <c r="M92" i="11"/>
  <c r="N92" i="11" s="1"/>
  <c r="K92" i="11"/>
  <c r="L92" i="11" s="1"/>
  <c r="O91" i="11"/>
  <c r="P91" i="11" s="1"/>
  <c r="M91" i="11"/>
  <c r="N91" i="11" s="1"/>
  <c r="K91" i="11"/>
  <c r="L91" i="11" s="1"/>
  <c r="O89" i="11"/>
  <c r="P89" i="11" s="1"/>
  <c r="M89" i="11"/>
  <c r="N89" i="11" s="1"/>
  <c r="K89" i="11"/>
  <c r="L89" i="11" s="1"/>
  <c r="O88" i="11"/>
  <c r="P88" i="11" s="1"/>
  <c r="M88" i="11"/>
  <c r="N88" i="11" s="1"/>
  <c r="K88" i="11"/>
  <c r="L88" i="11" s="1"/>
  <c r="O87" i="11"/>
  <c r="P87" i="11" s="1"/>
  <c r="M87" i="11"/>
  <c r="N87" i="11" s="1"/>
  <c r="K87" i="11"/>
  <c r="L87" i="11" s="1"/>
  <c r="O86" i="11"/>
  <c r="P86" i="11" s="1"/>
  <c r="M86" i="11"/>
  <c r="N86" i="11" s="1"/>
  <c r="K86" i="11"/>
  <c r="L86" i="11" s="1"/>
  <c r="O85" i="11"/>
  <c r="P85" i="11" s="1"/>
  <c r="M85" i="11"/>
  <c r="N85" i="11" s="1"/>
  <c r="K85" i="11"/>
  <c r="L85" i="11" s="1"/>
  <c r="O83" i="11"/>
  <c r="P83" i="11" s="1"/>
  <c r="M83" i="11"/>
  <c r="N83" i="11" s="1"/>
  <c r="K83" i="11"/>
  <c r="L83" i="11" s="1"/>
  <c r="O82" i="11"/>
  <c r="P82" i="11" s="1"/>
  <c r="M82" i="11"/>
  <c r="N82" i="11" s="1"/>
  <c r="K82" i="11"/>
  <c r="O81" i="11"/>
  <c r="P81" i="11" s="1"/>
  <c r="M81" i="11"/>
  <c r="N81" i="11" s="1"/>
  <c r="K81" i="11"/>
  <c r="L81" i="11" s="1"/>
  <c r="O80" i="11"/>
  <c r="P80" i="11" s="1"/>
  <c r="M80" i="11"/>
  <c r="N80" i="11" s="1"/>
  <c r="K80" i="11"/>
  <c r="L80" i="11" s="1"/>
  <c r="O79" i="11"/>
  <c r="P79" i="11" s="1"/>
  <c r="M79" i="11"/>
  <c r="N79" i="11" s="1"/>
  <c r="K79" i="11"/>
  <c r="L79" i="11" s="1"/>
  <c r="O78" i="11"/>
  <c r="P78" i="11" s="1"/>
  <c r="M78" i="11"/>
  <c r="N78" i="11" s="1"/>
  <c r="K78" i="11"/>
  <c r="L78" i="11" s="1"/>
  <c r="O76" i="11"/>
  <c r="P76" i="11" s="1"/>
  <c r="M76" i="11"/>
  <c r="N76" i="11" s="1"/>
  <c r="K76" i="11"/>
  <c r="L76" i="11" s="1"/>
  <c r="O75" i="11"/>
  <c r="P75" i="11" s="1"/>
  <c r="M75" i="11"/>
  <c r="N75" i="11" s="1"/>
  <c r="K75" i="11"/>
  <c r="L75" i="11" s="1"/>
  <c r="O74" i="11"/>
  <c r="P74" i="11" s="1"/>
  <c r="M74" i="11"/>
  <c r="N74" i="11" s="1"/>
  <c r="K74" i="11"/>
  <c r="L74" i="11" s="1"/>
  <c r="O73" i="11"/>
  <c r="P73" i="11" s="1"/>
  <c r="M73" i="11"/>
  <c r="N73" i="11" s="1"/>
  <c r="K73" i="11"/>
  <c r="L73" i="11" s="1"/>
  <c r="O47" i="11"/>
  <c r="P47" i="11" s="1"/>
  <c r="M47" i="11"/>
  <c r="N47" i="11" s="1"/>
  <c r="K47" i="11"/>
  <c r="L47" i="11" s="1"/>
  <c r="O46" i="11"/>
  <c r="P46" i="11" s="1"/>
  <c r="M46" i="11"/>
  <c r="N46" i="11" s="1"/>
  <c r="K46" i="11"/>
  <c r="L46" i="11" s="1"/>
  <c r="O45" i="11"/>
  <c r="P45" i="11" s="1"/>
  <c r="M45" i="11"/>
  <c r="N45" i="11" s="1"/>
  <c r="K45" i="11"/>
  <c r="O43" i="11"/>
  <c r="P43" i="11" s="1"/>
  <c r="M43" i="11"/>
  <c r="N43" i="11" s="1"/>
  <c r="K43" i="11"/>
  <c r="L43" i="11" s="1"/>
  <c r="O42" i="11"/>
  <c r="P42" i="11" s="1"/>
  <c r="M42" i="11"/>
  <c r="N42" i="11" s="1"/>
  <c r="K42" i="11"/>
  <c r="L42" i="11" s="1"/>
  <c r="O41" i="11"/>
  <c r="P41" i="11" s="1"/>
  <c r="M41" i="11"/>
  <c r="N41" i="11" s="1"/>
  <c r="K41" i="11"/>
  <c r="L41" i="11" s="1"/>
  <c r="O40" i="11"/>
  <c r="P40" i="11" s="1"/>
  <c r="M40" i="11"/>
  <c r="N40" i="11" s="1"/>
  <c r="K40" i="11"/>
  <c r="L40" i="11" s="1"/>
  <c r="O39" i="11"/>
  <c r="P39" i="11" s="1"/>
  <c r="M39" i="11"/>
  <c r="N39" i="11" s="1"/>
  <c r="K39" i="11"/>
  <c r="L39" i="11" s="1"/>
  <c r="O38" i="11"/>
  <c r="P38" i="11" s="1"/>
  <c r="M38" i="11"/>
  <c r="N38" i="11" s="1"/>
  <c r="K38" i="11"/>
  <c r="L38" i="11" s="1"/>
  <c r="O36" i="11"/>
  <c r="P36" i="11" s="1"/>
  <c r="M36" i="11"/>
  <c r="N36" i="11" s="1"/>
  <c r="K36" i="11"/>
  <c r="L36" i="11" s="1"/>
  <c r="O35" i="11"/>
  <c r="P35" i="11" s="1"/>
  <c r="M35" i="11"/>
  <c r="N35" i="11" s="1"/>
  <c r="K35" i="11"/>
  <c r="L35" i="11" s="1"/>
  <c r="O34" i="11"/>
  <c r="P34" i="11" s="1"/>
  <c r="M34" i="11"/>
  <c r="N34" i="11" s="1"/>
  <c r="K34" i="11"/>
  <c r="L34" i="11" s="1"/>
  <c r="O33" i="11"/>
  <c r="P33" i="11" s="1"/>
  <c r="M33" i="11"/>
  <c r="N33" i="11" s="1"/>
  <c r="K33" i="11"/>
  <c r="L33" i="11" s="1"/>
  <c r="O32" i="11"/>
  <c r="P32" i="11" s="1"/>
  <c r="M32" i="11"/>
  <c r="N32" i="11" s="1"/>
  <c r="K32" i="11"/>
  <c r="L32" i="11" s="1"/>
  <c r="O30" i="11"/>
  <c r="P30" i="11" s="1"/>
  <c r="M30" i="11"/>
  <c r="N30" i="11" s="1"/>
  <c r="K30" i="11"/>
  <c r="L30" i="11" s="1"/>
  <c r="O29" i="11"/>
  <c r="P29" i="11" s="1"/>
  <c r="M29" i="11"/>
  <c r="N29" i="11" s="1"/>
  <c r="K29" i="11"/>
  <c r="L29" i="11" s="1"/>
  <c r="O28" i="11"/>
  <c r="P28" i="11" s="1"/>
  <c r="M28" i="11"/>
  <c r="N28" i="11" s="1"/>
  <c r="K28" i="11"/>
  <c r="L28" i="11" s="1"/>
  <c r="O27" i="11"/>
  <c r="P27" i="11" s="1"/>
  <c r="M27" i="11"/>
  <c r="N27" i="11" s="1"/>
  <c r="K27" i="11"/>
  <c r="L27" i="11" s="1"/>
  <c r="O26" i="11"/>
  <c r="P26" i="11" s="1"/>
  <c r="M26" i="11"/>
  <c r="N26" i="11" s="1"/>
  <c r="K26" i="11"/>
  <c r="L26" i="11" s="1"/>
  <c r="O25" i="11"/>
  <c r="P25" i="11" s="1"/>
  <c r="M25" i="11"/>
  <c r="N25" i="11" s="1"/>
  <c r="K25" i="11"/>
  <c r="L25" i="11" s="1"/>
  <c r="O24" i="11"/>
  <c r="P24" i="11" s="1"/>
  <c r="M24" i="11"/>
  <c r="N24" i="11" s="1"/>
  <c r="K24" i="11"/>
  <c r="L24" i="11" s="1"/>
  <c r="O23" i="11"/>
  <c r="P23" i="11" s="1"/>
  <c r="M23" i="11"/>
  <c r="N23" i="11" s="1"/>
  <c r="K23" i="11"/>
  <c r="L23" i="11" s="1"/>
  <c r="O22" i="11"/>
  <c r="P22" i="11" s="1"/>
  <c r="M22" i="11"/>
  <c r="N22" i="11" s="1"/>
  <c r="K22" i="11"/>
  <c r="L22" i="11" s="1"/>
  <c r="O21" i="11"/>
  <c r="P21" i="11" s="1"/>
  <c r="M21" i="11"/>
  <c r="N21" i="11" s="1"/>
  <c r="K21" i="11"/>
  <c r="L21" i="11" s="1"/>
  <c r="O20" i="11"/>
  <c r="P20" i="11" s="1"/>
  <c r="M20" i="11"/>
  <c r="N20" i="11" s="1"/>
  <c r="K20" i="11"/>
  <c r="L20" i="11" s="1"/>
  <c r="O19" i="11"/>
  <c r="P19" i="11" s="1"/>
  <c r="M19" i="11"/>
  <c r="N19" i="11" s="1"/>
  <c r="K19" i="11"/>
  <c r="L19" i="11" s="1"/>
  <c r="O18" i="11"/>
  <c r="P18" i="11" s="1"/>
  <c r="M18" i="11"/>
  <c r="N18" i="11" s="1"/>
  <c r="K18" i="11"/>
  <c r="L18" i="11" s="1"/>
  <c r="O17" i="11"/>
  <c r="P17" i="11" s="1"/>
  <c r="M17" i="11"/>
  <c r="N17" i="11" s="1"/>
  <c r="K17" i="11"/>
  <c r="L17" i="11" s="1"/>
  <c r="O16" i="11"/>
  <c r="P16" i="11" s="1"/>
  <c r="M16" i="11"/>
  <c r="N16" i="11" s="1"/>
  <c r="K16" i="11"/>
  <c r="L16" i="11" s="1"/>
  <c r="O15" i="11"/>
  <c r="P15" i="11" s="1"/>
  <c r="M15" i="11"/>
  <c r="N15" i="11" s="1"/>
  <c r="K15" i="11"/>
  <c r="L15" i="11" s="1"/>
  <c r="O14" i="11"/>
  <c r="P14" i="11" s="1"/>
  <c r="M14" i="11"/>
  <c r="N14" i="11" s="1"/>
  <c r="K14" i="11"/>
  <c r="L14" i="11" s="1"/>
  <c r="O13" i="11"/>
  <c r="P13" i="11" s="1"/>
  <c r="M13" i="11"/>
  <c r="N13" i="11" s="1"/>
  <c r="K13" i="11"/>
  <c r="L13" i="11" s="1"/>
  <c r="O12" i="11"/>
  <c r="P12" i="11" s="1"/>
  <c r="M12" i="11"/>
  <c r="N12" i="11" s="1"/>
  <c r="K12" i="11"/>
  <c r="L12" i="11" s="1"/>
  <c r="O11" i="11"/>
  <c r="P11" i="11" s="1"/>
  <c r="M11" i="11"/>
  <c r="N11" i="11" s="1"/>
  <c r="K11" i="11"/>
  <c r="L11" i="11" s="1"/>
  <c r="O10" i="11"/>
  <c r="P10" i="11" s="1"/>
  <c r="M10" i="11"/>
  <c r="N10" i="11" s="1"/>
  <c r="K10" i="11"/>
  <c r="L10" i="11" s="1"/>
  <c r="O9" i="11"/>
  <c r="P9" i="11" s="1"/>
  <c r="M9" i="11"/>
  <c r="N9" i="11" s="1"/>
  <c r="K9" i="11"/>
  <c r="L9" i="11" s="1"/>
  <c r="O8" i="11"/>
  <c r="P8" i="11" s="1"/>
  <c r="M8" i="11"/>
  <c r="N8" i="11" s="1"/>
  <c r="K8" i="11"/>
  <c r="L8" i="11" s="1"/>
  <c r="O70" i="11"/>
  <c r="P70" i="11" s="1"/>
  <c r="M70" i="11"/>
  <c r="N70" i="11" s="1"/>
  <c r="K70" i="11"/>
  <c r="L70" i="11" s="1"/>
  <c r="O69" i="11"/>
  <c r="P69" i="11" s="1"/>
  <c r="M69" i="11"/>
  <c r="N69" i="11" s="1"/>
  <c r="K69" i="11"/>
  <c r="L69" i="11" s="1"/>
  <c r="O68" i="11"/>
  <c r="P68" i="11" s="1"/>
  <c r="M68" i="11"/>
  <c r="N68" i="11" s="1"/>
  <c r="K68" i="11"/>
  <c r="L68" i="11" s="1"/>
  <c r="O67" i="11"/>
  <c r="P67" i="11" s="1"/>
  <c r="M67" i="11"/>
  <c r="N67" i="11" s="1"/>
  <c r="K67" i="11"/>
  <c r="L67" i="11" s="1"/>
  <c r="O66" i="11"/>
  <c r="P66" i="11" s="1"/>
  <c r="M66" i="11"/>
  <c r="N66" i="11" s="1"/>
  <c r="K66" i="11"/>
  <c r="L66" i="11" s="1"/>
  <c r="O64" i="11"/>
  <c r="P64" i="11" s="1"/>
  <c r="M64" i="11"/>
  <c r="N64" i="11" s="1"/>
  <c r="K64" i="11"/>
  <c r="L64" i="11" s="1"/>
  <c r="O63" i="11"/>
  <c r="P63" i="11" s="1"/>
  <c r="M63" i="11"/>
  <c r="N63" i="11" s="1"/>
  <c r="K63" i="11"/>
  <c r="L63" i="11" s="1"/>
  <c r="O62" i="11"/>
  <c r="P62" i="11" s="1"/>
  <c r="M62" i="11"/>
  <c r="N62" i="11" s="1"/>
  <c r="K62" i="11"/>
  <c r="L62" i="11" s="1"/>
  <c r="O61" i="11"/>
  <c r="P61" i="11" s="1"/>
  <c r="M61" i="11"/>
  <c r="N61" i="11" s="1"/>
  <c r="K61" i="11"/>
  <c r="L61" i="11" s="1"/>
  <c r="O59" i="11"/>
  <c r="P59" i="11" s="1"/>
  <c r="M59" i="11"/>
  <c r="N59" i="11" s="1"/>
  <c r="K59" i="11"/>
  <c r="L59" i="11" s="1"/>
  <c r="O58" i="11"/>
  <c r="P58" i="11" s="1"/>
  <c r="M58" i="11"/>
  <c r="N58" i="11" s="1"/>
  <c r="K58" i="11"/>
  <c r="L58" i="11" s="1"/>
  <c r="O57" i="11"/>
  <c r="P57" i="11" s="1"/>
  <c r="M57" i="11"/>
  <c r="N57" i="11" s="1"/>
  <c r="K57" i="11"/>
  <c r="L57" i="11" s="1"/>
  <c r="O55" i="11"/>
  <c r="P55" i="11" s="1"/>
  <c r="M55" i="11"/>
  <c r="N55" i="11" s="1"/>
  <c r="K55" i="11"/>
  <c r="L55" i="11" s="1"/>
  <c r="K53" i="11"/>
  <c r="L53" i="11" s="1"/>
  <c r="K52" i="11"/>
  <c r="L52" i="11" s="1"/>
  <c r="K51" i="11"/>
  <c r="M53" i="11"/>
  <c r="N53" i="11" s="1"/>
  <c r="M52" i="11"/>
  <c r="N52" i="11" s="1"/>
  <c r="M51" i="11"/>
  <c r="N51" i="11" s="1"/>
  <c r="O53" i="11"/>
  <c r="P53" i="11" s="1"/>
  <c r="O52" i="11"/>
  <c r="P52" i="11" s="1"/>
  <c r="O51" i="11"/>
  <c r="P51" i="11" s="1"/>
  <c r="O49" i="11"/>
  <c r="P49" i="11" s="1"/>
  <c r="M49" i="11"/>
  <c r="N49" i="11" s="1"/>
  <c r="K49" i="11"/>
  <c r="L49" i="11" s="1"/>
  <c r="K50" i="11"/>
  <c r="L50" i="11" s="1"/>
  <c r="M50" i="11"/>
  <c r="N50" i="11" s="1"/>
  <c r="O50" i="11"/>
  <c r="P50" i="11" s="1"/>
  <c r="L177" i="11" l="1"/>
  <c r="V177" i="26"/>
  <c r="L45" i="11"/>
  <c r="V46" i="26"/>
  <c r="L82" i="11"/>
  <c r="V82" i="26"/>
  <c r="AB23" i="2"/>
  <c r="AO21" i="28" s="1"/>
  <c r="AI23" i="27"/>
  <c r="Q23" i="24"/>
  <c r="AC23" i="23"/>
  <c r="L51" i="11"/>
  <c r="C33" i="12"/>
  <c r="D34" i="12"/>
  <c r="D32" i="12"/>
  <c r="D30" i="12"/>
  <c r="D28" i="12"/>
  <c r="D26" i="12"/>
  <c r="D24" i="12"/>
  <c r="D21" i="12"/>
  <c r="D19" i="12"/>
  <c r="D17" i="12"/>
  <c r="D15" i="12"/>
  <c r="D13" i="12"/>
  <c r="D11" i="12"/>
  <c r="D9" i="12"/>
  <c r="D7" i="12"/>
  <c r="D5" i="12"/>
  <c r="D3" i="12"/>
  <c r="C34" i="12"/>
  <c r="C32" i="12"/>
  <c r="C30" i="12"/>
  <c r="C28" i="12"/>
  <c r="C26" i="12"/>
  <c r="C24" i="12"/>
  <c r="C21" i="12"/>
  <c r="C19" i="12"/>
  <c r="C17" i="12"/>
  <c r="C15" i="12"/>
  <c r="C13" i="12"/>
  <c r="C11" i="12"/>
  <c r="C9" i="12"/>
  <c r="C7" i="12"/>
  <c r="C5" i="12"/>
  <c r="C3" i="12"/>
  <c r="D23" i="12"/>
  <c r="D18" i="12"/>
  <c r="D16" i="12"/>
  <c r="D12" i="12"/>
  <c r="D10" i="12"/>
  <c r="D6" i="12"/>
  <c r="D4" i="12"/>
  <c r="C29" i="12"/>
  <c r="C27" i="12"/>
  <c r="C23" i="12"/>
  <c r="C20" i="12"/>
  <c r="C16" i="12"/>
  <c r="C12" i="12"/>
  <c r="C10" i="12"/>
  <c r="C8" i="12"/>
  <c r="C4" i="12"/>
  <c r="D33" i="12"/>
  <c r="D31" i="12"/>
  <c r="D29" i="12"/>
  <c r="D27" i="12"/>
  <c r="D25" i="12"/>
  <c r="D20" i="12"/>
  <c r="D14" i="12"/>
  <c r="D8" i="12"/>
  <c r="C31" i="12"/>
  <c r="C25" i="12"/>
  <c r="C18" i="12"/>
  <c r="C14" i="12"/>
  <c r="C6" i="12"/>
  <c r="I114" i="38"/>
  <c r="H114" i="38"/>
  <c r="G114" i="38"/>
  <c r="F114" i="38"/>
  <c r="E114" i="38"/>
  <c r="D114" i="38"/>
  <c r="C114" i="38"/>
  <c r="B99" i="38"/>
  <c r="A99" i="38"/>
  <c r="C108" i="38"/>
  <c r="I108" i="38"/>
  <c r="H108" i="38"/>
  <c r="G108" i="38"/>
  <c r="F108" i="38"/>
  <c r="E108" i="38"/>
  <c r="D108" i="38"/>
  <c r="I102" i="38"/>
  <c r="H102" i="38"/>
  <c r="G102" i="38"/>
  <c r="F102" i="38"/>
  <c r="E102" i="38"/>
  <c r="D102" i="38"/>
  <c r="C102" i="38"/>
  <c r="C92" i="38"/>
  <c r="C86" i="38"/>
  <c r="C79" i="38"/>
  <c r="I74" i="38"/>
  <c r="H74" i="38"/>
  <c r="G74" i="38"/>
  <c r="F74" i="38"/>
  <c r="E74" i="38"/>
  <c r="D74" i="38"/>
  <c r="C74" i="38"/>
  <c r="I67" i="38"/>
  <c r="H67" i="38"/>
  <c r="G67" i="38"/>
  <c r="F67" i="38"/>
  <c r="E67" i="38"/>
  <c r="D67" i="38"/>
  <c r="C67" i="38"/>
  <c r="I62" i="38"/>
  <c r="H62" i="38"/>
  <c r="G62" i="38"/>
  <c r="F62" i="38"/>
  <c r="E62" i="38"/>
  <c r="D62" i="38"/>
  <c r="C62" i="38"/>
  <c r="I56" i="38"/>
  <c r="H56" i="38"/>
  <c r="G56" i="38"/>
  <c r="F56" i="38"/>
  <c r="E56" i="38"/>
  <c r="D56" i="38"/>
  <c r="C56" i="38"/>
  <c r="I50" i="38"/>
  <c r="H50" i="38"/>
  <c r="G50" i="38"/>
  <c r="F50" i="38"/>
  <c r="E50" i="38"/>
  <c r="D50" i="38"/>
  <c r="I46" i="38"/>
  <c r="H46" i="38"/>
  <c r="G46" i="38"/>
  <c r="F46" i="38"/>
  <c r="E46" i="38"/>
  <c r="D46" i="38"/>
  <c r="C46" i="38"/>
  <c r="I39" i="38"/>
  <c r="H39" i="38"/>
  <c r="G39" i="38"/>
  <c r="F39" i="38"/>
  <c r="E39" i="38"/>
  <c r="D39" i="38"/>
  <c r="C39" i="38"/>
  <c r="I33" i="38"/>
  <c r="H33" i="38"/>
  <c r="G33" i="38"/>
  <c r="F33" i="38"/>
  <c r="E33" i="38"/>
  <c r="D33" i="38"/>
  <c r="C33" i="38"/>
  <c r="S188" i="38"/>
  <c r="R188" i="38"/>
  <c r="B188" i="38"/>
  <c r="A188" i="38"/>
  <c r="C179" i="38"/>
  <c r="C178" i="38"/>
  <c r="C176" i="38"/>
  <c r="C175" i="38"/>
  <c r="C167" i="38"/>
  <c r="C166" i="38"/>
  <c r="I160" i="38"/>
  <c r="H160" i="38"/>
  <c r="G160" i="38"/>
  <c r="F160" i="38"/>
  <c r="E160" i="38"/>
  <c r="D160" i="38"/>
  <c r="C160" i="38"/>
  <c r="I154" i="38"/>
  <c r="H154" i="38"/>
  <c r="G154" i="38"/>
  <c r="F154" i="38"/>
  <c r="E154" i="38"/>
  <c r="D154" i="38"/>
  <c r="C154" i="38"/>
  <c r="C153" i="38"/>
  <c r="C147" i="38"/>
  <c r="I147" i="38"/>
  <c r="H147" i="38"/>
  <c r="G147" i="38"/>
  <c r="F147" i="38"/>
  <c r="E147" i="38"/>
  <c r="D147" i="38"/>
  <c r="I135" i="38"/>
  <c r="H135" i="38"/>
  <c r="G135" i="38"/>
  <c r="F135" i="38"/>
  <c r="E135" i="38"/>
  <c r="D135" i="38"/>
  <c r="C135" i="38"/>
  <c r="I121" i="38"/>
  <c r="H121" i="38"/>
  <c r="G121" i="38"/>
  <c r="F121" i="38"/>
  <c r="E121" i="38"/>
  <c r="D121" i="38"/>
  <c r="C121"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I120" i="38"/>
  <c r="H120" i="38"/>
  <c r="G120" i="38"/>
  <c r="F120" i="38"/>
  <c r="E120" i="38"/>
  <c r="D120" i="38"/>
  <c r="C120" i="38"/>
  <c r="I101" i="38"/>
  <c r="H101" i="38"/>
  <c r="G101" i="38"/>
  <c r="F101" i="38"/>
  <c r="E101" i="38"/>
  <c r="D101" i="38"/>
  <c r="C101" i="38"/>
  <c r="I73" i="38"/>
  <c r="H73" i="38"/>
  <c r="G73" i="38"/>
  <c r="F73" i="38"/>
  <c r="E73" i="38"/>
  <c r="D73" i="38"/>
  <c r="C73" i="38"/>
  <c r="C174" i="38"/>
  <c r="I174" i="38"/>
  <c r="H174" i="38"/>
  <c r="G174" i="38"/>
  <c r="F174" i="38"/>
  <c r="E174" i="38"/>
  <c r="D174" i="38"/>
  <c r="I100" i="38"/>
  <c r="H100" i="38"/>
  <c r="G100" i="38"/>
  <c r="F100" i="38"/>
  <c r="E100" i="38"/>
  <c r="D100" i="38"/>
  <c r="C100" i="38"/>
  <c r="C9" i="38"/>
  <c r="C8" i="38"/>
  <c r="C7" i="38"/>
  <c r="B85" i="38"/>
  <c r="A85" i="38"/>
  <c r="B84" i="38"/>
  <c r="A84" i="38"/>
  <c r="B83" i="38"/>
  <c r="A83" i="38"/>
  <c r="B82" i="38"/>
  <c r="A82" i="38"/>
  <c r="B81" i="38"/>
  <c r="A81" i="38"/>
  <c r="C35" i="31" l="1"/>
  <c r="C26" i="31"/>
  <c r="C17" i="31"/>
  <c r="C8" i="31"/>
  <c r="D33" i="31"/>
  <c r="D8" i="31"/>
  <c r="D32" i="31"/>
  <c r="D22" i="31"/>
  <c r="D13" i="31"/>
  <c r="D5" i="31"/>
  <c r="D23" i="31"/>
  <c r="C36" i="31"/>
  <c r="C27" i="31"/>
  <c r="C18" i="31"/>
  <c r="C9" i="31"/>
  <c r="D35" i="31"/>
  <c r="D6" i="31"/>
  <c r="C33" i="31"/>
  <c r="C23" i="31"/>
  <c r="C15" i="31"/>
  <c r="C6" i="31"/>
  <c r="D28" i="31"/>
  <c r="C29" i="31"/>
  <c r="D30" i="31"/>
  <c r="D20" i="31"/>
  <c r="D11" i="31"/>
  <c r="D17" i="31"/>
  <c r="C34" i="31"/>
  <c r="C25" i="31"/>
  <c r="C16" i="31"/>
  <c r="C7" i="31"/>
  <c r="D26" i="31"/>
  <c r="C31" i="31"/>
  <c r="C21" i="31"/>
  <c r="C12" i="31"/>
  <c r="C4" i="31"/>
  <c r="D19" i="31"/>
  <c r="D36" i="31"/>
  <c r="D27" i="31"/>
  <c r="D9" i="31"/>
  <c r="C14" i="31"/>
  <c r="C32" i="31"/>
  <c r="C13" i="31"/>
  <c r="D21" i="31"/>
  <c r="D18" i="31"/>
  <c r="D10" i="31"/>
  <c r="C22" i="31"/>
  <c r="C5" i="31"/>
  <c r="C28" i="31"/>
  <c r="D12" i="31"/>
  <c r="D7" i="31"/>
  <c r="C20" i="31"/>
  <c r="C19" i="31"/>
  <c r="D34" i="31"/>
  <c r="D31" i="31"/>
  <c r="C11" i="31"/>
  <c r="D16" i="31"/>
  <c r="C10" i="31"/>
  <c r="D25" i="31"/>
  <c r="D4" i="31"/>
  <c r="C24" i="31"/>
  <c r="C30" i="31"/>
  <c r="D15" i="31"/>
  <c r="AB22" i="2"/>
  <c r="AO20" i="28" s="1"/>
  <c r="AI22" i="27"/>
  <c r="Q22" i="24"/>
  <c r="AC22" i="23"/>
  <c r="F12" i="12"/>
  <c r="F8" i="12"/>
  <c r="F32" i="12"/>
  <c r="F3" i="12"/>
  <c r="F22" i="12"/>
  <c r="E12" i="12"/>
  <c r="E8" i="12"/>
  <c r="E3" i="12"/>
  <c r="E32" i="12"/>
  <c r="S84" i="38"/>
  <c r="S83" i="38"/>
  <c r="S82" i="38"/>
  <c r="R82" i="38"/>
  <c r="AB21" i="2" l="1"/>
  <c r="AO19" i="28" s="1"/>
  <c r="AI21" i="27"/>
  <c r="Q21" i="24"/>
  <c r="AC21" i="23"/>
  <c r="R84" i="38"/>
  <c r="R83" i="38"/>
  <c r="AB181" i="23"/>
  <c r="AB180" i="23"/>
  <c r="AB179" i="23"/>
  <c r="AB178" i="23"/>
  <c r="AB177" i="23"/>
  <c r="AB176" i="23"/>
  <c r="AB175" i="23"/>
  <c r="AB174" i="23"/>
  <c r="AB173" i="23"/>
  <c r="Y181" i="23"/>
  <c r="Y180" i="23"/>
  <c r="Y179" i="23"/>
  <c r="Y178" i="23"/>
  <c r="Y177" i="23"/>
  <c r="Y176" i="23"/>
  <c r="Y175" i="23"/>
  <c r="Y174" i="23"/>
  <c r="Y173" i="23"/>
  <c r="V181" i="23"/>
  <c r="V180" i="23"/>
  <c r="V179" i="23"/>
  <c r="V178" i="23"/>
  <c r="V177" i="23"/>
  <c r="V176" i="23"/>
  <c r="V175" i="23"/>
  <c r="V174" i="23"/>
  <c r="V173" i="23"/>
  <c r="S181" i="23"/>
  <c r="S180" i="23"/>
  <c r="S179" i="23"/>
  <c r="S178" i="23"/>
  <c r="S177" i="23"/>
  <c r="S176" i="23"/>
  <c r="S175" i="23"/>
  <c r="S174" i="23"/>
  <c r="S173" i="23"/>
  <c r="P181" i="23"/>
  <c r="P180" i="23"/>
  <c r="P179" i="23"/>
  <c r="P174" i="23"/>
  <c r="AA172" i="23"/>
  <c r="AA171" i="23" s="1"/>
  <c r="X172" i="23"/>
  <c r="U172" i="23"/>
  <c r="U171" i="23" s="1"/>
  <c r="R172" i="23"/>
  <c r="R171" i="23" s="1"/>
  <c r="O172" i="23"/>
  <c r="O171" i="23" s="1"/>
  <c r="X171" i="23"/>
  <c r="S170" i="23"/>
  <c r="S169" i="23" s="1"/>
  <c r="S168" i="23" s="1"/>
  <c r="V170" i="23"/>
  <c r="V169" i="23" s="1"/>
  <c r="V168" i="23" s="1"/>
  <c r="Y170" i="23"/>
  <c r="Y169" i="23" s="1"/>
  <c r="Y168" i="23" s="1"/>
  <c r="AB170" i="23"/>
  <c r="AB169" i="23" s="1"/>
  <c r="AB168" i="23" s="1"/>
  <c r="AA169" i="23"/>
  <c r="AA168" i="23" s="1"/>
  <c r="X169" i="23"/>
  <c r="X168" i="23" s="1"/>
  <c r="U169" i="23"/>
  <c r="U168" i="23" s="1"/>
  <c r="R169" i="23"/>
  <c r="R168" i="23" s="1"/>
  <c r="O169" i="23"/>
  <c r="O168" i="23" s="1"/>
  <c r="AB166" i="23"/>
  <c r="AB165" i="23"/>
  <c r="AB164" i="23"/>
  <c r="AB163" i="23"/>
  <c r="AB162" i="23"/>
  <c r="AB161" i="23"/>
  <c r="Y166" i="23"/>
  <c r="Y165" i="23"/>
  <c r="Y164" i="23"/>
  <c r="Y163" i="23"/>
  <c r="Y162" i="23"/>
  <c r="Y161" i="23"/>
  <c r="V166" i="23"/>
  <c r="V165" i="23"/>
  <c r="V164" i="23"/>
  <c r="V163" i="23"/>
  <c r="V162" i="23"/>
  <c r="V161" i="23"/>
  <c r="S166" i="23"/>
  <c r="S165" i="23"/>
  <c r="S164" i="23"/>
  <c r="S163" i="23"/>
  <c r="S162" i="23"/>
  <c r="S161" i="23"/>
  <c r="P166" i="23"/>
  <c r="P165" i="23"/>
  <c r="P164" i="23"/>
  <c r="P163" i="23"/>
  <c r="P162" i="23"/>
  <c r="P161" i="23"/>
  <c r="AA160" i="23"/>
  <c r="AA159" i="23" s="1"/>
  <c r="X160" i="23"/>
  <c r="X159" i="23" s="1"/>
  <c r="U160" i="23"/>
  <c r="U159" i="23" s="1"/>
  <c r="R160" i="23"/>
  <c r="R159" i="23" s="1"/>
  <c r="O160" i="23"/>
  <c r="O159" i="23" s="1"/>
  <c r="AB158" i="23"/>
  <c r="AB157" i="23"/>
  <c r="AB156" i="23"/>
  <c r="AB155" i="23"/>
  <c r="AB154" i="23"/>
  <c r="Y158" i="23"/>
  <c r="Y157" i="23"/>
  <c r="Y156" i="23"/>
  <c r="Y155" i="23"/>
  <c r="Y154" i="23"/>
  <c r="V158" i="23"/>
  <c r="V157" i="23"/>
  <c r="V156" i="23"/>
  <c r="V155" i="23"/>
  <c r="V154" i="23"/>
  <c r="S158" i="23"/>
  <c r="S157" i="23"/>
  <c r="S156" i="23"/>
  <c r="S155" i="23"/>
  <c r="S154" i="23"/>
  <c r="AA153" i="23"/>
  <c r="X153" i="23"/>
  <c r="U153" i="23"/>
  <c r="R153" i="23"/>
  <c r="O153" i="23"/>
  <c r="AB152" i="23"/>
  <c r="AB151" i="23"/>
  <c r="AB150" i="23"/>
  <c r="AB149" i="23"/>
  <c r="AB148" i="23"/>
  <c r="Y152" i="23"/>
  <c r="Y151" i="23"/>
  <c r="Y150" i="23"/>
  <c r="Y149" i="23"/>
  <c r="Y148" i="23"/>
  <c r="V152" i="23"/>
  <c r="V151" i="23"/>
  <c r="V150" i="23"/>
  <c r="V149" i="23"/>
  <c r="V148" i="23"/>
  <c r="S152" i="23"/>
  <c r="S151" i="23"/>
  <c r="S150" i="23"/>
  <c r="S149" i="23"/>
  <c r="S148" i="23"/>
  <c r="P152" i="23"/>
  <c r="AA147" i="23"/>
  <c r="X147" i="23"/>
  <c r="X146" i="23" s="1"/>
  <c r="U147" i="23"/>
  <c r="R147" i="23"/>
  <c r="O147" i="23"/>
  <c r="AA146" i="23"/>
  <c r="AB145" i="23"/>
  <c r="AB144" i="23"/>
  <c r="AB143" i="23"/>
  <c r="AB142" i="23"/>
  <c r="AB141" i="23"/>
  <c r="Y145" i="23"/>
  <c r="Y144" i="23"/>
  <c r="Y143" i="23"/>
  <c r="Y142" i="23"/>
  <c r="Y141" i="23"/>
  <c r="V145" i="23"/>
  <c r="V144" i="23"/>
  <c r="V143" i="23"/>
  <c r="V142" i="23"/>
  <c r="V141" i="23"/>
  <c r="S145" i="23"/>
  <c r="S144" i="23"/>
  <c r="S143" i="23"/>
  <c r="S142" i="23"/>
  <c r="S141" i="23"/>
  <c r="P145" i="23"/>
  <c r="P144" i="23"/>
  <c r="P143" i="23"/>
  <c r="P142" i="23"/>
  <c r="P141" i="23"/>
  <c r="AA140" i="23"/>
  <c r="X140" i="23"/>
  <c r="U140" i="23"/>
  <c r="R140" i="23"/>
  <c r="O140" i="23"/>
  <c r="AB139" i="23"/>
  <c r="AB138" i="23"/>
  <c r="AB137" i="23"/>
  <c r="AB136" i="23"/>
  <c r="AB135" i="23"/>
  <c r="Y139" i="23"/>
  <c r="Y138" i="23"/>
  <c r="Y137" i="23"/>
  <c r="Y136" i="23"/>
  <c r="Y135" i="23"/>
  <c r="V139" i="23"/>
  <c r="V138" i="23"/>
  <c r="V137" i="23"/>
  <c r="V136" i="23"/>
  <c r="V135" i="23"/>
  <c r="S139" i="23"/>
  <c r="S138" i="23"/>
  <c r="S137" i="23"/>
  <c r="S136" i="23"/>
  <c r="S135" i="23"/>
  <c r="P139" i="23"/>
  <c r="P138" i="23"/>
  <c r="P137" i="23"/>
  <c r="P136" i="23"/>
  <c r="P135" i="23"/>
  <c r="AA134" i="23"/>
  <c r="X134" i="23"/>
  <c r="U134" i="23"/>
  <c r="R134" i="23"/>
  <c r="O134" i="23"/>
  <c r="AB133" i="23"/>
  <c r="AB132" i="23"/>
  <c r="AB131" i="23"/>
  <c r="AB130" i="23"/>
  <c r="AB129" i="23"/>
  <c r="AB128" i="23"/>
  <c r="AB127" i="23"/>
  <c r="AB126" i="23"/>
  <c r="AB125" i="23"/>
  <c r="AB124" i="23"/>
  <c r="AB123" i="23"/>
  <c r="AB122" i="23"/>
  <c r="AB121" i="23"/>
  <c r="Y133" i="23"/>
  <c r="Y132" i="23"/>
  <c r="Y131" i="23"/>
  <c r="Y130" i="23"/>
  <c r="Y129" i="23"/>
  <c r="Y128" i="23"/>
  <c r="Y127" i="23"/>
  <c r="Y126" i="23"/>
  <c r="Y125" i="23"/>
  <c r="Y124" i="23"/>
  <c r="Y123" i="23"/>
  <c r="Y122" i="23"/>
  <c r="Y121" i="23"/>
  <c r="V133" i="23"/>
  <c r="V132" i="23"/>
  <c r="V131" i="23"/>
  <c r="V130" i="23"/>
  <c r="V129" i="23"/>
  <c r="V128" i="23"/>
  <c r="V127" i="23"/>
  <c r="V126" i="23"/>
  <c r="V125" i="23"/>
  <c r="V124" i="23"/>
  <c r="V123" i="23"/>
  <c r="V122" i="23"/>
  <c r="V121" i="23"/>
  <c r="S133" i="23"/>
  <c r="S132" i="23"/>
  <c r="S131" i="23"/>
  <c r="S130" i="23"/>
  <c r="S129" i="23"/>
  <c r="S128" i="23"/>
  <c r="S127" i="23"/>
  <c r="S126" i="23"/>
  <c r="S125" i="23"/>
  <c r="S124" i="23"/>
  <c r="S123" i="23"/>
  <c r="S122" i="23"/>
  <c r="S121" i="23"/>
  <c r="P133" i="23"/>
  <c r="P132" i="23"/>
  <c r="P131" i="23"/>
  <c r="P130" i="23"/>
  <c r="P129" i="23"/>
  <c r="P128" i="23"/>
  <c r="P127" i="23"/>
  <c r="P126" i="23"/>
  <c r="P125" i="23"/>
  <c r="P124" i="23"/>
  <c r="P123" i="23"/>
  <c r="P122" i="23"/>
  <c r="P121" i="23"/>
  <c r="AA120" i="23"/>
  <c r="X120" i="23"/>
  <c r="U120" i="23"/>
  <c r="R120" i="23"/>
  <c r="O120" i="23"/>
  <c r="AB118" i="23"/>
  <c r="AB117" i="23"/>
  <c r="AB116" i="23"/>
  <c r="AB115" i="23"/>
  <c r="AB114" i="23"/>
  <c r="Y118" i="23"/>
  <c r="Y117" i="23"/>
  <c r="Y116" i="23"/>
  <c r="Y115" i="23"/>
  <c r="Y114" i="23"/>
  <c r="V118" i="23"/>
  <c r="V117" i="23"/>
  <c r="V116" i="23"/>
  <c r="V115" i="23"/>
  <c r="V114" i="23"/>
  <c r="S118" i="23"/>
  <c r="S117" i="23"/>
  <c r="S116" i="23"/>
  <c r="S115" i="23"/>
  <c r="S114" i="23"/>
  <c r="P118" i="23"/>
  <c r="P117" i="23"/>
  <c r="P116" i="23"/>
  <c r="P115" i="23"/>
  <c r="P114" i="23"/>
  <c r="AA113" i="23"/>
  <c r="X113" i="23"/>
  <c r="U113" i="23"/>
  <c r="R113" i="23"/>
  <c r="O113" i="23"/>
  <c r="AB112" i="23"/>
  <c r="AB111" i="23"/>
  <c r="AB110" i="23"/>
  <c r="AB109" i="23"/>
  <c r="AB108" i="23"/>
  <c r="Y112" i="23"/>
  <c r="Y111" i="23"/>
  <c r="Y110" i="23"/>
  <c r="Y109" i="23"/>
  <c r="Y108" i="23"/>
  <c r="V112" i="23"/>
  <c r="V111" i="23"/>
  <c r="V110" i="23"/>
  <c r="V109" i="23"/>
  <c r="V108" i="23"/>
  <c r="S112" i="23"/>
  <c r="S111" i="23"/>
  <c r="S110" i="23"/>
  <c r="S109" i="23"/>
  <c r="S108" i="23"/>
  <c r="P112" i="23"/>
  <c r="P111" i="23"/>
  <c r="P110" i="23"/>
  <c r="P109" i="23"/>
  <c r="P108" i="23"/>
  <c r="AA107" i="23"/>
  <c r="X107" i="23"/>
  <c r="X100" i="23" s="1"/>
  <c r="U107" i="23"/>
  <c r="R107" i="23"/>
  <c r="O107" i="23"/>
  <c r="AB106" i="23"/>
  <c r="AB105" i="23"/>
  <c r="AB104" i="23"/>
  <c r="AB103" i="23"/>
  <c r="AB102" i="23"/>
  <c r="Y106" i="23"/>
  <c r="Y105" i="23"/>
  <c r="Y104" i="23"/>
  <c r="Y103" i="23"/>
  <c r="Y102" i="23"/>
  <c r="V106" i="23"/>
  <c r="V105" i="23"/>
  <c r="V104" i="23"/>
  <c r="V103" i="23"/>
  <c r="V102" i="23"/>
  <c r="S106" i="23"/>
  <c r="S105" i="23"/>
  <c r="S104" i="23"/>
  <c r="S103" i="23"/>
  <c r="S102" i="23"/>
  <c r="P106" i="23"/>
  <c r="P105" i="23"/>
  <c r="P104" i="23"/>
  <c r="P103" i="23"/>
  <c r="P102" i="23"/>
  <c r="AA101" i="23"/>
  <c r="AA100" i="23" s="1"/>
  <c r="X101" i="23"/>
  <c r="U101" i="23"/>
  <c r="R101" i="23"/>
  <c r="R100" i="23" s="1"/>
  <c r="O101" i="23"/>
  <c r="AB98" i="23"/>
  <c r="AB97" i="23"/>
  <c r="AB96" i="23"/>
  <c r="AB95" i="23"/>
  <c r="AB94" i="23"/>
  <c r="AB93" i="23"/>
  <c r="AB92" i="23"/>
  <c r="Y98" i="23"/>
  <c r="Y97" i="23"/>
  <c r="Y96" i="23"/>
  <c r="Y95" i="23"/>
  <c r="Y94" i="23"/>
  <c r="Y93" i="23"/>
  <c r="Y92" i="23"/>
  <c r="V98" i="23"/>
  <c r="V97" i="23"/>
  <c r="V96" i="23"/>
  <c r="V95" i="23"/>
  <c r="V94" i="23"/>
  <c r="V93" i="23"/>
  <c r="V92" i="23"/>
  <c r="S98" i="23"/>
  <c r="S97" i="23"/>
  <c r="S96" i="23"/>
  <c r="S95" i="23"/>
  <c r="S94" i="23"/>
  <c r="S93" i="23"/>
  <c r="S92" i="23"/>
  <c r="P98" i="23"/>
  <c r="P97" i="23"/>
  <c r="P96" i="23"/>
  <c r="P95" i="23"/>
  <c r="P94" i="23"/>
  <c r="P92" i="23"/>
  <c r="AA91" i="23"/>
  <c r="X91" i="23"/>
  <c r="U91" i="23"/>
  <c r="R91" i="23"/>
  <c r="O91" i="23"/>
  <c r="AB90" i="23"/>
  <c r="AB89" i="23"/>
  <c r="AB88" i="23"/>
  <c r="AB87" i="23"/>
  <c r="AB86" i="23"/>
  <c r="Y90" i="23"/>
  <c r="Y89" i="23"/>
  <c r="Y88" i="23"/>
  <c r="Y87" i="23"/>
  <c r="Y86" i="23"/>
  <c r="V90" i="23"/>
  <c r="V89" i="23"/>
  <c r="V88" i="23"/>
  <c r="V87" i="23"/>
  <c r="V86" i="23"/>
  <c r="S90" i="23"/>
  <c r="S89" i="23"/>
  <c r="S88" i="23"/>
  <c r="S87" i="23"/>
  <c r="S86" i="23"/>
  <c r="P90" i="23"/>
  <c r="P89" i="23"/>
  <c r="P88" i="23"/>
  <c r="P86" i="23"/>
  <c r="AA85" i="23"/>
  <c r="X85" i="23"/>
  <c r="U85" i="23"/>
  <c r="R85" i="23"/>
  <c r="O85" i="23"/>
  <c r="P84" i="23"/>
  <c r="P83" i="23"/>
  <c r="P81" i="23"/>
  <c r="P79" i="23"/>
  <c r="S84" i="23"/>
  <c r="S83" i="23"/>
  <c r="S82" i="23"/>
  <c r="S81" i="23"/>
  <c r="S80" i="23"/>
  <c r="S79" i="23"/>
  <c r="V84" i="23"/>
  <c r="V83" i="23"/>
  <c r="V82" i="23"/>
  <c r="V81" i="23"/>
  <c r="V80" i="23"/>
  <c r="V79" i="23"/>
  <c r="Y84" i="23"/>
  <c r="Y83" i="23"/>
  <c r="Y82" i="23"/>
  <c r="Y81" i="23"/>
  <c r="Y80" i="23"/>
  <c r="Y79" i="23"/>
  <c r="P76" i="23"/>
  <c r="P75" i="23"/>
  <c r="P74" i="23"/>
  <c r="P77" i="23"/>
  <c r="S76" i="23"/>
  <c r="S75" i="23"/>
  <c r="S74" i="23"/>
  <c r="S77" i="23"/>
  <c r="V76" i="23"/>
  <c r="V75" i="23"/>
  <c r="V74" i="23"/>
  <c r="V77" i="23"/>
  <c r="Y76" i="23"/>
  <c r="Y75" i="23"/>
  <c r="Y74" i="23"/>
  <c r="Y77" i="23"/>
  <c r="AB76" i="23"/>
  <c r="AB75" i="23"/>
  <c r="AB74" i="23"/>
  <c r="AB77" i="23"/>
  <c r="AB84" i="23"/>
  <c r="AB83" i="23"/>
  <c r="AB82" i="23"/>
  <c r="AB81" i="23"/>
  <c r="AB80" i="23"/>
  <c r="AB79" i="23"/>
  <c r="AA78" i="23"/>
  <c r="X78" i="23"/>
  <c r="U78" i="23"/>
  <c r="R78" i="23"/>
  <c r="O78" i="23"/>
  <c r="P71" i="23"/>
  <c r="P70" i="23"/>
  <c r="P69" i="23"/>
  <c r="P68" i="23"/>
  <c r="P67" i="23"/>
  <c r="S71" i="23"/>
  <c r="S70" i="23"/>
  <c r="S69" i="23"/>
  <c r="S68" i="23"/>
  <c r="S67" i="23"/>
  <c r="V71" i="23"/>
  <c r="V70" i="23"/>
  <c r="V69" i="23"/>
  <c r="V68" i="23"/>
  <c r="V67" i="23"/>
  <c r="Y71" i="23"/>
  <c r="Y70" i="23"/>
  <c r="Y69" i="23"/>
  <c r="Y68" i="23"/>
  <c r="Y67" i="23"/>
  <c r="AB71" i="23"/>
  <c r="AB70" i="23"/>
  <c r="AB69" i="23"/>
  <c r="AB68" i="23"/>
  <c r="AB67" i="23"/>
  <c r="AA73" i="23"/>
  <c r="X73" i="23"/>
  <c r="U73" i="23"/>
  <c r="R73" i="23"/>
  <c r="O73" i="23"/>
  <c r="AA66" i="23"/>
  <c r="X66" i="23"/>
  <c r="U66" i="23"/>
  <c r="R66" i="23"/>
  <c r="O66" i="23"/>
  <c r="P65" i="23"/>
  <c r="S65" i="23"/>
  <c r="S64" i="23"/>
  <c r="S63" i="23"/>
  <c r="S62" i="23"/>
  <c r="V65" i="23"/>
  <c r="V64" i="23"/>
  <c r="V63" i="23"/>
  <c r="V62" i="23"/>
  <c r="Y65" i="23"/>
  <c r="Y64" i="23"/>
  <c r="Y63" i="23"/>
  <c r="Y62" i="23"/>
  <c r="AB65" i="23"/>
  <c r="AB64" i="23"/>
  <c r="AB63" i="23"/>
  <c r="AB62" i="23"/>
  <c r="S60" i="23"/>
  <c r="S59" i="23"/>
  <c r="S58" i="23"/>
  <c r="V60" i="23"/>
  <c r="V59" i="23"/>
  <c r="V58" i="23"/>
  <c r="Y60" i="23"/>
  <c r="Y59" i="23"/>
  <c r="Y58" i="23"/>
  <c r="AB60" i="23"/>
  <c r="AB59" i="23"/>
  <c r="AB58" i="23"/>
  <c r="AA61" i="23"/>
  <c r="X61" i="23"/>
  <c r="U61" i="23"/>
  <c r="R61" i="23"/>
  <c r="O61" i="23"/>
  <c r="AB56" i="23"/>
  <c r="AB55" i="23" s="1"/>
  <c r="Y56" i="23"/>
  <c r="Y55" i="23" s="1"/>
  <c r="S56" i="23"/>
  <c r="S55" i="23" s="1"/>
  <c r="P56" i="23"/>
  <c r="P55" i="23" s="1"/>
  <c r="AA57" i="23"/>
  <c r="X57" i="23"/>
  <c r="U57" i="23"/>
  <c r="R57" i="23"/>
  <c r="O57" i="23"/>
  <c r="AA55" i="23"/>
  <c r="X55" i="23"/>
  <c r="U55" i="23"/>
  <c r="R55" i="23"/>
  <c r="O55" i="23"/>
  <c r="V172" i="23" l="1"/>
  <c r="V171" i="23" s="1"/>
  <c r="V167" i="23" s="1"/>
  <c r="M180" i="23"/>
  <c r="AB20" i="2"/>
  <c r="AO18" i="28" s="1"/>
  <c r="AI20" i="27"/>
  <c r="Q20" i="24"/>
  <c r="AC20" i="23"/>
  <c r="V120" i="23"/>
  <c r="S113" i="23"/>
  <c r="O119" i="23"/>
  <c r="M112" i="23"/>
  <c r="X167" i="23"/>
  <c r="S101" i="23"/>
  <c r="M111" i="23"/>
  <c r="M110" i="23"/>
  <c r="V107" i="23"/>
  <c r="M118" i="23"/>
  <c r="M116" i="23"/>
  <c r="Y113" i="23"/>
  <c r="AB61" i="23"/>
  <c r="V61" i="23"/>
  <c r="V66" i="23"/>
  <c r="M102" i="23"/>
  <c r="M138" i="23"/>
  <c r="Y61" i="23"/>
  <c r="S61" i="23"/>
  <c r="Y66" i="23"/>
  <c r="P66" i="23"/>
  <c r="M128" i="23"/>
  <c r="S147" i="23"/>
  <c r="M165" i="23"/>
  <c r="M98" i="23"/>
  <c r="V91" i="23"/>
  <c r="M164" i="23"/>
  <c r="M86" i="23"/>
  <c r="M90" i="23"/>
  <c r="M88" i="23"/>
  <c r="Y85" i="23"/>
  <c r="AB85" i="23"/>
  <c r="M94" i="23"/>
  <c r="AB91" i="23"/>
  <c r="M135" i="23"/>
  <c r="V153" i="23"/>
  <c r="S160" i="23"/>
  <c r="S159" i="23" s="1"/>
  <c r="AB160" i="23"/>
  <c r="AB159" i="23" s="1"/>
  <c r="M84" i="23"/>
  <c r="M92" i="23"/>
  <c r="M96" i="23"/>
  <c r="M97" i="23"/>
  <c r="R119" i="23"/>
  <c r="M125" i="23"/>
  <c r="M129" i="23"/>
  <c r="M133" i="23"/>
  <c r="M124" i="23"/>
  <c r="M132" i="23"/>
  <c r="Y120" i="23"/>
  <c r="AB120" i="23"/>
  <c r="AB153" i="23"/>
  <c r="S78" i="23"/>
  <c r="M83" i="23"/>
  <c r="M81" i="23"/>
  <c r="M106" i="23"/>
  <c r="M105" i="23"/>
  <c r="AB101" i="23"/>
  <c r="M117" i="23"/>
  <c r="S134" i="23"/>
  <c r="M139" i="23"/>
  <c r="M145" i="23"/>
  <c r="S140" i="23"/>
  <c r="M143" i="23"/>
  <c r="Y140" i="23"/>
  <c r="Y147" i="23"/>
  <c r="AB147" i="23"/>
  <c r="M70" i="23"/>
  <c r="V78" i="23"/>
  <c r="M89" i="23"/>
  <c r="Y107" i="23"/>
  <c r="M123" i="23"/>
  <c r="M131" i="23"/>
  <c r="M137" i="23"/>
  <c r="AB140" i="23"/>
  <c r="Y160" i="23"/>
  <c r="Y159" i="23" s="1"/>
  <c r="M67" i="23"/>
  <c r="M71" i="23"/>
  <c r="AB73" i="23"/>
  <c r="Y73" i="23"/>
  <c r="V73" i="23"/>
  <c r="P73" i="23"/>
  <c r="S85" i="23"/>
  <c r="M104" i="23"/>
  <c r="V101" i="23"/>
  <c r="S107" i="23"/>
  <c r="M108" i="23"/>
  <c r="AB107" i="23"/>
  <c r="S120" i="23"/>
  <c r="Y134" i="23"/>
  <c r="M144" i="23"/>
  <c r="M162" i="23"/>
  <c r="M166" i="23"/>
  <c r="M179" i="23"/>
  <c r="AB172" i="23"/>
  <c r="AB171" i="23" s="1"/>
  <c r="AB167" i="23" s="1"/>
  <c r="M152" i="23"/>
  <c r="S66" i="23"/>
  <c r="M79" i="23"/>
  <c r="Y91" i="23"/>
  <c r="M114" i="23"/>
  <c r="AB113" i="23"/>
  <c r="M127" i="23"/>
  <c r="V134" i="23"/>
  <c r="M141" i="23"/>
  <c r="M161" i="23"/>
  <c r="M181" i="23"/>
  <c r="AB57" i="23"/>
  <c r="M65" i="23"/>
  <c r="Y78" i="23"/>
  <c r="V85" i="23"/>
  <c r="S91" i="23"/>
  <c r="Y101" i="23"/>
  <c r="V113" i="23"/>
  <c r="AB134" i="23"/>
  <c r="V140" i="23"/>
  <c r="V147" i="23"/>
  <c r="S153" i="23"/>
  <c r="P160" i="23"/>
  <c r="P159" i="23" s="1"/>
  <c r="V160" i="23"/>
  <c r="V159" i="23" s="1"/>
  <c r="S172" i="23"/>
  <c r="S171" i="23" s="1"/>
  <c r="S167" i="23" s="1"/>
  <c r="R167" i="23"/>
  <c r="AA119" i="23"/>
  <c r="R146" i="23"/>
  <c r="AA167" i="23"/>
  <c r="O146" i="23"/>
  <c r="O100" i="23"/>
  <c r="X119" i="23"/>
  <c r="O167" i="23"/>
  <c r="M174" i="23"/>
  <c r="Y172" i="23"/>
  <c r="Y171" i="23" s="1"/>
  <c r="Y167" i="23" s="1"/>
  <c r="U167" i="23"/>
  <c r="M163" i="23"/>
  <c r="Y153" i="23"/>
  <c r="U146" i="23"/>
  <c r="M142" i="23"/>
  <c r="P140" i="23"/>
  <c r="U119" i="23"/>
  <c r="M136" i="23"/>
  <c r="P134" i="23"/>
  <c r="M121" i="23"/>
  <c r="M122" i="23"/>
  <c r="M126" i="23"/>
  <c r="M130" i="23"/>
  <c r="P120" i="23"/>
  <c r="M115" i="23"/>
  <c r="P113" i="23"/>
  <c r="M109" i="23"/>
  <c r="P107" i="23"/>
  <c r="U100" i="23"/>
  <c r="M103" i="23"/>
  <c r="P101" i="23"/>
  <c r="M95" i="23"/>
  <c r="M75" i="23"/>
  <c r="M77" i="23"/>
  <c r="M76" i="23"/>
  <c r="M74" i="23"/>
  <c r="V57" i="23"/>
  <c r="S57" i="23"/>
  <c r="Y57" i="23"/>
  <c r="AB78" i="23"/>
  <c r="M68" i="23"/>
  <c r="M69" i="23"/>
  <c r="AB66" i="23"/>
  <c r="S119" i="23" l="1"/>
  <c r="M107" i="23"/>
  <c r="AB19" i="2"/>
  <c r="AO17" i="28" s="1"/>
  <c r="AI19" i="27"/>
  <c r="Q19" i="24"/>
  <c r="AC19" i="23"/>
  <c r="S100" i="23"/>
  <c r="AB146" i="23"/>
  <c r="V146" i="23"/>
  <c r="Y100" i="23"/>
  <c r="V72" i="23"/>
  <c r="V100" i="23"/>
  <c r="Y72" i="23"/>
  <c r="S146" i="23"/>
  <c r="V119" i="23"/>
  <c r="AB100" i="23"/>
  <c r="AB119" i="23"/>
  <c r="AB72" i="23"/>
  <c r="Y119" i="23"/>
  <c r="P100" i="23"/>
  <c r="Y146" i="23"/>
  <c r="M160" i="23"/>
  <c r="M159" i="23" s="1"/>
  <c r="M113" i="23"/>
  <c r="M134" i="23"/>
  <c r="M140" i="23"/>
  <c r="M66" i="23"/>
  <c r="M101" i="23"/>
  <c r="P119" i="23"/>
  <c r="M120" i="23"/>
  <c r="M73" i="23"/>
  <c r="M119" i="23" l="1"/>
  <c r="S99" i="23"/>
  <c r="AB18" i="2"/>
  <c r="AO16" i="28" s="1"/>
  <c r="AI18" i="27"/>
  <c r="Q18" i="24"/>
  <c r="AC18" i="23"/>
  <c r="V99" i="23"/>
  <c r="M100" i="23"/>
  <c r="AB99" i="23"/>
  <c r="Y99" i="23"/>
  <c r="L54" i="23"/>
  <c r="L53" i="23"/>
  <c r="L52" i="23"/>
  <c r="L51" i="23"/>
  <c r="AB54" i="23"/>
  <c r="AB53" i="23"/>
  <c r="AB52" i="23"/>
  <c r="AB51" i="23"/>
  <c r="AB50" i="23"/>
  <c r="Y54" i="23"/>
  <c r="Y53" i="23"/>
  <c r="Y52" i="23"/>
  <c r="Y51" i="23"/>
  <c r="Y50" i="23"/>
  <c r="Y48" i="23"/>
  <c r="Y47" i="23"/>
  <c r="Y46" i="23"/>
  <c r="V54" i="23"/>
  <c r="V53" i="23"/>
  <c r="V52" i="23"/>
  <c r="V51" i="23"/>
  <c r="V50" i="23"/>
  <c r="S54" i="23"/>
  <c r="S53" i="23"/>
  <c r="S52" i="23"/>
  <c r="S51" i="23"/>
  <c r="S50" i="23"/>
  <c r="P54" i="23"/>
  <c r="P53" i="23"/>
  <c r="P52" i="23"/>
  <c r="P51" i="23"/>
  <c r="P50" i="23"/>
  <c r="V48" i="23"/>
  <c r="V47" i="23"/>
  <c r="V46" i="23"/>
  <c r="AB48" i="23"/>
  <c r="AB47" i="23"/>
  <c r="AB46" i="23"/>
  <c r="P48" i="23"/>
  <c r="P47" i="23"/>
  <c r="P46" i="23"/>
  <c r="S48" i="23"/>
  <c r="S47" i="23"/>
  <c r="S46" i="23"/>
  <c r="AB44" i="23"/>
  <c r="AB43" i="23"/>
  <c r="AB42" i="23"/>
  <c r="AB41" i="23"/>
  <c r="AB40" i="23"/>
  <c r="AB39" i="23"/>
  <c r="Y44" i="23"/>
  <c r="Y43" i="23"/>
  <c r="Y42" i="23"/>
  <c r="Y41" i="23"/>
  <c r="Y40" i="23"/>
  <c r="Y39" i="23"/>
  <c r="V44" i="23"/>
  <c r="V43" i="23"/>
  <c r="V42" i="23"/>
  <c r="V41" i="23"/>
  <c r="V40" i="23"/>
  <c r="V39" i="23"/>
  <c r="S44" i="23"/>
  <c r="S43" i="23"/>
  <c r="S42" i="23"/>
  <c r="S41" i="23"/>
  <c r="S40" i="23"/>
  <c r="S39" i="23"/>
  <c r="P44" i="23"/>
  <c r="P43" i="23"/>
  <c r="P42" i="23"/>
  <c r="P41" i="23"/>
  <c r="P40" i="23"/>
  <c r="P39" i="23"/>
  <c r="V37" i="23"/>
  <c r="V36" i="23"/>
  <c r="V35" i="23"/>
  <c r="V34" i="23"/>
  <c r="V33" i="23"/>
  <c r="S37" i="23"/>
  <c r="S36" i="23"/>
  <c r="S35" i="23"/>
  <c r="S34" i="23"/>
  <c r="S33" i="23"/>
  <c r="P37" i="23"/>
  <c r="P36" i="23"/>
  <c r="P35" i="23"/>
  <c r="P34" i="23"/>
  <c r="P33" i="23"/>
  <c r="P31" i="23"/>
  <c r="P30" i="23"/>
  <c r="P29" i="23"/>
  <c r="P28" i="23"/>
  <c r="P27" i="23"/>
  <c r="P26" i="23"/>
  <c r="P25" i="23"/>
  <c r="P24" i="23"/>
  <c r="P23" i="23"/>
  <c r="P22" i="23"/>
  <c r="P21" i="23"/>
  <c r="P20" i="23"/>
  <c r="P19" i="23"/>
  <c r="P18" i="23"/>
  <c r="P17" i="23"/>
  <c r="P16" i="23"/>
  <c r="P15" i="23"/>
  <c r="P14" i="23"/>
  <c r="P13" i="23"/>
  <c r="P12" i="23"/>
  <c r="P11" i="23"/>
  <c r="P10" i="23"/>
  <c r="P9" i="23"/>
  <c r="S31" i="23"/>
  <c r="S30" i="23"/>
  <c r="S29" i="23"/>
  <c r="S28" i="23"/>
  <c r="S27" i="23"/>
  <c r="S26" i="23"/>
  <c r="S25" i="23"/>
  <c r="S24" i="23"/>
  <c r="S23" i="23"/>
  <c r="S22" i="23"/>
  <c r="S21" i="23"/>
  <c r="S20" i="23"/>
  <c r="S19" i="23"/>
  <c r="S18" i="23"/>
  <c r="S17" i="23"/>
  <c r="S16" i="23"/>
  <c r="S15" i="23"/>
  <c r="S14" i="23"/>
  <c r="S13" i="23"/>
  <c r="S12" i="23"/>
  <c r="S11" i="23"/>
  <c r="S10" i="23"/>
  <c r="S9" i="23"/>
  <c r="V31" i="23"/>
  <c r="V30" i="23"/>
  <c r="V29" i="23"/>
  <c r="V28" i="23"/>
  <c r="V27" i="23"/>
  <c r="V26" i="23"/>
  <c r="V25" i="23"/>
  <c r="V24" i="23"/>
  <c r="V23" i="23"/>
  <c r="V22" i="23"/>
  <c r="V21" i="23"/>
  <c r="V20" i="23"/>
  <c r="V19" i="23"/>
  <c r="V18" i="23"/>
  <c r="V17" i="23"/>
  <c r="V16" i="23"/>
  <c r="V15" i="23"/>
  <c r="V14" i="23"/>
  <c r="V13" i="23"/>
  <c r="V12" i="23"/>
  <c r="V11" i="23"/>
  <c r="V10" i="23"/>
  <c r="V9" i="23"/>
  <c r="Y37" i="23"/>
  <c r="Y36" i="23"/>
  <c r="Y35" i="23"/>
  <c r="Y34" i="23"/>
  <c r="Y33" i="23"/>
  <c r="Y31" i="23"/>
  <c r="Y30" i="23"/>
  <c r="Y29" i="23"/>
  <c r="Y28" i="23"/>
  <c r="Y27" i="23"/>
  <c r="Y26" i="23"/>
  <c r="Y25" i="23"/>
  <c r="Y24" i="23"/>
  <c r="Y23" i="23"/>
  <c r="Y22" i="23"/>
  <c r="Y21" i="23"/>
  <c r="Y20" i="23"/>
  <c r="Y19" i="23"/>
  <c r="Y18" i="23"/>
  <c r="Y17" i="23"/>
  <c r="Y16" i="23"/>
  <c r="Y15" i="23"/>
  <c r="Y14" i="23"/>
  <c r="Y13" i="23"/>
  <c r="Y12" i="23"/>
  <c r="Y11" i="23"/>
  <c r="Y10" i="23"/>
  <c r="Y9" i="23"/>
  <c r="AB37" i="23"/>
  <c r="AB36" i="23"/>
  <c r="AB35" i="23"/>
  <c r="AB34" i="23"/>
  <c r="AB33" i="23"/>
  <c r="AB31" i="23"/>
  <c r="AB30" i="23"/>
  <c r="AB29" i="23"/>
  <c r="AB28" i="23"/>
  <c r="AB27" i="23"/>
  <c r="AB26" i="23"/>
  <c r="AB25" i="23"/>
  <c r="AB24" i="23"/>
  <c r="AB23" i="23"/>
  <c r="AB22" i="23"/>
  <c r="AB21" i="23"/>
  <c r="AB20" i="23"/>
  <c r="AB19" i="23"/>
  <c r="AB18" i="23"/>
  <c r="AB17" i="23"/>
  <c r="AB16" i="23"/>
  <c r="AB15" i="23"/>
  <c r="AB14" i="23"/>
  <c r="AB13" i="23"/>
  <c r="AB12" i="23"/>
  <c r="AB11" i="23"/>
  <c r="AB10" i="23"/>
  <c r="AB9" i="23"/>
  <c r="L181" i="23"/>
  <c r="L180" i="23"/>
  <c r="L179" i="23"/>
  <c r="L178" i="23"/>
  <c r="L177" i="23"/>
  <c r="L176" i="23"/>
  <c r="L175" i="23"/>
  <c r="L174" i="23"/>
  <c r="L173" i="23"/>
  <c r="L170" i="23"/>
  <c r="L169" i="23" s="1"/>
  <c r="L168" i="23" s="1"/>
  <c r="L172" i="23" l="1"/>
  <c r="L171" i="23" s="1"/>
  <c r="M42" i="23"/>
  <c r="AB17" i="2"/>
  <c r="AO15" i="28" s="1"/>
  <c r="AI17" i="27"/>
  <c r="Q17" i="24"/>
  <c r="AC17" i="23"/>
  <c r="V45" i="23"/>
  <c r="M50" i="23"/>
  <c r="AB45" i="23"/>
  <c r="M10" i="23"/>
  <c r="M14" i="23"/>
  <c r="M18" i="23"/>
  <c r="M22" i="23"/>
  <c r="M26" i="23"/>
  <c r="M30" i="23"/>
  <c r="M35" i="23"/>
  <c r="M54" i="23"/>
  <c r="M11" i="23"/>
  <c r="M15" i="23"/>
  <c r="M19" i="23"/>
  <c r="M23" i="23"/>
  <c r="M27" i="23"/>
  <c r="M31" i="23"/>
  <c r="M36" i="23"/>
  <c r="M9" i="23"/>
  <c r="M17" i="23"/>
  <c r="M25" i="23"/>
  <c r="AB32" i="23"/>
  <c r="S45" i="23"/>
  <c r="S49" i="23"/>
  <c r="M13" i="23"/>
  <c r="M21" i="23"/>
  <c r="M29" i="23"/>
  <c r="Y45" i="23"/>
  <c r="Y32" i="23"/>
  <c r="V8" i="23"/>
  <c r="M16" i="23"/>
  <c r="M20" i="23"/>
  <c r="M24" i="23"/>
  <c r="M28" i="23"/>
  <c r="M33" i="23"/>
  <c r="M37" i="23"/>
  <c r="M40" i="23"/>
  <c r="M44" i="23"/>
  <c r="V49" i="23"/>
  <c r="P32" i="23"/>
  <c r="M41" i="23"/>
  <c r="M39" i="23"/>
  <c r="M43" i="23"/>
  <c r="V38" i="23"/>
  <c r="AB38" i="23"/>
  <c r="L167" i="23"/>
  <c r="AB8" i="23"/>
  <c r="S8" i="23"/>
  <c r="S32" i="23"/>
  <c r="S38" i="23"/>
  <c r="M46" i="23"/>
  <c r="P49" i="23"/>
  <c r="Y8" i="23"/>
  <c r="P38" i="23"/>
  <c r="P8" i="23"/>
  <c r="V32" i="23"/>
  <c r="Y38" i="23"/>
  <c r="P45" i="23"/>
  <c r="M52" i="23"/>
  <c r="Y49" i="23"/>
  <c r="M34" i="23"/>
  <c r="M12" i="23"/>
  <c r="M53" i="23"/>
  <c r="M51" i="23"/>
  <c r="M48" i="23"/>
  <c r="M47" i="23"/>
  <c r="L166" i="23"/>
  <c r="L165" i="23"/>
  <c r="L164" i="23"/>
  <c r="L163" i="23"/>
  <c r="L162" i="23"/>
  <c r="L161" i="23"/>
  <c r="L158" i="23"/>
  <c r="L157" i="23"/>
  <c r="L155" i="23"/>
  <c r="L154" i="23"/>
  <c r="L156" i="23"/>
  <c r="L152" i="23"/>
  <c r="L151" i="23"/>
  <c r="L150" i="23"/>
  <c r="L149" i="23"/>
  <c r="L148" i="23"/>
  <c r="L147" i="23" s="1"/>
  <c r="AB16" i="2" l="1"/>
  <c r="AO14" i="28" s="1"/>
  <c r="AI16" i="27"/>
  <c r="Q16" i="24"/>
  <c r="AC16" i="23"/>
  <c r="M38" i="23"/>
  <c r="AB7" i="23"/>
  <c r="AB6" i="23" s="1"/>
  <c r="AB182" i="23" s="1"/>
  <c r="M32" i="23"/>
  <c r="M49" i="23"/>
  <c r="S7" i="23"/>
  <c r="S6" i="23" s="1"/>
  <c r="S182" i="23" s="1"/>
  <c r="Y7" i="23"/>
  <c r="Y6" i="23" s="1"/>
  <c r="Y182" i="23" s="1"/>
  <c r="M8" i="23"/>
  <c r="L160" i="23"/>
  <c r="L159" i="23" s="1"/>
  <c r="M45" i="23"/>
  <c r="L153" i="23"/>
  <c r="L146" i="23" s="1"/>
  <c r="L141" i="23"/>
  <c r="L145" i="23"/>
  <c r="L144" i="23"/>
  <c r="L143" i="23"/>
  <c r="L142" i="23"/>
  <c r="AB15" i="2" l="1"/>
  <c r="AO13" i="28" s="1"/>
  <c r="AI15" i="27"/>
  <c r="Q15" i="24"/>
  <c r="AC15" i="23"/>
  <c r="L140" i="23"/>
  <c r="L139" i="23"/>
  <c r="L138" i="23"/>
  <c r="L137" i="23"/>
  <c r="L136" i="23"/>
  <c r="L135" i="23"/>
  <c r="AA99" i="23"/>
  <c r="L133" i="23"/>
  <c r="L132" i="23"/>
  <c r="L131" i="23"/>
  <c r="L130" i="23"/>
  <c r="L129" i="23"/>
  <c r="L128" i="23"/>
  <c r="L127" i="23"/>
  <c r="L126" i="23"/>
  <c r="L125" i="23"/>
  <c r="L124" i="23"/>
  <c r="L123" i="23"/>
  <c r="L122" i="23"/>
  <c r="L121" i="23"/>
  <c r="L118" i="23"/>
  <c r="L117" i="23"/>
  <c r="L116" i="23"/>
  <c r="L115" i="23"/>
  <c r="L114" i="23"/>
  <c r="L112" i="23"/>
  <c r="L111" i="23"/>
  <c r="L110" i="23"/>
  <c r="L109" i="23"/>
  <c r="L108" i="23"/>
  <c r="L106" i="23"/>
  <c r="L105" i="23"/>
  <c r="L104" i="23"/>
  <c r="L103" i="23"/>
  <c r="L102" i="23"/>
  <c r="N98" i="23"/>
  <c r="L97" i="23"/>
  <c r="L96" i="23"/>
  <c r="L95" i="23"/>
  <c r="L94" i="23"/>
  <c r="L93" i="23"/>
  <c r="L92" i="23"/>
  <c r="L90" i="23"/>
  <c r="L89" i="23"/>
  <c r="L88" i="23"/>
  <c r="L87" i="23"/>
  <c r="L86" i="23"/>
  <c r="AA72" i="23"/>
  <c r="X72" i="23"/>
  <c r="R72" i="23"/>
  <c r="O72" i="23"/>
  <c r="L84" i="23"/>
  <c r="L83" i="23"/>
  <c r="L82" i="23"/>
  <c r="L81" i="23"/>
  <c r="L80" i="23"/>
  <c r="L79" i="23"/>
  <c r="L77" i="23"/>
  <c r="L76" i="23"/>
  <c r="L75" i="23"/>
  <c r="L74" i="23"/>
  <c r="L71" i="23"/>
  <c r="L70" i="23"/>
  <c r="L69" i="23"/>
  <c r="L68" i="23"/>
  <c r="L67" i="23"/>
  <c r="L65" i="23"/>
  <c r="L64" i="23"/>
  <c r="L63" i="23"/>
  <c r="L62" i="23"/>
  <c r="L59" i="23"/>
  <c r="L58" i="23"/>
  <c r="L56" i="23"/>
  <c r="L55" i="23" s="1"/>
  <c r="L50" i="23"/>
  <c r="AB14" i="2" l="1"/>
  <c r="AO12" i="28" s="1"/>
  <c r="AI14" i="27"/>
  <c r="Q14" i="24"/>
  <c r="AC14" i="23"/>
  <c r="L107" i="23"/>
  <c r="L113" i="23"/>
  <c r="L134" i="23"/>
  <c r="L91" i="23"/>
  <c r="L85" i="23"/>
  <c r="L101" i="23"/>
  <c r="L100" i="23" s="1"/>
  <c r="L120" i="23"/>
  <c r="L119" i="23" s="1"/>
  <c r="L99" i="23" s="1"/>
  <c r="L66" i="23"/>
  <c r="L78" i="23"/>
  <c r="U72" i="23"/>
  <c r="R99" i="23"/>
  <c r="X99" i="23"/>
  <c r="O99" i="23"/>
  <c r="O182" i="23" s="1"/>
  <c r="U99" i="23"/>
  <c r="L73" i="23"/>
  <c r="L61" i="23"/>
  <c r="L57" i="23"/>
  <c r="AA49" i="23"/>
  <c r="X49" i="23"/>
  <c r="U49" i="23"/>
  <c r="R49" i="23"/>
  <c r="O49" i="23"/>
  <c r="L49" i="23"/>
  <c r="L48" i="23"/>
  <c r="L47" i="23"/>
  <c r="L46" i="23"/>
  <c r="L44" i="23"/>
  <c r="O45" i="23"/>
  <c r="R45" i="23"/>
  <c r="U45" i="23"/>
  <c r="X45" i="23"/>
  <c r="AA45" i="23"/>
  <c r="L43" i="23"/>
  <c r="L41" i="23"/>
  <c r="L42" i="23"/>
  <c r="L40" i="23"/>
  <c r="L39" i="23"/>
  <c r="AA38" i="23"/>
  <c r="X38" i="23"/>
  <c r="U38" i="23"/>
  <c r="R38" i="23"/>
  <c r="O38" i="23"/>
  <c r="L33" i="23"/>
  <c r="L34" i="23"/>
  <c r="L37" i="23"/>
  <c r="L36" i="23"/>
  <c r="O32" i="23"/>
  <c r="X32" i="23"/>
  <c r="U32" i="23"/>
  <c r="R32" i="23"/>
  <c r="AA32" i="23"/>
  <c r="O8" i="23"/>
  <c r="L8" i="23"/>
  <c r="R8" i="23"/>
  <c r="U8" i="23"/>
  <c r="X8" i="23"/>
  <c r="AA8" i="23"/>
  <c r="AB13" i="2" l="1"/>
  <c r="AO11" i="28" s="1"/>
  <c r="AI13" i="27"/>
  <c r="Q13" i="24"/>
  <c r="AC13" i="23"/>
  <c r="L72" i="23"/>
  <c r="L45" i="23"/>
  <c r="L38" i="23"/>
  <c r="AA7" i="23"/>
  <c r="AA6" i="23" s="1"/>
  <c r="AA182" i="23" s="1"/>
  <c r="L32" i="23"/>
  <c r="U7" i="23"/>
  <c r="U6" i="23" s="1"/>
  <c r="U182" i="23" s="1"/>
  <c r="O7" i="23"/>
  <c r="O6" i="23" s="1"/>
  <c r="X7" i="23"/>
  <c r="X6" i="23" s="1"/>
  <c r="X182" i="23" s="1"/>
  <c r="R7" i="23"/>
  <c r="R6" i="23" s="1"/>
  <c r="R182" i="23" s="1"/>
  <c r="L29" i="41"/>
  <c r="L138" i="41"/>
  <c r="L113" i="41"/>
  <c r="AB12" i="2" l="1"/>
  <c r="AO10" i="28" s="1"/>
  <c r="AI12" i="27"/>
  <c r="Q12" i="24"/>
  <c r="AC12" i="23"/>
  <c r="L7" i="23"/>
  <c r="L6" i="23" s="1"/>
  <c r="AQ79" i="2"/>
  <c r="AQ33" i="2"/>
  <c r="AB11" i="2" l="1"/>
  <c r="AO9" i="28" s="1"/>
  <c r="AI11" i="27"/>
  <c r="Q11" i="24"/>
  <c r="AC11" i="23"/>
  <c r="D142" i="2"/>
  <c r="AB10" i="2" l="1"/>
  <c r="AO8" i="28" s="1"/>
  <c r="AO7" i="28" s="1"/>
  <c r="AO6" i="28" s="1"/>
  <c r="AO5" i="28" s="1"/>
  <c r="AI10" i="27"/>
  <c r="Q10" i="24"/>
  <c r="AC10" i="23"/>
  <c r="B73" i="10"/>
  <c r="B72" i="10"/>
  <c r="P71" i="10"/>
  <c r="P70" i="10"/>
  <c r="P69" i="10"/>
  <c r="P68" i="10"/>
  <c r="P67" i="10"/>
  <c r="M71" i="10"/>
  <c r="M70" i="10"/>
  <c r="M69" i="10"/>
  <c r="M68" i="10"/>
  <c r="M67" i="10"/>
  <c r="L71" i="10"/>
  <c r="L70" i="10"/>
  <c r="L69" i="10"/>
  <c r="L68" i="10"/>
  <c r="L67" i="10"/>
  <c r="K71" i="10"/>
  <c r="K70" i="10"/>
  <c r="K69" i="10"/>
  <c r="K68" i="10"/>
  <c r="K67" i="10"/>
  <c r="B8" i="10"/>
  <c r="B7" i="10"/>
  <c r="B32" i="10"/>
  <c r="B38" i="10"/>
  <c r="B45" i="10"/>
  <c r="B55" i="10"/>
  <c r="B167" i="10"/>
  <c r="B168" i="10"/>
  <c r="B169" i="10"/>
  <c r="B172" i="10"/>
  <c r="B173" i="10"/>
  <c r="P182" i="10"/>
  <c r="P181" i="10"/>
  <c r="P180" i="10"/>
  <c r="P179" i="10"/>
  <c r="P178" i="10"/>
  <c r="P177" i="10"/>
  <c r="P176" i="10"/>
  <c r="P175" i="10"/>
  <c r="P174" i="10"/>
  <c r="L182" i="10"/>
  <c r="L181" i="10"/>
  <c r="L180" i="10"/>
  <c r="L179" i="10"/>
  <c r="L178" i="10"/>
  <c r="L177" i="10"/>
  <c r="L175" i="10"/>
  <c r="L174" i="10"/>
  <c r="K182" i="10"/>
  <c r="K179" i="10"/>
  <c r="K178" i="10"/>
  <c r="K177" i="10"/>
  <c r="K176" i="10"/>
  <c r="K174" i="10"/>
  <c r="A180" i="28"/>
  <c r="P158" i="10"/>
  <c r="P157" i="10"/>
  <c r="P155" i="10"/>
  <c r="P154" i="10"/>
  <c r="L158" i="10"/>
  <c r="L157" i="10"/>
  <c r="L156" i="10"/>
  <c r="L155" i="10"/>
  <c r="K158" i="10"/>
  <c r="K157" i="10"/>
  <c r="K156" i="10"/>
  <c r="K155" i="10"/>
  <c r="K154" i="10"/>
  <c r="P152" i="10"/>
  <c r="P151" i="10"/>
  <c r="P150" i="10"/>
  <c r="P149" i="10"/>
  <c r="P148" i="10"/>
  <c r="M152" i="10"/>
  <c r="M151" i="10"/>
  <c r="M150" i="10"/>
  <c r="M149" i="10"/>
  <c r="M148" i="10"/>
  <c r="L152" i="10"/>
  <c r="L151" i="10"/>
  <c r="L150" i="10"/>
  <c r="L149" i="10"/>
  <c r="L148" i="10"/>
  <c r="K152" i="10"/>
  <c r="K151" i="10"/>
  <c r="K150" i="10"/>
  <c r="K149" i="10"/>
  <c r="K148" i="10"/>
  <c r="P98" i="10"/>
  <c r="P97" i="10"/>
  <c r="P96" i="10"/>
  <c r="P95" i="10"/>
  <c r="P94" i="10"/>
  <c r="P93" i="10"/>
  <c r="P92" i="10"/>
  <c r="O98" i="10"/>
  <c r="O97" i="10"/>
  <c r="O96" i="10"/>
  <c r="O95" i="10"/>
  <c r="O94" i="10"/>
  <c r="O93" i="10"/>
  <c r="O92" i="10"/>
  <c r="L98" i="10"/>
  <c r="L97" i="10"/>
  <c r="L96" i="10"/>
  <c r="L95" i="10"/>
  <c r="L94" i="10"/>
  <c r="L93" i="10"/>
  <c r="L92" i="10"/>
  <c r="K98" i="10"/>
  <c r="K97" i="10"/>
  <c r="K96" i="10"/>
  <c r="K95" i="10"/>
  <c r="K94" i="10"/>
  <c r="K93" i="10"/>
  <c r="K92" i="10"/>
  <c r="B91" i="10"/>
  <c r="B85" i="10"/>
  <c r="P90" i="10"/>
  <c r="P89" i="10"/>
  <c r="P88" i="10"/>
  <c r="P87" i="10"/>
  <c r="P86" i="10"/>
  <c r="L90" i="10"/>
  <c r="L89" i="10"/>
  <c r="L88" i="10"/>
  <c r="L87" i="10"/>
  <c r="L86" i="10"/>
  <c r="K90" i="10"/>
  <c r="K89" i="10"/>
  <c r="K88" i="10"/>
  <c r="K87" i="10"/>
  <c r="K86" i="10"/>
  <c r="P82" i="10"/>
  <c r="P80" i="10"/>
  <c r="L82" i="10"/>
  <c r="L80" i="10"/>
  <c r="K82" i="10"/>
  <c r="K80" i="10"/>
  <c r="AM83" i="28"/>
  <c r="AM82" i="28"/>
  <c r="AM81" i="28"/>
  <c r="AM80" i="28"/>
  <c r="AM79" i="28"/>
  <c r="S83" i="28"/>
  <c r="S82" i="28"/>
  <c r="N83" i="28"/>
  <c r="N82" i="28"/>
  <c r="S81" i="28"/>
  <c r="S80" i="28"/>
  <c r="S79" i="28"/>
  <c r="N80" i="28"/>
  <c r="P65" i="10"/>
  <c r="P64" i="10"/>
  <c r="P63" i="10"/>
  <c r="P62" i="10"/>
  <c r="M65" i="10"/>
  <c r="M64" i="10"/>
  <c r="M63" i="10"/>
  <c r="M62" i="10"/>
  <c r="L65" i="10"/>
  <c r="L64" i="10"/>
  <c r="L63" i="10"/>
  <c r="L62" i="10"/>
  <c r="K65" i="10"/>
  <c r="K64" i="10"/>
  <c r="K63" i="10"/>
  <c r="K62" i="10"/>
  <c r="P56" i="10"/>
  <c r="N56" i="10"/>
  <c r="K56" i="10"/>
  <c r="P48" i="10"/>
  <c r="P47" i="10"/>
  <c r="P46" i="10"/>
  <c r="M48" i="10"/>
  <c r="M47" i="10"/>
  <c r="M46" i="10"/>
  <c r="L48" i="10"/>
  <c r="L47" i="10"/>
  <c r="L46" i="10"/>
  <c r="AM45" i="28"/>
  <c r="X45" i="28"/>
  <c r="S45" i="28"/>
  <c r="P44" i="10"/>
  <c r="P43" i="10"/>
  <c r="P42" i="10"/>
  <c r="P41" i="10"/>
  <c r="P40" i="10"/>
  <c r="P39" i="10"/>
  <c r="M44" i="10"/>
  <c r="M43" i="10"/>
  <c r="M42" i="10"/>
  <c r="M41" i="10"/>
  <c r="M40" i="10"/>
  <c r="M39" i="10"/>
  <c r="L44" i="10"/>
  <c r="L43" i="10"/>
  <c r="L42" i="10"/>
  <c r="L41" i="10"/>
  <c r="L40" i="10"/>
  <c r="L39" i="10"/>
  <c r="K44" i="10"/>
  <c r="K43" i="10"/>
  <c r="K42" i="10"/>
  <c r="K41" i="10"/>
  <c r="K40" i="10"/>
  <c r="K39" i="10"/>
  <c r="AB9" i="2" l="1"/>
  <c r="AI9" i="27"/>
  <c r="V179" i="25"/>
  <c r="V166" i="25"/>
  <c r="V162" i="25"/>
  <c r="V156" i="25"/>
  <c r="V151" i="25"/>
  <c r="V145" i="25"/>
  <c r="V140" i="25"/>
  <c r="V136" i="25"/>
  <c r="V117" i="25"/>
  <c r="V112" i="25"/>
  <c r="V107" i="25"/>
  <c r="V103" i="25"/>
  <c r="V96" i="25"/>
  <c r="V87" i="25"/>
  <c r="V66" i="25"/>
  <c r="V55" i="25"/>
  <c r="V51" i="25"/>
  <c r="V41" i="25"/>
  <c r="V27" i="25"/>
  <c r="V23" i="25"/>
  <c r="V19" i="25"/>
  <c r="V15" i="25"/>
  <c r="V11" i="25"/>
  <c r="V181" i="25"/>
  <c r="V171" i="25"/>
  <c r="V170" i="25" s="1"/>
  <c r="V169" i="25" s="1"/>
  <c r="V158" i="25"/>
  <c r="V149" i="25"/>
  <c r="V138" i="25"/>
  <c r="V115" i="25"/>
  <c r="V105" i="25"/>
  <c r="V98" i="25"/>
  <c r="V89" i="25"/>
  <c r="V64" i="25"/>
  <c r="V48" i="25"/>
  <c r="V38" i="25"/>
  <c r="V29" i="25"/>
  <c r="V13" i="25"/>
  <c r="V176" i="25"/>
  <c r="V157" i="25"/>
  <c r="V146" i="25"/>
  <c r="V137" i="25"/>
  <c r="V118" i="25"/>
  <c r="V109" i="25"/>
  <c r="V88" i="25"/>
  <c r="V72" i="25"/>
  <c r="V63" i="25"/>
  <c r="V52" i="25"/>
  <c r="V42" i="25"/>
  <c r="Q9" i="24"/>
  <c r="Q8" i="24" s="1"/>
  <c r="Q7" i="24" s="1"/>
  <c r="Q6" i="24" s="1"/>
  <c r="V178" i="25"/>
  <c r="V174" i="25"/>
  <c r="V165" i="25"/>
  <c r="V159" i="25"/>
  <c r="V155" i="25"/>
  <c r="V150" i="25"/>
  <c r="V144" i="25"/>
  <c r="V139" i="25"/>
  <c r="V116" i="25"/>
  <c r="V111" i="25"/>
  <c r="V106" i="25"/>
  <c r="V90" i="25"/>
  <c r="V81" i="25"/>
  <c r="V79" i="25" s="1"/>
  <c r="V70" i="25"/>
  <c r="V65" i="25"/>
  <c r="V60" i="25"/>
  <c r="V54" i="25"/>
  <c r="V49" i="25"/>
  <c r="V40" i="25"/>
  <c r="V35" i="25"/>
  <c r="V30" i="25"/>
  <c r="V26" i="25"/>
  <c r="V22" i="25"/>
  <c r="V18" i="25"/>
  <c r="V14" i="25"/>
  <c r="V10" i="25"/>
  <c r="V177" i="25"/>
  <c r="V164" i="25"/>
  <c r="V153" i="25"/>
  <c r="V143" i="25"/>
  <c r="V119" i="25"/>
  <c r="V110" i="25"/>
  <c r="V94" i="25"/>
  <c r="V69" i="25"/>
  <c r="V59" i="25"/>
  <c r="V53" i="25"/>
  <c r="V43" i="25"/>
  <c r="V34" i="25"/>
  <c r="V25" i="25"/>
  <c r="V17" i="25"/>
  <c r="V163" i="25"/>
  <c r="V152" i="25"/>
  <c r="V113" i="25"/>
  <c r="V104" i="25"/>
  <c r="V93" i="25"/>
  <c r="V83" i="25"/>
  <c r="V68" i="25"/>
  <c r="V57" i="25"/>
  <c r="V56" i="25" s="1"/>
  <c r="V47" i="25"/>
  <c r="V46" i="25" s="1"/>
  <c r="V37" i="25"/>
  <c r="V20" i="25"/>
  <c r="V12" i="25"/>
  <c r="AC9" i="23"/>
  <c r="AC8" i="23" s="1"/>
  <c r="AC7" i="23" s="1"/>
  <c r="AC6" i="23" s="1"/>
  <c r="V154" i="25" l="1"/>
  <c r="V62" i="25"/>
  <c r="V86" i="25"/>
  <c r="V50" i="25"/>
  <c r="V67" i="25"/>
  <c r="V58" i="25"/>
  <c r="V39" i="25"/>
  <c r="V135" i="25"/>
  <c r="V120" i="25" s="1"/>
  <c r="V114" i="25"/>
  <c r="V92" i="25"/>
  <c r="V33" i="25"/>
  <c r="V141" i="25"/>
  <c r="V9" i="25"/>
  <c r="V173" i="25"/>
  <c r="V172" i="25" s="1"/>
  <c r="V168" i="25" s="1"/>
  <c r="V108" i="25"/>
  <c r="V148" i="25"/>
  <c r="V147" i="25" s="1"/>
  <c r="V161" i="25"/>
  <c r="V160" i="25" s="1"/>
  <c r="AB8" i="2"/>
  <c r="AB7" i="2" s="1"/>
  <c r="AI8" i="27"/>
  <c r="C146" i="20"/>
  <c r="C145" i="20"/>
  <c r="C144" i="20"/>
  <c r="C143" i="20"/>
  <c r="C142" i="20"/>
  <c r="C136" i="20"/>
  <c r="C116" i="20"/>
  <c r="C115" i="20"/>
  <c r="V73" i="25" l="1"/>
  <c r="V8" i="25"/>
  <c r="V101" i="25"/>
  <c r="V100" i="25" s="1"/>
  <c r="AD134" i="2"/>
  <c r="AD133" i="2"/>
  <c r="AD132" i="2"/>
  <c r="AD131" i="2"/>
  <c r="AD130" i="2"/>
  <c r="L106" i="41"/>
  <c r="L55" i="41"/>
  <c r="L112" i="41"/>
  <c r="L110" i="41"/>
  <c r="L32" i="41"/>
  <c r="L28" i="41"/>
  <c r="K71" i="6"/>
  <c r="K56" i="6"/>
  <c r="L55" i="8"/>
  <c r="L52" i="3"/>
  <c r="M32" i="3"/>
  <c r="V7" i="25" l="1"/>
  <c r="V183" i="25" s="1"/>
  <c r="CM170" i="10"/>
  <c r="U38" i="20" l="1"/>
  <c r="U37" i="20"/>
  <c r="U36" i="20"/>
  <c r="U35" i="20"/>
  <c r="U34" i="20"/>
  <c r="BH173" i="20"/>
  <c r="BG173" i="20"/>
  <c r="BF173" i="20"/>
  <c r="BE173" i="20"/>
  <c r="BD173" i="20"/>
  <c r="BC173" i="20"/>
  <c r="BB173" i="20"/>
  <c r="T173" i="20"/>
  <c r="S173" i="20"/>
  <c r="R173" i="20"/>
  <c r="Q173" i="20"/>
  <c r="O173" i="20"/>
  <c r="N173" i="20"/>
  <c r="P173" i="20"/>
  <c r="T91" i="27"/>
  <c r="AF120" i="27"/>
  <c r="AB120" i="27"/>
  <c r="X120" i="27"/>
  <c r="T120" i="27"/>
  <c r="P120" i="27"/>
  <c r="L120" i="27"/>
  <c r="AF160" i="27"/>
  <c r="AB160" i="27"/>
  <c r="X160" i="27"/>
  <c r="T160" i="27"/>
  <c r="P160" i="27"/>
  <c r="AF172" i="27"/>
  <c r="AB172" i="27"/>
  <c r="X172" i="27"/>
  <c r="T172" i="27"/>
  <c r="L172" i="27"/>
  <c r="AH181" i="27"/>
  <c r="AD181" i="27"/>
  <c r="Z181" i="27"/>
  <c r="V181" i="27"/>
  <c r="R181" i="27"/>
  <c r="N181" i="27"/>
  <c r="C181" i="27"/>
  <c r="A181" i="27"/>
  <c r="AH133" i="27"/>
  <c r="AD133" i="27"/>
  <c r="Z133" i="27"/>
  <c r="V133" i="27"/>
  <c r="R133" i="27"/>
  <c r="N133" i="27"/>
  <c r="C133" i="27"/>
  <c r="A133" i="27"/>
  <c r="B8" i="27"/>
  <c r="B7" i="27"/>
  <c r="B6" i="27"/>
  <c r="L50" i="41"/>
  <c r="L127" i="41"/>
  <c r="L128" i="41"/>
  <c r="L125" i="41"/>
  <c r="L126" i="41"/>
  <c r="L111" i="41"/>
  <c r="L107" i="41"/>
  <c r="L108" i="41"/>
  <c r="L105" i="41"/>
  <c r="L104" i="41"/>
  <c r="L78" i="41"/>
  <c r="L80" i="41"/>
  <c r="L74" i="41"/>
  <c r="L51" i="41"/>
  <c r="L52" i="41"/>
  <c r="L53" i="41"/>
  <c r="L25" i="41"/>
  <c r="L26" i="41"/>
  <c r="C133" i="26"/>
  <c r="A133" i="26"/>
  <c r="C181" i="26"/>
  <c r="A181" i="26"/>
  <c r="U134" i="25"/>
  <c r="T134" i="25"/>
  <c r="S134" i="25"/>
  <c r="R134" i="25"/>
  <c r="Q134" i="25"/>
  <c r="P134" i="25"/>
  <c r="O134" i="25"/>
  <c r="N134" i="25"/>
  <c r="M134" i="25"/>
  <c r="L134" i="25"/>
  <c r="K134" i="25"/>
  <c r="C134" i="25"/>
  <c r="A134" i="25"/>
  <c r="U182" i="25"/>
  <c r="T182" i="25"/>
  <c r="S182" i="25"/>
  <c r="R182" i="25"/>
  <c r="Q182" i="25"/>
  <c r="P182" i="25"/>
  <c r="O182" i="25"/>
  <c r="N182" i="25"/>
  <c r="M182" i="25"/>
  <c r="L182" i="25"/>
  <c r="K182" i="25"/>
  <c r="C182" i="25"/>
  <c r="A182" i="25"/>
  <c r="C180" i="28" l="1"/>
  <c r="C139" i="41"/>
  <c r="C132" i="28"/>
  <c r="C103" i="41"/>
  <c r="C37" i="24"/>
  <c r="C36" i="24"/>
  <c r="C35" i="24"/>
  <c r="C34" i="24"/>
  <c r="C33" i="24"/>
  <c r="A181" i="23"/>
  <c r="A133" i="23"/>
  <c r="T139" i="41" l="1"/>
  <c r="S139" i="41"/>
  <c r="AA180" i="28"/>
  <c r="Q180" i="28"/>
  <c r="AF180" i="28"/>
  <c r="V180" i="28"/>
  <c r="AK180" i="28"/>
  <c r="S103" i="41"/>
  <c r="T103" i="41"/>
  <c r="Q132" i="28"/>
  <c r="V132" i="28"/>
  <c r="AA132" i="28"/>
  <c r="AK132" i="28"/>
  <c r="AF132" i="28"/>
  <c r="CH180" i="10"/>
  <c r="CG180" i="10"/>
  <c r="B160" i="10"/>
  <c r="B159" i="10"/>
  <c r="B153" i="10"/>
  <c r="B147" i="10"/>
  <c r="B146" i="10"/>
  <c r="B140" i="10"/>
  <c r="B134" i="10"/>
  <c r="B120" i="10"/>
  <c r="B119" i="10"/>
  <c r="AA54" i="10"/>
  <c r="AK113" i="2"/>
  <c r="CH112" i="10" s="1"/>
  <c r="R139" i="41" l="1"/>
  <c r="I139" i="40"/>
  <c r="AM180" i="28"/>
  <c r="L180" i="28"/>
  <c r="N180" i="28" s="1"/>
  <c r="S180" i="28"/>
  <c r="R103" i="41"/>
  <c r="I103" i="40"/>
  <c r="L132" i="28"/>
  <c r="B99" i="10"/>
  <c r="B100" i="10"/>
  <c r="B101" i="10"/>
  <c r="B113" i="10"/>
  <c r="B107" i="10"/>
  <c r="M103" i="40" l="1"/>
  <c r="L103" i="40"/>
  <c r="M139" i="40"/>
  <c r="L139" i="40"/>
  <c r="B61" i="10"/>
  <c r="B66" i="10"/>
  <c r="L59" i="9"/>
  <c r="AA43" i="2" l="1"/>
  <c r="AJ41" i="28" s="1"/>
  <c r="R43" i="2"/>
  <c r="U41" i="28" s="1"/>
  <c r="O43" i="2"/>
  <c r="P41" i="28" s="1"/>
  <c r="AG43" i="2"/>
  <c r="B36" i="1" l="1"/>
  <c r="B35" i="1"/>
  <c r="AU134" i="2" l="1"/>
  <c r="AU133" i="2"/>
  <c r="AU132" i="2"/>
  <c r="AU131" i="2"/>
  <c r="AU130" i="2"/>
  <c r="AU129" i="2"/>
  <c r="AU128" i="2"/>
  <c r="AU127" i="2"/>
  <c r="AU126" i="2"/>
  <c r="AU125" i="2"/>
  <c r="AU124" i="2"/>
  <c r="AU123" i="2"/>
  <c r="AU122" i="2"/>
  <c r="AU182" i="2" l="1"/>
  <c r="AU181" i="2"/>
  <c r="AU180" i="2"/>
  <c r="AT180" i="2"/>
  <c r="AV180" i="2" s="1"/>
  <c r="AU179" i="2"/>
  <c r="AU178" i="2"/>
  <c r="AU177" i="2"/>
  <c r="AU176" i="2"/>
  <c r="AU175" i="2"/>
  <c r="AU174" i="2" l="1"/>
  <c r="K38" i="6" l="1"/>
  <c r="T47" i="1" l="1"/>
  <c r="S47" i="1"/>
  <c r="BI175" i="20"/>
  <c r="L78" i="9"/>
  <c r="L77" i="9"/>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49" i="27" s="1"/>
  <c r="B39" i="20"/>
  <c r="B33" i="20"/>
  <c r="B9" i="20"/>
  <c r="B8" i="20"/>
  <c r="B7" i="20"/>
  <c r="C50" i="38" l="1"/>
  <c r="B49" i="10"/>
  <c r="B50" i="20"/>
  <c r="AO134" i="20" l="1"/>
  <c r="U134" i="20"/>
  <c r="B134" i="20"/>
  <c r="A134" i="20"/>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D132" i="28" s="1"/>
  <c r="E134" i="2"/>
  <c r="E132" i="28" s="1"/>
  <c r="F134" i="2"/>
  <c r="F132" i="28" s="1"/>
  <c r="G134" i="2"/>
  <c r="G132" i="28" s="1"/>
  <c r="H134" i="2"/>
  <c r="H132" i="28" s="1"/>
  <c r="I134" i="2"/>
  <c r="I132" i="28" s="1"/>
  <c r="J134" i="2"/>
  <c r="J132" i="28" s="1"/>
  <c r="AK134" i="2"/>
  <c r="AI134" i="2"/>
  <c r="AH134" i="2"/>
  <c r="R133" i="24" s="1"/>
  <c r="U133" i="24" s="1"/>
  <c r="AG134" i="2"/>
  <c r="AD133" i="23" s="1"/>
  <c r="AG133" i="23" s="1"/>
  <c r="AC134" i="2"/>
  <c r="AA134" i="2"/>
  <c r="Y134" i="2"/>
  <c r="Z134" i="2" s="1"/>
  <c r="X134" i="2"/>
  <c r="AE132" i="28" s="1"/>
  <c r="AI132" i="28" s="1"/>
  <c r="V134" i="2"/>
  <c r="W134" i="2" s="1"/>
  <c r="U134" i="2"/>
  <c r="Z132" i="28" s="1"/>
  <c r="AD132" i="28" s="1"/>
  <c r="S134" i="2"/>
  <c r="R134" i="2"/>
  <c r="U132" i="28" s="1"/>
  <c r="Y132" i="28" s="1"/>
  <c r="P134" i="2"/>
  <c r="O134" i="2"/>
  <c r="P132" i="28" s="1"/>
  <c r="T132" i="28" s="1"/>
  <c r="L134" i="2"/>
  <c r="J134" i="38" l="1"/>
  <c r="K132" i="28"/>
  <c r="O132" i="28" s="1"/>
  <c r="O134" i="38"/>
  <c r="AJ132" i="28"/>
  <c r="AN132" i="28" s="1"/>
  <c r="F134" i="38"/>
  <c r="G133" i="24"/>
  <c r="I134" i="38"/>
  <c r="J133" i="24"/>
  <c r="H134" i="38"/>
  <c r="I133" i="24"/>
  <c r="D134" i="38"/>
  <c r="E133" i="24"/>
  <c r="E134" i="38"/>
  <c r="F133" i="24"/>
  <c r="G134" i="38"/>
  <c r="H133" i="24"/>
  <c r="C134" i="38"/>
  <c r="D133" i="24"/>
  <c r="T134" i="2"/>
  <c r="S133" i="27"/>
  <c r="U133" i="27" s="1"/>
  <c r="L134" i="38"/>
  <c r="AA133" i="27"/>
  <c r="AC133" i="27" s="1"/>
  <c r="N134" i="38"/>
  <c r="O133" i="27"/>
  <c r="Q133" i="27" s="1"/>
  <c r="K134" i="38"/>
  <c r="W133" i="27"/>
  <c r="Y133" i="27" s="1"/>
  <c r="M134" i="38"/>
  <c r="K133" i="27"/>
  <c r="M133" i="27" s="1"/>
  <c r="K133" i="23"/>
  <c r="J132" i="11"/>
  <c r="K134" i="20"/>
  <c r="AE133" i="27"/>
  <c r="AG133" i="27" s="1"/>
  <c r="Z133" i="23"/>
  <c r="E132" i="11"/>
  <c r="F133" i="27"/>
  <c r="F133" i="26"/>
  <c r="F134" i="25"/>
  <c r="F133" i="23"/>
  <c r="F134" i="20"/>
  <c r="W134" i="25"/>
  <c r="Z134" i="25" s="1"/>
  <c r="AN134" i="2"/>
  <c r="AP134" i="2"/>
  <c r="AM134" i="2"/>
  <c r="AL134" i="2"/>
  <c r="AO134" i="2"/>
  <c r="H132" i="11"/>
  <c r="I134" i="25"/>
  <c r="I133" i="27"/>
  <c r="I133" i="26"/>
  <c r="I133" i="23"/>
  <c r="I134" i="20"/>
  <c r="D132" i="11"/>
  <c r="E134" i="25"/>
  <c r="E133" i="27"/>
  <c r="E133" i="26"/>
  <c r="E133" i="23"/>
  <c r="E134" i="20"/>
  <c r="F132" i="11"/>
  <c r="G133" i="27"/>
  <c r="G133" i="26"/>
  <c r="G134" i="25"/>
  <c r="G133" i="23"/>
  <c r="G134" i="20"/>
  <c r="I132" i="11"/>
  <c r="J133" i="27"/>
  <c r="J133" i="26"/>
  <c r="J134" i="25"/>
  <c r="J133" i="23"/>
  <c r="J134" i="20"/>
  <c r="AE134" i="2"/>
  <c r="CH133" i="10"/>
  <c r="R133" i="26"/>
  <c r="T133" i="26" s="1"/>
  <c r="AT134" i="2"/>
  <c r="AV134" i="2" s="1"/>
  <c r="AX134" i="20"/>
  <c r="AT134" i="20"/>
  <c r="DF134" i="20"/>
  <c r="DB134" i="20"/>
  <c r="DA134" i="20"/>
  <c r="DD134" i="20"/>
  <c r="AY134" i="20"/>
  <c r="DG134" i="20"/>
  <c r="AW134" i="20"/>
  <c r="AS134" i="20"/>
  <c r="DE134" i="20"/>
  <c r="AV134" i="20"/>
  <c r="AU134" i="20"/>
  <c r="DC134" i="20"/>
  <c r="AC134" i="20"/>
  <c r="Y134" i="20"/>
  <c r="AA134" i="20"/>
  <c r="Z134" i="20"/>
  <c r="AB134" i="20"/>
  <c r="AE134" i="20"/>
  <c r="AD134" i="20"/>
  <c r="G132" i="11"/>
  <c r="H133" i="27"/>
  <c r="H133" i="26"/>
  <c r="H134" i="25"/>
  <c r="H133" i="23"/>
  <c r="H134" i="20"/>
  <c r="D133" i="27"/>
  <c r="D133" i="26"/>
  <c r="D134" i="25"/>
  <c r="D133" i="23"/>
  <c r="D134" i="20"/>
  <c r="Q134" i="2"/>
  <c r="AO133" i="10"/>
  <c r="Z133" i="10" s="1"/>
  <c r="T133" i="23"/>
  <c r="AM133" i="10"/>
  <c r="Y133" i="10" s="1"/>
  <c r="Q133" i="23"/>
  <c r="AK133" i="10"/>
  <c r="X133" i="10" s="1"/>
  <c r="N133" i="23"/>
  <c r="AQ133" i="10"/>
  <c r="AA133" i="10" s="1"/>
  <c r="W133" i="23"/>
  <c r="W132" i="11"/>
  <c r="AS133" i="10"/>
  <c r="AB133" i="10" s="1"/>
  <c r="V132" i="11"/>
  <c r="AI133" i="10"/>
  <c r="W133" i="10" s="1"/>
  <c r="AJ134" i="2"/>
  <c r="CG133" i="10"/>
  <c r="C132" i="11"/>
  <c r="B133" i="10"/>
  <c r="CJ77" i="10" l="1"/>
  <c r="CM53" i="10"/>
  <c r="CL53" i="10"/>
  <c r="CK53" i="10"/>
  <c r="CJ53" i="10"/>
  <c r="CJ182" i="10" l="1"/>
  <c r="A182" i="10"/>
  <c r="Z34" i="6" l="1"/>
  <c r="AA34" i="6" s="1"/>
  <c r="Z33" i="7" l="1"/>
  <c r="AA33" i="7" s="1"/>
  <c r="AA34" i="8" l="1"/>
  <c r="AB34" i="8" s="1"/>
  <c r="AA28" i="3" l="1"/>
  <c r="AB28" i="3" s="1"/>
  <c r="A182" i="20" l="1"/>
  <c r="BI180" i="20" l="1"/>
  <c r="C105" i="21" l="1"/>
  <c r="D105" i="21" s="1"/>
  <c r="DG56" i="20" l="1"/>
  <c r="DG79" i="20"/>
  <c r="DG92" i="20"/>
  <c r="DG102" i="20"/>
  <c r="DF102" i="20"/>
  <c r="DE102" i="20"/>
  <c r="DD102" i="20"/>
  <c r="DC102" i="20"/>
  <c r="DB102" i="20"/>
  <c r="DA102" i="20"/>
  <c r="DG180"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K182" i="2" l="1"/>
  <c r="AI182" i="2"/>
  <c r="AP182" i="2" s="1"/>
  <c r="AH182" i="2"/>
  <c r="AG182" i="2"/>
  <c r="AD181" i="23" s="1"/>
  <c r="AG181" i="23" s="1"/>
  <c r="AA182" i="2"/>
  <c r="AJ180" i="28" s="1"/>
  <c r="AN180" i="28" s="1"/>
  <c r="X182" i="2"/>
  <c r="AE180" i="28" s="1"/>
  <c r="AI180" i="28" s="1"/>
  <c r="U182" i="2"/>
  <c r="Z180" i="28" s="1"/>
  <c r="AD180" i="28" s="1"/>
  <c r="R182" i="2"/>
  <c r="U180" i="28" s="1"/>
  <c r="Y180" i="28" s="1"/>
  <c r="O182" i="2"/>
  <c r="P180" i="28" s="1"/>
  <c r="T180" i="28" s="1"/>
  <c r="J182" i="2"/>
  <c r="I182" i="2"/>
  <c r="H182" i="2"/>
  <c r="C139" i="40" s="1"/>
  <c r="B139" i="41" s="1"/>
  <c r="G182" i="2"/>
  <c r="F182" i="2"/>
  <c r="E182" i="2"/>
  <c r="D182" i="2"/>
  <c r="O75" i="7"/>
  <c r="N75" i="7"/>
  <c r="M75" i="7"/>
  <c r="L75" i="7"/>
  <c r="P75" i="7"/>
  <c r="W82" i="7" s="1"/>
  <c r="B77" i="7"/>
  <c r="A77" i="7"/>
  <c r="K77" i="7"/>
  <c r="AF182" i="2"/>
  <c r="P188" i="38" s="1"/>
  <c r="C182" i="2"/>
  <c r="C188" i="38" l="1"/>
  <c r="D180" i="28"/>
  <c r="L188" i="38"/>
  <c r="Q181" i="23"/>
  <c r="D188" i="38"/>
  <c r="E180" i="28"/>
  <c r="H188" i="38"/>
  <c r="I180" i="28"/>
  <c r="W181" i="27"/>
  <c r="Y181" i="27" s="1"/>
  <c r="M188" i="38"/>
  <c r="T181" i="23"/>
  <c r="E188" i="38"/>
  <c r="F180" i="28"/>
  <c r="I188" i="38"/>
  <c r="J180" i="28"/>
  <c r="AA181" i="27"/>
  <c r="AC181" i="27" s="1"/>
  <c r="N188" i="38"/>
  <c r="W181" i="23"/>
  <c r="G188" i="38"/>
  <c r="H180" i="28"/>
  <c r="F188" i="38"/>
  <c r="G180" i="28"/>
  <c r="K188" i="38"/>
  <c r="N181" i="23"/>
  <c r="AE181" i="27"/>
  <c r="AG181" i="27" s="1"/>
  <c r="O188" i="38"/>
  <c r="Z181" i="23"/>
  <c r="J181" i="26"/>
  <c r="J181" i="27"/>
  <c r="J182" i="25"/>
  <c r="J181" i="23"/>
  <c r="G181" i="27"/>
  <c r="G182" i="25"/>
  <c r="G181" i="26"/>
  <c r="G181" i="23"/>
  <c r="E181" i="26"/>
  <c r="E182" i="25"/>
  <c r="E181" i="27"/>
  <c r="E181" i="23"/>
  <c r="I181" i="26"/>
  <c r="I182" i="25"/>
  <c r="I181" i="27"/>
  <c r="I181" i="23"/>
  <c r="F181" i="26"/>
  <c r="F181" i="27"/>
  <c r="F182" i="25"/>
  <c r="F181" i="23"/>
  <c r="W182" i="25"/>
  <c r="Z182" i="25" s="1"/>
  <c r="CG182" i="10"/>
  <c r="D181" i="26"/>
  <c r="D182" i="25"/>
  <c r="D181" i="27"/>
  <c r="D181" i="23"/>
  <c r="H181" i="26"/>
  <c r="H182" i="25"/>
  <c r="H181" i="27"/>
  <c r="H181" i="23"/>
  <c r="R181" i="26"/>
  <c r="T181" i="26" s="1"/>
  <c r="CH182" i="10"/>
  <c r="AT182" i="2"/>
  <c r="AV182" i="2" s="1"/>
  <c r="AM182" i="10"/>
  <c r="S181" i="27"/>
  <c r="U181" i="27" s="1"/>
  <c r="AK182" i="10"/>
  <c r="O181" i="27"/>
  <c r="Q181" i="27" s="1"/>
  <c r="J182" i="20"/>
  <c r="I180" i="11"/>
  <c r="AO182" i="10"/>
  <c r="I182" i="20"/>
  <c r="H180" i="11"/>
  <c r="F182" i="20"/>
  <c r="E180" i="11"/>
  <c r="G182" i="20"/>
  <c r="F180" i="11"/>
  <c r="K182" i="20"/>
  <c r="J180" i="11"/>
  <c r="AQ182" i="10"/>
  <c r="E182" i="20"/>
  <c r="D180" i="11"/>
  <c r="B182" i="10"/>
  <c r="D182" i="20"/>
  <c r="C180" i="11"/>
  <c r="H182" i="20"/>
  <c r="G180" i="11"/>
  <c r="AS182" i="10"/>
  <c r="W180" i="11"/>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K180" i="28" s="1"/>
  <c r="O180" i="28" s="1"/>
  <c r="AM182" i="2"/>
  <c r="AJ182" i="2"/>
  <c r="AN182" i="2"/>
  <c r="AO182" i="2"/>
  <c r="AL182" i="2"/>
  <c r="CL182" i="10" l="1"/>
  <c r="X182" i="10" s="1"/>
  <c r="K181" i="27"/>
  <c r="M181" i="27" s="1"/>
  <c r="J188" i="38"/>
  <c r="K181" i="23"/>
  <c r="AL182" i="10"/>
  <c r="CM182" i="10"/>
  <c r="Y182" i="10" s="1"/>
  <c r="AT182" i="10"/>
  <c r="CN182" i="10"/>
  <c r="AB182" i="10" s="1"/>
  <c r="AI182" i="10"/>
  <c r="V180" i="11"/>
  <c r="U126" i="2"/>
  <c r="U127" i="2"/>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F45" i="32" s="1"/>
  <c r="G45" i="32" s="1"/>
  <c r="A131" i="28"/>
  <c r="A130" i="28"/>
  <c r="A129" i="28"/>
  <c r="A128" i="28"/>
  <c r="AH132" i="27"/>
  <c r="AD132" i="27"/>
  <c r="Z132" i="27"/>
  <c r="V132" i="27"/>
  <c r="R132" i="27"/>
  <c r="N132" i="27"/>
  <c r="C132" i="27"/>
  <c r="A132" i="27"/>
  <c r="AH131" i="27"/>
  <c r="AD131" i="27"/>
  <c r="Z131" i="27"/>
  <c r="V131" i="27"/>
  <c r="R131" i="27"/>
  <c r="N131" i="27"/>
  <c r="C131" i="27"/>
  <c r="A131" i="27"/>
  <c r="AH130" i="27"/>
  <c r="AD130" i="27"/>
  <c r="Z130" i="27"/>
  <c r="V130" i="27"/>
  <c r="R130" i="27"/>
  <c r="N130" i="27"/>
  <c r="C130" i="27"/>
  <c r="A130" i="27"/>
  <c r="AH129" i="27"/>
  <c r="AD129" i="27"/>
  <c r="Z129" i="27"/>
  <c r="V129" i="27"/>
  <c r="R129" i="27"/>
  <c r="N129" i="27"/>
  <c r="C129" i="27"/>
  <c r="A129" i="27"/>
  <c r="C132" i="26"/>
  <c r="A132" i="26"/>
  <c r="C131" i="26"/>
  <c r="A131" i="26"/>
  <c r="C130" i="26"/>
  <c r="A130" i="26"/>
  <c r="C129" i="26"/>
  <c r="A129" i="26"/>
  <c r="U133" i="25"/>
  <c r="T133" i="25"/>
  <c r="S133" i="25"/>
  <c r="R133" i="25"/>
  <c r="Q133" i="25"/>
  <c r="P133" i="25"/>
  <c r="O133" i="25"/>
  <c r="N133" i="25"/>
  <c r="M133" i="25"/>
  <c r="L133" i="25"/>
  <c r="K133" i="25"/>
  <c r="C133" i="25"/>
  <c r="A133" i="25"/>
  <c r="U132" i="25"/>
  <c r="T132" i="25"/>
  <c r="S132" i="25"/>
  <c r="R132" i="25"/>
  <c r="Q132" i="25"/>
  <c r="P132" i="25"/>
  <c r="O132" i="25"/>
  <c r="N132" i="25"/>
  <c r="M132" i="25"/>
  <c r="L132" i="25"/>
  <c r="K132" i="25"/>
  <c r="C132" i="25"/>
  <c r="A132" i="25"/>
  <c r="U131" i="25"/>
  <c r="T131" i="25"/>
  <c r="S131" i="25"/>
  <c r="R131" i="25"/>
  <c r="Q131" i="25"/>
  <c r="P131" i="25"/>
  <c r="O131" i="25"/>
  <c r="N131" i="25"/>
  <c r="M131" i="25"/>
  <c r="L131" i="25"/>
  <c r="K131" i="25"/>
  <c r="C131" i="25"/>
  <c r="A131" i="25"/>
  <c r="U130" i="25"/>
  <c r="T130" i="25"/>
  <c r="S130" i="25"/>
  <c r="R130" i="25"/>
  <c r="Q130" i="25"/>
  <c r="P130" i="25"/>
  <c r="O130" i="25"/>
  <c r="N130" i="25"/>
  <c r="M130" i="25"/>
  <c r="L130" i="25"/>
  <c r="K130" i="25"/>
  <c r="C130" i="25"/>
  <c r="A130" i="25"/>
  <c r="P132" i="24"/>
  <c r="O132" i="24"/>
  <c r="N132" i="24"/>
  <c r="M132" i="24"/>
  <c r="L132" i="24"/>
  <c r="K132" i="24"/>
  <c r="C132" i="24"/>
  <c r="A132" i="24"/>
  <c r="P131" i="24"/>
  <c r="O131" i="24"/>
  <c r="N131" i="24"/>
  <c r="M131" i="24"/>
  <c r="L131" i="24"/>
  <c r="K131" i="24"/>
  <c r="C131" i="24"/>
  <c r="A131" i="24"/>
  <c r="P130" i="24"/>
  <c r="O130" i="24"/>
  <c r="N130" i="24"/>
  <c r="M130" i="24"/>
  <c r="L130" i="24"/>
  <c r="K130" i="24"/>
  <c r="C130" i="24"/>
  <c r="A130" i="24"/>
  <c r="C129" i="24"/>
  <c r="A129" i="24"/>
  <c r="A132" i="23"/>
  <c r="A131" i="23"/>
  <c r="A130" i="23"/>
  <c r="A129" i="23"/>
  <c r="C129" i="28" l="1"/>
  <c r="C100" i="41"/>
  <c r="C131" i="28"/>
  <c r="C102" i="41"/>
  <c r="C130" i="28"/>
  <c r="C101" i="41"/>
  <c r="C128" i="28"/>
  <c r="M127" i="38"/>
  <c r="Z125" i="28"/>
  <c r="M126" i="38"/>
  <c r="Z124" i="28"/>
  <c r="AD182" i="10"/>
  <c r="AE182" i="10"/>
  <c r="AH182" i="10"/>
  <c r="CI182" i="10" s="1"/>
  <c r="CK182" i="10"/>
  <c r="AJ182" i="10"/>
  <c r="H45" i="32"/>
  <c r="I45" i="32" s="1"/>
  <c r="J45" i="32" s="1"/>
  <c r="K45" i="32" s="1"/>
  <c r="L45" i="32" s="1"/>
  <c r="BB121" i="20"/>
  <c r="BC121" i="20"/>
  <c r="BD121" i="20"/>
  <c r="BE121" i="20"/>
  <c r="BF121" i="20"/>
  <c r="BG121" i="20"/>
  <c r="BH121" i="20"/>
  <c r="BI122" i="20"/>
  <c r="BI123" i="20"/>
  <c r="C98" i="21"/>
  <c r="D98" i="21" s="1"/>
  <c r="B133" i="20"/>
  <c r="A133" i="20"/>
  <c r="B132" i="20"/>
  <c r="A132" i="20"/>
  <c r="B131" i="20"/>
  <c r="A131" i="20"/>
  <c r="B130" i="20"/>
  <c r="A130" i="20"/>
  <c r="B131" i="11"/>
  <c r="A131" i="11"/>
  <c r="B130" i="11"/>
  <c r="A130" i="11"/>
  <c r="B129" i="11"/>
  <c r="A129" i="11"/>
  <c r="B128" i="11"/>
  <c r="A128" i="11"/>
  <c r="AK133" i="2"/>
  <c r="AI133" i="2"/>
  <c r="AH133" i="2"/>
  <c r="R132" i="24" s="1"/>
  <c r="U132" i="24" s="1"/>
  <c r="AG133" i="2"/>
  <c r="AD132" i="23" s="1"/>
  <c r="AG132" i="23" s="1"/>
  <c r="AA133" i="2"/>
  <c r="AJ131" i="28" s="1"/>
  <c r="X133" i="2"/>
  <c r="AE131" i="28" s="1"/>
  <c r="U133" i="2"/>
  <c r="Z131" i="28" s="1"/>
  <c r="R133" i="2"/>
  <c r="U131" i="28" s="1"/>
  <c r="O133" i="2"/>
  <c r="P131" i="28" s="1"/>
  <c r="K133" i="20"/>
  <c r="J133" i="2"/>
  <c r="I133" i="38" s="1"/>
  <c r="I133" i="2"/>
  <c r="H133" i="2"/>
  <c r="G133" i="38" s="1"/>
  <c r="G133" i="2"/>
  <c r="F133" i="38" s="1"/>
  <c r="F133" i="2"/>
  <c r="E133" i="38" s="1"/>
  <c r="E133" i="2"/>
  <c r="D133" i="38" s="1"/>
  <c r="D133" i="2"/>
  <c r="C133" i="38" s="1"/>
  <c r="C56" i="9"/>
  <c r="B56" i="9"/>
  <c r="A56" i="9"/>
  <c r="L56" i="9"/>
  <c r="AK132" i="2"/>
  <c r="AI132" i="2"/>
  <c r="AH132" i="2"/>
  <c r="R131" i="24" s="1"/>
  <c r="U131" i="24" s="1"/>
  <c r="AG132" i="2"/>
  <c r="AD131" i="23" s="1"/>
  <c r="AG131" i="23" s="1"/>
  <c r="AA132" i="2"/>
  <c r="X132" i="2"/>
  <c r="AE130" i="28" s="1"/>
  <c r="U132" i="2"/>
  <c r="Z130" i="28" s="1"/>
  <c r="R132" i="2"/>
  <c r="U130" i="28" s="1"/>
  <c r="O132" i="2"/>
  <c r="P130" i="28" s="1"/>
  <c r="K132" i="20"/>
  <c r="J132" i="2"/>
  <c r="I132" i="2"/>
  <c r="H132" i="2"/>
  <c r="G132" i="38" s="1"/>
  <c r="G132" i="2"/>
  <c r="F132" i="2"/>
  <c r="E132" i="2"/>
  <c r="D132" i="2"/>
  <c r="C132" i="38" s="1"/>
  <c r="B51" i="8"/>
  <c r="A51" i="8"/>
  <c r="L51" i="8"/>
  <c r="L132" i="2" s="1"/>
  <c r="K130" i="28" s="1"/>
  <c r="AK131" i="2"/>
  <c r="AK130" i="2"/>
  <c r="AK129" i="2"/>
  <c r="AK128" i="2"/>
  <c r="AI131" i="2"/>
  <c r="AH131" i="2"/>
  <c r="R130" i="24" s="1"/>
  <c r="U130" i="24" s="1"/>
  <c r="AI130" i="2"/>
  <c r="AH130" i="2"/>
  <c r="R129" i="24" s="1"/>
  <c r="U129" i="24" s="1"/>
  <c r="AI129" i="2"/>
  <c r="CG128" i="10" s="1"/>
  <c r="CJ128" i="10" s="1"/>
  <c r="AH129" i="2"/>
  <c r="AI128" i="2"/>
  <c r="CG127" i="10" s="1"/>
  <c r="CJ127" i="10" s="1"/>
  <c r="CL127" i="10" s="1"/>
  <c r="AH128" i="2"/>
  <c r="AG131" i="2"/>
  <c r="AD130" i="23" s="1"/>
  <c r="AG130" i="23" s="1"/>
  <c r="AG130" i="2"/>
  <c r="AD129" i="23" s="1"/>
  <c r="AG129" i="23" s="1"/>
  <c r="AG129" i="2"/>
  <c r="AG128" i="2"/>
  <c r="AA131" i="2"/>
  <c r="AJ129" i="28" s="1"/>
  <c r="AA130" i="2"/>
  <c r="AJ128" i="28" s="1"/>
  <c r="AA129" i="2"/>
  <c r="AJ127" i="28" s="1"/>
  <c r="AA128" i="2"/>
  <c r="X131" i="2"/>
  <c r="AE129" i="28" s="1"/>
  <c r="X130" i="2"/>
  <c r="AE128" i="28" s="1"/>
  <c r="X129" i="2"/>
  <c r="X128" i="2"/>
  <c r="U131" i="2"/>
  <c r="Z129" i="28" s="1"/>
  <c r="U130" i="2"/>
  <c r="Z128" i="28" s="1"/>
  <c r="U129" i="2"/>
  <c r="U128" i="2"/>
  <c r="R131" i="2"/>
  <c r="U129" i="28" s="1"/>
  <c r="R130" i="2"/>
  <c r="U128" i="28" s="1"/>
  <c r="R129" i="2"/>
  <c r="R128" i="2"/>
  <c r="O131" i="2"/>
  <c r="P129" i="28" s="1"/>
  <c r="O130" i="2"/>
  <c r="P128" i="28" s="1"/>
  <c r="O129" i="2"/>
  <c r="O128" i="2"/>
  <c r="K131" i="20"/>
  <c r="J131" i="2"/>
  <c r="I131" i="2"/>
  <c r="H131" i="2"/>
  <c r="G131" i="38" s="1"/>
  <c r="G131" i="2"/>
  <c r="F131" i="38" s="1"/>
  <c r="F131" i="2"/>
  <c r="E131" i="2"/>
  <c r="K130" i="20"/>
  <c r="J130" i="2"/>
  <c r="I130" i="38" s="1"/>
  <c r="I130" i="2"/>
  <c r="H130" i="2"/>
  <c r="G130" i="38" s="1"/>
  <c r="G130" i="2"/>
  <c r="F130" i="38" s="1"/>
  <c r="F130" i="2"/>
  <c r="E130" i="2"/>
  <c r="J129" i="2"/>
  <c r="I129" i="38" s="1"/>
  <c r="I129" i="2"/>
  <c r="H129" i="38" s="1"/>
  <c r="H129" i="2"/>
  <c r="G129" i="38" s="1"/>
  <c r="G129" i="2"/>
  <c r="F129" i="38" s="1"/>
  <c r="F129" i="2"/>
  <c r="E129" i="38" s="1"/>
  <c r="E129" i="2"/>
  <c r="D129" i="38" s="1"/>
  <c r="J128" i="2"/>
  <c r="I128" i="38" s="1"/>
  <c r="I128" i="2"/>
  <c r="H128" i="38" s="1"/>
  <c r="H128" i="2"/>
  <c r="G128" i="38" s="1"/>
  <c r="G128" i="2"/>
  <c r="F128" i="38" s="1"/>
  <c r="F128" i="2"/>
  <c r="E128" i="38" s="1"/>
  <c r="E128" i="2"/>
  <c r="D128" i="38" s="1"/>
  <c r="D131" i="2"/>
  <c r="C131" i="38" s="1"/>
  <c r="D130" i="2"/>
  <c r="C130" i="38" s="1"/>
  <c r="D129" i="2"/>
  <c r="C129" i="38" s="1"/>
  <c r="D128" i="2"/>
  <c r="C128" i="38" s="1"/>
  <c r="B57" i="7"/>
  <c r="B56" i="7"/>
  <c r="B55" i="7"/>
  <c r="B54" i="7"/>
  <c r="A57" i="7"/>
  <c r="A56" i="7"/>
  <c r="A55" i="7"/>
  <c r="A54" i="7"/>
  <c r="O53" i="7"/>
  <c r="N53" i="7"/>
  <c r="M53" i="7"/>
  <c r="L53" i="7"/>
  <c r="P53" i="7"/>
  <c r="K57" i="7"/>
  <c r="L131" i="2" s="1"/>
  <c r="K129" i="28" s="1"/>
  <c r="K56" i="7"/>
  <c r="L130" i="2" s="1"/>
  <c r="K128" i="28" s="1"/>
  <c r="K55" i="7"/>
  <c r="L129" i="2" s="1"/>
  <c r="K54" i="7"/>
  <c r="B59" i="7"/>
  <c r="B61" i="7"/>
  <c r="B64" i="7"/>
  <c r="B66" i="7"/>
  <c r="B69" i="7"/>
  <c r="B73" i="7"/>
  <c r="AK127" i="2"/>
  <c r="AI127" i="2"/>
  <c r="CG126" i="10" s="1"/>
  <c r="CJ126" i="10" s="1"/>
  <c r="AH127" i="2"/>
  <c r="AG127" i="2"/>
  <c r="AK126" i="2"/>
  <c r="AI126" i="2"/>
  <c r="CG125" i="10" s="1"/>
  <c r="CJ125" i="10" s="1"/>
  <c r="AH126" i="2"/>
  <c r="AG126" i="2"/>
  <c r="AA127" i="2"/>
  <c r="X127" i="2"/>
  <c r="R127" i="2"/>
  <c r="O127" i="2"/>
  <c r="AA126" i="2"/>
  <c r="X126" i="2"/>
  <c r="R126" i="2"/>
  <c r="O126" i="2"/>
  <c r="T102" i="41" l="1"/>
  <c r="S102" i="41"/>
  <c r="AA131" i="28"/>
  <c r="AD131" i="28" s="1"/>
  <c r="AK131" i="28"/>
  <c r="AN131" i="28" s="1"/>
  <c r="AF131" i="28"/>
  <c r="AI131" i="28" s="1"/>
  <c r="Q131" i="28"/>
  <c r="T131" i="28" s="1"/>
  <c r="V131" i="28"/>
  <c r="Y131" i="28" s="1"/>
  <c r="S101" i="41"/>
  <c r="T101" i="41"/>
  <c r="T100" i="41"/>
  <c r="S100" i="41"/>
  <c r="Q130" i="28"/>
  <c r="V130" i="28"/>
  <c r="Y130" i="28" s="1"/>
  <c r="AF130" i="28"/>
  <c r="AI130" i="28" s="1"/>
  <c r="AA130" i="28"/>
  <c r="AD130" i="28" s="1"/>
  <c r="AK130" i="28"/>
  <c r="AF129" i="28"/>
  <c r="AI129" i="28" s="1"/>
  <c r="AA129" i="28"/>
  <c r="AD129" i="28" s="1"/>
  <c r="AK129" i="28"/>
  <c r="AN129" i="28" s="1"/>
  <c r="Q129" i="28"/>
  <c r="V129" i="28"/>
  <c r="Y129" i="28" s="1"/>
  <c r="S99" i="41"/>
  <c r="T99" i="41"/>
  <c r="Q128" i="28"/>
  <c r="AF128" i="28"/>
  <c r="AK128" i="28"/>
  <c r="AA128" i="28"/>
  <c r="AD128" i="28" s="1"/>
  <c r="V128" i="28"/>
  <c r="O126" i="38"/>
  <c r="AJ124" i="28"/>
  <c r="O127" i="38"/>
  <c r="AJ125" i="28"/>
  <c r="J129" i="38"/>
  <c r="K127" i="28"/>
  <c r="O132" i="38"/>
  <c r="AJ130" i="28"/>
  <c r="O128" i="38"/>
  <c r="AJ126" i="28"/>
  <c r="N127" i="38"/>
  <c r="AE125" i="28"/>
  <c r="L129" i="38"/>
  <c r="U127" i="28"/>
  <c r="N126" i="38"/>
  <c r="AE124" i="28"/>
  <c r="K129" i="38"/>
  <c r="P127" i="28"/>
  <c r="M129" i="38"/>
  <c r="Z127" i="28"/>
  <c r="K126" i="38"/>
  <c r="P124" i="28"/>
  <c r="K127" i="38"/>
  <c r="P125" i="28"/>
  <c r="N129" i="38"/>
  <c r="AE127" i="28"/>
  <c r="L126" i="38"/>
  <c r="U124" i="28"/>
  <c r="L127" i="38"/>
  <c r="U125" i="28"/>
  <c r="K128" i="38"/>
  <c r="P126" i="28"/>
  <c r="L128" i="38"/>
  <c r="U126" i="28"/>
  <c r="M128" i="38"/>
  <c r="Z126" i="28"/>
  <c r="N128" i="38"/>
  <c r="AE126" i="28"/>
  <c r="AT129" i="2"/>
  <c r="AV129" i="2" s="1"/>
  <c r="K131" i="23"/>
  <c r="J132" i="38"/>
  <c r="D130" i="11"/>
  <c r="D132" i="38"/>
  <c r="H130" i="11"/>
  <c r="H132" i="38"/>
  <c r="Q131" i="23"/>
  <c r="L132" i="38"/>
  <c r="N132" i="23"/>
  <c r="K133" i="38"/>
  <c r="Z132" i="23"/>
  <c r="O133" i="38"/>
  <c r="K130" i="23"/>
  <c r="J131" i="38"/>
  <c r="E131" i="20"/>
  <c r="D131" i="38"/>
  <c r="H129" i="11"/>
  <c r="H131" i="38"/>
  <c r="AS128" i="10"/>
  <c r="O129" i="38"/>
  <c r="F132" i="20"/>
  <c r="E132" i="38"/>
  <c r="J132" i="20"/>
  <c r="I132" i="38"/>
  <c r="T131" i="23"/>
  <c r="M132" i="38"/>
  <c r="H131" i="11"/>
  <c r="H133" i="38"/>
  <c r="L133" i="38"/>
  <c r="Q132" i="23"/>
  <c r="E130" i="20"/>
  <c r="D130" i="38"/>
  <c r="I130" i="20"/>
  <c r="H130" i="38"/>
  <c r="F131" i="20"/>
  <c r="E131" i="38"/>
  <c r="J131" i="20"/>
  <c r="I131" i="38"/>
  <c r="N129" i="23"/>
  <c r="K130" i="38"/>
  <c r="L129" i="24"/>
  <c r="Q129" i="23"/>
  <c r="L130" i="38"/>
  <c r="M129" i="24"/>
  <c r="T129" i="23"/>
  <c r="M130" i="38"/>
  <c r="N129" i="24"/>
  <c r="W129" i="23"/>
  <c r="N130" i="38"/>
  <c r="O129" i="24"/>
  <c r="O130" i="38"/>
  <c r="P129" i="24"/>
  <c r="G132" i="20"/>
  <c r="F132" i="38"/>
  <c r="W131" i="23"/>
  <c r="N132" i="38"/>
  <c r="T132" i="23"/>
  <c r="M133" i="38"/>
  <c r="K129" i="23"/>
  <c r="J130" i="38"/>
  <c r="K129" i="24"/>
  <c r="F130" i="20"/>
  <c r="E130" i="38"/>
  <c r="N130" i="23"/>
  <c r="K131" i="38"/>
  <c r="Q130" i="23"/>
  <c r="L131" i="38"/>
  <c r="T130" i="23"/>
  <c r="M131" i="38"/>
  <c r="W130" i="23"/>
  <c r="N131" i="38"/>
  <c r="Z130" i="23"/>
  <c r="O131" i="38"/>
  <c r="N131" i="23"/>
  <c r="K132" i="38"/>
  <c r="W132" i="23"/>
  <c r="N133" i="38"/>
  <c r="W128" i="11"/>
  <c r="Z129" i="23"/>
  <c r="AT130" i="2"/>
  <c r="AV130" i="2" s="1"/>
  <c r="AC182" i="10"/>
  <c r="W182" i="10"/>
  <c r="AT126" i="2"/>
  <c r="AV126" i="2" s="1"/>
  <c r="AT127" i="2"/>
  <c r="AV127" i="2" s="1"/>
  <c r="AT131" i="2"/>
  <c r="AV131" i="2" s="1"/>
  <c r="W130" i="11"/>
  <c r="Z131" i="23"/>
  <c r="AT132" i="2"/>
  <c r="AV132" i="2" s="1"/>
  <c r="AT128" i="2"/>
  <c r="AV128" i="2" s="1"/>
  <c r="AT133" i="2"/>
  <c r="AV133" i="2" s="1"/>
  <c r="L133" i="2"/>
  <c r="L55" i="9"/>
  <c r="CH128" i="10"/>
  <c r="CK128" i="10" s="1"/>
  <c r="CL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J129" i="27"/>
  <c r="J129" i="26"/>
  <c r="J130" i="25"/>
  <c r="J128" i="28"/>
  <c r="J129" i="24"/>
  <c r="J129" i="23"/>
  <c r="O130" i="27"/>
  <c r="Q130" i="27" s="1"/>
  <c r="AK130" i="10"/>
  <c r="W130" i="27"/>
  <c r="Y130" i="27" s="1"/>
  <c r="AO130" i="10"/>
  <c r="AA130" i="27"/>
  <c r="AC130" i="27" s="1"/>
  <c r="AQ130" i="10"/>
  <c r="AE130" i="27"/>
  <c r="AG130" i="27" s="1"/>
  <c r="AS130" i="10"/>
  <c r="W131" i="25"/>
  <c r="Z131" i="25" s="1"/>
  <c r="CG130" i="10"/>
  <c r="CJ130" i="10" s="1"/>
  <c r="CL130" i="10" s="1"/>
  <c r="CH130" i="10"/>
  <c r="R130" i="26"/>
  <c r="T130" i="26" s="1"/>
  <c r="H131" i="26"/>
  <c r="H131" i="27"/>
  <c r="H132" i="25"/>
  <c r="H130" i="28"/>
  <c r="H131" i="24"/>
  <c r="H131" i="23"/>
  <c r="AA131" i="27"/>
  <c r="AC131" i="27" s="1"/>
  <c r="AQ131" i="10"/>
  <c r="CG131" i="10"/>
  <c r="CJ131" i="10" s="1"/>
  <c r="W132" i="25"/>
  <c r="Z132" i="25" s="1"/>
  <c r="E131" i="28"/>
  <c r="E132" i="27"/>
  <c r="E133" i="25"/>
  <c r="E132" i="26"/>
  <c r="E132" i="24"/>
  <c r="E132" i="23"/>
  <c r="O132" i="27"/>
  <c r="Q132" i="27" s="1"/>
  <c r="AK132" i="10"/>
  <c r="AC131" i="20"/>
  <c r="AA133" i="20"/>
  <c r="AE133" i="20"/>
  <c r="AW131" i="20"/>
  <c r="AU133" i="20"/>
  <c r="G129" i="27"/>
  <c r="G129" i="26"/>
  <c r="G130" i="25"/>
  <c r="G128" i="28"/>
  <c r="G129" i="24"/>
  <c r="G129" i="23"/>
  <c r="H129" i="28"/>
  <c r="H130" i="26"/>
  <c r="H130" i="27"/>
  <c r="H131" i="25"/>
  <c r="H130" i="23"/>
  <c r="H130" i="24"/>
  <c r="E131" i="27"/>
  <c r="E132" i="25"/>
  <c r="E130" i="28"/>
  <c r="E131" i="26"/>
  <c r="E131" i="24"/>
  <c r="E131" i="23"/>
  <c r="I131" i="27"/>
  <c r="I132" i="25"/>
  <c r="I130" i="28"/>
  <c r="I131" i="26"/>
  <c r="I131" i="24"/>
  <c r="I131" i="23"/>
  <c r="O131" i="27"/>
  <c r="Q131" i="27" s="1"/>
  <c r="AK131" i="10"/>
  <c r="AE131" i="27"/>
  <c r="AG131" i="27" s="1"/>
  <c r="AS131" i="10"/>
  <c r="CH131" i="10"/>
  <c r="R131" i="26"/>
  <c r="T131" i="26" s="1"/>
  <c r="F132" i="26"/>
  <c r="F132" i="24"/>
  <c r="F131" i="28"/>
  <c r="F132" i="27"/>
  <c r="F133" i="25"/>
  <c r="F132" i="23"/>
  <c r="J132" i="26"/>
  <c r="J132" i="24"/>
  <c r="J132" i="27"/>
  <c r="J133" i="25"/>
  <c r="J132" i="23"/>
  <c r="J131" i="28"/>
  <c r="S132" i="27"/>
  <c r="U132" i="27" s="1"/>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D130" i="27"/>
  <c r="D131" i="25"/>
  <c r="D130" i="23"/>
  <c r="D129" i="28"/>
  <c r="D130" i="26"/>
  <c r="D130" i="24"/>
  <c r="F129" i="27"/>
  <c r="F129" i="26"/>
  <c r="F130" i="25"/>
  <c r="F128" i="28"/>
  <c r="F129" i="24"/>
  <c r="F129" i="23"/>
  <c r="G129" i="28"/>
  <c r="G130" i="26"/>
  <c r="G130" i="24"/>
  <c r="G131" i="25"/>
  <c r="G130" i="27"/>
  <c r="G130" i="23"/>
  <c r="AI130" i="10"/>
  <c r="K130" i="27"/>
  <c r="M130" i="27" s="1"/>
  <c r="S130" i="27"/>
  <c r="U130" i="27" s="1"/>
  <c r="AM130" i="10"/>
  <c r="D131" i="27"/>
  <c r="D132" i="25"/>
  <c r="D131" i="26"/>
  <c r="D130" i="28"/>
  <c r="B131" i="10"/>
  <c r="D131" i="24"/>
  <c r="D131" i="23"/>
  <c r="AI131" i="10"/>
  <c r="K131" i="27"/>
  <c r="M131" i="27" s="1"/>
  <c r="I131" i="28"/>
  <c r="I133" i="25"/>
  <c r="I132" i="27"/>
  <c r="I132" i="26"/>
  <c r="I132" i="24"/>
  <c r="I132" i="23"/>
  <c r="AS132" i="10"/>
  <c r="AE132" i="27"/>
  <c r="AG132" i="27" s="1"/>
  <c r="CH132" i="10"/>
  <c r="R132" i="26"/>
  <c r="T132" i="26" s="1"/>
  <c r="W129" i="11"/>
  <c r="D131" i="11"/>
  <c r="W131" i="11"/>
  <c r="E133" i="20"/>
  <c r="I133" i="20"/>
  <c r="Y131" i="20"/>
  <c r="AS131" i="20"/>
  <c r="AY133" i="20"/>
  <c r="H128" i="28"/>
  <c r="H129" i="24"/>
  <c r="H129" i="23"/>
  <c r="H129" i="27"/>
  <c r="H129" i="26"/>
  <c r="H130" i="25"/>
  <c r="E130" i="27"/>
  <c r="E131" i="25"/>
  <c r="E130" i="23"/>
  <c r="E129" i="28"/>
  <c r="E130" i="26"/>
  <c r="E130" i="24"/>
  <c r="I130" i="27"/>
  <c r="I131" i="25"/>
  <c r="I130" i="23"/>
  <c r="I129" i="28"/>
  <c r="I130" i="26"/>
  <c r="I130" i="24"/>
  <c r="CG129" i="10"/>
  <c r="CJ129" i="10" s="1"/>
  <c r="W130" i="25"/>
  <c r="Z130" i="25" s="1"/>
  <c r="F130" i="28"/>
  <c r="F131" i="26"/>
  <c r="F131" i="24"/>
  <c r="F131" i="23"/>
  <c r="F132" i="25"/>
  <c r="F131" i="27"/>
  <c r="J130" i="28"/>
  <c r="J131" i="27"/>
  <c r="J131" i="26"/>
  <c r="J131" i="24"/>
  <c r="J131" i="23"/>
  <c r="J132" i="25"/>
  <c r="S131" i="27"/>
  <c r="U131" i="27" s="1"/>
  <c r="AM131" i="10"/>
  <c r="G132" i="26"/>
  <c r="G132" i="24"/>
  <c r="G132" i="27"/>
  <c r="G133" i="25"/>
  <c r="G132" i="23"/>
  <c r="G131" i="28"/>
  <c r="W132" i="27"/>
  <c r="Y132" i="27" s="1"/>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D128" i="28"/>
  <c r="D129" i="24"/>
  <c r="B129" i="10"/>
  <c r="D129" i="27"/>
  <c r="D129" i="26"/>
  <c r="D129" i="23"/>
  <c r="D130" i="25"/>
  <c r="E129" i="23"/>
  <c r="E129" i="27"/>
  <c r="E129" i="26"/>
  <c r="E130" i="25"/>
  <c r="E128" i="28"/>
  <c r="E129" i="24"/>
  <c r="I129" i="23"/>
  <c r="I128" i="28"/>
  <c r="I129" i="27"/>
  <c r="I129" i="26"/>
  <c r="I130" i="25"/>
  <c r="I129" i="24"/>
  <c r="F130" i="27"/>
  <c r="F131" i="25"/>
  <c r="F130" i="23"/>
  <c r="F129" i="28"/>
  <c r="F130" i="26"/>
  <c r="F130" i="24"/>
  <c r="J130" i="27"/>
  <c r="J131" i="25"/>
  <c r="J130" i="23"/>
  <c r="J129" i="28"/>
  <c r="J130" i="26"/>
  <c r="J130" i="24"/>
  <c r="K129" i="27"/>
  <c r="M129" i="27" s="1"/>
  <c r="AI129" i="10"/>
  <c r="O129" i="27"/>
  <c r="Q129" i="27" s="1"/>
  <c r="AK129" i="10"/>
  <c r="S129" i="27"/>
  <c r="U129" i="27" s="1"/>
  <c r="AM129" i="10"/>
  <c r="W129" i="27"/>
  <c r="Y129" i="27" s="1"/>
  <c r="AO129" i="10"/>
  <c r="AA129" i="27"/>
  <c r="AC129" i="27" s="1"/>
  <c r="AQ129" i="10"/>
  <c r="AS129" i="10"/>
  <c r="AE129" i="27"/>
  <c r="AG129" i="27" s="1"/>
  <c r="CH129" i="10"/>
  <c r="R129" i="26"/>
  <c r="T129" i="26" s="1"/>
  <c r="G131" i="26"/>
  <c r="G131" i="24"/>
  <c r="G131" i="23"/>
  <c r="G130" i="28"/>
  <c r="G131" i="27"/>
  <c r="G132" i="25"/>
  <c r="W131" i="27"/>
  <c r="Y131" i="27" s="1"/>
  <c r="AO131" i="10"/>
  <c r="D132" i="27"/>
  <c r="D133" i="25"/>
  <c r="D132" i="23"/>
  <c r="B132" i="10"/>
  <c r="D131" i="28"/>
  <c r="D132" i="26"/>
  <c r="D132" i="24"/>
  <c r="H132" i="27"/>
  <c r="H133" i="25"/>
  <c r="H132" i="23"/>
  <c r="H132" i="26"/>
  <c r="H131" i="28"/>
  <c r="H132" i="24"/>
  <c r="AA132" i="27"/>
  <c r="AC132" i="27" s="1"/>
  <c r="AQ132" i="10"/>
  <c r="CG132" i="10"/>
  <c r="CJ132" i="10" s="1"/>
  <c r="W133" i="25"/>
  <c r="Z133" i="25" s="1"/>
  <c r="C128" i="11"/>
  <c r="G128" i="11"/>
  <c r="V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AP133" i="2"/>
  <c r="AO133" i="2"/>
  <c r="AN133" i="2"/>
  <c r="AM133" i="2"/>
  <c r="AL133" i="2"/>
  <c r="AP132" i="2"/>
  <c r="AO132" i="2"/>
  <c r="AN132" i="2"/>
  <c r="AM132" i="2"/>
  <c r="AL132" i="2"/>
  <c r="AP131" i="2"/>
  <c r="AO131" i="2"/>
  <c r="AN131" i="2"/>
  <c r="AM131" i="2"/>
  <c r="AL131" i="2"/>
  <c r="AP130" i="2"/>
  <c r="AO130" i="2"/>
  <c r="AN130" i="2"/>
  <c r="AM130" i="2"/>
  <c r="AL130" i="2"/>
  <c r="AP129" i="2"/>
  <c r="AO129" i="2"/>
  <c r="AN129" i="2"/>
  <c r="AM129" i="2"/>
  <c r="AL129" i="2"/>
  <c r="AP128" i="2"/>
  <c r="AO128" i="2"/>
  <c r="AN128" i="2"/>
  <c r="AM128" i="2"/>
  <c r="AL128" i="2"/>
  <c r="AP127" i="2"/>
  <c r="AO127" i="2"/>
  <c r="AN127" i="2"/>
  <c r="AM127" i="2"/>
  <c r="AL127" i="2"/>
  <c r="AP126" i="2"/>
  <c r="AO126" i="2"/>
  <c r="AN126" i="2"/>
  <c r="AM126" i="2"/>
  <c r="AL126" i="2"/>
  <c r="AJ135" i="2"/>
  <c r="AJ133" i="2"/>
  <c r="AJ132" i="2"/>
  <c r="AJ131" i="2"/>
  <c r="AJ130" i="2"/>
  <c r="AJ129" i="2"/>
  <c r="AJ128" i="2"/>
  <c r="AJ127" i="2"/>
  <c r="AJ126" i="2"/>
  <c r="AE133" i="2"/>
  <c r="AC133" i="2"/>
  <c r="AE132" i="2"/>
  <c r="AC132" i="2"/>
  <c r="AE131" i="2"/>
  <c r="AC131" i="2"/>
  <c r="AC130" i="2"/>
  <c r="AD129" i="2"/>
  <c r="AE129" i="2" s="1"/>
  <c r="AC129" i="2"/>
  <c r="AD128" i="2"/>
  <c r="AE128" i="2" s="1"/>
  <c r="AC128" i="2"/>
  <c r="AD127" i="2"/>
  <c r="AE127" i="2" s="1"/>
  <c r="AC127" i="2"/>
  <c r="AD126" i="2"/>
  <c r="AE126" i="2" s="1"/>
  <c r="AC126" i="2"/>
  <c r="AD125" i="2"/>
  <c r="AE125" i="2" s="1"/>
  <c r="AC125" i="2"/>
  <c r="AD124" i="2"/>
  <c r="AE124" i="2" s="1"/>
  <c r="AC124" i="2"/>
  <c r="AD123" i="2"/>
  <c r="AE123" i="2" s="1"/>
  <c r="AC123" i="2"/>
  <c r="AD122" i="2"/>
  <c r="AE122" i="2" s="1"/>
  <c r="AC122" i="2"/>
  <c r="Y133" i="2"/>
  <c r="Z133" i="2" s="1"/>
  <c r="Y132" i="2"/>
  <c r="Z132" i="2" s="1"/>
  <c r="Y131" i="2"/>
  <c r="Z131" i="2" s="1"/>
  <c r="Y129" i="2"/>
  <c r="Z129" i="2" s="1"/>
  <c r="Y128" i="2"/>
  <c r="Z128" i="2" s="1"/>
  <c r="Y127" i="2"/>
  <c r="Z127" i="2" s="1"/>
  <c r="Y126" i="2"/>
  <c r="Z126" i="2" s="1"/>
  <c r="Y125" i="2"/>
  <c r="Z125" i="2" s="1"/>
  <c r="Y124" i="2"/>
  <c r="Z124" i="2" s="1"/>
  <c r="Y123" i="2"/>
  <c r="Z123" i="2" s="1"/>
  <c r="Y122" i="2"/>
  <c r="Z122" i="2" s="1"/>
  <c r="V133" i="2"/>
  <c r="W133" i="2" s="1"/>
  <c r="V132" i="2"/>
  <c r="W132" i="2" s="1"/>
  <c r="V131" i="2"/>
  <c r="W131" i="2" s="1"/>
  <c r="V129" i="2"/>
  <c r="W129" i="2" s="1"/>
  <c r="V128" i="2"/>
  <c r="W128" i="2" s="1"/>
  <c r="V127" i="2"/>
  <c r="W127" i="2" s="1"/>
  <c r="V126" i="2"/>
  <c r="W126" i="2" s="1"/>
  <c r="V125" i="2"/>
  <c r="W125" i="2" s="1"/>
  <c r="V124" i="2"/>
  <c r="W124" i="2" s="1"/>
  <c r="V123" i="2"/>
  <c r="W123" i="2" s="1"/>
  <c r="V122" i="2"/>
  <c r="S133" i="2"/>
  <c r="T133" i="2" s="1"/>
  <c r="S132" i="2"/>
  <c r="T132" i="2" s="1"/>
  <c r="S131" i="2"/>
  <c r="T131" i="2" s="1"/>
  <c r="S129" i="2"/>
  <c r="T129" i="2" s="1"/>
  <c r="S128" i="2"/>
  <c r="T128" i="2" s="1"/>
  <c r="S127" i="2"/>
  <c r="T127" i="2" s="1"/>
  <c r="S126" i="2"/>
  <c r="T126" i="2" s="1"/>
  <c r="S125" i="2"/>
  <c r="T125" i="2" s="1"/>
  <c r="S124" i="2"/>
  <c r="T124" i="2" s="1"/>
  <c r="S123" i="2"/>
  <c r="T123" i="2" s="1"/>
  <c r="S122" i="2"/>
  <c r="P133" i="2"/>
  <c r="Q133" i="2" s="1"/>
  <c r="P132" i="2"/>
  <c r="Q132" i="2" s="1"/>
  <c r="P131" i="2"/>
  <c r="Q131" i="2" s="1"/>
  <c r="P129" i="2"/>
  <c r="Q129" i="2" s="1"/>
  <c r="P128" i="2"/>
  <c r="Q128" i="2" s="1"/>
  <c r="P127" i="2"/>
  <c r="Q127" i="2" s="1"/>
  <c r="P126" i="2"/>
  <c r="Q126" i="2" s="1"/>
  <c r="J127" i="2"/>
  <c r="I127" i="38" s="1"/>
  <c r="I127" i="2"/>
  <c r="H127" i="38" s="1"/>
  <c r="H127" i="2"/>
  <c r="G127" i="38" s="1"/>
  <c r="G127" i="2"/>
  <c r="F127" i="38" s="1"/>
  <c r="F127" i="2"/>
  <c r="E127" i="38" s="1"/>
  <c r="E127" i="2"/>
  <c r="D127" i="38" s="1"/>
  <c r="J126" i="2"/>
  <c r="I126" i="38" s="1"/>
  <c r="I126" i="2"/>
  <c r="H126" i="38" s="1"/>
  <c r="H126" i="2"/>
  <c r="G126" i="38" s="1"/>
  <c r="G126" i="2"/>
  <c r="F126" i="38" s="1"/>
  <c r="F126" i="2"/>
  <c r="E126" i="38" s="1"/>
  <c r="E126" i="2"/>
  <c r="D126" i="38" s="1"/>
  <c r="D127" i="2"/>
  <c r="C127" i="38" s="1"/>
  <c r="D126" i="2"/>
  <c r="C126" i="38" s="1"/>
  <c r="O50" i="6"/>
  <c r="N50" i="6"/>
  <c r="M50" i="6"/>
  <c r="L50" i="6"/>
  <c r="P50" i="6"/>
  <c r="K52" i="6"/>
  <c r="L127" i="2" s="1"/>
  <c r="K51" i="6"/>
  <c r="L126" i="2" s="1"/>
  <c r="B52" i="6"/>
  <c r="B51" i="6"/>
  <c r="A52" i="6"/>
  <c r="A51" i="6"/>
  <c r="P125" i="2"/>
  <c r="Q125" i="2" s="1"/>
  <c r="P124" i="2"/>
  <c r="Q124" i="2" s="1"/>
  <c r="P123" i="2"/>
  <c r="Q123" i="2" s="1"/>
  <c r="P122" i="2"/>
  <c r="Q122" i="2" s="1"/>
  <c r="M125" i="2"/>
  <c r="N125" i="2" s="1"/>
  <c r="M124" i="2"/>
  <c r="N124" i="2" s="1"/>
  <c r="M123" i="2"/>
  <c r="N123" i="2" s="1"/>
  <c r="M122" i="2"/>
  <c r="AA125" i="2"/>
  <c r="AA124" i="2"/>
  <c r="AA123" i="2"/>
  <c r="AA122" i="2"/>
  <c r="AJ120" i="28" s="1"/>
  <c r="X125" i="2"/>
  <c r="X124" i="2"/>
  <c r="X123" i="2"/>
  <c r="X122" i="2"/>
  <c r="AE120" i="28" s="1"/>
  <c r="U125" i="2"/>
  <c r="U124" i="2"/>
  <c r="U123" i="2"/>
  <c r="U122" i="2"/>
  <c r="Z120" i="28" s="1"/>
  <c r="R125" i="2"/>
  <c r="R124" i="2"/>
  <c r="R123" i="2"/>
  <c r="R122" i="2"/>
  <c r="U120" i="28" s="1"/>
  <c r="O125" i="2"/>
  <c r="O124" i="2"/>
  <c r="O123" i="2"/>
  <c r="O122" i="2"/>
  <c r="P120" i="28" s="1"/>
  <c r="L124" i="2"/>
  <c r="AK125" i="2"/>
  <c r="AK124" i="2"/>
  <c r="AK123" i="2"/>
  <c r="AK122" i="2"/>
  <c r="AI125" i="2"/>
  <c r="CG124" i="10" s="1"/>
  <c r="CJ124" i="10" s="1"/>
  <c r="AI124" i="2"/>
  <c r="CG123" i="10" s="1"/>
  <c r="CJ123" i="10" s="1"/>
  <c r="CL123" i="10" s="1"/>
  <c r="AI123" i="2"/>
  <c r="CG122" i="10" s="1"/>
  <c r="CJ122" i="10" s="1"/>
  <c r="CL122" i="10" s="1"/>
  <c r="AI122" i="2"/>
  <c r="CG121" i="10" s="1"/>
  <c r="CJ121" i="10" s="1"/>
  <c r="AH125" i="2"/>
  <c r="AH124" i="2"/>
  <c r="AH123" i="2"/>
  <c r="AH122" i="2"/>
  <c r="AG125" i="2"/>
  <c r="AG124" i="2"/>
  <c r="AG123" i="2"/>
  <c r="AG122" i="2"/>
  <c r="J125" i="2"/>
  <c r="I125" i="38" s="1"/>
  <c r="I125" i="2"/>
  <c r="H125" i="38" s="1"/>
  <c r="H125" i="2"/>
  <c r="G125" i="38" s="1"/>
  <c r="G125" i="2"/>
  <c r="F125" i="38" s="1"/>
  <c r="F125" i="2"/>
  <c r="E125" i="38" s="1"/>
  <c r="E125" i="2"/>
  <c r="D125" i="38" s="1"/>
  <c r="D125" i="2"/>
  <c r="C125" i="38" s="1"/>
  <c r="J124" i="2"/>
  <c r="I124" i="38" s="1"/>
  <c r="I124" i="2"/>
  <c r="H124" i="38" s="1"/>
  <c r="H124" i="2"/>
  <c r="G124" i="38" s="1"/>
  <c r="G124" i="2"/>
  <c r="F124" i="38" s="1"/>
  <c r="F124" i="2"/>
  <c r="E124" i="38" s="1"/>
  <c r="E124" i="2"/>
  <c r="D124" i="38" s="1"/>
  <c r="D124" i="2"/>
  <c r="C124" i="38" s="1"/>
  <c r="J123" i="2"/>
  <c r="I123" i="38" s="1"/>
  <c r="I123" i="2"/>
  <c r="H123" i="38" s="1"/>
  <c r="H123" i="2"/>
  <c r="G123" i="38" s="1"/>
  <c r="G123" i="2"/>
  <c r="F123" i="38" s="1"/>
  <c r="F123" i="2"/>
  <c r="E123" i="38" s="1"/>
  <c r="E123" i="2"/>
  <c r="D123" i="38" s="1"/>
  <c r="D123" i="2"/>
  <c r="C123" i="38" s="1"/>
  <c r="J122" i="2"/>
  <c r="I122" i="2"/>
  <c r="H122" i="2"/>
  <c r="G122" i="2"/>
  <c r="F122" i="2"/>
  <c r="E122" i="2"/>
  <c r="D120" i="11" s="1"/>
  <c r="B50" i="3"/>
  <c r="A50" i="3"/>
  <c r="B49" i="3"/>
  <c r="A49" i="3"/>
  <c r="B48" i="3"/>
  <c r="A48" i="3"/>
  <c r="B47" i="3"/>
  <c r="A47" i="3"/>
  <c r="D122" i="2"/>
  <c r="P46" i="3"/>
  <c r="O46" i="3"/>
  <c r="N46" i="3"/>
  <c r="M46" i="3"/>
  <c r="Q46" i="3"/>
  <c r="L50" i="3"/>
  <c r="L125" i="2" s="1"/>
  <c r="L49" i="3"/>
  <c r="L48" i="3"/>
  <c r="L123" i="2" s="1"/>
  <c r="L47" i="3"/>
  <c r="C50" i="3"/>
  <c r="D51" i="3"/>
  <c r="L51" i="3"/>
  <c r="M51" i="3"/>
  <c r="N51" i="3"/>
  <c r="O51" i="3"/>
  <c r="P51" i="3"/>
  <c r="Q51" i="3"/>
  <c r="A52" i="3"/>
  <c r="B52" i="3"/>
  <c r="D58" i="3"/>
  <c r="L58" i="3"/>
  <c r="M58" i="3"/>
  <c r="N58" i="3"/>
  <c r="O58" i="3"/>
  <c r="P58" i="3"/>
  <c r="Q58" i="3"/>
  <c r="A59" i="3"/>
  <c r="B59" i="3"/>
  <c r="M61" i="3"/>
  <c r="N61" i="3"/>
  <c r="N60" i="3" s="1"/>
  <c r="O61" i="3"/>
  <c r="P61" i="3"/>
  <c r="Q61" i="3"/>
  <c r="A62" i="3"/>
  <c r="B62" i="3"/>
  <c r="L62" i="3"/>
  <c r="L61" i="3" s="1"/>
  <c r="W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L129" i="28" l="1"/>
  <c r="O129" i="28" s="1"/>
  <c r="R101" i="41"/>
  <c r="I101" i="40"/>
  <c r="L130" i="28"/>
  <c r="O130" i="28" s="1"/>
  <c r="R102" i="41"/>
  <c r="I102" i="40"/>
  <c r="R100" i="41"/>
  <c r="I100" i="40"/>
  <c r="AN130" i="28"/>
  <c r="T130" i="28"/>
  <c r="L131" i="28"/>
  <c r="T129" i="28"/>
  <c r="R99" i="41"/>
  <c r="I99" i="40"/>
  <c r="AI128" i="28"/>
  <c r="L128" i="28"/>
  <c r="Y128" i="28"/>
  <c r="AN128" i="28"/>
  <c r="T128" i="28"/>
  <c r="J123" i="38"/>
  <c r="K121" i="28"/>
  <c r="J124" i="38"/>
  <c r="K122" i="28"/>
  <c r="O125" i="38"/>
  <c r="AJ123" i="28"/>
  <c r="O123" i="38"/>
  <c r="AJ121" i="28"/>
  <c r="J127" i="38"/>
  <c r="K125" i="28"/>
  <c r="J128" i="38"/>
  <c r="K126" i="28"/>
  <c r="J126" i="38"/>
  <c r="K124" i="28"/>
  <c r="J125" i="38"/>
  <c r="K123" i="28"/>
  <c r="O124" i="38"/>
  <c r="AJ122" i="28"/>
  <c r="AJ119" i="28" s="1"/>
  <c r="AI132" i="10"/>
  <c r="K131" i="28"/>
  <c r="O131" i="28" s="1"/>
  <c r="K125" i="38"/>
  <c r="P123" i="28"/>
  <c r="N125" i="38"/>
  <c r="AE123" i="28"/>
  <c r="L125" i="38"/>
  <c r="U123" i="28"/>
  <c r="K123" i="38"/>
  <c r="P121" i="28"/>
  <c r="L123" i="38"/>
  <c r="U121" i="28"/>
  <c r="M123" i="38"/>
  <c r="Z121" i="28"/>
  <c r="N123" i="38"/>
  <c r="AE121" i="28"/>
  <c r="M125" i="38"/>
  <c r="Z123" i="28"/>
  <c r="K124" i="38"/>
  <c r="P122" i="28"/>
  <c r="L124" i="38"/>
  <c r="U122" i="28"/>
  <c r="M124" i="38"/>
  <c r="Z122" i="28"/>
  <c r="N124" i="38"/>
  <c r="AE122" i="28"/>
  <c r="CM128" i="10"/>
  <c r="K132" i="23"/>
  <c r="J133" i="38"/>
  <c r="AT125" i="2"/>
  <c r="AV125" i="2" s="1"/>
  <c r="AT122" i="2"/>
  <c r="AV122" i="2" s="1"/>
  <c r="K50" i="6"/>
  <c r="AT123" i="2"/>
  <c r="AV123" i="2" s="1"/>
  <c r="AA121" i="2"/>
  <c r="CI128" i="10"/>
  <c r="AT124" i="2"/>
  <c r="AV124" i="2" s="1"/>
  <c r="O121" i="2"/>
  <c r="R121" i="2"/>
  <c r="U121" i="2"/>
  <c r="X121" i="2"/>
  <c r="N122" i="2"/>
  <c r="N121" i="2" s="1"/>
  <c r="M121" i="2"/>
  <c r="W122" i="2"/>
  <c r="T122" i="2"/>
  <c r="V131" i="11"/>
  <c r="K132" i="27"/>
  <c r="M132" i="27" s="1"/>
  <c r="CI126" i="10"/>
  <c r="CI125" i="10"/>
  <c r="CH123" i="10"/>
  <c r="CI123" i="10" s="1"/>
  <c r="DG124" i="20"/>
  <c r="DC124" i="20"/>
  <c r="DF124" i="20"/>
  <c r="DB124" i="20"/>
  <c r="DE124" i="20"/>
  <c r="DA124" i="20"/>
  <c r="DD124" i="20"/>
  <c r="L46" i="3"/>
  <c r="CH124" i="10"/>
  <c r="CK124" i="10" s="1"/>
  <c r="CL124" i="10" s="1"/>
  <c r="DG125" i="20"/>
  <c r="DE125" i="20"/>
  <c r="DA125" i="20"/>
  <c r="DD125" i="20"/>
  <c r="DB125" i="20"/>
  <c r="DC125" i="20"/>
  <c r="DF125" i="20"/>
  <c r="CH121" i="10"/>
  <c r="CI121" i="10" s="1"/>
  <c r="DG122" i="20"/>
  <c r="L122" i="2"/>
  <c r="AC121" i="2"/>
  <c r="O60" i="3"/>
  <c r="CH122" i="10"/>
  <c r="CI122" i="10" s="1"/>
  <c r="DG123" i="20"/>
  <c r="DE123" i="20"/>
  <c r="DA123" i="20"/>
  <c r="DD123" i="20"/>
  <c r="DF123" i="20"/>
  <c r="DC123" i="20"/>
  <c r="DB123" i="20"/>
  <c r="AP124" i="2"/>
  <c r="AN122" i="2"/>
  <c r="AM123" i="2"/>
  <c r="CM130" i="10"/>
  <c r="AH130" i="10" s="1"/>
  <c r="AL124" i="2"/>
  <c r="CR130" i="10"/>
  <c r="AE130" i="10" s="1"/>
  <c r="CI130" i="10"/>
  <c r="AB128" i="10"/>
  <c r="AH128" i="10"/>
  <c r="AJ125" i="2"/>
  <c r="AJ122" i="2"/>
  <c r="AO122" i="2"/>
  <c r="AN123" i="2"/>
  <c r="AM124" i="2"/>
  <c r="AL125" i="2"/>
  <c r="AP125" i="2"/>
  <c r="CK129" i="10"/>
  <c r="CL129" i="10" s="1"/>
  <c r="CS129" i="10" s="1"/>
  <c r="CI129" i="10"/>
  <c r="CT130" i="10"/>
  <c r="AO125" i="2"/>
  <c r="AJ123" i="2"/>
  <c r="AL122" i="2"/>
  <c r="AP122" i="2"/>
  <c r="AO123" i="2"/>
  <c r="AN124" i="2"/>
  <c r="AM125" i="2"/>
  <c r="CI132" i="10"/>
  <c r="CK132" i="10"/>
  <c r="CL132" i="10" s="1"/>
  <c r="CM132" i="10" s="1"/>
  <c r="CI131" i="10"/>
  <c r="CK131" i="10"/>
  <c r="CL131" i="10" s="1"/>
  <c r="AJ124" i="2"/>
  <c r="AM122" i="2"/>
  <c r="AL123" i="2"/>
  <c r="AP123" i="2"/>
  <c r="AO124" i="2"/>
  <c r="AN125" i="2"/>
  <c r="CS130" i="10"/>
  <c r="Q60" i="3"/>
  <c r="M60" i="3"/>
  <c r="P60" i="3"/>
  <c r="L66" i="3"/>
  <c r="L65" i="3" s="1"/>
  <c r="L60" i="3"/>
  <c r="L101" i="40" l="1"/>
  <c r="M101" i="40"/>
  <c r="M99" i="40"/>
  <c r="L99" i="40"/>
  <c r="M102" i="40"/>
  <c r="L102" i="40"/>
  <c r="L100" i="40"/>
  <c r="M100" i="40"/>
  <c r="O128" i="28"/>
  <c r="L121" i="2"/>
  <c r="K120" i="28"/>
  <c r="K119" i="28" s="1"/>
  <c r="Z119" i="28"/>
  <c r="U119" i="28"/>
  <c r="AE119" i="28"/>
  <c r="P119" i="28"/>
  <c r="AM121" i="2"/>
  <c r="E22" i="19" s="1"/>
  <c r="AO121" i="2"/>
  <c r="AP121" i="2"/>
  <c r="H22" i="19" s="1"/>
  <c r="AL121" i="2"/>
  <c r="D22" i="19" s="1"/>
  <c r="AN121" i="2"/>
  <c r="F22" i="19" s="1"/>
  <c r="CI124" i="10"/>
  <c r="CK121" i="10"/>
  <c r="CL121" i="10" s="1"/>
  <c r="Y130" i="10"/>
  <c r="AB130" i="10"/>
  <c r="G22" i="19"/>
  <c r="AH132" i="10"/>
  <c r="AB132" i="10"/>
  <c r="CT131" i="10"/>
  <c r="CR131" i="10"/>
  <c r="CS131" i="10"/>
  <c r="CM131" i="10"/>
  <c r="AD129" i="10"/>
  <c r="X129" i="10"/>
  <c r="CT132" i="10"/>
  <c r="CS132" i="10"/>
  <c r="CR132" i="10"/>
  <c r="AF130" i="10"/>
  <c r="Z130" i="10"/>
  <c r="AD130" i="10"/>
  <c r="X130" i="10"/>
  <c r="CT129" i="10"/>
  <c r="CM129" i="10"/>
  <c r="CR129" i="10"/>
  <c r="A83" i="28"/>
  <c r="A84" i="28"/>
  <c r="A82" i="28"/>
  <c r="AB78" i="27"/>
  <c r="X78" i="27"/>
  <c r="T78" i="27"/>
  <c r="AF78" i="27"/>
  <c r="AD84" i="27"/>
  <c r="Z84" i="27"/>
  <c r="V84" i="27"/>
  <c r="C84" i="27"/>
  <c r="C83" i="28" s="1"/>
  <c r="A84" i="27"/>
  <c r="AD83" i="27"/>
  <c r="Z83" i="27"/>
  <c r="V83" i="27"/>
  <c r="C83" i="27"/>
  <c r="C82" i="28" s="1"/>
  <c r="A83" i="27"/>
  <c r="C84" i="26"/>
  <c r="A84" i="26"/>
  <c r="C83" i="26"/>
  <c r="A83" i="26"/>
  <c r="U85" i="25"/>
  <c r="T85" i="25"/>
  <c r="S85" i="25"/>
  <c r="Q85" i="25"/>
  <c r="P85" i="25"/>
  <c r="R85" i="25" s="1"/>
  <c r="O85" i="25"/>
  <c r="N85" i="25"/>
  <c r="M85" i="25"/>
  <c r="L85" i="25"/>
  <c r="K85" i="25"/>
  <c r="C85" i="25"/>
  <c r="A85" i="25"/>
  <c r="U84" i="25"/>
  <c r="T84" i="25"/>
  <c r="S84" i="25"/>
  <c r="Q84" i="25"/>
  <c r="P84" i="25"/>
  <c r="R84" i="25" s="1"/>
  <c r="O84" i="25"/>
  <c r="N84" i="25"/>
  <c r="M84" i="25"/>
  <c r="L84" i="25"/>
  <c r="K84" i="25"/>
  <c r="C84" i="25"/>
  <c r="A84" i="25"/>
  <c r="P84" i="24"/>
  <c r="O84" i="24"/>
  <c r="N84" i="24"/>
  <c r="M84" i="24"/>
  <c r="L84" i="24"/>
  <c r="K84" i="24"/>
  <c r="C84" i="24"/>
  <c r="A84" i="24"/>
  <c r="P83" i="24"/>
  <c r="O83" i="24"/>
  <c r="N83" i="24"/>
  <c r="M83" i="24"/>
  <c r="L83" i="24"/>
  <c r="K83" i="24"/>
  <c r="C83" i="24"/>
  <c r="A83" i="24"/>
  <c r="A84" i="23"/>
  <c r="A83" i="23"/>
  <c r="K38" i="7"/>
  <c r="O34" i="7"/>
  <c r="N34" i="7"/>
  <c r="M34" i="7"/>
  <c r="L34" i="7"/>
  <c r="P34" i="7"/>
  <c r="AQ119" i="28" l="1"/>
  <c r="AC130" i="10"/>
  <c r="AD132" i="10"/>
  <c r="X132" i="10"/>
  <c r="AH129" i="10"/>
  <c r="AB129" i="10"/>
  <c r="AF132" i="10"/>
  <c r="Z132" i="10"/>
  <c r="AD131" i="10"/>
  <c r="X131" i="10"/>
  <c r="Y129" i="10"/>
  <c r="AE129" i="10"/>
  <c r="Z129" i="10"/>
  <c r="AF129" i="10"/>
  <c r="Y131" i="10"/>
  <c r="AE131" i="10"/>
  <c r="AH131" i="10"/>
  <c r="AB131" i="10"/>
  <c r="W130" i="10"/>
  <c r="Y132" i="10"/>
  <c r="AE132" i="10"/>
  <c r="Z131" i="10"/>
  <c r="AF131" i="10"/>
  <c r="W129" i="10" l="1"/>
  <c r="W131" i="10"/>
  <c r="AC131" i="10"/>
  <c r="AC129" i="10"/>
  <c r="W132" i="10"/>
  <c r="AC132" i="10"/>
  <c r="C85" i="20"/>
  <c r="B85" i="20"/>
  <c r="A85" i="20"/>
  <c r="C84" i="20"/>
  <c r="B84" i="20"/>
  <c r="A84" i="20"/>
  <c r="K37" i="7"/>
  <c r="C88" i="21" l="1"/>
  <c r="D88" i="21" s="1"/>
  <c r="B83" i="11"/>
  <c r="A83" i="11"/>
  <c r="B82" i="11"/>
  <c r="A82" i="11"/>
  <c r="B38" i="7" l="1"/>
  <c r="A38" i="7"/>
  <c r="B37" i="7"/>
  <c r="A37" i="7"/>
  <c r="AK85" i="2"/>
  <c r="AI85" i="2"/>
  <c r="AH85" i="2"/>
  <c r="R84" i="24" s="1"/>
  <c r="AG85" i="2"/>
  <c r="AD84" i="23" s="1"/>
  <c r="AF85" i="2"/>
  <c r="AD85" i="2"/>
  <c r="AC85" i="2"/>
  <c r="AA85" i="2"/>
  <c r="AJ83" i="28" s="1"/>
  <c r="AN83" i="28" s="1"/>
  <c r="Y85" i="2"/>
  <c r="Z85" i="2" s="1"/>
  <c r="X85" i="2"/>
  <c r="AE83" i="28" s="1"/>
  <c r="AI83" i="28" s="1"/>
  <c r="V85" i="2"/>
  <c r="W85" i="2" s="1"/>
  <c r="U85" i="2"/>
  <c r="Z83" i="28" s="1"/>
  <c r="AD83" i="28" s="1"/>
  <c r="S85" i="2"/>
  <c r="T85" i="2" s="1"/>
  <c r="R85" i="2"/>
  <c r="U83" i="28" s="1"/>
  <c r="Y83" i="28" s="1"/>
  <c r="P85" i="2"/>
  <c r="O85" i="2"/>
  <c r="P83" i="28" s="1"/>
  <c r="T83" i="28" s="1"/>
  <c r="M85" i="2"/>
  <c r="L85" i="2"/>
  <c r="K83" i="28" s="1"/>
  <c r="O83" i="28" s="1"/>
  <c r="AK84" i="2"/>
  <c r="CH83" i="10" s="1"/>
  <c r="AI84" i="2"/>
  <c r="AH84" i="2"/>
  <c r="R83" i="24" s="1"/>
  <c r="AG84" i="2"/>
  <c r="AD83" i="23" s="1"/>
  <c r="AF84" i="2"/>
  <c r="AC84" i="2"/>
  <c r="AA84" i="2"/>
  <c r="AJ82" i="28" s="1"/>
  <c r="AN82" i="28" s="1"/>
  <c r="X84" i="2"/>
  <c r="AE82" i="28" s="1"/>
  <c r="AI82" i="28" s="1"/>
  <c r="U84" i="2"/>
  <c r="Z82" i="28" s="1"/>
  <c r="AD82" i="28" s="1"/>
  <c r="R84" i="2"/>
  <c r="U82" i="28" s="1"/>
  <c r="Y82" i="28" s="1"/>
  <c r="O84" i="2"/>
  <c r="P82" i="28" s="1"/>
  <c r="T82" i="28" s="1"/>
  <c r="L84" i="2"/>
  <c r="K82" i="28" s="1"/>
  <c r="O82" i="28" s="1"/>
  <c r="K85" i="20"/>
  <c r="J85" i="2"/>
  <c r="I85" i="38" s="1"/>
  <c r="I85" i="2"/>
  <c r="H85" i="38" s="1"/>
  <c r="H85" i="2"/>
  <c r="G85" i="2"/>
  <c r="F85" i="38" s="1"/>
  <c r="F85" i="2"/>
  <c r="E85" i="38" s="1"/>
  <c r="E85" i="2"/>
  <c r="D85" i="38" s="1"/>
  <c r="D85" i="2"/>
  <c r="K84" i="20"/>
  <c r="J84" i="2"/>
  <c r="I84" i="38" s="1"/>
  <c r="I84" i="2"/>
  <c r="H84" i="38" s="1"/>
  <c r="H84" i="2"/>
  <c r="G84" i="2"/>
  <c r="F84" i="38" s="1"/>
  <c r="F84" i="2"/>
  <c r="E84" i="38" s="1"/>
  <c r="E84" i="2"/>
  <c r="D84" i="38" s="1"/>
  <c r="D84" i="2"/>
  <c r="C84" i="38" s="1"/>
  <c r="G85" i="38" l="1"/>
  <c r="C63" i="40"/>
  <c r="B63" i="41" s="1"/>
  <c r="G84" i="38"/>
  <c r="C62" i="40"/>
  <c r="B62" i="41" s="1"/>
  <c r="M84" i="38"/>
  <c r="T83" i="23"/>
  <c r="Q85" i="2"/>
  <c r="L84" i="38"/>
  <c r="Q83" i="23"/>
  <c r="M85" i="38"/>
  <c r="T84" i="23"/>
  <c r="AS84" i="10"/>
  <c r="AH84" i="10" s="1"/>
  <c r="O85" i="38"/>
  <c r="Z84" i="23"/>
  <c r="B84" i="10"/>
  <c r="C85" i="38"/>
  <c r="AI83" i="10"/>
  <c r="W83" i="10" s="1"/>
  <c r="J84" i="38"/>
  <c r="K83" i="23"/>
  <c r="N84" i="38"/>
  <c r="W83" i="23"/>
  <c r="AI84" i="10"/>
  <c r="AC84" i="10" s="1"/>
  <c r="J85" i="38"/>
  <c r="K84" i="23"/>
  <c r="L85" i="38"/>
  <c r="Q84" i="23"/>
  <c r="N85" i="38"/>
  <c r="W84" i="23"/>
  <c r="AE85" i="2"/>
  <c r="K85" i="38"/>
  <c r="N84" i="23"/>
  <c r="AK83" i="10"/>
  <c r="X83" i="10" s="1"/>
  <c r="K84" i="38"/>
  <c r="N83" i="23"/>
  <c r="AS83" i="10"/>
  <c r="AB83" i="10" s="1"/>
  <c r="O84" i="38"/>
  <c r="Z83" i="23"/>
  <c r="N85" i="2"/>
  <c r="CG84" i="10"/>
  <c r="AP85" i="2"/>
  <c r="AL85" i="2"/>
  <c r="AO85" i="2"/>
  <c r="AN85" i="2"/>
  <c r="AM85" i="2"/>
  <c r="CG83" i="10"/>
  <c r="AM84" i="2"/>
  <c r="AN84" i="2"/>
  <c r="AP84" i="2"/>
  <c r="AL84" i="2"/>
  <c r="AO84" i="2"/>
  <c r="O84" i="27"/>
  <c r="Q84" i="27" s="1"/>
  <c r="AK84" i="10"/>
  <c r="AD84" i="10" s="1"/>
  <c r="W84" i="27"/>
  <c r="Y84" i="27" s="1"/>
  <c r="AO84" i="10"/>
  <c r="AF84" i="10" s="1"/>
  <c r="W83" i="27"/>
  <c r="Y83" i="27" s="1"/>
  <c r="AO83" i="10"/>
  <c r="Z83" i="10" s="1"/>
  <c r="S84" i="27"/>
  <c r="U84" i="27" s="1"/>
  <c r="AM84" i="10"/>
  <c r="AE84" i="10" s="1"/>
  <c r="AA84" i="27"/>
  <c r="AC84" i="27" s="1"/>
  <c r="AQ84" i="10"/>
  <c r="AG84" i="10" s="1"/>
  <c r="S83" i="27"/>
  <c r="U83" i="27" s="1"/>
  <c r="AM83" i="10"/>
  <c r="Y83" i="10" s="1"/>
  <c r="AA83" i="27"/>
  <c r="AC83" i="27" s="1"/>
  <c r="AQ83" i="10"/>
  <c r="AA83" i="10" s="1"/>
  <c r="D84" i="20"/>
  <c r="B83" i="10"/>
  <c r="R84" i="26"/>
  <c r="T84" i="26" s="1"/>
  <c r="CH84" i="10"/>
  <c r="I83" i="24"/>
  <c r="I83" i="26"/>
  <c r="I84" i="25"/>
  <c r="I83" i="23"/>
  <c r="I82" i="28"/>
  <c r="I83" i="27"/>
  <c r="I84" i="20"/>
  <c r="H82" i="11"/>
  <c r="U83" i="24"/>
  <c r="T83" i="24"/>
  <c r="AJ85" i="2"/>
  <c r="W85" i="25"/>
  <c r="D82" i="11"/>
  <c r="E83" i="24"/>
  <c r="E83" i="26"/>
  <c r="E84" i="25"/>
  <c r="E83" i="23"/>
  <c r="E82" i="28"/>
  <c r="E83" i="27"/>
  <c r="E84" i="20"/>
  <c r="E83" i="28"/>
  <c r="E84" i="27"/>
  <c r="E84" i="23"/>
  <c r="E85" i="25"/>
  <c r="E84" i="26"/>
  <c r="E84" i="24"/>
  <c r="I83" i="28"/>
  <c r="I84" i="27"/>
  <c r="I84" i="23"/>
  <c r="I85" i="25"/>
  <c r="I84" i="26"/>
  <c r="I84" i="24"/>
  <c r="I85" i="20"/>
  <c r="H83" i="11"/>
  <c r="R83" i="26"/>
  <c r="T83" i="26" s="1"/>
  <c r="AB84" i="20"/>
  <c r="AD84" i="20"/>
  <c r="Z84" i="20"/>
  <c r="AC84" i="20"/>
  <c r="AE84" i="20"/>
  <c r="AA84" i="20"/>
  <c r="Y84" i="20"/>
  <c r="W83" i="11"/>
  <c r="AE84" i="27"/>
  <c r="AG84" i="23"/>
  <c r="AF84" i="23"/>
  <c r="F83" i="26"/>
  <c r="F84" i="25"/>
  <c r="F82" i="28"/>
  <c r="F83" i="27"/>
  <c r="F83" i="23"/>
  <c r="F83" i="24"/>
  <c r="F84" i="20"/>
  <c r="E82" i="11"/>
  <c r="J83" i="26"/>
  <c r="J84" i="25"/>
  <c r="J82" i="28"/>
  <c r="J83" i="27"/>
  <c r="J83" i="23"/>
  <c r="J83" i="24"/>
  <c r="J84" i="20"/>
  <c r="I82" i="11"/>
  <c r="F84" i="26"/>
  <c r="F85" i="25"/>
  <c r="F84" i="24"/>
  <c r="F84" i="23"/>
  <c r="F83" i="28"/>
  <c r="F84" i="27"/>
  <c r="F85" i="20"/>
  <c r="E83" i="11"/>
  <c r="J84" i="26"/>
  <c r="J85" i="25"/>
  <c r="J84" i="24"/>
  <c r="J84" i="23"/>
  <c r="J83" i="28"/>
  <c r="J84" i="27"/>
  <c r="J85" i="20"/>
  <c r="I83" i="11"/>
  <c r="AE83" i="27"/>
  <c r="W82" i="11"/>
  <c r="AG83" i="23"/>
  <c r="AF83" i="23"/>
  <c r="V83" i="11"/>
  <c r="K84" i="27"/>
  <c r="U84" i="24"/>
  <c r="T84" i="24"/>
  <c r="G84" i="25"/>
  <c r="G83" i="23"/>
  <c r="G82" i="28"/>
  <c r="G83" i="27"/>
  <c r="G83" i="24"/>
  <c r="G83" i="26"/>
  <c r="G84" i="20"/>
  <c r="F82" i="11"/>
  <c r="G84" i="24"/>
  <c r="G83" i="28"/>
  <c r="G84" i="27"/>
  <c r="G84" i="23"/>
  <c r="G85" i="25"/>
  <c r="G84" i="26"/>
  <c r="G85" i="20"/>
  <c r="F83" i="11"/>
  <c r="C82" i="11"/>
  <c r="D82" i="28"/>
  <c r="D83" i="27"/>
  <c r="D83" i="23"/>
  <c r="D83" i="24"/>
  <c r="D83" i="26"/>
  <c r="D84" i="25"/>
  <c r="H82" i="28"/>
  <c r="H83" i="27"/>
  <c r="H83" i="23"/>
  <c r="H83" i="24"/>
  <c r="H83" i="26"/>
  <c r="H84" i="25"/>
  <c r="H84" i="20"/>
  <c r="G82" i="11"/>
  <c r="D84" i="23"/>
  <c r="D83" i="28"/>
  <c r="D84" i="27"/>
  <c r="D84" i="26"/>
  <c r="D85" i="25"/>
  <c r="D84" i="24"/>
  <c r="H84" i="23"/>
  <c r="H83" i="28"/>
  <c r="H84" i="27"/>
  <c r="H84" i="26"/>
  <c r="H85" i="25"/>
  <c r="H84" i="24"/>
  <c r="H85" i="20"/>
  <c r="G83" i="11"/>
  <c r="K83" i="27"/>
  <c r="V82" i="11"/>
  <c r="AJ84" i="2"/>
  <c r="W84" i="25"/>
  <c r="O83" i="27"/>
  <c r="R84" i="27"/>
  <c r="AB85" i="20"/>
  <c r="Y85" i="20"/>
  <c r="AE85" i="20"/>
  <c r="AA85" i="20"/>
  <c r="AD85" i="20"/>
  <c r="Z85" i="20"/>
  <c r="AC85" i="20"/>
  <c r="E85" i="20"/>
  <c r="D83" i="11"/>
  <c r="D85" i="20"/>
  <c r="C83" i="11"/>
  <c r="J91" i="10"/>
  <c r="I91" i="10"/>
  <c r="H91" i="10"/>
  <c r="G91" i="10"/>
  <c r="F91" i="10"/>
  <c r="E91" i="10"/>
  <c r="D91" i="10"/>
  <c r="C91" i="10"/>
  <c r="A98" i="10"/>
  <c r="Z85" i="25" l="1"/>
  <c r="Y85" i="25"/>
  <c r="N83" i="27"/>
  <c r="M83" i="27"/>
  <c r="AH83" i="27"/>
  <c r="AG83" i="27"/>
  <c r="AH84" i="27"/>
  <c r="AG84" i="27"/>
  <c r="Y84" i="25"/>
  <c r="Z84" i="25"/>
  <c r="N84" i="27"/>
  <c r="M84" i="27"/>
  <c r="Q83" i="27"/>
  <c r="R83" i="27"/>
  <c r="K61" i="7"/>
  <c r="U81" i="2" l="1"/>
  <c r="M81" i="38" l="1"/>
  <c r="Z79" i="28"/>
  <c r="AO69" i="20"/>
  <c r="O82" i="10" l="1"/>
  <c r="N82" i="10"/>
  <c r="M82" i="10"/>
  <c r="P81" i="10"/>
  <c r="O81" i="10"/>
  <c r="N81" i="10"/>
  <c r="M81" i="10"/>
  <c r="L81" i="10"/>
  <c r="O80" i="10"/>
  <c r="N80" i="10"/>
  <c r="M80" i="10"/>
  <c r="K48" i="10" l="1"/>
  <c r="K46" i="10"/>
  <c r="K81" i="10"/>
  <c r="K47" i="10"/>
  <c r="AC180" i="2" l="1"/>
  <c r="AC179" i="2"/>
  <c r="AC178" i="2"/>
  <c r="AC177" i="2"/>
  <c r="AC176" i="2"/>
  <c r="AC175" i="2"/>
  <c r="AC174" i="2"/>
  <c r="AC171" i="2"/>
  <c r="AC167" i="2"/>
  <c r="AC166" i="2"/>
  <c r="AC165" i="2"/>
  <c r="AC164" i="2"/>
  <c r="AC163" i="2"/>
  <c r="AC162" i="2"/>
  <c r="AC159" i="2"/>
  <c r="AC158" i="2"/>
  <c r="AC157" i="2"/>
  <c r="AC156" i="2"/>
  <c r="AC155" i="2"/>
  <c r="AC153" i="2"/>
  <c r="AC152" i="2"/>
  <c r="AC151" i="2"/>
  <c r="AC150" i="2"/>
  <c r="AC149" i="2"/>
  <c r="AC146" i="2"/>
  <c r="AC145" i="2"/>
  <c r="AC144" i="2"/>
  <c r="AC143" i="2"/>
  <c r="AC142" i="2"/>
  <c r="AC140" i="2"/>
  <c r="AC139" i="2"/>
  <c r="AC138" i="2"/>
  <c r="AC137" i="2"/>
  <c r="AC136" i="2"/>
  <c r="AC119" i="2"/>
  <c r="AC118" i="2"/>
  <c r="AC117" i="2"/>
  <c r="AC116" i="2"/>
  <c r="AC115" i="2"/>
  <c r="L82" i="41"/>
  <c r="L83" i="41"/>
  <c r="L81" i="41"/>
  <c r="L84" i="41"/>
  <c r="AC113" i="2"/>
  <c r="AC112" i="2"/>
  <c r="AC111" i="2"/>
  <c r="AC110" i="2"/>
  <c r="AC109" i="2"/>
  <c r="L77" i="41"/>
  <c r="L76" i="41"/>
  <c r="L79" i="41"/>
  <c r="AC107" i="2"/>
  <c r="AC106" i="2"/>
  <c r="AC105" i="2"/>
  <c r="AC104" i="2"/>
  <c r="AC103" i="2"/>
  <c r="AC99" i="2"/>
  <c r="AC98" i="2"/>
  <c r="AC97" i="2"/>
  <c r="AC96" i="2"/>
  <c r="AC95" i="2"/>
  <c r="AC94" i="2"/>
  <c r="AC93" i="2"/>
  <c r="AC91" i="2"/>
  <c r="AC90" i="2"/>
  <c r="AC89" i="2"/>
  <c r="AC88" i="2"/>
  <c r="AC87" i="2"/>
  <c r="AC83" i="2"/>
  <c r="AC82" i="2"/>
  <c r="AC81" i="2"/>
  <c r="AC80" i="2"/>
  <c r="AC78" i="2"/>
  <c r="AC77" i="2"/>
  <c r="AC76" i="2"/>
  <c r="AC75" i="2"/>
  <c r="AC72" i="2"/>
  <c r="AC71" i="2"/>
  <c r="AC70" i="2"/>
  <c r="AC69" i="2"/>
  <c r="AC68" i="2"/>
  <c r="AD63" i="2"/>
  <c r="AD64" i="2"/>
  <c r="AD65" i="2"/>
  <c r="AD66" i="2"/>
  <c r="AC66" i="2"/>
  <c r="AC65" i="2"/>
  <c r="AC64" i="2"/>
  <c r="AC63" i="2"/>
  <c r="AC61" i="2"/>
  <c r="AC60" i="2"/>
  <c r="AC59" i="2"/>
  <c r="L42" i="41"/>
  <c r="AC55" i="2"/>
  <c r="AC54" i="2"/>
  <c r="AC53" i="2"/>
  <c r="AC52" i="2"/>
  <c r="AC51" i="2"/>
  <c r="AC49" i="2"/>
  <c r="AC48" i="2"/>
  <c r="AC47" i="2"/>
  <c r="L33" i="41"/>
  <c r="AC45" i="2"/>
  <c r="AC44" i="2"/>
  <c r="AC43" i="2"/>
  <c r="AC42" i="2"/>
  <c r="AC41" i="2"/>
  <c r="AC40" i="2"/>
  <c r="AC38" i="2"/>
  <c r="AC37" i="2"/>
  <c r="AC36" i="2"/>
  <c r="AC35" i="2"/>
  <c r="AC34" i="2"/>
  <c r="AC32" i="2"/>
  <c r="AC31" i="2"/>
  <c r="AC30" i="2"/>
  <c r="AC29" i="2"/>
  <c r="AC28" i="2"/>
  <c r="AC27" i="2"/>
  <c r="AC26" i="2"/>
  <c r="AC25" i="2"/>
  <c r="AC24" i="2"/>
  <c r="AC23" i="2"/>
  <c r="AC22" i="2"/>
  <c r="AC21" i="2"/>
  <c r="AC20" i="2"/>
  <c r="AC19" i="2"/>
  <c r="AC18" i="2"/>
  <c r="AC17" i="2"/>
  <c r="AC16" i="2"/>
  <c r="AC15" i="2"/>
  <c r="AC14" i="2"/>
  <c r="AC13" i="2"/>
  <c r="AC12" i="2"/>
  <c r="AC11" i="2"/>
  <c r="AC10" i="2"/>
  <c r="A43" i="7"/>
  <c r="B43" i="7"/>
  <c r="AF99" i="2"/>
  <c r="AD99" i="2"/>
  <c r="A98" i="23"/>
  <c r="P98" i="24"/>
  <c r="O98" i="24"/>
  <c r="N98" i="24"/>
  <c r="M98" i="24"/>
  <c r="L98" i="24"/>
  <c r="K98" i="24"/>
  <c r="C98" i="24"/>
  <c r="A98" i="24"/>
  <c r="U99" i="25"/>
  <c r="T99" i="25"/>
  <c r="S99" i="25"/>
  <c r="R99" i="25"/>
  <c r="Q99" i="25"/>
  <c r="P99" i="25"/>
  <c r="O99" i="25"/>
  <c r="N99" i="25"/>
  <c r="M99" i="25"/>
  <c r="L99" i="25"/>
  <c r="K99" i="25"/>
  <c r="C99" i="25"/>
  <c r="A99" i="25"/>
  <c r="C98" i="26"/>
  <c r="A98" i="26"/>
  <c r="AH98" i="27"/>
  <c r="AD98" i="27"/>
  <c r="Z98" i="27"/>
  <c r="V98" i="27"/>
  <c r="R98" i="27"/>
  <c r="N98" i="27"/>
  <c r="C98" i="27"/>
  <c r="A98" i="27"/>
  <c r="A97" i="28"/>
  <c r="B97" i="11"/>
  <c r="A97" i="11"/>
  <c r="B99" i="20"/>
  <c r="A99" i="20"/>
  <c r="AK99" i="2"/>
  <c r="AI99" i="2"/>
  <c r="AH99" i="2"/>
  <c r="R98" i="24" s="1"/>
  <c r="U98" i="24" s="1"/>
  <c r="AG99" i="2"/>
  <c r="AD98" i="23" s="1"/>
  <c r="AG98" i="23" s="1"/>
  <c r="AA99" i="2"/>
  <c r="X99" i="2"/>
  <c r="U99" i="2"/>
  <c r="R99" i="2"/>
  <c r="O99" i="2"/>
  <c r="K99" i="20"/>
  <c r="J99" i="2"/>
  <c r="I99" i="2"/>
  <c r="H99" i="2"/>
  <c r="C75" i="40" s="1"/>
  <c r="B75" i="41" s="1"/>
  <c r="G99" i="2"/>
  <c r="F99" i="2"/>
  <c r="E99" i="2"/>
  <c r="D99" i="2"/>
  <c r="C99" i="38" s="1"/>
  <c r="O41" i="7"/>
  <c r="N41" i="7"/>
  <c r="M41" i="7"/>
  <c r="L41" i="7"/>
  <c r="P41" i="7"/>
  <c r="K43" i="7"/>
  <c r="L99" i="2" s="1"/>
  <c r="L160" i="27" l="1"/>
  <c r="L124" i="41"/>
  <c r="C97" i="28"/>
  <c r="J99" i="38"/>
  <c r="K97" i="28"/>
  <c r="O99" i="38"/>
  <c r="AJ97" i="28"/>
  <c r="L99" i="38"/>
  <c r="U97" i="28"/>
  <c r="M99" i="38"/>
  <c r="Z97" i="28"/>
  <c r="N99" i="38"/>
  <c r="AE97" i="28"/>
  <c r="K99" i="38"/>
  <c r="P97" i="28"/>
  <c r="H98" i="24"/>
  <c r="G99" i="38"/>
  <c r="E98" i="23"/>
  <c r="D99" i="38"/>
  <c r="I98" i="23"/>
  <c r="H99" i="38"/>
  <c r="G98" i="27"/>
  <c r="F99" i="38"/>
  <c r="F97" i="28"/>
  <c r="E99" i="38"/>
  <c r="J97" i="28"/>
  <c r="I99" i="38"/>
  <c r="DG99" i="20"/>
  <c r="DE99" i="20"/>
  <c r="DA99" i="20"/>
  <c r="DD99" i="20"/>
  <c r="DF99" i="20"/>
  <c r="DC99" i="20"/>
  <c r="DB99" i="20"/>
  <c r="K98" i="27"/>
  <c r="M98" i="27" s="1"/>
  <c r="AI98" i="10"/>
  <c r="AJ98" i="10" s="1"/>
  <c r="W98" i="10"/>
  <c r="Q98" i="23"/>
  <c r="AM98" i="10"/>
  <c r="AN98" i="10" s="1"/>
  <c r="Y98" i="10"/>
  <c r="D98" i="24"/>
  <c r="B98" i="10"/>
  <c r="W98" i="23"/>
  <c r="AA98" i="10"/>
  <c r="AQ98" i="10"/>
  <c r="AJ99" i="2"/>
  <c r="T98" i="23"/>
  <c r="Z98" i="10"/>
  <c r="AO98" i="10"/>
  <c r="AP98" i="10" s="1"/>
  <c r="X98" i="10"/>
  <c r="AK98" i="10"/>
  <c r="AL98" i="10" s="1"/>
  <c r="W97" i="11"/>
  <c r="AB98" i="10"/>
  <c r="AS98" i="10"/>
  <c r="AT98" i="10" s="1"/>
  <c r="R98" i="26"/>
  <c r="T98" i="26" s="1"/>
  <c r="H99" i="20"/>
  <c r="Z99" i="20"/>
  <c r="BO99" i="20"/>
  <c r="H98" i="27"/>
  <c r="AS99" i="20"/>
  <c r="CJ99" i="20"/>
  <c r="I99" i="20"/>
  <c r="AV99" i="20"/>
  <c r="AC99" i="20"/>
  <c r="BR99" i="20"/>
  <c r="CM99" i="20"/>
  <c r="AN99" i="2"/>
  <c r="H97" i="28"/>
  <c r="I98" i="27"/>
  <c r="D99" i="20"/>
  <c r="AW99" i="20"/>
  <c r="AD99" i="20"/>
  <c r="BS99" i="20"/>
  <c r="D98" i="27"/>
  <c r="E98" i="24"/>
  <c r="G97" i="28"/>
  <c r="E99" i="20"/>
  <c r="Y99" i="20"/>
  <c r="BN99" i="20"/>
  <c r="CI99" i="20"/>
  <c r="D97" i="28"/>
  <c r="E98" i="27"/>
  <c r="O98" i="27"/>
  <c r="Q98" i="27" s="1"/>
  <c r="AA98" i="27"/>
  <c r="AC98" i="27" s="1"/>
  <c r="W99" i="25"/>
  <c r="Z99" i="25" s="1"/>
  <c r="I98" i="24"/>
  <c r="I97" i="11"/>
  <c r="F97" i="11"/>
  <c r="J97" i="11"/>
  <c r="W98" i="27"/>
  <c r="Y98" i="27" s="1"/>
  <c r="G98" i="26"/>
  <c r="G99" i="25"/>
  <c r="F98" i="24"/>
  <c r="J98" i="24"/>
  <c r="F99" i="20"/>
  <c r="J99" i="20"/>
  <c r="AT99" i="20"/>
  <c r="AX99" i="20"/>
  <c r="AA99" i="20"/>
  <c r="AE99" i="20"/>
  <c r="BP99" i="20"/>
  <c r="CG99" i="20"/>
  <c r="CK99" i="20"/>
  <c r="C97" i="11"/>
  <c r="G97" i="11"/>
  <c r="V97" i="11"/>
  <c r="AL99" i="2"/>
  <c r="E97" i="28"/>
  <c r="I97" i="28"/>
  <c r="F98" i="27"/>
  <c r="J98" i="27"/>
  <c r="AE98" i="27"/>
  <c r="AG98" i="27" s="1"/>
  <c r="D98" i="26"/>
  <c r="H98" i="26"/>
  <c r="D99" i="25"/>
  <c r="H99" i="25"/>
  <c r="G98" i="24"/>
  <c r="D98" i="23"/>
  <c r="H98" i="23"/>
  <c r="Z98" i="23"/>
  <c r="E97" i="11"/>
  <c r="F98" i="26"/>
  <c r="J98" i="26"/>
  <c r="F99" i="25"/>
  <c r="J99" i="25"/>
  <c r="F98" i="23"/>
  <c r="J98" i="23"/>
  <c r="AP99" i="2"/>
  <c r="G98" i="23"/>
  <c r="K98" i="23"/>
  <c r="G99" i="20"/>
  <c r="AU99" i="20"/>
  <c r="AY99" i="20"/>
  <c r="AB99" i="20"/>
  <c r="BM99" i="20"/>
  <c r="BQ99" i="20"/>
  <c r="CH99" i="20"/>
  <c r="CL99" i="20"/>
  <c r="D97" i="11"/>
  <c r="H97" i="11"/>
  <c r="AM99" i="2"/>
  <c r="S98" i="27"/>
  <c r="U98" i="27" s="1"/>
  <c r="E98" i="26"/>
  <c r="I98" i="26"/>
  <c r="E99" i="25"/>
  <c r="I99" i="25"/>
  <c r="AF98" i="23"/>
  <c r="AO99" i="2"/>
  <c r="AE99" i="2"/>
  <c r="T75" i="41" l="1"/>
  <c r="S75" i="41"/>
  <c r="Q97" i="28"/>
  <c r="T97" i="28" s="1"/>
  <c r="V97" i="28"/>
  <c r="Y97" i="28" s="1"/>
  <c r="AK97" i="28"/>
  <c r="AA97" i="28"/>
  <c r="AD97" i="28" s="1"/>
  <c r="AF97" i="28"/>
  <c r="AH97" i="28" s="1"/>
  <c r="A47" i="7"/>
  <c r="A49" i="7"/>
  <c r="A51" i="7"/>
  <c r="R75" i="41" l="1"/>
  <c r="I75" i="40"/>
  <c r="AM97" i="28"/>
  <c r="L97" i="28"/>
  <c r="S97" i="28"/>
  <c r="AN97" i="28"/>
  <c r="AI97" i="28"/>
  <c r="AR104" i="20"/>
  <c r="M75" i="40" l="1"/>
  <c r="L75" i="40"/>
  <c r="N97" i="28"/>
  <c r="O97" i="28"/>
  <c r="CF55" i="20"/>
  <c r="BL55" i="20"/>
  <c r="C10" i="25" l="1"/>
  <c r="B78" i="9" l="1"/>
  <c r="B77" i="9"/>
  <c r="B74" i="9"/>
  <c r="A74" i="9"/>
  <c r="B70" i="9"/>
  <c r="B67" i="9"/>
  <c r="B65" i="9"/>
  <c r="C142" i="2"/>
  <c r="C143" i="2"/>
  <c r="C59" i="3" s="1"/>
  <c r="C144" i="2"/>
  <c r="C145" i="2"/>
  <c r="C146" i="2"/>
  <c r="C62" i="9" s="1"/>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B50" i="8" l="1"/>
  <c r="AB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B76" i="7"/>
  <c r="B51" i="7"/>
  <c r="B49" i="7"/>
  <c r="B47" i="7"/>
  <c r="B42" i="7"/>
  <c r="B40" i="7"/>
  <c r="B36" i="7"/>
  <c r="B35" i="7"/>
  <c r="B33" i="7"/>
  <c r="B30" i="7"/>
  <c r="B28" i="7"/>
  <c r="B26" i="7"/>
  <c r="B25" i="7"/>
  <c r="B24" i="7"/>
  <c r="B20" i="7"/>
  <c r="B18" i="7"/>
  <c r="B14" i="7"/>
  <c r="B13" i="7"/>
  <c r="B3" i="7"/>
  <c r="B11" i="7"/>
  <c r="B10" i="7"/>
  <c r="B9" i="7"/>
  <c r="B8" i="7"/>
  <c r="AK163" i="2" l="1"/>
  <c r="CH162" i="10" s="1"/>
  <c r="AK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K63" i="2"/>
  <c r="R62" i="26" s="1"/>
  <c r="N47" i="41" s="1"/>
  <c r="AK51" i="2"/>
  <c r="AK52" i="2"/>
  <c r="AK53" i="2"/>
  <c r="AK54" i="2"/>
  <c r="AK55" i="2"/>
  <c r="AK11" i="2"/>
  <c r="R10" i="26" s="1"/>
  <c r="AK13" i="2"/>
  <c r="R12" i="26" s="1"/>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V121" i="20" l="1"/>
  <c r="AS121" i="20"/>
  <c r="AA121" i="20"/>
  <c r="G45" i="21" s="1"/>
  <c r="AU121" i="20"/>
  <c r="AX121" i="20"/>
  <c r="AC121" i="20"/>
  <c r="I45" i="21" s="1"/>
  <c r="AW121" i="20"/>
  <c r="AE121" i="20"/>
  <c r="K45" i="21" s="1"/>
  <c r="AY121" i="20"/>
  <c r="AD121" i="20"/>
  <c r="J45" i="21" s="1"/>
  <c r="AB121" i="20"/>
  <c r="H45" i="21" s="1"/>
  <c r="Z121" i="20"/>
  <c r="F45" i="21" s="1"/>
  <c r="AT121" i="20"/>
  <c r="Y121" i="20"/>
  <c r="E45" i="21" s="1"/>
  <c r="CH54" i="10"/>
  <c r="DG55" i="20"/>
  <c r="DF55" i="20"/>
  <c r="DB55" i="20"/>
  <c r="DC55" i="20"/>
  <c r="DD55" i="20"/>
  <c r="DA55" i="20"/>
  <c r="DE55" i="20"/>
  <c r="CH50" i="10"/>
  <c r="AD51" i="10" s="1"/>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BS13" i="20"/>
  <c r="CH12" i="10"/>
  <c r="BQ11" i="20"/>
  <c r="CH1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A139" i="28"/>
  <c r="A133" i="28"/>
  <c r="A34" i="24"/>
  <c r="E98" i="21" l="1"/>
  <c r="L45" i="21"/>
  <c r="L98" i="21" s="1"/>
  <c r="AD50" i="10"/>
  <c r="AE50" i="10"/>
  <c r="AG51" i="10"/>
  <c r="AG50" i="10"/>
  <c r="AE51" i="10"/>
  <c r="AG54" i="10"/>
  <c r="F98" i="21"/>
  <c r="G98" i="21" s="1"/>
  <c r="H98" i="21" s="1"/>
  <c r="I98" i="21" s="1"/>
  <c r="J98" i="21" s="1"/>
  <c r="K98" i="21" s="1"/>
  <c r="T140" i="26"/>
  <c r="T134" i="26"/>
  <c r="C179" i="27"/>
  <c r="C174" i="27"/>
  <c r="C166" i="27"/>
  <c r="C141" i="27"/>
  <c r="C140" i="28" s="1"/>
  <c r="C128" i="27"/>
  <c r="C127" i="27"/>
  <c r="C126" i="27"/>
  <c r="C125" i="27"/>
  <c r="C124" i="27"/>
  <c r="C123" i="27"/>
  <c r="C122" i="27"/>
  <c r="C121" i="27"/>
  <c r="C96" i="27"/>
  <c r="C95" i="28" s="1"/>
  <c r="C94" i="27"/>
  <c r="C93" i="28" s="1"/>
  <c r="C90" i="27"/>
  <c r="C81" i="27"/>
  <c r="C80" i="28" s="1"/>
  <c r="C79" i="27"/>
  <c r="C77" i="27"/>
  <c r="C76" i="28" s="1"/>
  <c r="C76" i="27"/>
  <c r="C75" i="28" s="1"/>
  <c r="C75" i="27"/>
  <c r="C74" i="27"/>
  <c r="C70" i="27"/>
  <c r="C60" i="27"/>
  <c r="C44" i="27"/>
  <c r="C43" i="27"/>
  <c r="C35" i="27"/>
  <c r="C31" i="27"/>
  <c r="C30" i="27"/>
  <c r="C27" i="27"/>
  <c r="C23" i="27"/>
  <c r="C20" i="27"/>
  <c r="C15" i="27"/>
  <c r="C9" i="27"/>
  <c r="S16" i="2"/>
  <c r="C178" i="28" l="1"/>
  <c r="C137" i="41"/>
  <c r="C173" i="28"/>
  <c r="C132" i="41"/>
  <c r="C165" i="28"/>
  <c r="C129" i="41"/>
  <c r="V140" i="28"/>
  <c r="AA140" i="28"/>
  <c r="AK140" i="28"/>
  <c r="Q140" i="28"/>
  <c r="AF140" i="28"/>
  <c r="C126" i="28"/>
  <c r="C97" i="41"/>
  <c r="C125" i="28"/>
  <c r="C96" i="41"/>
  <c r="C127" i="28"/>
  <c r="C98" i="41"/>
  <c r="C124" i="28"/>
  <c r="C95" i="41"/>
  <c r="AF95" i="28"/>
  <c r="AH95" i="28" s="1"/>
  <c r="AA95" i="28"/>
  <c r="V95" i="28"/>
  <c r="Q95" i="28"/>
  <c r="AK95" i="28"/>
  <c r="Q93" i="28"/>
  <c r="V93" i="28"/>
  <c r="AK93" i="28"/>
  <c r="AF93" i="28"/>
  <c r="AH93" i="28" s="1"/>
  <c r="AA93" i="28"/>
  <c r="C89" i="28"/>
  <c r="C68" i="41"/>
  <c r="C78" i="28"/>
  <c r="C60" i="41"/>
  <c r="Q76" i="28"/>
  <c r="V76" i="28"/>
  <c r="AA76" i="28"/>
  <c r="AK76" i="28"/>
  <c r="I59" i="40" s="1"/>
  <c r="AF76" i="28"/>
  <c r="C73" i="28"/>
  <c r="C56" i="41"/>
  <c r="AF75" i="28"/>
  <c r="Q75" i="28"/>
  <c r="V75" i="28"/>
  <c r="AA75" i="28"/>
  <c r="AK75" i="28"/>
  <c r="C74" i="28"/>
  <c r="C57" i="41"/>
  <c r="C123" i="28"/>
  <c r="C121" i="28"/>
  <c r="C122" i="28"/>
  <c r="C120" i="28"/>
  <c r="C8" i="28"/>
  <c r="C2" i="41"/>
  <c r="C22" i="28"/>
  <c r="C34" i="28"/>
  <c r="C27" i="41"/>
  <c r="C69" i="28"/>
  <c r="C26" i="28"/>
  <c r="C20" i="41"/>
  <c r="C42" i="28"/>
  <c r="C14" i="28"/>
  <c r="C8" i="41"/>
  <c r="C29" i="28"/>
  <c r="C43" i="28"/>
  <c r="C19" i="28"/>
  <c r="C13" i="41"/>
  <c r="C30" i="28"/>
  <c r="C24" i="41"/>
  <c r="C59" i="28"/>
  <c r="C46" i="41"/>
  <c r="C31" i="26"/>
  <c r="C30" i="26"/>
  <c r="C29" i="26"/>
  <c r="C28" i="26"/>
  <c r="C27" i="26"/>
  <c r="C26" i="26"/>
  <c r="C25" i="26"/>
  <c r="C24" i="26"/>
  <c r="C23" i="26"/>
  <c r="C22" i="26"/>
  <c r="C21" i="26"/>
  <c r="C20" i="26"/>
  <c r="C19" i="26"/>
  <c r="C18" i="26"/>
  <c r="C17" i="26"/>
  <c r="C16" i="26"/>
  <c r="C15" i="26"/>
  <c r="C14" i="26"/>
  <c r="C13" i="26"/>
  <c r="C12" i="26"/>
  <c r="C11" i="26"/>
  <c r="C10" i="26"/>
  <c r="C9" i="26"/>
  <c r="C38" i="25"/>
  <c r="C37" i="27" s="1"/>
  <c r="C37" i="25"/>
  <c r="C36" i="27" s="1"/>
  <c r="C36" i="25"/>
  <c r="C35" i="25"/>
  <c r="C34" i="27" s="1"/>
  <c r="C34" i="25"/>
  <c r="C33" i="27" s="1"/>
  <c r="C37" i="26"/>
  <c r="C36" i="26"/>
  <c r="C35" i="26"/>
  <c r="C34" i="26"/>
  <c r="C33" i="26"/>
  <c r="C32" i="25"/>
  <c r="C31" i="25"/>
  <c r="C30" i="25"/>
  <c r="C29" i="27" s="1"/>
  <c r="C29" i="25"/>
  <c r="C28" i="27" s="1"/>
  <c r="C28" i="25"/>
  <c r="C27" i="25"/>
  <c r="C26" i="27" s="1"/>
  <c r="C26" i="25"/>
  <c r="C25" i="27" s="1"/>
  <c r="C25" i="25"/>
  <c r="C24" i="27" s="1"/>
  <c r="C24" i="25"/>
  <c r="C23" i="25"/>
  <c r="C22" i="27" s="1"/>
  <c r="C22" i="25"/>
  <c r="C21" i="27" s="1"/>
  <c r="C21" i="25"/>
  <c r="C20" i="25"/>
  <c r="C19" i="27" s="1"/>
  <c r="C19" i="25"/>
  <c r="C18" i="27" s="1"/>
  <c r="C18" i="25"/>
  <c r="C17" i="27" s="1"/>
  <c r="C17" i="25"/>
  <c r="C16" i="27" s="1"/>
  <c r="C16" i="25"/>
  <c r="C15" i="25"/>
  <c r="C14" i="27" s="1"/>
  <c r="C14" i="25"/>
  <c r="C13" i="27" s="1"/>
  <c r="C13" i="25"/>
  <c r="C12" i="27" s="1"/>
  <c r="C12" i="25"/>
  <c r="C11" i="27" s="1"/>
  <c r="C11" i="25"/>
  <c r="C10" i="27" s="1"/>
  <c r="C31" i="24"/>
  <c r="C30" i="24"/>
  <c r="C29" i="24"/>
  <c r="C28" i="24"/>
  <c r="C27" i="24"/>
  <c r="C26" i="24"/>
  <c r="C25" i="24"/>
  <c r="C24" i="24"/>
  <c r="C23" i="24"/>
  <c r="C22" i="24"/>
  <c r="C21" i="24"/>
  <c r="C20" i="24"/>
  <c r="C19" i="24"/>
  <c r="C18" i="24"/>
  <c r="C17" i="24"/>
  <c r="C16" i="24"/>
  <c r="C15" i="24"/>
  <c r="C14" i="24"/>
  <c r="C13" i="24"/>
  <c r="C12" i="24"/>
  <c r="C11" i="24"/>
  <c r="C10" i="24"/>
  <c r="C9" i="24"/>
  <c r="M59" i="40" l="1"/>
  <c r="L59" i="40"/>
  <c r="S13" i="41"/>
  <c r="T13" i="41"/>
  <c r="T8" i="41"/>
  <c r="S8" i="41"/>
  <c r="T24" i="41"/>
  <c r="S24" i="41"/>
  <c r="T16" i="41"/>
  <c r="S16" i="41"/>
  <c r="T23" i="41"/>
  <c r="S23" i="41"/>
  <c r="T20" i="41"/>
  <c r="S20" i="41"/>
  <c r="S2" i="41"/>
  <c r="T2" i="41"/>
  <c r="S132" i="41"/>
  <c r="T132" i="41"/>
  <c r="Q173" i="28"/>
  <c r="V173" i="28"/>
  <c r="AK173" i="28"/>
  <c r="AA173" i="28"/>
  <c r="AF173" i="28"/>
  <c r="S137" i="41"/>
  <c r="T137" i="41"/>
  <c r="V178" i="28"/>
  <c r="AK178" i="28"/>
  <c r="AF178" i="28"/>
  <c r="Q178" i="28"/>
  <c r="AA178" i="28"/>
  <c r="T129" i="41"/>
  <c r="S129" i="41"/>
  <c r="AF165" i="28"/>
  <c r="AA165" i="28"/>
  <c r="AK165" i="28"/>
  <c r="Q165" i="28"/>
  <c r="V165" i="28"/>
  <c r="L140" i="28"/>
  <c r="R109" i="41"/>
  <c r="U109" i="41" s="1"/>
  <c r="I109" i="40"/>
  <c r="S96" i="41"/>
  <c r="T96" i="41"/>
  <c r="AF124" i="28"/>
  <c r="AA124" i="28"/>
  <c r="AK124" i="28"/>
  <c r="Q124" i="28"/>
  <c r="V124" i="28"/>
  <c r="Q125" i="28"/>
  <c r="V125" i="28"/>
  <c r="AF125" i="28"/>
  <c r="AA125" i="28"/>
  <c r="AK125" i="28"/>
  <c r="S98" i="41"/>
  <c r="T98" i="41"/>
  <c r="T97" i="41"/>
  <c r="S97" i="41"/>
  <c r="T95" i="41"/>
  <c r="S95" i="41"/>
  <c r="Q127" i="28"/>
  <c r="V127" i="28"/>
  <c r="AA127" i="28"/>
  <c r="AK127" i="28"/>
  <c r="AF127" i="28"/>
  <c r="AA126" i="28"/>
  <c r="AK126" i="28"/>
  <c r="AF126" i="28"/>
  <c r="Q126" i="28"/>
  <c r="V126" i="28"/>
  <c r="L95" i="28"/>
  <c r="N95" i="28" s="1"/>
  <c r="S95" i="28"/>
  <c r="R71" i="41"/>
  <c r="I71" i="40"/>
  <c r="AM93" i="28"/>
  <c r="L93" i="28"/>
  <c r="N93" i="28" s="1"/>
  <c r="S93" i="28"/>
  <c r="R73" i="41"/>
  <c r="I73" i="40"/>
  <c r="AM95" i="28"/>
  <c r="S68" i="41"/>
  <c r="T68" i="41"/>
  <c r="V89" i="28"/>
  <c r="AA89" i="28"/>
  <c r="AK89" i="28"/>
  <c r="Q89" i="28"/>
  <c r="AF89" i="28"/>
  <c r="T60" i="41"/>
  <c r="S60" i="41"/>
  <c r="AF78" i="28"/>
  <c r="V78" i="28"/>
  <c r="Q78" i="28"/>
  <c r="AA78" i="28"/>
  <c r="AK78" i="28"/>
  <c r="S56" i="41"/>
  <c r="T56" i="41"/>
  <c r="R59" i="41"/>
  <c r="I58" i="40"/>
  <c r="T57" i="41"/>
  <c r="S57" i="41"/>
  <c r="Q73" i="28"/>
  <c r="V73" i="28"/>
  <c r="AA73" i="28"/>
  <c r="AK73" i="28"/>
  <c r="AF73" i="28"/>
  <c r="V74" i="28"/>
  <c r="AA74" i="28"/>
  <c r="AK74" i="28"/>
  <c r="AF74" i="28"/>
  <c r="Q74" i="28"/>
  <c r="L75" i="28"/>
  <c r="L76" i="28"/>
  <c r="AA59" i="28"/>
  <c r="AF59" i="28"/>
  <c r="AK59" i="28"/>
  <c r="Q59" i="28"/>
  <c r="V59" i="28"/>
  <c r="S46" i="41"/>
  <c r="T46" i="41"/>
  <c r="V34" i="28"/>
  <c r="Q34" i="28"/>
  <c r="AK34" i="28"/>
  <c r="AF34" i="28"/>
  <c r="T27" i="41"/>
  <c r="S27" i="41"/>
  <c r="S54" i="41"/>
  <c r="T54" i="41"/>
  <c r="V69" i="28"/>
  <c r="AF69" i="28"/>
  <c r="Q69" i="28"/>
  <c r="AA69" i="28"/>
  <c r="S94" i="41"/>
  <c r="T94" i="41"/>
  <c r="Q123" i="28"/>
  <c r="AF123" i="28"/>
  <c r="AK123" i="28"/>
  <c r="AA123" i="28"/>
  <c r="V123" i="28"/>
  <c r="T92" i="41"/>
  <c r="S92" i="41"/>
  <c r="V121" i="28"/>
  <c r="AA121" i="28"/>
  <c r="AF121" i="28"/>
  <c r="Q121" i="28"/>
  <c r="AK121" i="28"/>
  <c r="S93" i="41"/>
  <c r="T93" i="41"/>
  <c r="AF122" i="28"/>
  <c r="Q122" i="28"/>
  <c r="AK122" i="28"/>
  <c r="V122" i="28"/>
  <c r="AA122" i="28"/>
  <c r="S91" i="41"/>
  <c r="T91" i="41"/>
  <c r="Q120" i="28"/>
  <c r="AK120" i="28"/>
  <c r="V120" i="28"/>
  <c r="AF120" i="28"/>
  <c r="AA120" i="28"/>
  <c r="AA43" i="28"/>
  <c r="AF43" i="28"/>
  <c r="AK43" i="28"/>
  <c r="V43" i="28"/>
  <c r="X43" i="28" s="1"/>
  <c r="Q43" i="28"/>
  <c r="S35" i="41"/>
  <c r="T35" i="41"/>
  <c r="S34" i="41"/>
  <c r="T34" i="41"/>
  <c r="AA42" i="28"/>
  <c r="Q42" i="28"/>
  <c r="AF42" i="28"/>
  <c r="V42" i="28"/>
  <c r="AK42" i="28"/>
  <c r="C16" i="28"/>
  <c r="C10" i="41"/>
  <c r="C20" i="28"/>
  <c r="C14" i="41"/>
  <c r="C24" i="28"/>
  <c r="C18" i="41"/>
  <c r="C28" i="28"/>
  <c r="C22" i="41"/>
  <c r="C32" i="28"/>
  <c r="C25" i="41"/>
  <c r="C36" i="28"/>
  <c r="C29" i="41"/>
  <c r="C13" i="28"/>
  <c r="C7" i="41"/>
  <c r="C21" i="28"/>
  <c r="C15" i="41"/>
  <c r="C25" i="28"/>
  <c r="C19" i="41"/>
  <c r="C33" i="28"/>
  <c r="C26" i="41"/>
  <c r="C12" i="28"/>
  <c r="C6" i="41"/>
  <c r="C17" i="28"/>
  <c r="C11" i="41"/>
  <c r="C10" i="28"/>
  <c r="C4" i="41"/>
  <c r="C18" i="28"/>
  <c r="C12" i="41"/>
  <c r="C9" i="28"/>
  <c r="C3" i="41"/>
  <c r="C11" i="28"/>
  <c r="C5" i="41"/>
  <c r="C15" i="28"/>
  <c r="C9" i="41"/>
  <c r="C23" i="28"/>
  <c r="C17" i="41"/>
  <c r="C27" i="28"/>
  <c r="C21" i="41"/>
  <c r="C35" i="28"/>
  <c r="C28" i="41"/>
  <c r="AF181" i="2"/>
  <c r="AA119" i="28" l="1"/>
  <c r="L73" i="40"/>
  <c r="M73" i="40"/>
  <c r="M71" i="40"/>
  <c r="L71" i="40"/>
  <c r="L109" i="40"/>
  <c r="M58" i="40"/>
  <c r="L58" i="40"/>
  <c r="O28" i="41"/>
  <c r="M28" i="41"/>
  <c r="M26" i="41"/>
  <c r="O26" i="41"/>
  <c r="M29" i="41"/>
  <c r="O29" i="41"/>
  <c r="M25" i="41"/>
  <c r="O25" i="41"/>
  <c r="S17" i="41"/>
  <c r="T17" i="41"/>
  <c r="S5" i="41"/>
  <c r="T5" i="41"/>
  <c r="T12" i="41"/>
  <c r="S12" i="41"/>
  <c r="T11" i="41"/>
  <c r="S11" i="41"/>
  <c r="T15" i="41"/>
  <c r="S15" i="41"/>
  <c r="S22" i="41"/>
  <c r="T22" i="41"/>
  <c r="S14" i="41"/>
  <c r="T14" i="41"/>
  <c r="S21" i="41"/>
  <c r="T21" i="41"/>
  <c r="S9" i="41"/>
  <c r="T9" i="41"/>
  <c r="T3" i="41"/>
  <c r="S3" i="41"/>
  <c r="T4" i="41"/>
  <c r="S4" i="41"/>
  <c r="S6" i="41"/>
  <c r="T6" i="41"/>
  <c r="T19" i="41"/>
  <c r="S19" i="41"/>
  <c r="T7" i="41"/>
  <c r="S7" i="41"/>
  <c r="S18" i="41"/>
  <c r="T18" i="41"/>
  <c r="S10" i="41"/>
  <c r="T10" i="41"/>
  <c r="L173" i="28"/>
  <c r="N173" i="28" s="1"/>
  <c r="S173" i="28"/>
  <c r="L178" i="28"/>
  <c r="N178" i="28" s="1"/>
  <c r="S178" i="28"/>
  <c r="R132" i="41"/>
  <c r="I132" i="40"/>
  <c r="AM173" i="28"/>
  <c r="R137" i="41"/>
  <c r="I137" i="40"/>
  <c r="AM178" i="28"/>
  <c r="L165" i="28"/>
  <c r="R129" i="41"/>
  <c r="I129" i="40"/>
  <c r="L127" i="28"/>
  <c r="L124" i="28"/>
  <c r="R98" i="41"/>
  <c r="I98" i="40"/>
  <c r="R95" i="41"/>
  <c r="I95" i="40"/>
  <c r="L126" i="28"/>
  <c r="R97" i="41"/>
  <c r="I97" i="40"/>
  <c r="R96" i="41"/>
  <c r="I96" i="40"/>
  <c r="L125" i="28"/>
  <c r="L89" i="28"/>
  <c r="N89" i="28" s="1"/>
  <c r="S89" i="28"/>
  <c r="R68" i="41"/>
  <c r="I68" i="40"/>
  <c r="AM89" i="28"/>
  <c r="R60" i="41"/>
  <c r="I60" i="40"/>
  <c r="AM78" i="28"/>
  <c r="AM77" i="28" s="1"/>
  <c r="AK77" i="28"/>
  <c r="P79" i="10"/>
  <c r="P78" i="10" s="1"/>
  <c r="AA77" i="28"/>
  <c r="N79" i="10"/>
  <c r="AF77" i="28"/>
  <c r="O79" i="10"/>
  <c r="L78" i="28"/>
  <c r="N78" i="28" s="1"/>
  <c r="Q77" i="28"/>
  <c r="S78" i="28"/>
  <c r="S77" i="28" s="1"/>
  <c r="L79" i="10"/>
  <c r="L78" i="10" s="1"/>
  <c r="V77" i="28"/>
  <c r="M79" i="10"/>
  <c r="R57" i="41"/>
  <c r="I56" i="40"/>
  <c r="AA72" i="28"/>
  <c r="R58" i="41"/>
  <c r="I57" i="40"/>
  <c r="L74" i="28"/>
  <c r="V72" i="28"/>
  <c r="AF72" i="28"/>
  <c r="L73" i="28"/>
  <c r="Q72" i="28"/>
  <c r="L59" i="28"/>
  <c r="R46" i="41"/>
  <c r="I46" i="40"/>
  <c r="V35" i="28"/>
  <c r="AK35" i="28"/>
  <c r="AF35" i="28"/>
  <c r="Q35" i="28"/>
  <c r="AF36" i="28"/>
  <c r="Q36" i="28"/>
  <c r="V36" i="28"/>
  <c r="AK36" i="28"/>
  <c r="S28" i="41"/>
  <c r="T28" i="41"/>
  <c r="S29" i="41"/>
  <c r="T29" i="41"/>
  <c r="R27" i="41"/>
  <c r="I27" i="40"/>
  <c r="L34" i="28"/>
  <c r="V33" i="28"/>
  <c r="AF33" i="28"/>
  <c r="AK33" i="28"/>
  <c r="Q33" i="28"/>
  <c r="S26" i="41"/>
  <c r="T26" i="41"/>
  <c r="AF32" i="28"/>
  <c r="AF31" i="28" s="1"/>
  <c r="AK32" i="28"/>
  <c r="Q32" i="28"/>
  <c r="V32" i="28"/>
  <c r="S25" i="41"/>
  <c r="T25" i="41"/>
  <c r="O70" i="10"/>
  <c r="N70" i="10"/>
  <c r="L69" i="28"/>
  <c r="R94" i="41"/>
  <c r="I94" i="40"/>
  <c r="L123" i="28"/>
  <c r="R92" i="41"/>
  <c r="I92" i="40"/>
  <c r="AF119" i="28"/>
  <c r="L121" i="28"/>
  <c r="V119" i="28"/>
  <c r="R93" i="41"/>
  <c r="I93" i="40"/>
  <c r="L122" i="28"/>
  <c r="L120" i="28"/>
  <c r="Q119" i="28"/>
  <c r="R91" i="41"/>
  <c r="I91" i="40"/>
  <c r="AK119" i="28"/>
  <c r="R35" i="41"/>
  <c r="I35" i="40"/>
  <c r="AM43" i="28"/>
  <c r="L43" i="28"/>
  <c r="N43" i="28" s="1"/>
  <c r="S43" i="28"/>
  <c r="X42" i="28"/>
  <c r="R34" i="41"/>
  <c r="I34" i="40"/>
  <c r="AM42" i="28"/>
  <c r="L42" i="28"/>
  <c r="N42" i="28" s="1"/>
  <c r="S42" i="28"/>
  <c r="V140" i="20"/>
  <c r="X140" i="20" s="1"/>
  <c r="V138" i="20"/>
  <c r="X138" i="20" s="1"/>
  <c r="V137" i="20"/>
  <c r="X137" i="20" s="1"/>
  <c r="V136" i="20"/>
  <c r="C47" i="22" l="1"/>
  <c r="X136" i="20"/>
  <c r="L92" i="40"/>
  <c r="M92" i="40"/>
  <c r="L60" i="40"/>
  <c r="M60" i="40"/>
  <c r="L96" i="40"/>
  <c r="M96" i="40"/>
  <c r="L56" i="40"/>
  <c r="M56" i="40"/>
  <c r="M95" i="40"/>
  <c r="L95" i="40"/>
  <c r="M34" i="40"/>
  <c r="L34" i="40"/>
  <c r="M91" i="40"/>
  <c r="L91" i="40"/>
  <c r="M35" i="40"/>
  <c r="L35" i="40"/>
  <c r="L93" i="40"/>
  <c r="M93" i="40"/>
  <c r="M94" i="40"/>
  <c r="L94" i="40"/>
  <c r="M27" i="40"/>
  <c r="L27" i="40"/>
  <c r="M46" i="40"/>
  <c r="L46" i="40"/>
  <c r="L57" i="40"/>
  <c r="M57" i="40"/>
  <c r="L97" i="40"/>
  <c r="M97" i="40"/>
  <c r="L132" i="40"/>
  <c r="M132" i="40"/>
  <c r="L68" i="40"/>
  <c r="M68" i="40"/>
  <c r="M98" i="40"/>
  <c r="L98" i="40"/>
  <c r="L129" i="40"/>
  <c r="M129" i="40"/>
  <c r="L137" i="40"/>
  <c r="M137" i="40"/>
  <c r="Q29" i="41"/>
  <c r="Q25" i="41"/>
  <c r="Q26" i="41"/>
  <c r="Q28" i="41"/>
  <c r="L33" i="28"/>
  <c r="V31" i="28"/>
  <c r="L72" i="28"/>
  <c r="R29" i="41"/>
  <c r="U29" i="41" s="1"/>
  <c r="I29" i="40"/>
  <c r="P37" i="10"/>
  <c r="L35" i="28"/>
  <c r="L36" i="28"/>
  <c r="R28" i="41"/>
  <c r="U28" i="41" s="1"/>
  <c r="I28" i="40"/>
  <c r="R26" i="41"/>
  <c r="U26" i="41" s="1"/>
  <c r="I26" i="40"/>
  <c r="L32" i="28"/>
  <c r="Q31" i="28"/>
  <c r="R25" i="41"/>
  <c r="U25" i="41" s="1"/>
  <c r="I25" i="40"/>
  <c r="AK31" i="28"/>
  <c r="L119" i="28"/>
  <c r="W153" i="20"/>
  <c r="X153" i="20" s="1"/>
  <c r="W152" i="20"/>
  <c r="X152" i="20" s="1"/>
  <c r="W151" i="20"/>
  <c r="X151" i="20" s="1"/>
  <c r="W150" i="20"/>
  <c r="X150" i="20" s="1"/>
  <c r="W149" i="20"/>
  <c r="X149" i="20" s="1"/>
  <c r="AR113" i="20"/>
  <c r="W88" i="20"/>
  <c r="AR83" i="20"/>
  <c r="AR81" i="20"/>
  <c r="W65" i="20"/>
  <c r="X65" i="20" s="1"/>
  <c r="W64" i="20"/>
  <c r="X64" i="20" s="1"/>
  <c r="W63" i="20"/>
  <c r="X63" i="20" s="1"/>
  <c r="W179" i="20"/>
  <c r="W178" i="20"/>
  <c r="W176" i="20"/>
  <c r="W174" i="20"/>
  <c r="W175" i="20"/>
  <c r="W171" i="20"/>
  <c r="W159" i="20"/>
  <c r="W158" i="20"/>
  <c r="W157" i="20"/>
  <c r="W156" i="20"/>
  <c r="W155" i="20"/>
  <c r="W82" i="20"/>
  <c r="W80" i="20"/>
  <c r="W78" i="20"/>
  <c r="W77" i="20"/>
  <c r="W76" i="20"/>
  <c r="W75" i="20"/>
  <c r="W60" i="20"/>
  <c r="W59" i="20"/>
  <c r="W32" i="20"/>
  <c r="W31" i="20"/>
  <c r="W30" i="20"/>
  <c r="W29" i="20"/>
  <c r="W28" i="20"/>
  <c r="W27" i="20"/>
  <c r="W26" i="20"/>
  <c r="W25" i="20"/>
  <c r="W24" i="20"/>
  <c r="W23" i="20"/>
  <c r="W22" i="20"/>
  <c r="W21" i="20"/>
  <c r="W20" i="20"/>
  <c r="W19" i="20"/>
  <c r="W18" i="20"/>
  <c r="W17" i="20"/>
  <c r="W16" i="20"/>
  <c r="W15" i="20"/>
  <c r="W14" i="20"/>
  <c r="W13" i="20"/>
  <c r="W12" i="20"/>
  <c r="W11" i="20"/>
  <c r="W10" i="20"/>
  <c r="L28" i="40" l="1"/>
  <c r="M28" i="40"/>
  <c r="L25" i="40"/>
  <c r="M25" i="40"/>
  <c r="M26" i="40"/>
  <c r="L26" i="40"/>
  <c r="L29" i="40"/>
  <c r="M29" i="40"/>
  <c r="L31" i="28"/>
  <c r="AK156" i="2"/>
  <c r="AK157" i="2"/>
  <c r="CH156" i="10" s="1"/>
  <c r="C157" i="26"/>
  <c r="DG157" i="20" l="1"/>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AA95" i="10" l="1"/>
  <c r="U95" i="10"/>
  <c r="AA97" i="10"/>
  <c r="U97" i="10"/>
  <c r="AA96" i="10"/>
  <c r="U96" i="10"/>
  <c r="U94" i="10"/>
  <c r="U93" i="10"/>
  <c r="AA94" i="10"/>
  <c r="AA93" i="10"/>
  <c r="W113" i="20" l="1"/>
  <c r="X113" i="20" s="1"/>
  <c r="L85" i="41"/>
  <c r="N79" i="28"/>
  <c r="P76" i="9"/>
  <c r="O76" i="9"/>
  <c r="N76" i="9"/>
  <c r="M76" i="9"/>
  <c r="Q76" i="9"/>
  <c r="C56" i="19" l="1"/>
  <c r="L142" i="2"/>
  <c r="K140" i="28" s="1"/>
  <c r="O142" i="2"/>
  <c r="R142" i="2"/>
  <c r="U142" i="2"/>
  <c r="Z140" i="28" s="1"/>
  <c r="X142" i="2"/>
  <c r="AA142" i="2"/>
  <c r="F109" i="40" s="1"/>
  <c r="L143" i="2"/>
  <c r="K141" i="28" s="1"/>
  <c r="O143" i="2"/>
  <c r="P141" i="28" s="1"/>
  <c r="R143" i="2"/>
  <c r="U141" i="28" s="1"/>
  <c r="U143" i="2"/>
  <c r="Z141" i="28" s="1"/>
  <c r="X143" i="2"/>
  <c r="AA143" i="2"/>
  <c r="L144" i="2"/>
  <c r="K142" i="28" s="1"/>
  <c r="O144" i="2"/>
  <c r="R144" i="2"/>
  <c r="U144" i="2"/>
  <c r="Z142" i="28" s="1"/>
  <c r="X144" i="2"/>
  <c r="AE142" i="28" s="1"/>
  <c r="AA144" i="2"/>
  <c r="L145" i="2"/>
  <c r="K143" i="28" s="1"/>
  <c r="O145" i="2"/>
  <c r="R145" i="2"/>
  <c r="U145" i="2"/>
  <c r="X145" i="2"/>
  <c r="AA145" i="2"/>
  <c r="L146" i="2"/>
  <c r="O146" i="2"/>
  <c r="P144" i="28" s="1"/>
  <c r="R146" i="2"/>
  <c r="U144" i="28" s="1"/>
  <c r="U146" i="2"/>
  <c r="Z144" i="28" s="1"/>
  <c r="X146" i="2"/>
  <c r="AE144" i="28" s="1"/>
  <c r="AA146" i="2"/>
  <c r="J137" i="2"/>
  <c r="I137" i="2"/>
  <c r="E23" i="30"/>
  <c r="AF140" i="27"/>
  <c r="AB140" i="27"/>
  <c r="X140" i="27"/>
  <c r="T140" i="27"/>
  <c r="P140" i="27"/>
  <c r="L140" i="27"/>
  <c r="A144" i="28"/>
  <c r="A143" i="28"/>
  <c r="A142" i="28"/>
  <c r="A141" i="28"/>
  <c r="AD140" i="28"/>
  <c r="A140" i="28"/>
  <c r="AD145" i="27"/>
  <c r="Z145" i="27"/>
  <c r="A145" i="27"/>
  <c r="Z144" i="27"/>
  <c r="A144" i="27"/>
  <c r="AD143" i="27"/>
  <c r="AA143" i="27"/>
  <c r="AC143" i="27" s="1"/>
  <c r="Z143" i="27"/>
  <c r="W143" i="27"/>
  <c r="Y143" i="27" s="1"/>
  <c r="A143" i="27"/>
  <c r="AD142" i="27"/>
  <c r="Z142" i="27"/>
  <c r="W142" i="27"/>
  <c r="Y142" i="27" s="1"/>
  <c r="S142" i="27"/>
  <c r="U142" i="27" s="1"/>
  <c r="O142" i="27"/>
  <c r="Q142" i="27" s="1"/>
  <c r="A142" i="27"/>
  <c r="Z141" i="27"/>
  <c r="W141" i="27"/>
  <c r="Y141" i="27" s="1"/>
  <c r="R141" i="27"/>
  <c r="A141" i="27"/>
  <c r="A140" i="27"/>
  <c r="C145" i="26"/>
  <c r="A145" i="26"/>
  <c r="C144" i="26"/>
  <c r="A144" i="26"/>
  <c r="C143" i="26"/>
  <c r="A143" i="26"/>
  <c r="C142" i="26"/>
  <c r="A142" i="26"/>
  <c r="O140" i="26"/>
  <c r="C141" i="26"/>
  <c r="A141" i="26"/>
  <c r="A140" i="26"/>
  <c r="AJ141" i="28" l="1"/>
  <c r="F110" i="40"/>
  <c r="F141" i="40" s="1"/>
  <c r="AE142" i="27"/>
  <c r="AG142" i="27" s="1"/>
  <c r="F142" i="40"/>
  <c r="M109" i="40"/>
  <c r="AA144" i="27"/>
  <c r="AE143" i="28"/>
  <c r="S143" i="27"/>
  <c r="U143" i="27" s="1"/>
  <c r="U142" i="28"/>
  <c r="AA142" i="27"/>
  <c r="AC142" i="27" s="1"/>
  <c r="AE141" i="28"/>
  <c r="S141" i="27"/>
  <c r="U140" i="28"/>
  <c r="AE145" i="27"/>
  <c r="AG145" i="27" s="1"/>
  <c r="AJ144" i="28"/>
  <c r="W144" i="27"/>
  <c r="Y144" i="27" s="1"/>
  <c r="Z143" i="28"/>
  <c r="AE143" i="27"/>
  <c r="AG143" i="27" s="1"/>
  <c r="AJ142" i="28"/>
  <c r="O143" i="27"/>
  <c r="Q143" i="27" s="1"/>
  <c r="P142" i="28"/>
  <c r="AE141" i="27"/>
  <c r="AJ140" i="28"/>
  <c r="AN140" i="28" s="1"/>
  <c r="O141" i="27"/>
  <c r="Q141" i="27" s="1"/>
  <c r="P140" i="28"/>
  <c r="T140" i="28" s="1"/>
  <c r="K145" i="23"/>
  <c r="K144" i="28"/>
  <c r="S144" i="27"/>
  <c r="U143" i="28"/>
  <c r="AA141" i="27"/>
  <c r="AE140" i="28"/>
  <c r="AE144" i="27"/>
  <c r="AJ143" i="28"/>
  <c r="O144" i="27"/>
  <c r="P143" i="28"/>
  <c r="AJ139" i="28"/>
  <c r="Z139" i="28"/>
  <c r="AH145" i="27"/>
  <c r="K144" i="27"/>
  <c r="M144" i="27" s="1"/>
  <c r="K144" i="23"/>
  <c r="K142" i="27"/>
  <c r="M142" i="27" s="1"/>
  <c r="K142" i="23"/>
  <c r="K143" i="27"/>
  <c r="M143" i="27" s="1"/>
  <c r="K143" i="23"/>
  <c r="K141" i="27"/>
  <c r="K141" i="23"/>
  <c r="N144" i="27"/>
  <c r="R142" i="27"/>
  <c r="N142" i="27"/>
  <c r="V142" i="27"/>
  <c r="AH142" i="27"/>
  <c r="AH143" i="27"/>
  <c r="V143" i="27"/>
  <c r="K140" i="26"/>
  <c r="P140" i="26"/>
  <c r="M140" i="26"/>
  <c r="N140" i="26"/>
  <c r="L140" i="26"/>
  <c r="AK146" i="2"/>
  <c r="AI146" i="2"/>
  <c r="W146" i="25" s="1"/>
  <c r="Z146" i="25" s="1"/>
  <c r="AH146" i="2"/>
  <c r="R145" i="24" s="1"/>
  <c r="U145" i="24" s="1"/>
  <c r="AG146" i="2"/>
  <c r="AD145" i="23" s="1"/>
  <c r="AG145" i="23" s="1"/>
  <c r="AA145" i="27"/>
  <c r="AC145" i="27" s="1"/>
  <c r="W145" i="27"/>
  <c r="Y145" i="27" s="1"/>
  <c r="S145" i="27"/>
  <c r="O145" i="27"/>
  <c r="K145" i="27"/>
  <c r="J146" i="2"/>
  <c r="J146" i="25" s="1"/>
  <c r="I146" i="2"/>
  <c r="I146" i="25" s="1"/>
  <c r="H146" i="2"/>
  <c r="H145" i="24" s="1"/>
  <c r="G146" i="2"/>
  <c r="G146" i="25" s="1"/>
  <c r="F146" i="2"/>
  <c r="F145" i="24" s="1"/>
  <c r="E146" i="2"/>
  <c r="E146" i="25" s="1"/>
  <c r="D146" i="2"/>
  <c r="P61" i="9"/>
  <c r="O61" i="9"/>
  <c r="N61" i="9"/>
  <c r="M61" i="9"/>
  <c r="L61" i="9"/>
  <c r="Q61" i="9"/>
  <c r="Z61" i="9" s="1"/>
  <c r="Y61" i="9"/>
  <c r="AK145" i="2"/>
  <c r="AI145" i="2"/>
  <c r="W145" i="25" s="1"/>
  <c r="Z145" i="25" s="1"/>
  <c r="AH145" i="2"/>
  <c r="R144" i="24" s="1"/>
  <c r="U144" i="24" s="1"/>
  <c r="AG145" i="2"/>
  <c r="AD144" i="23" s="1"/>
  <c r="AG144" i="23" s="1"/>
  <c r="J145" i="2"/>
  <c r="I151" i="38" s="1"/>
  <c r="I145" i="2"/>
  <c r="H151" i="38" s="1"/>
  <c r="H145" i="2"/>
  <c r="G145" i="2"/>
  <c r="F151" i="38" s="1"/>
  <c r="F145" i="2"/>
  <c r="F145" i="25" s="1"/>
  <c r="E145" i="2"/>
  <c r="E145" i="25" s="1"/>
  <c r="D145" i="2"/>
  <c r="D145" i="25" s="1"/>
  <c r="A61" i="7"/>
  <c r="C60" i="7"/>
  <c r="A60" i="7"/>
  <c r="X60" i="7"/>
  <c r="P60" i="7"/>
  <c r="Y60" i="7" s="1"/>
  <c r="O60" i="7"/>
  <c r="N60" i="7"/>
  <c r="M60" i="7"/>
  <c r="L60" i="7"/>
  <c r="K60" i="7"/>
  <c r="U146" i="25"/>
  <c r="T146" i="25"/>
  <c r="R146" i="25"/>
  <c r="Q146" i="25"/>
  <c r="P146" i="25"/>
  <c r="S146" i="25" s="1"/>
  <c r="O146" i="25"/>
  <c r="N146" i="25"/>
  <c r="M146" i="25"/>
  <c r="L146" i="25"/>
  <c r="K146" i="25"/>
  <c r="C146" i="25"/>
  <c r="C145" i="27" s="1"/>
  <c r="A146" i="25"/>
  <c r="U145" i="25"/>
  <c r="T145" i="25"/>
  <c r="R145" i="25"/>
  <c r="Q145" i="25"/>
  <c r="P145" i="25"/>
  <c r="S145" i="25" s="1"/>
  <c r="O145" i="25"/>
  <c r="N145" i="25"/>
  <c r="M145" i="25"/>
  <c r="L145" i="25"/>
  <c r="K145" i="25"/>
  <c r="C145" i="25"/>
  <c r="C144" i="27" s="1"/>
  <c r="A145" i="25"/>
  <c r="U144" i="25"/>
  <c r="T144" i="25"/>
  <c r="R144" i="25"/>
  <c r="Q144" i="25"/>
  <c r="P144" i="25"/>
  <c r="S144" i="25" s="1"/>
  <c r="O144" i="25"/>
  <c r="N144" i="25"/>
  <c r="M144" i="25"/>
  <c r="L144" i="25"/>
  <c r="K144" i="25"/>
  <c r="C144" i="25"/>
  <c r="C143" i="27" s="1"/>
  <c r="A144" i="25"/>
  <c r="U143" i="25"/>
  <c r="T143" i="25"/>
  <c r="R143" i="25"/>
  <c r="Q143" i="25"/>
  <c r="P143" i="25"/>
  <c r="S143" i="25" s="1"/>
  <c r="O143" i="25"/>
  <c r="N143" i="25"/>
  <c r="M143" i="25"/>
  <c r="L143" i="25"/>
  <c r="K143" i="25"/>
  <c r="C143" i="25"/>
  <c r="C142" i="27" s="1"/>
  <c r="A143" i="25"/>
  <c r="U142" i="25"/>
  <c r="T142" i="25"/>
  <c r="R142" i="25"/>
  <c r="Q142" i="25"/>
  <c r="P142" i="25"/>
  <c r="S142" i="25" s="1"/>
  <c r="O142" i="25"/>
  <c r="N142" i="25"/>
  <c r="M142" i="25"/>
  <c r="L142" i="25"/>
  <c r="K142" i="25"/>
  <c r="C142" i="25"/>
  <c r="A142" i="25"/>
  <c r="A141" i="25"/>
  <c r="P145" i="24"/>
  <c r="O145" i="24"/>
  <c r="N145" i="24"/>
  <c r="M145" i="24"/>
  <c r="L145" i="24"/>
  <c r="K145" i="24"/>
  <c r="C145" i="24"/>
  <c r="A145" i="24"/>
  <c r="P144" i="24"/>
  <c r="O144" i="24"/>
  <c r="N144" i="24"/>
  <c r="M144" i="24"/>
  <c r="L144" i="24"/>
  <c r="K144" i="24"/>
  <c r="C144" i="24"/>
  <c r="A144" i="24"/>
  <c r="P143" i="24"/>
  <c r="O143" i="24"/>
  <c r="N143" i="24"/>
  <c r="M143" i="24"/>
  <c r="L143" i="24"/>
  <c r="K143" i="24"/>
  <c r="C143" i="24"/>
  <c r="A143" i="24"/>
  <c r="P142" i="24"/>
  <c r="O142" i="24"/>
  <c r="N142" i="24"/>
  <c r="M142" i="24"/>
  <c r="L142" i="24"/>
  <c r="K142" i="24"/>
  <c r="C142" i="24"/>
  <c r="A142" i="24"/>
  <c r="P141" i="24"/>
  <c r="O141" i="24"/>
  <c r="N141" i="24"/>
  <c r="M141" i="24"/>
  <c r="L141" i="24"/>
  <c r="K141" i="24"/>
  <c r="C141" i="24"/>
  <c r="A141" i="24"/>
  <c r="A140" i="24"/>
  <c r="S152" i="38"/>
  <c r="R152" i="38"/>
  <c r="P152" i="38"/>
  <c r="O152" i="38"/>
  <c r="M152" i="38"/>
  <c r="L152" i="38"/>
  <c r="K152" i="38"/>
  <c r="G152" i="38"/>
  <c r="B152" i="38"/>
  <c r="A152" i="38"/>
  <c r="S151" i="38"/>
  <c r="R151" i="38"/>
  <c r="P151" i="38"/>
  <c r="O151" i="38"/>
  <c r="N151" i="38"/>
  <c r="M151" i="38"/>
  <c r="L151" i="38"/>
  <c r="K151" i="38"/>
  <c r="J151" i="38"/>
  <c r="B151" i="38"/>
  <c r="A151" i="38"/>
  <c r="S150" i="38"/>
  <c r="R150" i="38"/>
  <c r="P150" i="38"/>
  <c r="B150" i="38"/>
  <c r="A150" i="38"/>
  <c r="S149" i="38"/>
  <c r="R149" i="38"/>
  <c r="P149" i="38"/>
  <c r="B149" i="38"/>
  <c r="A149" i="38"/>
  <c r="S148" i="38"/>
  <c r="R148" i="38"/>
  <c r="P148" i="38"/>
  <c r="B148" i="38"/>
  <c r="A148" i="38"/>
  <c r="B147" i="38"/>
  <c r="A147" i="38"/>
  <c r="Z145" i="23"/>
  <c r="W145" i="23"/>
  <c r="T145" i="23"/>
  <c r="Q145" i="23"/>
  <c r="N145" i="23"/>
  <c r="Z144" i="23"/>
  <c r="W144" i="23"/>
  <c r="T144" i="23"/>
  <c r="Q144" i="23"/>
  <c r="N144" i="23"/>
  <c r="Z143" i="23"/>
  <c r="W143" i="23"/>
  <c r="T143" i="23"/>
  <c r="Q143" i="23"/>
  <c r="N143" i="23"/>
  <c r="Z142" i="23"/>
  <c r="W142" i="23"/>
  <c r="T142" i="23"/>
  <c r="Q142" i="23"/>
  <c r="N142" i="23"/>
  <c r="Z141" i="23"/>
  <c r="W141" i="23"/>
  <c r="T141" i="23"/>
  <c r="Q141" i="23"/>
  <c r="N141" i="23"/>
  <c r="A140" i="23"/>
  <c r="H145" i="23"/>
  <c r="A145" i="23"/>
  <c r="A144" i="23"/>
  <c r="A143" i="23"/>
  <c r="A142" i="23"/>
  <c r="A141" i="23"/>
  <c r="C78" i="21"/>
  <c r="D78" i="21" s="1"/>
  <c r="B78" i="21"/>
  <c r="A78" i="21"/>
  <c r="B101" i="21"/>
  <c r="A101" i="21"/>
  <c r="AK144" i="2"/>
  <c r="AI144" i="2"/>
  <c r="W144" i="25" s="1"/>
  <c r="Z144" i="25" s="1"/>
  <c r="AH144" i="2"/>
  <c r="R143" i="24" s="1"/>
  <c r="U143" i="24" s="1"/>
  <c r="AG144" i="2"/>
  <c r="AD143" i="23" s="1"/>
  <c r="AG143" i="23" s="1"/>
  <c r="O150" i="38"/>
  <c r="N150" i="38"/>
  <c r="M150" i="38"/>
  <c r="L150" i="38"/>
  <c r="K150" i="38"/>
  <c r="J150" i="38"/>
  <c r="J144" i="2"/>
  <c r="I144" i="2"/>
  <c r="I144" i="25" s="1"/>
  <c r="H144" i="2"/>
  <c r="H144" i="25" s="1"/>
  <c r="G144" i="2"/>
  <c r="G143" i="24" s="1"/>
  <c r="F144" i="2"/>
  <c r="E144" i="2"/>
  <c r="E144" i="25" s="1"/>
  <c r="D144" i="2"/>
  <c r="D144" i="25" s="1"/>
  <c r="AK140" i="2"/>
  <c r="A55" i="8"/>
  <c r="D54" i="8"/>
  <c r="Y55" i="8"/>
  <c r="Y54" i="8"/>
  <c r="Q54" i="8"/>
  <c r="Z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AC144" i="27" l="1"/>
  <c r="AD144" i="27"/>
  <c r="AC141" i="27"/>
  <c r="AD141" i="27"/>
  <c r="AG141" i="27"/>
  <c r="AH141" i="27"/>
  <c r="M141" i="27"/>
  <c r="N141" i="27"/>
  <c r="U141" i="27"/>
  <c r="V141" i="27"/>
  <c r="C141" i="28"/>
  <c r="C110" i="41"/>
  <c r="P110" i="41" s="1"/>
  <c r="C143" i="28"/>
  <c r="C112" i="41"/>
  <c r="P112" i="41" s="1"/>
  <c r="C144" i="28"/>
  <c r="C113" i="41"/>
  <c r="P113" i="41" s="1"/>
  <c r="C142" i="28"/>
  <c r="C111" i="41"/>
  <c r="P111" i="41" s="1"/>
  <c r="R143" i="27"/>
  <c r="K139" i="28"/>
  <c r="U144" i="27"/>
  <c r="V144" i="27"/>
  <c r="Q144" i="27"/>
  <c r="R144" i="27"/>
  <c r="AE139" i="28"/>
  <c r="AI140" i="28"/>
  <c r="P139" i="28"/>
  <c r="AG144" i="27"/>
  <c r="AH144" i="27"/>
  <c r="U139" i="28"/>
  <c r="Y140" i="28"/>
  <c r="H146" i="25"/>
  <c r="N143" i="27"/>
  <c r="K140" i="23"/>
  <c r="M145" i="27"/>
  <c r="N145" i="27"/>
  <c r="Q145" i="27"/>
  <c r="R145" i="27"/>
  <c r="U145" i="27"/>
  <c r="V145" i="27"/>
  <c r="N140" i="23"/>
  <c r="T140" i="23"/>
  <c r="W140" i="23"/>
  <c r="Z140" i="23"/>
  <c r="Q140" i="23"/>
  <c r="J144" i="23"/>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J144" i="24"/>
  <c r="I144" i="24"/>
  <c r="J145" i="25"/>
  <c r="D151" i="38"/>
  <c r="I145" i="25"/>
  <c r="J145" i="24"/>
  <c r="G145" i="23"/>
  <c r="F152" i="38"/>
  <c r="F144" i="24"/>
  <c r="G145" i="24"/>
  <c r="F144" i="23"/>
  <c r="R145" i="26"/>
  <c r="T145" i="26" s="1"/>
  <c r="CK146" i="20"/>
  <c r="CG146" i="20"/>
  <c r="CJ146" i="20"/>
  <c r="CM146" i="20"/>
  <c r="CI146" i="20"/>
  <c r="CL146" i="20"/>
  <c r="CH146" i="20"/>
  <c r="R143" i="26"/>
  <c r="T143" i="26" s="1"/>
  <c r="CK144" i="20"/>
  <c r="CG144" i="20"/>
  <c r="CJ144" i="20"/>
  <c r="CM144" i="20"/>
  <c r="CI144" i="20"/>
  <c r="CL144" i="20"/>
  <c r="CH144" i="20"/>
  <c r="AW140" i="20"/>
  <c r="CM140" i="20"/>
  <c r="CI140" i="20"/>
  <c r="CL140" i="20"/>
  <c r="CH140" i="20"/>
  <c r="CK140" i="20"/>
  <c r="CG140" i="20"/>
  <c r="CJ140" i="20"/>
  <c r="I144" i="23"/>
  <c r="E144" i="24"/>
  <c r="E144" i="23"/>
  <c r="E151" i="38"/>
  <c r="R144" i="26"/>
  <c r="T144" i="26" s="1"/>
  <c r="CK145" i="20"/>
  <c r="CG145" i="20"/>
  <c r="CJ145" i="20"/>
  <c r="CM145" i="20"/>
  <c r="CI145" i="20"/>
  <c r="CL145" i="20"/>
  <c r="CH145" i="20"/>
  <c r="I145" i="23"/>
  <c r="G145" i="25"/>
  <c r="G144" i="24"/>
  <c r="P141" i="25"/>
  <c r="G144" i="25"/>
  <c r="G144" i="23"/>
  <c r="H152" i="38"/>
  <c r="I145" i="24"/>
  <c r="T141" i="25"/>
  <c r="I150" i="38"/>
  <c r="J142" i="28"/>
  <c r="J143" i="27"/>
  <c r="J143" i="26"/>
  <c r="G151" i="38"/>
  <c r="H143" i="28"/>
  <c r="H144" i="26"/>
  <c r="H144" i="27"/>
  <c r="F145" i="26"/>
  <c r="F144" i="28"/>
  <c r="F145" i="27"/>
  <c r="F150" i="38"/>
  <c r="G143" i="26"/>
  <c r="G142" i="28"/>
  <c r="G143" i="27"/>
  <c r="H143" i="24"/>
  <c r="D144" i="24"/>
  <c r="H144" i="24"/>
  <c r="F146" i="25"/>
  <c r="E144" i="27"/>
  <c r="E143" i="28"/>
  <c r="E144" i="26"/>
  <c r="I144" i="27"/>
  <c r="I143" i="28"/>
  <c r="I144" i="26"/>
  <c r="G144" i="28"/>
  <c r="G145" i="27"/>
  <c r="G145" i="26"/>
  <c r="J145" i="26"/>
  <c r="J144" i="28"/>
  <c r="J145" i="27"/>
  <c r="G150" i="38"/>
  <c r="A23" i="19"/>
  <c r="H143" i="26"/>
  <c r="H142" i="28"/>
  <c r="A23" i="30" s="1"/>
  <c r="H143" i="27"/>
  <c r="E143" i="24"/>
  <c r="I143" i="24"/>
  <c r="F143" i="28"/>
  <c r="F144" i="26"/>
  <c r="F144" i="27"/>
  <c r="J143" i="28"/>
  <c r="J144" i="26"/>
  <c r="J144" i="27"/>
  <c r="H145" i="27"/>
  <c r="H145" i="26"/>
  <c r="H144" i="28"/>
  <c r="E150" i="38"/>
  <c r="F142" i="28"/>
  <c r="F143" i="27"/>
  <c r="F143" i="26"/>
  <c r="C151" i="38"/>
  <c r="D144" i="27"/>
  <c r="D143" i="28"/>
  <c r="D144" i="26"/>
  <c r="D150" i="38"/>
  <c r="E142" i="28"/>
  <c r="E143" i="27"/>
  <c r="E143" i="26"/>
  <c r="H150" i="38"/>
  <c r="I142" i="28"/>
  <c r="I143" i="27"/>
  <c r="I143" i="26"/>
  <c r="F145" i="23"/>
  <c r="J145" i="23"/>
  <c r="E152" i="38"/>
  <c r="I152" i="38"/>
  <c r="F143" i="24"/>
  <c r="J143" i="24"/>
  <c r="F144" i="25"/>
  <c r="J144" i="25"/>
  <c r="G143" i="28"/>
  <c r="G144" i="26"/>
  <c r="G144" i="27"/>
  <c r="I145" i="26"/>
  <c r="I144" i="28"/>
  <c r="I145" i="27"/>
  <c r="Q141" i="25"/>
  <c r="G23" i="30" s="1"/>
  <c r="U141" i="25"/>
  <c r="R141" i="25"/>
  <c r="S141" i="25"/>
  <c r="N141" i="25"/>
  <c r="K141" i="25"/>
  <c r="O141" i="25"/>
  <c r="L141" i="25"/>
  <c r="M141" i="25"/>
  <c r="J152" i="38"/>
  <c r="N152" i="38"/>
  <c r="E145" i="23"/>
  <c r="E145" i="27"/>
  <c r="E144" i="28"/>
  <c r="E145" i="26"/>
  <c r="D152" i="38"/>
  <c r="E145" i="24"/>
  <c r="D146" i="25"/>
  <c r="D145" i="26"/>
  <c r="D144" i="28"/>
  <c r="D145" i="27"/>
  <c r="C150" i="38"/>
  <c r="D143" i="27"/>
  <c r="D142" i="28"/>
  <c r="D143" i="26"/>
  <c r="D143" i="24"/>
  <c r="D143" i="23"/>
  <c r="C152" i="38"/>
  <c r="D145" i="23"/>
  <c r="D145" i="24"/>
  <c r="H145" i="25"/>
  <c r="H144" i="23"/>
  <c r="D144" i="23"/>
  <c r="AT140" i="20"/>
  <c r="H143" i="23"/>
  <c r="AX140" i="20"/>
  <c r="AU140" i="20"/>
  <c r="AY140" i="20"/>
  <c r="E143" i="23"/>
  <c r="I143" i="23"/>
  <c r="AV140" i="20"/>
  <c r="F143" i="23"/>
  <c r="J143" i="23"/>
  <c r="AS140" i="20"/>
  <c r="G143"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K143" i="2"/>
  <c r="CW146" i="20"/>
  <c r="CC146" i="20"/>
  <c r="BI146" i="20"/>
  <c r="AO146" i="20"/>
  <c r="U146" i="20"/>
  <c r="K146" i="20"/>
  <c r="J146" i="20"/>
  <c r="I146" i="20"/>
  <c r="H146" i="20"/>
  <c r="G146" i="20"/>
  <c r="F146" i="20"/>
  <c r="E146" i="20"/>
  <c r="D146" i="20"/>
  <c r="A146" i="20"/>
  <c r="CW145" i="20"/>
  <c r="CC145" i="20"/>
  <c r="BI145" i="20"/>
  <c r="AO145" i="20"/>
  <c r="U145" i="20"/>
  <c r="K145" i="20"/>
  <c r="J145" i="20"/>
  <c r="I145" i="20"/>
  <c r="H145" i="20"/>
  <c r="G145" i="20"/>
  <c r="F145" i="20"/>
  <c r="E145" i="20"/>
  <c r="D145" i="20"/>
  <c r="A145" i="20"/>
  <c r="CW144" i="20"/>
  <c r="CC144" i="20"/>
  <c r="BI144" i="20"/>
  <c r="U144" i="20"/>
  <c r="K144" i="20"/>
  <c r="J144" i="20"/>
  <c r="I144" i="20"/>
  <c r="H144" i="20"/>
  <c r="G144" i="20"/>
  <c r="F144" i="20"/>
  <c r="E144" i="20"/>
  <c r="D144" i="20"/>
  <c r="A144" i="20"/>
  <c r="CW143" i="20"/>
  <c r="CC143" i="20"/>
  <c r="AO143" i="20"/>
  <c r="U143" i="20"/>
  <c r="A143" i="20"/>
  <c r="CW142" i="20"/>
  <c r="CC142" i="20"/>
  <c r="BI142" i="20"/>
  <c r="AU142" i="20"/>
  <c r="AT142" i="20"/>
  <c r="U142" i="20"/>
  <c r="A142" i="20"/>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K142" i="2"/>
  <c r="AI142" i="2"/>
  <c r="AP142" i="2" s="1"/>
  <c r="AH142" i="2"/>
  <c r="R141" i="24" s="1"/>
  <c r="U141" i="24" s="1"/>
  <c r="AG142" i="2"/>
  <c r="AD141" i="23" s="1"/>
  <c r="AG141" i="23" s="1"/>
  <c r="N148" i="38"/>
  <c r="M148" i="38"/>
  <c r="L148" i="38"/>
  <c r="K148" i="38"/>
  <c r="J140" i="11"/>
  <c r="J142" i="2"/>
  <c r="I142" i="2"/>
  <c r="H142" i="2"/>
  <c r="G142" i="2"/>
  <c r="F142" i="2"/>
  <c r="E142" i="2"/>
  <c r="B141" i="10"/>
  <c r="A56" i="6"/>
  <c r="A55" i="6"/>
  <c r="C55" i="6"/>
  <c r="X55" i="6"/>
  <c r="P55" i="6"/>
  <c r="Y55" i="6" s="1"/>
  <c r="O55" i="6"/>
  <c r="N55" i="6"/>
  <c r="M55" i="6"/>
  <c r="L55" i="6"/>
  <c r="K55" i="6"/>
  <c r="Z141" i="2"/>
  <c r="Y141" i="2"/>
  <c r="W141" i="2"/>
  <c r="V141" i="2"/>
  <c r="T141" i="2"/>
  <c r="S141" i="2"/>
  <c r="Q141" i="2"/>
  <c r="P141" i="2"/>
  <c r="AI143" i="2"/>
  <c r="W143" i="25" s="1"/>
  <c r="Z143" i="25" s="1"/>
  <c r="AH143" i="2"/>
  <c r="R142" i="24" s="1"/>
  <c r="U142" i="24" s="1"/>
  <c r="AG143" i="2"/>
  <c r="AD142" i="23" s="1"/>
  <c r="AG142" i="23" s="1"/>
  <c r="N149" i="38"/>
  <c r="AO142" i="10"/>
  <c r="AF142" i="10" s="1"/>
  <c r="L149" i="38"/>
  <c r="K143" i="20"/>
  <c r="J143" i="2"/>
  <c r="I143" i="2"/>
  <c r="H143" i="2"/>
  <c r="G143" i="2"/>
  <c r="F143" i="2"/>
  <c r="E143" i="2"/>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A140" i="10"/>
  <c r="Y58" i="3"/>
  <c r="Z58" i="3"/>
  <c r="AP146" i="2"/>
  <c r="AN145" i="2"/>
  <c r="AM145" i="2"/>
  <c r="AN144" i="2"/>
  <c r="AM144" i="2"/>
  <c r="B57" i="19"/>
  <c r="AO138" i="20"/>
  <c r="C133" i="11"/>
  <c r="A53" i="8"/>
  <c r="AI140" i="2"/>
  <c r="AJ140" i="2" s="1"/>
  <c r="AH140" i="2"/>
  <c r="AG140" i="2"/>
  <c r="AA140" i="2"/>
  <c r="AJ138" i="28" s="1"/>
  <c r="X140" i="2"/>
  <c r="AE138" i="28" s="1"/>
  <c r="U140" i="2"/>
  <c r="Z138" i="28" s="1"/>
  <c r="R140" i="2"/>
  <c r="U138" i="28" s="1"/>
  <c r="O140" i="2"/>
  <c r="P138" i="28" s="1"/>
  <c r="L140" i="2"/>
  <c r="J140" i="2"/>
  <c r="I140" i="2"/>
  <c r="H140" i="2"/>
  <c r="G140" i="2"/>
  <c r="F140" i="2"/>
  <c r="E140" i="2"/>
  <c r="D140" i="2"/>
  <c r="AD140" i="2"/>
  <c r="Y140" i="2"/>
  <c r="Z140" i="2" s="1"/>
  <c r="V140" i="2"/>
  <c r="W140" i="2" s="1"/>
  <c r="S140" i="2"/>
  <c r="P140" i="2"/>
  <c r="M140" i="2"/>
  <c r="AK139" i="2"/>
  <c r="AI139" i="2"/>
  <c r="AH139" i="2"/>
  <c r="AG139" i="2"/>
  <c r="AA139" i="2"/>
  <c r="AJ137" i="28" s="1"/>
  <c r="X139" i="2"/>
  <c r="AE137" i="28" s="1"/>
  <c r="U139" i="2"/>
  <c r="Z137" i="28" s="1"/>
  <c r="R139" i="2"/>
  <c r="U137" i="28" s="1"/>
  <c r="O139" i="2"/>
  <c r="P137" i="28" s="1"/>
  <c r="L139" i="2"/>
  <c r="J139" i="2"/>
  <c r="I139" i="2"/>
  <c r="H139" i="2"/>
  <c r="G139" i="2"/>
  <c r="F139" i="2"/>
  <c r="E139" i="2"/>
  <c r="D139" i="2"/>
  <c r="A59" i="7"/>
  <c r="D58" i="9"/>
  <c r="AK138" i="2"/>
  <c r="AI138" i="2"/>
  <c r="AH138" i="2"/>
  <c r="AG138" i="2"/>
  <c r="AA138" i="2"/>
  <c r="AJ136" i="28" s="1"/>
  <c r="X138" i="2"/>
  <c r="AE136" i="28" s="1"/>
  <c r="U138" i="2"/>
  <c r="Z136" i="28" s="1"/>
  <c r="R138" i="2"/>
  <c r="U136" i="28" s="1"/>
  <c r="O138" i="2"/>
  <c r="P136" i="28" s="1"/>
  <c r="O137" i="2"/>
  <c r="P135" i="28" s="1"/>
  <c r="L138" i="2"/>
  <c r="K136" i="28" s="1"/>
  <c r="J138" i="2"/>
  <c r="I138" i="2"/>
  <c r="H138" i="2"/>
  <c r="G138" i="2"/>
  <c r="F138" i="2"/>
  <c r="E138" i="2"/>
  <c r="D138" i="2"/>
  <c r="D61" i="9" s="1"/>
  <c r="A59" i="9"/>
  <c r="AK136" i="2"/>
  <c r="AI136" i="2"/>
  <c r="AH136" i="2"/>
  <c r="AG136" i="2"/>
  <c r="AA136" i="2"/>
  <c r="AJ134" i="28" s="1"/>
  <c r="X136" i="2"/>
  <c r="AE134" i="28" s="1"/>
  <c r="U136" i="2"/>
  <c r="Z134" i="28" s="1"/>
  <c r="R136" i="2"/>
  <c r="U134" i="28" s="1"/>
  <c r="O136" i="2"/>
  <c r="P134" i="28" s="1"/>
  <c r="J136" i="2"/>
  <c r="I136" i="2"/>
  <c r="H136" i="2"/>
  <c r="G136" i="2"/>
  <c r="F136" i="2"/>
  <c r="E136" i="2"/>
  <c r="D136" i="2"/>
  <c r="K54" i="6"/>
  <c r="L136" i="2" s="1"/>
  <c r="C53" i="6"/>
  <c r="A54" i="6"/>
  <c r="AK137" i="2"/>
  <c r="AI137" i="2"/>
  <c r="AH137" i="2"/>
  <c r="AG137" i="2"/>
  <c r="AA137" i="2"/>
  <c r="AJ135" i="28" s="1"/>
  <c r="X137" i="2"/>
  <c r="AE135" i="28" s="1"/>
  <c r="U137" i="2"/>
  <c r="Z135" i="28" s="1"/>
  <c r="R137" i="2"/>
  <c r="U135" i="28" s="1"/>
  <c r="P137" i="2"/>
  <c r="S137" i="2"/>
  <c r="V137" i="2"/>
  <c r="W137" i="2" s="1"/>
  <c r="Y137" i="2"/>
  <c r="Z137" i="2" s="1"/>
  <c r="L137" i="2"/>
  <c r="K135" i="28" s="1"/>
  <c r="H137" i="2"/>
  <c r="G137" i="2"/>
  <c r="F137" i="2"/>
  <c r="E137" i="2"/>
  <c r="D137" i="2"/>
  <c r="M111" i="41" l="1"/>
  <c r="Q111" i="41" s="1"/>
  <c r="O111" i="41"/>
  <c r="M112" i="41"/>
  <c r="Q112" i="41" s="1"/>
  <c r="O112" i="41"/>
  <c r="O113" i="41"/>
  <c r="M113" i="41"/>
  <c r="Q113" i="41" s="1"/>
  <c r="M110" i="41"/>
  <c r="Q110" i="41" s="1"/>
  <c r="O110" i="41"/>
  <c r="T112" i="41"/>
  <c r="S112" i="41"/>
  <c r="S111" i="41"/>
  <c r="T111" i="41"/>
  <c r="S113" i="41"/>
  <c r="T113" i="41"/>
  <c r="Q143" i="28"/>
  <c r="AF143" i="28"/>
  <c r="AI143" i="28" s="1"/>
  <c r="AK143" i="28"/>
  <c r="V143" i="28"/>
  <c r="Y143" i="28" s="1"/>
  <c r="AA143" i="28"/>
  <c r="AD143" i="28" s="1"/>
  <c r="AK142" i="28"/>
  <c r="V142" i="28"/>
  <c r="Y142" i="28" s="1"/>
  <c r="AA142" i="28"/>
  <c r="AD142" i="28" s="1"/>
  <c r="Q142" i="28"/>
  <c r="AF142" i="28"/>
  <c r="AI142" i="28" s="1"/>
  <c r="V144" i="28"/>
  <c r="Y144" i="28" s="1"/>
  <c r="AA144" i="28"/>
  <c r="AD144" i="28" s="1"/>
  <c r="AK144" i="28"/>
  <c r="Q144" i="28"/>
  <c r="AF144" i="28"/>
  <c r="AI144" i="28" s="1"/>
  <c r="T110" i="41"/>
  <c r="S110" i="41"/>
  <c r="Q141" i="28"/>
  <c r="AF141" i="28"/>
  <c r="V141" i="28"/>
  <c r="AA141" i="28"/>
  <c r="AK141" i="28"/>
  <c r="K138" i="23"/>
  <c r="K137" i="28"/>
  <c r="K135" i="23"/>
  <c r="K134" i="28"/>
  <c r="AJ133" i="28"/>
  <c r="AJ118" i="28" s="1"/>
  <c r="AE140" i="2"/>
  <c r="K139" i="23"/>
  <c r="K138" i="28"/>
  <c r="Z133" i="28"/>
  <c r="Z118" i="28" s="1"/>
  <c r="P133" i="28"/>
  <c r="P118" i="28" s="1"/>
  <c r="U133" i="28"/>
  <c r="U118" i="28" s="1"/>
  <c r="AE133" i="28"/>
  <c r="AE118" i="28" s="1"/>
  <c r="Q140" i="2"/>
  <c r="N140" i="2"/>
  <c r="AI136" i="10"/>
  <c r="Q136" i="10" s="1"/>
  <c r="K136" i="23"/>
  <c r="A24" i="19"/>
  <c r="A57" i="19" s="1"/>
  <c r="H134" i="28"/>
  <c r="AI137" i="10"/>
  <c r="AC137" i="10" s="1"/>
  <c r="K137" i="23"/>
  <c r="T140" i="2"/>
  <c r="T137" i="2"/>
  <c r="Q137" i="2"/>
  <c r="DD142" i="20"/>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M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G141" i="28"/>
  <c r="G142" i="26"/>
  <c r="G142" i="27"/>
  <c r="G143" i="25"/>
  <c r="G142" i="24"/>
  <c r="AE142" i="20"/>
  <c r="R141" i="26"/>
  <c r="K142" i="20"/>
  <c r="Z145" i="10"/>
  <c r="D142" i="27"/>
  <c r="D142" i="26"/>
  <c r="D141" i="28"/>
  <c r="D142" i="24"/>
  <c r="D143" i="25"/>
  <c r="H141" i="28"/>
  <c r="H142" i="27"/>
  <c r="H142" i="26"/>
  <c r="H142" i="24"/>
  <c r="H143" i="25"/>
  <c r="D140" i="28"/>
  <c r="D141" i="26"/>
  <c r="D141" i="27"/>
  <c r="D141" i="24"/>
  <c r="D142" i="25"/>
  <c r="H140" i="28"/>
  <c r="H141" i="26"/>
  <c r="H141" i="27"/>
  <c r="H141" i="24"/>
  <c r="H142" i="25"/>
  <c r="G141" i="27"/>
  <c r="G141" i="26"/>
  <c r="G140" i="28"/>
  <c r="G141" i="24"/>
  <c r="G142" i="25"/>
  <c r="T145" i="10"/>
  <c r="E142" i="27"/>
  <c r="E142" i="26"/>
  <c r="E141" i="28"/>
  <c r="E142" i="24"/>
  <c r="E143" i="25"/>
  <c r="I142" i="27"/>
  <c r="I142" i="26"/>
  <c r="I141" i="28"/>
  <c r="I142" i="24"/>
  <c r="I143" i="25"/>
  <c r="E140" i="28"/>
  <c r="E141" i="26"/>
  <c r="E141" i="27"/>
  <c r="E141" i="24"/>
  <c r="E142" i="25"/>
  <c r="I140" i="28"/>
  <c r="I141" i="26"/>
  <c r="I141" i="27"/>
  <c r="I141" i="24"/>
  <c r="I142" i="25"/>
  <c r="AE143" i="20"/>
  <c r="R142" i="26"/>
  <c r="V144" i="10"/>
  <c r="F142" i="26"/>
  <c r="F141" i="28"/>
  <c r="F142" i="27"/>
  <c r="F143" i="25"/>
  <c r="F142" i="24"/>
  <c r="J142" i="26"/>
  <c r="J142" i="27"/>
  <c r="J141" i="28"/>
  <c r="J143" i="25"/>
  <c r="J142" i="24"/>
  <c r="F141" i="26"/>
  <c r="F140" i="28"/>
  <c r="F141" i="27"/>
  <c r="F142" i="25"/>
  <c r="F141" i="24"/>
  <c r="J141" i="26"/>
  <c r="J141" i="27"/>
  <c r="J140" i="28"/>
  <c r="J142" i="25"/>
  <c r="J141" i="24"/>
  <c r="J23" i="30"/>
  <c r="M23" i="30" s="1"/>
  <c r="P23" i="30" s="1"/>
  <c r="S23" i="30" s="1"/>
  <c r="V23" i="30" s="1"/>
  <c r="W141" i="10"/>
  <c r="Q141" i="10"/>
  <c r="W143" i="10"/>
  <c r="AF141" i="10"/>
  <c r="AF140" i="10" s="1"/>
  <c r="AF119" i="10" s="1"/>
  <c r="T141" i="10"/>
  <c r="AG142" i="10"/>
  <c r="U142" i="10"/>
  <c r="AD144" i="10"/>
  <c r="AE143" i="10"/>
  <c r="V145" i="10"/>
  <c r="AE144" i="10"/>
  <c r="AO142" i="2"/>
  <c r="W142" i="25"/>
  <c r="Z142" i="25" s="1"/>
  <c r="AN142" i="2"/>
  <c r="AD143" i="10"/>
  <c r="X144" i="10"/>
  <c r="J141" i="11"/>
  <c r="AL142" i="2"/>
  <c r="AH144" i="10"/>
  <c r="AQ141" i="10"/>
  <c r="AG141" i="10" s="1"/>
  <c r="F142" i="20"/>
  <c r="E148" i="38"/>
  <c r="F141" i="23"/>
  <c r="AY138" i="20"/>
  <c r="AU138" i="20"/>
  <c r="AV138" i="20"/>
  <c r="AX138" i="20"/>
  <c r="AT138" i="20"/>
  <c r="AW138" i="20"/>
  <c r="AS138" i="20"/>
  <c r="AV139" i="20"/>
  <c r="AW139" i="20"/>
  <c r="AS139" i="20"/>
  <c r="AY139" i="20"/>
  <c r="AU139" i="20"/>
  <c r="AX139" i="20"/>
  <c r="AT139" i="20"/>
  <c r="AM142" i="10"/>
  <c r="S142" i="10" s="1"/>
  <c r="X143" i="10"/>
  <c r="W144" i="10"/>
  <c r="G143" i="20"/>
  <c r="G142" i="23"/>
  <c r="F149" i="38"/>
  <c r="U141" i="2"/>
  <c r="M149" i="38"/>
  <c r="F140" i="11"/>
  <c r="F148" i="38"/>
  <c r="G141" i="23"/>
  <c r="AX137" i="20"/>
  <c r="AT137" i="20"/>
  <c r="AY137" i="20"/>
  <c r="AU137" i="20"/>
  <c r="AW137" i="20"/>
  <c r="AS137" i="20"/>
  <c r="AV137" i="20"/>
  <c r="I141" i="11"/>
  <c r="I149" i="38"/>
  <c r="J142" i="23"/>
  <c r="J142" i="20"/>
  <c r="I148" i="38"/>
  <c r="J141" i="23"/>
  <c r="AH143" i="10"/>
  <c r="B142" i="10"/>
  <c r="D142" i="23"/>
  <c r="C149" i="38"/>
  <c r="G141" i="11"/>
  <c r="H142" i="23"/>
  <c r="G149" i="38"/>
  <c r="V141" i="11"/>
  <c r="J149" i="38"/>
  <c r="R141" i="2"/>
  <c r="C140" i="11"/>
  <c r="C148" i="38"/>
  <c r="D141" i="23"/>
  <c r="G140" i="11"/>
  <c r="G148" i="38"/>
  <c r="H141" i="23"/>
  <c r="V140" i="11"/>
  <c r="J148" i="38"/>
  <c r="D143" i="20"/>
  <c r="E141" i="11"/>
  <c r="E149" i="38"/>
  <c r="F142" i="23"/>
  <c r="AM141" i="10"/>
  <c r="Y141" i="10" s="1"/>
  <c r="V143" i="10"/>
  <c r="D141" i="11"/>
  <c r="D149" i="38"/>
  <c r="E142" i="23"/>
  <c r="H141" i="11"/>
  <c r="H149" i="38"/>
  <c r="I142" i="23"/>
  <c r="AK142" i="10"/>
  <c r="R142" i="10" s="1"/>
  <c r="K149" i="38"/>
  <c r="AS142" i="10"/>
  <c r="V142" i="10" s="1"/>
  <c r="O149" i="38"/>
  <c r="D140" i="11"/>
  <c r="E141" i="23"/>
  <c r="D148" i="38"/>
  <c r="H140" i="11"/>
  <c r="I141" i="23"/>
  <c r="H148" i="38"/>
  <c r="W140" i="11"/>
  <c r="O148" i="38"/>
  <c r="F141" i="11"/>
  <c r="G142" i="20"/>
  <c r="H143" i="20"/>
  <c r="AA141" i="2"/>
  <c r="E140" i="11"/>
  <c r="I140" i="11"/>
  <c r="AO140" i="10"/>
  <c r="L141" i="2"/>
  <c r="O140" i="28" s="1"/>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N143" i="2"/>
  <c r="AO143" i="2"/>
  <c r="W137" i="10"/>
  <c r="AM142" i="2"/>
  <c r="AL143" i="2"/>
  <c r="AP143" i="2"/>
  <c r="AO144" i="2"/>
  <c r="AO145" i="2"/>
  <c r="AN146" i="2"/>
  <c r="AM146" i="2"/>
  <c r="AL144" i="2"/>
  <c r="AP144" i="2"/>
  <c r="AL145" i="2"/>
  <c r="AP145" i="2"/>
  <c r="AO146" i="2"/>
  <c r="AL146" i="2"/>
  <c r="T142" i="26" l="1"/>
  <c r="N110" i="41"/>
  <c r="T141" i="26"/>
  <c r="N109" i="41"/>
  <c r="L144" i="28"/>
  <c r="O144" i="28" s="1"/>
  <c r="T144" i="28"/>
  <c r="R111" i="41"/>
  <c r="U111" i="41" s="1"/>
  <c r="I111" i="40"/>
  <c r="AN142" i="28"/>
  <c r="AF139" i="28"/>
  <c r="AI141" i="28"/>
  <c r="AI139" i="28" s="1"/>
  <c r="R113" i="41"/>
  <c r="U113" i="41" s="1"/>
  <c r="I113" i="40"/>
  <c r="AN144" i="28"/>
  <c r="L142" i="28"/>
  <c r="O142" i="28" s="1"/>
  <c r="T142" i="28"/>
  <c r="R112" i="41"/>
  <c r="U112" i="41" s="1"/>
  <c r="I112" i="40"/>
  <c r="AN143" i="28"/>
  <c r="R110" i="41"/>
  <c r="U110" i="41" s="1"/>
  <c r="I110" i="40"/>
  <c r="AN141" i="28"/>
  <c r="AK139" i="28"/>
  <c r="L141" i="28"/>
  <c r="Q139" i="28"/>
  <c r="T141" i="28"/>
  <c r="L143" i="28"/>
  <c r="O143" i="28" s="1"/>
  <c r="T143" i="28"/>
  <c r="V139" i="28"/>
  <c r="Y141" i="28"/>
  <c r="Y139" i="28" s="1"/>
  <c r="AA139" i="28"/>
  <c r="AD141" i="28"/>
  <c r="AD139" i="28" s="1"/>
  <c r="K133" i="28"/>
  <c r="AC136" i="10"/>
  <c r="AQ139" i="28"/>
  <c r="W136" i="10"/>
  <c r="Q137" i="10"/>
  <c r="K134" i="23"/>
  <c r="AQ140" i="10"/>
  <c r="AE142" i="10"/>
  <c r="Z141" i="20"/>
  <c r="F24" i="21" s="1"/>
  <c r="AH142" i="10"/>
  <c r="AH140" i="10" s="1"/>
  <c r="N36" i="1" s="1"/>
  <c r="AB142" i="10"/>
  <c r="AB140" i="10" s="1"/>
  <c r="L36" i="1" s="1"/>
  <c r="AS140" i="10"/>
  <c r="P36" i="1" s="1"/>
  <c r="CI143" i="10"/>
  <c r="CJ143" i="10" s="1"/>
  <c r="AE141" i="20"/>
  <c r="K24" i="21" s="1"/>
  <c r="AP141" i="2"/>
  <c r="H23" i="19" s="1"/>
  <c r="AM141" i="2"/>
  <c r="E23" i="19" s="1"/>
  <c r="AD141" i="20"/>
  <c r="J24" i="21" s="1"/>
  <c r="AG140" i="10"/>
  <c r="AG119" i="10" s="1"/>
  <c r="AO141" i="2"/>
  <c r="G23" i="19" s="1"/>
  <c r="CI144" i="10"/>
  <c r="O147" i="38"/>
  <c r="AE140" i="27"/>
  <c r="AL141" i="2"/>
  <c r="D23" i="19" s="1"/>
  <c r="D56" i="19" s="1"/>
  <c r="AN141" i="2"/>
  <c r="F23" i="19" s="1"/>
  <c r="CI145" i="10"/>
  <c r="AE141" i="10"/>
  <c r="S141" i="10"/>
  <c r="AA141" i="10"/>
  <c r="AA140" i="10" s="1"/>
  <c r="AA119" i="10" s="1"/>
  <c r="U141" i="10"/>
  <c r="W140" i="10"/>
  <c r="K36" i="1" s="1"/>
  <c r="L147" i="38"/>
  <c r="S140" i="27"/>
  <c r="N147" i="38"/>
  <c r="AA140" i="27"/>
  <c r="M147" i="38"/>
  <c r="W140" i="27"/>
  <c r="K147" i="38"/>
  <c r="O140" i="27"/>
  <c r="J147" i="38"/>
  <c r="K140" i="27"/>
  <c r="AC141" i="20"/>
  <c r="I24" i="21" s="1"/>
  <c r="AD142" i="10"/>
  <c r="AD140" i="10" s="1"/>
  <c r="AD119" i="10" s="1"/>
  <c r="X142" i="10"/>
  <c r="X140" i="10" s="1"/>
  <c r="X119" i="10" s="1"/>
  <c r="AK140" i="10"/>
  <c r="AB141" i="20"/>
  <c r="H24" i="21" s="1"/>
  <c r="AM140" i="10"/>
  <c r="Y142" i="10"/>
  <c r="Y140" i="10" s="1"/>
  <c r="Y119" i="10" s="1"/>
  <c r="Y141" i="20"/>
  <c r="E24" i="21" s="1"/>
  <c r="AA141" i="20"/>
  <c r="G24" i="21" s="1"/>
  <c r="Z140" i="10"/>
  <c r="Z119" i="10" s="1"/>
  <c r="M110" i="40" l="1"/>
  <c r="L110" i="40"/>
  <c r="L113" i="40"/>
  <c r="M113" i="40"/>
  <c r="M111" i="40"/>
  <c r="L111" i="40"/>
  <c r="L112" i="40"/>
  <c r="M112" i="40"/>
  <c r="L139" i="28"/>
  <c r="O141" i="28"/>
  <c r="O139" i="28" s="1"/>
  <c r="T139" i="28"/>
  <c r="AN139" i="28"/>
  <c r="K118" i="28"/>
  <c r="E77" i="21"/>
  <c r="F77" i="21" s="1"/>
  <c r="G77" i="21" s="1"/>
  <c r="H77" i="21" s="1"/>
  <c r="I77" i="21" s="1"/>
  <c r="J77" i="21" s="1"/>
  <c r="K77" i="21" s="1"/>
  <c r="L24" i="21"/>
  <c r="L77" i="21" s="1"/>
  <c r="AE140" i="10"/>
  <c r="AE119" i="10" s="1"/>
  <c r="CI142" i="10"/>
  <c r="CJ142" i="10" s="1"/>
  <c r="E56" i="19"/>
  <c r="F56" i="19" s="1"/>
  <c r="G56" i="19" s="1"/>
  <c r="H56" i="19" s="1"/>
  <c r="E51" i="10" l="1"/>
  <c r="D37" i="2"/>
  <c r="AA153" i="10" l="1"/>
  <c r="Z153" i="10"/>
  <c r="Y153" i="10"/>
  <c r="U153" i="10"/>
  <c r="T153" i="10"/>
  <c r="S153" i="10"/>
  <c r="J156" i="10" l="1"/>
  <c r="P156" i="10" s="1"/>
  <c r="F154" i="10"/>
  <c r="L154" i="10" s="1"/>
  <c r="W58" i="8"/>
  <c r="V64" i="7"/>
  <c r="AK151" i="2"/>
  <c r="V59" i="6"/>
  <c r="AK103" i="2"/>
  <c r="CH102" i="10" s="1"/>
  <c r="DE103" i="20" l="1"/>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7" i="10"/>
  <c r="CT36" i="10"/>
  <c r="CU36" i="10" s="1"/>
  <c r="CT34" i="10"/>
  <c r="CU34" i="10" s="1"/>
  <c r="A121" i="38" l="1"/>
  <c r="B121" i="38"/>
  <c r="R121" i="38"/>
  <c r="S121" i="38"/>
  <c r="A33" i="38"/>
  <c r="A34" i="38"/>
  <c r="A35" i="38"/>
  <c r="A36" i="38"/>
  <c r="A37" i="38"/>
  <c r="A38" i="38"/>
  <c r="A39" i="38"/>
  <c r="A40" i="38"/>
  <c r="A41" i="38"/>
  <c r="A42" i="38"/>
  <c r="A43" i="38"/>
  <c r="A44" i="38"/>
  <c r="A45" i="38"/>
  <c r="A46" i="38"/>
  <c r="A47" i="38"/>
  <c r="A48" i="38"/>
  <c r="A49" i="38"/>
  <c r="A50" i="38"/>
  <c r="A51" i="38"/>
  <c r="AK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A5" i="28"/>
  <c r="A6" i="28"/>
  <c r="A7" i="28"/>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34" i="27"/>
  <c r="A135" i="27"/>
  <c r="A136" i="27"/>
  <c r="A85" i="27"/>
  <c r="L85" i="27"/>
  <c r="T85" i="27"/>
  <c r="X85" i="27"/>
  <c r="AB85" i="27"/>
  <c r="AF85"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38" i="27"/>
  <c r="A39" i="27"/>
  <c r="A40" i="27"/>
  <c r="A41" i="27"/>
  <c r="A42" i="27"/>
  <c r="A43" i="27"/>
  <c r="A44" i="27"/>
  <c r="Z166" i="23"/>
  <c r="W166" i="23"/>
  <c r="T166" i="23"/>
  <c r="Q166" i="23"/>
  <c r="N166" i="23"/>
  <c r="K166" i="23"/>
  <c r="Z139" i="23"/>
  <c r="W139" i="23"/>
  <c r="T139" i="23"/>
  <c r="Q139" i="23"/>
  <c r="N139" i="23"/>
  <c r="Z138" i="23"/>
  <c r="W138" i="23"/>
  <c r="T138" i="23"/>
  <c r="Q138" i="23"/>
  <c r="N138" i="23"/>
  <c r="Z137" i="23"/>
  <c r="W137" i="23"/>
  <c r="T137" i="23"/>
  <c r="Q137" i="23"/>
  <c r="N137" i="23"/>
  <c r="Z136" i="23"/>
  <c r="W136" i="23"/>
  <c r="T136" i="23"/>
  <c r="Q136" i="23"/>
  <c r="N136" i="23"/>
  <c r="Z135" i="23"/>
  <c r="W135" i="23"/>
  <c r="T135" i="23"/>
  <c r="Q135" i="23"/>
  <c r="N135" i="23"/>
  <c r="Z128" i="23"/>
  <c r="W128" i="23"/>
  <c r="T128" i="23"/>
  <c r="Q128" i="23"/>
  <c r="N128" i="23"/>
  <c r="K128" i="23"/>
  <c r="Z127" i="23"/>
  <c r="W127" i="23"/>
  <c r="T127" i="23"/>
  <c r="Q127" i="23"/>
  <c r="N127" i="23"/>
  <c r="K127" i="23"/>
  <c r="Z126" i="23"/>
  <c r="W126" i="23"/>
  <c r="T126" i="23"/>
  <c r="Q126" i="23"/>
  <c r="N126" i="23"/>
  <c r="K126" i="23"/>
  <c r="Z125" i="23"/>
  <c r="W125" i="23"/>
  <c r="T125" i="23"/>
  <c r="Q125" i="23"/>
  <c r="N125" i="23"/>
  <c r="K125" i="23"/>
  <c r="Z124" i="23"/>
  <c r="W124" i="23"/>
  <c r="T124" i="23"/>
  <c r="Q124" i="23"/>
  <c r="N124" i="23"/>
  <c r="K124" i="23"/>
  <c r="Z123" i="23"/>
  <c r="W123" i="23"/>
  <c r="T123" i="23"/>
  <c r="Q123" i="23"/>
  <c r="N123" i="23"/>
  <c r="K123" i="23"/>
  <c r="Z122" i="23"/>
  <c r="W122" i="23"/>
  <c r="T122" i="23"/>
  <c r="Q122" i="23"/>
  <c r="N122" i="23"/>
  <c r="K122" i="23"/>
  <c r="Z121" i="23"/>
  <c r="W121" i="23"/>
  <c r="T121" i="23"/>
  <c r="Q121" i="23"/>
  <c r="N121" i="23"/>
  <c r="K121" i="23"/>
  <c r="Z79" i="23"/>
  <c r="W79" i="23"/>
  <c r="T79" i="23"/>
  <c r="Q79" i="23"/>
  <c r="N79" i="23"/>
  <c r="K79" i="23"/>
  <c r="Z60" i="23"/>
  <c r="W60" i="23"/>
  <c r="T60" i="23"/>
  <c r="Q60" i="23"/>
  <c r="N60" i="23"/>
  <c r="K60" i="23"/>
  <c r="Z35" i="23"/>
  <c r="W35" i="23"/>
  <c r="T35" i="23"/>
  <c r="Q35" i="23"/>
  <c r="N35" i="23"/>
  <c r="K35" i="23"/>
  <c r="A107" i="23"/>
  <c r="A108" i="23"/>
  <c r="A109" i="23"/>
  <c r="A110" i="23"/>
  <c r="A111" i="23"/>
  <c r="A112" i="23"/>
  <c r="A113" i="23"/>
  <c r="A114" i="23"/>
  <c r="A115" i="23"/>
  <c r="A116" i="23"/>
  <c r="A117" i="23"/>
  <c r="A118" i="23"/>
  <c r="A119" i="23"/>
  <c r="A120" i="23"/>
  <c r="A121" i="23"/>
  <c r="A122" i="23"/>
  <c r="A123" i="23"/>
  <c r="A124" i="23"/>
  <c r="A125" i="23"/>
  <c r="H145" i="40" l="1"/>
  <c r="H149" i="40" s="1"/>
  <c r="N134" i="23"/>
  <c r="W120" i="23"/>
  <c r="Z134" i="23"/>
  <c r="N120" i="23"/>
  <c r="N119" i="23" s="1"/>
  <c r="Z120" i="23"/>
  <c r="Q134" i="23"/>
  <c r="Q120" i="23"/>
  <c r="T134" i="23"/>
  <c r="T120" i="23"/>
  <c r="W134" i="23"/>
  <c r="W119" i="23" s="1"/>
  <c r="K120" i="23"/>
  <c r="V84" i="2"/>
  <c r="W84" i="2" s="1"/>
  <c r="S84" i="2"/>
  <c r="T84" i="2" s="1"/>
  <c r="AD84" i="2"/>
  <c r="AE84" i="2" s="1"/>
  <c r="M84" i="2"/>
  <c r="N84" i="2" s="1"/>
  <c r="Y84" i="2"/>
  <c r="Z84" i="2" s="1"/>
  <c r="A169" i="26"/>
  <c r="A45" i="26"/>
  <c r="A6" i="26"/>
  <c r="P169" i="26"/>
  <c r="P168" i="26" s="1"/>
  <c r="O169" i="26"/>
  <c r="O168" i="26" s="1"/>
  <c r="N169" i="26"/>
  <c r="N168" i="26" s="1"/>
  <c r="M169" i="26"/>
  <c r="M168" i="26" s="1"/>
  <c r="L169" i="26"/>
  <c r="L168" i="26" s="1"/>
  <c r="K169" i="26"/>
  <c r="K168" i="26" s="1"/>
  <c r="P55" i="26"/>
  <c r="O55" i="26"/>
  <c r="N55" i="26"/>
  <c r="M55" i="26"/>
  <c r="L55" i="26"/>
  <c r="K55" i="26"/>
  <c r="U9" i="26"/>
  <c r="P180" i="25"/>
  <c r="O180" i="25"/>
  <c r="N180" i="25"/>
  <c r="M180" i="25"/>
  <c r="L180" i="25"/>
  <c r="K180" i="25"/>
  <c r="P175" i="25"/>
  <c r="O175" i="25"/>
  <c r="N175" i="25"/>
  <c r="M175" i="25"/>
  <c r="L175" i="25"/>
  <c r="K175" i="25"/>
  <c r="P167" i="25"/>
  <c r="O167" i="25"/>
  <c r="N167" i="25"/>
  <c r="M167" i="25"/>
  <c r="L167" i="25"/>
  <c r="K167" i="25"/>
  <c r="P140" i="25"/>
  <c r="O140" i="25"/>
  <c r="N140" i="25"/>
  <c r="M140" i="25"/>
  <c r="L140" i="25"/>
  <c r="K140" i="25"/>
  <c r="P139" i="25"/>
  <c r="O139" i="25"/>
  <c r="N139" i="25"/>
  <c r="M139" i="25"/>
  <c r="L139" i="25"/>
  <c r="K139" i="25"/>
  <c r="P138" i="25"/>
  <c r="O138" i="25"/>
  <c r="N138" i="25"/>
  <c r="M138" i="25"/>
  <c r="L138" i="25"/>
  <c r="K138" i="25"/>
  <c r="P137" i="25"/>
  <c r="O137" i="25"/>
  <c r="N137" i="25"/>
  <c r="M137" i="25"/>
  <c r="L137" i="25"/>
  <c r="K137" i="25"/>
  <c r="P136" i="25"/>
  <c r="O136" i="25"/>
  <c r="N136" i="25"/>
  <c r="M136" i="25"/>
  <c r="L136" i="25"/>
  <c r="K136" i="25"/>
  <c r="P129" i="25"/>
  <c r="O129" i="25"/>
  <c r="N129" i="25"/>
  <c r="M129" i="25"/>
  <c r="L129" i="25"/>
  <c r="K129" i="25"/>
  <c r="P128" i="25"/>
  <c r="O128" i="25"/>
  <c r="N128" i="25"/>
  <c r="M128" i="25"/>
  <c r="L128" i="25"/>
  <c r="K128" i="25"/>
  <c r="P127" i="25"/>
  <c r="O127" i="25"/>
  <c r="N127" i="25"/>
  <c r="M127" i="25"/>
  <c r="L127" i="25"/>
  <c r="K127" i="25"/>
  <c r="P126" i="25"/>
  <c r="O126" i="25"/>
  <c r="N126" i="25"/>
  <c r="M126" i="25"/>
  <c r="L126" i="25"/>
  <c r="K126" i="25"/>
  <c r="P125" i="25"/>
  <c r="O125" i="25"/>
  <c r="N125" i="25"/>
  <c r="M125" i="25"/>
  <c r="L125" i="25"/>
  <c r="K125" i="25"/>
  <c r="P124" i="25"/>
  <c r="O124" i="25"/>
  <c r="N124" i="25"/>
  <c r="M124" i="25"/>
  <c r="L124" i="25"/>
  <c r="K124" i="25"/>
  <c r="P123" i="25"/>
  <c r="O123" i="25"/>
  <c r="N123" i="25"/>
  <c r="M123" i="25"/>
  <c r="L123" i="25"/>
  <c r="K123" i="25"/>
  <c r="P122" i="25"/>
  <c r="O122" i="25"/>
  <c r="N122" i="25"/>
  <c r="M122" i="25"/>
  <c r="L122" i="25"/>
  <c r="K122" i="25"/>
  <c r="A120"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P97" i="25"/>
  <c r="O97" i="25"/>
  <c r="N97" i="25"/>
  <c r="M97" i="25"/>
  <c r="L97" i="25"/>
  <c r="K97" i="25"/>
  <c r="P95" i="25"/>
  <c r="O95" i="25"/>
  <c r="N95" i="25"/>
  <c r="M95" i="25"/>
  <c r="L95" i="25"/>
  <c r="K95" i="25"/>
  <c r="P91" i="25"/>
  <c r="O91" i="25"/>
  <c r="N91" i="25"/>
  <c r="M91" i="25"/>
  <c r="L91" i="25"/>
  <c r="K91" i="25"/>
  <c r="P82" i="25"/>
  <c r="O82" i="25"/>
  <c r="N82" i="25"/>
  <c r="M82" i="25"/>
  <c r="L82" i="25"/>
  <c r="K82" i="25"/>
  <c r="P80" i="25"/>
  <c r="O80" i="25"/>
  <c r="N80" i="25"/>
  <c r="M80" i="25"/>
  <c r="L80" i="25"/>
  <c r="K80" i="25"/>
  <c r="P78" i="25"/>
  <c r="O78" i="25"/>
  <c r="N78" i="25"/>
  <c r="M78" i="25"/>
  <c r="L78" i="25"/>
  <c r="K78" i="25"/>
  <c r="P77" i="25"/>
  <c r="O77" i="25"/>
  <c r="N77" i="25"/>
  <c r="M77" i="25"/>
  <c r="L77" i="25"/>
  <c r="K77" i="25"/>
  <c r="P76" i="25"/>
  <c r="O76" i="25"/>
  <c r="N76" i="25"/>
  <c r="M76" i="25"/>
  <c r="L76" i="25"/>
  <c r="K76" i="25"/>
  <c r="P75" i="25"/>
  <c r="O75" i="25"/>
  <c r="N75" i="25"/>
  <c r="M75" i="25"/>
  <c r="L75" i="25"/>
  <c r="K75" i="25"/>
  <c r="P71" i="25"/>
  <c r="O71" i="25"/>
  <c r="N71" i="25"/>
  <c r="M71" i="25"/>
  <c r="L71" i="25"/>
  <c r="K71" i="25"/>
  <c r="A67" i="25"/>
  <c r="A68" i="25"/>
  <c r="A69" i="25"/>
  <c r="A70" i="25"/>
  <c r="A71" i="25"/>
  <c r="A72" i="25"/>
  <c r="A73" i="25"/>
  <c r="A74" i="25"/>
  <c r="A75" i="25"/>
  <c r="A76" i="25"/>
  <c r="A77" i="25"/>
  <c r="A78" i="25"/>
  <c r="A79" i="25"/>
  <c r="A80" i="25"/>
  <c r="A81" i="25"/>
  <c r="A82" i="25"/>
  <c r="A83" i="25"/>
  <c r="A86" i="25"/>
  <c r="A87" i="25"/>
  <c r="A88" i="25"/>
  <c r="A89" i="25"/>
  <c r="A90" i="25"/>
  <c r="A91" i="25"/>
  <c r="A56" i="25"/>
  <c r="P61" i="25"/>
  <c r="O61" i="25"/>
  <c r="N61" i="25"/>
  <c r="M61" i="25"/>
  <c r="L61" i="25"/>
  <c r="K61" i="25"/>
  <c r="A58" i="25"/>
  <c r="A59" i="25"/>
  <c r="A60" i="25"/>
  <c r="A61" i="25"/>
  <c r="A62" i="25"/>
  <c r="A63" i="25"/>
  <c r="A64" i="25"/>
  <c r="A65" i="25"/>
  <c r="A66" i="25"/>
  <c r="P45" i="25"/>
  <c r="O45" i="25"/>
  <c r="N45" i="25"/>
  <c r="M45" i="25"/>
  <c r="L45" i="25"/>
  <c r="K45" i="25"/>
  <c r="P44" i="25"/>
  <c r="O44" i="25"/>
  <c r="N44" i="25"/>
  <c r="M44" i="25"/>
  <c r="L44" i="25"/>
  <c r="K44" i="25"/>
  <c r="P36" i="25"/>
  <c r="O36" i="25"/>
  <c r="N36" i="25"/>
  <c r="M36" i="25"/>
  <c r="L36" i="25"/>
  <c r="K36" i="25"/>
  <c r="A39" i="25"/>
  <c r="A40" i="25"/>
  <c r="A41" i="25"/>
  <c r="A42" i="25"/>
  <c r="A43" i="25"/>
  <c r="A44" i="25"/>
  <c r="A45" i="25"/>
  <c r="A46" i="25"/>
  <c r="A47" i="25"/>
  <c r="A48" i="25"/>
  <c r="A49" i="25"/>
  <c r="A50" i="25"/>
  <c r="A51" i="25"/>
  <c r="A52" i="25"/>
  <c r="A53" i="25"/>
  <c r="A54" i="25"/>
  <c r="A55" i="25"/>
  <c r="A57" i="25"/>
  <c r="P32" i="25"/>
  <c r="O32" i="25"/>
  <c r="N32" i="25"/>
  <c r="M32" i="25"/>
  <c r="L32" i="25"/>
  <c r="K32" i="25"/>
  <c r="P31" i="25"/>
  <c r="O31" i="25"/>
  <c r="N31" i="25"/>
  <c r="M31" i="25"/>
  <c r="L31" i="25"/>
  <c r="K31" i="25"/>
  <c r="P28" i="25"/>
  <c r="O28" i="25"/>
  <c r="N28" i="25"/>
  <c r="M28" i="25"/>
  <c r="L28" i="25"/>
  <c r="K28" i="25"/>
  <c r="P24" i="25"/>
  <c r="O24" i="25"/>
  <c r="N24" i="25"/>
  <c r="M24" i="25"/>
  <c r="L24" i="25"/>
  <c r="K24" i="25"/>
  <c r="P21" i="25"/>
  <c r="O21" i="25"/>
  <c r="N21" i="25"/>
  <c r="M21" i="25"/>
  <c r="L21" i="25"/>
  <c r="K21" i="25"/>
  <c r="P16" i="25"/>
  <c r="O16" i="25"/>
  <c r="N16" i="25"/>
  <c r="M16" i="25"/>
  <c r="L16" i="25"/>
  <c r="K16" i="25"/>
  <c r="A32" i="24"/>
  <c r="A169" i="24"/>
  <c r="A170" i="24"/>
  <c r="A171" i="24"/>
  <c r="A172" i="24"/>
  <c r="A173" i="24"/>
  <c r="A174" i="24"/>
  <c r="A175" i="24"/>
  <c r="A176" i="24"/>
  <c r="A177" i="24"/>
  <c r="A178" i="24"/>
  <c r="A179" i="24"/>
  <c r="A180" i="24"/>
  <c r="P179" i="24"/>
  <c r="O179" i="24"/>
  <c r="N179" i="24"/>
  <c r="M179" i="24"/>
  <c r="L179" i="24"/>
  <c r="K179" i="24"/>
  <c r="P174" i="24"/>
  <c r="O174" i="24"/>
  <c r="N174" i="24"/>
  <c r="M174" i="24"/>
  <c r="L174" i="24"/>
  <c r="K174" i="24"/>
  <c r="P166" i="24"/>
  <c r="O166" i="24"/>
  <c r="N166" i="24"/>
  <c r="M166" i="24"/>
  <c r="L166" i="24"/>
  <c r="K166" i="24"/>
  <c r="P139" i="24"/>
  <c r="O139" i="24"/>
  <c r="N139" i="24"/>
  <c r="M139" i="24"/>
  <c r="L139" i="24"/>
  <c r="K139" i="24"/>
  <c r="P138" i="24"/>
  <c r="O138" i="24"/>
  <c r="N138" i="24"/>
  <c r="M138" i="24"/>
  <c r="L138" i="24"/>
  <c r="K138" i="24"/>
  <c r="P137" i="24"/>
  <c r="O137" i="24"/>
  <c r="N137" i="24"/>
  <c r="M137" i="24"/>
  <c r="L137" i="24"/>
  <c r="K137" i="24"/>
  <c r="P136" i="24"/>
  <c r="O136" i="24"/>
  <c r="N136" i="24"/>
  <c r="M136" i="24"/>
  <c r="L136" i="24"/>
  <c r="K136" i="24"/>
  <c r="P135" i="24"/>
  <c r="O135" i="24"/>
  <c r="N135" i="24"/>
  <c r="M135" i="24"/>
  <c r="L135" i="24"/>
  <c r="K135" i="24"/>
  <c r="P128" i="24"/>
  <c r="O128" i="24"/>
  <c r="N128" i="24"/>
  <c r="M128" i="24"/>
  <c r="L128" i="24"/>
  <c r="K128" i="24"/>
  <c r="P127" i="24"/>
  <c r="O127" i="24"/>
  <c r="N127" i="24"/>
  <c r="M127" i="24"/>
  <c r="L127" i="24"/>
  <c r="K127" i="24"/>
  <c r="P126" i="24"/>
  <c r="O126" i="24"/>
  <c r="N126" i="24"/>
  <c r="M126" i="24"/>
  <c r="L126" i="24"/>
  <c r="K126" i="24"/>
  <c r="P125" i="24"/>
  <c r="O125" i="24"/>
  <c r="N125" i="24"/>
  <c r="M125" i="24"/>
  <c r="L125" i="24"/>
  <c r="K125" i="24"/>
  <c r="P124" i="24"/>
  <c r="O124" i="24"/>
  <c r="N124" i="24"/>
  <c r="M124" i="24"/>
  <c r="L124" i="24"/>
  <c r="K124" i="24"/>
  <c r="P123" i="24"/>
  <c r="O123" i="24"/>
  <c r="N123" i="24"/>
  <c r="M123" i="24"/>
  <c r="L123" i="24"/>
  <c r="K123" i="24"/>
  <c r="P122" i="24"/>
  <c r="O122" i="24"/>
  <c r="N122" i="24"/>
  <c r="M122" i="24"/>
  <c r="L122" i="24"/>
  <c r="K122" i="24"/>
  <c r="P121" i="24"/>
  <c r="O121" i="24"/>
  <c r="N121" i="24"/>
  <c r="M121" i="24"/>
  <c r="L121" i="24"/>
  <c r="K121" i="24"/>
  <c r="P90" i="24"/>
  <c r="O90" i="24"/>
  <c r="N90" i="24"/>
  <c r="M90" i="24"/>
  <c r="L90" i="24"/>
  <c r="K90" i="24"/>
  <c r="P81" i="24"/>
  <c r="O81" i="24"/>
  <c r="N81" i="24"/>
  <c r="M81" i="24"/>
  <c r="L81" i="24"/>
  <c r="K81" i="24"/>
  <c r="P79" i="24"/>
  <c r="O79" i="24"/>
  <c r="N79" i="24"/>
  <c r="M79" i="24"/>
  <c r="L79" i="24"/>
  <c r="K79" i="24"/>
  <c r="P75" i="24"/>
  <c r="O75" i="24"/>
  <c r="N75" i="24"/>
  <c r="M75" i="24"/>
  <c r="L75" i="24"/>
  <c r="K75" i="24"/>
  <c r="P74" i="24"/>
  <c r="O74" i="24"/>
  <c r="N74" i="24"/>
  <c r="M74" i="24"/>
  <c r="L74" i="24"/>
  <c r="K74" i="24"/>
  <c r="P60" i="24"/>
  <c r="O60" i="24"/>
  <c r="N60" i="24"/>
  <c r="M60" i="24"/>
  <c r="L60" i="24"/>
  <c r="K60" i="24"/>
  <c r="P35" i="24"/>
  <c r="O35" i="24"/>
  <c r="N35" i="24"/>
  <c r="M35" i="24"/>
  <c r="L35" i="24"/>
  <c r="K35" i="24"/>
  <c r="A55" i="24"/>
  <c r="A56" i="24"/>
  <c r="A57" i="24"/>
  <c r="A58" i="24"/>
  <c r="A59" i="24"/>
  <c r="A60" i="24"/>
  <c r="A61" i="24"/>
  <c r="A62" i="24"/>
  <c r="A63" i="24"/>
  <c r="A64" i="24"/>
  <c r="A65" i="24"/>
  <c r="A66" i="24"/>
  <c r="A67" i="24"/>
  <c r="A68" i="24"/>
  <c r="A69" i="24"/>
  <c r="A70" i="24"/>
  <c r="A71" i="24"/>
  <c r="A72" i="24"/>
  <c r="A73" i="24"/>
  <c r="A45" i="24"/>
  <c r="Z119" i="23" l="1"/>
  <c r="Q119" i="23"/>
  <c r="T119" i="23"/>
  <c r="L91" i="26"/>
  <c r="P91" i="26"/>
  <c r="M91" i="26"/>
  <c r="K91" i="26"/>
  <c r="N91" i="26"/>
  <c r="O91" i="26"/>
  <c r="N74" i="25"/>
  <c r="N121" i="25"/>
  <c r="L121" i="25"/>
  <c r="P121" i="25"/>
  <c r="N8" i="26"/>
  <c r="N120" i="24"/>
  <c r="K74" i="25"/>
  <c r="O74" i="25"/>
  <c r="K121" i="25"/>
  <c r="O121" i="25"/>
  <c r="L135" i="25"/>
  <c r="N134" i="24"/>
  <c r="N135" i="25"/>
  <c r="K135" i="25"/>
  <c r="O135" i="25"/>
  <c r="P135" i="25"/>
  <c r="M134" i="24"/>
  <c r="M135" i="25"/>
  <c r="K120" i="24"/>
  <c r="O120" i="24"/>
  <c r="M120" i="24"/>
  <c r="K134" i="24"/>
  <c r="O134" i="24"/>
  <c r="L74" i="25"/>
  <c r="P74" i="25"/>
  <c r="L120" i="24"/>
  <c r="P120" i="24"/>
  <c r="L134" i="24"/>
  <c r="P134" i="24"/>
  <c r="M74" i="25"/>
  <c r="M121" i="25"/>
  <c r="M8" i="26"/>
  <c r="K8" i="26"/>
  <c r="O8" i="26"/>
  <c r="L32" i="26"/>
  <c r="P32" i="26"/>
  <c r="N38" i="26"/>
  <c r="L49" i="26"/>
  <c r="P49" i="26"/>
  <c r="L57" i="26"/>
  <c r="P57" i="26"/>
  <c r="N61" i="26"/>
  <c r="N66" i="26"/>
  <c r="L73" i="26"/>
  <c r="P73" i="26"/>
  <c r="L85" i="26"/>
  <c r="P85" i="26"/>
  <c r="N101" i="26"/>
  <c r="L107" i="26"/>
  <c r="P107" i="26"/>
  <c r="N113" i="26"/>
  <c r="L120" i="26"/>
  <c r="P120" i="26"/>
  <c r="L134" i="26"/>
  <c r="P134" i="26"/>
  <c r="N147" i="26"/>
  <c r="L153" i="26"/>
  <c r="P153" i="26"/>
  <c r="N160" i="26"/>
  <c r="N159" i="26" s="1"/>
  <c r="L8" i="26"/>
  <c r="P8" i="26"/>
  <c r="M32" i="26"/>
  <c r="K38" i="26"/>
  <c r="O38" i="26"/>
  <c r="M49" i="26"/>
  <c r="M57" i="26"/>
  <c r="K61" i="26"/>
  <c r="O61" i="26"/>
  <c r="K66" i="26"/>
  <c r="O66" i="26"/>
  <c r="M73" i="26"/>
  <c r="M85" i="26"/>
  <c r="K101" i="26"/>
  <c r="O101" i="26"/>
  <c r="M107" i="26"/>
  <c r="K113" i="26"/>
  <c r="O113" i="26"/>
  <c r="M120" i="26"/>
  <c r="M134" i="26"/>
  <c r="K147" i="26"/>
  <c r="O147" i="26"/>
  <c r="M153" i="26"/>
  <c r="K160" i="26"/>
  <c r="K159" i="26" s="1"/>
  <c r="O160" i="26"/>
  <c r="O159" i="26" s="1"/>
  <c r="N32" i="26"/>
  <c r="L38" i="26"/>
  <c r="P38" i="26"/>
  <c r="N49" i="26"/>
  <c r="N57" i="26"/>
  <c r="L61" i="26"/>
  <c r="P61" i="26"/>
  <c r="L66" i="26"/>
  <c r="P66" i="26"/>
  <c r="N73" i="26"/>
  <c r="N85" i="26"/>
  <c r="L101" i="26"/>
  <c r="P101" i="26"/>
  <c r="N107" i="26"/>
  <c r="L113" i="26"/>
  <c r="P113" i="26"/>
  <c r="N120" i="26"/>
  <c r="N134" i="26"/>
  <c r="L147" i="26"/>
  <c r="P147" i="26"/>
  <c r="N153" i="26"/>
  <c r="L160" i="26"/>
  <c r="L159" i="26" s="1"/>
  <c r="P160" i="26"/>
  <c r="P159" i="26" s="1"/>
  <c r="K32" i="26"/>
  <c r="O32" i="26"/>
  <c r="M38" i="26"/>
  <c r="K49" i="26"/>
  <c r="O49" i="26"/>
  <c r="K57" i="26"/>
  <c r="O57" i="26"/>
  <c r="M61" i="26"/>
  <c r="M66" i="26"/>
  <c r="K73" i="26"/>
  <c r="O73" i="26"/>
  <c r="K85" i="26"/>
  <c r="O85" i="26"/>
  <c r="M101" i="26"/>
  <c r="K107" i="26"/>
  <c r="O107" i="26"/>
  <c r="M113" i="26"/>
  <c r="K120" i="26"/>
  <c r="O120" i="26"/>
  <c r="K134" i="26"/>
  <c r="O134" i="26"/>
  <c r="M147" i="26"/>
  <c r="K153" i="26"/>
  <c r="O153" i="26"/>
  <c r="M160" i="26"/>
  <c r="M159" i="26" s="1"/>
  <c r="A38" i="24"/>
  <c r="A39" i="24"/>
  <c r="A40" i="24"/>
  <c r="A41" i="24"/>
  <c r="A42" i="24"/>
  <c r="A43" i="24"/>
  <c r="A44" i="24"/>
  <c r="A46" i="24"/>
  <c r="A47" i="24"/>
  <c r="A48" i="24"/>
  <c r="A49" i="24"/>
  <c r="A50" i="24"/>
  <c r="A51" i="24"/>
  <c r="A52" i="24"/>
  <c r="A53" i="24"/>
  <c r="A54" i="24"/>
  <c r="P120" i="25" l="1"/>
  <c r="N120" i="25"/>
  <c r="P119" i="26"/>
  <c r="O119" i="26"/>
  <c r="N119" i="26"/>
  <c r="K119" i="26"/>
  <c r="M119" i="26"/>
  <c r="L119" i="26"/>
  <c r="P146" i="26"/>
  <c r="P100" i="26"/>
  <c r="N119" i="24"/>
  <c r="O120" i="25"/>
  <c r="N146" i="26"/>
  <c r="L120" i="25"/>
  <c r="K146" i="26"/>
  <c r="K100" i="26"/>
  <c r="K120" i="25"/>
  <c r="M146" i="26"/>
  <c r="O146" i="26"/>
  <c r="O100" i="26"/>
  <c r="N100" i="26"/>
  <c r="M120" i="25"/>
  <c r="M119" i="24"/>
  <c r="L119" i="24"/>
  <c r="M100" i="26"/>
  <c r="L100" i="26"/>
  <c r="L146" i="26"/>
  <c r="O119" i="24"/>
  <c r="P119" i="24"/>
  <c r="K119" i="24"/>
  <c r="AF180" i="2"/>
  <c r="AF179" i="2"/>
  <c r="AF178" i="2"/>
  <c r="AF177" i="2"/>
  <c r="AF176" i="2"/>
  <c r="AF175" i="2"/>
  <c r="AF174" i="2"/>
  <c r="AJ171" i="2"/>
  <c r="AI171" i="2"/>
  <c r="AH171" i="2"/>
  <c r="AG171" i="2"/>
  <c r="AF171" i="2"/>
  <c r="AF167" i="2"/>
  <c r="AF166" i="2"/>
  <c r="AF165" i="2"/>
  <c r="AF164" i="2"/>
  <c r="AF163" i="2"/>
  <c r="AF162" i="2"/>
  <c r="AF159" i="2"/>
  <c r="AF158" i="2"/>
  <c r="AF157" i="2"/>
  <c r="AF156" i="2"/>
  <c r="AF155" i="2"/>
  <c r="AF149" i="2"/>
  <c r="AF150" i="2"/>
  <c r="AF151" i="2"/>
  <c r="AF152" i="2"/>
  <c r="AF153" i="2"/>
  <c r="P99" i="26" l="1"/>
  <c r="K99" i="26"/>
  <c r="O99" i="26"/>
  <c r="N99" i="26"/>
  <c r="M99" i="26"/>
  <c r="L99" i="26"/>
  <c r="S187" i="38"/>
  <c r="R187" i="38"/>
  <c r="S186" i="38"/>
  <c r="R186" i="38"/>
  <c r="S181" i="38"/>
  <c r="R181" i="38"/>
  <c r="S173" i="38"/>
  <c r="R173" i="38"/>
  <c r="S146" i="38"/>
  <c r="R146" i="38"/>
  <c r="S145" i="38"/>
  <c r="R145" i="38"/>
  <c r="S144" i="38"/>
  <c r="R144" i="38"/>
  <c r="S143" i="38"/>
  <c r="R143" i="38"/>
  <c r="S142" i="38"/>
  <c r="R142" i="38"/>
  <c r="S141" i="38"/>
  <c r="R141" i="38"/>
  <c r="S140" i="38"/>
  <c r="R140" i="38"/>
  <c r="S139" i="38"/>
  <c r="R139" i="38"/>
  <c r="S138" i="38"/>
  <c r="R138" i="38"/>
  <c r="S137" i="38"/>
  <c r="R137" i="38"/>
  <c r="S136" i="38"/>
  <c r="R136" i="38"/>
  <c r="S129" i="38"/>
  <c r="R129" i="38"/>
  <c r="S128" i="38"/>
  <c r="R128" i="38"/>
  <c r="S127" i="38"/>
  <c r="R127" i="38"/>
  <c r="S126" i="38"/>
  <c r="R126" i="38"/>
  <c r="S125" i="38"/>
  <c r="R125" i="38"/>
  <c r="S124" i="38"/>
  <c r="R124" i="38"/>
  <c r="S123" i="38"/>
  <c r="R123" i="38"/>
  <c r="S122" i="38"/>
  <c r="R122" i="38"/>
  <c r="S80" i="38"/>
  <c r="R80" i="38"/>
  <c r="R86" i="38"/>
  <c r="AF119" i="2"/>
  <c r="AF118" i="2"/>
  <c r="AF117" i="2"/>
  <c r="AF116" i="2"/>
  <c r="AF115" i="2"/>
  <c r="AF113" i="2"/>
  <c r="AF112" i="2"/>
  <c r="AF111" i="2"/>
  <c r="AF110" i="2"/>
  <c r="AF109" i="2"/>
  <c r="AF107" i="2"/>
  <c r="P107" i="38" s="1"/>
  <c r="S107" i="38" s="1"/>
  <c r="AF106" i="2"/>
  <c r="AF105" i="2"/>
  <c r="AF104" i="2"/>
  <c r="AF103" i="2"/>
  <c r="AF98" i="2"/>
  <c r="AF97" i="2"/>
  <c r="AF96" i="2"/>
  <c r="AF95" i="2"/>
  <c r="AF94" i="2"/>
  <c r="AF93" i="2"/>
  <c r="R107" i="38" l="1"/>
  <c r="AF91" i="2"/>
  <c r="AF90" i="2"/>
  <c r="AF89" i="2"/>
  <c r="AF88" i="2"/>
  <c r="AF87" i="2"/>
  <c r="AF83" i="2"/>
  <c r="AF82" i="2"/>
  <c r="AF81" i="2"/>
  <c r="AF80" i="2"/>
  <c r="AF78" i="2"/>
  <c r="AF77" i="2"/>
  <c r="AF76" i="2"/>
  <c r="AF75" i="2"/>
  <c r="AK71" i="2"/>
  <c r="AI71" i="2"/>
  <c r="CG70" i="10" s="1"/>
  <c r="CK70" i="10" s="1"/>
  <c r="AH71" i="2"/>
  <c r="AG71" i="2"/>
  <c r="AF71" i="2"/>
  <c r="AK70" i="2"/>
  <c r="AI70" i="2"/>
  <c r="CG69" i="10" s="1"/>
  <c r="AH70" i="2"/>
  <c r="AF72" i="2"/>
  <c r="AF70" i="2"/>
  <c r="AF69" i="2"/>
  <c r="AF68" i="2"/>
  <c r="AF63" i="2"/>
  <c r="T62" i="26"/>
  <c r="AJ63" i="2"/>
  <c r="AI63" i="2"/>
  <c r="CG62" i="10" s="1"/>
  <c r="AH63" i="2"/>
  <c r="AG63" i="2"/>
  <c r="AF66" i="2"/>
  <c r="AF65" i="2"/>
  <c r="AF64" i="2"/>
  <c r="AF60" i="2"/>
  <c r="AF59" i="2"/>
  <c r="AF52" i="2"/>
  <c r="AI52" i="2"/>
  <c r="CG51" i="10" s="1"/>
  <c r="AH52" i="2"/>
  <c r="AG52" i="2"/>
  <c r="AF55" i="2"/>
  <c r="AF54" i="2"/>
  <c r="AF53" i="2"/>
  <c r="AF51" i="2"/>
  <c r="AF49" i="2"/>
  <c r="AF48" i="2"/>
  <c r="AF47" i="2"/>
  <c r="P47" i="38" s="1"/>
  <c r="R47" i="38" s="1"/>
  <c r="CH69" i="10" l="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F44" i="2"/>
  <c r="P44" i="38" s="1"/>
  <c r="AF43" i="2"/>
  <c r="P43" i="38" s="1"/>
  <c r="AF42" i="2"/>
  <c r="P42" i="38" s="1"/>
  <c r="AF41" i="2"/>
  <c r="P41" i="38" s="1"/>
  <c r="AF40" i="2"/>
  <c r="P40" i="38" s="1"/>
  <c r="P187" i="38"/>
  <c r="P186" i="38"/>
  <c r="P185" i="38"/>
  <c r="P184" i="38"/>
  <c r="P183" i="38"/>
  <c r="P182" i="38"/>
  <c r="P181" i="38"/>
  <c r="P180" i="38"/>
  <c r="P177" i="38"/>
  <c r="P173" i="38"/>
  <c r="P172" i="38"/>
  <c r="P171" i="38"/>
  <c r="P170" i="38"/>
  <c r="P169" i="38"/>
  <c r="P168" i="38"/>
  <c r="P165" i="38"/>
  <c r="P164" i="38"/>
  <c r="P163" i="38"/>
  <c r="P162" i="38"/>
  <c r="P161" i="38"/>
  <c r="P159" i="38"/>
  <c r="P158" i="38"/>
  <c r="P157" i="38"/>
  <c r="P156" i="38"/>
  <c r="P155" i="38"/>
  <c r="P146" i="38"/>
  <c r="P145" i="38"/>
  <c r="P144" i="38"/>
  <c r="P143" i="38"/>
  <c r="P142" i="38"/>
  <c r="P141" i="38"/>
  <c r="P140" i="38"/>
  <c r="P139" i="38"/>
  <c r="P138" i="38"/>
  <c r="P137" i="38"/>
  <c r="P136" i="38"/>
  <c r="P129" i="38"/>
  <c r="P128" i="38"/>
  <c r="P127" i="38"/>
  <c r="P126" i="38"/>
  <c r="P125" i="38"/>
  <c r="P124" i="38"/>
  <c r="P123" i="38"/>
  <c r="P122" i="38"/>
  <c r="P119" i="38"/>
  <c r="P118" i="38"/>
  <c r="P117" i="38"/>
  <c r="P116" i="38"/>
  <c r="R116" i="38" s="1"/>
  <c r="P115" i="38"/>
  <c r="R115" i="38" s="1"/>
  <c r="P113" i="38"/>
  <c r="P112" i="38"/>
  <c r="P111" i="38"/>
  <c r="P110" i="38"/>
  <c r="P109" i="38"/>
  <c r="P106" i="38"/>
  <c r="P105" i="38"/>
  <c r="P104" i="38"/>
  <c r="P103" i="38"/>
  <c r="P98" i="38"/>
  <c r="P97" i="38"/>
  <c r="P96" i="38"/>
  <c r="P95" i="38"/>
  <c r="P94" i="38"/>
  <c r="P93" i="38"/>
  <c r="P91" i="38"/>
  <c r="P90" i="38"/>
  <c r="P89" i="38"/>
  <c r="P88" i="38"/>
  <c r="R88" i="38" s="1"/>
  <c r="P87" i="38"/>
  <c r="P81" i="38"/>
  <c r="P80" i="38"/>
  <c r="P78" i="38"/>
  <c r="P77" i="38"/>
  <c r="P76" i="38"/>
  <c r="P75"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F38" i="2"/>
  <c r="P38" i="38" s="1"/>
  <c r="AF37" i="2"/>
  <c r="P37" i="38" s="1"/>
  <c r="AF34" i="2"/>
  <c r="P34" i="38" s="1"/>
  <c r="AF35" i="2"/>
  <c r="P35" i="38" s="1"/>
  <c r="P36" i="38"/>
  <c r="AG21" i="2"/>
  <c r="AF21" i="2"/>
  <c r="P21" i="38" s="1"/>
  <c r="R21" i="38" s="1"/>
  <c r="AG31" i="2"/>
  <c r="AF31" i="2"/>
  <c r="P31" i="38" s="1"/>
  <c r="R31" i="38" s="1"/>
  <c r="AH31" i="2"/>
  <c r="AG28" i="2"/>
  <c r="AF28" i="2"/>
  <c r="P28" i="38" s="1"/>
  <c r="R28" i="38" s="1"/>
  <c r="AG25" i="2"/>
  <c r="AF25" i="2"/>
  <c r="P25" i="38" s="1"/>
  <c r="R25" i="38" s="1"/>
  <c r="AG24" i="2"/>
  <c r="AF24" i="2"/>
  <c r="P24" i="38" s="1"/>
  <c r="R24" i="38" s="1"/>
  <c r="AG23" i="2"/>
  <c r="AF23" i="2"/>
  <c r="P23" i="38" s="1"/>
  <c r="R23" i="38" s="1"/>
  <c r="AG22" i="2"/>
  <c r="AF22" i="2"/>
  <c r="P22" i="38" s="1"/>
  <c r="R22" i="38" s="1"/>
  <c r="AF17" i="2"/>
  <c r="P17" i="38" s="1"/>
  <c r="R17" i="38" s="1"/>
  <c r="AG17" i="2"/>
  <c r="AF16" i="2"/>
  <c r="P16" i="38" s="1"/>
  <c r="R16" i="38" s="1"/>
  <c r="AG16" i="2"/>
  <c r="AF32" i="2"/>
  <c r="P32" i="38" s="1"/>
  <c r="R32" i="38" s="1"/>
  <c r="AF30" i="2"/>
  <c r="P30" i="38" s="1"/>
  <c r="R30" i="38" s="1"/>
  <c r="AF29" i="2"/>
  <c r="P29" i="38" s="1"/>
  <c r="R29" i="38" s="1"/>
  <c r="AF27" i="2"/>
  <c r="P27" i="38" s="1"/>
  <c r="R27" i="38" s="1"/>
  <c r="AF26" i="2"/>
  <c r="P26" i="38" s="1"/>
  <c r="R26" i="38" s="1"/>
  <c r="AF20" i="2"/>
  <c r="P20" i="38" s="1"/>
  <c r="R20" i="38" s="1"/>
  <c r="AF19" i="2"/>
  <c r="P19" i="38" s="1"/>
  <c r="R19" i="38" s="1"/>
  <c r="AF18" i="2"/>
  <c r="P18" i="38" s="1"/>
  <c r="R18" i="38" s="1"/>
  <c r="AF15" i="2"/>
  <c r="P15" i="38" s="1"/>
  <c r="R15" i="38" s="1"/>
  <c r="AF14" i="2"/>
  <c r="P14" i="38" s="1"/>
  <c r="R14" i="38" s="1"/>
  <c r="AF13" i="2"/>
  <c r="P13" i="38" s="1"/>
  <c r="R13" i="38" s="1"/>
  <c r="AF12" i="2"/>
  <c r="P12" i="38" s="1"/>
  <c r="R12" i="38" s="1"/>
  <c r="AF11" i="2"/>
  <c r="P11" i="38" s="1"/>
  <c r="R11" i="38" s="1"/>
  <c r="AF10" i="2"/>
  <c r="P10" i="38" s="1"/>
  <c r="R10" i="38" s="1"/>
  <c r="B187" i="38"/>
  <c r="A187" i="38"/>
  <c r="B186" i="38"/>
  <c r="A186" i="38"/>
  <c r="B185" i="38"/>
  <c r="A185" i="38"/>
  <c r="B184" i="38"/>
  <c r="A184" i="38"/>
  <c r="B183" i="38"/>
  <c r="A183" i="38"/>
  <c r="B182" i="38"/>
  <c r="A182" i="38"/>
  <c r="B181" i="38"/>
  <c r="A181" i="38"/>
  <c r="B180" i="38"/>
  <c r="A180" i="38"/>
  <c r="B179" i="38"/>
  <c r="A179" i="38"/>
  <c r="B178" i="38"/>
  <c r="A178" i="38"/>
  <c r="I177" i="38"/>
  <c r="H177" i="38"/>
  <c r="G177" i="38"/>
  <c r="F177" i="38"/>
  <c r="E177" i="38"/>
  <c r="D177" i="38"/>
  <c r="C177"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A146" i="38"/>
  <c r="A145" i="38"/>
  <c r="A144" i="38"/>
  <c r="A143" i="38"/>
  <c r="A142" i="38"/>
  <c r="A141" i="38"/>
  <c r="B140" i="38"/>
  <c r="A140" i="38"/>
  <c r="B139" i="38"/>
  <c r="A139" i="38"/>
  <c r="B138" i="38"/>
  <c r="A138" i="38"/>
  <c r="B137" i="38"/>
  <c r="A137" i="38"/>
  <c r="B136" i="38"/>
  <c r="A136" i="38"/>
  <c r="B135" i="38"/>
  <c r="A135" i="38"/>
  <c r="B122" i="38"/>
  <c r="A122"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8" i="38"/>
  <c r="A98" i="38"/>
  <c r="B97" i="38"/>
  <c r="A97" i="38"/>
  <c r="B96" i="38"/>
  <c r="A96" i="38"/>
  <c r="B95" i="38"/>
  <c r="A95" i="38"/>
  <c r="B94" i="38"/>
  <c r="A94" i="38"/>
  <c r="B93" i="38"/>
  <c r="A93" i="38"/>
  <c r="B92" i="38"/>
  <c r="A92" i="38"/>
  <c r="B91" i="38"/>
  <c r="A91" i="38"/>
  <c r="B90" i="38"/>
  <c r="A90" i="38"/>
  <c r="B89" i="38"/>
  <c r="A89" i="38"/>
  <c r="B88" i="38"/>
  <c r="A88" i="38"/>
  <c r="B87" i="38"/>
  <c r="A87" i="38"/>
  <c r="A86" i="38"/>
  <c r="B80" i="38"/>
  <c r="A80" i="38"/>
  <c r="A79" i="38"/>
  <c r="B78" i="38"/>
  <c r="A78" i="38"/>
  <c r="B77" i="38"/>
  <c r="A77" i="38"/>
  <c r="B76" i="38"/>
  <c r="A76" i="38"/>
  <c r="B75" i="38"/>
  <c r="A75" i="38"/>
  <c r="A74" i="38"/>
  <c r="A73" i="38"/>
  <c r="B72" i="38"/>
  <c r="A72" i="38"/>
  <c r="B71" i="38"/>
  <c r="A71" i="38"/>
  <c r="B70" i="38"/>
  <c r="A70" i="38"/>
  <c r="B69" i="38"/>
  <c r="A69" i="38"/>
  <c r="B68" i="38"/>
  <c r="A68" i="38"/>
  <c r="A67" i="38"/>
  <c r="B66" i="38"/>
  <c r="A66" i="38"/>
  <c r="B65" i="38"/>
  <c r="A65" i="38"/>
  <c r="B64" i="38"/>
  <c r="A64" i="38"/>
  <c r="B63" i="38"/>
  <c r="A63" i="38"/>
  <c r="A62" i="38"/>
  <c r="B61" i="38"/>
  <c r="A61" i="38"/>
  <c r="B60" i="38"/>
  <c r="A60" i="38"/>
  <c r="B59" i="38"/>
  <c r="A59" i="38"/>
  <c r="A58" i="38"/>
  <c r="B57" i="38"/>
  <c r="A57" i="38"/>
  <c r="A56" i="38"/>
  <c r="B55" i="38"/>
  <c r="A55" i="38"/>
  <c r="B54" i="38"/>
  <c r="A54" i="38"/>
  <c r="B53" i="38"/>
  <c r="A53" i="38"/>
  <c r="B52" i="38"/>
  <c r="A52" i="38"/>
  <c r="B51" i="38"/>
  <c r="B49" i="38"/>
  <c r="B48" i="38"/>
  <c r="B47" i="38"/>
  <c r="B45" i="38"/>
  <c r="B44" i="38"/>
  <c r="B43" i="38"/>
  <c r="B42" i="38"/>
  <c r="B41" i="38"/>
  <c r="B40"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I8" i="38"/>
  <c r="H8" i="38"/>
  <c r="G8" i="38"/>
  <c r="F8" i="38"/>
  <c r="E8" i="38"/>
  <c r="D8" i="38"/>
  <c r="I7" i="38"/>
  <c r="H7" i="38"/>
  <c r="G7" i="38"/>
  <c r="F7" i="38"/>
  <c r="E7" i="38"/>
  <c r="D7" i="38"/>
  <c r="A7" i="38"/>
  <c r="CL69" i="10" l="1"/>
  <c r="CN86" i="10"/>
  <c r="S44" i="38"/>
  <c r="R44" i="38"/>
  <c r="S61" i="38"/>
  <c r="R61" i="38"/>
  <c r="S45" i="38"/>
  <c r="R45" i="38"/>
  <c r="S57" i="38"/>
  <c r="R57" i="38"/>
  <c r="S42" i="38"/>
  <c r="R42" i="38"/>
  <c r="R35" i="38"/>
  <c r="S35" i="38"/>
  <c r="R106" i="38"/>
  <c r="S106" i="38"/>
  <c r="S112" i="38"/>
  <c r="R112" i="38"/>
  <c r="S157" i="38"/>
  <c r="R157" i="38"/>
  <c r="S162" i="38"/>
  <c r="R162" i="38"/>
  <c r="S185" i="38"/>
  <c r="R185" i="38"/>
  <c r="R43" i="38"/>
  <c r="S43" i="38"/>
  <c r="R72" i="38"/>
  <c r="S72" i="38"/>
  <c r="R78" i="38"/>
  <c r="S78" i="38"/>
  <c r="R90" i="38"/>
  <c r="S90" i="38"/>
  <c r="R103" i="38"/>
  <c r="S103" i="38"/>
  <c r="S109" i="38"/>
  <c r="R109" i="38"/>
  <c r="S113" i="38"/>
  <c r="R113" i="38"/>
  <c r="S118" i="38"/>
  <c r="R118" i="38"/>
  <c r="R158" i="38"/>
  <c r="S158" i="38"/>
  <c r="R163" i="38"/>
  <c r="S163" i="38"/>
  <c r="S169" i="38"/>
  <c r="R169" i="38"/>
  <c r="R182" i="38"/>
  <c r="S182" i="38"/>
  <c r="R66" i="38"/>
  <c r="S66" i="38"/>
  <c r="R77" i="38"/>
  <c r="S77" i="38"/>
  <c r="R89" i="38"/>
  <c r="S89" i="38"/>
  <c r="R98" i="38"/>
  <c r="S98" i="38"/>
  <c r="R37" i="38"/>
  <c r="S37" i="38"/>
  <c r="R38" i="38"/>
  <c r="S38" i="38"/>
  <c r="R48" i="38"/>
  <c r="S48" i="38"/>
  <c r="R69" i="38"/>
  <c r="S69" i="38"/>
  <c r="R87" i="38"/>
  <c r="S87" i="38"/>
  <c r="R91" i="38"/>
  <c r="S91" i="38"/>
  <c r="R96" i="38"/>
  <c r="S96" i="38"/>
  <c r="R104" i="38"/>
  <c r="S104" i="38"/>
  <c r="R110" i="38"/>
  <c r="S110" i="38"/>
  <c r="R119" i="38"/>
  <c r="S119" i="38"/>
  <c r="S155" i="38"/>
  <c r="R155" i="38"/>
  <c r="S159" i="38"/>
  <c r="R159" i="38"/>
  <c r="S164" i="38"/>
  <c r="R164" i="38"/>
  <c r="S177" i="38"/>
  <c r="R177" i="38"/>
  <c r="S183" i="38"/>
  <c r="R183" i="38"/>
  <c r="R41" i="38"/>
  <c r="S41" i="38"/>
  <c r="R34" i="38"/>
  <c r="S34" i="38"/>
  <c r="R40" i="38"/>
  <c r="S40" i="38"/>
  <c r="R49" i="38"/>
  <c r="S49" i="38"/>
  <c r="R70" i="38"/>
  <c r="S70" i="38"/>
  <c r="R76" i="38"/>
  <c r="S76" i="38"/>
  <c r="S93" i="38"/>
  <c r="R93" i="38"/>
  <c r="R97" i="38"/>
  <c r="S97" i="38"/>
  <c r="R156" i="38"/>
  <c r="S156" i="38"/>
  <c r="R161" i="38"/>
  <c r="S161" i="38"/>
  <c r="R165" i="38"/>
  <c r="S165" i="38"/>
  <c r="R180" i="38"/>
  <c r="S180" i="38"/>
  <c r="R184" i="38"/>
  <c r="S184" i="38"/>
  <c r="R168" i="38"/>
  <c r="S168" i="38"/>
  <c r="S170" i="38"/>
  <c r="R170" i="38"/>
  <c r="S172" i="38"/>
  <c r="R172" i="38"/>
  <c r="R171" i="38"/>
  <c r="S171" i="38"/>
  <c r="S117" i="38"/>
  <c r="R117" i="38"/>
  <c r="S52" i="38"/>
  <c r="R52" i="38"/>
  <c r="R68" i="38"/>
  <c r="S68" i="38"/>
  <c r="S95" i="38"/>
  <c r="R95" i="38"/>
  <c r="R75" i="38"/>
  <c r="S75" i="38"/>
  <c r="S94" i="38"/>
  <c r="R94" i="38"/>
  <c r="R81" i="38"/>
  <c r="S81" i="38"/>
  <c r="S105" i="38"/>
  <c r="R105" i="38"/>
  <c r="R111" i="38"/>
  <c r="S111" i="38"/>
  <c r="S116" i="38"/>
  <c r="S115" i="38"/>
  <c r="S71" i="38"/>
  <c r="S63" i="38"/>
  <c r="W69" i="10" l="1"/>
  <c r="N97" i="10"/>
  <c r="M97" i="10"/>
  <c r="N96" i="10"/>
  <c r="M96" i="10"/>
  <c r="N95" i="10"/>
  <c r="M95" i="10"/>
  <c r="O91" i="10" l="1"/>
  <c r="L91" i="10"/>
  <c r="P91" i="10"/>
  <c r="K91" i="10"/>
  <c r="A58" i="10"/>
  <c r="AK16" i="2" l="1"/>
  <c r="R15" i="26" s="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AH173" i="20"/>
  <c r="AI173" i="20"/>
  <c r="AJ173" i="20"/>
  <c r="AK173" i="20"/>
  <c r="AL173" i="20"/>
  <c r="AM173" i="20"/>
  <c r="AN173" i="20"/>
  <c r="BV173" i="20"/>
  <c r="BW173" i="20"/>
  <c r="BX173" i="20"/>
  <c r="BY173" i="20"/>
  <c r="BZ173" i="20"/>
  <c r="CA173" i="20"/>
  <c r="CB173" i="20"/>
  <c r="CP173" i="20"/>
  <c r="CQ173" i="20"/>
  <c r="CR173" i="20"/>
  <c r="CS173" i="20"/>
  <c r="CT173" i="20"/>
  <c r="CU173" i="20"/>
  <c r="CV173" i="20"/>
  <c r="U10" i="20"/>
  <c r="AO10"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N77" i="8"/>
  <c r="M79" i="6"/>
  <c r="CW173" i="20" l="1"/>
  <c r="CC173" i="20"/>
  <c r="AO173" i="20"/>
  <c r="CC9" i="20"/>
  <c r="AO83" i="20"/>
  <c r="AO81" i="20"/>
  <c r="AI90" i="2"/>
  <c r="CG89" i="10" s="1"/>
  <c r="L72" i="3" l="1"/>
  <c r="L71" i="3" s="1"/>
  <c r="L70" i="3" s="1"/>
  <c r="AK17" i="2"/>
  <c r="R16" i="26" s="1"/>
  <c r="AK21" i="2"/>
  <c r="R20" i="26" s="1"/>
  <c r="AK22" i="2"/>
  <c r="R21" i="26" s="1"/>
  <c r="AK24" i="2"/>
  <c r="R23" i="26" s="1"/>
  <c r="AK25" i="2"/>
  <c r="R24" i="26" s="1"/>
  <c r="AK28" i="2"/>
  <c r="R27" i="26" s="1"/>
  <c r="AK31" i="2"/>
  <c r="R30" i="26" s="1"/>
  <c r="AI31" i="2"/>
  <c r="CG30" i="10" s="1"/>
  <c r="AI28" i="2"/>
  <c r="CG27" i="10" s="1"/>
  <c r="AH28" i="2"/>
  <c r="AI25" i="2"/>
  <c r="CG24" i="10" s="1"/>
  <c r="AH25" i="2"/>
  <c r="AI24" i="2"/>
  <c r="CG23" i="10" s="1"/>
  <c r="AH24" i="2"/>
  <c r="AI22" i="2"/>
  <c r="CG21" i="10" s="1"/>
  <c r="AH22" i="2"/>
  <c r="AI21" i="2"/>
  <c r="CG20" i="10" s="1"/>
  <c r="AH21" i="2"/>
  <c r="AI17" i="2"/>
  <c r="CG16" i="10" s="1"/>
  <c r="AH17" i="2"/>
  <c r="AI16" i="2"/>
  <c r="CG15" i="10" s="1"/>
  <c r="AH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P169" i="28" s="1"/>
  <c r="P168" i="28" s="1"/>
  <c r="P167" i="28" s="1"/>
  <c r="K177" i="38" l="1"/>
  <c r="N170" i="23"/>
  <c r="N169" i="23" s="1"/>
  <c r="N168" i="23" s="1"/>
  <c r="L171" i="25"/>
  <c r="L170" i="25" s="1"/>
  <c r="L169" i="25" s="1"/>
  <c r="L170" i="24"/>
  <c r="L169" i="24" s="1"/>
  <c r="L168" i="24" s="1"/>
  <c r="X178" i="20"/>
  <c r="BL178" i="20"/>
  <c r="AR177" i="20"/>
  <c r="X179" i="20"/>
  <c r="CZ179" i="20"/>
  <c r="BL179" i="20"/>
  <c r="X174" i="20"/>
  <c r="CF174" i="20"/>
  <c r="BL174" i="20"/>
  <c r="X176" i="20"/>
  <c r="BL176" i="20"/>
  <c r="X171" i="20"/>
  <c r="W154" i="20"/>
  <c r="X156" i="20"/>
  <c r="X159" i="20"/>
  <c r="X158" i="20"/>
  <c r="X157" i="20"/>
  <c r="X155" i="20"/>
  <c r="BL94" i="20"/>
  <c r="X88" i="20"/>
  <c r="X60" i="20"/>
  <c r="X59" i="20"/>
  <c r="CF53" i="20"/>
  <c r="BL53" i="20"/>
  <c r="CZ54" i="20"/>
  <c r="BL54" i="20"/>
  <c r="CZ52" i="20"/>
  <c r="AR52" i="20"/>
  <c r="CZ51" i="20"/>
  <c r="CF51" i="20"/>
  <c r="BL51" i="20"/>
  <c r="AR93" i="20"/>
  <c r="A166" i="10" l="1"/>
  <c r="AD45" i="2"/>
  <c r="AE45" i="2" s="1"/>
  <c r="AD43" i="2"/>
  <c r="Y45" i="2"/>
  <c r="Z45" i="2" s="1"/>
  <c r="V45" i="2"/>
  <c r="W45" i="2" s="1"/>
  <c r="S45" i="2"/>
  <c r="T45" i="2" s="1"/>
  <c r="P45" i="2"/>
  <c r="Q45" i="2" s="1"/>
  <c r="P44" i="2"/>
  <c r="Q44" i="2" s="1"/>
  <c r="P43" i="2"/>
  <c r="M45" i="2"/>
  <c r="N45" i="2" s="1"/>
  <c r="M44" i="2"/>
  <c r="N44" i="2" s="1"/>
  <c r="M43" i="2"/>
  <c r="V167" i="2"/>
  <c r="W167" i="2" s="1"/>
  <c r="P167" i="2"/>
  <c r="Q167" i="2" s="1"/>
  <c r="M165" i="2"/>
  <c r="AD167" i="2"/>
  <c r="AE167" i="2" s="1"/>
  <c r="Y167" i="2"/>
  <c r="Z167" i="2" s="1"/>
  <c r="S167" i="2"/>
  <c r="T167" i="2" s="1"/>
  <c r="M167" i="2"/>
  <c r="A165" i="28"/>
  <c r="AD166" i="27"/>
  <c r="Z166" i="27"/>
  <c r="V166" i="27"/>
  <c r="R166" i="27"/>
  <c r="N166" i="27"/>
  <c r="A166" i="27"/>
  <c r="C166" i="26"/>
  <c r="A166" i="26"/>
  <c r="U167" i="25"/>
  <c r="T167" i="25"/>
  <c r="S167" i="25"/>
  <c r="R167" i="25"/>
  <c r="Q167" i="25"/>
  <c r="C167" i="25"/>
  <c r="C166" i="24"/>
  <c r="A166" i="24"/>
  <c r="A166" i="23"/>
  <c r="CW167" i="20"/>
  <c r="CC167" i="20"/>
  <c r="BI167" i="20"/>
  <c r="AO167" i="20"/>
  <c r="U167" i="20"/>
  <c r="C167" i="20"/>
  <c r="A165" i="11"/>
  <c r="AK167" i="2"/>
  <c r="CH166" i="10" s="1"/>
  <c r="AI167" i="2"/>
  <c r="CG166" i="10" s="1"/>
  <c r="AH167" i="2"/>
  <c r="AG167" i="2"/>
  <c r="AD166" i="23" s="1"/>
  <c r="AG166" i="23" s="1"/>
  <c r="AA167" i="2"/>
  <c r="AJ165" i="28" s="1"/>
  <c r="X167" i="2"/>
  <c r="AE165" i="28" s="1"/>
  <c r="AI165" i="28" s="1"/>
  <c r="U167" i="2"/>
  <c r="Z165" i="28" s="1"/>
  <c r="AD165" i="28" s="1"/>
  <c r="R167" i="2"/>
  <c r="U165" i="28" s="1"/>
  <c r="Y165" i="28" s="1"/>
  <c r="O167" i="2"/>
  <c r="P165" i="28" s="1"/>
  <c r="T165" i="28" s="1"/>
  <c r="K167" i="20"/>
  <c r="J167" i="2"/>
  <c r="I167" i="2"/>
  <c r="H167" i="38" s="1"/>
  <c r="H167" i="2"/>
  <c r="G167" i="38" s="1"/>
  <c r="G167" i="2"/>
  <c r="F167" i="2"/>
  <c r="E167" i="2"/>
  <c r="D167" i="38" s="1"/>
  <c r="L167" i="2"/>
  <c r="D167" i="2"/>
  <c r="C102" i="21"/>
  <c r="D102" i="21" s="1"/>
  <c r="J173" i="38" l="1"/>
  <c r="K165" i="28"/>
  <c r="O165" i="28" s="1"/>
  <c r="G166" i="24"/>
  <c r="F167" i="38"/>
  <c r="F166" i="26"/>
  <c r="E167" i="38"/>
  <c r="J165" i="28"/>
  <c r="I167" i="38"/>
  <c r="DD167" i="20"/>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O167" i="2"/>
  <c r="N173" i="38"/>
  <c r="AP167" i="2"/>
  <c r="H166" i="27"/>
  <c r="G173" i="38"/>
  <c r="K173" i="38"/>
  <c r="O173" i="38"/>
  <c r="D166" i="27"/>
  <c r="C173" i="38"/>
  <c r="E165" i="28"/>
  <c r="D173" i="38"/>
  <c r="I165" i="28"/>
  <c r="H173" i="38"/>
  <c r="L173" i="38"/>
  <c r="AA166" i="27"/>
  <c r="AC166" i="27" s="1"/>
  <c r="G166" i="27"/>
  <c r="F173" i="38"/>
  <c r="F166" i="24"/>
  <c r="E173" i="38"/>
  <c r="J166" i="24"/>
  <c r="I173" i="38"/>
  <c r="M173" i="38"/>
  <c r="R166" i="24"/>
  <c r="U166" i="24" s="1"/>
  <c r="J166" i="26"/>
  <c r="F165" i="28"/>
  <c r="AL167" i="2"/>
  <c r="AM166" i="10"/>
  <c r="CM166" i="10" s="1"/>
  <c r="V165" i="11"/>
  <c r="D165" i="11"/>
  <c r="I167" i="20"/>
  <c r="E167" i="25"/>
  <c r="E166" i="27"/>
  <c r="E165" i="11"/>
  <c r="I165" i="11"/>
  <c r="F167" i="20"/>
  <c r="J167" i="20"/>
  <c r="F166" i="23"/>
  <c r="J166" i="23"/>
  <c r="D166" i="24"/>
  <c r="H166" i="24"/>
  <c r="F167" i="25"/>
  <c r="J167" i="25"/>
  <c r="G166" i="26"/>
  <c r="F166" i="27"/>
  <c r="J166" i="27"/>
  <c r="G165" i="28"/>
  <c r="AM167" i="2"/>
  <c r="AJ167" i="2"/>
  <c r="AO166" i="10"/>
  <c r="W165" i="11"/>
  <c r="E166" i="23"/>
  <c r="I167" i="25"/>
  <c r="R166" i="26"/>
  <c r="T166" i="26" s="1"/>
  <c r="O166" i="27"/>
  <c r="Q166" i="27" s="1"/>
  <c r="B166" i="10"/>
  <c r="F165" i="11"/>
  <c r="J165" i="11"/>
  <c r="G167" i="20"/>
  <c r="G166" i="23"/>
  <c r="E166" i="24"/>
  <c r="I166" i="24"/>
  <c r="G167" i="25"/>
  <c r="D166" i="26"/>
  <c r="H166" i="26"/>
  <c r="K166" i="27"/>
  <c r="M166" i="27" s="1"/>
  <c r="W166" i="27"/>
  <c r="Y166" i="27" s="1"/>
  <c r="AE166" i="27"/>
  <c r="D165" i="28"/>
  <c r="H165" i="28"/>
  <c r="AN167" i="2"/>
  <c r="M166" i="10"/>
  <c r="AI166" i="10"/>
  <c r="CK166" i="10" s="1"/>
  <c r="AC166" i="10" s="1"/>
  <c r="AQ166" i="10"/>
  <c r="H165" i="11"/>
  <c r="E167" i="20"/>
  <c r="I166" i="23"/>
  <c r="I166" i="27"/>
  <c r="C165" i="11"/>
  <c r="G165" i="11"/>
  <c r="D167" i="20"/>
  <c r="H167" i="20"/>
  <c r="D166" i="23"/>
  <c r="H166" i="23"/>
  <c r="D167" i="25"/>
  <c r="H167" i="25"/>
  <c r="W167" i="25"/>
  <c r="Z167" i="25" s="1"/>
  <c r="E166" i="26"/>
  <c r="I166" i="26"/>
  <c r="S166" i="27"/>
  <c r="U166" i="27" s="1"/>
  <c r="AK166" i="10"/>
  <c r="CL166" i="10" s="1"/>
  <c r="AS166" i="10"/>
  <c r="CN166" i="10" s="1"/>
  <c r="AB166" i="10" s="1"/>
  <c r="G166" i="10" l="1"/>
  <c r="AH166" i="10"/>
  <c r="W166" i="10"/>
  <c r="AE166" i="10"/>
  <c r="Y166" i="10"/>
  <c r="AD166" i="10"/>
  <c r="X166" i="10"/>
  <c r="S166" i="10"/>
  <c r="N166" i="10"/>
  <c r="T166" i="10"/>
  <c r="H166" i="10"/>
  <c r="I166" i="10"/>
  <c r="O166" i="10"/>
  <c r="U166" i="10"/>
  <c r="J166" i="10"/>
  <c r="V166" i="10"/>
  <c r="D166" i="10"/>
  <c r="P166" i="10"/>
  <c r="R166" i="10"/>
  <c r="F166" i="10"/>
  <c r="L166" i="10"/>
  <c r="E166" i="10"/>
  <c r="K166" i="10"/>
  <c r="Q166" i="10"/>
  <c r="C166" i="10"/>
  <c r="A43" i="28"/>
  <c r="AD44" i="27"/>
  <c r="Z44" i="27"/>
  <c r="V44" i="27"/>
  <c r="R44" i="27"/>
  <c r="N44" i="27"/>
  <c r="C44" i="26"/>
  <c r="A44" i="26"/>
  <c r="U45" i="25"/>
  <c r="T45" i="25"/>
  <c r="S45" i="25"/>
  <c r="R45" i="25"/>
  <c r="Q45" i="25"/>
  <c r="C45" i="25"/>
  <c r="C44" i="24"/>
  <c r="A44" i="23"/>
  <c r="A44" i="10"/>
  <c r="A43" i="11"/>
  <c r="AK45" i="2"/>
  <c r="AI45" i="2"/>
  <c r="AH45" i="2"/>
  <c r="AG45" i="2"/>
  <c r="AD44" i="23" s="1"/>
  <c r="AG44" i="23" s="1"/>
  <c r="AA45" i="2"/>
  <c r="X45" i="2"/>
  <c r="AE43" i="28" s="1"/>
  <c r="AI43" i="28" s="1"/>
  <c r="U45" i="2"/>
  <c r="Z43" i="28" s="1"/>
  <c r="AD43" i="28" s="1"/>
  <c r="R45" i="2"/>
  <c r="U43" i="28" s="1"/>
  <c r="Y43" i="28" s="1"/>
  <c r="O45" i="2"/>
  <c r="P43" i="28" s="1"/>
  <c r="T43" i="28" s="1"/>
  <c r="J45" i="2"/>
  <c r="I43" i="11" s="1"/>
  <c r="I45" i="2"/>
  <c r="H45" i="2"/>
  <c r="G45" i="38" s="1"/>
  <c r="G45" i="2"/>
  <c r="F45" i="2"/>
  <c r="E43" i="11" s="1"/>
  <c r="E45" i="2"/>
  <c r="D43" i="11" s="1"/>
  <c r="D45" i="2"/>
  <c r="C45" i="2"/>
  <c r="C22" i="9" s="1"/>
  <c r="L22" i="9"/>
  <c r="L45" i="2" s="1"/>
  <c r="P16" i="9"/>
  <c r="O16" i="9"/>
  <c r="N16" i="9"/>
  <c r="M16" i="9"/>
  <c r="Q16" i="9"/>
  <c r="K44" i="23" l="1"/>
  <c r="K43" i="28"/>
  <c r="O43" i="28" s="1"/>
  <c r="K44" i="24"/>
  <c r="Z44" i="23"/>
  <c r="AJ43" i="28"/>
  <c r="P44" i="24"/>
  <c r="W44" i="23"/>
  <c r="O44" i="24"/>
  <c r="N44" i="23"/>
  <c r="L44" i="24"/>
  <c r="Q44" i="23"/>
  <c r="M44" i="24"/>
  <c r="T44" i="23"/>
  <c r="N44" i="24"/>
  <c r="CH44" i="10"/>
  <c r="DG45" i="20"/>
  <c r="DF45" i="20"/>
  <c r="DB45" i="20"/>
  <c r="DC45" i="20"/>
  <c r="DE45" i="20"/>
  <c r="DA45" i="20"/>
  <c r="DD45" i="20"/>
  <c r="AJ45" i="2"/>
  <c r="CG44" i="10"/>
  <c r="AF44" i="10" s="1"/>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I44" i="27"/>
  <c r="H45" i="38"/>
  <c r="I45" i="20"/>
  <c r="K45" i="38"/>
  <c r="I45" i="25"/>
  <c r="I43" i="28"/>
  <c r="F44" i="26"/>
  <c r="E45" i="38"/>
  <c r="F45" i="20"/>
  <c r="J44" i="26"/>
  <c r="I45" i="38"/>
  <c r="J45" i="20"/>
  <c r="L45" i="38"/>
  <c r="F44" i="24"/>
  <c r="J45" i="25"/>
  <c r="F44" i="27"/>
  <c r="J43" i="28"/>
  <c r="E44" i="27"/>
  <c r="D45" i="38"/>
  <c r="E45" i="20"/>
  <c r="O45" i="38"/>
  <c r="M45" i="38"/>
  <c r="J44" i="24"/>
  <c r="E45" i="25"/>
  <c r="J44" i="27"/>
  <c r="E43" i="28"/>
  <c r="F43" i="11"/>
  <c r="F45" i="38"/>
  <c r="G45" i="20"/>
  <c r="J43" i="11"/>
  <c r="K45" i="20"/>
  <c r="D43" i="28"/>
  <c r="C45" i="38"/>
  <c r="D45" i="20"/>
  <c r="V43" i="11"/>
  <c r="J45" i="38"/>
  <c r="N45" i="38"/>
  <c r="H43" i="11"/>
  <c r="AI44" i="10"/>
  <c r="R44" i="24"/>
  <c r="U44" i="24" s="1"/>
  <c r="F45" i="25"/>
  <c r="F43" i="28"/>
  <c r="H43" i="28"/>
  <c r="H45" i="20"/>
  <c r="AK44" i="10"/>
  <c r="W44" i="27"/>
  <c r="Y44" i="27" s="1"/>
  <c r="G44" i="23"/>
  <c r="AE44" i="27"/>
  <c r="D44" i="26"/>
  <c r="H44" i="26"/>
  <c r="K44" i="27"/>
  <c r="M44" i="27" s="1"/>
  <c r="AN45" i="2"/>
  <c r="B44" i="10"/>
  <c r="AQ44" i="10"/>
  <c r="E44" i="23"/>
  <c r="I44" i="23"/>
  <c r="D44" i="24"/>
  <c r="H44" i="24"/>
  <c r="G45" i="25"/>
  <c r="W45" i="25"/>
  <c r="Z45" i="25" s="1"/>
  <c r="E44" i="26"/>
  <c r="I44" i="26"/>
  <c r="D44" i="27"/>
  <c r="H44" i="27"/>
  <c r="AA44" i="27"/>
  <c r="AC44" i="27" s="1"/>
  <c r="G43" i="28"/>
  <c r="AO45" i="2"/>
  <c r="G44" i="26"/>
  <c r="AM45" i="2"/>
  <c r="D44" i="23"/>
  <c r="H44" i="23"/>
  <c r="G44" i="24"/>
  <c r="G44" i="27"/>
  <c r="S44" i="27"/>
  <c r="U44" i="27" s="1"/>
  <c r="C43" i="11"/>
  <c r="G43" i="11"/>
  <c r="F44" i="23"/>
  <c r="J44" i="23"/>
  <c r="E44" i="24"/>
  <c r="I44" i="24"/>
  <c r="D45" i="25"/>
  <c r="H45" i="25"/>
  <c r="R44" i="26"/>
  <c r="T44" i="26" s="1"/>
  <c r="O44" i="27"/>
  <c r="Q44" i="27" s="1"/>
  <c r="AL45" i="2"/>
  <c r="AP45" i="2"/>
  <c r="AS44" i="10"/>
  <c r="W43" i="11"/>
  <c r="AM44" i="10"/>
  <c r="AO44" i="10"/>
  <c r="AB44" i="10" l="1"/>
  <c r="W44" i="10"/>
  <c r="Y44" i="10"/>
  <c r="X44" i="10"/>
  <c r="Z44" i="10"/>
  <c r="AA44" i="10"/>
  <c r="AE44" i="10"/>
  <c r="AC44" i="10"/>
  <c r="AD44" i="10"/>
  <c r="AG44" i="10"/>
  <c r="AH44" i="10"/>
  <c r="S44" i="10"/>
  <c r="V44" i="10"/>
  <c r="R44" i="10"/>
  <c r="Q44" i="10"/>
  <c r="U44" i="10"/>
  <c r="T44" i="10"/>
  <c r="P175" i="23"/>
  <c r="M175" i="23" s="1"/>
  <c r="L69" i="41"/>
  <c r="L36" i="41"/>
  <c r="L77" i="28"/>
  <c r="W54" i="20" l="1"/>
  <c r="X54" i="20" s="1"/>
  <c r="L41" i="41"/>
  <c r="W51" i="20"/>
  <c r="X51" i="20" s="1"/>
  <c r="L38" i="41"/>
  <c r="W52" i="20"/>
  <c r="L39" i="41"/>
  <c r="W53" i="20"/>
  <c r="X53" i="20" s="1"/>
  <c r="L40" i="41"/>
  <c r="W49" i="20"/>
  <c r="X49" i="20" s="1"/>
  <c r="L37" i="41"/>
  <c r="X41" i="20"/>
  <c r="L31" i="41"/>
  <c r="X40" i="20"/>
  <c r="L30" i="41"/>
  <c r="N81" i="28"/>
  <c r="N77" i="28" s="1"/>
  <c r="W93" i="20"/>
  <c r="X93" i="20" s="1"/>
  <c r="CI44" i="10"/>
  <c r="CJ44" i="10" s="1"/>
  <c r="W48" i="20"/>
  <c r="X48" i="20" s="1"/>
  <c r="AQ48" i="20"/>
  <c r="AR48" i="20" s="1"/>
  <c r="X47" i="20"/>
  <c r="J16" i="19"/>
  <c r="W46" i="20" l="1"/>
  <c r="X46" i="20"/>
  <c r="N179" i="27"/>
  <c r="N174" i="27"/>
  <c r="N128" i="27"/>
  <c r="N127" i="27"/>
  <c r="N126" i="27"/>
  <c r="N125" i="27"/>
  <c r="N124" i="27"/>
  <c r="N123" i="27"/>
  <c r="N122" i="27"/>
  <c r="N121" i="27"/>
  <c r="N96" i="27"/>
  <c r="N94" i="27"/>
  <c r="N90" i="27"/>
  <c r="N81" i="27"/>
  <c r="N79" i="27"/>
  <c r="N77" i="27"/>
  <c r="N76" i="27"/>
  <c r="N75" i="27"/>
  <c r="N74" i="27"/>
  <c r="N70" i="27"/>
  <c r="N43" i="27"/>
  <c r="N35" i="27"/>
  <c r="N31" i="27"/>
  <c r="N30" i="27"/>
  <c r="N27" i="27"/>
  <c r="N23" i="27"/>
  <c r="N20" i="27"/>
  <c r="N15" i="27"/>
  <c r="R179" i="27"/>
  <c r="R174" i="27"/>
  <c r="R152" i="27"/>
  <c r="R128" i="27"/>
  <c r="R127" i="27"/>
  <c r="R126" i="27"/>
  <c r="R125" i="27"/>
  <c r="R124" i="27"/>
  <c r="R123" i="27"/>
  <c r="R122" i="27"/>
  <c r="R121" i="27"/>
  <c r="R96" i="27"/>
  <c r="R94" i="27"/>
  <c r="R90" i="27"/>
  <c r="R81" i="27"/>
  <c r="R79" i="27"/>
  <c r="R77" i="27"/>
  <c r="R76" i="27"/>
  <c r="R75" i="27"/>
  <c r="R74" i="27"/>
  <c r="R70" i="27"/>
  <c r="R56" i="27"/>
  <c r="R55" i="27" s="1"/>
  <c r="R54" i="27"/>
  <c r="R53" i="27"/>
  <c r="R52" i="27"/>
  <c r="R51" i="27"/>
  <c r="R50" i="27"/>
  <c r="R43" i="27"/>
  <c r="R35" i="27"/>
  <c r="R31" i="27"/>
  <c r="R30" i="27"/>
  <c r="R27" i="27"/>
  <c r="R23" i="27"/>
  <c r="R20" i="27"/>
  <c r="R15" i="27"/>
  <c r="V180" i="27"/>
  <c r="V179" i="27"/>
  <c r="V178" i="27"/>
  <c r="V177" i="27"/>
  <c r="V176" i="27"/>
  <c r="V175" i="27"/>
  <c r="V174" i="27"/>
  <c r="V173" i="27"/>
  <c r="V170" i="27"/>
  <c r="V169" i="27" s="1"/>
  <c r="V168" i="27" s="1"/>
  <c r="V165" i="27"/>
  <c r="V164" i="27"/>
  <c r="V163" i="27"/>
  <c r="V162" i="27"/>
  <c r="V161" i="27"/>
  <c r="V158" i="27"/>
  <c r="V157" i="27"/>
  <c r="V156" i="27"/>
  <c r="V155" i="27"/>
  <c r="V154" i="27"/>
  <c r="V151" i="27"/>
  <c r="V150" i="27"/>
  <c r="V149" i="27"/>
  <c r="V148" i="27"/>
  <c r="V128" i="27"/>
  <c r="V127" i="27"/>
  <c r="V126" i="27"/>
  <c r="V125" i="27"/>
  <c r="V124" i="27"/>
  <c r="V123" i="27"/>
  <c r="V122" i="27"/>
  <c r="V121" i="27"/>
  <c r="V112" i="27"/>
  <c r="V111" i="27"/>
  <c r="V110" i="27"/>
  <c r="V109" i="27"/>
  <c r="V108" i="27"/>
  <c r="V97" i="27"/>
  <c r="V96" i="27"/>
  <c r="V95" i="27"/>
  <c r="V94" i="27"/>
  <c r="V93" i="27"/>
  <c r="V92" i="27"/>
  <c r="V90" i="27"/>
  <c r="V89" i="27"/>
  <c r="V88" i="27"/>
  <c r="V87" i="27"/>
  <c r="V86" i="27"/>
  <c r="V82" i="27"/>
  <c r="V81" i="27"/>
  <c r="V80" i="27"/>
  <c r="V79" i="27"/>
  <c r="V77" i="27"/>
  <c r="V76" i="27"/>
  <c r="V75" i="27"/>
  <c r="V74" i="27"/>
  <c r="V71" i="27"/>
  <c r="V70" i="27"/>
  <c r="V69" i="27"/>
  <c r="V68" i="27"/>
  <c r="V67" i="27"/>
  <c r="V65" i="27"/>
  <c r="V64" i="27"/>
  <c r="V62" i="27"/>
  <c r="V60" i="27"/>
  <c r="V59" i="27"/>
  <c r="V58" i="27"/>
  <c r="V56" i="27"/>
  <c r="V55" i="27" s="1"/>
  <c r="V54" i="27"/>
  <c r="V53" i="27"/>
  <c r="V52" i="27"/>
  <c r="V51" i="27"/>
  <c r="V50" i="27"/>
  <c r="V43" i="27"/>
  <c r="V35" i="27"/>
  <c r="V31" i="27"/>
  <c r="V30" i="27"/>
  <c r="V27" i="27"/>
  <c r="V23" i="27"/>
  <c r="V20" i="27"/>
  <c r="V15" i="27"/>
  <c r="Z180" i="27"/>
  <c r="Z179" i="27"/>
  <c r="Z178" i="27"/>
  <c r="Z177" i="27"/>
  <c r="Z176" i="27"/>
  <c r="Z175" i="27"/>
  <c r="Z174" i="27"/>
  <c r="Z173" i="27"/>
  <c r="Z170" i="27"/>
  <c r="Z169" i="27" s="1"/>
  <c r="Z168" i="27" s="1"/>
  <c r="Z165" i="27"/>
  <c r="Z164" i="27"/>
  <c r="Z163" i="27"/>
  <c r="Z162" i="27"/>
  <c r="Z161" i="27"/>
  <c r="Z158" i="27"/>
  <c r="Z157" i="27"/>
  <c r="Z156" i="27"/>
  <c r="Z155" i="27"/>
  <c r="Z154" i="27"/>
  <c r="Z152" i="27"/>
  <c r="Z151" i="27"/>
  <c r="Z150" i="27"/>
  <c r="Z149" i="27"/>
  <c r="Z148" i="27"/>
  <c r="Z139" i="27"/>
  <c r="Z138" i="27"/>
  <c r="Z137" i="27"/>
  <c r="Z136" i="27"/>
  <c r="Z135" i="27"/>
  <c r="Z128" i="27"/>
  <c r="Z127" i="27"/>
  <c r="Z126" i="27"/>
  <c r="Z125" i="27"/>
  <c r="Z124" i="27"/>
  <c r="Z123" i="27"/>
  <c r="Z122" i="27"/>
  <c r="Z121" i="27"/>
  <c r="Z118" i="27"/>
  <c r="Z117" i="27"/>
  <c r="Z116" i="27"/>
  <c r="Z115" i="27"/>
  <c r="Z114" i="27"/>
  <c r="Z112" i="27"/>
  <c r="Z111" i="27"/>
  <c r="Z110" i="27"/>
  <c r="Z109" i="27"/>
  <c r="Z108" i="27"/>
  <c r="Z106" i="27"/>
  <c r="Z105" i="27"/>
  <c r="Z104" i="27"/>
  <c r="Z103" i="27"/>
  <c r="Z102" i="27"/>
  <c r="Z97" i="27"/>
  <c r="Z96" i="27"/>
  <c r="Z95" i="27"/>
  <c r="Z94" i="27"/>
  <c r="Z93" i="27"/>
  <c r="Z92" i="27"/>
  <c r="Z90" i="27"/>
  <c r="Z89" i="27"/>
  <c r="Z88" i="27"/>
  <c r="Z87" i="27"/>
  <c r="Z86" i="27"/>
  <c r="Z82" i="27"/>
  <c r="Z81" i="27"/>
  <c r="Z80" i="27"/>
  <c r="Z79" i="27"/>
  <c r="Z77" i="27"/>
  <c r="Z76" i="27"/>
  <c r="Z75" i="27"/>
  <c r="Z74" i="27"/>
  <c r="Z71" i="27"/>
  <c r="Z70" i="27"/>
  <c r="Z69" i="27"/>
  <c r="Z68" i="27"/>
  <c r="Z67" i="27"/>
  <c r="Z65" i="27"/>
  <c r="Z64" i="27"/>
  <c r="Z63" i="27"/>
  <c r="Z62" i="27"/>
  <c r="Z60" i="27"/>
  <c r="Z59" i="27"/>
  <c r="Z58" i="27"/>
  <c r="Z48" i="27"/>
  <c r="Z47" i="27"/>
  <c r="Z46" i="27"/>
  <c r="Z43" i="27"/>
  <c r="Z42" i="27"/>
  <c r="Z41" i="27"/>
  <c r="Z40" i="27"/>
  <c r="Z39" i="27"/>
  <c r="Z37" i="27"/>
  <c r="Z36" i="27"/>
  <c r="Z35" i="27"/>
  <c r="Z34" i="27"/>
  <c r="Z33" i="27"/>
  <c r="Z31" i="27"/>
  <c r="Z30" i="27"/>
  <c r="Z29" i="27"/>
  <c r="Z28" i="27"/>
  <c r="Z27" i="27"/>
  <c r="Z26" i="27"/>
  <c r="Z25" i="27"/>
  <c r="Z24" i="27"/>
  <c r="Z23" i="27"/>
  <c r="Z22" i="27"/>
  <c r="Z21" i="27"/>
  <c r="Z20" i="27"/>
  <c r="Z19" i="27"/>
  <c r="Z18" i="27"/>
  <c r="Z17" i="27"/>
  <c r="Z16" i="27"/>
  <c r="Z15" i="27"/>
  <c r="Z14" i="27"/>
  <c r="Z13" i="27"/>
  <c r="Z12" i="27"/>
  <c r="Z11" i="27"/>
  <c r="Z10" i="27"/>
  <c r="Z9" i="27"/>
  <c r="O170" i="27"/>
  <c r="AD180" i="27"/>
  <c r="AD179" i="27"/>
  <c r="AD178" i="27"/>
  <c r="AD177" i="27"/>
  <c r="AD176" i="27"/>
  <c r="AD175" i="27"/>
  <c r="AD174" i="27"/>
  <c r="AD173" i="27"/>
  <c r="AD170" i="27"/>
  <c r="AD169" i="27" s="1"/>
  <c r="AD168" i="27" s="1"/>
  <c r="AD165" i="27"/>
  <c r="AD164" i="27"/>
  <c r="AD163" i="27"/>
  <c r="AD162" i="27"/>
  <c r="AD161" i="27"/>
  <c r="AD158" i="27"/>
  <c r="AD157" i="27"/>
  <c r="AD156" i="27"/>
  <c r="AD155" i="27"/>
  <c r="AD154" i="27"/>
  <c r="AD152" i="27"/>
  <c r="AD151" i="27"/>
  <c r="AD150" i="27"/>
  <c r="AD149" i="27"/>
  <c r="AD148" i="27"/>
  <c r="AD139" i="27"/>
  <c r="AD138" i="27"/>
  <c r="AD137" i="27"/>
  <c r="AD136" i="27"/>
  <c r="AD135" i="27"/>
  <c r="AD128" i="27"/>
  <c r="AD127" i="27"/>
  <c r="AD126" i="27"/>
  <c r="AD125" i="27"/>
  <c r="AD124" i="27"/>
  <c r="AD123" i="27"/>
  <c r="AD122" i="27"/>
  <c r="AD121" i="27"/>
  <c r="AD118" i="27"/>
  <c r="AD117" i="27"/>
  <c r="AD116" i="27"/>
  <c r="AD115" i="27"/>
  <c r="AD114" i="27"/>
  <c r="AD112" i="27"/>
  <c r="AD111" i="27"/>
  <c r="AD110" i="27"/>
  <c r="AD109" i="27"/>
  <c r="AD108" i="27"/>
  <c r="AD106" i="27"/>
  <c r="AD105" i="27"/>
  <c r="AD104" i="27"/>
  <c r="AD103" i="27"/>
  <c r="AD102" i="27"/>
  <c r="AD97" i="27"/>
  <c r="AD96" i="27"/>
  <c r="AD95" i="27"/>
  <c r="AD94" i="27"/>
  <c r="AD93" i="27"/>
  <c r="AD90" i="27"/>
  <c r="AD89" i="27"/>
  <c r="AD88" i="27"/>
  <c r="AD87" i="27"/>
  <c r="AD86" i="27"/>
  <c r="AD82" i="27"/>
  <c r="AD81" i="27"/>
  <c r="AD80" i="27"/>
  <c r="AD79" i="27"/>
  <c r="AD77" i="27"/>
  <c r="AD76" i="27"/>
  <c r="AD75" i="27"/>
  <c r="AD74" i="27"/>
  <c r="AD71" i="27"/>
  <c r="AD70" i="27"/>
  <c r="AD69" i="27"/>
  <c r="AD68" i="27"/>
  <c r="AD67" i="27"/>
  <c r="AD65" i="27"/>
  <c r="AD64" i="27"/>
  <c r="AD62" i="27"/>
  <c r="AD60" i="27"/>
  <c r="AD59" i="27"/>
  <c r="AD58" i="27"/>
  <c r="AD56" i="27"/>
  <c r="AD55" i="27" s="1"/>
  <c r="AD54" i="27"/>
  <c r="AD53" i="27"/>
  <c r="AD52" i="27"/>
  <c r="AD51" i="27"/>
  <c r="AD50" i="27"/>
  <c r="AD48" i="27"/>
  <c r="AD47" i="27"/>
  <c r="AD46" i="27"/>
  <c r="AD43" i="27"/>
  <c r="AD42" i="27"/>
  <c r="AD41" i="27"/>
  <c r="AD40" i="27"/>
  <c r="AD39" i="27"/>
  <c r="AD37" i="27"/>
  <c r="AD36" i="27"/>
  <c r="AD35" i="27"/>
  <c r="AD34" i="27"/>
  <c r="AD33"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H31" i="27"/>
  <c r="AH30" i="27"/>
  <c r="AH27" i="27"/>
  <c r="AH23" i="27"/>
  <c r="AH20" i="27"/>
  <c r="AH15" i="27"/>
  <c r="AH35" i="27"/>
  <c r="AH43" i="27"/>
  <c r="AH60" i="27"/>
  <c r="AH70" i="27"/>
  <c r="AH77" i="27"/>
  <c r="AH76" i="27"/>
  <c r="AH75" i="27"/>
  <c r="AH74" i="27"/>
  <c r="AH81" i="27"/>
  <c r="AH79" i="27"/>
  <c r="AH90" i="27"/>
  <c r="AH96" i="27"/>
  <c r="AH94" i="27"/>
  <c r="AH128" i="27"/>
  <c r="AH127" i="27"/>
  <c r="AH126" i="27"/>
  <c r="AH125" i="27"/>
  <c r="AH124" i="27"/>
  <c r="AH123" i="27"/>
  <c r="AH122" i="27"/>
  <c r="AH121" i="27"/>
  <c r="AH179" i="27"/>
  <c r="AH174" i="27"/>
  <c r="P170" i="23"/>
  <c r="P169" i="23" l="1"/>
  <c r="P168" i="23" s="1"/>
  <c r="M170" i="23"/>
  <c r="M169" i="23" s="1"/>
  <c r="M168" i="23" s="1"/>
  <c r="AD78" i="27"/>
  <c r="Z78" i="27"/>
  <c r="V78" i="27"/>
  <c r="AH73" i="27"/>
  <c r="Z85" i="27"/>
  <c r="AD85" i="27"/>
  <c r="V85" i="27"/>
  <c r="V120" i="27"/>
  <c r="R49" i="27"/>
  <c r="R170" i="27"/>
  <c r="R169" i="27" s="1"/>
  <c r="R168" i="27" s="1"/>
  <c r="N120" i="27"/>
  <c r="Z120" i="27"/>
  <c r="V91" i="27"/>
  <c r="V153" i="27"/>
  <c r="V66" i="27"/>
  <c r="R120" i="27"/>
  <c r="Z66" i="27"/>
  <c r="Z113" i="27"/>
  <c r="V57" i="27"/>
  <c r="V49" i="27"/>
  <c r="V107" i="27"/>
  <c r="V172" i="27"/>
  <c r="V171" i="27" s="1"/>
  <c r="V167" i="27" s="1"/>
  <c r="Z32" i="27"/>
  <c r="Z61" i="27"/>
  <c r="Z153" i="27"/>
  <c r="Z172" i="27"/>
  <c r="Z171" i="27" s="1"/>
  <c r="Z167" i="27" s="1"/>
  <c r="V160" i="27"/>
  <c r="V159" i="27" s="1"/>
  <c r="Z160" i="27"/>
  <c r="Z159" i="27" s="1"/>
  <c r="Z38" i="27"/>
  <c r="Z57" i="27"/>
  <c r="Z147" i="27"/>
  <c r="Z8" i="27"/>
  <c r="Z45" i="27"/>
  <c r="Z91" i="27"/>
  <c r="Z101" i="27"/>
  <c r="Z107" i="27"/>
  <c r="Z134" i="27"/>
  <c r="AD107" i="27"/>
  <c r="AD57" i="27"/>
  <c r="AD120" i="27"/>
  <c r="AD134" i="27"/>
  <c r="AD153" i="27"/>
  <c r="AD8" i="27"/>
  <c r="AD38" i="27"/>
  <c r="AD160" i="27"/>
  <c r="AD159" i="27" s="1"/>
  <c r="AD45" i="27"/>
  <c r="AD49" i="27"/>
  <c r="AD172" i="27"/>
  <c r="AD171" i="27" s="1"/>
  <c r="AD167" i="27" s="1"/>
  <c r="AD32" i="27"/>
  <c r="AD113" i="27"/>
  <c r="AD66" i="27"/>
  <c r="AD101" i="27"/>
  <c r="AD147" i="27"/>
  <c r="AH120" i="27"/>
  <c r="Z146" i="27" l="1"/>
  <c r="Z140" i="27" s="1"/>
  <c r="Z100" i="27"/>
  <c r="AD146" i="27"/>
  <c r="AD140" i="27" s="1"/>
  <c r="AD100" i="27"/>
  <c r="AH61" i="2"/>
  <c r="AI61" i="2"/>
  <c r="CG60" i="10" s="1"/>
  <c r="AK61" i="2"/>
  <c r="F49" i="32"/>
  <c r="G49" i="32" s="1"/>
  <c r="H49" i="32" s="1"/>
  <c r="I49" i="32" s="1"/>
  <c r="J49" i="32" s="1"/>
  <c r="K49" i="32" s="1"/>
  <c r="L49" i="32" s="1"/>
  <c r="AA60" i="10" l="1"/>
  <c r="DG61" i="20"/>
  <c r="DD61" i="20"/>
  <c r="DC61" i="20"/>
  <c r="DF61" i="20"/>
  <c r="DE61" i="20"/>
  <c r="DB61" i="20"/>
  <c r="DA61" i="20"/>
  <c r="CK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6" i="38" s="1"/>
  <c r="D61" i="2" l="1"/>
  <c r="C61" i="38" s="1"/>
  <c r="E61" i="2"/>
  <c r="D61" i="38" s="1"/>
  <c r="F61" i="2"/>
  <c r="E61" i="38" s="1"/>
  <c r="G61" i="2"/>
  <c r="F61" i="38" s="1"/>
  <c r="D60" i="2"/>
  <c r="C60" i="38" s="1"/>
  <c r="E60" i="2"/>
  <c r="D60" i="38" s="1"/>
  <c r="F60" i="2"/>
  <c r="E60" i="38" s="1"/>
  <c r="G60" i="2"/>
  <c r="F60" i="38" s="1"/>
  <c r="D59" i="2"/>
  <c r="C59" i="38" s="1"/>
  <c r="E59" i="2"/>
  <c r="D59" i="38" s="1"/>
  <c r="F59" i="2"/>
  <c r="E59" i="38" s="1"/>
  <c r="G59" i="2"/>
  <c r="F59" i="38" s="1"/>
  <c r="I58" i="38"/>
  <c r="H58" i="38"/>
  <c r="G58" i="38"/>
  <c r="F58" i="38"/>
  <c r="E58" i="38"/>
  <c r="D58" i="38"/>
  <c r="C58" i="38"/>
  <c r="C181" i="2" l="1"/>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6" i="2"/>
  <c r="C5" i="2"/>
  <c r="C4" i="2"/>
  <c r="C3" i="9" l="1"/>
  <c r="C3" i="8"/>
  <c r="C30" i="9"/>
  <c r="C25" i="8"/>
  <c r="C20" i="3"/>
  <c r="C32" i="9"/>
  <c r="C27" i="8"/>
  <c r="C31" i="9"/>
  <c r="C26" i="8"/>
  <c r="C74" i="9"/>
  <c r="C72" i="3"/>
  <c r="C67" i="8"/>
  <c r="C82" i="21"/>
  <c r="D82" i="21" s="1"/>
  <c r="AK170" i="10" l="1"/>
  <c r="O171" i="10"/>
  <c r="N171" i="10"/>
  <c r="M171" i="10"/>
  <c r="L171" i="10"/>
  <c r="F171" i="10"/>
  <c r="AH171" i="10"/>
  <c r="AD170" i="10" l="1"/>
  <c r="F169" i="10"/>
  <c r="F168" i="10" s="1"/>
  <c r="A181" i="10" l="1"/>
  <c r="A180" i="10"/>
  <c r="A179" i="10"/>
  <c r="A178" i="10"/>
  <c r="A177" i="10"/>
  <c r="A176" i="10"/>
  <c r="A175" i="10"/>
  <c r="A174" i="10"/>
  <c r="A173" i="10"/>
  <c r="A172" i="10"/>
  <c r="B170" i="10"/>
  <c r="A170" i="10"/>
  <c r="A169" i="10"/>
  <c r="A168" i="10"/>
  <c r="A167" i="10"/>
  <c r="A165" i="10"/>
  <c r="A164" i="10"/>
  <c r="A163" i="10"/>
  <c r="A162" i="10"/>
  <c r="A161" i="10"/>
  <c r="A160" i="10"/>
  <c r="A159" i="10"/>
  <c r="A158" i="10"/>
  <c r="A157" i="10"/>
  <c r="A156" i="10"/>
  <c r="A155" i="10"/>
  <c r="A154" i="10"/>
  <c r="A153" i="10"/>
  <c r="A152" i="10"/>
  <c r="A151" i="10"/>
  <c r="A150" i="10"/>
  <c r="A149" i="10"/>
  <c r="A148" i="10"/>
  <c r="A147" i="10"/>
  <c r="A146" i="10"/>
  <c r="A139" i="10"/>
  <c r="A138" i="10"/>
  <c r="A137" i="10"/>
  <c r="A136" i="10"/>
  <c r="A135" i="10"/>
  <c r="A134"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2" i="10"/>
  <c r="A81" i="10"/>
  <c r="A80" i="10"/>
  <c r="A79" i="10"/>
  <c r="B78" i="10"/>
  <c r="A78" i="10"/>
  <c r="A77" i="10"/>
  <c r="A76" i="10"/>
  <c r="A75" i="10"/>
  <c r="A74" i="10"/>
  <c r="A73" i="10"/>
  <c r="A72" i="10"/>
  <c r="A71" i="10"/>
  <c r="A70" i="10"/>
  <c r="A69" i="10"/>
  <c r="A68" i="10"/>
  <c r="A67" i="10"/>
  <c r="A66" i="10"/>
  <c r="A65" i="10"/>
  <c r="A64" i="10"/>
  <c r="A63" i="10"/>
  <c r="A62" i="10"/>
  <c r="A61" i="10"/>
  <c r="B60" i="10"/>
  <c r="A60" i="10"/>
  <c r="B59" i="10"/>
  <c r="A59" i="10"/>
  <c r="B58" i="10"/>
  <c r="B57" i="10"/>
  <c r="A57" i="10"/>
  <c r="A56" i="10"/>
  <c r="A54" i="10"/>
  <c r="A53" i="10"/>
  <c r="A52" i="10"/>
  <c r="A51" i="10"/>
  <c r="A50" i="10"/>
  <c r="A55"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29" i="20"/>
  <c r="C128" i="20"/>
  <c r="C127" i="20"/>
  <c r="C126" i="20"/>
  <c r="C125" i="20"/>
  <c r="C124" i="20"/>
  <c r="C123" i="20"/>
  <c r="C122" i="20"/>
  <c r="C119" i="20"/>
  <c r="C118" i="20"/>
  <c r="C117" i="20"/>
  <c r="C113" i="20"/>
  <c r="C112" i="20"/>
  <c r="C111" i="20"/>
  <c r="C110" i="20"/>
  <c r="C109" i="20"/>
  <c r="C107" i="20"/>
  <c r="C106" i="20"/>
  <c r="C105" i="20"/>
  <c r="C104" i="20"/>
  <c r="C103" i="20"/>
  <c r="C98" i="20"/>
  <c r="C97" i="20"/>
  <c r="C96" i="20"/>
  <c r="C95" i="20"/>
  <c r="C94" i="20"/>
  <c r="C93" i="20"/>
  <c r="C91" i="20"/>
  <c r="C90" i="20"/>
  <c r="C89" i="20"/>
  <c r="C88" i="20"/>
  <c r="C87"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1"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F44" i="32" s="1"/>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F48" i="32" s="1"/>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F4" i="32"/>
  <c r="G4" i="32" s="1"/>
  <c r="G35" i="32" l="1"/>
  <c r="G44" i="32"/>
  <c r="H44" i="32" s="1"/>
  <c r="I44" i="32" s="1"/>
  <c r="J44" i="32" s="1"/>
  <c r="K44" i="32" s="1"/>
  <c r="L44" i="32" s="1"/>
  <c r="G10" i="32"/>
  <c r="H35" i="32"/>
  <c r="I35" i="32" s="1"/>
  <c r="J35" i="32" s="1"/>
  <c r="K35" i="32" s="1"/>
  <c r="L35" i="32" s="1"/>
  <c r="U173" i="20"/>
  <c r="BI173" i="20"/>
  <c r="AO121" i="20"/>
  <c r="G48" i="32"/>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1" i="20"/>
  <c r="F24" i="32" s="1"/>
  <c r="G24" i="32" s="1"/>
  <c r="H24" i="32" s="1"/>
  <c r="I24" i="32" s="1"/>
  <c r="J24" i="32" s="1"/>
  <c r="K24" i="32" s="1"/>
  <c r="L24" i="32" s="1"/>
  <c r="CW141"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8" i="20"/>
  <c r="AO154" i="20"/>
  <c r="BI46" i="20"/>
  <c r="CW154" i="20"/>
  <c r="CW161" i="20"/>
  <c r="CW170" i="20"/>
  <c r="AO67" i="20"/>
  <c r="BI62" i="20"/>
  <c r="CW135" i="20"/>
  <c r="G33" i="32"/>
  <c r="H33" i="32" s="1"/>
  <c r="I33" i="32" s="1"/>
  <c r="J33" i="32" s="1"/>
  <c r="K33" i="32" s="1"/>
  <c r="L33" i="32" s="1"/>
  <c r="BI74" i="20"/>
  <c r="CC39" i="20"/>
  <c r="CC46" i="20"/>
  <c r="CC58" i="20"/>
  <c r="CC79" i="20"/>
  <c r="CC108" i="20"/>
  <c r="CC148"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8" i="20"/>
  <c r="F52" i="32"/>
  <c r="G52" i="32" s="1"/>
  <c r="H52" i="32" s="1"/>
  <c r="I52" i="32" s="1"/>
  <c r="J52" i="32" s="1"/>
  <c r="K52" i="32" s="1"/>
  <c r="L52" i="32" s="1"/>
  <c r="AO56" i="20"/>
  <c r="AO135" i="20"/>
  <c r="AO161" i="20"/>
  <c r="F51" i="32"/>
  <c r="G51" i="32" s="1"/>
  <c r="H51" i="32" s="1"/>
  <c r="I51" i="32" s="1"/>
  <c r="J51" i="32" s="1"/>
  <c r="K51" i="32" s="1"/>
  <c r="L51" i="32" s="1"/>
  <c r="AO170" i="20"/>
  <c r="F17" i="32"/>
  <c r="G17" i="32" s="1"/>
  <c r="H17" i="32" s="1"/>
  <c r="I17" i="32" s="1"/>
  <c r="J17" i="32" s="1"/>
  <c r="K17" i="32" s="1"/>
  <c r="L17" i="32" s="1"/>
  <c r="BI67" i="20"/>
  <c r="BI86" i="20"/>
  <c r="BI92" i="20"/>
  <c r="F22" i="32"/>
  <c r="G22" i="32" s="1"/>
  <c r="H22" i="32" s="1"/>
  <c r="I22" i="32" s="1"/>
  <c r="J22" i="32" s="1"/>
  <c r="K22" i="32" s="1"/>
  <c r="L22" i="32" s="1"/>
  <c r="CC33" i="20"/>
  <c r="CC56" i="20"/>
  <c r="CC102" i="20"/>
  <c r="CC170"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5" i="20"/>
  <c r="U154" i="20"/>
  <c r="U161" i="20"/>
  <c r="F50" i="32"/>
  <c r="G50" i="32" s="1"/>
  <c r="H50" i="32" s="1"/>
  <c r="I50" i="32" s="1"/>
  <c r="J50" i="32" s="1"/>
  <c r="K50" i="32" s="1"/>
  <c r="L50" i="32" s="1"/>
  <c r="U170"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4" i="20"/>
  <c r="CC50" i="20"/>
  <c r="F16" i="32"/>
  <c r="G16" i="32" s="1"/>
  <c r="H16" i="32" s="1"/>
  <c r="I16" i="32" s="1"/>
  <c r="J16" i="32" s="1"/>
  <c r="K16" i="32" s="1"/>
  <c r="L16" i="32" s="1"/>
  <c r="CC67" i="20"/>
  <c r="CC92" i="20"/>
  <c r="CC121" i="20"/>
  <c r="CC161"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H10" i="32"/>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8" i="20"/>
  <c r="BI161" i="20"/>
  <c r="F31" i="32"/>
  <c r="G31" i="32" s="1"/>
  <c r="H31" i="32" s="1"/>
  <c r="I31" i="32" s="1"/>
  <c r="J31" i="32" s="1"/>
  <c r="K31" i="32" s="1"/>
  <c r="L31" i="32" s="1"/>
  <c r="BI170" i="20"/>
  <c r="F18" i="32"/>
  <c r="G18" i="32" s="1"/>
  <c r="H18" i="32" s="1"/>
  <c r="I18" i="32" s="1"/>
  <c r="J18" i="32" s="1"/>
  <c r="K18" i="32" s="1"/>
  <c r="L18" i="32" s="1"/>
  <c r="CC62" i="20"/>
  <c r="CC86" i="20"/>
  <c r="CC154" i="20"/>
  <c r="CW9" i="20"/>
  <c r="CW148"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181" i="2"/>
  <c r="M180" i="2"/>
  <c r="N180" i="2" s="1"/>
  <c r="M179" i="2"/>
  <c r="M178" i="2"/>
  <c r="M177" i="2"/>
  <c r="M176" i="2"/>
  <c r="M175" i="2"/>
  <c r="N175" i="2" s="1"/>
  <c r="M174" i="2"/>
  <c r="M171" i="2"/>
  <c r="M170" i="2" s="1"/>
  <c r="M166" i="2"/>
  <c r="M164" i="2"/>
  <c r="M163" i="2"/>
  <c r="M162" i="2"/>
  <c r="M159" i="2"/>
  <c r="M158" i="2"/>
  <c r="M157" i="2"/>
  <c r="M156" i="2"/>
  <c r="M155" i="2"/>
  <c r="M153" i="2"/>
  <c r="M152" i="2"/>
  <c r="M151" i="2"/>
  <c r="M150" i="2"/>
  <c r="M149" i="2"/>
  <c r="M138" i="2"/>
  <c r="N138" i="2" s="1"/>
  <c r="M137" i="2"/>
  <c r="N137" i="2" s="1"/>
  <c r="M136" i="2"/>
  <c r="M119" i="2"/>
  <c r="M118" i="2"/>
  <c r="M117" i="2"/>
  <c r="M116" i="2"/>
  <c r="M115" i="2"/>
  <c r="M113" i="2"/>
  <c r="M112" i="2"/>
  <c r="M111" i="2"/>
  <c r="M110" i="2"/>
  <c r="M109" i="2"/>
  <c r="M107" i="2"/>
  <c r="M106" i="2"/>
  <c r="M105" i="2"/>
  <c r="M104" i="2"/>
  <c r="M103" i="2"/>
  <c r="M98" i="2"/>
  <c r="M97" i="2"/>
  <c r="N97" i="2" s="1"/>
  <c r="M96" i="2"/>
  <c r="M95" i="2"/>
  <c r="N95" i="2" s="1"/>
  <c r="M93" i="2"/>
  <c r="M91" i="2"/>
  <c r="N91" i="2" s="1"/>
  <c r="M90" i="2"/>
  <c r="M89" i="2"/>
  <c r="M88" i="2"/>
  <c r="M87" i="2"/>
  <c r="M82" i="2"/>
  <c r="N82" i="2" s="1"/>
  <c r="M80" i="2"/>
  <c r="M78" i="2"/>
  <c r="N78" i="2" s="1"/>
  <c r="M77" i="2"/>
  <c r="N77" i="2" s="1"/>
  <c r="M76" i="2"/>
  <c r="N76" i="2" s="1"/>
  <c r="M75" i="2"/>
  <c r="M72" i="2"/>
  <c r="M71" i="2"/>
  <c r="N71" i="2" s="1"/>
  <c r="M70" i="2"/>
  <c r="M69" i="2"/>
  <c r="M68" i="2"/>
  <c r="M66" i="2"/>
  <c r="M65" i="2"/>
  <c r="M64" i="2"/>
  <c r="M63" i="2"/>
  <c r="M60" i="2"/>
  <c r="M59" i="2"/>
  <c r="M57" i="2"/>
  <c r="M56" i="2" s="1"/>
  <c r="M55" i="2"/>
  <c r="M54" i="2"/>
  <c r="M53" i="2"/>
  <c r="M51" i="2"/>
  <c r="M42" i="2"/>
  <c r="M41" i="2"/>
  <c r="M40" i="2"/>
  <c r="M38" i="2"/>
  <c r="M37" i="2"/>
  <c r="M36" i="2"/>
  <c r="N36" i="2" s="1"/>
  <c r="M35" i="2"/>
  <c r="M34" i="2"/>
  <c r="M32" i="2"/>
  <c r="N32" i="2" s="1"/>
  <c r="M31" i="2"/>
  <c r="N31" i="2" s="1"/>
  <c r="M30" i="2"/>
  <c r="M29" i="2"/>
  <c r="M28" i="2"/>
  <c r="N28" i="2" s="1"/>
  <c r="M27" i="2"/>
  <c r="M26" i="2"/>
  <c r="M25" i="2"/>
  <c r="M24" i="2"/>
  <c r="N24" i="2" s="1"/>
  <c r="M23" i="2"/>
  <c r="M22" i="2"/>
  <c r="M21" i="2"/>
  <c r="N21" i="2" s="1"/>
  <c r="M20" i="2"/>
  <c r="M19" i="2"/>
  <c r="M18" i="2"/>
  <c r="M17" i="2"/>
  <c r="M16" i="2"/>
  <c r="N16" i="2" s="1"/>
  <c r="M15" i="2"/>
  <c r="M14" i="2"/>
  <c r="M13" i="2"/>
  <c r="M12" i="2"/>
  <c r="M11" i="2"/>
  <c r="M10" i="2"/>
  <c r="P181" i="2"/>
  <c r="P180" i="2"/>
  <c r="Q180" i="2" s="1"/>
  <c r="P176" i="2"/>
  <c r="P175" i="2"/>
  <c r="Q175" i="2" s="1"/>
  <c r="P171" i="2"/>
  <c r="P170" i="2" s="1"/>
  <c r="P166" i="2"/>
  <c r="P165" i="2"/>
  <c r="P164" i="2"/>
  <c r="P163" i="2"/>
  <c r="P162" i="2"/>
  <c r="P153" i="2"/>
  <c r="Q153" i="2" s="1"/>
  <c r="P138" i="2"/>
  <c r="Q138" i="2" s="1"/>
  <c r="P136" i="2"/>
  <c r="P119" i="2"/>
  <c r="P118" i="2"/>
  <c r="P117" i="2"/>
  <c r="P116" i="2"/>
  <c r="P115" i="2"/>
  <c r="P113" i="2"/>
  <c r="P112" i="2"/>
  <c r="P111" i="2"/>
  <c r="P110" i="2"/>
  <c r="P109" i="2"/>
  <c r="P107" i="2"/>
  <c r="P106" i="2"/>
  <c r="P105" i="2"/>
  <c r="P104" i="2"/>
  <c r="P103" i="2"/>
  <c r="P98" i="2"/>
  <c r="P97" i="2"/>
  <c r="Q97" i="2" s="1"/>
  <c r="P96" i="2"/>
  <c r="P95" i="2"/>
  <c r="Q95" i="2" s="1"/>
  <c r="P91" i="2"/>
  <c r="Q91" i="2" s="1"/>
  <c r="P90" i="2"/>
  <c r="P89" i="2"/>
  <c r="P87" i="2"/>
  <c r="P82" i="2"/>
  <c r="Q82" i="2" s="1"/>
  <c r="P80" i="2"/>
  <c r="P78" i="2"/>
  <c r="Q78" i="2" s="1"/>
  <c r="P77" i="2"/>
  <c r="Q77" i="2" s="1"/>
  <c r="P76" i="2"/>
  <c r="Q76" i="2" s="1"/>
  <c r="P75" i="2"/>
  <c r="Q75" i="2" s="1"/>
  <c r="P72" i="2"/>
  <c r="P71" i="2"/>
  <c r="Q71" i="2" s="1"/>
  <c r="P70" i="2"/>
  <c r="P69" i="2"/>
  <c r="P68" i="2"/>
  <c r="P66" i="2"/>
  <c r="P57" i="2"/>
  <c r="P56" i="2" s="1"/>
  <c r="P55" i="2"/>
  <c r="Q55" i="2" s="1"/>
  <c r="P54" i="2"/>
  <c r="Q54" i="2" s="1"/>
  <c r="P53" i="2"/>
  <c r="Q53" i="2" s="1"/>
  <c r="P52" i="2"/>
  <c r="Q52" i="2" s="1"/>
  <c r="P51" i="2"/>
  <c r="P49" i="2"/>
  <c r="P48" i="2"/>
  <c r="P47" i="2"/>
  <c r="P42" i="2"/>
  <c r="P41" i="2"/>
  <c r="P40" i="2"/>
  <c r="P38" i="2"/>
  <c r="P37" i="2"/>
  <c r="P36" i="2"/>
  <c r="Q36" i="2" s="1"/>
  <c r="P35" i="2"/>
  <c r="P34" i="2"/>
  <c r="P32" i="2"/>
  <c r="Q32" i="2" s="1"/>
  <c r="P31" i="2"/>
  <c r="Q31" i="2" s="1"/>
  <c r="P30" i="2"/>
  <c r="P29" i="2"/>
  <c r="P28" i="2"/>
  <c r="Q28" i="2" s="1"/>
  <c r="P27" i="2"/>
  <c r="P26" i="2"/>
  <c r="P25" i="2"/>
  <c r="P24" i="2"/>
  <c r="Q24" i="2" s="1"/>
  <c r="P23" i="2"/>
  <c r="P22" i="2"/>
  <c r="P21" i="2"/>
  <c r="Q21" i="2" s="1"/>
  <c r="P20" i="2"/>
  <c r="P19" i="2"/>
  <c r="P18" i="2"/>
  <c r="P17" i="2"/>
  <c r="P16" i="2"/>
  <c r="Q16" i="2" s="1"/>
  <c r="P15" i="2"/>
  <c r="P14" i="2"/>
  <c r="P13" i="2"/>
  <c r="P12" i="2"/>
  <c r="P11" i="2"/>
  <c r="P10" i="2"/>
  <c r="S181" i="2"/>
  <c r="T181" i="2" s="1"/>
  <c r="S180" i="2"/>
  <c r="T180" i="2" s="1"/>
  <c r="S179" i="2"/>
  <c r="T179" i="2" s="1"/>
  <c r="S178" i="2"/>
  <c r="T178" i="2" s="1"/>
  <c r="S177" i="2"/>
  <c r="T177" i="2" s="1"/>
  <c r="S176" i="2"/>
  <c r="T176" i="2" s="1"/>
  <c r="S175" i="2"/>
  <c r="T175" i="2" s="1"/>
  <c r="S174" i="2"/>
  <c r="S171" i="2"/>
  <c r="S170" i="2" s="1"/>
  <c r="S166" i="2"/>
  <c r="T166" i="2" s="1"/>
  <c r="S165" i="2"/>
  <c r="T165" i="2" s="1"/>
  <c r="S164" i="2"/>
  <c r="T164" i="2" s="1"/>
  <c r="S163" i="2"/>
  <c r="T163" i="2" s="1"/>
  <c r="S162" i="2"/>
  <c r="S159" i="2"/>
  <c r="T159" i="2" s="1"/>
  <c r="S158" i="2"/>
  <c r="T158" i="2" s="1"/>
  <c r="S157" i="2"/>
  <c r="T157" i="2" s="1"/>
  <c r="S156" i="2"/>
  <c r="T156" i="2" s="1"/>
  <c r="S155" i="2"/>
  <c r="S153" i="2"/>
  <c r="S152" i="2"/>
  <c r="T152" i="2" s="1"/>
  <c r="S151" i="2"/>
  <c r="T151" i="2" s="1"/>
  <c r="S150" i="2"/>
  <c r="T150" i="2" s="1"/>
  <c r="S149" i="2"/>
  <c r="S138" i="2"/>
  <c r="T138" i="2" s="1"/>
  <c r="S136" i="2"/>
  <c r="S119" i="2"/>
  <c r="S118" i="2"/>
  <c r="S117" i="2"/>
  <c r="S116" i="2"/>
  <c r="S115" i="2"/>
  <c r="S113" i="2"/>
  <c r="T113" i="2" s="1"/>
  <c r="S112" i="2"/>
  <c r="T112" i="2" s="1"/>
  <c r="S111" i="2"/>
  <c r="T111" i="2" s="1"/>
  <c r="S110" i="2"/>
  <c r="T110" i="2" s="1"/>
  <c r="S109" i="2"/>
  <c r="T109" i="2" s="1"/>
  <c r="S107" i="2"/>
  <c r="S106" i="2"/>
  <c r="S105" i="2"/>
  <c r="S104" i="2"/>
  <c r="S103" i="2"/>
  <c r="S98" i="2"/>
  <c r="T98" i="2" s="1"/>
  <c r="S97" i="2"/>
  <c r="T97" i="2" s="1"/>
  <c r="S96" i="2"/>
  <c r="T96" i="2" s="1"/>
  <c r="S95" i="2"/>
  <c r="T95" i="2" s="1"/>
  <c r="S94" i="2"/>
  <c r="T94" i="2" s="1"/>
  <c r="S93" i="2"/>
  <c r="S91" i="2"/>
  <c r="T91" i="2" s="1"/>
  <c r="S90" i="2"/>
  <c r="T90" i="2" s="1"/>
  <c r="S89" i="2"/>
  <c r="T89" i="2" s="1"/>
  <c r="S88" i="2"/>
  <c r="T88" i="2" s="1"/>
  <c r="S87" i="2"/>
  <c r="S83" i="2"/>
  <c r="T83" i="2" s="1"/>
  <c r="S82" i="2"/>
  <c r="S81" i="2"/>
  <c r="T81" i="2" s="1"/>
  <c r="S80" i="2"/>
  <c r="S78" i="2"/>
  <c r="T78" i="2" s="1"/>
  <c r="S77" i="2"/>
  <c r="T77" i="2" s="1"/>
  <c r="S76" i="2"/>
  <c r="T76" i="2" s="1"/>
  <c r="S75" i="2"/>
  <c r="T75" i="2" s="1"/>
  <c r="S72" i="2"/>
  <c r="T72" i="2" s="1"/>
  <c r="S71" i="2"/>
  <c r="T71" i="2" s="1"/>
  <c r="S70" i="2"/>
  <c r="T70" i="2" s="1"/>
  <c r="S69" i="2"/>
  <c r="S68" i="2"/>
  <c r="T68" i="2" s="1"/>
  <c r="S66" i="2"/>
  <c r="T66" i="2" s="1"/>
  <c r="S65" i="2"/>
  <c r="T65" i="2" s="1"/>
  <c r="S64" i="2"/>
  <c r="S63" i="2"/>
  <c r="S61" i="2"/>
  <c r="T61" i="2" s="1"/>
  <c r="S60" i="2"/>
  <c r="T60" i="2" s="1"/>
  <c r="S59" i="2"/>
  <c r="S57" i="2"/>
  <c r="S56" i="2" s="1"/>
  <c r="S55" i="2"/>
  <c r="T55" i="2" s="1"/>
  <c r="S54" i="2"/>
  <c r="T54" i="2" s="1"/>
  <c r="S53" i="2"/>
  <c r="T53" i="2" s="1"/>
  <c r="S52" i="2"/>
  <c r="T52" i="2" s="1"/>
  <c r="S51" i="2"/>
  <c r="S49" i="2"/>
  <c r="S48" i="2"/>
  <c r="S47" i="2"/>
  <c r="S44" i="2"/>
  <c r="T44" i="2" s="1"/>
  <c r="S43" i="2"/>
  <c r="S42" i="2"/>
  <c r="S41" i="2"/>
  <c r="S40" i="2"/>
  <c r="S38" i="2"/>
  <c r="S37" i="2"/>
  <c r="S36" i="2"/>
  <c r="T36" i="2" s="1"/>
  <c r="S35" i="2"/>
  <c r="S34" i="2"/>
  <c r="S32" i="2"/>
  <c r="T32" i="2" s="1"/>
  <c r="S31" i="2"/>
  <c r="T31" i="2" s="1"/>
  <c r="S30" i="2"/>
  <c r="S29" i="2"/>
  <c r="S28" i="2"/>
  <c r="T28" i="2" s="1"/>
  <c r="S27" i="2"/>
  <c r="S26" i="2"/>
  <c r="S25" i="2"/>
  <c r="S24" i="2"/>
  <c r="T24" i="2" s="1"/>
  <c r="S23" i="2"/>
  <c r="S22" i="2"/>
  <c r="S21" i="2"/>
  <c r="T21" i="2" s="1"/>
  <c r="S20" i="2"/>
  <c r="S19" i="2"/>
  <c r="S18" i="2"/>
  <c r="S17" i="2"/>
  <c r="T16" i="2"/>
  <c r="S15" i="2"/>
  <c r="S14" i="2"/>
  <c r="S13" i="2"/>
  <c r="S12" i="2"/>
  <c r="S10" i="2"/>
  <c r="Y181" i="2"/>
  <c r="Z181" i="2" s="1"/>
  <c r="Y180" i="2"/>
  <c r="Z180" i="2" s="1"/>
  <c r="Y179" i="2"/>
  <c r="Z179" i="2" s="1"/>
  <c r="Y178" i="2"/>
  <c r="Z178" i="2" s="1"/>
  <c r="Y177" i="2"/>
  <c r="Z177" i="2" s="1"/>
  <c r="Y176" i="2"/>
  <c r="Z176" i="2" s="1"/>
  <c r="Y175" i="2"/>
  <c r="Z175" i="2" s="1"/>
  <c r="Y174" i="2"/>
  <c r="Z174" i="2" s="1"/>
  <c r="Y171" i="2"/>
  <c r="Y170" i="2" s="1"/>
  <c r="Y166" i="2"/>
  <c r="Z166" i="2" s="1"/>
  <c r="Y165" i="2"/>
  <c r="Z165" i="2" s="1"/>
  <c r="Y164" i="2"/>
  <c r="Z164" i="2" s="1"/>
  <c r="Y163" i="2"/>
  <c r="Z163" i="2" s="1"/>
  <c r="Y162" i="2"/>
  <c r="Z162" i="2" s="1"/>
  <c r="Y159" i="2"/>
  <c r="Z159" i="2" s="1"/>
  <c r="Y158" i="2"/>
  <c r="Z158" i="2" s="1"/>
  <c r="Y157" i="2"/>
  <c r="Z157" i="2" s="1"/>
  <c r="Y156" i="2"/>
  <c r="Z156" i="2" s="1"/>
  <c r="Y155" i="2"/>
  <c r="Z155" i="2" s="1"/>
  <c r="Y153" i="2"/>
  <c r="Z153" i="2" s="1"/>
  <c r="Y152" i="2"/>
  <c r="Z152" i="2" s="1"/>
  <c r="Y151" i="2"/>
  <c r="Z151" i="2" s="1"/>
  <c r="Y150" i="2"/>
  <c r="Y149" i="2"/>
  <c r="Z149" i="2" s="1"/>
  <c r="Y138" i="2"/>
  <c r="Z138" i="2" s="1"/>
  <c r="Y136" i="2"/>
  <c r="Z136" i="2" s="1"/>
  <c r="Y119" i="2"/>
  <c r="Z119" i="2" s="1"/>
  <c r="Y118" i="2"/>
  <c r="Z118" i="2" s="1"/>
  <c r="Y117" i="2"/>
  <c r="Z117" i="2" s="1"/>
  <c r="Y116" i="2"/>
  <c r="Z116" i="2" s="1"/>
  <c r="Y115" i="2"/>
  <c r="Z115" i="2" s="1"/>
  <c r="Y113" i="2"/>
  <c r="Z113" i="2" s="1"/>
  <c r="Y112" i="2"/>
  <c r="Z112" i="2" s="1"/>
  <c r="Y111" i="2"/>
  <c r="Z111" i="2" s="1"/>
  <c r="Y110" i="2"/>
  <c r="Z110" i="2" s="1"/>
  <c r="Y109" i="2"/>
  <c r="Z109" i="2" s="1"/>
  <c r="Y107" i="2"/>
  <c r="Z107" i="2" s="1"/>
  <c r="Y106" i="2"/>
  <c r="Z106" i="2" s="1"/>
  <c r="Y105" i="2"/>
  <c r="Z105" i="2" s="1"/>
  <c r="Y104" i="2"/>
  <c r="Z104" i="2" s="1"/>
  <c r="Y103" i="2"/>
  <c r="Z103" i="2" s="1"/>
  <c r="Y98" i="2"/>
  <c r="Z98" i="2" s="1"/>
  <c r="Y97" i="2"/>
  <c r="Z97" i="2" s="1"/>
  <c r="Y96" i="2"/>
  <c r="Z96" i="2" s="1"/>
  <c r="Y95" i="2"/>
  <c r="Z95" i="2" s="1"/>
  <c r="Y94" i="2"/>
  <c r="Z94" i="2" s="1"/>
  <c r="Y91" i="2"/>
  <c r="Z91" i="2" s="1"/>
  <c r="Y90" i="2"/>
  <c r="Z90" i="2" s="1"/>
  <c r="Y89" i="2"/>
  <c r="Z89" i="2" s="1"/>
  <c r="Y88" i="2"/>
  <c r="Z88" i="2" s="1"/>
  <c r="Y87" i="2"/>
  <c r="Y83" i="2"/>
  <c r="Z83" i="2" s="1"/>
  <c r="Y82" i="2"/>
  <c r="Z82" i="2" s="1"/>
  <c r="Y81" i="2"/>
  <c r="Z81" i="2" s="1"/>
  <c r="Y80" i="2"/>
  <c r="Z80" i="2" s="1"/>
  <c r="Y78" i="2"/>
  <c r="Z78" i="2" s="1"/>
  <c r="Y77" i="2"/>
  <c r="Z77" i="2" s="1"/>
  <c r="Y76" i="2"/>
  <c r="Z76" i="2" s="1"/>
  <c r="Y75" i="2"/>
  <c r="Z75" i="2" s="1"/>
  <c r="Y72" i="2"/>
  <c r="Z72" i="2" s="1"/>
  <c r="Y71" i="2"/>
  <c r="Z71" i="2" s="1"/>
  <c r="Y70" i="2"/>
  <c r="Z70" i="2" s="1"/>
  <c r="Y69" i="2"/>
  <c r="Z69" i="2" s="1"/>
  <c r="Y68" i="2"/>
  <c r="Z68" i="2" s="1"/>
  <c r="Y66" i="2"/>
  <c r="Y65" i="2"/>
  <c r="Y64" i="2"/>
  <c r="Y63" i="2"/>
  <c r="Y61" i="2"/>
  <c r="Y60" i="2"/>
  <c r="Y59" i="2"/>
  <c r="Y57" i="2"/>
  <c r="Y56" i="2" s="1"/>
  <c r="Y55" i="2"/>
  <c r="Y54" i="2"/>
  <c r="Y53" i="2"/>
  <c r="Y52" i="2"/>
  <c r="Y51" i="2"/>
  <c r="Y49" i="2"/>
  <c r="Y48" i="2"/>
  <c r="Y47" i="2"/>
  <c r="Y44" i="2"/>
  <c r="Y43" i="2"/>
  <c r="Y42" i="2"/>
  <c r="Y41" i="2"/>
  <c r="Y4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181" i="2"/>
  <c r="W181" i="2" s="1"/>
  <c r="V180" i="2"/>
  <c r="W180" i="2" s="1"/>
  <c r="V179" i="2"/>
  <c r="W179" i="2" s="1"/>
  <c r="V178" i="2"/>
  <c r="W178" i="2" s="1"/>
  <c r="V177" i="2"/>
  <c r="W177" i="2" s="1"/>
  <c r="V176" i="2"/>
  <c r="W176" i="2" s="1"/>
  <c r="V175" i="2"/>
  <c r="W175" i="2" s="1"/>
  <c r="V174" i="2"/>
  <c r="V171" i="2"/>
  <c r="W171" i="2" s="1"/>
  <c r="W170" i="2" s="1"/>
  <c r="V166" i="2"/>
  <c r="W166" i="2" s="1"/>
  <c r="V165" i="2"/>
  <c r="W165" i="2" s="1"/>
  <c r="V164" i="2"/>
  <c r="W164" i="2" s="1"/>
  <c r="V163" i="2"/>
  <c r="W163" i="2" s="1"/>
  <c r="V162" i="2"/>
  <c r="W162" i="2" s="1"/>
  <c r="V159" i="2"/>
  <c r="W159" i="2" s="1"/>
  <c r="V158" i="2"/>
  <c r="W158" i="2" s="1"/>
  <c r="V157" i="2"/>
  <c r="W157" i="2" s="1"/>
  <c r="V156" i="2"/>
  <c r="W156" i="2" s="1"/>
  <c r="V155" i="2"/>
  <c r="W155" i="2" s="1"/>
  <c r="V153" i="2"/>
  <c r="W153" i="2" s="1"/>
  <c r="V152" i="2"/>
  <c r="W152" i="2" s="1"/>
  <c r="V151" i="2"/>
  <c r="W151" i="2" s="1"/>
  <c r="V150" i="2"/>
  <c r="W150" i="2" s="1"/>
  <c r="V149" i="2"/>
  <c r="W149" i="2" s="1"/>
  <c r="V138" i="2"/>
  <c r="W138" i="2" s="1"/>
  <c r="V136" i="2"/>
  <c r="W136" i="2" s="1"/>
  <c r="V119" i="2"/>
  <c r="W119" i="2" s="1"/>
  <c r="V118" i="2"/>
  <c r="W118" i="2" s="1"/>
  <c r="V117" i="2"/>
  <c r="W117" i="2" s="1"/>
  <c r="V116" i="2"/>
  <c r="W116" i="2" s="1"/>
  <c r="V115" i="2"/>
  <c r="W115" i="2" s="1"/>
  <c r="V113" i="2"/>
  <c r="W113" i="2" s="1"/>
  <c r="V112" i="2"/>
  <c r="W112" i="2" s="1"/>
  <c r="V111" i="2"/>
  <c r="W111" i="2" s="1"/>
  <c r="V110" i="2"/>
  <c r="W110" i="2" s="1"/>
  <c r="V109" i="2"/>
  <c r="W109" i="2" s="1"/>
  <c r="V107" i="2"/>
  <c r="W107" i="2" s="1"/>
  <c r="V106" i="2"/>
  <c r="W106" i="2" s="1"/>
  <c r="V105" i="2"/>
  <c r="W105" i="2" s="1"/>
  <c r="V104" i="2"/>
  <c r="W104" i="2" s="1"/>
  <c r="V103" i="2"/>
  <c r="W103" i="2" s="1"/>
  <c r="V98" i="2"/>
  <c r="W98" i="2" s="1"/>
  <c r="V97" i="2"/>
  <c r="W97" i="2" s="1"/>
  <c r="V96" i="2"/>
  <c r="W96" i="2" s="1"/>
  <c r="V95" i="2"/>
  <c r="W95" i="2" s="1"/>
  <c r="V94" i="2"/>
  <c r="W94" i="2" s="1"/>
  <c r="V93" i="2"/>
  <c r="V91" i="2"/>
  <c r="W91" i="2" s="1"/>
  <c r="V90" i="2"/>
  <c r="W90" i="2" s="1"/>
  <c r="V89" i="2"/>
  <c r="W89" i="2" s="1"/>
  <c r="V88" i="2"/>
  <c r="W88" i="2" s="1"/>
  <c r="V87" i="2"/>
  <c r="V83" i="2"/>
  <c r="W83" i="2" s="1"/>
  <c r="V82" i="2"/>
  <c r="W82" i="2" s="1"/>
  <c r="V81" i="2"/>
  <c r="W81" i="2" s="1"/>
  <c r="V80" i="2"/>
  <c r="V78" i="2"/>
  <c r="W78" i="2" s="1"/>
  <c r="V77" i="2"/>
  <c r="W77" i="2" s="1"/>
  <c r="V76" i="2"/>
  <c r="W76" i="2" s="1"/>
  <c r="V75" i="2"/>
  <c r="W75" i="2" s="1"/>
  <c r="V72" i="2"/>
  <c r="W72" i="2" s="1"/>
  <c r="V71" i="2"/>
  <c r="W71" i="2" s="1"/>
  <c r="V70" i="2"/>
  <c r="W70" i="2" s="1"/>
  <c r="V69" i="2"/>
  <c r="W69" i="2" s="1"/>
  <c r="V68" i="2"/>
  <c r="V66" i="2"/>
  <c r="W66" i="2" s="1"/>
  <c r="V65" i="2"/>
  <c r="W65" i="2" s="1"/>
  <c r="V64" i="2"/>
  <c r="W64" i="2" s="1"/>
  <c r="V63" i="2"/>
  <c r="W63" i="2" s="1"/>
  <c r="V61" i="2"/>
  <c r="W61" i="2" s="1"/>
  <c r="V60" i="2"/>
  <c r="W60" i="2" s="1"/>
  <c r="V59" i="2"/>
  <c r="W59" i="2" s="1"/>
  <c r="V49" i="2"/>
  <c r="W49" i="2" s="1"/>
  <c r="V48" i="2"/>
  <c r="W48" i="2" s="1"/>
  <c r="V47" i="2"/>
  <c r="W47" i="2" s="1"/>
  <c r="V44" i="2"/>
  <c r="W44" i="2" s="1"/>
  <c r="V43" i="2"/>
  <c r="W43" i="2" s="1"/>
  <c r="V42" i="2"/>
  <c r="W42" i="2" s="1"/>
  <c r="V41" i="2"/>
  <c r="W41" i="2" s="1"/>
  <c r="V4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D181" i="2"/>
  <c r="AD180" i="2"/>
  <c r="AE180" i="2" s="1"/>
  <c r="AD179" i="2"/>
  <c r="AD178" i="2"/>
  <c r="AD177" i="2"/>
  <c r="AD176" i="2"/>
  <c r="AD175" i="2"/>
  <c r="AE175" i="2" s="1"/>
  <c r="AD174" i="2"/>
  <c r="AD171" i="2"/>
  <c r="AD170" i="2" s="1"/>
  <c r="AD166" i="2"/>
  <c r="AD165" i="2"/>
  <c r="AD164" i="2"/>
  <c r="AD163" i="2"/>
  <c r="AD162" i="2"/>
  <c r="AD159" i="2"/>
  <c r="AD158" i="2"/>
  <c r="AD157" i="2"/>
  <c r="AD156" i="2"/>
  <c r="AD155" i="2"/>
  <c r="AD153" i="2"/>
  <c r="AD152" i="2"/>
  <c r="AD151" i="2"/>
  <c r="AD150" i="2"/>
  <c r="AD149" i="2"/>
  <c r="AD138" i="2"/>
  <c r="AD137" i="2"/>
  <c r="AE137" i="2" s="1"/>
  <c r="AD136" i="2"/>
  <c r="AE136" i="2" s="1"/>
  <c r="AD119" i="2"/>
  <c r="AD118" i="2"/>
  <c r="AD117" i="2"/>
  <c r="AD116" i="2"/>
  <c r="AD115" i="2"/>
  <c r="AD113" i="2"/>
  <c r="AD112" i="2"/>
  <c r="AD111" i="2"/>
  <c r="AD110" i="2"/>
  <c r="AD109" i="2"/>
  <c r="AD107" i="2"/>
  <c r="AD106" i="2"/>
  <c r="AD105" i="2"/>
  <c r="AD104" i="2"/>
  <c r="AD103" i="2"/>
  <c r="AD98" i="2"/>
  <c r="AD97" i="2"/>
  <c r="AE97" i="2" s="1"/>
  <c r="AD96" i="2"/>
  <c r="AD95" i="2"/>
  <c r="AE95" i="2" s="1"/>
  <c r="AD94" i="2"/>
  <c r="AD93" i="2"/>
  <c r="AD91" i="2"/>
  <c r="AE91" i="2" s="1"/>
  <c r="AD90" i="2"/>
  <c r="AD89" i="2"/>
  <c r="AD88" i="2"/>
  <c r="AD87" i="2"/>
  <c r="AD83" i="2"/>
  <c r="AD82" i="2"/>
  <c r="AE82" i="2" s="1"/>
  <c r="AD81" i="2"/>
  <c r="AD80" i="2"/>
  <c r="AD78" i="2"/>
  <c r="AE78" i="2" s="1"/>
  <c r="AD77" i="2"/>
  <c r="AE77" i="2" s="1"/>
  <c r="AD76" i="2"/>
  <c r="AE76" i="2" s="1"/>
  <c r="AD75" i="2"/>
  <c r="AD72" i="2"/>
  <c r="AD71" i="2"/>
  <c r="AE71" i="2" s="1"/>
  <c r="AD70" i="2"/>
  <c r="AD69" i="2"/>
  <c r="AD68" i="2"/>
  <c r="AD61" i="2"/>
  <c r="AE61" i="2" s="1"/>
  <c r="AD60" i="2"/>
  <c r="AD59" i="2"/>
  <c r="AD57" i="2"/>
  <c r="AD56" i="2" s="1"/>
  <c r="AD55" i="2"/>
  <c r="AD54" i="2"/>
  <c r="AD53" i="2"/>
  <c r="AD52" i="2"/>
  <c r="AD51" i="2"/>
  <c r="AD49" i="2"/>
  <c r="AD48" i="2"/>
  <c r="AD47" i="2"/>
  <c r="AD44" i="2"/>
  <c r="AE44" i="2" s="1"/>
  <c r="AD42" i="2"/>
  <c r="AD41" i="2"/>
  <c r="AD40" i="2"/>
  <c r="AD38" i="2"/>
  <c r="AD37" i="2"/>
  <c r="AD36" i="2"/>
  <c r="AE36" i="2" s="1"/>
  <c r="AD35" i="2"/>
  <c r="AD34" i="2"/>
  <c r="AD32" i="2"/>
  <c r="AE32" i="2" s="1"/>
  <c r="AD31" i="2"/>
  <c r="AE31" i="2" s="1"/>
  <c r="AD30" i="2"/>
  <c r="AD29" i="2"/>
  <c r="AD28" i="2"/>
  <c r="AE28" i="2" s="1"/>
  <c r="AD27" i="2"/>
  <c r="AD26" i="2"/>
  <c r="AD25" i="2"/>
  <c r="AD24" i="2"/>
  <c r="AE24" i="2" s="1"/>
  <c r="AD23" i="2"/>
  <c r="AD22" i="2"/>
  <c r="AD21" i="2"/>
  <c r="AE21" i="2" s="1"/>
  <c r="AD20" i="2"/>
  <c r="AD19" i="2"/>
  <c r="AD18" i="2"/>
  <c r="AD17" i="2"/>
  <c r="AD16" i="2"/>
  <c r="AE16" i="2" s="1"/>
  <c r="AD15" i="2"/>
  <c r="AD14" i="2"/>
  <c r="AD13" i="2"/>
  <c r="AD12" i="2"/>
  <c r="AD11" i="2"/>
  <c r="AD10" i="2"/>
  <c r="AP171" i="2"/>
  <c r="AO171" i="2"/>
  <c r="AN171" i="2"/>
  <c r="AL171" i="2"/>
  <c r="AP140" i="2"/>
  <c r="AO140" i="2"/>
  <c r="AM140" i="2"/>
  <c r="AL140" i="2"/>
  <c r="AP139" i="2"/>
  <c r="AO139" i="2"/>
  <c r="AM139" i="2"/>
  <c r="AL139" i="2"/>
  <c r="AP138" i="2"/>
  <c r="AO138" i="2"/>
  <c r="AM138" i="2"/>
  <c r="AL138" i="2"/>
  <c r="AP137" i="2"/>
  <c r="AO137" i="2"/>
  <c r="AM137" i="2"/>
  <c r="AL137" i="2"/>
  <c r="AP136" i="2"/>
  <c r="AO136" i="2"/>
  <c r="AM136" i="2"/>
  <c r="AL136" i="2"/>
  <c r="AP70" i="2"/>
  <c r="AO70" i="2"/>
  <c r="AM70" i="2"/>
  <c r="AL70" i="2"/>
  <c r="AP63" i="2"/>
  <c r="AO63" i="2"/>
  <c r="AN63" i="2"/>
  <c r="AL63" i="2"/>
  <c r="AP61" i="2"/>
  <c r="AM61" i="2"/>
  <c r="AL61" i="2"/>
  <c r="AP52" i="2"/>
  <c r="AO52" i="2"/>
  <c r="AN52" i="2"/>
  <c r="AL52" i="2"/>
  <c r="AP31" i="2"/>
  <c r="AO31" i="2"/>
  <c r="AL31" i="2"/>
  <c r="AP28" i="2"/>
  <c r="AO28" i="2"/>
  <c r="AL28" i="2"/>
  <c r="AP25" i="2"/>
  <c r="AO25" i="2"/>
  <c r="AL25" i="2"/>
  <c r="AP24" i="2"/>
  <c r="AO24" i="2"/>
  <c r="AL24" i="2"/>
  <c r="AP22" i="2"/>
  <c r="AO22" i="2"/>
  <c r="AL22" i="2"/>
  <c r="AP21" i="2"/>
  <c r="AO21" i="2"/>
  <c r="AL21" i="2"/>
  <c r="AP17" i="2"/>
  <c r="AO17" i="2"/>
  <c r="AL17" i="2"/>
  <c r="AP16" i="2"/>
  <c r="AO16" i="2"/>
  <c r="AL16" i="2"/>
  <c r="U181" i="25"/>
  <c r="T181" i="25"/>
  <c r="R181" i="25"/>
  <c r="Q181" i="25"/>
  <c r="U180" i="25"/>
  <c r="T180" i="25"/>
  <c r="S180" i="25"/>
  <c r="R180" i="25"/>
  <c r="Q180" i="25"/>
  <c r="U179" i="25"/>
  <c r="T179" i="25"/>
  <c r="S179" i="25"/>
  <c r="Q179" i="25"/>
  <c r="U178" i="25"/>
  <c r="T178" i="25"/>
  <c r="S178" i="25"/>
  <c r="Q178" i="25"/>
  <c r="U177" i="25"/>
  <c r="T177" i="25"/>
  <c r="S177" i="25"/>
  <c r="Q177" i="25"/>
  <c r="U176" i="25"/>
  <c r="T176" i="25"/>
  <c r="S176" i="25"/>
  <c r="Q176" i="25"/>
  <c r="U175" i="25"/>
  <c r="T175" i="25"/>
  <c r="S175" i="25"/>
  <c r="R175" i="25"/>
  <c r="Q175" i="25"/>
  <c r="U174" i="25"/>
  <c r="T174" i="25"/>
  <c r="S174" i="25"/>
  <c r="Q174" i="25"/>
  <c r="U171" i="25"/>
  <c r="U170" i="25" s="1"/>
  <c r="T171" i="25"/>
  <c r="T170" i="25" s="1"/>
  <c r="S171" i="25"/>
  <c r="S170" i="25" s="1"/>
  <c r="Q171" i="25"/>
  <c r="Q170" i="25" s="1"/>
  <c r="G28" i="30" s="1"/>
  <c r="U166" i="25"/>
  <c r="T166" i="25"/>
  <c r="R166" i="25"/>
  <c r="Q166" i="25"/>
  <c r="U165" i="25"/>
  <c r="T165" i="25"/>
  <c r="R165" i="25"/>
  <c r="Q165" i="25"/>
  <c r="U164" i="25"/>
  <c r="T164" i="25"/>
  <c r="R164" i="25"/>
  <c r="Q164" i="25"/>
  <c r="U163" i="25"/>
  <c r="T163" i="25"/>
  <c r="R163" i="25"/>
  <c r="Q163" i="25"/>
  <c r="U162" i="25"/>
  <c r="T162" i="25"/>
  <c r="R162" i="25"/>
  <c r="Q162" i="25"/>
  <c r="U159" i="25"/>
  <c r="T159" i="25"/>
  <c r="S159" i="25"/>
  <c r="R159" i="25"/>
  <c r="U158" i="25"/>
  <c r="T158" i="25"/>
  <c r="S158" i="25"/>
  <c r="R158" i="25"/>
  <c r="U157" i="25"/>
  <c r="T157" i="25"/>
  <c r="S157" i="25"/>
  <c r="R157" i="25"/>
  <c r="U156" i="25"/>
  <c r="T156" i="25"/>
  <c r="S156" i="25"/>
  <c r="R156" i="25"/>
  <c r="U155" i="25"/>
  <c r="T155" i="25"/>
  <c r="S155" i="25"/>
  <c r="R155" i="25"/>
  <c r="U153" i="25"/>
  <c r="T153" i="25"/>
  <c r="S153" i="25"/>
  <c r="Q153" i="25"/>
  <c r="U152" i="25"/>
  <c r="T152" i="25"/>
  <c r="S152" i="25"/>
  <c r="Q152" i="25"/>
  <c r="U151" i="25"/>
  <c r="T151" i="25"/>
  <c r="S151" i="25"/>
  <c r="Q151" i="25"/>
  <c r="U150" i="25"/>
  <c r="T150" i="25"/>
  <c r="S150" i="25"/>
  <c r="Q150" i="25"/>
  <c r="U149" i="25"/>
  <c r="T149" i="25"/>
  <c r="S149" i="25"/>
  <c r="Q149" i="25"/>
  <c r="U140" i="25"/>
  <c r="T140" i="25"/>
  <c r="S140" i="25"/>
  <c r="R140" i="25"/>
  <c r="Q140" i="25"/>
  <c r="U139" i="25"/>
  <c r="T139" i="25"/>
  <c r="S139" i="25"/>
  <c r="R139" i="25"/>
  <c r="Q139" i="25"/>
  <c r="U138" i="25"/>
  <c r="T138" i="25"/>
  <c r="S138" i="25"/>
  <c r="R138" i="25"/>
  <c r="Q138" i="25"/>
  <c r="U137" i="25"/>
  <c r="T137" i="25"/>
  <c r="S137" i="25"/>
  <c r="R137" i="25"/>
  <c r="Q137" i="25"/>
  <c r="U136" i="25"/>
  <c r="T136" i="25"/>
  <c r="S136" i="25"/>
  <c r="R136" i="25"/>
  <c r="Q136" i="25"/>
  <c r="U129" i="25"/>
  <c r="T129" i="25"/>
  <c r="S129" i="25"/>
  <c r="R129" i="25"/>
  <c r="Q129" i="25"/>
  <c r="U128" i="25"/>
  <c r="T128" i="25"/>
  <c r="S128" i="25"/>
  <c r="R128" i="25"/>
  <c r="Q128" i="25"/>
  <c r="U127" i="25"/>
  <c r="T127" i="25"/>
  <c r="S127" i="25"/>
  <c r="R127" i="25"/>
  <c r="Q127" i="25"/>
  <c r="U126" i="25"/>
  <c r="T126" i="25"/>
  <c r="S126" i="25"/>
  <c r="R126" i="25"/>
  <c r="Q126" i="25"/>
  <c r="U125" i="25"/>
  <c r="T125" i="25"/>
  <c r="S125" i="25"/>
  <c r="R125" i="25"/>
  <c r="Q125" i="25"/>
  <c r="U124" i="25"/>
  <c r="T124" i="25"/>
  <c r="S124" i="25"/>
  <c r="R124" i="25"/>
  <c r="Q124" i="25"/>
  <c r="U123" i="25"/>
  <c r="T123" i="25"/>
  <c r="S123" i="25"/>
  <c r="R123" i="25"/>
  <c r="Q123" i="25"/>
  <c r="U122" i="25"/>
  <c r="T122" i="25"/>
  <c r="S122" i="25"/>
  <c r="R122" i="25"/>
  <c r="Q122" i="25"/>
  <c r="U119" i="25"/>
  <c r="T119" i="25"/>
  <c r="R119" i="25"/>
  <c r="Q119" i="25"/>
  <c r="U118" i="25"/>
  <c r="T118" i="25"/>
  <c r="R118" i="25"/>
  <c r="Q118" i="25"/>
  <c r="U117" i="25"/>
  <c r="T117" i="25"/>
  <c r="R117" i="25"/>
  <c r="Q117" i="25"/>
  <c r="U116" i="25"/>
  <c r="T116" i="25"/>
  <c r="R116" i="25"/>
  <c r="Q116" i="25"/>
  <c r="U115" i="25"/>
  <c r="T115" i="25"/>
  <c r="R115" i="25"/>
  <c r="Q115" i="25"/>
  <c r="U113" i="25"/>
  <c r="T113" i="25"/>
  <c r="S113" i="25"/>
  <c r="Q113" i="25"/>
  <c r="U112" i="25"/>
  <c r="T112" i="25"/>
  <c r="S112" i="25"/>
  <c r="Q112" i="25"/>
  <c r="U111" i="25"/>
  <c r="T111" i="25"/>
  <c r="R111" i="25"/>
  <c r="Q111" i="25"/>
  <c r="U110" i="25"/>
  <c r="T110" i="25"/>
  <c r="R110" i="25"/>
  <c r="Q110" i="25"/>
  <c r="U109" i="25"/>
  <c r="T109" i="25"/>
  <c r="S109" i="25"/>
  <c r="Q109" i="25"/>
  <c r="U107" i="25"/>
  <c r="T107" i="25"/>
  <c r="R107" i="25"/>
  <c r="Q107" i="25"/>
  <c r="U106" i="25"/>
  <c r="T106" i="25"/>
  <c r="S106" i="25"/>
  <c r="Q106" i="25"/>
  <c r="U105" i="25"/>
  <c r="T105" i="25"/>
  <c r="R105" i="25"/>
  <c r="Q105" i="25"/>
  <c r="U104" i="25"/>
  <c r="T104" i="25"/>
  <c r="R104" i="25"/>
  <c r="Q104" i="25"/>
  <c r="U103" i="25"/>
  <c r="T103" i="25"/>
  <c r="R103" i="25"/>
  <c r="Q103" i="25"/>
  <c r="U98" i="25"/>
  <c r="T98" i="25"/>
  <c r="R98" i="25"/>
  <c r="Q98" i="25"/>
  <c r="U97" i="25"/>
  <c r="T97" i="25"/>
  <c r="S97" i="25"/>
  <c r="R97" i="25"/>
  <c r="Q97" i="25"/>
  <c r="U96" i="25"/>
  <c r="T96" i="25"/>
  <c r="R96" i="25"/>
  <c r="Q96" i="25"/>
  <c r="U95" i="25"/>
  <c r="T95" i="25"/>
  <c r="S95" i="25"/>
  <c r="R95" i="25"/>
  <c r="Q95" i="25"/>
  <c r="U94" i="25"/>
  <c r="T94" i="25"/>
  <c r="S94" i="25"/>
  <c r="Q94" i="25"/>
  <c r="U93" i="25"/>
  <c r="T93" i="25"/>
  <c r="S93" i="25"/>
  <c r="Q93" i="25"/>
  <c r="U91" i="25"/>
  <c r="T91" i="25"/>
  <c r="S91" i="25"/>
  <c r="R91" i="25"/>
  <c r="Q91" i="25"/>
  <c r="U90" i="25"/>
  <c r="T90" i="25"/>
  <c r="R90" i="25"/>
  <c r="Q90" i="25"/>
  <c r="U89" i="25"/>
  <c r="T89" i="25"/>
  <c r="R89" i="25"/>
  <c r="Q89" i="25"/>
  <c r="U88" i="25"/>
  <c r="T88" i="25"/>
  <c r="S88" i="25"/>
  <c r="Q88" i="25"/>
  <c r="U87" i="25"/>
  <c r="T87" i="25"/>
  <c r="R87" i="25"/>
  <c r="Q87" i="25"/>
  <c r="U83" i="25"/>
  <c r="T83" i="25"/>
  <c r="S83" i="25"/>
  <c r="Q83" i="25"/>
  <c r="U82" i="25"/>
  <c r="T82" i="25"/>
  <c r="S82" i="25"/>
  <c r="R82" i="25"/>
  <c r="Q82" i="25"/>
  <c r="U81" i="25"/>
  <c r="T81" i="25"/>
  <c r="S81" i="25"/>
  <c r="Q81" i="25"/>
  <c r="U80" i="25"/>
  <c r="T80" i="25"/>
  <c r="S80" i="25"/>
  <c r="R80" i="25"/>
  <c r="Q80" i="25"/>
  <c r="U78" i="25"/>
  <c r="T78" i="25"/>
  <c r="S78" i="25"/>
  <c r="R78" i="25"/>
  <c r="Q78" i="25"/>
  <c r="U77" i="25"/>
  <c r="T77" i="25"/>
  <c r="S77" i="25"/>
  <c r="R77" i="25"/>
  <c r="Q77" i="25"/>
  <c r="U76" i="25"/>
  <c r="T76" i="25"/>
  <c r="S76" i="25"/>
  <c r="R76" i="25"/>
  <c r="Q76" i="25"/>
  <c r="U75" i="25"/>
  <c r="T75" i="25"/>
  <c r="S75" i="25"/>
  <c r="R75" i="25"/>
  <c r="Q75" i="25"/>
  <c r="U72" i="25"/>
  <c r="T72" i="25"/>
  <c r="R72" i="25"/>
  <c r="Q72" i="25"/>
  <c r="U71" i="25"/>
  <c r="T71" i="25"/>
  <c r="S71" i="25"/>
  <c r="R71" i="25"/>
  <c r="Q71" i="25"/>
  <c r="U70" i="25"/>
  <c r="T70" i="25"/>
  <c r="R70" i="25"/>
  <c r="Q70" i="25"/>
  <c r="U69" i="25"/>
  <c r="T69" i="25"/>
  <c r="R69" i="25"/>
  <c r="Q69" i="25"/>
  <c r="U68" i="25"/>
  <c r="T68" i="25"/>
  <c r="R68" i="25"/>
  <c r="Q68" i="25"/>
  <c r="U66" i="25"/>
  <c r="T66" i="25"/>
  <c r="R66" i="25"/>
  <c r="Q66" i="25"/>
  <c r="U65" i="25"/>
  <c r="T65" i="25"/>
  <c r="S65" i="25"/>
  <c r="Q65" i="25"/>
  <c r="U64" i="25"/>
  <c r="T64" i="25"/>
  <c r="S64" i="25"/>
  <c r="Q64" i="25"/>
  <c r="U63" i="25"/>
  <c r="T63" i="25"/>
  <c r="S63" i="25"/>
  <c r="Q63" i="25"/>
  <c r="U61" i="25"/>
  <c r="T61" i="25"/>
  <c r="S61" i="25"/>
  <c r="R61" i="25"/>
  <c r="Q61" i="25"/>
  <c r="U60" i="25"/>
  <c r="T60" i="25"/>
  <c r="S60" i="25"/>
  <c r="Q60" i="25"/>
  <c r="U59" i="25"/>
  <c r="T59" i="25"/>
  <c r="S59" i="25"/>
  <c r="Q59" i="25"/>
  <c r="U57" i="25"/>
  <c r="U56" i="25" s="1"/>
  <c r="T57" i="25"/>
  <c r="T56" i="25" s="1"/>
  <c r="S57" i="25"/>
  <c r="S56" i="25" s="1"/>
  <c r="Q57" i="25"/>
  <c r="U55" i="25"/>
  <c r="T55" i="25"/>
  <c r="Q55" i="25"/>
  <c r="U54" i="25"/>
  <c r="T54" i="25"/>
  <c r="S54" i="25"/>
  <c r="Q54" i="25"/>
  <c r="U53" i="25"/>
  <c r="T53" i="25"/>
  <c r="S53" i="25"/>
  <c r="Q53" i="25"/>
  <c r="U52" i="25"/>
  <c r="T52" i="25"/>
  <c r="S52" i="25"/>
  <c r="R52" i="25"/>
  <c r="U51" i="25"/>
  <c r="T51" i="25"/>
  <c r="S51" i="25"/>
  <c r="Q51" i="25"/>
  <c r="U49" i="25"/>
  <c r="T49" i="25"/>
  <c r="S49" i="25"/>
  <c r="R49" i="25"/>
  <c r="U48" i="25"/>
  <c r="T48" i="25"/>
  <c r="S48" i="25"/>
  <c r="R48" i="25"/>
  <c r="U47" i="25"/>
  <c r="T47" i="25"/>
  <c r="S47" i="25"/>
  <c r="Q47" i="25"/>
  <c r="G8" i="30" s="1"/>
  <c r="U44" i="25"/>
  <c r="T44" i="25"/>
  <c r="S44" i="25"/>
  <c r="R44" i="25"/>
  <c r="Q44" i="25"/>
  <c r="U43" i="25"/>
  <c r="T43" i="25"/>
  <c r="R43" i="25"/>
  <c r="Q43" i="25"/>
  <c r="U42" i="25"/>
  <c r="T42" i="25"/>
  <c r="R42" i="25"/>
  <c r="Q42" i="25"/>
  <c r="U41" i="25"/>
  <c r="T41" i="25"/>
  <c r="S41" i="25"/>
  <c r="Q41" i="25"/>
  <c r="U40" i="25"/>
  <c r="T40" i="25"/>
  <c r="S40" i="25"/>
  <c r="R40" i="25"/>
  <c r="U38" i="25"/>
  <c r="T38" i="25"/>
  <c r="R38" i="25"/>
  <c r="Q38" i="25"/>
  <c r="U37" i="25"/>
  <c r="T37" i="25"/>
  <c r="R37" i="25"/>
  <c r="Q37" i="25"/>
  <c r="U36" i="25"/>
  <c r="T36" i="25"/>
  <c r="S36" i="25"/>
  <c r="R36" i="25"/>
  <c r="Q36" i="25"/>
  <c r="U35" i="25"/>
  <c r="T35" i="25"/>
  <c r="R35" i="25"/>
  <c r="Q35" i="25"/>
  <c r="U34" i="25"/>
  <c r="T34" i="25"/>
  <c r="R34" i="25"/>
  <c r="Q34" i="25"/>
  <c r="U32" i="25"/>
  <c r="T32" i="25"/>
  <c r="S32" i="25"/>
  <c r="R32" i="25"/>
  <c r="Q32" i="25"/>
  <c r="U31" i="25"/>
  <c r="T31" i="25"/>
  <c r="S31" i="25"/>
  <c r="R31" i="25"/>
  <c r="Q31" i="25"/>
  <c r="U30" i="25"/>
  <c r="T30" i="25"/>
  <c r="Q30" i="25"/>
  <c r="U29" i="25"/>
  <c r="T29" i="25"/>
  <c r="R29" i="25"/>
  <c r="Q29" i="25"/>
  <c r="U28" i="25"/>
  <c r="T28" i="25"/>
  <c r="S28" i="25"/>
  <c r="R28" i="25"/>
  <c r="Q28" i="25"/>
  <c r="U27" i="25"/>
  <c r="T27" i="25"/>
  <c r="R27" i="25"/>
  <c r="Q27" i="25"/>
  <c r="U26" i="25"/>
  <c r="T26" i="25"/>
  <c r="Q26" i="25"/>
  <c r="U25" i="25"/>
  <c r="T25" i="25"/>
  <c r="R25" i="25"/>
  <c r="Q25" i="25"/>
  <c r="U24" i="25"/>
  <c r="T24" i="25"/>
  <c r="S24" i="25"/>
  <c r="R24" i="25"/>
  <c r="Q24" i="25"/>
  <c r="U23" i="25"/>
  <c r="T23" i="25"/>
  <c r="R23" i="25"/>
  <c r="Q23" i="25"/>
  <c r="U22" i="25"/>
  <c r="T22" i="25"/>
  <c r="R22" i="25"/>
  <c r="Q22" i="25"/>
  <c r="U21" i="25"/>
  <c r="T21" i="25"/>
  <c r="S21" i="25"/>
  <c r="R21" i="25"/>
  <c r="Q21" i="25"/>
  <c r="U20" i="25"/>
  <c r="T20" i="25"/>
  <c r="R20" i="25"/>
  <c r="Q20" i="25"/>
  <c r="U19" i="25"/>
  <c r="T19" i="25"/>
  <c r="R19" i="25"/>
  <c r="Q19" i="25"/>
  <c r="U18" i="25"/>
  <c r="T18" i="25"/>
  <c r="R18" i="25"/>
  <c r="Q18" i="25"/>
  <c r="U17" i="25"/>
  <c r="T17" i="25"/>
  <c r="Q17" i="25"/>
  <c r="U16" i="25"/>
  <c r="T16" i="25"/>
  <c r="S16" i="25"/>
  <c r="R16" i="25"/>
  <c r="Q16" i="25"/>
  <c r="U15" i="25"/>
  <c r="T15" i="25"/>
  <c r="R15" i="25"/>
  <c r="Q15" i="25"/>
  <c r="U14" i="25"/>
  <c r="T14" i="25"/>
  <c r="R14" i="25"/>
  <c r="Q14" i="25"/>
  <c r="U13" i="25"/>
  <c r="T13" i="25"/>
  <c r="R13" i="25"/>
  <c r="Q13" i="25"/>
  <c r="U12" i="25"/>
  <c r="T12" i="25"/>
  <c r="R12" i="25"/>
  <c r="Q12" i="25"/>
  <c r="U11" i="25"/>
  <c r="T11" i="25"/>
  <c r="R11" i="25"/>
  <c r="Q11" i="25"/>
  <c r="U10" i="25"/>
  <c r="T10" i="25"/>
  <c r="R10" i="25"/>
  <c r="Q10" i="25"/>
  <c r="S46" i="25" l="1"/>
  <c r="AP135" i="2"/>
  <c r="H24" i="19" s="1"/>
  <c r="U148" i="25"/>
  <c r="W174" i="2"/>
  <c r="T80" i="2"/>
  <c r="S79" i="2"/>
  <c r="N80" i="2"/>
  <c r="W80" i="2"/>
  <c r="W79" i="2" s="1"/>
  <c r="V79" i="2"/>
  <c r="Q80" i="2"/>
  <c r="W93" i="2"/>
  <c r="AM135" i="2"/>
  <c r="E24" i="19" s="1"/>
  <c r="U141" i="20"/>
  <c r="AO135" i="2"/>
  <c r="G24" i="19" s="1"/>
  <c r="F20" i="32"/>
  <c r="G20" i="32" s="1"/>
  <c r="H20" i="32" s="1"/>
  <c r="I20" i="32" s="1"/>
  <c r="J20" i="32" s="1"/>
  <c r="K20" i="32" s="1"/>
  <c r="L20" i="32" s="1"/>
  <c r="AL135" i="2"/>
  <c r="D24" i="19" s="1"/>
  <c r="Q67" i="25"/>
  <c r="G13" i="30" s="1"/>
  <c r="U67" i="25"/>
  <c r="G10" i="30"/>
  <c r="Q56" i="25"/>
  <c r="R67" i="25"/>
  <c r="T67" i="25"/>
  <c r="P39" i="2"/>
  <c r="T46" i="25"/>
  <c r="AD39" i="2"/>
  <c r="S39" i="2"/>
  <c r="V39" i="2"/>
  <c r="M39" i="2"/>
  <c r="Y39" i="2"/>
  <c r="S154" i="25"/>
  <c r="T62" i="25"/>
  <c r="T148" i="25"/>
  <c r="W40" i="2"/>
  <c r="W39" i="2" s="1"/>
  <c r="M33" i="2"/>
  <c r="P46" i="2"/>
  <c r="M74" i="2"/>
  <c r="T82" i="2"/>
  <c r="M114" i="2"/>
  <c r="S102" i="2"/>
  <c r="P108" i="2"/>
  <c r="M9" i="2"/>
  <c r="M86" i="2"/>
  <c r="M108" i="2"/>
  <c r="M148" i="2"/>
  <c r="V86" i="2"/>
  <c r="M62" i="2"/>
  <c r="M135" i="2"/>
  <c r="M154" i="2"/>
  <c r="M67" i="2"/>
  <c r="M161" i="2"/>
  <c r="M102" i="2"/>
  <c r="N75" i="2"/>
  <c r="N74" i="2" s="1"/>
  <c r="N136" i="2"/>
  <c r="N135" i="2" s="1"/>
  <c r="P67" i="2"/>
  <c r="P74" i="2"/>
  <c r="P135" i="2"/>
  <c r="AD50" i="2"/>
  <c r="Z171" i="2"/>
  <c r="Z170" i="2" s="1"/>
  <c r="W74" i="2"/>
  <c r="Y86" i="2"/>
  <c r="S46" i="2"/>
  <c r="P33" i="2"/>
  <c r="P114" i="2"/>
  <c r="P161" i="2"/>
  <c r="W108" i="2"/>
  <c r="Y46" i="2"/>
  <c r="Y135" i="2"/>
  <c r="S50" i="2"/>
  <c r="S148" i="2"/>
  <c r="P9" i="2"/>
  <c r="P50" i="2"/>
  <c r="Q74" i="2"/>
  <c r="P102" i="2"/>
  <c r="Q51" i="2"/>
  <c r="Q50" i="2" s="1"/>
  <c r="Q57" i="2"/>
  <c r="Q56" i="2" s="1"/>
  <c r="Q136" i="2"/>
  <c r="Q135" i="2" s="1"/>
  <c r="Q171" i="2"/>
  <c r="Q170" i="2" s="1"/>
  <c r="W87" i="2"/>
  <c r="W86" i="2" s="1"/>
  <c r="W114" i="2"/>
  <c r="V114" i="2"/>
  <c r="Y33" i="2"/>
  <c r="Y58" i="2"/>
  <c r="S62" i="2"/>
  <c r="S86" i="2"/>
  <c r="S114" i="2"/>
  <c r="S135" i="2"/>
  <c r="S154" i="2"/>
  <c r="Z87" i="2"/>
  <c r="Z86" i="2" s="1"/>
  <c r="W148" i="2"/>
  <c r="V33" i="2"/>
  <c r="W62" i="2"/>
  <c r="V67" i="2"/>
  <c r="V74" i="2"/>
  <c r="V135" i="2"/>
  <c r="W154" i="2"/>
  <c r="V161" i="2"/>
  <c r="S58" i="2"/>
  <c r="S67" i="2"/>
  <c r="S74" i="2"/>
  <c r="S108" i="2"/>
  <c r="S161" i="2"/>
  <c r="W46" i="2"/>
  <c r="W58" i="2"/>
  <c r="V102" i="2"/>
  <c r="W161" i="2"/>
  <c r="S33" i="2"/>
  <c r="T74" i="2"/>
  <c r="T108" i="2"/>
  <c r="T51" i="2"/>
  <c r="T50" i="2" s="1"/>
  <c r="T57" i="2"/>
  <c r="T56" i="2" s="1"/>
  <c r="T59" i="2"/>
  <c r="T58" i="2" s="1"/>
  <c r="T63" i="2"/>
  <c r="T69" i="2"/>
  <c r="T67" i="2" s="1"/>
  <c r="T87" i="2"/>
  <c r="T86" i="2" s="1"/>
  <c r="T93" i="2"/>
  <c r="T136" i="2"/>
  <c r="T135" i="2" s="1"/>
  <c r="T149" i="2"/>
  <c r="T155" i="2"/>
  <c r="T154" i="2" s="1"/>
  <c r="T162" i="2"/>
  <c r="T161" i="2" s="1"/>
  <c r="T171" i="2"/>
  <c r="T170" i="2" s="1"/>
  <c r="T174" i="2"/>
  <c r="W33" i="2"/>
  <c r="W102" i="2"/>
  <c r="W135" i="2"/>
  <c r="V62" i="2"/>
  <c r="V108" i="2"/>
  <c r="Z173" i="2"/>
  <c r="R74" i="25"/>
  <c r="Z74" i="2"/>
  <c r="Z79" i="2"/>
  <c r="V46" i="2"/>
  <c r="Y173" i="2"/>
  <c r="Y50" i="2"/>
  <c r="Y62" i="2"/>
  <c r="Y114" i="2"/>
  <c r="Y148" i="2"/>
  <c r="S74" i="25"/>
  <c r="Z108" i="2"/>
  <c r="Z135" i="2"/>
  <c r="Z154" i="2"/>
  <c r="W68" i="2"/>
  <c r="W67" i="2" s="1"/>
  <c r="V58" i="2"/>
  <c r="V154" i="2"/>
  <c r="Y67" i="2"/>
  <c r="Y102" i="2"/>
  <c r="Y154" i="2"/>
  <c r="Z67" i="2"/>
  <c r="V148" i="2"/>
  <c r="T39" i="25"/>
  <c r="U39" i="25"/>
  <c r="T58" i="25"/>
  <c r="T74" i="25"/>
  <c r="T86" i="25"/>
  <c r="Q92" i="25"/>
  <c r="G18" i="30" s="1"/>
  <c r="T102" i="25"/>
  <c r="Q108" i="25"/>
  <c r="G20" i="30" s="1"/>
  <c r="U108" i="25"/>
  <c r="S121" i="25"/>
  <c r="R121" i="25"/>
  <c r="Q121" i="25"/>
  <c r="G22" i="30" s="1"/>
  <c r="U121" i="25"/>
  <c r="S135" i="25"/>
  <c r="Q135" i="25"/>
  <c r="G24" i="30" s="1"/>
  <c r="U135" i="25"/>
  <c r="Z114" i="2"/>
  <c r="Z161" i="2"/>
  <c r="Y108" i="2"/>
  <c r="V170" i="2"/>
  <c r="Y9" i="2"/>
  <c r="Y79" i="2"/>
  <c r="Y161" i="2"/>
  <c r="Z150" i="2"/>
  <c r="Z148" i="2" s="1"/>
  <c r="Z102" i="2"/>
  <c r="Y74" i="2"/>
  <c r="V9" i="2"/>
  <c r="W9" i="2"/>
  <c r="T135" i="25"/>
  <c r="U62" i="25"/>
  <c r="AD33" i="2"/>
  <c r="AD62" i="2"/>
  <c r="AD74" i="2"/>
  <c r="AD79" i="2"/>
  <c r="AD86" i="2"/>
  <c r="AD108" i="2"/>
  <c r="AD135" i="2"/>
  <c r="AD154" i="2"/>
  <c r="AE75" i="2"/>
  <c r="AE74" i="2" s="1"/>
  <c r="Z14" i="30" s="1"/>
  <c r="AD46" i="2"/>
  <c r="AD161" i="2"/>
  <c r="AD9" i="2"/>
  <c r="AD92" i="2"/>
  <c r="AD148" i="2"/>
  <c r="AD141" i="2" s="1"/>
  <c r="AD102" i="2"/>
  <c r="AD173" i="2"/>
  <c r="T50" i="25"/>
  <c r="T173" i="25"/>
  <c r="AD67" i="2"/>
  <c r="AE80" i="2"/>
  <c r="AE138" i="2"/>
  <c r="AE135" i="2" s="1"/>
  <c r="Z24" i="30" s="1"/>
  <c r="AD114" i="2"/>
  <c r="Q33" i="25"/>
  <c r="G5" i="30" s="1"/>
  <c r="U33" i="25"/>
  <c r="T33" i="25"/>
  <c r="U46" i="25"/>
  <c r="U58" i="25"/>
  <c r="Q74" i="25"/>
  <c r="G14" i="30" s="1"/>
  <c r="U74" i="25"/>
  <c r="Q86" i="25"/>
  <c r="G17" i="30" s="1"/>
  <c r="U86" i="25"/>
  <c r="T92" i="25"/>
  <c r="R154" i="25"/>
  <c r="Q9" i="25"/>
  <c r="G4" i="30" s="1"/>
  <c r="U9" i="25"/>
  <c r="Q58" i="25"/>
  <c r="G11" i="30" s="1"/>
  <c r="G15" i="30"/>
  <c r="J15" i="30" s="1"/>
  <c r="M15" i="30" s="1"/>
  <c r="P15" i="30" s="1"/>
  <c r="S15" i="30" s="1"/>
  <c r="V15" i="30" s="1"/>
  <c r="U92" i="25"/>
  <c r="S148" i="25"/>
  <c r="R161" i="25"/>
  <c r="Q161" i="25"/>
  <c r="G27" i="30" s="1"/>
  <c r="AD58" i="2"/>
  <c r="S58" i="25"/>
  <c r="Q62" i="25"/>
  <c r="G12" i="30" s="1"/>
  <c r="G16" i="30"/>
  <c r="Q102" i="25"/>
  <c r="G19" i="30" s="1"/>
  <c r="U102" i="25"/>
  <c r="T108" i="25"/>
  <c r="R135" i="25"/>
  <c r="U161" i="25"/>
  <c r="Q173" i="25"/>
  <c r="G29" i="30" s="1"/>
  <c r="R33" i="25"/>
  <c r="T121" i="25"/>
  <c r="Q148" i="25"/>
  <c r="T154" i="25"/>
  <c r="T161" i="25"/>
  <c r="T9" i="25"/>
  <c r="U50" i="25"/>
  <c r="U154" i="25"/>
  <c r="U173" i="25"/>
  <c r="T114" i="25"/>
  <c r="Q114" i="25"/>
  <c r="G21" i="30" s="1"/>
  <c r="U114" i="25"/>
  <c r="R114" i="25"/>
  <c r="Y93" i="2"/>
  <c r="P93" i="2"/>
  <c r="P87" i="23"/>
  <c r="N45" i="28"/>
  <c r="P85" i="23" l="1"/>
  <c r="M87" i="23"/>
  <c r="M85" i="23" s="1"/>
  <c r="P64" i="2"/>
  <c r="P63" i="23"/>
  <c r="M63" i="23" s="1"/>
  <c r="P65" i="2"/>
  <c r="P64" i="23"/>
  <c r="M64" i="23" s="1"/>
  <c r="P63" i="2"/>
  <c r="P62" i="23"/>
  <c r="T79" i="2"/>
  <c r="G25" i="30"/>
  <c r="P88" i="2"/>
  <c r="P86" i="2" s="1"/>
  <c r="P85" i="27"/>
  <c r="J24" i="30"/>
  <c r="M24" i="30" s="1"/>
  <c r="P24" i="30" s="1"/>
  <c r="S24" i="30" s="1"/>
  <c r="V24" i="30" s="1"/>
  <c r="J22" i="30"/>
  <c r="M22" i="30" s="1"/>
  <c r="P22" i="30" s="1"/>
  <c r="S22" i="30" s="1"/>
  <c r="V22" i="30" s="1"/>
  <c r="J13" i="30"/>
  <c r="J14" i="30"/>
  <c r="M14" i="30" s="1"/>
  <c r="P14" i="30" s="1"/>
  <c r="S14" i="30" s="1"/>
  <c r="V14" i="30" s="1"/>
  <c r="Y92" i="2"/>
  <c r="J27" i="30"/>
  <c r="Z15" i="30"/>
  <c r="J5" i="30"/>
  <c r="J21" i="30"/>
  <c r="A119" i="28"/>
  <c r="AK72" i="28"/>
  <c r="R56" i="41" s="1"/>
  <c r="X8" i="27"/>
  <c r="AF8" i="27"/>
  <c r="AB8" i="27"/>
  <c r="P8" i="27"/>
  <c r="AF171" i="27"/>
  <c r="AB171" i="27"/>
  <c r="X171" i="27"/>
  <c r="T171" i="27"/>
  <c r="AF169" i="27"/>
  <c r="AF168" i="27" s="1"/>
  <c r="AB169" i="27"/>
  <c r="AB168" i="27" s="1"/>
  <c r="X169" i="27"/>
  <c r="X168" i="27" s="1"/>
  <c r="X167" i="27" s="1"/>
  <c r="T169" i="27"/>
  <c r="T168" i="27" s="1"/>
  <c r="P169" i="27"/>
  <c r="P168" i="27" s="1"/>
  <c r="L169" i="27"/>
  <c r="L168" i="27" s="1"/>
  <c r="AF159" i="27"/>
  <c r="AB159" i="27"/>
  <c r="X159" i="27"/>
  <c r="T159" i="27"/>
  <c r="P159" i="27"/>
  <c r="L159" i="27"/>
  <c r="AB153" i="27"/>
  <c r="X153" i="27"/>
  <c r="T153" i="27"/>
  <c r="AF147" i="27"/>
  <c r="AB147" i="27"/>
  <c r="X147" i="27"/>
  <c r="T147" i="27"/>
  <c r="AF134" i="27"/>
  <c r="AB134" i="27"/>
  <c r="Y130" i="2" s="1"/>
  <c r="X134" i="27"/>
  <c r="V130" i="2" s="1"/>
  <c r="V121" i="2" s="1"/>
  <c r="T134" i="27"/>
  <c r="S130" i="2" s="1"/>
  <c r="S121" i="2" s="1"/>
  <c r="P134" i="27"/>
  <c r="P130" i="2" s="1"/>
  <c r="P121" i="2" s="1"/>
  <c r="L134" i="27"/>
  <c r="AF113" i="27"/>
  <c r="AB113" i="27"/>
  <c r="X113" i="27"/>
  <c r="T113" i="27"/>
  <c r="P113" i="27"/>
  <c r="L113" i="27"/>
  <c r="AF107" i="27"/>
  <c r="AB107" i="27"/>
  <c r="X107" i="27"/>
  <c r="T107" i="27"/>
  <c r="P107" i="27"/>
  <c r="L107" i="27"/>
  <c r="AF101" i="27"/>
  <c r="AB101" i="27"/>
  <c r="X101" i="27"/>
  <c r="T101" i="27"/>
  <c r="P101" i="27"/>
  <c r="L101" i="27"/>
  <c r="X91" i="27"/>
  <c r="AF73" i="27"/>
  <c r="AB73" i="27"/>
  <c r="X73" i="27"/>
  <c r="T73" i="27"/>
  <c r="S73" i="23" s="1"/>
  <c r="S72" i="23" s="1"/>
  <c r="P73" i="27"/>
  <c r="L73" i="27"/>
  <c r="L66" i="27"/>
  <c r="AF66" i="27"/>
  <c r="AB66" i="27"/>
  <c r="X66" i="27"/>
  <c r="T66" i="27"/>
  <c r="P66" i="27"/>
  <c r="AF61" i="27"/>
  <c r="AB61" i="27"/>
  <c r="X61" i="27"/>
  <c r="T61" i="27"/>
  <c r="P61" i="27"/>
  <c r="L61" i="27"/>
  <c r="AB57" i="27"/>
  <c r="X57" i="27"/>
  <c r="T57" i="27"/>
  <c r="T55" i="27"/>
  <c r="P55" i="27"/>
  <c r="AB55" i="27"/>
  <c r="AF32" i="27"/>
  <c r="AB32" i="27"/>
  <c r="X32" i="27"/>
  <c r="T32" i="27"/>
  <c r="P32" i="27"/>
  <c r="L32" i="27"/>
  <c r="L8" i="27"/>
  <c r="X146" i="27" l="1"/>
  <c r="AB146" i="27"/>
  <c r="L100" i="27"/>
  <c r="P62" i="2"/>
  <c r="M62" i="23"/>
  <c r="M61" i="23" s="1"/>
  <c r="P61" i="23"/>
  <c r="T146" i="27"/>
  <c r="T130" i="2"/>
  <c r="S120" i="2"/>
  <c r="W130" i="2"/>
  <c r="V120" i="2"/>
  <c r="Z130" i="2"/>
  <c r="Z121" i="2" s="1"/>
  <c r="Z120" i="2" s="1"/>
  <c r="Y121" i="2"/>
  <c r="Y120" i="2" s="1"/>
  <c r="AE130" i="2"/>
  <c r="AE121" i="2" s="1"/>
  <c r="Z22" i="30" s="1"/>
  <c r="AD121" i="2"/>
  <c r="Q130" i="2"/>
  <c r="P120" i="2"/>
  <c r="P84" i="2"/>
  <c r="Q84" i="2" s="1"/>
  <c r="T119" i="27"/>
  <c r="AF119" i="27"/>
  <c r="P119" i="27"/>
  <c r="X119" i="27"/>
  <c r="Z119" i="27" s="1"/>
  <c r="Z99" i="27" s="1"/>
  <c r="L119" i="27"/>
  <c r="AB119" i="27"/>
  <c r="AF100" i="27"/>
  <c r="AF167" i="27"/>
  <c r="T167" i="27"/>
  <c r="T72" i="27"/>
  <c r="P100" i="27"/>
  <c r="X72" i="27"/>
  <c r="T100" i="27"/>
  <c r="AB100" i="27"/>
  <c r="X100" i="27"/>
  <c r="AB167" i="27"/>
  <c r="P45" i="27"/>
  <c r="T45" i="27"/>
  <c r="AF45" i="27"/>
  <c r="AF57" i="27"/>
  <c r="L55" i="27"/>
  <c r="AF55" i="27"/>
  <c r="AF91" i="27"/>
  <c r="AB91" i="27"/>
  <c r="AB72" i="27" s="1"/>
  <c r="P149" i="23"/>
  <c r="M149" i="23" s="1"/>
  <c r="L147" i="27"/>
  <c r="P148" i="23"/>
  <c r="P155" i="23"/>
  <c r="M155" i="23" s="1"/>
  <c r="P154" i="23"/>
  <c r="P151" i="23"/>
  <c r="M151" i="23" s="1"/>
  <c r="P158" i="23"/>
  <c r="M158" i="23" s="1"/>
  <c r="P157" i="23"/>
  <c r="M157" i="23" s="1"/>
  <c r="P156" i="23"/>
  <c r="M156" i="23" s="1"/>
  <c r="L153" i="27"/>
  <c r="AF153" i="27"/>
  <c r="AF146" i="27" s="1"/>
  <c r="P173" i="23"/>
  <c r="L171" i="27"/>
  <c r="L167" i="27" s="1"/>
  <c r="P178" i="23"/>
  <c r="M178" i="23" s="1"/>
  <c r="L146" i="27" l="1"/>
  <c r="M148" i="23"/>
  <c r="P151" i="2"/>
  <c r="P150" i="23"/>
  <c r="M150" i="23" s="1"/>
  <c r="M173" i="23"/>
  <c r="M154" i="23"/>
  <c r="M153" i="23" s="1"/>
  <c r="P153" i="23"/>
  <c r="P178" i="2"/>
  <c r="P177" i="23"/>
  <c r="M177" i="23" s="1"/>
  <c r="P177" i="2"/>
  <c r="P176" i="23"/>
  <c r="M176" i="23" s="1"/>
  <c r="P174" i="2"/>
  <c r="P172" i="27"/>
  <c r="P171" i="27" s="1"/>
  <c r="P167" i="27" s="1"/>
  <c r="W121" i="2"/>
  <c r="W120" i="2" s="1"/>
  <c r="T121" i="2"/>
  <c r="T120" i="2" s="1"/>
  <c r="Q121" i="2"/>
  <c r="Q120" i="2" s="1"/>
  <c r="P156" i="2"/>
  <c r="P159" i="2"/>
  <c r="P158" i="2"/>
  <c r="P179" i="2"/>
  <c r="P157" i="2"/>
  <c r="P155" i="2"/>
  <c r="P149" i="2"/>
  <c r="P152" i="2"/>
  <c r="P150" i="2"/>
  <c r="AF99" i="27"/>
  <c r="X99" i="27"/>
  <c r="V99" i="2" s="1"/>
  <c r="AF72" i="27"/>
  <c r="T99" i="27"/>
  <c r="S99" i="2" s="1"/>
  <c r="AB99" i="27"/>
  <c r="Y99" i="2" s="1"/>
  <c r="Z99" i="2" s="1"/>
  <c r="P147" i="27"/>
  <c r="P153" i="27"/>
  <c r="L99" i="27"/>
  <c r="M99" i="2" s="1"/>
  <c r="C180" i="26"/>
  <c r="C179" i="26"/>
  <c r="C178" i="26"/>
  <c r="C177" i="26"/>
  <c r="C176" i="26"/>
  <c r="C175" i="26"/>
  <c r="C174" i="26"/>
  <c r="C173" i="26"/>
  <c r="C170" i="26"/>
  <c r="C165" i="26"/>
  <c r="C164" i="26"/>
  <c r="C163" i="26"/>
  <c r="C162" i="26"/>
  <c r="C161" i="26"/>
  <c r="C158" i="26"/>
  <c r="C156" i="26"/>
  <c r="C155" i="26"/>
  <c r="C154" i="26"/>
  <c r="C152" i="26"/>
  <c r="C151" i="26"/>
  <c r="C150" i="26"/>
  <c r="C149" i="26"/>
  <c r="C148" i="26"/>
  <c r="C139" i="26"/>
  <c r="C138" i="26"/>
  <c r="C137" i="26"/>
  <c r="C136" i="26"/>
  <c r="C135" i="26"/>
  <c r="C128" i="26"/>
  <c r="C127" i="26"/>
  <c r="C126" i="26"/>
  <c r="C125" i="26"/>
  <c r="C124" i="26"/>
  <c r="C123" i="26"/>
  <c r="C122" i="26"/>
  <c r="C121" i="26"/>
  <c r="C118" i="26"/>
  <c r="C117" i="26"/>
  <c r="C116" i="26"/>
  <c r="C115" i="26"/>
  <c r="C114" i="26"/>
  <c r="C112" i="26"/>
  <c r="C111" i="26"/>
  <c r="C110" i="26"/>
  <c r="C109" i="26"/>
  <c r="C108" i="26"/>
  <c r="C106" i="26"/>
  <c r="C105" i="26"/>
  <c r="C104" i="26"/>
  <c r="C103" i="26"/>
  <c r="C102" i="26"/>
  <c r="C97" i="26"/>
  <c r="C96" i="26"/>
  <c r="C95" i="26"/>
  <c r="C94" i="26"/>
  <c r="C93" i="26"/>
  <c r="C92" i="26"/>
  <c r="C181" i="25"/>
  <c r="C180" i="27" s="1"/>
  <c r="C180" i="25"/>
  <c r="C179" i="25"/>
  <c r="C178" i="27" s="1"/>
  <c r="C178" i="25"/>
  <c r="C177" i="27" s="1"/>
  <c r="C177" i="25"/>
  <c r="C176" i="27" s="1"/>
  <c r="C176" i="25"/>
  <c r="C175" i="27" s="1"/>
  <c r="C175" i="25"/>
  <c r="C174" i="25"/>
  <c r="C173" i="27" s="1"/>
  <c r="C171" i="25"/>
  <c r="C170" i="27" s="1"/>
  <c r="C166" i="25"/>
  <c r="C165" i="27" s="1"/>
  <c r="C165" i="25"/>
  <c r="C164" i="27" s="1"/>
  <c r="C164" i="25"/>
  <c r="C163" i="27" s="1"/>
  <c r="C163" i="25"/>
  <c r="C162" i="27" s="1"/>
  <c r="C162" i="25"/>
  <c r="C161" i="27" s="1"/>
  <c r="C159" i="25"/>
  <c r="C158" i="27" s="1"/>
  <c r="C158" i="25"/>
  <c r="C157" i="27" s="1"/>
  <c r="C157" i="25"/>
  <c r="C156" i="27" s="1"/>
  <c r="C156" i="25"/>
  <c r="C155" i="27" s="1"/>
  <c r="C155" i="25"/>
  <c r="C154" i="27" s="1"/>
  <c r="C153" i="25"/>
  <c r="C152" i="27" s="1"/>
  <c r="C152" i="25"/>
  <c r="C151" i="27" s="1"/>
  <c r="C151" i="25"/>
  <c r="C150" i="27" s="1"/>
  <c r="C150" i="25"/>
  <c r="C149" i="27" s="1"/>
  <c r="C149" i="25"/>
  <c r="C148" i="27" s="1"/>
  <c r="C140" i="25"/>
  <c r="C139" i="27" s="1"/>
  <c r="C139" i="25"/>
  <c r="C138" i="27" s="1"/>
  <c r="C138" i="25"/>
  <c r="C137" i="27" s="1"/>
  <c r="C137" i="25"/>
  <c r="C136" i="27" s="1"/>
  <c r="C136" i="25"/>
  <c r="C135" i="27" s="1"/>
  <c r="C129" i="25"/>
  <c r="C128" i="25"/>
  <c r="C127" i="25"/>
  <c r="C126" i="25"/>
  <c r="C125" i="25"/>
  <c r="C124" i="25"/>
  <c r="C123" i="25"/>
  <c r="C122" i="25"/>
  <c r="C119" i="25"/>
  <c r="C118" i="27" s="1"/>
  <c r="C118" i="25"/>
  <c r="C117" i="27" s="1"/>
  <c r="C117" i="25"/>
  <c r="C116" i="27" s="1"/>
  <c r="C116" i="25"/>
  <c r="C115" i="27" s="1"/>
  <c r="C115" i="25"/>
  <c r="C114" i="27" s="1"/>
  <c r="C113" i="25"/>
  <c r="C112" i="27" s="1"/>
  <c r="C112" i="25"/>
  <c r="C111" i="27" s="1"/>
  <c r="C111" i="25"/>
  <c r="C110" i="27" s="1"/>
  <c r="C110" i="25"/>
  <c r="C109" i="27" s="1"/>
  <c r="C109" i="25"/>
  <c r="C108" i="27" s="1"/>
  <c r="C107" i="25"/>
  <c r="C106" i="27" s="1"/>
  <c r="C106" i="25"/>
  <c r="C105" i="27" s="1"/>
  <c r="C105" i="25"/>
  <c r="C104" i="27" s="1"/>
  <c r="C104" i="25"/>
  <c r="C103" i="27" s="1"/>
  <c r="C103" i="25"/>
  <c r="C102" i="27" s="1"/>
  <c r="C98" i="25"/>
  <c r="C97" i="27" s="1"/>
  <c r="C97" i="25"/>
  <c r="C96" i="25"/>
  <c r="C95" i="27" s="1"/>
  <c r="C95" i="25"/>
  <c r="C94" i="25"/>
  <c r="C93" i="27" s="1"/>
  <c r="C93" i="25"/>
  <c r="C92" i="27" s="1"/>
  <c r="C180" i="24"/>
  <c r="C179" i="24"/>
  <c r="C178" i="24"/>
  <c r="C177" i="24"/>
  <c r="C176" i="24"/>
  <c r="C175" i="24"/>
  <c r="C174" i="24"/>
  <c r="C173" i="24"/>
  <c r="C170" i="24"/>
  <c r="C165" i="24"/>
  <c r="C164" i="24"/>
  <c r="C163" i="24"/>
  <c r="C162" i="24"/>
  <c r="C161" i="24"/>
  <c r="C158" i="24"/>
  <c r="C157" i="24"/>
  <c r="C156" i="24"/>
  <c r="C155" i="24"/>
  <c r="C154" i="24"/>
  <c r="C152" i="24"/>
  <c r="C151" i="24"/>
  <c r="C150" i="24"/>
  <c r="C149" i="24"/>
  <c r="C148" i="24"/>
  <c r="C139" i="24"/>
  <c r="C138" i="24"/>
  <c r="C137" i="24"/>
  <c r="C136" i="24"/>
  <c r="C135" i="24"/>
  <c r="C128" i="24"/>
  <c r="C127" i="24"/>
  <c r="C126" i="24"/>
  <c r="C125" i="24"/>
  <c r="C124" i="24"/>
  <c r="C123" i="24"/>
  <c r="C122" i="24"/>
  <c r="C121" i="24"/>
  <c r="C118" i="24"/>
  <c r="C117" i="24"/>
  <c r="C116" i="24"/>
  <c r="C115" i="24"/>
  <c r="C114" i="24"/>
  <c r="C112" i="24"/>
  <c r="C111" i="24"/>
  <c r="C110" i="24"/>
  <c r="C109" i="24"/>
  <c r="C108" i="24"/>
  <c r="C106" i="24"/>
  <c r="C105" i="24"/>
  <c r="C104" i="24"/>
  <c r="C103" i="24"/>
  <c r="C102" i="24"/>
  <c r="S102" i="24" s="1"/>
  <c r="C97" i="24"/>
  <c r="C96" i="24"/>
  <c r="C95" i="24"/>
  <c r="C94" i="24"/>
  <c r="C93" i="24"/>
  <c r="C92" i="24"/>
  <c r="C90" i="24"/>
  <c r="C89" i="24"/>
  <c r="C88" i="24"/>
  <c r="C87" i="24"/>
  <c r="C86" i="24"/>
  <c r="C91" i="25"/>
  <c r="C90" i="25"/>
  <c r="C89" i="27" s="1"/>
  <c r="C89" i="25"/>
  <c r="C88" i="27" s="1"/>
  <c r="C88" i="25"/>
  <c r="C87" i="27" s="1"/>
  <c r="C87" i="25"/>
  <c r="C86" i="27" s="1"/>
  <c r="C90" i="26"/>
  <c r="C89" i="26"/>
  <c r="C88" i="26"/>
  <c r="C87" i="26"/>
  <c r="C86" i="26"/>
  <c r="C82" i="26"/>
  <c r="C81" i="26"/>
  <c r="C80" i="26"/>
  <c r="C79" i="26"/>
  <c r="C77" i="26"/>
  <c r="C76" i="26"/>
  <c r="C75" i="26"/>
  <c r="C74" i="26"/>
  <c r="C71" i="26"/>
  <c r="C70" i="26"/>
  <c r="C69" i="26"/>
  <c r="C68" i="26"/>
  <c r="C67" i="26"/>
  <c r="C65" i="26"/>
  <c r="C64" i="26"/>
  <c r="C63" i="26"/>
  <c r="C62" i="26"/>
  <c r="C60" i="26"/>
  <c r="C59" i="26"/>
  <c r="C58" i="26"/>
  <c r="C83" i="25"/>
  <c r="C82" i="27" s="1"/>
  <c r="C81" i="28" s="1"/>
  <c r="C82" i="25"/>
  <c r="C81" i="25"/>
  <c r="C80" i="27" s="1"/>
  <c r="C79" i="28" s="1"/>
  <c r="C80" i="25"/>
  <c r="C78" i="25"/>
  <c r="C77" i="25"/>
  <c r="C76" i="25"/>
  <c r="C75" i="25"/>
  <c r="C82" i="24"/>
  <c r="C81" i="24"/>
  <c r="C80" i="24"/>
  <c r="C79" i="24"/>
  <c r="C77" i="24"/>
  <c r="C76" i="24"/>
  <c r="C75" i="24"/>
  <c r="C74" i="24"/>
  <c r="C72" i="25"/>
  <c r="C71" i="27" s="1"/>
  <c r="C71" i="25"/>
  <c r="C70" i="25"/>
  <c r="C69" i="27" s="1"/>
  <c r="C69" i="25"/>
  <c r="C68" i="27" s="1"/>
  <c r="C68" i="25"/>
  <c r="C67" i="27" s="1"/>
  <c r="C71" i="24"/>
  <c r="C70" i="24"/>
  <c r="C69" i="24"/>
  <c r="C68" i="24"/>
  <c r="C67" i="24"/>
  <c r="C66" i="25"/>
  <c r="C65" i="27" s="1"/>
  <c r="C65" i="25"/>
  <c r="C64" i="27" s="1"/>
  <c r="C64" i="25"/>
  <c r="C63" i="27" s="1"/>
  <c r="C63" i="25"/>
  <c r="C62" i="27" s="1"/>
  <c r="C65" i="24"/>
  <c r="C64" i="24"/>
  <c r="C63" i="24"/>
  <c r="C62" i="24"/>
  <c r="C61" i="25"/>
  <c r="C60" i="25"/>
  <c r="C59" i="27" s="1"/>
  <c r="C59" i="25"/>
  <c r="C58" i="27" s="1"/>
  <c r="C60" i="24"/>
  <c r="C59" i="24"/>
  <c r="C58" i="24"/>
  <c r="C57" i="25"/>
  <c r="C56" i="27" s="1"/>
  <c r="C56" i="24"/>
  <c r="C54" i="24"/>
  <c r="C53" i="24"/>
  <c r="C52" i="24"/>
  <c r="C51" i="24"/>
  <c r="C50" i="24"/>
  <c r="C56" i="26"/>
  <c r="C54" i="26"/>
  <c r="C53" i="26"/>
  <c r="C52" i="26"/>
  <c r="C51" i="26"/>
  <c r="C50" i="26"/>
  <c r="C48" i="26"/>
  <c r="C47" i="26"/>
  <c r="C46" i="26"/>
  <c r="C43" i="26"/>
  <c r="C42" i="26"/>
  <c r="C41" i="26"/>
  <c r="C40" i="26"/>
  <c r="C39" i="26"/>
  <c r="C55" i="25"/>
  <c r="C54" i="27" s="1"/>
  <c r="C54" i="25"/>
  <c r="C53" i="27" s="1"/>
  <c r="C53" i="25"/>
  <c r="C52" i="27" s="1"/>
  <c r="C52" i="25"/>
  <c r="C51" i="27" s="1"/>
  <c r="C51" i="25"/>
  <c r="C50" i="27" s="1"/>
  <c r="C49" i="25"/>
  <c r="C48" i="27" s="1"/>
  <c r="C48" i="25"/>
  <c r="C47" i="27" s="1"/>
  <c r="C47" i="25"/>
  <c r="C46" i="27" s="1"/>
  <c r="C45" i="28" s="1"/>
  <c r="C44" i="25"/>
  <c r="C43" i="25"/>
  <c r="C42" i="27" s="1"/>
  <c r="C33" i="41" s="1"/>
  <c r="C42" i="25"/>
  <c r="C41" i="27" s="1"/>
  <c r="C41" i="25"/>
  <c r="C40" i="27" s="1"/>
  <c r="C40" i="25"/>
  <c r="C39" i="27" s="1"/>
  <c r="C48" i="24"/>
  <c r="C47" i="24"/>
  <c r="C46" i="24"/>
  <c r="C43" i="24"/>
  <c r="C42" i="24"/>
  <c r="C41" i="24"/>
  <c r="C40" i="24"/>
  <c r="C39" i="24"/>
  <c r="A119" i="26"/>
  <c r="W129" i="25"/>
  <c r="Z129" i="25" s="1"/>
  <c r="W128" i="25"/>
  <c r="Z128" i="25" s="1"/>
  <c r="W127" i="25"/>
  <c r="Z127" i="25" s="1"/>
  <c r="W126" i="25"/>
  <c r="Z126" i="25" s="1"/>
  <c r="W125" i="25"/>
  <c r="Z125" i="25" s="1"/>
  <c r="W124" i="25"/>
  <c r="Z124" i="25" s="1"/>
  <c r="W123" i="25"/>
  <c r="Z123" i="25" s="1"/>
  <c r="W122" i="25"/>
  <c r="Z122" i="25" s="1"/>
  <c r="M33" i="41" l="1"/>
  <c r="O33" i="41"/>
  <c r="C179" i="28"/>
  <c r="C138" i="41"/>
  <c r="P138" i="41" s="1"/>
  <c r="C153" i="28"/>
  <c r="C119" i="41"/>
  <c r="P119" i="41" s="1"/>
  <c r="C157" i="28"/>
  <c r="C123" i="41"/>
  <c r="P123" i="41" s="1"/>
  <c r="C154" i="28"/>
  <c r="C120" i="41"/>
  <c r="P120" i="41" s="1"/>
  <c r="C155" i="28"/>
  <c r="C121" i="41"/>
  <c r="P121" i="41" s="1"/>
  <c r="C156" i="28"/>
  <c r="C122" i="41"/>
  <c r="P122" i="41" s="1"/>
  <c r="C148" i="28"/>
  <c r="C115" i="41"/>
  <c r="P115" i="41" s="1"/>
  <c r="C149" i="28"/>
  <c r="C116" i="41"/>
  <c r="P116" i="41" s="1"/>
  <c r="C150" i="28"/>
  <c r="C117" i="41"/>
  <c r="P117" i="41" s="1"/>
  <c r="C147" i="28"/>
  <c r="C114" i="41"/>
  <c r="P114" i="41" s="1"/>
  <c r="C151" i="28"/>
  <c r="C118" i="41"/>
  <c r="P118" i="41" s="1"/>
  <c r="C137" i="28"/>
  <c r="C107" i="41"/>
  <c r="P107" i="41" s="1"/>
  <c r="C134" i="28"/>
  <c r="C104" i="41"/>
  <c r="P104" i="41" s="1"/>
  <c r="C138" i="28"/>
  <c r="C108" i="41"/>
  <c r="P108" i="41" s="1"/>
  <c r="C136" i="28"/>
  <c r="C106" i="41"/>
  <c r="P106" i="41" s="1"/>
  <c r="C135" i="28"/>
  <c r="C105" i="41"/>
  <c r="P105" i="41" s="1"/>
  <c r="C114" i="28"/>
  <c r="C87" i="41"/>
  <c r="P87" i="41" s="1"/>
  <c r="C107" i="28"/>
  <c r="C81" i="41"/>
  <c r="P81" i="41" s="1"/>
  <c r="C111" i="28"/>
  <c r="C85" i="41"/>
  <c r="P85" i="41" s="1"/>
  <c r="C108" i="28"/>
  <c r="C82" i="41"/>
  <c r="P82" i="41" s="1"/>
  <c r="C109" i="28"/>
  <c r="C83" i="41"/>
  <c r="P83" i="41" s="1"/>
  <c r="C110" i="28"/>
  <c r="C84" i="41"/>
  <c r="P84" i="41" s="1"/>
  <c r="C104" i="28"/>
  <c r="C79" i="41"/>
  <c r="P79" i="41" s="1"/>
  <c r="C102" i="28"/>
  <c r="C77" i="41"/>
  <c r="P77" i="41" s="1"/>
  <c r="C91" i="28"/>
  <c r="C69" i="41"/>
  <c r="P69" i="41" s="1"/>
  <c r="C92" i="28"/>
  <c r="C70" i="41"/>
  <c r="P70" i="41" s="1"/>
  <c r="C96" i="28"/>
  <c r="C74" i="41"/>
  <c r="P74" i="41" s="1"/>
  <c r="C94" i="28"/>
  <c r="C72" i="41"/>
  <c r="P72" i="41" s="1"/>
  <c r="S33" i="41"/>
  <c r="T33" i="41"/>
  <c r="C101" i="28"/>
  <c r="C76" i="41"/>
  <c r="P76" i="41" s="1"/>
  <c r="C116" i="28"/>
  <c r="C89" i="41"/>
  <c r="P89" i="41" s="1"/>
  <c r="C113" i="28"/>
  <c r="C86" i="41"/>
  <c r="P86" i="41" s="1"/>
  <c r="C117" i="28"/>
  <c r="C90" i="41"/>
  <c r="P90" i="41" s="1"/>
  <c r="C115" i="28"/>
  <c r="C88" i="41"/>
  <c r="P88" i="41" s="1"/>
  <c r="C163" i="28"/>
  <c r="C127" i="41"/>
  <c r="P127" i="41" s="1"/>
  <c r="C164" i="28"/>
  <c r="C128" i="41"/>
  <c r="P128" i="41" s="1"/>
  <c r="C161" i="28"/>
  <c r="C125" i="41"/>
  <c r="P125" i="41" s="1"/>
  <c r="C162" i="28"/>
  <c r="C126" i="41"/>
  <c r="P126" i="41" s="1"/>
  <c r="C160" i="28"/>
  <c r="C124" i="41"/>
  <c r="P124" i="41" s="1"/>
  <c r="C85" i="28"/>
  <c r="C64" i="41"/>
  <c r="P64" i="41" s="1"/>
  <c r="C88" i="28"/>
  <c r="C67" i="41"/>
  <c r="P67" i="41" s="1"/>
  <c r="C87" i="28"/>
  <c r="C66" i="41"/>
  <c r="P66" i="41" s="1"/>
  <c r="C86" i="28"/>
  <c r="C65" i="41"/>
  <c r="P65" i="41" s="1"/>
  <c r="C176" i="28"/>
  <c r="C135" i="41"/>
  <c r="P135" i="41" s="1"/>
  <c r="C175" i="28"/>
  <c r="C134" i="41"/>
  <c r="P134" i="41" s="1"/>
  <c r="C177" i="28"/>
  <c r="C136" i="41"/>
  <c r="P136" i="41" s="1"/>
  <c r="C172" i="28"/>
  <c r="C131" i="41"/>
  <c r="P131" i="41" s="1"/>
  <c r="C174" i="28"/>
  <c r="C133" i="41"/>
  <c r="P133" i="41" s="1"/>
  <c r="C169" i="28"/>
  <c r="C130" i="41"/>
  <c r="P130" i="41" s="1"/>
  <c r="C105" i="28"/>
  <c r="C80" i="41"/>
  <c r="P80" i="41" s="1"/>
  <c r="C103" i="28"/>
  <c r="C78" i="41"/>
  <c r="P78" i="41" s="1"/>
  <c r="C41" i="28"/>
  <c r="C47" i="28"/>
  <c r="C37" i="41"/>
  <c r="P37" i="41" s="1"/>
  <c r="C52" i="28"/>
  <c r="C41" i="41"/>
  <c r="P41" i="41" s="1"/>
  <c r="C64" i="28"/>
  <c r="C50" i="41"/>
  <c r="P50" i="41" s="1"/>
  <c r="C68" i="28"/>
  <c r="C53" i="41"/>
  <c r="P53" i="41" s="1"/>
  <c r="C38" i="28"/>
  <c r="C30" i="41"/>
  <c r="C49" i="28"/>
  <c r="C38" i="41"/>
  <c r="P38" i="41" s="1"/>
  <c r="C53" i="28"/>
  <c r="C42" i="41"/>
  <c r="P42" i="41" s="1"/>
  <c r="C61" i="28"/>
  <c r="C47" i="41"/>
  <c r="P47" i="41" s="1"/>
  <c r="C50" i="28"/>
  <c r="C39" i="41"/>
  <c r="P39" i="41" s="1"/>
  <c r="C55" i="28"/>
  <c r="C43" i="41"/>
  <c r="P43" i="41" s="1"/>
  <c r="C57" i="28"/>
  <c r="C44" i="41"/>
  <c r="P44" i="41" s="1"/>
  <c r="C62" i="28"/>
  <c r="C48" i="41"/>
  <c r="P48" i="41" s="1"/>
  <c r="C66" i="28"/>
  <c r="C51" i="41"/>
  <c r="P51" i="41" s="1"/>
  <c r="C70" i="28"/>
  <c r="C55" i="41"/>
  <c r="P55" i="41" s="1"/>
  <c r="C39" i="28"/>
  <c r="C31" i="41"/>
  <c r="C40" i="28"/>
  <c r="C32" i="41"/>
  <c r="C46" i="28"/>
  <c r="C36" i="41"/>
  <c r="P36" i="41" s="1"/>
  <c r="C51" i="28"/>
  <c r="C40" i="41"/>
  <c r="P40" i="41" s="1"/>
  <c r="C58" i="28"/>
  <c r="C45" i="41"/>
  <c r="P45" i="41" s="1"/>
  <c r="C63" i="28"/>
  <c r="C49" i="41"/>
  <c r="P49" i="41" s="1"/>
  <c r="C67" i="28"/>
  <c r="C52" i="41"/>
  <c r="P52" i="41" s="1"/>
  <c r="P172" i="23"/>
  <c r="P171" i="23" s="1"/>
  <c r="P167" i="23" s="1"/>
  <c r="P147" i="23"/>
  <c r="P146" i="23" s="1"/>
  <c r="P99" i="23" s="1"/>
  <c r="M172" i="23"/>
  <c r="M171" i="23" s="1"/>
  <c r="M167" i="23" s="1"/>
  <c r="M147" i="23"/>
  <c r="M146" i="23" s="1"/>
  <c r="M99" i="23" s="1"/>
  <c r="W99" i="2"/>
  <c r="W92" i="2" s="1"/>
  <c r="V92" i="2"/>
  <c r="T99" i="2"/>
  <c r="T92" i="2" s="1"/>
  <c r="S92" i="2"/>
  <c r="N99" i="2"/>
  <c r="P154" i="2"/>
  <c r="P148" i="2"/>
  <c r="P146" i="27"/>
  <c r="P99" i="27" s="1"/>
  <c r="P99" i="2" s="1"/>
  <c r="Q99" i="2" s="1"/>
  <c r="V55" i="2"/>
  <c r="V53" i="2"/>
  <c r="V54" i="2"/>
  <c r="V51" i="2"/>
  <c r="V56" i="23"/>
  <c r="Q33" i="41" l="1"/>
  <c r="M78" i="41"/>
  <c r="Q78" i="41" s="1"/>
  <c r="O78" i="41"/>
  <c r="O130" i="41"/>
  <c r="M130" i="41"/>
  <c r="Q130" i="41" s="1"/>
  <c r="M134" i="41"/>
  <c r="Q134" i="41" s="1"/>
  <c r="O134" i="41"/>
  <c r="M67" i="41"/>
  <c r="Q67" i="41" s="1"/>
  <c r="O67" i="41"/>
  <c r="M127" i="41"/>
  <c r="Q127" i="41" s="1"/>
  <c r="O127" i="41"/>
  <c r="M52" i="41"/>
  <c r="O52" i="41"/>
  <c r="M45" i="41"/>
  <c r="O45" i="41"/>
  <c r="M36" i="41"/>
  <c r="O36" i="41"/>
  <c r="M31" i="41"/>
  <c r="O31" i="41"/>
  <c r="O51" i="41"/>
  <c r="M51" i="41"/>
  <c r="M44" i="41"/>
  <c r="O44" i="41"/>
  <c r="M39" i="41"/>
  <c r="O39" i="41"/>
  <c r="O42" i="41"/>
  <c r="M42" i="41"/>
  <c r="M30" i="41"/>
  <c r="O30" i="41"/>
  <c r="M50" i="41"/>
  <c r="O50" i="41"/>
  <c r="M37" i="41"/>
  <c r="O37" i="41"/>
  <c r="M74" i="41"/>
  <c r="Q74" i="41" s="1"/>
  <c r="O74" i="41"/>
  <c r="O69" i="41"/>
  <c r="M69" i="41"/>
  <c r="Q69" i="41" s="1"/>
  <c r="M79" i="41"/>
  <c r="Q79" i="41" s="1"/>
  <c r="O79" i="41"/>
  <c r="M83" i="41"/>
  <c r="Q83" i="41" s="1"/>
  <c r="O83" i="41"/>
  <c r="M85" i="41"/>
  <c r="Q85" i="41" s="1"/>
  <c r="O85" i="41"/>
  <c r="M87" i="41"/>
  <c r="Q87" i="41" s="1"/>
  <c r="O87" i="41"/>
  <c r="M106" i="41"/>
  <c r="Q106" i="41" s="1"/>
  <c r="O106" i="41"/>
  <c r="M104" i="41"/>
  <c r="Q104" i="41" s="1"/>
  <c r="O104" i="41"/>
  <c r="M118" i="41"/>
  <c r="Q118" i="41" s="1"/>
  <c r="O118" i="41"/>
  <c r="O117" i="41"/>
  <c r="M117" i="41"/>
  <c r="Q117" i="41" s="1"/>
  <c r="M115" i="41"/>
  <c r="Q115" i="41" s="1"/>
  <c r="O115" i="41"/>
  <c r="O121" i="41"/>
  <c r="M121" i="41"/>
  <c r="Q121" i="41" s="1"/>
  <c r="M123" i="41"/>
  <c r="Q123" i="41" s="1"/>
  <c r="O123" i="41"/>
  <c r="M138" i="41"/>
  <c r="Q138" i="41" s="1"/>
  <c r="O138" i="41"/>
  <c r="O80" i="41"/>
  <c r="M80" i="41"/>
  <c r="Q80" i="41" s="1"/>
  <c r="M133" i="41"/>
  <c r="Q133" i="41" s="1"/>
  <c r="O133" i="41"/>
  <c r="M136" i="41"/>
  <c r="Q136" i="41" s="1"/>
  <c r="O136" i="41"/>
  <c r="O135" i="41"/>
  <c r="M135" i="41"/>
  <c r="Q135" i="41" s="1"/>
  <c r="M66" i="41"/>
  <c r="Q66" i="41" s="1"/>
  <c r="O66" i="41"/>
  <c r="O64" i="41"/>
  <c r="M64" i="41"/>
  <c r="Q64" i="41" s="1"/>
  <c r="M126" i="41"/>
  <c r="Q126" i="41" s="1"/>
  <c r="O126" i="41"/>
  <c r="M128" i="41"/>
  <c r="Q128" i="41" s="1"/>
  <c r="O128" i="41"/>
  <c r="O88" i="41"/>
  <c r="M88" i="41"/>
  <c r="Q88" i="41" s="1"/>
  <c r="M86" i="41"/>
  <c r="Q86" i="41" s="1"/>
  <c r="O86" i="41"/>
  <c r="O76" i="41"/>
  <c r="M76" i="41"/>
  <c r="Q76" i="41" s="1"/>
  <c r="M49" i="41"/>
  <c r="O49" i="41"/>
  <c r="M40" i="41"/>
  <c r="O40" i="41"/>
  <c r="O32" i="41"/>
  <c r="M32" i="41"/>
  <c r="M55" i="41"/>
  <c r="O55" i="41"/>
  <c r="M48" i="41"/>
  <c r="O48" i="41"/>
  <c r="M43" i="41"/>
  <c r="O43" i="41"/>
  <c r="O47" i="41"/>
  <c r="M47" i="41"/>
  <c r="O38" i="41"/>
  <c r="M38" i="41"/>
  <c r="M53" i="41"/>
  <c r="O53" i="41"/>
  <c r="M41" i="41"/>
  <c r="O41" i="41"/>
  <c r="M72" i="41"/>
  <c r="Q72" i="41" s="1"/>
  <c r="O72" i="41"/>
  <c r="M70" i="41"/>
  <c r="Q70" i="41" s="1"/>
  <c r="O70" i="41"/>
  <c r="M77" i="41"/>
  <c r="Q77" i="41" s="1"/>
  <c r="O77" i="41"/>
  <c r="O84" i="41"/>
  <c r="M84" i="41"/>
  <c r="Q84" i="41" s="1"/>
  <c r="M82" i="41"/>
  <c r="Q82" i="41" s="1"/>
  <c r="O82" i="41"/>
  <c r="M81" i="41"/>
  <c r="Q81" i="41" s="1"/>
  <c r="O81" i="41"/>
  <c r="O105" i="41"/>
  <c r="M105" i="41"/>
  <c r="Q105" i="41" s="1"/>
  <c r="M108" i="41"/>
  <c r="Q108" i="41" s="1"/>
  <c r="O108" i="41"/>
  <c r="M107" i="41"/>
  <c r="Q107" i="41" s="1"/>
  <c r="O107" i="41"/>
  <c r="M114" i="41"/>
  <c r="Q114" i="41" s="1"/>
  <c r="O114" i="41"/>
  <c r="M116" i="41"/>
  <c r="Q116" i="41" s="1"/>
  <c r="O116" i="41"/>
  <c r="M122" i="41"/>
  <c r="Q122" i="41" s="1"/>
  <c r="O122" i="41"/>
  <c r="M120" i="41"/>
  <c r="Q120" i="41" s="1"/>
  <c r="O120" i="41"/>
  <c r="M119" i="41"/>
  <c r="Q119" i="41" s="1"/>
  <c r="O119" i="41"/>
  <c r="M131" i="41"/>
  <c r="Q131" i="41" s="1"/>
  <c r="O131" i="41"/>
  <c r="M65" i="41"/>
  <c r="Q65" i="41" s="1"/>
  <c r="O65" i="41"/>
  <c r="M124" i="41"/>
  <c r="Q124" i="41" s="1"/>
  <c r="O124" i="41"/>
  <c r="O125" i="41"/>
  <c r="M125" i="41"/>
  <c r="Q125" i="41" s="1"/>
  <c r="M90" i="41"/>
  <c r="Q90" i="41" s="1"/>
  <c r="O90" i="41"/>
  <c r="M89" i="41"/>
  <c r="Q89" i="41" s="1"/>
  <c r="O89" i="41"/>
  <c r="V174" i="28"/>
  <c r="AK174" i="28"/>
  <c r="AF174" i="28"/>
  <c r="Q174" i="28"/>
  <c r="AA174" i="28"/>
  <c r="T131" i="41"/>
  <c r="S131" i="41"/>
  <c r="T134" i="41"/>
  <c r="S134" i="41"/>
  <c r="AA176" i="28"/>
  <c r="Q176" i="28"/>
  <c r="AF176" i="28"/>
  <c r="V176" i="28"/>
  <c r="AK176" i="28"/>
  <c r="AA172" i="28"/>
  <c r="AF172" i="28"/>
  <c r="Q172" i="28"/>
  <c r="V172" i="28"/>
  <c r="AK172" i="28"/>
  <c r="AF175" i="28"/>
  <c r="AK175" i="28"/>
  <c r="AA175" i="28"/>
  <c r="V175" i="28"/>
  <c r="Q175" i="28"/>
  <c r="T138" i="41"/>
  <c r="S138" i="41"/>
  <c r="Q177" i="28"/>
  <c r="V177" i="28"/>
  <c r="AK177" i="28"/>
  <c r="AA177" i="28"/>
  <c r="AF177" i="28"/>
  <c r="S133" i="41"/>
  <c r="T133" i="41"/>
  <c r="S136" i="41"/>
  <c r="T136" i="41"/>
  <c r="T135" i="41"/>
  <c r="S135" i="41"/>
  <c r="AF179" i="28"/>
  <c r="AA179" i="28"/>
  <c r="V179" i="28"/>
  <c r="AK179" i="28"/>
  <c r="Q179" i="28"/>
  <c r="Q169" i="28"/>
  <c r="V169" i="28"/>
  <c r="V168" i="28" s="1"/>
  <c r="V167" i="28" s="1"/>
  <c r="AA169" i="28"/>
  <c r="AA168" i="28" s="1"/>
  <c r="AA167" i="28" s="1"/>
  <c r="AF169" i="28"/>
  <c r="AF168" i="28" s="1"/>
  <c r="AF167" i="28" s="1"/>
  <c r="AK169" i="28"/>
  <c r="T130" i="41"/>
  <c r="S130" i="41"/>
  <c r="AA160" i="28"/>
  <c r="AK160" i="28"/>
  <c r="Q160" i="28"/>
  <c r="V160" i="28"/>
  <c r="AF160" i="28"/>
  <c r="AF161" i="28"/>
  <c r="AA161" i="28"/>
  <c r="AK161" i="28"/>
  <c r="Q161" i="28"/>
  <c r="V161" i="28"/>
  <c r="Q163" i="28"/>
  <c r="V163" i="28"/>
  <c r="AA163" i="28"/>
  <c r="AF163" i="28"/>
  <c r="AK163" i="28"/>
  <c r="S126" i="41"/>
  <c r="T126" i="41"/>
  <c r="T128" i="41"/>
  <c r="S128" i="41"/>
  <c r="AF162" i="28"/>
  <c r="Q162" i="28"/>
  <c r="V162" i="28"/>
  <c r="AA162" i="28"/>
  <c r="AK162" i="28"/>
  <c r="AA164" i="28"/>
  <c r="AK164" i="28"/>
  <c r="V164" i="28"/>
  <c r="Q164" i="28"/>
  <c r="AF164" i="28"/>
  <c r="T124" i="41"/>
  <c r="S124" i="41"/>
  <c r="T125" i="41"/>
  <c r="S125" i="41"/>
  <c r="S127" i="41"/>
  <c r="T127" i="41"/>
  <c r="S121" i="41"/>
  <c r="T121" i="41"/>
  <c r="S123" i="41"/>
  <c r="T123" i="41"/>
  <c r="V155" i="28"/>
  <c r="AK155" i="28"/>
  <c r="AA155" i="28"/>
  <c r="Q155" i="28"/>
  <c r="AF155" i="28"/>
  <c r="AA157" i="28"/>
  <c r="V157" i="28"/>
  <c r="AK157" i="28"/>
  <c r="AF157" i="28"/>
  <c r="Q157" i="28"/>
  <c r="T122" i="41"/>
  <c r="S122" i="41"/>
  <c r="T120" i="41"/>
  <c r="S120" i="41"/>
  <c r="S119" i="41"/>
  <c r="T119" i="41"/>
  <c r="AF156" i="28"/>
  <c r="Q156" i="28"/>
  <c r="V156" i="28"/>
  <c r="AK156" i="28"/>
  <c r="AA156" i="28"/>
  <c r="Q154" i="28"/>
  <c r="AF154" i="28"/>
  <c r="AA154" i="28"/>
  <c r="V154" i="28"/>
  <c r="AK154" i="28"/>
  <c r="AA153" i="28"/>
  <c r="V153" i="28"/>
  <c r="AK153" i="28"/>
  <c r="AF153" i="28"/>
  <c r="Q153" i="28"/>
  <c r="T116" i="41"/>
  <c r="S116" i="41"/>
  <c r="V147" i="28"/>
  <c r="Q147" i="28"/>
  <c r="AA147" i="28"/>
  <c r="AF147" i="28"/>
  <c r="AK147" i="28"/>
  <c r="Q149" i="28"/>
  <c r="AA149" i="28"/>
  <c r="N150" i="10" s="1"/>
  <c r="AF149" i="28"/>
  <c r="O150" i="10" s="1"/>
  <c r="AK149" i="28"/>
  <c r="V149" i="28"/>
  <c r="X149" i="28" s="1"/>
  <c r="S114" i="41"/>
  <c r="T114" i="41"/>
  <c r="S118" i="41"/>
  <c r="T118" i="41"/>
  <c r="T117" i="41"/>
  <c r="S117" i="41"/>
  <c r="T115" i="41"/>
  <c r="S115" i="41"/>
  <c r="V151" i="28"/>
  <c r="X151" i="28" s="1"/>
  <c r="Q151" i="28"/>
  <c r="AA151" i="28"/>
  <c r="N152" i="10" s="1"/>
  <c r="AF151" i="28"/>
  <c r="O152" i="10" s="1"/>
  <c r="AK151" i="28"/>
  <c r="AA150" i="28"/>
  <c r="N151" i="10" s="1"/>
  <c r="AF150" i="28"/>
  <c r="O151" i="10" s="1"/>
  <c r="AK150" i="28"/>
  <c r="V150" i="28"/>
  <c r="X150" i="28" s="1"/>
  <c r="Q150" i="28"/>
  <c r="Q148" i="28"/>
  <c r="AA148" i="28"/>
  <c r="N149" i="10" s="1"/>
  <c r="AF148" i="28"/>
  <c r="O149" i="10" s="1"/>
  <c r="AK148" i="28"/>
  <c r="V148" i="28"/>
  <c r="X148" i="28" s="1"/>
  <c r="T104" i="41"/>
  <c r="S104" i="41"/>
  <c r="AA136" i="28"/>
  <c r="AK136" i="28"/>
  <c r="AF136" i="28"/>
  <c r="Q136" i="28"/>
  <c r="V136" i="28"/>
  <c r="Y136" i="28" s="1"/>
  <c r="AF134" i="28"/>
  <c r="AA134" i="28"/>
  <c r="AK134" i="28"/>
  <c r="Q134" i="28"/>
  <c r="T134" i="28" s="1"/>
  <c r="V134" i="28"/>
  <c r="T106" i="41"/>
  <c r="S106" i="41"/>
  <c r="S105" i="41"/>
  <c r="T105" i="41"/>
  <c r="T108" i="41"/>
  <c r="S108" i="41"/>
  <c r="S107" i="41"/>
  <c r="T107" i="41"/>
  <c r="Q135" i="28"/>
  <c r="V135" i="28"/>
  <c r="AF135" i="28"/>
  <c r="AI135" i="28" s="1"/>
  <c r="AA135" i="28"/>
  <c r="AK135" i="28"/>
  <c r="AF138" i="28"/>
  <c r="AA138" i="28"/>
  <c r="AD138" i="28" s="1"/>
  <c r="AK138" i="28"/>
  <c r="Q138" i="28"/>
  <c r="V138" i="28"/>
  <c r="Q137" i="28"/>
  <c r="V137" i="28"/>
  <c r="AA137" i="28"/>
  <c r="AK137" i="28"/>
  <c r="AF137" i="28"/>
  <c r="AI137" i="28" s="1"/>
  <c r="V115" i="28"/>
  <c r="AK115" i="28"/>
  <c r="AA115" i="28"/>
  <c r="Q115" i="28"/>
  <c r="AF115" i="28"/>
  <c r="AA113" i="28"/>
  <c r="V113" i="28"/>
  <c r="AK113" i="28"/>
  <c r="AF113" i="28"/>
  <c r="Q113" i="28"/>
  <c r="S90" i="41"/>
  <c r="T90" i="41"/>
  <c r="T89" i="41"/>
  <c r="S89" i="41"/>
  <c r="AA117" i="28"/>
  <c r="V117" i="28"/>
  <c r="AK117" i="28"/>
  <c r="AF117" i="28"/>
  <c r="Q117" i="28"/>
  <c r="AF116" i="28"/>
  <c r="Q116" i="28"/>
  <c r="V116" i="28"/>
  <c r="AK116" i="28"/>
  <c r="AA116" i="28"/>
  <c r="T87" i="41"/>
  <c r="S87" i="41"/>
  <c r="S88" i="41"/>
  <c r="T88" i="41"/>
  <c r="S86" i="41"/>
  <c r="T86" i="41"/>
  <c r="Q114" i="28"/>
  <c r="AF114" i="28"/>
  <c r="AA114" i="28"/>
  <c r="V114" i="28"/>
  <c r="AK114" i="28"/>
  <c r="T83" i="41"/>
  <c r="S83" i="41"/>
  <c r="T85" i="41"/>
  <c r="S85" i="41"/>
  <c r="AA109" i="28"/>
  <c r="AF109" i="28"/>
  <c r="AK109" i="28"/>
  <c r="Q109" i="28"/>
  <c r="V109" i="28"/>
  <c r="AA111" i="28"/>
  <c r="AF111" i="28"/>
  <c r="AK111" i="28"/>
  <c r="V111" i="28"/>
  <c r="Q111" i="28"/>
  <c r="S84" i="41"/>
  <c r="T84" i="41"/>
  <c r="S82" i="41"/>
  <c r="T82" i="41"/>
  <c r="T81" i="41"/>
  <c r="S81" i="41"/>
  <c r="V110" i="28"/>
  <c r="Q110" i="28"/>
  <c r="AA110" i="28"/>
  <c r="AF110" i="28"/>
  <c r="AK110" i="28"/>
  <c r="Q108" i="28"/>
  <c r="V108" i="28"/>
  <c r="AA108" i="28"/>
  <c r="AF108" i="28"/>
  <c r="AK108" i="28"/>
  <c r="AA107" i="28"/>
  <c r="AF107" i="28"/>
  <c r="AK107" i="28"/>
  <c r="V107" i="28"/>
  <c r="Q107" i="28"/>
  <c r="S77" i="41"/>
  <c r="T77" i="41"/>
  <c r="T78" i="41"/>
  <c r="S78" i="41"/>
  <c r="Q102" i="28"/>
  <c r="V102" i="28"/>
  <c r="AA102" i="28"/>
  <c r="AF102" i="28"/>
  <c r="AK102" i="28"/>
  <c r="AA105" i="28"/>
  <c r="AF105" i="28"/>
  <c r="AK105" i="28"/>
  <c r="V105" i="28"/>
  <c r="Q105" i="28"/>
  <c r="AA103" i="28"/>
  <c r="AF103" i="28"/>
  <c r="AK103" i="28"/>
  <c r="Q103" i="28"/>
  <c r="V103" i="28"/>
  <c r="S79" i="41"/>
  <c r="T79" i="41"/>
  <c r="T80" i="41"/>
  <c r="S80" i="41"/>
  <c r="V104" i="28"/>
  <c r="Q104" i="28"/>
  <c r="AA104" i="28"/>
  <c r="AF104" i="28"/>
  <c r="AK104" i="28"/>
  <c r="V94" i="28"/>
  <c r="AK94" i="28"/>
  <c r="AF94" i="28"/>
  <c r="AH94" i="28" s="1"/>
  <c r="AA94" i="28"/>
  <c r="Q94" i="28"/>
  <c r="AA92" i="28"/>
  <c r="Q92" i="28"/>
  <c r="V92" i="28"/>
  <c r="AK92" i="28"/>
  <c r="AF92" i="28"/>
  <c r="AH92" i="28" s="1"/>
  <c r="S72" i="41"/>
  <c r="T72" i="41"/>
  <c r="T74" i="41"/>
  <c r="S74" i="41"/>
  <c r="T69" i="41"/>
  <c r="S69" i="41"/>
  <c r="T70" i="41"/>
  <c r="S70" i="41"/>
  <c r="AA96" i="28"/>
  <c r="Q96" i="28"/>
  <c r="AF96" i="28"/>
  <c r="AH96" i="28" s="1"/>
  <c r="V96" i="28"/>
  <c r="AK96" i="28"/>
  <c r="AF91" i="28"/>
  <c r="AA91" i="28"/>
  <c r="AK91" i="28"/>
  <c r="Q91" i="28"/>
  <c r="V91" i="28"/>
  <c r="S65" i="41"/>
  <c r="T65" i="41"/>
  <c r="S67" i="41"/>
  <c r="T67" i="41"/>
  <c r="AA85" i="28"/>
  <c r="AF85" i="28"/>
  <c r="AK85" i="28"/>
  <c r="V85" i="28"/>
  <c r="Q85" i="28"/>
  <c r="Q86" i="28"/>
  <c r="V86" i="28"/>
  <c r="AA86" i="28"/>
  <c r="AF86" i="28"/>
  <c r="AK86" i="28"/>
  <c r="V88" i="28"/>
  <c r="Q88" i="28"/>
  <c r="AA88" i="28"/>
  <c r="AF88" i="28"/>
  <c r="AK88" i="28"/>
  <c r="AA87" i="28"/>
  <c r="AF87" i="28"/>
  <c r="AK87" i="28"/>
  <c r="Q87" i="28"/>
  <c r="V87" i="28"/>
  <c r="T66" i="41"/>
  <c r="S66" i="41"/>
  <c r="S64" i="41"/>
  <c r="T64" i="41"/>
  <c r="S55" i="41"/>
  <c r="T55" i="41"/>
  <c r="AF70" i="28"/>
  <c r="AK70" i="28"/>
  <c r="V70" i="28"/>
  <c r="AA70" i="28"/>
  <c r="Q70" i="28"/>
  <c r="V68" i="28"/>
  <c r="AA68" i="28"/>
  <c r="N69" i="10" s="1"/>
  <c r="AK68" i="28"/>
  <c r="AF68" i="28"/>
  <c r="O69" i="10" s="1"/>
  <c r="Q68" i="28"/>
  <c r="T52" i="41"/>
  <c r="S52" i="41"/>
  <c r="S51" i="41"/>
  <c r="T51" i="41"/>
  <c r="T53" i="41"/>
  <c r="S53" i="41"/>
  <c r="AF67" i="28"/>
  <c r="O68" i="10" s="1"/>
  <c r="Q67" i="28"/>
  <c r="V67" i="28"/>
  <c r="AA67" i="28"/>
  <c r="N68" i="10" s="1"/>
  <c r="AK67" i="28"/>
  <c r="V66" i="28"/>
  <c r="AA66" i="28"/>
  <c r="AK66" i="28"/>
  <c r="Q66" i="28"/>
  <c r="AF66" i="28"/>
  <c r="T49" i="41"/>
  <c r="S49" i="41"/>
  <c r="S48" i="41"/>
  <c r="T48" i="41"/>
  <c r="Q61" i="28"/>
  <c r="AF61" i="28"/>
  <c r="V61" i="28"/>
  <c r="AA61" i="28"/>
  <c r="AK61" i="28"/>
  <c r="T50" i="41"/>
  <c r="S50" i="41"/>
  <c r="S47" i="41"/>
  <c r="T47" i="41"/>
  <c r="AF63" i="28"/>
  <c r="Q63" i="28"/>
  <c r="AK63" i="28"/>
  <c r="V63" i="28"/>
  <c r="X63" i="28" s="1"/>
  <c r="AA63" i="28"/>
  <c r="V62" i="28"/>
  <c r="X62" i="28" s="1"/>
  <c r="AA62" i="28"/>
  <c r="AK62" i="28"/>
  <c r="AF62" i="28"/>
  <c r="Q62" i="28"/>
  <c r="V64" i="28"/>
  <c r="X64" i="28" s="1"/>
  <c r="AA64" i="28"/>
  <c r="AK64" i="28"/>
  <c r="Q64" i="28"/>
  <c r="AF64" i="28"/>
  <c r="AA58" i="28"/>
  <c r="N59" i="10" s="1"/>
  <c r="AF58" i="28"/>
  <c r="O59" i="10" s="1"/>
  <c r="Q58" i="28"/>
  <c r="V58" i="28"/>
  <c r="M59" i="10" s="1"/>
  <c r="AK58" i="28"/>
  <c r="S45" i="41"/>
  <c r="T45" i="41"/>
  <c r="S44" i="41"/>
  <c r="T44" i="41"/>
  <c r="AK57" i="28"/>
  <c r="AA57" i="28"/>
  <c r="AF57" i="28"/>
  <c r="Q57" i="28"/>
  <c r="V57" i="28"/>
  <c r="AF55" i="28"/>
  <c r="AF54" i="28" s="1"/>
  <c r="Q55" i="28"/>
  <c r="AA55" i="28"/>
  <c r="AK55" i="28"/>
  <c r="V55" i="28"/>
  <c r="V54" i="28" s="1"/>
  <c r="T43" i="41"/>
  <c r="S43" i="41"/>
  <c r="S38" i="41"/>
  <c r="T38" i="41"/>
  <c r="Q51" i="28"/>
  <c r="AK51" i="28"/>
  <c r="V51" i="28"/>
  <c r="AA51" i="28"/>
  <c r="AC51" i="28" s="1"/>
  <c r="AF51" i="28"/>
  <c r="V49" i="28"/>
  <c r="Q49" i="28"/>
  <c r="AK49" i="28"/>
  <c r="AF49" i="28"/>
  <c r="AA49" i="28"/>
  <c r="AF52" i="28"/>
  <c r="AA52" i="28"/>
  <c r="AC52" i="28" s="1"/>
  <c r="Q52" i="28"/>
  <c r="AK52" i="28"/>
  <c r="V52" i="28"/>
  <c r="S40" i="41"/>
  <c r="T40" i="41"/>
  <c r="S39" i="41"/>
  <c r="T39" i="41"/>
  <c r="S42" i="41"/>
  <c r="T42" i="41"/>
  <c r="S41" i="41"/>
  <c r="T41" i="41"/>
  <c r="AA50" i="28"/>
  <c r="AC50" i="28" s="1"/>
  <c r="AF50" i="28"/>
  <c r="V50" i="28"/>
  <c r="Q50" i="28"/>
  <c r="AK50" i="28"/>
  <c r="V53" i="28"/>
  <c r="M54" i="10" s="1"/>
  <c r="Q53" i="28"/>
  <c r="AK53" i="28"/>
  <c r="AF53" i="28"/>
  <c r="O54" i="10" s="1"/>
  <c r="AA53" i="28"/>
  <c r="Q46" i="28"/>
  <c r="V46" i="28"/>
  <c r="AK46" i="28"/>
  <c r="AA46" i="28"/>
  <c r="AF46" i="28"/>
  <c r="S36" i="41"/>
  <c r="T36" i="41"/>
  <c r="S37" i="41"/>
  <c r="T37" i="41"/>
  <c r="AA47" i="28"/>
  <c r="AF47" i="28"/>
  <c r="Q47" i="28"/>
  <c r="V47" i="28"/>
  <c r="X47" i="28" s="1"/>
  <c r="AK47" i="28"/>
  <c r="S31" i="41"/>
  <c r="T31" i="41"/>
  <c r="S30" i="41"/>
  <c r="T30" i="41"/>
  <c r="S32" i="41"/>
  <c r="T32" i="41"/>
  <c r="Q41" i="28"/>
  <c r="T41" i="28" s="1"/>
  <c r="V41" i="28"/>
  <c r="X41" i="28" s="1"/>
  <c r="AF41" i="28"/>
  <c r="AA41" i="28"/>
  <c r="AK41" i="28"/>
  <c r="AN41" i="28" s="1"/>
  <c r="V40" i="28"/>
  <c r="X40" i="28" s="1"/>
  <c r="AA40" i="28"/>
  <c r="AF40" i="28"/>
  <c r="AK40" i="28"/>
  <c r="Q40" i="28"/>
  <c r="V39" i="28"/>
  <c r="X39" i="28" s="1"/>
  <c r="AA39" i="28"/>
  <c r="AF39" i="28"/>
  <c r="AK39" i="28"/>
  <c r="Q39" i="28"/>
  <c r="Q38" i="28"/>
  <c r="V38" i="28"/>
  <c r="AA38" i="28"/>
  <c r="AF38" i="28"/>
  <c r="AK38" i="28"/>
  <c r="S76" i="41"/>
  <c r="T76" i="41"/>
  <c r="AA101" i="28"/>
  <c r="Q101" i="28"/>
  <c r="V101" i="28"/>
  <c r="AF101" i="28"/>
  <c r="AF100" i="28" s="1"/>
  <c r="AK101" i="28"/>
  <c r="V55" i="23"/>
  <c r="V7" i="23" s="1"/>
  <c r="V6" i="23" s="1"/>
  <c r="V182" i="23" s="1"/>
  <c r="M56" i="23"/>
  <c r="M55" i="23" s="1"/>
  <c r="P59" i="2"/>
  <c r="P58" i="23"/>
  <c r="P60" i="2"/>
  <c r="P59" i="23"/>
  <c r="M59" i="23" s="1"/>
  <c r="X55" i="27"/>
  <c r="V57" i="2"/>
  <c r="AF49" i="27"/>
  <c r="AB49" i="27"/>
  <c r="T49" i="27"/>
  <c r="P49" i="27"/>
  <c r="M48" i="2"/>
  <c r="AF38" i="27"/>
  <c r="AB38" i="27"/>
  <c r="X38" i="27"/>
  <c r="T38" i="27"/>
  <c r="P38" i="27"/>
  <c r="M47" i="2"/>
  <c r="L38" i="27"/>
  <c r="AN138" i="28"/>
  <c r="AN137" i="28"/>
  <c r="AN136" i="28"/>
  <c r="AN135" i="28"/>
  <c r="AN134" i="28"/>
  <c r="AN127" i="28"/>
  <c r="AN126" i="28"/>
  <c r="AN125" i="28"/>
  <c r="AN124" i="28"/>
  <c r="AN123" i="28"/>
  <c r="AN122" i="28"/>
  <c r="AN121" i="28"/>
  <c r="AN120" i="28"/>
  <c r="AN12" i="28"/>
  <c r="AI138" i="28"/>
  <c r="AI136" i="28"/>
  <c r="AI134" i="28"/>
  <c r="AI127" i="28"/>
  <c r="AI126" i="28"/>
  <c r="AI125" i="28"/>
  <c r="AI124" i="28"/>
  <c r="AI123" i="28"/>
  <c r="AI122" i="28"/>
  <c r="AI121" i="28"/>
  <c r="AI120" i="28"/>
  <c r="AD137" i="28"/>
  <c r="AD136" i="28"/>
  <c r="AD135" i="28"/>
  <c r="AD134" i="28"/>
  <c r="AD127" i="28"/>
  <c r="AD126" i="28"/>
  <c r="AD125" i="28"/>
  <c r="AD124" i="28"/>
  <c r="AD123" i="28"/>
  <c r="AD122" i="28"/>
  <c r="AD121" i="28"/>
  <c r="AD120" i="28"/>
  <c r="AD79" i="28"/>
  <c r="Y138" i="28"/>
  <c r="Y137" i="28"/>
  <c r="Y135" i="28"/>
  <c r="Y134" i="28"/>
  <c r="Y127" i="28"/>
  <c r="Y126" i="28"/>
  <c r="Y125" i="28"/>
  <c r="Y124" i="28"/>
  <c r="Y123" i="28"/>
  <c r="Y122" i="28"/>
  <c r="Y121" i="28"/>
  <c r="Y120" i="28"/>
  <c r="T169" i="28"/>
  <c r="T168" i="28" s="1"/>
  <c r="T167" i="28" s="1"/>
  <c r="T138" i="28"/>
  <c r="T137" i="28"/>
  <c r="T136" i="28"/>
  <c r="T135" i="28"/>
  <c r="T127" i="28"/>
  <c r="T126" i="28"/>
  <c r="T125" i="28"/>
  <c r="T124" i="28"/>
  <c r="T123" i="28"/>
  <c r="T122" i="28"/>
  <c r="T121" i="28"/>
  <c r="T120" i="28"/>
  <c r="O127" i="28"/>
  <c r="O126" i="28"/>
  <c r="O125" i="28"/>
  <c r="O124" i="28"/>
  <c r="O123" i="28"/>
  <c r="O122" i="28"/>
  <c r="O121" i="28"/>
  <c r="O120" i="28"/>
  <c r="A179" i="28"/>
  <c r="A178" i="28"/>
  <c r="A177" i="28"/>
  <c r="A176" i="28"/>
  <c r="A175" i="28"/>
  <c r="A174" i="28"/>
  <c r="A173" i="28"/>
  <c r="A172" i="28"/>
  <c r="A171" i="28"/>
  <c r="A170" i="28"/>
  <c r="J169" i="28"/>
  <c r="I169" i="28"/>
  <c r="H169" i="28"/>
  <c r="G169" i="28"/>
  <c r="F169" i="28"/>
  <c r="E169" i="28"/>
  <c r="D169" i="28"/>
  <c r="A169" i="28"/>
  <c r="A168" i="28"/>
  <c r="A167" i="28"/>
  <c r="A166" i="28"/>
  <c r="A164" i="28"/>
  <c r="A163" i="28"/>
  <c r="A162" i="28"/>
  <c r="A161" i="28"/>
  <c r="A160" i="28"/>
  <c r="A159" i="28"/>
  <c r="A158" i="28"/>
  <c r="A157" i="28"/>
  <c r="A156" i="28"/>
  <c r="A155" i="28"/>
  <c r="A154" i="28"/>
  <c r="A153" i="28"/>
  <c r="A152" i="28"/>
  <c r="A151" i="28"/>
  <c r="A150" i="28"/>
  <c r="A149" i="28"/>
  <c r="A148" i="28"/>
  <c r="A147" i="28"/>
  <c r="A146" i="28"/>
  <c r="A145" i="28"/>
  <c r="A138" i="28"/>
  <c r="A137" i="28"/>
  <c r="A136" i="28"/>
  <c r="A135" i="28"/>
  <c r="A134" i="28"/>
  <c r="A127" i="28"/>
  <c r="A126" i="28"/>
  <c r="A125" i="28"/>
  <c r="A124" i="28"/>
  <c r="A123" i="28"/>
  <c r="A122" i="28"/>
  <c r="A121" i="28"/>
  <c r="A120" i="28"/>
  <c r="A118" i="28"/>
  <c r="A117" i="28"/>
  <c r="A116" i="28"/>
  <c r="A115" i="28"/>
  <c r="A114" i="28"/>
  <c r="A113" i="28"/>
  <c r="A112" i="28"/>
  <c r="A111" i="28"/>
  <c r="A110" i="28"/>
  <c r="A109" i="28"/>
  <c r="A108" i="28"/>
  <c r="A107" i="28"/>
  <c r="A106" i="28"/>
  <c r="A105" i="28"/>
  <c r="A104" i="28"/>
  <c r="A103" i="28"/>
  <c r="A102" i="28"/>
  <c r="A101" i="28"/>
  <c r="A99" i="28"/>
  <c r="A98" i="28"/>
  <c r="A96" i="28"/>
  <c r="A95" i="28"/>
  <c r="A94" i="28"/>
  <c r="A93" i="28"/>
  <c r="A92" i="28"/>
  <c r="A91" i="28"/>
  <c r="A90" i="28"/>
  <c r="A89" i="28"/>
  <c r="A88" i="28"/>
  <c r="A87" i="28"/>
  <c r="A86" i="28"/>
  <c r="A85" i="28"/>
  <c r="A81" i="28"/>
  <c r="A80" i="28"/>
  <c r="A79" i="28"/>
  <c r="A78" i="28"/>
  <c r="A77" i="28"/>
  <c r="A76" i="28"/>
  <c r="A75" i="28"/>
  <c r="A74" i="28"/>
  <c r="A73" i="28"/>
  <c r="A72" i="28"/>
  <c r="A71" i="28"/>
  <c r="A70" i="28"/>
  <c r="A69" i="28"/>
  <c r="A68" i="28"/>
  <c r="A67" i="28"/>
  <c r="A66" i="28"/>
  <c r="A65" i="28"/>
  <c r="A64" i="28"/>
  <c r="A63" i="28"/>
  <c r="A62" i="28"/>
  <c r="A61" i="28"/>
  <c r="A60" i="28"/>
  <c r="G59" i="28"/>
  <c r="F59" i="28"/>
  <c r="E59" i="28"/>
  <c r="D59" i="28"/>
  <c r="A59" i="28"/>
  <c r="G58" i="28"/>
  <c r="F58" i="28"/>
  <c r="E58" i="28"/>
  <c r="D58" i="28"/>
  <c r="A58" i="28"/>
  <c r="G57" i="28"/>
  <c r="F57" i="28"/>
  <c r="E57" i="28"/>
  <c r="D57" i="28"/>
  <c r="A57" i="28"/>
  <c r="A56" i="28"/>
  <c r="A55" i="28"/>
  <c r="A54" i="28"/>
  <c r="A53" i="28"/>
  <c r="A52" i="28"/>
  <c r="A51" i="28"/>
  <c r="A50" i="28"/>
  <c r="A49" i="28"/>
  <c r="A48" i="28"/>
  <c r="A47" i="28"/>
  <c r="A46" i="28"/>
  <c r="A45" i="28"/>
  <c r="A44"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Q42" i="41" l="1"/>
  <c r="Q44" i="41"/>
  <c r="Q31" i="41"/>
  <c r="Q45" i="41"/>
  <c r="AF37" i="28"/>
  <c r="V65" i="28"/>
  <c r="V90" i="28"/>
  <c r="V106" i="28"/>
  <c r="Q38" i="41"/>
  <c r="Q50" i="41"/>
  <c r="Q43" i="41"/>
  <c r="Q55" i="41"/>
  <c r="Q40" i="41"/>
  <c r="Q47" i="41"/>
  <c r="Q32" i="41"/>
  <c r="Q51" i="41"/>
  <c r="Q53" i="41"/>
  <c r="Q48" i="41"/>
  <c r="Q49" i="41"/>
  <c r="Q37" i="41"/>
  <c r="Q30" i="41"/>
  <c r="Q39" i="41"/>
  <c r="Q36" i="41"/>
  <c r="Q52" i="41"/>
  <c r="Q41" i="41"/>
  <c r="AA44" i="28"/>
  <c r="L52" i="28"/>
  <c r="N52" i="28" s="1"/>
  <c r="L67" i="28"/>
  <c r="L70" i="28"/>
  <c r="L103" i="28"/>
  <c r="L105" i="28"/>
  <c r="L111" i="28"/>
  <c r="AA152" i="28"/>
  <c r="V171" i="28"/>
  <c r="V170" i="28" s="1"/>
  <c r="L50" i="28"/>
  <c r="N50" i="28" s="1"/>
  <c r="L164" i="28"/>
  <c r="Y41" i="28"/>
  <c r="AF106" i="28"/>
  <c r="L174" i="28"/>
  <c r="N174" i="28" s="1"/>
  <c r="S174" i="28"/>
  <c r="R138" i="41"/>
  <c r="U138" i="41" s="1"/>
  <c r="I138" i="40"/>
  <c r="AM179" i="28"/>
  <c r="R134" i="41"/>
  <c r="U134" i="41" s="1"/>
  <c r="I134" i="40"/>
  <c r="AM175" i="28"/>
  <c r="Q171" i="28"/>
  <c r="Q170" i="28" s="1"/>
  <c r="S172" i="28"/>
  <c r="L172" i="28"/>
  <c r="L179" i="28"/>
  <c r="N179" i="28" s="1"/>
  <c r="S179" i="28"/>
  <c r="R135" i="41"/>
  <c r="U135" i="41" s="1"/>
  <c r="I135" i="40"/>
  <c r="AM176" i="28"/>
  <c r="V166" i="28"/>
  <c r="L177" i="28"/>
  <c r="N177" i="28" s="1"/>
  <c r="S177" i="28"/>
  <c r="L175" i="28"/>
  <c r="N175" i="28" s="1"/>
  <c r="S175" i="28"/>
  <c r="AF171" i="28"/>
  <c r="AF170" i="28" s="1"/>
  <c r="AF166" i="28" s="1"/>
  <c r="R133" i="41"/>
  <c r="U133" i="41" s="1"/>
  <c r="I133" i="40"/>
  <c r="AM174" i="28"/>
  <c r="R136" i="41"/>
  <c r="U136" i="41" s="1"/>
  <c r="I136" i="40"/>
  <c r="AM177" i="28"/>
  <c r="R131" i="41"/>
  <c r="U131" i="41" s="1"/>
  <c r="I131" i="40"/>
  <c r="AK171" i="28"/>
  <c r="AK170" i="28" s="1"/>
  <c r="AM172" i="28"/>
  <c r="AM171" i="28" s="1"/>
  <c r="AM170" i="28" s="1"/>
  <c r="AM166" i="28" s="1"/>
  <c r="AA171" i="28"/>
  <c r="AA170" i="28" s="1"/>
  <c r="AA166" i="28" s="1"/>
  <c r="L176" i="28"/>
  <c r="N176" i="28" s="1"/>
  <c r="S176" i="28"/>
  <c r="R130" i="41"/>
  <c r="U130" i="41" s="1"/>
  <c r="I130" i="40"/>
  <c r="AK168" i="28"/>
  <c r="AK167" i="28" s="1"/>
  <c r="AK166" i="28" s="1"/>
  <c r="P170" i="10"/>
  <c r="Q168" i="28"/>
  <c r="Q167" i="28" s="1"/>
  <c r="Q166" i="28" s="1"/>
  <c r="L169" i="28"/>
  <c r="L170" i="10"/>
  <c r="R128" i="41"/>
  <c r="U128" i="41" s="1"/>
  <c r="I128" i="40"/>
  <c r="R125" i="41"/>
  <c r="U125" i="41" s="1"/>
  <c r="I125" i="40"/>
  <c r="V159" i="28"/>
  <c r="V158" i="28" s="1"/>
  <c r="L162" i="28"/>
  <c r="R127" i="41"/>
  <c r="U127" i="41" s="1"/>
  <c r="I127" i="40"/>
  <c r="L163" i="28"/>
  <c r="L160" i="28"/>
  <c r="Q159" i="28"/>
  <c r="Q158" i="28" s="1"/>
  <c r="R126" i="41"/>
  <c r="U126" i="41" s="1"/>
  <c r="I126" i="40"/>
  <c r="R124" i="41"/>
  <c r="U124" i="41" s="1"/>
  <c r="I124" i="40"/>
  <c r="AK159" i="28"/>
  <c r="AK158" i="28" s="1"/>
  <c r="L161" i="28"/>
  <c r="AF159" i="28"/>
  <c r="AF158" i="28" s="1"/>
  <c r="AA159" i="28"/>
  <c r="AA158" i="28" s="1"/>
  <c r="R121" i="41"/>
  <c r="U121" i="41" s="1"/>
  <c r="I121" i="40"/>
  <c r="AM155" i="28"/>
  <c r="L153" i="28"/>
  <c r="Q152" i="28"/>
  <c r="S153" i="28"/>
  <c r="L157" i="28"/>
  <c r="N157" i="28" s="1"/>
  <c r="S157" i="28"/>
  <c r="AF152" i="28"/>
  <c r="R120" i="41"/>
  <c r="U120" i="41" s="1"/>
  <c r="I120" i="40"/>
  <c r="AM154" i="28"/>
  <c r="L154" i="28"/>
  <c r="N154" i="28" s="1"/>
  <c r="S154" i="28"/>
  <c r="L156" i="28"/>
  <c r="N156" i="28" s="1"/>
  <c r="S156" i="28"/>
  <c r="R123" i="41"/>
  <c r="U123" i="41" s="1"/>
  <c r="I123" i="40"/>
  <c r="AM157" i="28"/>
  <c r="L155" i="28"/>
  <c r="N155" i="28" s="1"/>
  <c r="S155" i="28"/>
  <c r="R119" i="41"/>
  <c r="U119" i="41" s="1"/>
  <c r="I119" i="40"/>
  <c r="AM153" i="28"/>
  <c r="AK152" i="28"/>
  <c r="V152" i="28"/>
  <c r="R122" i="41"/>
  <c r="U122" i="41" s="1"/>
  <c r="I122" i="40"/>
  <c r="AM156" i="28"/>
  <c r="L148" i="28"/>
  <c r="N148" i="28" s="1"/>
  <c r="S148" i="28"/>
  <c r="R116" i="41"/>
  <c r="U116" i="41" s="1"/>
  <c r="I116" i="40"/>
  <c r="AM149" i="28"/>
  <c r="R114" i="41"/>
  <c r="U114" i="41" s="1"/>
  <c r="I114" i="40"/>
  <c r="AM147" i="28"/>
  <c r="V146" i="28"/>
  <c r="V145" i="28" s="1"/>
  <c r="X147" i="28"/>
  <c r="X146" i="28" s="1"/>
  <c r="X145" i="28" s="1"/>
  <c r="X98" i="28" s="1"/>
  <c r="R115" i="41"/>
  <c r="U115" i="41" s="1"/>
  <c r="I115" i="40"/>
  <c r="AM148" i="28"/>
  <c r="L151" i="28"/>
  <c r="N151" i="28" s="1"/>
  <c r="S151" i="28"/>
  <c r="AF146" i="28"/>
  <c r="AF145" i="28" s="1"/>
  <c r="O148" i="10"/>
  <c r="R118" i="41"/>
  <c r="U118" i="41" s="1"/>
  <c r="I118" i="40"/>
  <c r="AM151" i="28"/>
  <c r="AA146" i="28"/>
  <c r="AA145" i="28" s="1"/>
  <c r="N148" i="10"/>
  <c r="L150" i="28"/>
  <c r="N150" i="28" s="1"/>
  <c r="S150" i="28"/>
  <c r="R117" i="41"/>
  <c r="U117" i="41" s="1"/>
  <c r="I117" i="40"/>
  <c r="AM150" i="28"/>
  <c r="L149" i="28"/>
  <c r="N149" i="28" s="1"/>
  <c r="S149" i="28"/>
  <c r="L147" i="28"/>
  <c r="Q146" i="28"/>
  <c r="S147" i="28"/>
  <c r="R107" i="41"/>
  <c r="U107" i="41" s="1"/>
  <c r="I107" i="40"/>
  <c r="R104" i="41"/>
  <c r="U104" i="41" s="1"/>
  <c r="I104" i="40"/>
  <c r="AK133" i="28"/>
  <c r="AK118" i="28" s="1"/>
  <c r="L136" i="28"/>
  <c r="O136" i="28" s="1"/>
  <c r="L137" i="28"/>
  <c r="O137" i="28" s="1"/>
  <c r="L138" i="28"/>
  <c r="O138" i="28" s="1"/>
  <c r="R105" i="41"/>
  <c r="U105" i="41" s="1"/>
  <c r="I105" i="40"/>
  <c r="L135" i="28"/>
  <c r="O135" i="28" s="1"/>
  <c r="AA133" i="28"/>
  <c r="AA118" i="28" s="1"/>
  <c r="L134" i="28"/>
  <c r="Q133" i="28"/>
  <c r="Q118" i="28" s="1"/>
  <c r="R108" i="41"/>
  <c r="U108" i="41" s="1"/>
  <c r="I108" i="40"/>
  <c r="V133" i="28"/>
  <c r="V118" i="28" s="1"/>
  <c r="AF133" i="28"/>
  <c r="AF118" i="28" s="1"/>
  <c r="R106" i="41"/>
  <c r="U106" i="41" s="1"/>
  <c r="I106" i="40"/>
  <c r="R86" i="41"/>
  <c r="U86" i="41" s="1"/>
  <c r="I86" i="40"/>
  <c r="AK112" i="28"/>
  <c r="L115" i="28"/>
  <c r="L114" i="28"/>
  <c r="L116" i="28"/>
  <c r="R90" i="41"/>
  <c r="U90" i="41" s="1"/>
  <c r="I90" i="40"/>
  <c r="V112" i="28"/>
  <c r="R87" i="41"/>
  <c r="U87" i="41" s="1"/>
  <c r="I87" i="40"/>
  <c r="L113" i="28"/>
  <c r="Q112" i="28"/>
  <c r="AA112" i="28"/>
  <c r="R88" i="41"/>
  <c r="U88" i="41" s="1"/>
  <c r="I88" i="40"/>
  <c r="R89" i="41"/>
  <c r="U89" i="41" s="1"/>
  <c r="I89" i="40"/>
  <c r="L117" i="28"/>
  <c r="AF112" i="28"/>
  <c r="AF99" i="28" s="1"/>
  <c r="AF98" i="28" s="1"/>
  <c r="AA106" i="28"/>
  <c r="L107" i="28"/>
  <c r="Q106" i="28"/>
  <c r="R82" i="41"/>
  <c r="U82" i="41" s="1"/>
  <c r="I82" i="40"/>
  <c r="L108" i="28"/>
  <c r="L110" i="28"/>
  <c r="R81" i="41"/>
  <c r="U81" i="41" s="1"/>
  <c r="I81" i="40"/>
  <c r="AK106" i="28"/>
  <c r="R84" i="41"/>
  <c r="U84" i="41" s="1"/>
  <c r="I84" i="40"/>
  <c r="R85" i="41"/>
  <c r="U85" i="41" s="1"/>
  <c r="I85" i="40"/>
  <c r="L109" i="28"/>
  <c r="R83" i="41"/>
  <c r="U83" i="41" s="1"/>
  <c r="I83" i="40"/>
  <c r="V100" i="28"/>
  <c r="V99" i="28" s="1"/>
  <c r="R78" i="41"/>
  <c r="U78" i="41" s="1"/>
  <c r="I78" i="40"/>
  <c r="R77" i="41"/>
  <c r="U77" i="41" s="1"/>
  <c r="I77" i="40"/>
  <c r="L102" i="28"/>
  <c r="R79" i="41"/>
  <c r="U79" i="41" s="1"/>
  <c r="I79" i="40"/>
  <c r="R80" i="41"/>
  <c r="U80" i="41" s="1"/>
  <c r="I80" i="40"/>
  <c r="AA100" i="28"/>
  <c r="L104" i="28"/>
  <c r="L96" i="28"/>
  <c r="N96" i="28" s="1"/>
  <c r="S96" i="28"/>
  <c r="L92" i="28"/>
  <c r="N92" i="28" s="1"/>
  <c r="S92" i="28"/>
  <c r="AF90" i="28"/>
  <c r="AH91" i="28"/>
  <c r="AH90" i="28" s="1"/>
  <c r="AH71" i="28" s="1"/>
  <c r="AH5" i="28" s="1"/>
  <c r="L91" i="28"/>
  <c r="Q90" i="28"/>
  <c r="S91" i="28"/>
  <c r="R69" i="41"/>
  <c r="U69" i="41" s="1"/>
  <c r="I69" i="40"/>
  <c r="AK90" i="28"/>
  <c r="AM91" i="28"/>
  <c r="R72" i="41"/>
  <c r="U72" i="41" s="1"/>
  <c r="I72" i="40"/>
  <c r="AM94" i="28"/>
  <c r="R74" i="41"/>
  <c r="U74" i="41" s="1"/>
  <c r="I74" i="40"/>
  <c r="AM96" i="28"/>
  <c r="AA90" i="28"/>
  <c r="R70" i="41"/>
  <c r="U70" i="41" s="1"/>
  <c r="I70" i="40"/>
  <c r="AM92" i="28"/>
  <c r="L94" i="28"/>
  <c r="N94" i="28" s="1"/>
  <c r="S94" i="28"/>
  <c r="R66" i="41"/>
  <c r="U66" i="41" s="1"/>
  <c r="I66" i="40"/>
  <c r="AM87" i="28"/>
  <c r="R65" i="41"/>
  <c r="U65" i="41" s="1"/>
  <c r="I65" i="40"/>
  <c r="AM86" i="28"/>
  <c r="L85" i="28"/>
  <c r="Q84" i="28"/>
  <c r="S85" i="28"/>
  <c r="AA84" i="28"/>
  <c r="AF84" i="28"/>
  <c r="AF71" i="28" s="1"/>
  <c r="L88" i="28"/>
  <c r="N88" i="28" s="1"/>
  <c r="S88" i="28"/>
  <c r="V84" i="28"/>
  <c r="V71" i="28" s="1"/>
  <c r="L86" i="28"/>
  <c r="N86" i="28" s="1"/>
  <c r="S86" i="28"/>
  <c r="L87" i="28"/>
  <c r="N87" i="28" s="1"/>
  <c r="S87" i="28"/>
  <c r="R67" i="41"/>
  <c r="U67" i="41" s="1"/>
  <c r="I67" i="40"/>
  <c r="AM88" i="28"/>
  <c r="R64" i="41"/>
  <c r="U64" i="41" s="1"/>
  <c r="I64" i="40"/>
  <c r="AM85" i="28"/>
  <c r="AK84" i="28"/>
  <c r="R55" i="41"/>
  <c r="U55" i="41" s="1"/>
  <c r="I55" i="40"/>
  <c r="R52" i="41"/>
  <c r="U52" i="41" s="1"/>
  <c r="I52" i="40"/>
  <c r="R53" i="41"/>
  <c r="U53" i="41" s="1"/>
  <c r="I53" i="40"/>
  <c r="L66" i="28"/>
  <c r="Q65" i="28"/>
  <c r="R51" i="41"/>
  <c r="U51" i="41" s="1"/>
  <c r="I51" i="40"/>
  <c r="AK65" i="28"/>
  <c r="O67" i="10"/>
  <c r="AF65" i="28"/>
  <c r="N67" i="10"/>
  <c r="AA65" i="28"/>
  <c r="L68" i="28"/>
  <c r="R49" i="41"/>
  <c r="U49" i="41" s="1"/>
  <c r="I49" i="40"/>
  <c r="AM63" i="28"/>
  <c r="AF60" i="28"/>
  <c r="L64" i="28"/>
  <c r="N64" i="28" s="1"/>
  <c r="S64" i="28"/>
  <c r="L62" i="28"/>
  <c r="N62" i="28" s="1"/>
  <c r="S62" i="28"/>
  <c r="L63" i="28"/>
  <c r="N63" i="28" s="1"/>
  <c r="S63" i="28"/>
  <c r="R47" i="41"/>
  <c r="U47" i="41" s="1"/>
  <c r="I47" i="40"/>
  <c r="AM61" i="28"/>
  <c r="AK60" i="28"/>
  <c r="L61" i="28"/>
  <c r="Q60" i="28"/>
  <c r="S61" i="28"/>
  <c r="R48" i="41"/>
  <c r="U48" i="41" s="1"/>
  <c r="I48" i="40"/>
  <c r="AM62" i="28"/>
  <c r="R50" i="41"/>
  <c r="U50" i="41" s="1"/>
  <c r="I50" i="40"/>
  <c r="AM64" i="28"/>
  <c r="AA60" i="28"/>
  <c r="V60" i="28"/>
  <c r="X61" i="28"/>
  <c r="X60" i="28" s="1"/>
  <c r="V56" i="28"/>
  <c r="M58" i="10"/>
  <c r="R44" i="41"/>
  <c r="U44" i="41" s="1"/>
  <c r="I44" i="40"/>
  <c r="AK56" i="28"/>
  <c r="P58" i="10"/>
  <c r="L57" i="28"/>
  <c r="Q56" i="28"/>
  <c r="L58" i="10"/>
  <c r="L58" i="28"/>
  <c r="L59" i="10"/>
  <c r="AF56" i="28"/>
  <c r="O58" i="10"/>
  <c r="AA56" i="28"/>
  <c r="N58" i="10"/>
  <c r="R45" i="41"/>
  <c r="U45" i="41" s="1"/>
  <c r="I45" i="40"/>
  <c r="P59" i="10"/>
  <c r="R43" i="41"/>
  <c r="U43" i="41" s="1"/>
  <c r="I43" i="40"/>
  <c r="AM55" i="28"/>
  <c r="AM54" i="28" s="1"/>
  <c r="AK54" i="28"/>
  <c r="AA54" i="28"/>
  <c r="AC55" i="28"/>
  <c r="AC54" i="28" s="1"/>
  <c r="L55" i="28"/>
  <c r="Q54" i="28"/>
  <c r="AC53" i="28"/>
  <c r="N54" i="10"/>
  <c r="AF48" i="28"/>
  <c r="L51" i="28"/>
  <c r="N51" i="28" s="1"/>
  <c r="R39" i="41"/>
  <c r="U39" i="41" s="1"/>
  <c r="I39" i="40"/>
  <c r="AM50" i="28"/>
  <c r="R38" i="41"/>
  <c r="U38" i="41" s="1"/>
  <c r="I38" i="40"/>
  <c r="AM49" i="28"/>
  <c r="AK48" i="28"/>
  <c r="L49" i="28"/>
  <c r="Q48" i="28"/>
  <c r="R42" i="41"/>
  <c r="U42" i="41" s="1"/>
  <c r="I42" i="40"/>
  <c r="AM53" i="28"/>
  <c r="P54" i="10"/>
  <c r="L53" i="28"/>
  <c r="N53" i="28" s="1"/>
  <c r="L54" i="10"/>
  <c r="R41" i="41"/>
  <c r="U41" i="41" s="1"/>
  <c r="I41" i="40"/>
  <c r="AM52" i="28"/>
  <c r="AA48" i="28"/>
  <c r="AC49" i="28"/>
  <c r="AC48" i="28" s="1"/>
  <c r="V48" i="28"/>
  <c r="R40" i="41"/>
  <c r="U40" i="41" s="1"/>
  <c r="I40" i="40"/>
  <c r="AM51" i="28"/>
  <c r="R36" i="41"/>
  <c r="U36" i="41" s="1"/>
  <c r="I36" i="40"/>
  <c r="AM46" i="28"/>
  <c r="AK44" i="28"/>
  <c r="R37" i="41"/>
  <c r="U37" i="41" s="1"/>
  <c r="I37" i="40"/>
  <c r="AM47" i="28"/>
  <c r="L47" i="28"/>
  <c r="N47" i="28" s="1"/>
  <c r="S47" i="28"/>
  <c r="V44" i="28"/>
  <c r="X46" i="28"/>
  <c r="X44" i="28" s="1"/>
  <c r="AF44" i="28"/>
  <c r="L46" i="28"/>
  <c r="Q44" i="28"/>
  <c r="S46" i="28"/>
  <c r="L39" i="28"/>
  <c r="N39" i="28" s="1"/>
  <c r="S39" i="28"/>
  <c r="R31" i="41"/>
  <c r="U31" i="41" s="1"/>
  <c r="I31" i="40"/>
  <c r="AM39" i="28"/>
  <c r="L40" i="28"/>
  <c r="N40" i="28" s="1"/>
  <c r="S40" i="28"/>
  <c r="AA37" i="28"/>
  <c r="X38" i="28"/>
  <c r="X37" i="28" s="1"/>
  <c r="V37" i="28"/>
  <c r="R32" i="41"/>
  <c r="U32" i="41" s="1"/>
  <c r="I32" i="40"/>
  <c r="AM40" i="28"/>
  <c r="R33" i="41"/>
  <c r="U33" i="41" s="1"/>
  <c r="I33" i="40"/>
  <c r="AM41" i="28"/>
  <c r="L41" i="28"/>
  <c r="N41" i="28" s="1"/>
  <c r="S41" i="28"/>
  <c r="R30" i="41"/>
  <c r="U30" i="41" s="1"/>
  <c r="I30" i="40"/>
  <c r="AM38" i="28"/>
  <c r="AK37" i="28"/>
  <c r="L38" i="28"/>
  <c r="S38" i="28"/>
  <c r="Q37" i="28"/>
  <c r="R76" i="41"/>
  <c r="U76" i="41" s="1"/>
  <c r="I76" i="40"/>
  <c r="AK100" i="28"/>
  <c r="AK99" i="28" s="1"/>
  <c r="L101" i="28"/>
  <c r="L100" i="28" s="1"/>
  <c r="Q100" i="28"/>
  <c r="Q99" i="28" s="1"/>
  <c r="AN119" i="28"/>
  <c r="O119" i="28"/>
  <c r="AN133" i="28"/>
  <c r="AI119" i="28"/>
  <c r="T119" i="28"/>
  <c r="T133" i="28"/>
  <c r="Y119" i="28"/>
  <c r="Y133" i="28"/>
  <c r="AD119" i="28"/>
  <c r="AD133" i="28"/>
  <c r="AI133" i="28"/>
  <c r="M58" i="23"/>
  <c r="M49" i="2"/>
  <c r="V56" i="2"/>
  <c r="L45" i="27"/>
  <c r="AB7" i="27"/>
  <c r="AF7" i="27"/>
  <c r="Q170" i="27"/>
  <c r="Q169" i="27" s="1"/>
  <c r="Q168" i="27" s="1"/>
  <c r="A180" i="27"/>
  <c r="A179" i="27"/>
  <c r="A178" i="27"/>
  <c r="A177" i="27"/>
  <c r="A176" i="27"/>
  <c r="A175" i="27"/>
  <c r="A174" i="27"/>
  <c r="A173" i="27"/>
  <c r="J170" i="27"/>
  <c r="I170" i="27"/>
  <c r="H170" i="27"/>
  <c r="G170" i="27"/>
  <c r="F170" i="27"/>
  <c r="E170" i="27"/>
  <c r="D170" i="27"/>
  <c r="A170" i="27"/>
  <c r="A165" i="27"/>
  <c r="A164" i="27"/>
  <c r="A163" i="27"/>
  <c r="A162" i="27"/>
  <c r="A161" i="27"/>
  <c r="A158" i="27"/>
  <c r="A157" i="27"/>
  <c r="A156" i="27"/>
  <c r="A155" i="27"/>
  <c r="A154" i="27"/>
  <c r="A152" i="27"/>
  <c r="A151" i="27"/>
  <c r="A150" i="27"/>
  <c r="A149" i="27"/>
  <c r="A148" i="27"/>
  <c r="A139" i="27"/>
  <c r="A138" i="27"/>
  <c r="A137" i="27"/>
  <c r="A97" i="27"/>
  <c r="A96" i="27"/>
  <c r="A95" i="27"/>
  <c r="A94" i="27"/>
  <c r="A93" i="27"/>
  <c r="A92" i="27"/>
  <c r="A90" i="27"/>
  <c r="A89" i="27"/>
  <c r="A88" i="27"/>
  <c r="A87" i="27"/>
  <c r="A86" i="27"/>
  <c r="A82" i="27"/>
  <c r="A81" i="27"/>
  <c r="A80" i="27"/>
  <c r="A79" i="27"/>
  <c r="A77" i="27"/>
  <c r="A76" i="27"/>
  <c r="A75" i="27"/>
  <c r="G60" i="27"/>
  <c r="F60" i="27"/>
  <c r="E60" i="27"/>
  <c r="D60" i="27"/>
  <c r="G59" i="27"/>
  <c r="F59" i="27"/>
  <c r="E59" i="27"/>
  <c r="D59" i="27"/>
  <c r="G58" i="27"/>
  <c r="F58" i="27"/>
  <c r="E58" i="27"/>
  <c r="D58" i="27"/>
  <c r="A37" i="27"/>
  <c r="A36" i="27"/>
  <c r="A35" i="27"/>
  <c r="A34" i="27"/>
  <c r="A33" i="27"/>
  <c r="R170" i="26"/>
  <c r="T170" i="26" s="1"/>
  <c r="R139" i="26"/>
  <c r="T139" i="26" s="1"/>
  <c r="R138" i="26"/>
  <c r="T138" i="26" s="1"/>
  <c r="R137" i="26"/>
  <c r="T137" i="26" s="1"/>
  <c r="R136" i="26"/>
  <c r="R135" i="26"/>
  <c r="R128" i="26"/>
  <c r="T128" i="26" s="1"/>
  <c r="R127" i="26"/>
  <c r="T127" i="26" s="1"/>
  <c r="R126" i="26"/>
  <c r="T126" i="26" s="1"/>
  <c r="R125" i="26"/>
  <c r="T125" i="26" s="1"/>
  <c r="R124" i="26"/>
  <c r="T124" i="26" s="1"/>
  <c r="R123" i="26"/>
  <c r="T123" i="26" s="1"/>
  <c r="R122" i="26"/>
  <c r="T122" i="26" s="1"/>
  <c r="R121" i="26"/>
  <c r="T121" i="26" s="1"/>
  <c r="R120" i="26"/>
  <c r="R69" i="26"/>
  <c r="R60" i="26"/>
  <c r="T60" i="26" s="1"/>
  <c r="R51" i="26"/>
  <c r="T51" i="26" s="1"/>
  <c r="T30" i="26"/>
  <c r="T27" i="26"/>
  <c r="T24" i="26"/>
  <c r="T23" i="26"/>
  <c r="T21" i="26"/>
  <c r="T20" i="26"/>
  <c r="T16" i="26"/>
  <c r="T15" i="26"/>
  <c r="T10" i="26"/>
  <c r="W171" i="25"/>
  <c r="Z171" i="25" s="1"/>
  <c r="W140" i="25"/>
  <c r="Z140" i="25" s="1"/>
  <c r="W139" i="25"/>
  <c r="Z139" i="25" s="1"/>
  <c r="W138" i="25"/>
  <c r="Z138" i="25" s="1"/>
  <c r="W137" i="25"/>
  <c r="Z137" i="25" s="1"/>
  <c r="W136" i="25"/>
  <c r="Z136" i="25" s="1"/>
  <c r="W70" i="25"/>
  <c r="Z70" i="25" s="1"/>
  <c r="W63" i="25"/>
  <c r="Z63" i="25" s="1"/>
  <c r="W61" i="25"/>
  <c r="Z61" i="25" s="1"/>
  <c r="W52" i="25"/>
  <c r="Z52" i="25" s="1"/>
  <c r="W31" i="25"/>
  <c r="Z31" i="25" s="1"/>
  <c r="W28" i="25"/>
  <c r="Z28" i="25" s="1"/>
  <c r="W25" i="25"/>
  <c r="Z25" i="25" s="1"/>
  <c r="W24" i="25"/>
  <c r="Z24" i="25" s="1"/>
  <c r="W22" i="25"/>
  <c r="Z22" i="25" s="1"/>
  <c r="W21" i="25"/>
  <c r="Z21" i="25" s="1"/>
  <c r="W17" i="25"/>
  <c r="Z17" i="25" s="1"/>
  <c r="W16" i="25"/>
  <c r="Z16" i="25" s="1"/>
  <c r="R170" i="24"/>
  <c r="U170" i="24" s="1"/>
  <c r="R139" i="24"/>
  <c r="U139" i="24" s="1"/>
  <c r="R138" i="24"/>
  <c r="U138" i="24" s="1"/>
  <c r="R137" i="24"/>
  <c r="U137" i="24" s="1"/>
  <c r="R136" i="24"/>
  <c r="U136" i="24" s="1"/>
  <c r="R135" i="24"/>
  <c r="U135" i="24" s="1"/>
  <c r="R128" i="24"/>
  <c r="U128" i="24" s="1"/>
  <c r="R127" i="24"/>
  <c r="U127" i="24" s="1"/>
  <c r="R126" i="24"/>
  <c r="U126" i="24" s="1"/>
  <c r="R125" i="24"/>
  <c r="U125" i="24" s="1"/>
  <c r="R124" i="24"/>
  <c r="U124" i="24" s="1"/>
  <c r="R123" i="24"/>
  <c r="U123" i="24" s="1"/>
  <c r="R122" i="24"/>
  <c r="U122" i="24" s="1"/>
  <c r="R121" i="24"/>
  <c r="U120" i="24"/>
  <c r="R69" i="24"/>
  <c r="U69" i="24" s="1"/>
  <c r="R62" i="24"/>
  <c r="U62" i="24" s="1"/>
  <c r="R60" i="24"/>
  <c r="U60" i="24" s="1"/>
  <c r="R51" i="24"/>
  <c r="U51" i="24" s="1"/>
  <c r="R30" i="24"/>
  <c r="U30" i="24" s="1"/>
  <c r="R27" i="24"/>
  <c r="U27" i="24" s="1"/>
  <c r="R24" i="24"/>
  <c r="U24" i="24" s="1"/>
  <c r="R23" i="24"/>
  <c r="U23" i="24" s="1"/>
  <c r="R21" i="24"/>
  <c r="U21" i="24" s="1"/>
  <c r="R20" i="24"/>
  <c r="U20" i="24" s="1"/>
  <c r="R16" i="24"/>
  <c r="U16" i="24" s="1"/>
  <c r="R15" i="24"/>
  <c r="U15" i="24" s="1"/>
  <c r="A171" i="27"/>
  <c r="A168" i="27"/>
  <c r="A159" i="27"/>
  <c r="A146" i="27"/>
  <c r="A100" i="27"/>
  <c r="A167" i="27"/>
  <c r="A99" i="27"/>
  <c r="A172" i="27"/>
  <c r="A169" i="27"/>
  <c r="A160" i="27"/>
  <c r="A153" i="27"/>
  <c r="A147" i="27"/>
  <c r="A91" i="27"/>
  <c r="A78"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180" i="26"/>
  <c r="A179" i="26"/>
  <c r="A178" i="26"/>
  <c r="A177" i="26"/>
  <c r="A176" i="26"/>
  <c r="A175" i="26"/>
  <c r="A174" i="26"/>
  <c r="A173" i="26"/>
  <c r="A172" i="26"/>
  <c r="A171" i="26"/>
  <c r="J170" i="26"/>
  <c r="I170" i="26"/>
  <c r="H170" i="26"/>
  <c r="G170" i="26"/>
  <c r="F170" i="26"/>
  <c r="E170" i="26"/>
  <c r="D170" i="26"/>
  <c r="A170" i="26"/>
  <c r="A168" i="26"/>
  <c r="A167" i="26"/>
  <c r="A165" i="26"/>
  <c r="A164" i="26"/>
  <c r="A163" i="26"/>
  <c r="A162" i="26"/>
  <c r="A161" i="26"/>
  <c r="A160" i="26"/>
  <c r="A159" i="26"/>
  <c r="A158" i="26"/>
  <c r="A157" i="26"/>
  <c r="A156" i="26"/>
  <c r="A155" i="26"/>
  <c r="A154" i="26"/>
  <c r="A153" i="26"/>
  <c r="A152" i="26"/>
  <c r="A151" i="26"/>
  <c r="A150" i="26"/>
  <c r="A149" i="26"/>
  <c r="A148" i="26"/>
  <c r="A147" i="26"/>
  <c r="A146" i="26"/>
  <c r="A139" i="26"/>
  <c r="A138" i="26"/>
  <c r="A137" i="26"/>
  <c r="A136" i="26"/>
  <c r="A135" i="26"/>
  <c r="A134" i="26"/>
  <c r="A128" i="26"/>
  <c r="A127" i="26"/>
  <c r="A126" i="26"/>
  <c r="A125" i="26"/>
  <c r="A124" i="26"/>
  <c r="A123" i="26"/>
  <c r="A122" i="26"/>
  <c r="A121" i="26"/>
  <c r="A120" i="26"/>
  <c r="A118" i="26"/>
  <c r="A117" i="26"/>
  <c r="A116" i="26"/>
  <c r="A115" i="26"/>
  <c r="A114" i="26"/>
  <c r="A113" i="26"/>
  <c r="A112" i="26"/>
  <c r="A111" i="26"/>
  <c r="A110" i="26"/>
  <c r="A109" i="26"/>
  <c r="A108" i="26"/>
  <c r="A107" i="26"/>
  <c r="A106" i="26"/>
  <c r="A105" i="26"/>
  <c r="A104" i="26"/>
  <c r="A103" i="26"/>
  <c r="A102" i="26"/>
  <c r="A101" i="26"/>
  <c r="A100" i="26"/>
  <c r="A99" i="26"/>
  <c r="A97" i="26"/>
  <c r="A96" i="26"/>
  <c r="A95" i="26"/>
  <c r="A94" i="26"/>
  <c r="A93" i="26"/>
  <c r="A92" i="26"/>
  <c r="A91" i="26"/>
  <c r="A90" i="26"/>
  <c r="A89" i="26"/>
  <c r="A88" i="26"/>
  <c r="A87" i="26"/>
  <c r="A86" i="26"/>
  <c r="A85" i="26"/>
  <c r="A82" i="26"/>
  <c r="A81" i="26"/>
  <c r="A80" i="26"/>
  <c r="A79" i="26"/>
  <c r="A78" i="26"/>
  <c r="A77" i="26"/>
  <c r="A76" i="26"/>
  <c r="A75" i="26"/>
  <c r="A74" i="26"/>
  <c r="A73" i="26"/>
  <c r="A72" i="26"/>
  <c r="A71" i="26"/>
  <c r="A70" i="26"/>
  <c r="A69" i="26"/>
  <c r="A68" i="26"/>
  <c r="A67" i="26"/>
  <c r="A66" i="26"/>
  <c r="A65" i="26"/>
  <c r="A64" i="26"/>
  <c r="A63" i="26"/>
  <c r="A62" i="26"/>
  <c r="A61" i="26"/>
  <c r="G60" i="26"/>
  <c r="F60" i="26"/>
  <c r="E60" i="26"/>
  <c r="D60" i="26"/>
  <c r="A60" i="26"/>
  <c r="G59" i="26"/>
  <c r="F59" i="26"/>
  <c r="E59" i="26"/>
  <c r="D59" i="26"/>
  <c r="A59" i="26"/>
  <c r="G58" i="26"/>
  <c r="F58" i="26"/>
  <c r="E58" i="26"/>
  <c r="D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1" i="25"/>
  <c r="A180" i="25"/>
  <c r="A179" i="25"/>
  <c r="A178" i="25"/>
  <c r="J171" i="25"/>
  <c r="I171" i="25"/>
  <c r="H171" i="25"/>
  <c r="G171" i="25"/>
  <c r="F171" i="25"/>
  <c r="E171" i="25"/>
  <c r="D171" i="25"/>
  <c r="A153" i="25"/>
  <c r="A152" i="25"/>
  <c r="A151" i="25"/>
  <c r="A150" i="25"/>
  <c r="A149" i="25"/>
  <c r="A148" i="25"/>
  <c r="A147" i="25"/>
  <c r="A140" i="25"/>
  <c r="A139" i="25"/>
  <c r="A138" i="25"/>
  <c r="A137" i="25"/>
  <c r="A136" i="25"/>
  <c r="A135"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93" i="25"/>
  <c r="A92" i="25"/>
  <c r="G61" i="25"/>
  <c r="F61" i="25"/>
  <c r="E61" i="25"/>
  <c r="D61" i="25"/>
  <c r="G60" i="25"/>
  <c r="F60" i="25"/>
  <c r="E60" i="25"/>
  <c r="D60" i="25"/>
  <c r="G59" i="25"/>
  <c r="F59" i="25"/>
  <c r="E59" i="25"/>
  <c r="D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7" i="25"/>
  <c r="J170" i="24"/>
  <c r="I170" i="24"/>
  <c r="H170" i="24"/>
  <c r="G170" i="24"/>
  <c r="F170" i="24"/>
  <c r="E170" i="24"/>
  <c r="D170" i="24"/>
  <c r="A168" i="24"/>
  <c r="A167" i="24"/>
  <c r="A165" i="24"/>
  <c r="A164" i="24"/>
  <c r="A163" i="24"/>
  <c r="A162" i="24"/>
  <c r="A161" i="24"/>
  <c r="A160" i="24"/>
  <c r="A159" i="24"/>
  <c r="A158" i="24"/>
  <c r="A157" i="24"/>
  <c r="A156" i="24"/>
  <c r="A155" i="24"/>
  <c r="A154" i="24"/>
  <c r="A153" i="24"/>
  <c r="A152" i="24"/>
  <c r="A151" i="24"/>
  <c r="A150" i="24"/>
  <c r="A149" i="24"/>
  <c r="A148" i="24"/>
  <c r="A147" i="24"/>
  <c r="A146" i="24"/>
  <c r="A139" i="24"/>
  <c r="A138" i="24"/>
  <c r="A137" i="24"/>
  <c r="A136" i="24"/>
  <c r="A135" i="24"/>
  <c r="A134"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7" i="24"/>
  <c r="A96" i="24"/>
  <c r="A95" i="24"/>
  <c r="A94" i="24"/>
  <c r="A93" i="24"/>
  <c r="A92" i="24"/>
  <c r="A91" i="24"/>
  <c r="A90" i="24"/>
  <c r="A89" i="24"/>
  <c r="A88" i="24"/>
  <c r="A87" i="24"/>
  <c r="A86" i="24"/>
  <c r="A85" i="24"/>
  <c r="A82" i="24"/>
  <c r="A81" i="24"/>
  <c r="A80" i="24"/>
  <c r="A79" i="24"/>
  <c r="A78" i="24"/>
  <c r="A77" i="24"/>
  <c r="A76" i="24"/>
  <c r="A75" i="24"/>
  <c r="A74" i="24"/>
  <c r="G60" i="24"/>
  <c r="F60" i="24"/>
  <c r="E60" i="24"/>
  <c r="D60" i="24"/>
  <c r="G59" i="24"/>
  <c r="F59" i="24"/>
  <c r="E59" i="24"/>
  <c r="D59" i="24"/>
  <c r="G58" i="24"/>
  <c r="F58" i="24"/>
  <c r="E58" i="24"/>
  <c r="D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A6" i="24"/>
  <c r="T136" i="26" l="1"/>
  <c r="N105" i="41"/>
  <c r="T135" i="26"/>
  <c r="N104" i="41"/>
  <c r="T69" i="26"/>
  <c r="N53" i="41"/>
  <c r="S44" i="28"/>
  <c r="K54" i="10"/>
  <c r="L76" i="40"/>
  <c r="M76" i="40"/>
  <c r="L33" i="40"/>
  <c r="M33" i="40"/>
  <c r="L37" i="40"/>
  <c r="M37" i="40"/>
  <c r="L36" i="40"/>
  <c r="M36" i="40"/>
  <c r="I141" i="40"/>
  <c r="M39" i="40"/>
  <c r="L39" i="40"/>
  <c r="M43" i="40"/>
  <c r="L43" i="40"/>
  <c r="L44" i="40"/>
  <c r="M44" i="40"/>
  <c r="M50" i="40"/>
  <c r="L50" i="40"/>
  <c r="L49" i="40"/>
  <c r="M49" i="40"/>
  <c r="M51" i="40"/>
  <c r="L51" i="40"/>
  <c r="L53" i="40"/>
  <c r="M53" i="40"/>
  <c r="M55" i="40"/>
  <c r="L55" i="40"/>
  <c r="L64" i="40"/>
  <c r="M64" i="40"/>
  <c r="M79" i="40"/>
  <c r="L79" i="40"/>
  <c r="M83" i="40"/>
  <c r="L83" i="40"/>
  <c r="L81" i="40"/>
  <c r="M81" i="40"/>
  <c r="M82" i="40"/>
  <c r="L82" i="40"/>
  <c r="M123" i="40"/>
  <c r="L123" i="40"/>
  <c r="L121" i="40"/>
  <c r="M121" i="40"/>
  <c r="L126" i="40"/>
  <c r="L136" i="40"/>
  <c r="M136" i="40"/>
  <c r="M135" i="40"/>
  <c r="L135" i="40"/>
  <c r="M134" i="40"/>
  <c r="L134" i="40"/>
  <c r="L41" i="40"/>
  <c r="M41" i="40"/>
  <c r="M38" i="40"/>
  <c r="L38" i="40"/>
  <c r="M66" i="40"/>
  <c r="L66" i="40"/>
  <c r="L72" i="40"/>
  <c r="M72" i="40"/>
  <c r="L69" i="40"/>
  <c r="M69" i="40"/>
  <c r="M78" i="40"/>
  <c r="L78" i="40"/>
  <c r="L84" i="40"/>
  <c r="M84" i="40"/>
  <c r="L88" i="40"/>
  <c r="M88" i="40"/>
  <c r="M90" i="40"/>
  <c r="L90" i="40"/>
  <c r="M106" i="40"/>
  <c r="L106" i="40"/>
  <c r="L108" i="40"/>
  <c r="M108" i="40"/>
  <c r="L104" i="40"/>
  <c r="M104" i="40"/>
  <c r="M115" i="40"/>
  <c r="L115" i="40"/>
  <c r="L116" i="40"/>
  <c r="M116" i="40"/>
  <c r="M127" i="40"/>
  <c r="L127" i="40"/>
  <c r="L125" i="40"/>
  <c r="M125" i="40"/>
  <c r="L131" i="40"/>
  <c r="M47" i="40"/>
  <c r="L47" i="40"/>
  <c r="L52" i="40"/>
  <c r="M52" i="40"/>
  <c r="L65" i="40"/>
  <c r="M65" i="40"/>
  <c r="M70" i="40"/>
  <c r="L70" i="40"/>
  <c r="M74" i="40"/>
  <c r="L74" i="40"/>
  <c r="L80" i="40"/>
  <c r="M80" i="40"/>
  <c r="M87" i="40"/>
  <c r="L87" i="40"/>
  <c r="L118" i="40"/>
  <c r="M114" i="40"/>
  <c r="L114" i="40"/>
  <c r="M122" i="40"/>
  <c r="L122" i="40"/>
  <c r="L124" i="40"/>
  <c r="M124" i="40"/>
  <c r="M130" i="40"/>
  <c r="L130" i="40"/>
  <c r="M30" i="40"/>
  <c r="L30" i="40"/>
  <c r="L32" i="40"/>
  <c r="M32" i="40"/>
  <c r="M31" i="40"/>
  <c r="L31" i="40"/>
  <c r="L40" i="40"/>
  <c r="M40" i="40"/>
  <c r="M42" i="40"/>
  <c r="L42" i="40"/>
  <c r="I147" i="40"/>
  <c r="L45" i="40"/>
  <c r="M45" i="40"/>
  <c r="L48" i="40"/>
  <c r="M48" i="40"/>
  <c r="M67" i="40"/>
  <c r="L67" i="40"/>
  <c r="L77" i="40"/>
  <c r="M77" i="40"/>
  <c r="L85" i="40"/>
  <c r="L89" i="40"/>
  <c r="M89" i="40"/>
  <c r="M86" i="40"/>
  <c r="L86" i="40"/>
  <c r="L105" i="40"/>
  <c r="M105" i="40"/>
  <c r="M107" i="40"/>
  <c r="L107" i="40"/>
  <c r="L117" i="40"/>
  <c r="M117" i="40"/>
  <c r="M119" i="40"/>
  <c r="L119" i="40"/>
  <c r="L120" i="40"/>
  <c r="M120" i="40"/>
  <c r="L128" i="40"/>
  <c r="M128" i="40"/>
  <c r="L133" i="40"/>
  <c r="M133" i="40"/>
  <c r="M138" i="40"/>
  <c r="L138" i="40"/>
  <c r="I142" i="40"/>
  <c r="V6" i="28"/>
  <c r="V5" i="28" s="1"/>
  <c r="K59" i="10"/>
  <c r="L56" i="28"/>
  <c r="AM37" i="28"/>
  <c r="AC6" i="28"/>
  <c r="AC5" i="28" s="1"/>
  <c r="Q145" i="28"/>
  <c r="Q98" i="28" s="1"/>
  <c r="AM152" i="28"/>
  <c r="S37" i="28"/>
  <c r="AM84" i="28"/>
  <c r="N172" i="28"/>
  <c r="N171" i="28" s="1"/>
  <c r="N170" i="28" s="1"/>
  <c r="N166" i="28" s="1"/>
  <c r="L171" i="28"/>
  <c r="L170" i="28" s="1"/>
  <c r="S171" i="28"/>
  <c r="S170" i="28" s="1"/>
  <c r="S166" i="28" s="1"/>
  <c r="AL170" i="10"/>
  <c r="L169" i="10"/>
  <c r="L168" i="10" s="1"/>
  <c r="L168" i="28"/>
  <c r="L167" i="28" s="1"/>
  <c r="L166" i="28" s="1"/>
  <c r="K170" i="10"/>
  <c r="I146" i="40"/>
  <c r="V98" i="28"/>
  <c r="L159" i="28"/>
  <c r="L158" i="28" s="1"/>
  <c r="N153" i="28"/>
  <c r="N152" i="28" s="1"/>
  <c r="L152" i="28"/>
  <c r="S152" i="28"/>
  <c r="S146" i="28"/>
  <c r="AM146" i="28"/>
  <c r="N147" i="28"/>
  <c r="N146" i="28" s="1"/>
  <c r="L146" i="28"/>
  <c r="L133" i="28"/>
  <c r="L118" i="28" s="1"/>
  <c r="AN118" i="28"/>
  <c r="T118" i="28"/>
  <c r="L112" i="28"/>
  <c r="AA99" i="28"/>
  <c r="AA98" i="28" s="1"/>
  <c r="L106" i="28"/>
  <c r="AA71" i="28"/>
  <c r="AK71" i="28"/>
  <c r="Q71" i="28"/>
  <c r="N91" i="28"/>
  <c r="N90" i="28" s="1"/>
  <c r="L90" i="28"/>
  <c r="AM90" i="28"/>
  <c r="S90" i="28"/>
  <c r="N85" i="28"/>
  <c r="N84" i="28" s="1"/>
  <c r="L84" i="28"/>
  <c r="S84" i="28"/>
  <c r="L65" i="28"/>
  <c r="N61" i="28"/>
  <c r="N60" i="28" s="1"/>
  <c r="L60" i="28"/>
  <c r="AA6" i="28"/>
  <c r="S60" i="28"/>
  <c r="AM60" i="28"/>
  <c r="AF6" i="28"/>
  <c r="AF5" i="28" s="1"/>
  <c r="AF181" i="28" s="1"/>
  <c r="K58" i="10"/>
  <c r="N55" i="28"/>
  <c r="N54" i="28" s="1"/>
  <c r="L54" i="28"/>
  <c r="AK6" i="28"/>
  <c r="N49" i="28"/>
  <c r="N48" i="28" s="1"/>
  <c r="L48" i="28"/>
  <c r="I144" i="40"/>
  <c r="AM48" i="28"/>
  <c r="I143" i="40"/>
  <c r="Q6" i="28"/>
  <c r="X6" i="28"/>
  <c r="X5" i="28" s="1"/>
  <c r="N46" i="28"/>
  <c r="N44" i="28" s="1"/>
  <c r="L44" i="28"/>
  <c r="AM44" i="28"/>
  <c r="L37" i="28"/>
  <c r="N38" i="28"/>
  <c r="N37" i="28" s="1"/>
  <c r="I145" i="40"/>
  <c r="AI118" i="28"/>
  <c r="Y118" i="28"/>
  <c r="AD118" i="28"/>
  <c r="U121" i="24"/>
  <c r="T121" i="24"/>
  <c r="Y171" i="25"/>
  <c r="T21" i="24"/>
  <c r="T30" i="24"/>
  <c r="T27" i="24"/>
  <c r="T15" i="24"/>
  <c r="T23" i="24"/>
  <c r="T20" i="24"/>
  <c r="T16" i="24"/>
  <c r="T24" i="24"/>
  <c r="T120" i="24"/>
  <c r="M46" i="2"/>
  <c r="T170" i="24"/>
  <c r="AK146" i="28"/>
  <c r="AK145" i="28" s="1"/>
  <c r="AB6" i="27"/>
  <c r="Y52" i="25"/>
  <c r="AF6" i="27"/>
  <c r="Y63" i="25"/>
  <c r="T51" i="24"/>
  <c r="T62" i="24"/>
  <c r="A172" i="23"/>
  <c r="A171" i="23"/>
  <c r="S6" i="28" l="1"/>
  <c r="S71" i="28"/>
  <c r="AM71" i="28"/>
  <c r="S5" i="28"/>
  <c r="AM145" i="28"/>
  <c r="AM98" i="28" s="1"/>
  <c r="N71" i="28"/>
  <c r="AM6" i="28"/>
  <c r="N145" i="28"/>
  <c r="N98" i="28" s="1"/>
  <c r="L99" i="28"/>
  <c r="CL170" i="10"/>
  <c r="R170" i="10"/>
  <c r="X170" i="10"/>
  <c r="L145" i="28"/>
  <c r="S145" i="28"/>
  <c r="S98" i="28" s="1"/>
  <c r="L98" i="28"/>
  <c r="AA5" i="28"/>
  <c r="Q5" i="28"/>
  <c r="AK5" i="28"/>
  <c r="AM5" i="28"/>
  <c r="L71" i="28"/>
  <c r="L6" i="28"/>
  <c r="N6" i="28"/>
  <c r="N5" i="28" s="1"/>
  <c r="I149" i="40"/>
  <c r="AB182" i="27"/>
  <c r="AF182" i="27"/>
  <c r="AK98" i="28"/>
  <c r="AD170" i="23"/>
  <c r="AG170" i="23" s="1"/>
  <c r="AD139" i="23"/>
  <c r="AG139" i="23" s="1"/>
  <c r="AD138" i="23"/>
  <c r="AG138" i="23" s="1"/>
  <c r="AD137" i="23"/>
  <c r="AG137" i="23" s="1"/>
  <c r="AD136" i="23"/>
  <c r="AG136" i="23" s="1"/>
  <c r="AD135" i="23"/>
  <c r="AG135" i="23" s="1"/>
  <c r="AD128" i="23"/>
  <c r="AG128" i="23" s="1"/>
  <c r="AD127" i="23"/>
  <c r="AG127" i="23" s="1"/>
  <c r="AD126" i="23"/>
  <c r="AG126" i="23" s="1"/>
  <c r="AD125" i="23"/>
  <c r="AG125" i="23" s="1"/>
  <c r="AD124" i="23"/>
  <c r="AG124" i="23" s="1"/>
  <c r="AD123" i="23"/>
  <c r="AG123" i="23" s="1"/>
  <c r="AD122" i="23"/>
  <c r="AG122" i="23" s="1"/>
  <c r="AD121" i="23"/>
  <c r="AG121" i="23" s="1"/>
  <c r="AD62" i="23"/>
  <c r="AG62" i="23" s="1"/>
  <c r="AD51" i="23"/>
  <c r="AG51" i="23" s="1"/>
  <c r="A180" i="23"/>
  <c r="A179" i="23"/>
  <c r="A178" i="23"/>
  <c r="A177" i="23"/>
  <c r="A176" i="23"/>
  <c r="A175" i="23"/>
  <c r="A174" i="23"/>
  <c r="A173" i="23"/>
  <c r="J170" i="23"/>
  <c r="I170" i="23"/>
  <c r="H170" i="23"/>
  <c r="G170" i="23"/>
  <c r="F170" i="23"/>
  <c r="E170" i="23"/>
  <c r="D170" i="23"/>
  <c r="A170" i="23"/>
  <c r="A169" i="23"/>
  <c r="A168" i="23"/>
  <c r="A167" i="23"/>
  <c r="A165" i="23"/>
  <c r="A164" i="23"/>
  <c r="A163" i="23"/>
  <c r="A162" i="23"/>
  <c r="A161" i="23"/>
  <c r="A160" i="23"/>
  <c r="A159" i="23"/>
  <c r="A158" i="23"/>
  <c r="A157" i="23"/>
  <c r="A156" i="23"/>
  <c r="A155" i="23"/>
  <c r="A154" i="23"/>
  <c r="A153" i="23"/>
  <c r="A152" i="23"/>
  <c r="A151" i="23"/>
  <c r="A150" i="23"/>
  <c r="A149" i="23"/>
  <c r="A148" i="23"/>
  <c r="A147" i="23"/>
  <c r="A146" i="23"/>
  <c r="A100" i="23"/>
  <c r="A139" i="23"/>
  <c r="A138" i="23"/>
  <c r="A137" i="23"/>
  <c r="A136" i="23"/>
  <c r="A135" i="23"/>
  <c r="A134" i="23"/>
  <c r="A128" i="23"/>
  <c r="A127" i="23"/>
  <c r="A126" i="23"/>
  <c r="A106" i="23"/>
  <c r="A105" i="23"/>
  <c r="A104" i="23"/>
  <c r="A103" i="23"/>
  <c r="A102" i="23"/>
  <c r="A101" i="23"/>
  <c r="A99"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G60" i="23"/>
  <c r="F60" i="23"/>
  <c r="E60" i="23"/>
  <c r="D60" i="23"/>
  <c r="A60" i="23"/>
  <c r="G59" i="23"/>
  <c r="F59" i="23"/>
  <c r="E59" i="23"/>
  <c r="D59" i="23"/>
  <c r="A59" i="23"/>
  <c r="G58" i="23"/>
  <c r="F58" i="23"/>
  <c r="E58" i="23"/>
  <c r="D58" i="23"/>
  <c r="A58" i="23"/>
  <c r="A57" i="23"/>
  <c r="A56" i="23"/>
  <c r="A55" i="23"/>
  <c r="A54" i="23"/>
  <c r="A53" i="23"/>
  <c r="A52" i="23"/>
  <c r="A51" i="23"/>
  <c r="A50" i="23"/>
  <c r="A49" i="23"/>
  <c r="AD30" i="23"/>
  <c r="AG30" i="23" s="1"/>
  <c r="AD27" i="23"/>
  <c r="AG27" i="23" s="1"/>
  <c r="AD24" i="23"/>
  <c r="AG24" i="23" s="1"/>
  <c r="AD23" i="23"/>
  <c r="AG23" i="23" s="1"/>
  <c r="AD21" i="23"/>
  <c r="AG21" i="23" s="1"/>
  <c r="AD20" i="23"/>
  <c r="AG20" i="23" s="1"/>
  <c r="AD16" i="23"/>
  <c r="AG16" i="23" s="1"/>
  <c r="AD15" i="23"/>
  <c r="AG15" i="23" s="1"/>
  <c r="AG10" i="2"/>
  <c r="AD9" i="23" s="1"/>
  <c r="AJ138" i="2"/>
  <c r="AJ137" i="2"/>
  <c r="AJ136" i="2"/>
  <c r="AJ70" i="2"/>
  <c r="AJ61" i="2"/>
  <c r="AJ52" i="2"/>
  <c r="AJ31" i="2"/>
  <c r="AJ28" i="2"/>
  <c r="AJ25" i="2"/>
  <c r="AJ24" i="2"/>
  <c r="AJ22" i="2"/>
  <c r="AJ21" i="2"/>
  <c r="AJ17" i="2"/>
  <c r="AJ16" i="2"/>
  <c r="L5" i="28" l="1"/>
  <c r="AF9" i="23"/>
  <c r="AG9" i="23"/>
  <c r="K79" i="10"/>
  <c r="K78" i="10" s="1"/>
  <c r="AF30" i="23"/>
  <c r="AK181" i="28"/>
  <c r="AF170" i="23"/>
  <c r="AF51" i="23"/>
  <c r="AF62" i="23"/>
  <c r="AF16" i="23"/>
  <c r="AF20" i="23"/>
  <c r="AF24" i="23"/>
  <c r="AF21" i="23"/>
  <c r="AF15" i="23"/>
  <c r="AF23" i="23"/>
  <c r="AF27" i="23"/>
  <c r="Q181" i="28" l="1"/>
  <c r="V181" i="28"/>
  <c r="A48" i="23" l="1"/>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K175" i="2" l="1"/>
  <c r="CH175" i="10" l="1"/>
  <c r="DF175" i="20"/>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R174" i="26"/>
  <c r="T174" i="26" s="1"/>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J181" i="2"/>
  <c r="I187" i="38" s="1"/>
  <c r="I181" i="2"/>
  <c r="H187" i="38" s="1"/>
  <c r="H181" i="2"/>
  <c r="G181" i="2"/>
  <c r="F187" i="38" s="1"/>
  <c r="F181" i="2"/>
  <c r="E187" i="38" s="1"/>
  <c r="E181" i="2"/>
  <c r="D187" i="38" s="1"/>
  <c r="J180" i="2"/>
  <c r="I186" i="38" s="1"/>
  <c r="I180" i="2"/>
  <c r="H186" i="38" s="1"/>
  <c r="H180" i="2"/>
  <c r="G180" i="2"/>
  <c r="F186" i="38" s="1"/>
  <c r="F180" i="2"/>
  <c r="E186" i="38" s="1"/>
  <c r="E180" i="2"/>
  <c r="D186" i="38" s="1"/>
  <c r="J179" i="2"/>
  <c r="I179" i="2"/>
  <c r="H179" i="2"/>
  <c r="C136" i="40" s="1"/>
  <c r="B136" i="41" s="1"/>
  <c r="G179" i="2"/>
  <c r="F179" i="2"/>
  <c r="E179" i="2"/>
  <c r="K178" i="20"/>
  <c r="J178" i="2"/>
  <c r="I178" i="2"/>
  <c r="H178" i="2"/>
  <c r="C135" i="40" s="1"/>
  <c r="B135" i="41" s="1"/>
  <c r="G178" i="2"/>
  <c r="F178" i="2"/>
  <c r="E178" i="2"/>
  <c r="J177" i="2"/>
  <c r="I183" i="38" s="1"/>
  <c r="I177" i="2"/>
  <c r="H183" i="38" s="1"/>
  <c r="H177" i="2"/>
  <c r="G177" i="2"/>
  <c r="F183" i="38" s="1"/>
  <c r="F177" i="2"/>
  <c r="E183" i="38" s="1"/>
  <c r="E177" i="2"/>
  <c r="D183" i="38" s="1"/>
  <c r="J176" i="2"/>
  <c r="I176" i="2"/>
  <c r="H176" i="2"/>
  <c r="C133" i="40" s="1"/>
  <c r="B133" i="41" s="1"/>
  <c r="G176" i="2"/>
  <c r="F176" i="2"/>
  <c r="E176" i="2"/>
  <c r="J175" i="2"/>
  <c r="I175" i="2"/>
  <c r="H175" i="2"/>
  <c r="C132" i="40" s="1"/>
  <c r="B132" i="41" s="1"/>
  <c r="G175" i="2"/>
  <c r="F175" i="2"/>
  <c r="E175" i="2"/>
  <c r="J174" i="2"/>
  <c r="I180" i="38" s="1"/>
  <c r="I174" i="2"/>
  <c r="H180" i="38" s="1"/>
  <c r="H174" i="2"/>
  <c r="G174" i="2"/>
  <c r="F180" i="38" s="1"/>
  <c r="F174" i="2"/>
  <c r="E180" i="38" s="1"/>
  <c r="E174" i="2"/>
  <c r="D180" i="38" s="1"/>
  <c r="J166" i="2"/>
  <c r="I166" i="2"/>
  <c r="H166" i="2"/>
  <c r="G166" i="2"/>
  <c r="F166" i="2"/>
  <c r="E166" i="2"/>
  <c r="J165" i="2"/>
  <c r="I171" i="38" s="1"/>
  <c r="I165" i="2"/>
  <c r="H171" i="38" s="1"/>
  <c r="H165" i="2"/>
  <c r="G171" i="38" s="1"/>
  <c r="G165" i="2"/>
  <c r="F171" i="38" s="1"/>
  <c r="F165" i="2"/>
  <c r="E171" i="38" s="1"/>
  <c r="E165" i="2"/>
  <c r="D171" i="38" s="1"/>
  <c r="J164" i="2"/>
  <c r="I170" i="38" s="1"/>
  <c r="I164" i="2"/>
  <c r="H170" i="38" s="1"/>
  <c r="H164" i="2"/>
  <c r="G170" i="38" s="1"/>
  <c r="G164" i="2"/>
  <c r="F170" i="38" s="1"/>
  <c r="F164" i="2"/>
  <c r="E170" i="38" s="1"/>
  <c r="E164" i="2"/>
  <c r="D170" i="38" s="1"/>
  <c r="J163" i="2"/>
  <c r="I169" i="38" s="1"/>
  <c r="I163" i="2"/>
  <c r="H169" i="38" s="1"/>
  <c r="H163" i="2"/>
  <c r="G169" i="38" s="1"/>
  <c r="G163" i="2"/>
  <c r="F169" i="38" s="1"/>
  <c r="F163" i="2"/>
  <c r="E169" i="38" s="1"/>
  <c r="E163" i="2"/>
  <c r="D169" i="38" s="1"/>
  <c r="J162" i="2"/>
  <c r="I168" i="38" s="1"/>
  <c r="I162" i="2"/>
  <c r="H168" i="38" s="1"/>
  <c r="H162" i="2"/>
  <c r="G168" i="38" s="1"/>
  <c r="G162" i="2"/>
  <c r="F168" i="38" s="1"/>
  <c r="F162" i="2"/>
  <c r="E168" i="38" s="1"/>
  <c r="E162" i="2"/>
  <c r="D168" i="38" s="1"/>
  <c r="J157" i="2"/>
  <c r="I163" i="38" s="1"/>
  <c r="I157" i="2"/>
  <c r="H163" i="38" s="1"/>
  <c r="H157" i="2"/>
  <c r="G163" i="38" s="1"/>
  <c r="G157" i="2"/>
  <c r="F163" i="38" s="1"/>
  <c r="F157" i="2"/>
  <c r="E163" i="38" s="1"/>
  <c r="E157" i="2"/>
  <c r="D163" i="38" s="1"/>
  <c r="D157" i="2"/>
  <c r="C155" i="11" s="1"/>
  <c r="J159" i="2"/>
  <c r="I165" i="38" s="1"/>
  <c r="I159" i="2"/>
  <c r="H165" i="38" s="1"/>
  <c r="H159" i="2"/>
  <c r="G165" i="38" s="1"/>
  <c r="G159" i="2"/>
  <c r="F165" i="38" s="1"/>
  <c r="F159" i="2"/>
  <c r="E165" i="38" s="1"/>
  <c r="E159" i="2"/>
  <c r="D165" i="38" s="1"/>
  <c r="J158" i="2"/>
  <c r="I164" i="38" s="1"/>
  <c r="I158" i="2"/>
  <c r="H164" i="38" s="1"/>
  <c r="H158" i="2"/>
  <c r="G164" i="38" s="1"/>
  <c r="G158" i="2"/>
  <c r="F164" i="38" s="1"/>
  <c r="F158" i="2"/>
  <c r="E164" i="38" s="1"/>
  <c r="E158" i="2"/>
  <c r="D164" i="38" s="1"/>
  <c r="J156" i="2"/>
  <c r="I162" i="38" s="1"/>
  <c r="I156" i="2"/>
  <c r="H162" i="38" s="1"/>
  <c r="H156" i="2"/>
  <c r="G162" i="38" s="1"/>
  <c r="G156" i="2"/>
  <c r="F162" i="38" s="1"/>
  <c r="F156" i="2"/>
  <c r="E162" i="38" s="1"/>
  <c r="E156" i="2"/>
  <c r="D162" i="38" s="1"/>
  <c r="J155" i="2"/>
  <c r="I161" i="38" s="1"/>
  <c r="I155" i="2"/>
  <c r="H161" i="38" s="1"/>
  <c r="H155" i="2"/>
  <c r="G161" i="38" s="1"/>
  <c r="G155" i="2"/>
  <c r="F161" i="38" s="1"/>
  <c r="F155" i="2"/>
  <c r="E161" i="38" s="1"/>
  <c r="E155" i="2"/>
  <c r="D161" i="38" s="1"/>
  <c r="J149" i="11"/>
  <c r="J151" i="2"/>
  <c r="I157" i="38" s="1"/>
  <c r="I151" i="2"/>
  <c r="H157" i="38" s="1"/>
  <c r="H151" i="2"/>
  <c r="G157" i="38" s="1"/>
  <c r="G151" i="2"/>
  <c r="F157" i="38" s="1"/>
  <c r="F151" i="2"/>
  <c r="E157" i="38" s="1"/>
  <c r="E151" i="2"/>
  <c r="D157" i="38" s="1"/>
  <c r="D151" i="2"/>
  <c r="J153" i="2"/>
  <c r="I153" i="2"/>
  <c r="H153" i="2"/>
  <c r="G153" i="2"/>
  <c r="F153" i="2"/>
  <c r="E153" i="2"/>
  <c r="J152" i="2"/>
  <c r="I158" i="38" s="1"/>
  <c r="I152" i="2"/>
  <c r="H158" i="38" s="1"/>
  <c r="H152" i="2"/>
  <c r="G158" i="38" s="1"/>
  <c r="G152" i="2"/>
  <c r="F158" i="38" s="1"/>
  <c r="F152" i="2"/>
  <c r="E158" i="38" s="1"/>
  <c r="E152" i="2"/>
  <c r="D158" i="38" s="1"/>
  <c r="J150" i="2"/>
  <c r="I156" i="38" s="1"/>
  <c r="I150" i="2"/>
  <c r="H156" i="38" s="1"/>
  <c r="H150" i="2"/>
  <c r="G156" i="38" s="1"/>
  <c r="G150" i="2"/>
  <c r="F156" i="38" s="1"/>
  <c r="F150" i="2"/>
  <c r="E156" i="38" s="1"/>
  <c r="E150" i="2"/>
  <c r="D156" i="38" s="1"/>
  <c r="J149" i="2"/>
  <c r="I155" i="38" s="1"/>
  <c r="I149" i="2"/>
  <c r="H155" i="38" s="1"/>
  <c r="H149" i="2"/>
  <c r="G155" i="38" s="1"/>
  <c r="G149" i="2"/>
  <c r="F155" i="38" s="1"/>
  <c r="F149" i="2"/>
  <c r="E155" i="38" s="1"/>
  <c r="E149" i="2"/>
  <c r="D155" i="38" s="1"/>
  <c r="I146" i="38"/>
  <c r="H146" i="38"/>
  <c r="G146" i="38"/>
  <c r="F146" i="38"/>
  <c r="E146" i="38"/>
  <c r="D146" i="38"/>
  <c r="I145" i="38"/>
  <c r="H145" i="38"/>
  <c r="G145" i="38"/>
  <c r="F145" i="38"/>
  <c r="E145" i="38"/>
  <c r="D145" i="38"/>
  <c r="I144" i="38"/>
  <c r="H144" i="38"/>
  <c r="G144" i="38"/>
  <c r="F144" i="38"/>
  <c r="E144" i="38"/>
  <c r="D144" i="38"/>
  <c r="I143" i="38"/>
  <c r="H143" i="38"/>
  <c r="G143" i="38"/>
  <c r="F143" i="38"/>
  <c r="E143" i="38"/>
  <c r="D143" i="38"/>
  <c r="I142" i="38"/>
  <c r="H142" i="38"/>
  <c r="G142" i="38"/>
  <c r="F142" i="38"/>
  <c r="E142" i="38"/>
  <c r="D142" i="38"/>
  <c r="I141" i="38"/>
  <c r="H141" i="38"/>
  <c r="G141" i="38"/>
  <c r="F141" i="38"/>
  <c r="E141" i="38"/>
  <c r="D141" i="38"/>
  <c r="I140" i="38"/>
  <c r="H140" i="38"/>
  <c r="G140" i="38"/>
  <c r="F140" i="38"/>
  <c r="E140" i="38"/>
  <c r="D140" i="38"/>
  <c r="K139" i="20"/>
  <c r="I139" i="38"/>
  <c r="H139" i="38"/>
  <c r="G139" i="38"/>
  <c r="F139" i="38"/>
  <c r="E139" i="38"/>
  <c r="I138" i="38"/>
  <c r="H138" i="38"/>
  <c r="G138" i="38"/>
  <c r="F138" i="38"/>
  <c r="E138" i="38"/>
  <c r="D138" i="38"/>
  <c r="I137" i="38"/>
  <c r="H137" i="38"/>
  <c r="G137" i="38"/>
  <c r="F137" i="38"/>
  <c r="E137" i="38"/>
  <c r="D137" i="38"/>
  <c r="I136" i="38"/>
  <c r="H136" i="38"/>
  <c r="G136" i="38"/>
  <c r="F136" i="38"/>
  <c r="E136" i="38"/>
  <c r="D136" i="38"/>
  <c r="J125" i="11"/>
  <c r="C125" i="11"/>
  <c r="D126" i="20"/>
  <c r="K125" i="20"/>
  <c r="I122" i="38"/>
  <c r="H122" i="38"/>
  <c r="G122" i="38"/>
  <c r="F122" i="38"/>
  <c r="E122" i="38"/>
  <c r="D122" i="38"/>
  <c r="J119" i="2"/>
  <c r="I119" i="38" s="1"/>
  <c r="I119" i="2"/>
  <c r="H119" i="38" s="1"/>
  <c r="H119" i="2"/>
  <c r="G119" i="38" s="1"/>
  <c r="G119" i="2"/>
  <c r="F119" i="38" s="1"/>
  <c r="F119" i="2"/>
  <c r="E119" i="38" s="1"/>
  <c r="E119" i="2"/>
  <c r="D119" i="38" s="1"/>
  <c r="J118" i="2"/>
  <c r="I118" i="38" s="1"/>
  <c r="I118" i="2"/>
  <c r="H118" i="38" s="1"/>
  <c r="H118" i="2"/>
  <c r="G118" i="38" s="1"/>
  <c r="G118" i="2"/>
  <c r="F118" i="38" s="1"/>
  <c r="F118" i="2"/>
  <c r="E118" i="38" s="1"/>
  <c r="E118" i="2"/>
  <c r="D118" i="38" s="1"/>
  <c r="J117" i="2"/>
  <c r="I117" i="38" s="1"/>
  <c r="I117" i="2"/>
  <c r="H117" i="38" s="1"/>
  <c r="H117" i="2"/>
  <c r="G117" i="38" s="1"/>
  <c r="G117" i="2"/>
  <c r="F117" i="38" s="1"/>
  <c r="F117" i="2"/>
  <c r="E117" i="38" s="1"/>
  <c r="E117" i="2"/>
  <c r="D117" i="38" s="1"/>
  <c r="J116" i="2"/>
  <c r="I116" i="38" s="1"/>
  <c r="I116" i="2"/>
  <c r="H116" i="38" s="1"/>
  <c r="H116" i="2"/>
  <c r="G116" i="38" s="1"/>
  <c r="G116" i="2"/>
  <c r="F116" i="38" s="1"/>
  <c r="F116" i="2"/>
  <c r="E116" i="38" s="1"/>
  <c r="E116" i="2"/>
  <c r="D116" i="38" s="1"/>
  <c r="J115" i="2"/>
  <c r="I115" i="38" s="1"/>
  <c r="I115" i="2"/>
  <c r="H115" i="38" s="1"/>
  <c r="H115" i="2"/>
  <c r="G115" i="38" s="1"/>
  <c r="G115" i="2"/>
  <c r="F115" i="38" s="1"/>
  <c r="F115" i="2"/>
  <c r="E115" i="38" s="1"/>
  <c r="E115" i="2"/>
  <c r="D115" i="38" s="1"/>
  <c r="J113" i="2"/>
  <c r="I113" i="38" s="1"/>
  <c r="I113" i="2"/>
  <c r="H113" i="38" s="1"/>
  <c r="H113" i="2"/>
  <c r="G113" i="38" s="1"/>
  <c r="G113" i="2"/>
  <c r="F113" i="38" s="1"/>
  <c r="F113" i="2"/>
  <c r="E113" i="38" s="1"/>
  <c r="E113" i="2"/>
  <c r="D113" i="38" s="1"/>
  <c r="J112" i="2"/>
  <c r="I112" i="38" s="1"/>
  <c r="I112" i="2"/>
  <c r="H112" i="38" s="1"/>
  <c r="H112" i="2"/>
  <c r="G112" i="38" s="1"/>
  <c r="G112" i="2"/>
  <c r="F112" i="38" s="1"/>
  <c r="F112" i="2"/>
  <c r="E112" i="38" s="1"/>
  <c r="E112" i="2"/>
  <c r="D112" i="38" s="1"/>
  <c r="J111" i="2"/>
  <c r="I111" i="38" s="1"/>
  <c r="I111" i="2"/>
  <c r="H111" i="38" s="1"/>
  <c r="H111" i="2"/>
  <c r="G111" i="38" s="1"/>
  <c r="G111" i="2"/>
  <c r="F111" i="38" s="1"/>
  <c r="F111" i="2"/>
  <c r="E111" i="38" s="1"/>
  <c r="E111" i="2"/>
  <c r="D111" i="38" s="1"/>
  <c r="J110" i="2"/>
  <c r="I110" i="38" s="1"/>
  <c r="I110" i="2"/>
  <c r="H110" i="38" s="1"/>
  <c r="H110" i="2"/>
  <c r="G110" i="38" s="1"/>
  <c r="G110" i="2"/>
  <c r="F110" i="38" s="1"/>
  <c r="F110" i="2"/>
  <c r="E110" i="38" s="1"/>
  <c r="E110" i="2"/>
  <c r="D110" i="38" s="1"/>
  <c r="J109" i="2"/>
  <c r="I109" i="38" s="1"/>
  <c r="I109" i="2"/>
  <c r="H109" i="38" s="1"/>
  <c r="H109" i="2"/>
  <c r="G109" i="38" s="1"/>
  <c r="G109" i="2"/>
  <c r="F109" i="38" s="1"/>
  <c r="F109" i="2"/>
  <c r="E109" i="38" s="1"/>
  <c r="E109" i="2"/>
  <c r="D109" i="38" s="1"/>
  <c r="J107" i="2"/>
  <c r="I107" i="38" s="1"/>
  <c r="I107" i="2"/>
  <c r="H107" i="38" s="1"/>
  <c r="H107" i="2"/>
  <c r="G107" i="38" s="1"/>
  <c r="G107" i="2"/>
  <c r="F107" i="38" s="1"/>
  <c r="F107" i="2"/>
  <c r="E107" i="38" s="1"/>
  <c r="E107" i="2"/>
  <c r="D107" i="38" s="1"/>
  <c r="J106" i="2"/>
  <c r="I106" i="38" s="1"/>
  <c r="I106" i="2"/>
  <c r="H106" i="38" s="1"/>
  <c r="H106" i="2"/>
  <c r="G106" i="38" s="1"/>
  <c r="G106" i="2"/>
  <c r="F106" i="38" s="1"/>
  <c r="F106" i="2"/>
  <c r="E106" i="38" s="1"/>
  <c r="E106" i="2"/>
  <c r="D106" i="38" s="1"/>
  <c r="K105" i="20"/>
  <c r="J105" i="2"/>
  <c r="I105" i="38" s="1"/>
  <c r="I105" i="2"/>
  <c r="H105" i="38" s="1"/>
  <c r="H105" i="2"/>
  <c r="G105" i="38" s="1"/>
  <c r="G105" i="2"/>
  <c r="F105" i="38" s="1"/>
  <c r="F105" i="2"/>
  <c r="E105" i="38" s="1"/>
  <c r="E105" i="2"/>
  <c r="D105" i="38" s="1"/>
  <c r="J104" i="2"/>
  <c r="I104" i="38" s="1"/>
  <c r="I104" i="2"/>
  <c r="H104" i="38" s="1"/>
  <c r="H104" i="2"/>
  <c r="G104" i="38" s="1"/>
  <c r="G104" i="2"/>
  <c r="F104" i="38" s="1"/>
  <c r="F104" i="2"/>
  <c r="E104" i="38" s="1"/>
  <c r="E104" i="2"/>
  <c r="D104" i="38" s="1"/>
  <c r="J103" i="2"/>
  <c r="I103" i="38" s="1"/>
  <c r="I103" i="2"/>
  <c r="H103" i="38" s="1"/>
  <c r="H103" i="2"/>
  <c r="G103" i="38" s="1"/>
  <c r="G103" i="2"/>
  <c r="F103" i="38" s="1"/>
  <c r="F103" i="2"/>
  <c r="E103" i="38" s="1"/>
  <c r="E103" i="2"/>
  <c r="D103" i="38" s="1"/>
  <c r="J98" i="2"/>
  <c r="I98" i="38" s="1"/>
  <c r="I98" i="2"/>
  <c r="H98" i="38" s="1"/>
  <c r="H98" i="2"/>
  <c r="G98" i="2"/>
  <c r="F98" i="38" s="1"/>
  <c r="F98" i="2"/>
  <c r="E98" i="38" s="1"/>
  <c r="E98" i="2"/>
  <c r="D98" i="38" s="1"/>
  <c r="D98" i="2"/>
  <c r="J97" i="2"/>
  <c r="I97" i="38" s="1"/>
  <c r="I97" i="2"/>
  <c r="H97" i="38" s="1"/>
  <c r="H97" i="2"/>
  <c r="G97" i="2"/>
  <c r="F97" i="38" s="1"/>
  <c r="F97" i="2"/>
  <c r="E97" i="38" s="1"/>
  <c r="E97" i="2"/>
  <c r="D97" i="38" s="1"/>
  <c r="J96" i="2"/>
  <c r="I96" i="38" s="1"/>
  <c r="I96" i="2"/>
  <c r="H96" i="38" s="1"/>
  <c r="H96" i="2"/>
  <c r="G96" i="2"/>
  <c r="F96" i="38" s="1"/>
  <c r="F96" i="2"/>
  <c r="E96" i="38" s="1"/>
  <c r="E96" i="2"/>
  <c r="D96" i="38" s="1"/>
  <c r="J93" i="11"/>
  <c r="J95" i="2"/>
  <c r="I95" i="38" s="1"/>
  <c r="I95" i="2"/>
  <c r="H95" i="38" s="1"/>
  <c r="H95" i="2"/>
  <c r="G95" i="2"/>
  <c r="F95" i="38" s="1"/>
  <c r="F95" i="2"/>
  <c r="E95" i="38" s="1"/>
  <c r="E95" i="2"/>
  <c r="D95" i="38" s="1"/>
  <c r="J94" i="2"/>
  <c r="I94" i="38" s="1"/>
  <c r="I94" i="2"/>
  <c r="H94" i="38" s="1"/>
  <c r="H94" i="2"/>
  <c r="G94" i="2"/>
  <c r="F94" i="38" s="1"/>
  <c r="F94" i="2"/>
  <c r="E94" i="38" s="1"/>
  <c r="E94" i="2"/>
  <c r="D94" i="38" s="1"/>
  <c r="J93" i="2"/>
  <c r="I93" i="2"/>
  <c r="H93" i="2"/>
  <c r="C69" i="40" s="1"/>
  <c r="B69" i="41" s="1"/>
  <c r="G93" i="2"/>
  <c r="F93" i="2"/>
  <c r="E93" i="2"/>
  <c r="J91" i="2"/>
  <c r="I91" i="38" s="1"/>
  <c r="I91" i="2"/>
  <c r="H91" i="38" s="1"/>
  <c r="H91" i="2"/>
  <c r="G91" i="2"/>
  <c r="F91" i="38" s="1"/>
  <c r="F91" i="2"/>
  <c r="E91" i="38" s="1"/>
  <c r="E91" i="2"/>
  <c r="D91" i="38" s="1"/>
  <c r="J90" i="2"/>
  <c r="I90" i="38" s="1"/>
  <c r="I90" i="2"/>
  <c r="H90" i="38" s="1"/>
  <c r="H90" i="2"/>
  <c r="G90" i="2"/>
  <c r="F90" i="38" s="1"/>
  <c r="F90" i="2"/>
  <c r="E90" i="38" s="1"/>
  <c r="E90" i="2"/>
  <c r="D90" i="38" s="1"/>
  <c r="J89" i="2"/>
  <c r="I89" i="38" s="1"/>
  <c r="I89" i="2"/>
  <c r="H89" i="38" s="1"/>
  <c r="H89" i="2"/>
  <c r="G89" i="2"/>
  <c r="F89" i="38" s="1"/>
  <c r="F89" i="2"/>
  <c r="E89" i="38" s="1"/>
  <c r="E89" i="2"/>
  <c r="D89" i="38" s="1"/>
  <c r="K88" i="20"/>
  <c r="J88" i="2"/>
  <c r="I88" i="38" s="1"/>
  <c r="I88" i="2"/>
  <c r="H88" i="38" s="1"/>
  <c r="H88" i="2"/>
  <c r="G88" i="2"/>
  <c r="F88" i="38" s="1"/>
  <c r="F88" i="2"/>
  <c r="E88" i="38" s="1"/>
  <c r="E88" i="2"/>
  <c r="D88" i="38" s="1"/>
  <c r="J87" i="2"/>
  <c r="I87" i="2"/>
  <c r="H87" i="2"/>
  <c r="C64" i="40" s="1"/>
  <c r="B64" i="41" s="1"/>
  <c r="G87" i="2"/>
  <c r="F87" i="2"/>
  <c r="E87" i="2"/>
  <c r="K83" i="20"/>
  <c r="J83" i="2"/>
  <c r="I83" i="38" s="1"/>
  <c r="I83" i="2"/>
  <c r="H83" i="38" s="1"/>
  <c r="H83" i="2"/>
  <c r="G83" i="38" s="1"/>
  <c r="G83" i="2"/>
  <c r="F83" i="38" s="1"/>
  <c r="F83" i="2"/>
  <c r="E83" i="38" s="1"/>
  <c r="E83" i="2"/>
  <c r="D83" i="38" s="1"/>
  <c r="K82" i="20"/>
  <c r="J82" i="2"/>
  <c r="I82" i="38" s="1"/>
  <c r="I82" i="2"/>
  <c r="H82" i="38" s="1"/>
  <c r="H82" i="2"/>
  <c r="G82" i="2"/>
  <c r="F82" i="38" s="1"/>
  <c r="F82" i="2"/>
  <c r="E82" i="38" s="1"/>
  <c r="E82" i="2"/>
  <c r="D82" i="38" s="1"/>
  <c r="K81" i="20"/>
  <c r="J81" i="2"/>
  <c r="I81" i="38" s="1"/>
  <c r="I81" i="2"/>
  <c r="H81" i="38" s="1"/>
  <c r="H81" i="2"/>
  <c r="G81" i="38" s="1"/>
  <c r="G81" i="2"/>
  <c r="F81" i="38" s="1"/>
  <c r="F81" i="2"/>
  <c r="E81" i="38" s="1"/>
  <c r="E81" i="2"/>
  <c r="D81" i="38" s="1"/>
  <c r="K80" i="20"/>
  <c r="J80" i="2"/>
  <c r="I80" i="2"/>
  <c r="H80" i="2"/>
  <c r="C60" i="40" s="1"/>
  <c r="B60" i="41" s="1"/>
  <c r="G80" i="2"/>
  <c r="F80" i="2"/>
  <c r="E80" i="2"/>
  <c r="J78" i="2"/>
  <c r="I78" i="38" s="1"/>
  <c r="I78" i="2"/>
  <c r="H78" i="38" s="1"/>
  <c r="H78" i="2"/>
  <c r="G78" i="2"/>
  <c r="F78" i="38" s="1"/>
  <c r="F78" i="2"/>
  <c r="E78" i="38" s="1"/>
  <c r="E78" i="2"/>
  <c r="D78" i="38" s="1"/>
  <c r="K77" i="20"/>
  <c r="J77" i="2"/>
  <c r="I77" i="38" s="1"/>
  <c r="I77" i="2"/>
  <c r="H77" i="38" s="1"/>
  <c r="H77" i="2"/>
  <c r="G77" i="2"/>
  <c r="F77" i="38" s="1"/>
  <c r="F77" i="2"/>
  <c r="E77" i="38" s="1"/>
  <c r="E77" i="2"/>
  <c r="D77" i="38" s="1"/>
  <c r="K76" i="20"/>
  <c r="J76" i="2"/>
  <c r="I76" i="38" s="1"/>
  <c r="I76" i="2"/>
  <c r="H76" i="38" s="1"/>
  <c r="H76" i="2"/>
  <c r="G76" i="2"/>
  <c r="F76" i="38" s="1"/>
  <c r="F76" i="2"/>
  <c r="E76" i="38" s="1"/>
  <c r="E76" i="2"/>
  <c r="D76" i="38" s="1"/>
  <c r="J75" i="2"/>
  <c r="I75" i="38" s="1"/>
  <c r="I75" i="2"/>
  <c r="H75" i="38" s="1"/>
  <c r="H75" i="2"/>
  <c r="G75" i="2"/>
  <c r="F75" i="38" s="1"/>
  <c r="F75" i="2"/>
  <c r="E75" i="38" s="1"/>
  <c r="E75" i="2"/>
  <c r="D75" i="38" s="1"/>
  <c r="J72" i="2"/>
  <c r="I72" i="38" s="1"/>
  <c r="I72" i="2"/>
  <c r="H72" i="38" s="1"/>
  <c r="H72" i="2"/>
  <c r="G72" i="2"/>
  <c r="F72" i="38" s="1"/>
  <c r="F72" i="2"/>
  <c r="E72" i="38" s="1"/>
  <c r="E72" i="2"/>
  <c r="D72" i="38" s="1"/>
  <c r="D72" i="2"/>
  <c r="J71" i="2"/>
  <c r="I71" i="38" s="1"/>
  <c r="I71" i="2"/>
  <c r="H71" i="38" s="1"/>
  <c r="H71" i="2"/>
  <c r="G71" i="2"/>
  <c r="F71" i="38" s="1"/>
  <c r="F71" i="2"/>
  <c r="E71" i="38" s="1"/>
  <c r="E71" i="2"/>
  <c r="D71" i="38" s="1"/>
  <c r="J70" i="2"/>
  <c r="I70" i="38" s="1"/>
  <c r="I70" i="2"/>
  <c r="H70" i="38" s="1"/>
  <c r="H70" i="2"/>
  <c r="G70" i="2"/>
  <c r="F70" i="38" s="1"/>
  <c r="F70" i="2"/>
  <c r="E70" i="38" s="1"/>
  <c r="E70" i="2"/>
  <c r="D70" i="38" s="1"/>
  <c r="K69" i="20"/>
  <c r="J69" i="2"/>
  <c r="I69" i="38" s="1"/>
  <c r="I69" i="2"/>
  <c r="H69" i="38" s="1"/>
  <c r="H69" i="2"/>
  <c r="G69" i="2"/>
  <c r="F69" i="38" s="1"/>
  <c r="F69" i="2"/>
  <c r="E69" i="38" s="1"/>
  <c r="E69" i="2"/>
  <c r="D69" i="38" s="1"/>
  <c r="K68" i="20"/>
  <c r="J68" i="2"/>
  <c r="I68" i="38" s="1"/>
  <c r="I68" i="2"/>
  <c r="H68" i="38" s="1"/>
  <c r="H68" i="2"/>
  <c r="G68" i="2"/>
  <c r="F68" i="38" s="1"/>
  <c r="F68" i="2"/>
  <c r="E68" i="38" s="1"/>
  <c r="E68" i="2"/>
  <c r="D68" i="38" s="1"/>
  <c r="D68" i="2"/>
  <c r="K66" i="20"/>
  <c r="J66" i="2"/>
  <c r="I66" i="2"/>
  <c r="H66" i="2"/>
  <c r="G66" i="2"/>
  <c r="F66" i="2"/>
  <c r="E66" i="2"/>
  <c r="J65" i="2"/>
  <c r="I65" i="2"/>
  <c r="H65" i="2"/>
  <c r="G65" i="2"/>
  <c r="F65" i="2"/>
  <c r="E65" i="2"/>
  <c r="K64" i="20"/>
  <c r="J64" i="2"/>
  <c r="I64" i="2"/>
  <c r="H64" i="2"/>
  <c r="G64" i="2"/>
  <c r="F64" i="2"/>
  <c r="E64" i="2"/>
  <c r="K63" i="20"/>
  <c r="J63" i="2"/>
  <c r="I63" i="2"/>
  <c r="H63" i="2"/>
  <c r="G63" i="2"/>
  <c r="F63" i="2"/>
  <c r="E63" i="2"/>
  <c r="D63" i="2"/>
  <c r="W61" i="20"/>
  <c r="J61" i="2"/>
  <c r="I61" i="38" s="1"/>
  <c r="I61" i="2"/>
  <c r="H61" i="38" s="1"/>
  <c r="H61" i="2"/>
  <c r="G61" i="38" s="1"/>
  <c r="K60" i="20"/>
  <c r="J60" i="2"/>
  <c r="I60" i="38" s="1"/>
  <c r="I60" i="2"/>
  <c r="H60" i="38" s="1"/>
  <c r="H60" i="2"/>
  <c r="G60" i="38" s="1"/>
  <c r="J57" i="11"/>
  <c r="J59" i="2"/>
  <c r="I59" i="38" s="1"/>
  <c r="I59" i="2"/>
  <c r="H59" i="38" s="1"/>
  <c r="H59" i="2"/>
  <c r="G59" i="38" s="1"/>
  <c r="G59" i="20"/>
  <c r="F59" i="20"/>
  <c r="E59" i="20"/>
  <c r="K57" i="20"/>
  <c r="J57" i="2"/>
  <c r="I57" i="2"/>
  <c r="H57" i="2"/>
  <c r="G57" i="2"/>
  <c r="F57" i="2"/>
  <c r="E57" i="2"/>
  <c r="D57" i="2"/>
  <c r="J55" i="2"/>
  <c r="I55" i="38" s="1"/>
  <c r="I55" i="2"/>
  <c r="H55" i="38" s="1"/>
  <c r="H55" i="2"/>
  <c r="G55" i="2"/>
  <c r="F55" i="38" s="1"/>
  <c r="F55" i="2"/>
  <c r="E55" i="38" s="1"/>
  <c r="E55" i="2"/>
  <c r="D55" i="38" s="1"/>
  <c r="K54" i="20"/>
  <c r="J54" i="2"/>
  <c r="I54" i="38" s="1"/>
  <c r="I54" i="2"/>
  <c r="H54" i="38" s="1"/>
  <c r="H54" i="2"/>
  <c r="G54" i="2"/>
  <c r="F54" i="38" s="1"/>
  <c r="F54" i="2"/>
  <c r="E54" i="38" s="1"/>
  <c r="E54" i="2"/>
  <c r="D54" i="38" s="1"/>
  <c r="J51" i="11"/>
  <c r="J53" i="2"/>
  <c r="I53" i="38" s="1"/>
  <c r="I53" i="2"/>
  <c r="H53" i="38" s="1"/>
  <c r="H53" i="2"/>
  <c r="G53" i="2"/>
  <c r="F53" i="38" s="1"/>
  <c r="F53" i="2"/>
  <c r="E53" i="38" s="1"/>
  <c r="E53" i="2"/>
  <c r="D53" i="38" s="1"/>
  <c r="D53" i="2"/>
  <c r="D53" i="20" s="1"/>
  <c r="J52" i="2"/>
  <c r="I52" i="38" s="1"/>
  <c r="I52" i="2"/>
  <c r="H52" i="38" s="1"/>
  <c r="H52" i="2"/>
  <c r="G52" i="2"/>
  <c r="F52" i="38" s="1"/>
  <c r="F52" i="2"/>
  <c r="E52" i="38" s="1"/>
  <c r="E52" i="2"/>
  <c r="D52" i="38" s="1"/>
  <c r="J51" i="2"/>
  <c r="I51" i="38" s="1"/>
  <c r="I51" i="2"/>
  <c r="H51" i="38" s="1"/>
  <c r="H51" i="2"/>
  <c r="G51" i="2"/>
  <c r="F51" i="38" s="1"/>
  <c r="F51" i="2"/>
  <c r="E51" i="38" s="1"/>
  <c r="E51" i="2"/>
  <c r="D51" i="38" s="1"/>
  <c r="J49" i="2"/>
  <c r="I49" i="38" s="1"/>
  <c r="I49" i="2"/>
  <c r="H49" i="38" s="1"/>
  <c r="H49" i="2"/>
  <c r="G49" i="38" s="1"/>
  <c r="G49" i="2"/>
  <c r="F49" i="38" s="1"/>
  <c r="F49" i="2"/>
  <c r="E49" i="38" s="1"/>
  <c r="E49" i="2"/>
  <c r="D49" i="38" s="1"/>
  <c r="K48" i="20"/>
  <c r="J48" i="2"/>
  <c r="I48" i="38" s="1"/>
  <c r="I48" i="2"/>
  <c r="H48" i="38" s="1"/>
  <c r="H48" i="2"/>
  <c r="G48" i="38" s="1"/>
  <c r="G48" i="2"/>
  <c r="F48" i="38" s="1"/>
  <c r="F48" i="2"/>
  <c r="E48" i="38" s="1"/>
  <c r="E48" i="2"/>
  <c r="D48" i="38" s="1"/>
  <c r="K47" i="20"/>
  <c r="J47" i="2"/>
  <c r="I47" i="38" s="1"/>
  <c r="I47" i="2"/>
  <c r="H47" i="38" s="1"/>
  <c r="H47" i="2"/>
  <c r="G47" i="38" s="1"/>
  <c r="G47" i="2"/>
  <c r="F47" i="38" s="1"/>
  <c r="F47" i="2"/>
  <c r="E47" i="38" s="1"/>
  <c r="E47" i="2"/>
  <c r="D47" i="38" s="1"/>
  <c r="K44" i="20"/>
  <c r="J44" i="2"/>
  <c r="I44" i="2"/>
  <c r="H44" i="2"/>
  <c r="G44" i="2"/>
  <c r="F44" i="2"/>
  <c r="E44" i="2"/>
  <c r="J43" i="2"/>
  <c r="I43" i="2"/>
  <c r="H43" i="2"/>
  <c r="G43" i="2"/>
  <c r="F43" i="2"/>
  <c r="E43" i="2"/>
  <c r="K42" i="20"/>
  <c r="J42" i="2"/>
  <c r="I42" i="2"/>
  <c r="H42" i="2"/>
  <c r="G42" i="2"/>
  <c r="F42" i="2"/>
  <c r="E42" i="2"/>
  <c r="K41" i="20"/>
  <c r="J41" i="2"/>
  <c r="I41" i="2"/>
  <c r="H41" i="2"/>
  <c r="G41" i="2"/>
  <c r="F41" i="2"/>
  <c r="E41" i="2"/>
  <c r="K40" i="20"/>
  <c r="J40" i="2"/>
  <c r="I40" i="2"/>
  <c r="H40" i="2"/>
  <c r="G40" i="2"/>
  <c r="F40" i="2"/>
  <c r="E40" i="2"/>
  <c r="J38" i="2"/>
  <c r="I38" i="38" s="1"/>
  <c r="I38" i="2"/>
  <c r="H38" i="38" s="1"/>
  <c r="H38" i="2"/>
  <c r="G38" i="38" s="1"/>
  <c r="G38" i="2"/>
  <c r="F38" i="38" s="1"/>
  <c r="F38" i="2"/>
  <c r="E38" i="38" s="1"/>
  <c r="E38" i="2"/>
  <c r="D38" i="38" s="1"/>
  <c r="J37" i="2"/>
  <c r="I37" i="38" s="1"/>
  <c r="I37" i="2"/>
  <c r="H37" i="38" s="1"/>
  <c r="H37" i="2"/>
  <c r="G37" i="38" s="1"/>
  <c r="G37" i="2"/>
  <c r="F37" i="38" s="1"/>
  <c r="F37" i="2"/>
  <c r="E37" i="38" s="1"/>
  <c r="E37" i="2"/>
  <c r="D37" i="38" s="1"/>
  <c r="J36" i="2"/>
  <c r="I36" i="38" s="1"/>
  <c r="I36" i="2"/>
  <c r="H36" i="38" s="1"/>
  <c r="H36" i="2"/>
  <c r="G36" i="38" s="1"/>
  <c r="G36" i="2"/>
  <c r="F36" i="38" s="1"/>
  <c r="F36" i="2"/>
  <c r="E36" i="38" s="1"/>
  <c r="E36" i="2"/>
  <c r="D36" i="38" s="1"/>
  <c r="J35" i="2"/>
  <c r="I35" i="38" s="1"/>
  <c r="I35" i="2"/>
  <c r="H35" i="38" s="1"/>
  <c r="H35" i="2"/>
  <c r="G35" i="2"/>
  <c r="F35" i="38" s="1"/>
  <c r="F35" i="2"/>
  <c r="E35" i="38" s="1"/>
  <c r="E35" i="2"/>
  <c r="D35" i="38" s="1"/>
  <c r="J34" i="2"/>
  <c r="I34" i="38" s="1"/>
  <c r="I34" i="2"/>
  <c r="H34" i="38" s="1"/>
  <c r="H34" i="2"/>
  <c r="G34" i="38" s="1"/>
  <c r="G34" i="2"/>
  <c r="F34" i="38" s="1"/>
  <c r="F34" i="2"/>
  <c r="E34" i="38" s="1"/>
  <c r="E34" i="2"/>
  <c r="D34" i="38" s="1"/>
  <c r="K32" i="20"/>
  <c r="J32" i="2"/>
  <c r="I32" i="38" s="1"/>
  <c r="I32" i="2"/>
  <c r="H32" i="38" s="1"/>
  <c r="H32" i="2"/>
  <c r="G32" i="38" s="1"/>
  <c r="G32" i="2"/>
  <c r="F32" i="38" s="1"/>
  <c r="F32" i="2"/>
  <c r="E32" i="38" s="1"/>
  <c r="E32" i="2"/>
  <c r="D32" i="38" s="1"/>
  <c r="J31" i="2"/>
  <c r="I31" i="38" s="1"/>
  <c r="I31" i="2"/>
  <c r="H31" i="38" s="1"/>
  <c r="H31" i="2"/>
  <c r="G31" i="38" s="1"/>
  <c r="G31" i="2"/>
  <c r="F31" i="38" s="1"/>
  <c r="F31" i="2"/>
  <c r="E31" i="38" s="1"/>
  <c r="E31" i="2"/>
  <c r="D31" i="38" s="1"/>
  <c r="D31"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J26" i="2"/>
  <c r="I26" i="38" s="1"/>
  <c r="I26" i="2"/>
  <c r="H26" i="38" s="1"/>
  <c r="H26" i="2"/>
  <c r="G26" i="38" s="1"/>
  <c r="G26" i="2"/>
  <c r="F26" i="38" s="1"/>
  <c r="F26" i="2"/>
  <c r="E26" i="38" s="1"/>
  <c r="E26" i="2"/>
  <c r="D26" i="38" s="1"/>
  <c r="K25" i="20"/>
  <c r="J25" i="2"/>
  <c r="I25" i="38" s="1"/>
  <c r="I25" i="2"/>
  <c r="H25" i="38" s="1"/>
  <c r="H25" i="2"/>
  <c r="G25" i="38" s="1"/>
  <c r="G25" i="2"/>
  <c r="F25" i="38" s="1"/>
  <c r="F25" i="2"/>
  <c r="E25" i="38" s="1"/>
  <c r="E25" i="2"/>
  <c r="D25" i="38" s="1"/>
  <c r="D25" i="2"/>
  <c r="D25" i="20" s="1"/>
  <c r="J24" i="2"/>
  <c r="I24" i="38" s="1"/>
  <c r="I24" i="2"/>
  <c r="H24" i="38" s="1"/>
  <c r="H24" i="2"/>
  <c r="G24" i="38" s="1"/>
  <c r="G24" i="2"/>
  <c r="F24" i="38" s="1"/>
  <c r="F24" i="2"/>
  <c r="E24" i="38" s="1"/>
  <c r="E24" i="2"/>
  <c r="D24" i="38" s="1"/>
  <c r="D24" i="2"/>
  <c r="J23" i="2"/>
  <c r="I23" i="38" s="1"/>
  <c r="I23" i="2"/>
  <c r="H23" i="38" s="1"/>
  <c r="H23" i="2"/>
  <c r="G23" i="38" s="1"/>
  <c r="G23" i="2"/>
  <c r="F23" i="38" s="1"/>
  <c r="F23" i="2"/>
  <c r="E23" i="38" s="1"/>
  <c r="E23" i="2"/>
  <c r="D23" i="38" s="1"/>
  <c r="K22" i="20"/>
  <c r="J22" i="2"/>
  <c r="I22" i="38" s="1"/>
  <c r="I22" i="2"/>
  <c r="H22" i="38" s="1"/>
  <c r="H22" i="2"/>
  <c r="G22" i="38" s="1"/>
  <c r="G22" i="2"/>
  <c r="F22" i="38" s="1"/>
  <c r="F22" i="2"/>
  <c r="E22" i="38" s="1"/>
  <c r="E22" i="2"/>
  <c r="D22" i="38" s="1"/>
  <c r="D22" i="2"/>
  <c r="K21" i="20"/>
  <c r="J21" i="2"/>
  <c r="I21" i="38" s="1"/>
  <c r="I21" i="2"/>
  <c r="H21" i="38" s="1"/>
  <c r="H21" i="2"/>
  <c r="G21" i="38" s="1"/>
  <c r="G21" i="2"/>
  <c r="F21" i="38" s="1"/>
  <c r="F21" i="2"/>
  <c r="E21" i="38" s="1"/>
  <c r="E21" i="2"/>
  <c r="D21" i="38" s="1"/>
  <c r="D21" i="2"/>
  <c r="K20" i="20"/>
  <c r="J20" i="2"/>
  <c r="I20" i="38" s="1"/>
  <c r="I20" i="2"/>
  <c r="H20" i="38" s="1"/>
  <c r="H20" i="2"/>
  <c r="G20" i="38" s="1"/>
  <c r="G20" i="2"/>
  <c r="F20" i="38" s="1"/>
  <c r="F20" i="2"/>
  <c r="E20" i="38" s="1"/>
  <c r="E20" i="2"/>
  <c r="D20" i="38" s="1"/>
  <c r="K19" i="20"/>
  <c r="J19" i="2"/>
  <c r="I19" i="38" s="1"/>
  <c r="I19" i="2"/>
  <c r="H19" i="38" s="1"/>
  <c r="H19" i="2"/>
  <c r="G19" i="38" s="1"/>
  <c r="G19" i="2"/>
  <c r="F19" i="38" s="1"/>
  <c r="F19" i="2"/>
  <c r="E19" i="38" s="1"/>
  <c r="E19" i="2"/>
  <c r="D19" i="38" s="1"/>
  <c r="J18" i="2"/>
  <c r="I18" i="38" s="1"/>
  <c r="I18" i="2"/>
  <c r="H18" i="38" s="1"/>
  <c r="H18" i="2"/>
  <c r="G18" i="38" s="1"/>
  <c r="G18" i="2"/>
  <c r="F18" i="38" s="1"/>
  <c r="F18" i="2"/>
  <c r="E18" i="38" s="1"/>
  <c r="E18" i="2"/>
  <c r="D18" i="38" s="1"/>
  <c r="K17" i="20"/>
  <c r="J17" i="2"/>
  <c r="I17" i="38" s="1"/>
  <c r="I17" i="2"/>
  <c r="H17" i="38" s="1"/>
  <c r="H17" i="2"/>
  <c r="G17" i="38" s="1"/>
  <c r="G17" i="2"/>
  <c r="F17" i="38" s="1"/>
  <c r="F17" i="2"/>
  <c r="E17" i="38" s="1"/>
  <c r="E17" i="2"/>
  <c r="D17" i="38" s="1"/>
  <c r="D17" i="2"/>
  <c r="K16" i="20"/>
  <c r="J16" i="2"/>
  <c r="I16" i="38" s="1"/>
  <c r="I16" i="2"/>
  <c r="H16" i="38" s="1"/>
  <c r="H16" i="2"/>
  <c r="G16" i="38" s="1"/>
  <c r="G16" i="2"/>
  <c r="F16" i="38" s="1"/>
  <c r="F16" i="2"/>
  <c r="E16" i="38" s="1"/>
  <c r="E16" i="2"/>
  <c r="D16" i="38" s="1"/>
  <c r="D16" i="2"/>
  <c r="J15" i="2"/>
  <c r="I15" i="38" s="1"/>
  <c r="I15" i="2"/>
  <c r="H15" i="38" s="1"/>
  <c r="H15" i="2"/>
  <c r="G15" i="38" s="1"/>
  <c r="G15" i="2"/>
  <c r="F15" i="38" s="1"/>
  <c r="F15" i="2"/>
  <c r="E15" i="38" s="1"/>
  <c r="E15" i="2"/>
  <c r="D15" i="38" s="1"/>
  <c r="K14" i="20"/>
  <c r="J14" i="2"/>
  <c r="I14" i="38" s="1"/>
  <c r="I14" i="2"/>
  <c r="H14" i="38" s="1"/>
  <c r="H14" i="2"/>
  <c r="G14" i="38" s="1"/>
  <c r="G14" i="2"/>
  <c r="F14" i="38" s="1"/>
  <c r="F14" i="2"/>
  <c r="E14" i="38" s="1"/>
  <c r="E14" i="2"/>
  <c r="D14" i="38" s="1"/>
  <c r="K13" i="20"/>
  <c r="J13" i="2"/>
  <c r="I13" i="38" s="1"/>
  <c r="I13" i="2"/>
  <c r="H13" i="38" s="1"/>
  <c r="H13" i="2"/>
  <c r="G13" i="38" s="1"/>
  <c r="G13" i="2"/>
  <c r="F13" i="38" s="1"/>
  <c r="F13" i="2"/>
  <c r="E13" i="38" s="1"/>
  <c r="E13" i="2"/>
  <c r="D13" i="38" s="1"/>
  <c r="J12" i="2"/>
  <c r="I12" i="38" s="1"/>
  <c r="I12" i="2"/>
  <c r="H12" i="38" s="1"/>
  <c r="H12" i="2"/>
  <c r="G12" i="38" s="1"/>
  <c r="G12" i="2"/>
  <c r="F12" i="38" s="1"/>
  <c r="F12" i="2"/>
  <c r="E12" i="38" s="1"/>
  <c r="E12" i="2"/>
  <c r="D12" i="38" s="1"/>
  <c r="J11" i="2"/>
  <c r="I11" i="38" s="1"/>
  <c r="I11" i="2"/>
  <c r="H11" i="38" s="1"/>
  <c r="H11" i="2"/>
  <c r="G11" i="38" s="1"/>
  <c r="G11" i="2"/>
  <c r="F11" i="38" s="1"/>
  <c r="F11" i="2"/>
  <c r="E11" i="2"/>
  <c r="D11" i="38" s="1"/>
  <c r="K10" i="20"/>
  <c r="J10" i="2"/>
  <c r="I10" i="38" s="1"/>
  <c r="I10" i="2"/>
  <c r="H10" i="38" s="1"/>
  <c r="H10" i="2"/>
  <c r="G10" i="38" s="1"/>
  <c r="G10" i="2"/>
  <c r="F10" i="38" s="1"/>
  <c r="F10" i="2"/>
  <c r="E10" i="38" s="1"/>
  <c r="E10" i="2"/>
  <c r="D10" i="38" s="1"/>
  <c r="D171" i="20"/>
  <c r="D61" i="20"/>
  <c r="D60" i="20"/>
  <c r="C169" i="11"/>
  <c r="C59" i="11"/>
  <c r="C58" i="11"/>
  <c r="C57" i="11"/>
  <c r="AI175" i="2"/>
  <c r="AH175" i="2"/>
  <c r="AG175" i="2"/>
  <c r="AD174" i="23" s="1"/>
  <c r="AG174" i="23" s="1"/>
  <c r="AK174" i="2"/>
  <c r="AI174" i="2"/>
  <c r="CG174" i="10" s="1"/>
  <c r="AH174" i="2"/>
  <c r="AG174" i="2"/>
  <c r="AD173" i="23" s="1"/>
  <c r="AG173" i="23" s="1"/>
  <c r="D175" i="2"/>
  <c r="D174" i="2"/>
  <c r="A78" i="9"/>
  <c r="A77" i="9"/>
  <c r="AK162" i="2"/>
  <c r="CH161" i="10" s="1"/>
  <c r="AI162" i="2"/>
  <c r="CG161" i="10" s="1"/>
  <c r="AH162" i="2"/>
  <c r="AG162" i="2"/>
  <c r="AD161" i="23" s="1"/>
  <c r="AG161" i="23" s="1"/>
  <c r="D162" i="2"/>
  <c r="AK155" i="2"/>
  <c r="AI155" i="2"/>
  <c r="AH155" i="2"/>
  <c r="AG155" i="2"/>
  <c r="AD154" i="23" s="1"/>
  <c r="AG154" i="23" s="1"/>
  <c r="D155" i="2"/>
  <c r="AK149" i="2"/>
  <c r="AI149" i="2"/>
  <c r="AH149" i="2"/>
  <c r="AG149" i="2"/>
  <c r="AD148" i="23" s="1"/>
  <c r="AG148" i="23" s="1"/>
  <c r="D149" i="2"/>
  <c r="AH115" i="2"/>
  <c r="AG115" i="2"/>
  <c r="AD114" i="23" s="1"/>
  <c r="AG114" i="23" s="1"/>
  <c r="D115" i="2"/>
  <c r="AI109" i="2"/>
  <c r="CG108" i="10" s="1"/>
  <c r="AH109" i="2"/>
  <c r="AG109" i="2"/>
  <c r="AD108" i="23" s="1"/>
  <c r="AG108" i="23" s="1"/>
  <c r="D109" i="2"/>
  <c r="A51" i="9"/>
  <c r="AI103" i="2"/>
  <c r="CG102" i="10" s="1"/>
  <c r="AH103" i="2"/>
  <c r="AG103" i="2"/>
  <c r="AD102" i="23" s="1"/>
  <c r="AG102" i="23" s="1"/>
  <c r="D103" i="2"/>
  <c r="A49" i="9"/>
  <c r="AK93" i="2"/>
  <c r="AI93" i="2"/>
  <c r="AH93" i="2"/>
  <c r="AG93" i="2"/>
  <c r="AD92" i="23" s="1"/>
  <c r="AG92" i="23" s="1"/>
  <c r="D93" i="2"/>
  <c r="A45" i="9"/>
  <c r="AK87" i="2"/>
  <c r="CH86" i="10" s="1"/>
  <c r="CP86" i="10" s="1"/>
  <c r="AI87" i="2"/>
  <c r="CG86" i="10" s="1"/>
  <c r="AH87" i="2"/>
  <c r="AG87" i="2"/>
  <c r="AD86" i="23" s="1"/>
  <c r="AG86" i="23" s="1"/>
  <c r="D87" i="2"/>
  <c r="A43" i="9"/>
  <c r="AK72" i="2"/>
  <c r="AI72" i="2"/>
  <c r="CG71" i="10" s="1"/>
  <c r="AH72" i="2"/>
  <c r="AG72" i="2"/>
  <c r="AD71" i="23" s="1"/>
  <c r="AG71" i="23" s="1"/>
  <c r="A34" i="9"/>
  <c r="A32" i="9"/>
  <c r="A31" i="9"/>
  <c r="A30" i="9"/>
  <c r="D32" i="9"/>
  <c r="D31" i="9"/>
  <c r="AI51" i="2"/>
  <c r="CG50" i="10" s="1"/>
  <c r="AH51" i="2"/>
  <c r="AG51" i="2"/>
  <c r="AD50" i="23" s="1"/>
  <c r="AG50" i="23" s="1"/>
  <c r="D51" i="2"/>
  <c r="A26" i="9"/>
  <c r="AK44" i="2"/>
  <c r="AI44" i="2"/>
  <c r="AH44" i="2"/>
  <c r="AG44" i="2"/>
  <c r="AD43" i="23" s="1"/>
  <c r="AG43" i="23" s="1"/>
  <c r="AK43" i="2"/>
  <c r="AI43" i="2"/>
  <c r="CG42" i="10" s="1"/>
  <c r="AH43" i="2"/>
  <c r="AD42" i="23"/>
  <c r="AG42" i="23" s="1"/>
  <c r="AK42" i="2"/>
  <c r="AI42" i="2"/>
  <c r="AH42" i="2"/>
  <c r="AG42" i="2"/>
  <c r="AD41" i="23" s="1"/>
  <c r="AG41" i="23" s="1"/>
  <c r="AK41" i="2"/>
  <c r="AI41" i="2"/>
  <c r="CG40" i="10" s="1"/>
  <c r="AH41" i="2"/>
  <c r="AG41" i="2"/>
  <c r="AD40" i="23" s="1"/>
  <c r="AG40" i="23" s="1"/>
  <c r="AK40" i="2"/>
  <c r="AI40" i="2"/>
  <c r="CG39" i="10" s="1"/>
  <c r="AH40" i="2"/>
  <c r="AG40" i="2"/>
  <c r="AD39" i="23" s="1"/>
  <c r="AG39" i="23" s="1"/>
  <c r="D44" i="2"/>
  <c r="D43" i="2"/>
  <c r="D42" i="2"/>
  <c r="D41" i="2"/>
  <c r="D40" i="2"/>
  <c r="A17" i="9"/>
  <c r="AK35" i="2"/>
  <c r="R34" i="26" s="1"/>
  <c r="AI35" i="2"/>
  <c r="CG34" i="10" s="1"/>
  <c r="AH35" i="2"/>
  <c r="AG35" i="2"/>
  <c r="AD34" i="23" s="1"/>
  <c r="AG34" i="23" s="1"/>
  <c r="AK34" i="2"/>
  <c r="R33" i="26" s="1"/>
  <c r="AI34" i="2"/>
  <c r="CG33" i="10" s="1"/>
  <c r="AH34" i="2"/>
  <c r="AG34" i="2"/>
  <c r="AD33" i="23" s="1"/>
  <c r="AG33" i="23" s="1"/>
  <c r="D35" i="2"/>
  <c r="B26" i="40" s="1"/>
  <c r="D26" i="41" s="1"/>
  <c r="D34" i="2"/>
  <c r="B25" i="40" s="1"/>
  <c r="D25" i="41" s="1"/>
  <c r="A15" i="9"/>
  <c r="A14" i="9"/>
  <c r="AK32" i="2"/>
  <c r="R31" i="26" s="1"/>
  <c r="AI32" i="2"/>
  <c r="AH32" i="2"/>
  <c r="AG32" i="2"/>
  <c r="AD31" i="23" s="1"/>
  <c r="AG31" i="23" s="1"/>
  <c r="D32" i="2"/>
  <c r="C32" i="38" s="1"/>
  <c r="AK29" i="2"/>
  <c r="R28" i="26" s="1"/>
  <c r="AI29" i="2"/>
  <c r="CG28" i="10" s="1"/>
  <c r="AH29" i="2"/>
  <c r="AG29" i="2"/>
  <c r="AD28" i="23" s="1"/>
  <c r="AG28" i="23" s="1"/>
  <c r="D29" i="2"/>
  <c r="B28" i="10" s="1"/>
  <c r="AK27" i="2"/>
  <c r="R26" i="26" s="1"/>
  <c r="AI27" i="2"/>
  <c r="CG26" i="10" s="1"/>
  <c r="AH27" i="2"/>
  <c r="AG27" i="2"/>
  <c r="AD26" i="23" s="1"/>
  <c r="AG26" i="23" s="1"/>
  <c r="D27" i="2"/>
  <c r="AK26" i="2"/>
  <c r="R25" i="26" s="1"/>
  <c r="AI26" i="2"/>
  <c r="CG25" i="10" s="1"/>
  <c r="AH26" i="2"/>
  <c r="AG26" i="2"/>
  <c r="AD25" i="23" s="1"/>
  <c r="AG25" i="23" s="1"/>
  <c r="D26" i="2"/>
  <c r="AK23" i="2"/>
  <c r="R22" i="26" s="1"/>
  <c r="AI23" i="2"/>
  <c r="CG22" i="10" s="1"/>
  <c r="AH23" i="2"/>
  <c r="AD22" i="23"/>
  <c r="AG22" i="23" s="1"/>
  <c r="D23" i="2"/>
  <c r="A12" i="9"/>
  <c r="A11" i="9"/>
  <c r="A10" i="9"/>
  <c r="A9" i="9"/>
  <c r="A8" i="9"/>
  <c r="M64" i="9"/>
  <c r="N64" i="9"/>
  <c r="O64" i="9"/>
  <c r="P64" i="9"/>
  <c r="Q64" i="9"/>
  <c r="M13" i="9"/>
  <c r="N13" i="9"/>
  <c r="O13" i="9"/>
  <c r="P13" i="9"/>
  <c r="Q13" i="9"/>
  <c r="AD179" i="23"/>
  <c r="AK179" i="2"/>
  <c r="CH179" i="10" s="1"/>
  <c r="CM179" i="10" s="1"/>
  <c r="AI179" i="2"/>
  <c r="AH179" i="2"/>
  <c r="AG179" i="2"/>
  <c r="AD178" i="23" s="1"/>
  <c r="AG178" i="23" s="1"/>
  <c r="D180" i="2"/>
  <c r="D179" i="2"/>
  <c r="AK164" i="2"/>
  <c r="CH163" i="10" s="1"/>
  <c r="AI164" i="2"/>
  <c r="CG163" i="10" s="1"/>
  <c r="AH164" i="2"/>
  <c r="AG164" i="2"/>
  <c r="AD163" i="23" s="1"/>
  <c r="AG163" i="23" s="1"/>
  <c r="D164" i="2"/>
  <c r="AK159" i="2"/>
  <c r="AI159" i="2"/>
  <c r="AH159" i="2"/>
  <c r="AG159" i="2"/>
  <c r="AD158" i="23" s="1"/>
  <c r="AG158" i="23" s="1"/>
  <c r="D159" i="2"/>
  <c r="AK153" i="2"/>
  <c r="AI153" i="2"/>
  <c r="AH153" i="2"/>
  <c r="AG153" i="2"/>
  <c r="AD152" i="23" s="1"/>
  <c r="AG152" i="23" s="1"/>
  <c r="D153" i="2"/>
  <c r="AK119" i="2"/>
  <c r="CH118" i="10" s="1"/>
  <c r="AI119" i="2"/>
  <c r="AH119" i="2"/>
  <c r="AG119" i="2"/>
  <c r="AD118" i="23" s="1"/>
  <c r="AG118" i="23" s="1"/>
  <c r="D119" i="2"/>
  <c r="AI113" i="2"/>
  <c r="AH113" i="2"/>
  <c r="AG113" i="2"/>
  <c r="AD112" i="23" s="1"/>
  <c r="AG112" i="23" s="1"/>
  <c r="D113" i="2"/>
  <c r="AK107" i="2"/>
  <c r="CH106" i="10" s="1"/>
  <c r="AI107" i="2"/>
  <c r="CG106" i="10" s="1"/>
  <c r="AH107" i="2"/>
  <c r="AG107" i="2"/>
  <c r="AD106" i="23" s="1"/>
  <c r="AG106" i="23" s="1"/>
  <c r="D107" i="2"/>
  <c r="AK98" i="2"/>
  <c r="AI98" i="2"/>
  <c r="AH98" i="2"/>
  <c r="AG98" i="2"/>
  <c r="AD97" i="23" s="1"/>
  <c r="AG97" i="23" s="1"/>
  <c r="AK89" i="2"/>
  <c r="CH88" i="10" s="1"/>
  <c r="AI89" i="2"/>
  <c r="CG88" i="10" s="1"/>
  <c r="AH89" i="2"/>
  <c r="AG89" i="2"/>
  <c r="AD88" i="23" s="1"/>
  <c r="AG88" i="23" s="1"/>
  <c r="D89" i="2"/>
  <c r="A38" i="8"/>
  <c r="AK78" i="2"/>
  <c r="AI78" i="2"/>
  <c r="CG77" i="10" s="1"/>
  <c r="CI77" i="10" s="1"/>
  <c r="AH78" i="2"/>
  <c r="AG78" i="2"/>
  <c r="AD77" i="23" s="1"/>
  <c r="AG77" i="23" s="1"/>
  <c r="D78" i="2"/>
  <c r="A34" i="8"/>
  <c r="AG70" i="2"/>
  <c r="AD69" i="23" s="1"/>
  <c r="AG69" i="23" s="1"/>
  <c r="D70" i="2"/>
  <c r="A31" i="8"/>
  <c r="L29" i="8"/>
  <c r="AK66" i="2"/>
  <c r="AI66" i="2"/>
  <c r="CG65" i="10" s="1"/>
  <c r="AH66" i="2"/>
  <c r="AG66" i="2"/>
  <c r="AD65" i="23" s="1"/>
  <c r="AG65" i="23" s="1"/>
  <c r="D66" i="2"/>
  <c r="A29" i="8"/>
  <c r="AG61" i="2"/>
  <c r="AD60" i="23" s="1"/>
  <c r="AG60" i="23" s="1"/>
  <c r="AH60" i="2"/>
  <c r="AI60" i="2"/>
  <c r="CG59" i="10" s="1"/>
  <c r="AK60" i="2"/>
  <c r="AG60" i="2"/>
  <c r="AD59" i="23" s="1"/>
  <c r="AG59" i="23" s="1"/>
  <c r="W25" i="8"/>
  <c r="V25" i="8"/>
  <c r="U25" i="8"/>
  <c r="T25" i="8"/>
  <c r="A27" i="8"/>
  <c r="A26" i="8"/>
  <c r="A25" i="8"/>
  <c r="D30" i="9"/>
  <c r="AI53" i="2"/>
  <c r="CG52" i="10" s="1"/>
  <c r="AH53" i="2"/>
  <c r="AG53" i="2"/>
  <c r="AD52" i="23" s="1"/>
  <c r="AG52" i="23" s="1"/>
  <c r="A21" i="8"/>
  <c r="AK47" i="2"/>
  <c r="AI47" i="2"/>
  <c r="CG46" i="10" s="1"/>
  <c r="AH47" i="2"/>
  <c r="AG47" i="2"/>
  <c r="AD46" i="23" s="1"/>
  <c r="AG46" i="23" s="1"/>
  <c r="AK49" i="2"/>
  <c r="AI49" i="2"/>
  <c r="CG48" i="10" s="1"/>
  <c r="AH49" i="2"/>
  <c r="AG49" i="2"/>
  <c r="AD48" i="23" s="1"/>
  <c r="AG48" i="23" s="1"/>
  <c r="D49" i="2"/>
  <c r="A19" i="8"/>
  <c r="AK30" i="2"/>
  <c r="R29" i="26" s="1"/>
  <c r="AI30" i="2"/>
  <c r="CG29" i="10" s="1"/>
  <c r="AH30" i="2"/>
  <c r="AG30" i="2"/>
  <c r="AD29" i="23" s="1"/>
  <c r="AG29" i="23" s="1"/>
  <c r="D30" i="2"/>
  <c r="AK20" i="2"/>
  <c r="R19" i="26" s="1"/>
  <c r="AI20" i="2"/>
  <c r="CG19" i="10" s="1"/>
  <c r="AH20" i="2"/>
  <c r="AG20" i="2"/>
  <c r="AD19" i="23" s="1"/>
  <c r="AG19" i="23" s="1"/>
  <c r="D20" i="2"/>
  <c r="AK19" i="2"/>
  <c r="R18" i="26" s="1"/>
  <c r="AI19" i="2"/>
  <c r="CG18" i="10" s="1"/>
  <c r="AH19" i="2"/>
  <c r="AG19" i="2"/>
  <c r="AD18" i="23" s="1"/>
  <c r="AG18" i="23" s="1"/>
  <c r="D19" i="2"/>
  <c r="AK18" i="2"/>
  <c r="R17" i="26" s="1"/>
  <c r="AI18" i="2"/>
  <c r="CG17" i="10" s="1"/>
  <c r="AH18" i="2"/>
  <c r="AG18" i="2"/>
  <c r="AD17" i="23" s="1"/>
  <c r="AG17" i="23" s="1"/>
  <c r="D18" i="2"/>
  <c r="AK15" i="2"/>
  <c r="R14" i="26" s="1"/>
  <c r="AI15" i="2"/>
  <c r="CG14" i="10" s="1"/>
  <c r="AH15" i="2"/>
  <c r="AG15" i="2"/>
  <c r="AD14" i="23" s="1"/>
  <c r="AG14" i="23" s="1"/>
  <c r="D15" i="2"/>
  <c r="AI13" i="2"/>
  <c r="CG12" i="10" s="1"/>
  <c r="AH13" i="2"/>
  <c r="AG13" i="2"/>
  <c r="AD12" i="23" s="1"/>
  <c r="AG12" i="23" s="1"/>
  <c r="D13" i="2"/>
  <c r="A13" i="8"/>
  <c r="A12" i="8"/>
  <c r="A11" i="8"/>
  <c r="A10" i="8"/>
  <c r="A9" i="8"/>
  <c r="M26" i="8"/>
  <c r="L26" i="8" s="1"/>
  <c r="M47" i="8"/>
  <c r="N47" i="8"/>
  <c r="O47" i="8"/>
  <c r="P47" i="8"/>
  <c r="Q47" i="8"/>
  <c r="AK178" i="2"/>
  <c r="AI178" i="2"/>
  <c r="CG178" i="10" s="1"/>
  <c r="AH178" i="2"/>
  <c r="AG178" i="2"/>
  <c r="AD177" i="23" s="1"/>
  <c r="AG177" i="23" s="1"/>
  <c r="D178" i="2"/>
  <c r="AK166" i="2"/>
  <c r="CH165" i="10" s="1"/>
  <c r="AI166" i="2"/>
  <c r="CG165" i="10" s="1"/>
  <c r="AH166" i="2"/>
  <c r="AG166" i="2"/>
  <c r="AD165" i="23" s="1"/>
  <c r="AG165" i="23" s="1"/>
  <c r="D166" i="2"/>
  <c r="AK158" i="2"/>
  <c r="AI158" i="2"/>
  <c r="AH158" i="2"/>
  <c r="AG158" i="2"/>
  <c r="AD157" i="23" s="1"/>
  <c r="AG157" i="23" s="1"/>
  <c r="D158" i="2"/>
  <c r="AK152" i="2"/>
  <c r="AI152" i="2"/>
  <c r="AH152" i="2"/>
  <c r="AG152" i="2"/>
  <c r="AD151" i="23" s="1"/>
  <c r="AG151" i="23" s="1"/>
  <c r="D152" i="2"/>
  <c r="AK118" i="2"/>
  <c r="CH117" i="10" s="1"/>
  <c r="AI118" i="2"/>
  <c r="AH118" i="2"/>
  <c r="AG118" i="2"/>
  <c r="AD117" i="23" s="1"/>
  <c r="AG117" i="23" s="1"/>
  <c r="D118" i="2"/>
  <c r="AI112" i="2"/>
  <c r="AH112" i="2"/>
  <c r="AG112" i="2"/>
  <c r="AD111" i="23" s="1"/>
  <c r="AG111" i="23" s="1"/>
  <c r="D112" i="2"/>
  <c r="AI106" i="2"/>
  <c r="CG105" i="10" s="1"/>
  <c r="AH106" i="2"/>
  <c r="AG106" i="2"/>
  <c r="AD105" i="23" s="1"/>
  <c r="AG105" i="23" s="1"/>
  <c r="D106" i="2"/>
  <c r="AK97" i="2"/>
  <c r="AI97" i="2"/>
  <c r="AH97" i="2"/>
  <c r="AG97" i="2"/>
  <c r="AD96" i="23" s="1"/>
  <c r="AG96" i="23" s="1"/>
  <c r="D97" i="2"/>
  <c r="A42" i="7"/>
  <c r="AK91" i="2"/>
  <c r="CH90" i="10" s="1"/>
  <c r="AI91" i="2"/>
  <c r="CG90" i="10" s="1"/>
  <c r="AH91" i="2"/>
  <c r="AG91" i="2"/>
  <c r="AD90" i="23" s="1"/>
  <c r="AG90" i="23" s="1"/>
  <c r="D91" i="2"/>
  <c r="A40" i="7"/>
  <c r="O39" i="7"/>
  <c r="N39" i="7"/>
  <c r="M39" i="7"/>
  <c r="AK83" i="2"/>
  <c r="AI83" i="2"/>
  <c r="CG82" i="10" s="1"/>
  <c r="AH83" i="2"/>
  <c r="AG83" i="2"/>
  <c r="AD82" i="23" s="1"/>
  <c r="AG82" i="23" s="1"/>
  <c r="AK82" i="2"/>
  <c r="AI82" i="2"/>
  <c r="CG81" i="10" s="1"/>
  <c r="CJ81" i="10" s="1"/>
  <c r="AH82" i="2"/>
  <c r="AG82" i="2"/>
  <c r="AD81" i="23" s="1"/>
  <c r="AG81" i="23" s="1"/>
  <c r="D83" i="2"/>
  <c r="C83" i="38" s="1"/>
  <c r="D82" i="2"/>
  <c r="C82" i="38" s="1"/>
  <c r="A36" i="7"/>
  <c r="A35" i="7"/>
  <c r="AK77" i="2"/>
  <c r="AI77" i="2"/>
  <c r="CG76" i="10" s="1"/>
  <c r="AH77" i="2"/>
  <c r="AG77" i="2"/>
  <c r="AD76" i="23" s="1"/>
  <c r="AG76" i="23" s="1"/>
  <c r="D77" i="2"/>
  <c r="A33" i="7"/>
  <c r="AK69" i="2"/>
  <c r="AI69" i="2"/>
  <c r="CG68" i="10" s="1"/>
  <c r="AH69" i="2"/>
  <c r="AG69" i="2"/>
  <c r="AD68" i="23" s="1"/>
  <c r="AG68" i="23" s="1"/>
  <c r="D69" i="2"/>
  <c r="K30" i="7"/>
  <c r="AK65" i="2"/>
  <c r="AI65" i="2"/>
  <c r="CG64" i="10" s="1"/>
  <c r="AH65" i="2"/>
  <c r="AG65" i="2"/>
  <c r="AD64" i="23" s="1"/>
  <c r="AG64" i="23" s="1"/>
  <c r="D65" i="2"/>
  <c r="AI54" i="2"/>
  <c r="CG53" i="10" s="1"/>
  <c r="AH54" i="2"/>
  <c r="AG54" i="2"/>
  <c r="AD53" i="23" s="1"/>
  <c r="AG53" i="23" s="1"/>
  <c r="D54" i="2"/>
  <c r="AK48" i="2"/>
  <c r="AI48" i="2"/>
  <c r="CG47" i="10" s="1"/>
  <c r="AH48" i="2"/>
  <c r="AG48" i="2"/>
  <c r="AD47" i="23" s="1"/>
  <c r="AG47" i="23" s="1"/>
  <c r="D48" i="2"/>
  <c r="AG37" i="2"/>
  <c r="AD36" i="23" s="1"/>
  <c r="AG36" i="23" s="1"/>
  <c r="AK38" i="2"/>
  <c r="R37" i="26" s="1"/>
  <c r="N29" i="41" s="1"/>
  <c r="AI38" i="2"/>
  <c r="CG37" i="10" s="1"/>
  <c r="CK37" i="10" s="1"/>
  <c r="AH38" i="2"/>
  <c r="AG38" i="2"/>
  <c r="AD37" i="23" s="1"/>
  <c r="AG37" i="23" s="1"/>
  <c r="AK37" i="2"/>
  <c r="R36" i="26" s="1"/>
  <c r="AI37" i="2"/>
  <c r="CG36" i="10" s="1"/>
  <c r="AH37" i="2"/>
  <c r="D38" i="2"/>
  <c r="C36" i="11" s="1"/>
  <c r="AK14" i="2"/>
  <c r="R13" i="26" s="1"/>
  <c r="AI14" i="2"/>
  <c r="CG13" i="10" s="1"/>
  <c r="AH14" i="2"/>
  <c r="AG14" i="2"/>
  <c r="AD13" i="23" s="1"/>
  <c r="AG13" i="23" s="1"/>
  <c r="AK12" i="2"/>
  <c r="R11" i="26" s="1"/>
  <c r="AI12" i="2"/>
  <c r="CG11" i="10" s="1"/>
  <c r="AH12" i="2"/>
  <c r="AG12" i="2"/>
  <c r="AD11" i="23" s="1"/>
  <c r="AG11" i="23" s="1"/>
  <c r="AI11" i="2"/>
  <c r="CG10" i="10" s="1"/>
  <c r="AH11" i="2"/>
  <c r="AG11" i="2"/>
  <c r="AD10" i="23" s="1"/>
  <c r="AG10" i="23" s="1"/>
  <c r="AI10" i="2"/>
  <c r="CG9" i="10" s="1"/>
  <c r="AH10" i="2"/>
  <c r="D14" i="2"/>
  <c r="D12" i="2"/>
  <c r="D11" i="2"/>
  <c r="D10" i="2"/>
  <c r="D10" i="25" s="1"/>
  <c r="A11" i="7"/>
  <c r="A10" i="7"/>
  <c r="A9" i="7"/>
  <c r="A8" i="7"/>
  <c r="G97" i="38" l="1"/>
  <c r="C73" i="40"/>
  <c r="B73" i="41" s="1"/>
  <c r="G95" i="38"/>
  <c r="C71" i="40"/>
  <c r="B71" i="41" s="1"/>
  <c r="G94" i="38"/>
  <c r="C70" i="40"/>
  <c r="B70" i="41" s="1"/>
  <c r="G96" i="38"/>
  <c r="C72" i="40"/>
  <c r="B72" i="41" s="1"/>
  <c r="G98" i="38"/>
  <c r="C74" i="40"/>
  <c r="B74" i="41" s="1"/>
  <c r="G183" i="38"/>
  <c r="C134" i="40"/>
  <c r="B134" i="41" s="1"/>
  <c r="G187" i="38"/>
  <c r="C138" i="40"/>
  <c r="B138" i="41" s="1"/>
  <c r="G186" i="38"/>
  <c r="C137" i="40"/>
  <c r="B137" i="41" s="1"/>
  <c r="G180" i="38"/>
  <c r="C131" i="40"/>
  <c r="B131" i="41" s="1"/>
  <c r="G68" i="38"/>
  <c r="C51" i="40"/>
  <c r="B51" i="41" s="1"/>
  <c r="G71" i="38"/>
  <c r="C54" i="40"/>
  <c r="B54" i="41" s="1"/>
  <c r="G69" i="38"/>
  <c r="C52" i="40"/>
  <c r="B52" i="41" s="1"/>
  <c r="G70" i="38"/>
  <c r="C53" i="40"/>
  <c r="B53" i="41" s="1"/>
  <c r="G72" i="38"/>
  <c r="C55" i="40"/>
  <c r="B55" i="41" s="1"/>
  <c r="G88" i="38"/>
  <c r="C65" i="40"/>
  <c r="B65" i="41" s="1"/>
  <c r="G90" i="38"/>
  <c r="C67" i="40"/>
  <c r="B67" i="41" s="1"/>
  <c r="G91" i="38"/>
  <c r="C68" i="40"/>
  <c r="B68" i="41" s="1"/>
  <c r="G89" i="38"/>
  <c r="C66" i="40"/>
  <c r="B66" i="41" s="1"/>
  <c r="G82" i="38"/>
  <c r="C61" i="40"/>
  <c r="B61" i="41" s="1"/>
  <c r="G78" i="38"/>
  <c r="C59" i="40"/>
  <c r="B59" i="41" s="1"/>
  <c r="G77" i="38"/>
  <c r="C58" i="40"/>
  <c r="B58" i="41" s="1"/>
  <c r="G76" i="38"/>
  <c r="C57" i="40"/>
  <c r="B57" i="41" s="1"/>
  <c r="G75" i="38"/>
  <c r="C56" i="40"/>
  <c r="B56" i="41" s="1"/>
  <c r="G51" i="38"/>
  <c r="C38" i="40"/>
  <c r="B38" i="41" s="1"/>
  <c r="G53" i="38"/>
  <c r="C40" i="40"/>
  <c r="B40" i="41" s="1"/>
  <c r="G54" i="38"/>
  <c r="C41" i="40"/>
  <c r="B41" i="41" s="1"/>
  <c r="G55" i="38"/>
  <c r="C42" i="40"/>
  <c r="B42" i="41" s="1"/>
  <c r="G52" i="38"/>
  <c r="C39" i="40"/>
  <c r="E11" i="38"/>
  <c r="F10" i="27"/>
  <c r="D93" i="38"/>
  <c r="D92" i="38"/>
  <c r="I159" i="38"/>
  <c r="I153" i="38"/>
  <c r="D80" i="38"/>
  <c r="D79" i="38"/>
  <c r="H80" i="38"/>
  <c r="H79" i="38"/>
  <c r="D87" i="38"/>
  <c r="D86" i="38"/>
  <c r="H87" i="38"/>
  <c r="H86" i="38"/>
  <c r="E93" i="38"/>
  <c r="E92" i="38"/>
  <c r="I93" i="38"/>
  <c r="I92" i="38"/>
  <c r="F159" i="38"/>
  <c r="F153" i="38"/>
  <c r="E172" i="38"/>
  <c r="E166" i="38"/>
  <c r="I172" i="38"/>
  <c r="I166" i="38"/>
  <c r="E181" i="38"/>
  <c r="E175" i="38"/>
  <c r="I181" i="38"/>
  <c r="I175" i="38"/>
  <c r="G182" i="38"/>
  <c r="G176" i="38"/>
  <c r="G184" i="38"/>
  <c r="G178" i="38"/>
  <c r="D185" i="38"/>
  <c r="D179" i="38"/>
  <c r="H185" i="38"/>
  <c r="H179" i="38"/>
  <c r="H93" i="38"/>
  <c r="H92" i="38"/>
  <c r="E159" i="38"/>
  <c r="E153" i="38"/>
  <c r="H172" i="38"/>
  <c r="H166" i="38"/>
  <c r="H181" i="38"/>
  <c r="H175" i="38"/>
  <c r="G185" i="38"/>
  <c r="G179" i="38"/>
  <c r="E80" i="38"/>
  <c r="E79" i="38"/>
  <c r="I80" i="38"/>
  <c r="I79" i="38"/>
  <c r="E87" i="38"/>
  <c r="E86" i="38"/>
  <c r="I87" i="38"/>
  <c r="I86" i="38"/>
  <c r="F93" i="38"/>
  <c r="F92" i="38"/>
  <c r="G159" i="38"/>
  <c r="G153" i="38"/>
  <c r="F172" i="38"/>
  <c r="F166" i="38"/>
  <c r="F181" i="38"/>
  <c r="F175" i="38"/>
  <c r="D182" i="38"/>
  <c r="D176" i="38"/>
  <c r="H182" i="38"/>
  <c r="H176" i="38"/>
  <c r="D184" i="38"/>
  <c r="D178" i="38"/>
  <c r="H184" i="38"/>
  <c r="H178" i="38"/>
  <c r="E185" i="38"/>
  <c r="E179" i="38"/>
  <c r="I185" i="38"/>
  <c r="I179" i="38"/>
  <c r="G80" i="38"/>
  <c r="G79" i="38"/>
  <c r="G87" i="38"/>
  <c r="G86" i="38"/>
  <c r="D172" i="38"/>
  <c r="D166" i="38"/>
  <c r="D181" i="38"/>
  <c r="D175" i="38"/>
  <c r="F182" i="38"/>
  <c r="F176" i="38"/>
  <c r="F184" i="38"/>
  <c r="F178" i="38"/>
  <c r="F80" i="38"/>
  <c r="F79" i="38"/>
  <c r="F87" i="38"/>
  <c r="F86" i="38"/>
  <c r="G93" i="38"/>
  <c r="G92" i="38"/>
  <c r="D159" i="38"/>
  <c r="D153" i="38"/>
  <c r="H159" i="38"/>
  <c r="H153" i="38"/>
  <c r="G172" i="38"/>
  <c r="G166" i="38"/>
  <c r="G181" i="38"/>
  <c r="G175" i="38"/>
  <c r="E182" i="38"/>
  <c r="E176" i="38"/>
  <c r="I182" i="38"/>
  <c r="I176" i="38"/>
  <c r="E184" i="38"/>
  <c r="E178" i="38"/>
  <c r="I184" i="38"/>
  <c r="I178" i="38"/>
  <c r="F185" i="38"/>
  <c r="F179" i="38"/>
  <c r="AG179" i="23"/>
  <c r="AF179" i="23"/>
  <c r="AT179" i="2"/>
  <c r="AV179" i="2" s="1"/>
  <c r="CG179" i="10"/>
  <c r="CH178" i="10"/>
  <c r="AT178" i="2"/>
  <c r="AV178" i="2" s="1"/>
  <c r="CG175" i="10"/>
  <c r="AT175" i="2"/>
  <c r="AV175" i="2" s="1"/>
  <c r="CH174" i="10"/>
  <c r="CM174" i="10" s="1"/>
  <c r="AT174" i="2"/>
  <c r="AV174" i="2" s="1"/>
  <c r="C30" i="1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U37" i="1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AA59" i="10" s="1"/>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AA65" i="10" s="1"/>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E152" i="20"/>
  <c r="DA152" i="20"/>
  <c r="DG152" i="20"/>
  <c r="DB152" i="20"/>
  <c r="DD152" i="20"/>
  <c r="DC152" i="20"/>
  <c r="DF152" i="20"/>
  <c r="DC119" i="20"/>
  <c r="DE119" i="20"/>
  <c r="DD119" i="20"/>
  <c r="DG119" i="20"/>
  <c r="DF119" i="20"/>
  <c r="DB119" i="20"/>
  <c r="DA119" i="20"/>
  <c r="CH77" i="10"/>
  <c r="CK77" i="10" s="1"/>
  <c r="DC78" i="20"/>
  <c r="DF78" i="20"/>
  <c r="DB78" i="20"/>
  <c r="DE78" i="20"/>
  <c r="DA78" i="20"/>
  <c r="DG78" i="20"/>
  <c r="DD78" i="20"/>
  <c r="CK81" i="10"/>
  <c r="CL81" i="10" s="1"/>
  <c r="AJ42" i="2"/>
  <c r="CG41" i="10"/>
  <c r="AJ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W51" i="20"/>
  <c r="AS51" i="20"/>
  <c r="AB51" i="20"/>
  <c r="BO51" i="20"/>
  <c r="AT51" i="20"/>
  <c r="Y51" i="20"/>
  <c r="BQ51" i="20"/>
  <c r="BM51" i="20"/>
  <c r="AV51" i="20"/>
  <c r="AE51" i="20"/>
  <c r="AA51" i="20"/>
  <c r="BS51" i="20"/>
  <c r="AX51" i="20"/>
  <c r="AC51" i="20"/>
  <c r="BP51" i="20"/>
  <c r="AY51" i="20"/>
  <c r="AU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N60" i="27"/>
  <c r="G35" i="38"/>
  <c r="H35" i="25"/>
  <c r="AX153" i="20"/>
  <c r="AT153" i="20"/>
  <c r="AB153" i="20"/>
  <c r="AW153" i="20"/>
  <c r="AS153" i="20"/>
  <c r="AE153" i="20"/>
  <c r="AA153" i="20"/>
  <c r="AV153" i="20"/>
  <c r="AD153" i="20"/>
  <c r="Z153" i="20"/>
  <c r="AY153" i="20"/>
  <c r="AC153" i="20"/>
  <c r="AU153" i="20"/>
  <c r="Y153" i="20"/>
  <c r="AX149" i="20"/>
  <c r="AT149" i="20"/>
  <c r="AB149" i="20"/>
  <c r="AW149" i="20"/>
  <c r="AS149" i="20"/>
  <c r="AE149" i="20"/>
  <c r="AA149" i="20"/>
  <c r="AV149" i="20"/>
  <c r="AD149" i="20"/>
  <c r="Z149" i="20"/>
  <c r="AU149" i="20"/>
  <c r="Y149" i="20"/>
  <c r="AY149" i="20"/>
  <c r="AC14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F19" i="23"/>
  <c r="AF14" i="23"/>
  <c r="AF29" i="23"/>
  <c r="AF28" i="23"/>
  <c r="AF18" i="23"/>
  <c r="AF12" i="23"/>
  <c r="AF26" i="23"/>
  <c r="AF10" i="23"/>
  <c r="AF17" i="23"/>
  <c r="AF31" i="23"/>
  <c r="AF25" i="23"/>
  <c r="AF22" i="23"/>
  <c r="R17" i="24"/>
  <c r="U17" i="24" s="1"/>
  <c r="B10" i="10"/>
  <c r="C11" i="38"/>
  <c r="R10" i="24"/>
  <c r="U10" i="24" s="1"/>
  <c r="R64" i="24"/>
  <c r="U64" i="24" s="1"/>
  <c r="B90" i="10"/>
  <c r="C91" i="38"/>
  <c r="R96" i="24"/>
  <c r="U96" i="24" s="1"/>
  <c r="B117" i="10"/>
  <c r="C118" i="38"/>
  <c r="B157" i="10"/>
  <c r="C164" i="38"/>
  <c r="R165" i="24"/>
  <c r="U165" i="24" s="1"/>
  <c r="B12" i="10"/>
  <c r="C13" i="38"/>
  <c r="B179" i="10"/>
  <c r="C185" i="38"/>
  <c r="R22" i="24"/>
  <c r="U22" i="24" s="1"/>
  <c r="R31" i="24"/>
  <c r="U31" i="24" s="1"/>
  <c r="R33" i="24"/>
  <c r="R34" i="24"/>
  <c r="U34" i="24" s="1"/>
  <c r="B121" i="10"/>
  <c r="C122" i="38"/>
  <c r="F40" i="38"/>
  <c r="G40" i="20"/>
  <c r="B11" i="10"/>
  <c r="C12" i="38"/>
  <c r="B37" i="10"/>
  <c r="C38" i="38"/>
  <c r="R47" i="24"/>
  <c r="U47" i="24" s="1"/>
  <c r="B53" i="10"/>
  <c r="C54" i="38"/>
  <c r="B68" i="10"/>
  <c r="C69" i="38"/>
  <c r="R76" i="24"/>
  <c r="U76" i="24" s="1"/>
  <c r="R81" i="24"/>
  <c r="U81" i="24" s="1"/>
  <c r="R82" i="24"/>
  <c r="U82" i="24" s="1"/>
  <c r="B14" i="10"/>
  <c r="C15" i="38"/>
  <c r="R18" i="24"/>
  <c r="U18" i="24" s="1"/>
  <c r="R46" i="24"/>
  <c r="U46" i="24" s="1"/>
  <c r="B112" i="10"/>
  <c r="C113" i="38"/>
  <c r="R118" i="24"/>
  <c r="B152" i="10"/>
  <c r="C159" i="38"/>
  <c r="B163" i="10"/>
  <c r="C170" i="38"/>
  <c r="B33" i="10"/>
  <c r="C34" i="38"/>
  <c r="B86" i="10"/>
  <c r="C87" i="38"/>
  <c r="R92" i="24"/>
  <c r="R108" i="24"/>
  <c r="U108" i="24" s="1"/>
  <c r="B136" i="10"/>
  <c r="C137" i="38"/>
  <c r="R148" i="24"/>
  <c r="U148" i="24" s="1"/>
  <c r="H40" i="20"/>
  <c r="G40" i="38"/>
  <c r="H41" i="38"/>
  <c r="I41" i="20"/>
  <c r="I42" i="38"/>
  <c r="J42" i="20"/>
  <c r="D44" i="38"/>
  <c r="E44" i="20"/>
  <c r="H57" i="20"/>
  <c r="G57" i="38"/>
  <c r="H63" i="38"/>
  <c r="I63" i="20"/>
  <c r="I64" i="38"/>
  <c r="J64" i="20"/>
  <c r="D66" i="38"/>
  <c r="E66" i="20"/>
  <c r="H66" i="38"/>
  <c r="I66" i="20"/>
  <c r="B13" i="10"/>
  <c r="C14" i="38"/>
  <c r="R36" i="24"/>
  <c r="U36" i="24" s="1"/>
  <c r="R37" i="24"/>
  <c r="U37" i="24" s="1"/>
  <c r="B64" i="10"/>
  <c r="C65" i="38"/>
  <c r="D65" i="20"/>
  <c r="B81" i="10"/>
  <c r="R90" i="24"/>
  <c r="U90" i="24" s="1"/>
  <c r="B96" i="10"/>
  <c r="C97" i="38"/>
  <c r="R105" i="24"/>
  <c r="U105" i="24" s="1"/>
  <c r="B111" i="10"/>
  <c r="C112" i="38"/>
  <c r="R117" i="24"/>
  <c r="B127" i="10"/>
  <c r="B151" i="10"/>
  <c r="C158" i="38"/>
  <c r="R157" i="24"/>
  <c r="U157" i="24" s="1"/>
  <c r="B165" i="10"/>
  <c r="C172" i="38"/>
  <c r="R177" i="24"/>
  <c r="U177" i="24" s="1"/>
  <c r="R12" i="24"/>
  <c r="U12" i="24" s="1"/>
  <c r="B17" i="10"/>
  <c r="C18" i="38"/>
  <c r="R19" i="24"/>
  <c r="U19" i="24" s="1"/>
  <c r="R52" i="24"/>
  <c r="U52" i="24" s="1"/>
  <c r="B69" i="10"/>
  <c r="C70" i="38"/>
  <c r="R88" i="24"/>
  <c r="B22" i="10"/>
  <c r="C23" i="38"/>
  <c r="R26" i="24"/>
  <c r="U26" i="24" s="1"/>
  <c r="B34" i="10"/>
  <c r="C35" i="38"/>
  <c r="B41" i="10"/>
  <c r="C42" i="38"/>
  <c r="D42" i="20"/>
  <c r="R39" i="24"/>
  <c r="U39" i="24" s="1"/>
  <c r="R40" i="24"/>
  <c r="U40" i="24" s="1"/>
  <c r="R41" i="24"/>
  <c r="U41" i="24" s="1"/>
  <c r="R42" i="24"/>
  <c r="U42" i="24" s="1"/>
  <c r="R43" i="24"/>
  <c r="U43" i="24" s="1"/>
  <c r="B50" i="10"/>
  <c r="C51" i="38"/>
  <c r="R71" i="24"/>
  <c r="U71" i="24" s="1"/>
  <c r="B174" i="10"/>
  <c r="C180"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84" i="38"/>
  <c r="R77" i="24"/>
  <c r="U77" i="24" s="1"/>
  <c r="B43" i="10"/>
  <c r="C44" i="38"/>
  <c r="D44" i="20"/>
  <c r="R50" i="24"/>
  <c r="U50" i="24" s="1"/>
  <c r="B30" i="10"/>
  <c r="C31" i="38"/>
  <c r="B29" i="10"/>
  <c r="C30" i="38"/>
  <c r="R48" i="24"/>
  <c r="U48" i="24" s="1"/>
  <c r="R65" i="24"/>
  <c r="B77" i="10"/>
  <c r="C78" i="38"/>
  <c r="R106" i="24"/>
  <c r="U106" i="24" s="1"/>
  <c r="B128" i="10"/>
  <c r="R158" i="24"/>
  <c r="U158" i="24" s="1"/>
  <c r="B180" i="10"/>
  <c r="C186" i="38"/>
  <c r="R25" i="24"/>
  <c r="U25" i="24" s="1"/>
  <c r="C29" i="38"/>
  <c r="B40" i="10"/>
  <c r="C41" i="38"/>
  <c r="D41" i="20"/>
  <c r="B102" i="10"/>
  <c r="C103" i="38"/>
  <c r="B114" i="10"/>
  <c r="C115" i="38"/>
  <c r="B122" i="10"/>
  <c r="B154" i="10"/>
  <c r="C161" i="38"/>
  <c r="R161" i="24"/>
  <c r="U161" i="24" s="1"/>
  <c r="R173" i="24"/>
  <c r="U173" i="24" s="1"/>
  <c r="R174" i="24"/>
  <c r="U174" i="24" s="1"/>
  <c r="D41" i="38"/>
  <c r="E41" i="20"/>
  <c r="E42" i="38"/>
  <c r="F42" i="20"/>
  <c r="F43" i="38"/>
  <c r="G43" i="20"/>
  <c r="H44" i="38"/>
  <c r="I44" i="20"/>
  <c r="B56" i="10"/>
  <c r="C57" i="38"/>
  <c r="D57" i="20"/>
  <c r="D63" i="38"/>
  <c r="E63" i="20"/>
  <c r="E64" i="38"/>
  <c r="F64" i="20"/>
  <c r="F65" i="38"/>
  <c r="G65" i="20"/>
  <c r="B71" i="10"/>
  <c r="C72" i="38"/>
  <c r="B9" i="10"/>
  <c r="C10" i="38"/>
  <c r="R11" i="24"/>
  <c r="U11" i="24" s="1"/>
  <c r="R13" i="24"/>
  <c r="U13" i="24" s="1"/>
  <c r="B47" i="10"/>
  <c r="C48" i="38"/>
  <c r="R53" i="24"/>
  <c r="U53" i="24" s="1"/>
  <c r="R68" i="24"/>
  <c r="U68" i="24" s="1"/>
  <c r="B76" i="10"/>
  <c r="C77" i="38"/>
  <c r="B82" i="10"/>
  <c r="R14" i="24"/>
  <c r="U14" i="24" s="1"/>
  <c r="B18" i="10"/>
  <c r="C19" i="38"/>
  <c r="R29" i="24"/>
  <c r="U29" i="24" s="1"/>
  <c r="B48" i="10"/>
  <c r="C49" i="38"/>
  <c r="B65" i="10"/>
  <c r="C66" i="38"/>
  <c r="D66" i="20"/>
  <c r="R97" i="24"/>
  <c r="U97" i="24" s="1"/>
  <c r="B106" i="10"/>
  <c r="C107" i="38"/>
  <c r="R112" i="24"/>
  <c r="U112" i="24" s="1"/>
  <c r="B118" i="10"/>
  <c r="C119" i="38"/>
  <c r="C146" i="38"/>
  <c r="R152" i="24"/>
  <c r="U152" i="24" s="1"/>
  <c r="B158" i="10"/>
  <c r="C165" i="38"/>
  <c r="R163" i="24"/>
  <c r="U163" i="24" s="1"/>
  <c r="R178" i="24"/>
  <c r="U178" i="24" s="1"/>
  <c r="R179" i="24"/>
  <c r="U179" i="24" s="1"/>
  <c r="B25" i="10"/>
  <c r="C26" i="38"/>
  <c r="R28" i="24"/>
  <c r="B42" i="10"/>
  <c r="C43" i="38"/>
  <c r="D43" i="20"/>
  <c r="R86" i="24"/>
  <c r="B92" i="10"/>
  <c r="C93" i="38"/>
  <c r="R102" i="24"/>
  <c r="U102" i="24" s="1"/>
  <c r="B108" i="10"/>
  <c r="C109" i="38"/>
  <c r="R114" i="24"/>
  <c r="B148" i="10"/>
  <c r="C155" i="38"/>
  <c r="R154" i="24"/>
  <c r="U154" i="24" s="1"/>
  <c r="B161" i="10"/>
  <c r="C168" i="38"/>
  <c r="B175" i="10"/>
  <c r="C181"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B125" i="10"/>
  <c r="B126" i="10"/>
  <c r="R9" i="24"/>
  <c r="U9" i="24" s="1"/>
  <c r="B105" i="10"/>
  <c r="C106" i="38"/>
  <c r="R111" i="24"/>
  <c r="U111" i="24" s="1"/>
  <c r="C145" i="38"/>
  <c r="R151" i="24"/>
  <c r="U151" i="24" s="1"/>
  <c r="B19" i="10"/>
  <c r="C20" i="38"/>
  <c r="R59" i="24"/>
  <c r="B88" i="10"/>
  <c r="C89" i="38"/>
  <c r="B26" i="10"/>
  <c r="C27" i="38"/>
  <c r="B39" i="10"/>
  <c r="C40" i="38"/>
  <c r="D40" i="20"/>
  <c r="B135" i="10"/>
  <c r="C136"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8" i="38"/>
  <c r="D139" i="38"/>
  <c r="D137" i="11"/>
  <c r="B150" i="10"/>
  <c r="C157" i="38"/>
  <c r="B156" i="10"/>
  <c r="C163" i="38"/>
  <c r="C19" i="11"/>
  <c r="D17" i="20"/>
  <c r="M61" i="2"/>
  <c r="N61" i="2" s="1"/>
  <c r="T13" i="26"/>
  <c r="T29" i="26"/>
  <c r="R88" i="26"/>
  <c r="R42" i="26"/>
  <c r="R102" i="26"/>
  <c r="T102" i="26" s="1"/>
  <c r="R9" i="26"/>
  <c r="T9" i="26" s="1"/>
  <c r="R64" i="26"/>
  <c r="T64" i="26" s="1"/>
  <c r="R96" i="26"/>
  <c r="T96" i="26" s="1"/>
  <c r="R151" i="26"/>
  <c r="T151" i="26" s="1"/>
  <c r="BP152" i="20"/>
  <c r="BQ152" i="20"/>
  <c r="BS152" i="20"/>
  <c r="BO152" i="20"/>
  <c r="BR152" i="20"/>
  <c r="BN152" i="20"/>
  <c r="BM152" i="20"/>
  <c r="R165" i="26"/>
  <c r="T165" i="26" s="1"/>
  <c r="T17" i="26"/>
  <c r="R59" i="26"/>
  <c r="T59" i="26" s="1"/>
  <c r="R97" i="26"/>
  <c r="T97" i="26" s="1"/>
  <c r="R152" i="26"/>
  <c r="T152" i="26" s="1"/>
  <c r="BQ153" i="20"/>
  <c r="BM153" i="20"/>
  <c r="BP153" i="20"/>
  <c r="BN153" i="20"/>
  <c r="BS153" i="20"/>
  <c r="BO153" i="20"/>
  <c r="BR153" i="20"/>
  <c r="R163" i="26"/>
  <c r="T163" i="26" s="1"/>
  <c r="R178" i="26"/>
  <c r="R179" i="26"/>
  <c r="T28" i="26"/>
  <c r="R40" i="26"/>
  <c r="T40" i="26" s="1"/>
  <c r="R76" i="26"/>
  <c r="T76" i="26" s="1"/>
  <c r="R81" i="26"/>
  <c r="T81" i="26" s="1"/>
  <c r="R82" i="26"/>
  <c r="T82" i="26" s="1"/>
  <c r="T18" i="26"/>
  <c r="R48" i="26"/>
  <c r="R46" i="26"/>
  <c r="T46" i="26" s="1"/>
  <c r="R65" i="26"/>
  <c r="T22" i="26"/>
  <c r="T31" i="26"/>
  <c r="T33" i="26"/>
  <c r="T34" i="26"/>
  <c r="R50" i="26"/>
  <c r="T50" i="26" s="1"/>
  <c r="R92" i="26"/>
  <c r="T92" i="26" s="1"/>
  <c r="R148" i="26"/>
  <c r="BQ149" i="20"/>
  <c r="BM149" i="20"/>
  <c r="BP149" i="20"/>
  <c r="BN149" i="20"/>
  <c r="BS149" i="20"/>
  <c r="BO149" i="20"/>
  <c r="BR149" i="20"/>
  <c r="R161" i="26"/>
  <c r="T161" i="26" s="1"/>
  <c r="R173" i="26"/>
  <c r="T11" i="26"/>
  <c r="R53" i="26"/>
  <c r="T53" i="26" s="1"/>
  <c r="R68" i="26"/>
  <c r="T68" i="26" s="1"/>
  <c r="T14" i="26"/>
  <c r="T26" i="26"/>
  <c r="R39" i="26"/>
  <c r="T39" i="26" s="1"/>
  <c r="R41" i="26"/>
  <c r="T41" i="26" s="1"/>
  <c r="R43" i="26"/>
  <c r="T43" i="26" s="1"/>
  <c r="R71" i="26"/>
  <c r="T71" i="26" s="1"/>
  <c r="R86" i="26"/>
  <c r="R154" i="26"/>
  <c r="T154" i="26" s="1"/>
  <c r="R47" i="26"/>
  <c r="T36" i="26"/>
  <c r="T37" i="26"/>
  <c r="R90" i="26"/>
  <c r="T90" i="26" s="1"/>
  <c r="R117" i="26"/>
  <c r="T117" i="26" s="1"/>
  <c r="R157" i="26"/>
  <c r="T157" i="26" s="1"/>
  <c r="R177" i="26"/>
  <c r="T177" i="26" s="1"/>
  <c r="T12" i="26"/>
  <c r="T19" i="26"/>
  <c r="R52" i="26"/>
  <c r="T52" i="26" s="1"/>
  <c r="R106" i="26"/>
  <c r="T106" i="26" s="1"/>
  <c r="R118" i="26"/>
  <c r="T118" i="26" s="1"/>
  <c r="R158" i="26"/>
  <c r="T158" i="26" s="1"/>
  <c r="T25" i="26"/>
  <c r="H102" i="28"/>
  <c r="H103" i="27"/>
  <c r="H103" i="26"/>
  <c r="H104" i="25"/>
  <c r="H103" i="24"/>
  <c r="H103" i="23"/>
  <c r="D103" i="11"/>
  <c r="E103" i="28"/>
  <c r="E104" i="27"/>
  <c r="E104" i="26"/>
  <c r="E105" i="25"/>
  <c r="E104" i="24"/>
  <c r="E104" i="23"/>
  <c r="H103" i="11"/>
  <c r="I103" i="28"/>
  <c r="I104" i="27"/>
  <c r="I104" i="26"/>
  <c r="I105" i="25"/>
  <c r="I104" i="24"/>
  <c r="I104" i="23"/>
  <c r="F104" i="28"/>
  <c r="F105" i="27"/>
  <c r="F105" i="26"/>
  <c r="F106" i="25"/>
  <c r="F105" i="24"/>
  <c r="F105" i="23"/>
  <c r="J104" i="28"/>
  <c r="J105" i="27"/>
  <c r="J105" i="26"/>
  <c r="J106" i="25"/>
  <c r="J105" i="24"/>
  <c r="J105" i="23"/>
  <c r="G105" i="28"/>
  <c r="G106" i="27"/>
  <c r="G106" i="26"/>
  <c r="G107" i="25"/>
  <c r="G106" i="24"/>
  <c r="G106" i="23"/>
  <c r="H107" i="28"/>
  <c r="H108" i="27"/>
  <c r="H108" i="26"/>
  <c r="H109" i="25"/>
  <c r="H108" i="24"/>
  <c r="H108" i="23"/>
  <c r="E108" i="11"/>
  <c r="F108" i="28"/>
  <c r="F109" i="27"/>
  <c r="F109" i="26"/>
  <c r="F110" i="25"/>
  <c r="F109" i="24"/>
  <c r="F109" i="23"/>
  <c r="J108" i="28"/>
  <c r="J109" i="27"/>
  <c r="J109" i="26"/>
  <c r="J110" i="25"/>
  <c r="J109" i="24"/>
  <c r="J109" i="23"/>
  <c r="H111" i="20"/>
  <c r="H109" i="28"/>
  <c r="H110" i="27"/>
  <c r="H110" i="26"/>
  <c r="H111" i="25"/>
  <c r="H110" i="24"/>
  <c r="H110" i="23"/>
  <c r="F110" i="28"/>
  <c r="F111" i="27"/>
  <c r="F111" i="26"/>
  <c r="F112" i="25"/>
  <c r="F111" i="24"/>
  <c r="F111" i="23"/>
  <c r="J110" i="28"/>
  <c r="J111" i="27"/>
  <c r="J111" i="26"/>
  <c r="J112" i="25"/>
  <c r="J111" i="24"/>
  <c r="J111" i="23"/>
  <c r="H111" i="28"/>
  <c r="H112" i="27"/>
  <c r="H112" i="26"/>
  <c r="H113" i="25"/>
  <c r="H112" i="24"/>
  <c r="H112" i="23"/>
  <c r="F113" i="28"/>
  <c r="F114" i="27"/>
  <c r="F114" i="26"/>
  <c r="F115" i="25"/>
  <c r="F114" i="24"/>
  <c r="F114" i="23"/>
  <c r="J113" i="28"/>
  <c r="J114" i="26"/>
  <c r="J114" i="27"/>
  <c r="J115" i="25"/>
  <c r="J114" i="24"/>
  <c r="J114" i="23"/>
  <c r="G114" i="28"/>
  <c r="G115" i="27"/>
  <c r="G115" i="26"/>
  <c r="G116" i="25"/>
  <c r="G115" i="24"/>
  <c r="G115" i="23"/>
  <c r="H115" i="28"/>
  <c r="H116" i="27"/>
  <c r="H116" i="26"/>
  <c r="H117" i="25"/>
  <c r="H116" i="24"/>
  <c r="H116" i="23"/>
  <c r="E116" i="28"/>
  <c r="E117" i="27"/>
  <c r="E117" i="26"/>
  <c r="E118" i="25"/>
  <c r="E117" i="24"/>
  <c r="E117" i="23"/>
  <c r="I116" i="28"/>
  <c r="I117" i="27"/>
  <c r="I117" i="26"/>
  <c r="I118" i="25"/>
  <c r="I117" i="24"/>
  <c r="I117" i="23"/>
  <c r="F117" i="28"/>
  <c r="F118" i="27"/>
  <c r="F118" i="26"/>
  <c r="F119" i="25"/>
  <c r="F118" i="24"/>
  <c r="F118" i="23"/>
  <c r="J117" i="28"/>
  <c r="J118" i="27"/>
  <c r="J118" i="26"/>
  <c r="J119" i="25"/>
  <c r="J118" i="24"/>
  <c r="J118" i="23"/>
  <c r="G120" i="28"/>
  <c r="G121" i="27"/>
  <c r="G121" i="26"/>
  <c r="G122" i="25"/>
  <c r="G121" i="24"/>
  <c r="G121" i="23"/>
  <c r="H121" i="28"/>
  <c r="H122" i="27"/>
  <c r="H122" i="26"/>
  <c r="H123" i="25"/>
  <c r="H122" i="24"/>
  <c r="H122" i="23"/>
  <c r="E122" i="28"/>
  <c r="E123" i="27"/>
  <c r="E123" i="26"/>
  <c r="E124" i="25"/>
  <c r="E123" i="24"/>
  <c r="E123" i="23"/>
  <c r="I122" i="28"/>
  <c r="I123" i="27"/>
  <c r="I124" i="25"/>
  <c r="I123" i="24"/>
  <c r="I123" i="26"/>
  <c r="I123" i="23"/>
  <c r="F126" i="28"/>
  <c r="F127" i="26"/>
  <c r="F127" i="27"/>
  <c r="F128" i="25"/>
  <c r="F127" i="24"/>
  <c r="F127" i="23"/>
  <c r="J126" i="28"/>
  <c r="J127" i="27"/>
  <c r="J127" i="26"/>
  <c r="J128" i="25"/>
  <c r="J127" i="24"/>
  <c r="J127" i="23"/>
  <c r="G127" i="28"/>
  <c r="G128" i="27"/>
  <c r="G128" i="26"/>
  <c r="G129" i="25"/>
  <c r="G128" i="24"/>
  <c r="G128" i="23"/>
  <c r="G125" i="20"/>
  <c r="G123" i="28"/>
  <c r="G124" i="27"/>
  <c r="G124" i="26"/>
  <c r="G125" i="25"/>
  <c r="G124" i="24"/>
  <c r="G124" i="23"/>
  <c r="G124" i="28"/>
  <c r="G125" i="27"/>
  <c r="G125" i="26"/>
  <c r="G126" i="25"/>
  <c r="G125" i="24"/>
  <c r="G125" i="23"/>
  <c r="F125" i="11"/>
  <c r="G125" i="28"/>
  <c r="G126" i="27"/>
  <c r="G126" i="26"/>
  <c r="G127" i="25"/>
  <c r="G126" i="24"/>
  <c r="G126" i="23"/>
  <c r="A24" i="30"/>
  <c r="H135" i="27"/>
  <c r="H135" i="26"/>
  <c r="H135" i="24"/>
  <c r="H136" i="25"/>
  <c r="H135" i="23"/>
  <c r="E135" i="28"/>
  <c r="E136" i="27"/>
  <c r="E136" i="26"/>
  <c r="E137" i="25"/>
  <c r="E136" i="24"/>
  <c r="E136" i="23"/>
  <c r="I135" i="28"/>
  <c r="I136" i="27"/>
  <c r="I136" i="26"/>
  <c r="I137" i="25"/>
  <c r="I136" i="24"/>
  <c r="I136" i="23"/>
  <c r="F136" i="28"/>
  <c r="F137" i="27"/>
  <c r="F137" i="26"/>
  <c r="F138" i="25"/>
  <c r="F137" i="24"/>
  <c r="F137" i="23"/>
  <c r="J136" i="28"/>
  <c r="J137" i="27"/>
  <c r="J137" i="26"/>
  <c r="J138" i="25"/>
  <c r="J137" i="24"/>
  <c r="J137" i="23"/>
  <c r="G139" i="20"/>
  <c r="G137" i="28"/>
  <c r="G138" i="27"/>
  <c r="G138" i="26"/>
  <c r="G139" i="25"/>
  <c r="G138" i="24"/>
  <c r="G138" i="23"/>
  <c r="H138" i="28"/>
  <c r="H139" i="27"/>
  <c r="H139" i="26"/>
  <c r="H140" i="25"/>
  <c r="H139" i="24"/>
  <c r="H139" i="23"/>
  <c r="G147" i="28"/>
  <c r="G148" i="27"/>
  <c r="G148" i="26"/>
  <c r="G149" i="25"/>
  <c r="G148" i="24"/>
  <c r="G148" i="23"/>
  <c r="H148" i="28"/>
  <c r="H149" i="27"/>
  <c r="H149" i="26"/>
  <c r="H150" i="25"/>
  <c r="H149" i="24"/>
  <c r="H149" i="23"/>
  <c r="E150" i="28"/>
  <c r="E151" i="27"/>
  <c r="E151" i="26"/>
  <c r="E152" i="25"/>
  <c r="E151" i="24"/>
  <c r="E151" i="23"/>
  <c r="I150" i="28"/>
  <c r="I151" i="27"/>
  <c r="I151" i="26"/>
  <c r="I151" i="24"/>
  <c r="I152" i="25"/>
  <c r="I151" i="23"/>
  <c r="F151" i="28"/>
  <c r="F152" i="27"/>
  <c r="F152" i="26"/>
  <c r="F152" i="24"/>
  <c r="F153" i="25"/>
  <c r="F152" i="23"/>
  <c r="J151" i="28"/>
  <c r="J152" i="27"/>
  <c r="J152" i="26"/>
  <c r="J152" i="24"/>
  <c r="J153" i="25"/>
  <c r="J152" i="23"/>
  <c r="F149" i="28"/>
  <c r="F150" i="27"/>
  <c r="F150" i="26"/>
  <c r="F151" i="25"/>
  <c r="F150" i="24"/>
  <c r="F150" i="23"/>
  <c r="J149" i="28"/>
  <c r="J150" i="26"/>
  <c r="J150" i="27"/>
  <c r="J151" i="25"/>
  <c r="J150" i="24"/>
  <c r="J150" i="23"/>
  <c r="G153" i="28"/>
  <c r="G154" i="27"/>
  <c r="G154" i="26"/>
  <c r="G155" i="25"/>
  <c r="G154" i="24"/>
  <c r="G154" i="23"/>
  <c r="H154" i="28"/>
  <c r="H155" i="27"/>
  <c r="H155" i="26"/>
  <c r="H156" i="25"/>
  <c r="H155" i="24"/>
  <c r="H155" i="23"/>
  <c r="E156" i="28"/>
  <c r="E157" i="27"/>
  <c r="E157" i="26"/>
  <c r="E158" i="25"/>
  <c r="E157" i="24"/>
  <c r="E157" i="23"/>
  <c r="I156" i="28"/>
  <c r="I157" i="27"/>
  <c r="I157" i="26"/>
  <c r="I158" i="25"/>
  <c r="I157" i="24"/>
  <c r="I157" i="23"/>
  <c r="F157" i="28"/>
  <c r="F158" i="26"/>
  <c r="F158" i="27"/>
  <c r="F159" i="25"/>
  <c r="F158" i="24"/>
  <c r="F158" i="23"/>
  <c r="J157" i="28"/>
  <c r="J158" i="26"/>
  <c r="J158" i="27"/>
  <c r="J159" i="25"/>
  <c r="J158" i="24"/>
  <c r="J158" i="23"/>
  <c r="F157" i="20"/>
  <c r="F155" i="28"/>
  <c r="F156" i="27"/>
  <c r="F156" i="26"/>
  <c r="F156" i="24"/>
  <c r="F157" i="25"/>
  <c r="F156" i="23"/>
  <c r="J157" i="20"/>
  <c r="J155" i="28"/>
  <c r="J156" i="27"/>
  <c r="J156" i="26"/>
  <c r="J156" i="24"/>
  <c r="J157" i="25"/>
  <c r="J156" i="23"/>
  <c r="G160" i="28"/>
  <c r="G161" i="27"/>
  <c r="G161" i="26"/>
  <c r="G162" i="25"/>
  <c r="G161" i="24"/>
  <c r="G161" i="23"/>
  <c r="H161" i="28"/>
  <c r="H162" i="27"/>
  <c r="H162" i="26"/>
  <c r="H163" i="25"/>
  <c r="H162" i="24"/>
  <c r="H162" i="23"/>
  <c r="E162" i="28"/>
  <c r="E163" i="27"/>
  <c r="E163" i="26"/>
  <c r="E164" i="25"/>
  <c r="E163" i="24"/>
  <c r="E163" i="23"/>
  <c r="I162" i="28"/>
  <c r="I163" i="27"/>
  <c r="I163" i="26"/>
  <c r="I164" i="25"/>
  <c r="I163" i="24"/>
  <c r="I163" i="23"/>
  <c r="E163" i="11"/>
  <c r="F163" i="28"/>
  <c r="F164" i="26"/>
  <c r="F165" i="25"/>
  <c r="F164" i="27"/>
  <c r="F164" i="24"/>
  <c r="F164" i="23"/>
  <c r="I163" i="11"/>
  <c r="J163" i="28"/>
  <c r="J164" i="26"/>
  <c r="J164" i="27"/>
  <c r="J165" i="25"/>
  <c r="J164" i="24"/>
  <c r="J164" i="23"/>
  <c r="G164" i="28"/>
  <c r="G165" i="27"/>
  <c r="G165" i="26"/>
  <c r="G166" i="25"/>
  <c r="G165" i="24"/>
  <c r="G165" i="23"/>
  <c r="H172" i="28"/>
  <c r="H173" i="27"/>
  <c r="H173" i="26"/>
  <c r="H174" i="25"/>
  <c r="H173" i="24"/>
  <c r="H173" i="23"/>
  <c r="E175" i="20"/>
  <c r="E173" i="28"/>
  <c r="E174" i="27"/>
  <c r="E174" i="26"/>
  <c r="E175" i="25"/>
  <c r="E174" i="24"/>
  <c r="E174" i="23"/>
  <c r="I173" i="28"/>
  <c r="I174" i="27"/>
  <c r="I174" i="26"/>
  <c r="I175" i="25"/>
  <c r="I174" i="24"/>
  <c r="I174" i="23"/>
  <c r="F176" i="20"/>
  <c r="F174" i="28"/>
  <c r="F175" i="26"/>
  <c r="F175" i="27"/>
  <c r="F176" i="25"/>
  <c r="F175" i="24"/>
  <c r="F175" i="23"/>
  <c r="J174" i="28"/>
  <c r="J175" i="27"/>
  <c r="J175" i="26"/>
  <c r="J176" i="25"/>
  <c r="J175" i="24"/>
  <c r="J175" i="23"/>
  <c r="G175" i="28"/>
  <c r="G176" i="27"/>
  <c r="G176" i="26"/>
  <c r="G177" i="25"/>
  <c r="G176" i="24"/>
  <c r="G176" i="23"/>
  <c r="H176" i="28"/>
  <c r="H177" i="27"/>
  <c r="H177" i="26"/>
  <c r="H177" i="24"/>
  <c r="H178" i="25"/>
  <c r="H177" i="23"/>
  <c r="E179" i="20"/>
  <c r="E177" i="28"/>
  <c r="E178" i="27"/>
  <c r="E178" i="26"/>
  <c r="E178" i="24"/>
  <c r="E179" i="25"/>
  <c r="E178" i="23"/>
  <c r="I179" i="20"/>
  <c r="I177" i="28"/>
  <c r="I178" i="27"/>
  <c r="I178" i="26"/>
  <c r="I178" i="24"/>
  <c r="I179" i="25"/>
  <c r="I178" i="23"/>
  <c r="F178" i="28"/>
  <c r="F179" i="26"/>
  <c r="F179" i="27"/>
  <c r="F179" i="24"/>
  <c r="F180" i="25"/>
  <c r="F179" i="23"/>
  <c r="J178" i="28"/>
  <c r="J179" i="27"/>
  <c r="J179" i="26"/>
  <c r="J179" i="24"/>
  <c r="J180" i="25"/>
  <c r="J179" i="23"/>
  <c r="G179" i="28"/>
  <c r="G180" i="27"/>
  <c r="G180" i="26"/>
  <c r="G180" i="24"/>
  <c r="G181" i="25"/>
  <c r="G180" i="23"/>
  <c r="AP10" i="2"/>
  <c r="AL10" i="2"/>
  <c r="AO10" i="2"/>
  <c r="W10" i="25"/>
  <c r="Z10" i="25" s="1"/>
  <c r="AJ10" i="2"/>
  <c r="D36" i="28"/>
  <c r="D37" i="27"/>
  <c r="D37" i="26"/>
  <c r="D37" i="24"/>
  <c r="D38" i="25"/>
  <c r="D37" i="23"/>
  <c r="D54" i="20"/>
  <c r="D52" i="28"/>
  <c r="D53" i="27"/>
  <c r="D53" i="26"/>
  <c r="D54" i="25"/>
  <c r="D53" i="24"/>
  <c r="D53" i="23"/>
  <c r="D69" i="20"/>
  <c r="D67" i="28"/>
  <c r="D68" i="27"/>
  <c r="D68" i="26"/>
  <c r="D69" i="25"/>
  <c r="D68" i="24"/>
  <c r="D68" i="23"/>
  <c r="AF90" i="23"/>
  <c r="AJ97" i="2"/>
  <c r="AO97" i="2"/>
  <c r="AP97" i="2"/>
  <c r="AL97" i="2"/>
  <c r="AM97" i="2"/>
  <c r="W97" i="25"/>
  <c r="Z97" i="25" s="1"/>
  <c r="AF157" i="23"/>
  <c r="AM166" i="2"/>
  <c r="AP166" i="2"/>
  <c r="AL166" i="2"/>
  <c r="AO166" i="2"/>
  <c r="W166" i="25"/>
  <c r="Z166" i="25" s="1"/>
  <c r="AJ166" i="2"/>
  <c r="AF52" i="23"/>
  <c r="AF59" i="23"/>
  <c r="AJ98" i="2"/>
  <c r="AM98" i="2"/>
  <c r="AL98" i="2"/>
  <c r="AP98" i="2"/>
  <c r="AO98" i="2"/>
  <c r="W98" i="25"/>
  <c r="Z98" i="25" s="1"/>
  <c r="AJ113" i="2"/>
  <c r="AP113" i="2"/>
  <c r="AL113" i="2"/>
  <c r="AO113" i="2"/>
  <c r="AN113" i="2"/>
  <c r="W113" i="25"/>
  <c r="Z113" i="25" s="1"/>
  <c r="AN179" i="2"/>
  <c r="AP179" i="2"/>
  <c r="AO179" i="2"/>
  <c r="AL179" i="2"/>
  <c r="W179" i="25"/>
  <c r="Z179" i="25" s="1"/>
  <c r="AJ179" i="2"/>
  <c r="C25" i="11"/>
  <c r="D25" i="28"/>
  <c r="D26" i="27"/>
  <c r="D27" i="25"/>
  <c r="D26" i="26"/>
  <c r="D26" i="24"/>
  <c r="D38" i="28"/>
  <c r="D39" i="27"/>
  <c r="D40" i="25"/>
  <c r="D39" i="26"/>
  <c r="D39" i="24"/>
  <c r="D39" i="23"/>
  <c r="C85" i="11"/>
  <c r="D85" i="28"/>
  <c r="D86" i="27"/>
  <c r="D86" i="26"/>
  <c r="D87" i="25"/>
  <c r="D86" i="24"/>
  <c r="D86" i="23"/>
  <c r="C113" i="11"/>
  <c r="D113" i="28"/>
  <c r="D114" i="27"/>
  <c r="D115" i="25"/>
  <c r="D114" i="24"/>
  <c r="D114" i="26"/>
  <c r="D114" i="23"/>
  <c r="C121" i="11"/>
  <c r="D121" i="28"/>
  <c r="D122" i="27"/>
  <c r="D122" i="26"/>
  <c r="D123" i="25"/>
  <c r="D122" i="24"/>
  <c r="D122" i="23"/>
  <c r="I9" i="23"/>
  <c r="I8" i="28"/>
  <c r="I9" i="27"/>
  <c r="I10" i="25"/>
  <c r="I9" i="26"/>
  <c r="I9" i="24"/>
  <c r="J9" i="28"/>
  <c r="J10" i="27"/>
  <c r="J11" i="25"/>
  <c r="J10" i="26"/>
  <c r="J10" i="24"/>
  <c r="H11" i="28"/>
  <c r="H12" i="27"/>
  <c r="H13" i="25"/>
  <c r="H12" i="26"/>
  <c r="H12" i="24"/>
  <c r="I13" i="23"/>
  <c r="I12" i="28"/>
  <c r="I13" i="27"/>
  <c r="I14" i="25"/>
  <c r="I13" i="26"/>
  <c r="I13" i="24"/>
  <c r="J14" i="23"/>
  <c r="J13" i="28"/>
  <c r="J14" i="27"/>
  <c r="J15" i="25"/>
  <c r="J14" i="26"/>
  <c r="J14" i="24"/>
  <c r="J15" i="23"/>
  <c r="J14" i="28"/>
  <c r="J15" i="27"/>
  <c r="J16" i="25"/>
  <c r="J15" i="26"/>
  <c r="J15" i="24"/>
  <c r="J15" i="28"/>
  <c r="J16" i="27"/>
  <c r="J17" i="25"/>
  <c r="J16" i="26"/>
  <c r="J16" i="24"/>
  <c r="H18" i="23"/>
  <c r="H17" i="28"/>
  <c r="H18" i="27"/>
  <c r="H19" i="25"/>
  <c r="H18" i="26"/>
  <c r="H18" i="24"/>
  <c r="I19" i="23"/>
  <c r="I18" i="28"/>
  <c r="I19" i="27"/>
  <c r="I20" i="25"/>
  <c r="I19" i="26"/>
  <c r="I19" i="24"/>
  <c r="E21" i="23"/>
  <c r="E20" i="28"/>
  <c r="E21" i="27"/>
  <c r="E22" i="25"/>
  <c r="E21" i="26"/>
  <c r="E21" i="24"/>
  <c r="F22" i="28"/>
  <c r="F23" i="27"/>
  <c r="F24" i="25"/>
  <c r="F23" i="26"/>
  <c r="F23" i="24"/>
  <c r="J24" i="23"/>
  <c r="J23" i="28"/>
  <c r="J24" i="27"/>
  <c r="J25" i="25"/>
  <c r="J24" i="26"/>
  <c r="J24" i="24"/>
  <c r="H26" i="23"/>
  <c r="H25" i="28"/>
  <c r="H26" i="27"/>
  <c r="H27" i="25"/>
  <c r="H26" i="26"/>
  <c r="H26" i="24"/>
  <c r="I27" i="23"/>
  <c r="I26" i="28"/>
  <c r="I27" i="27"/>
  <c r="I28" i="25"/>
  <c r="I27" i="26"/>
  <c r="I27" i="24"/>
  <c r="H28" i="28"/>
  <c r="H29" i="27"/>
  <c r="H30" i="25"/>
  <c r="H29" i="26"/>
  <c r="H29" i="24"/>
  <c r="E31" i="23"/>
  <c r="E30" i="28"/>
  <c r="E31" i="27"/>
  <c r="E32" i="25"/>
  <c r="E31" i="26"/>
  <c r="E31" i="24"/>
  <c r="G33" i="28"/>
  <c r="G34" i="27"/>
  <c r="G35" i="25"/>
  <c r="G34" i="26"/>
  <c r="G34" i="24"/>
  <c r="G34" i="23"/>
  <c r="I35" i="28"/>
  <c r="I36" i="27"/>
  <c r="I37" i="25"/>
  <c r="I36" i="26"/>
  <c r="I36" i="24"/>
  <c r="I36" i="23"/>
  <c r="G38" i="28"/>
  <c r="G39" i="27"/>
  <c r="G39" i="26"/>
  <c r="G39" i="24"/>
  <c r="G40" i="25"/>
  <c r="G39" i="23"/>
  <c r="D40" i="11"/>
  <c r="E40" i="28"/>
  <c r="E41" i="27"/>
  <c r="E42" i="25"/>
  <c r="E41" i="26"/>
  <c r="E41" i="24"/>
  <c r="E41" i="23"/>
  <c r="J41" i="28"/>
  <c r="J42" i="27"/>
  <c r="J42" i="26"/>
  <c r="J43" i="25"/>
  <c r="J42" i="24"/>
  <c r="J42" i="23"/>
  <c r="I47" i="20"/>
  <c r="I45" i="28"/>
  <c r="I46" i="27"/>
  <c r="I46" i="26"/>
  <c r="I47" i="25"/>
  <c r="I46" i="24"/>
  <c r="I46" i="23"/>
  <c r="G47" i="28"/>
  <c r="G48" i="27"/>
  <c r="G48" i="26"/>
  <c r="G49" i="25"/>
  <c r="G48" i="24"/>
  <c r="G48" i="23"/>
  <c r="E52" i="20"/>
  <c r="E50" i="28"/>
  <c r="E51" i="27"/>
  <c r="E51" i="26"/>
  <c r="E52" i="25"/>
  <c r="E51" i="24"/>
  <c r="E51" i="23"/>
  <c r="I53" i="20"/>
  <c r="I51" i="28"/>
  <c r="I52" i="27"/>
  <c r="I53" i="25"/>
  <c r="I52" i="26"/>
  <c r="I52" i="24"/>
  <c r="I52" i="23"/>
  <c r="G55" i="20"/>
  <c r="G53" i="28"/>
  <c r="G54" i="27"/>
  <c r="G54" i="26"/>
  <c r="G55" i="25"/>
  <c r="G54" i="24"/>
  <c r="G54" i="23"/>
  <c r="E62" i="28"/>
  <c r="E63" i="27"/>
  <c r="E63" i="26"/>
  <c r="E64" i="25"/>
  <c r="E63" i="24"/>
  <c r="E63" i="23"/>
  <c r="J63" i="28"/>
  <c r="J64" i="27"/>
  <c r="J64" i="26"/>
  <c r="J65" i="25"/>
  <c r="J64" i="24"/>
  <c r="J64" i="23"/>
  <c r="H68" i="20"/>
  <c r="H66" i="28"/>
  <c r="H67" i="27"/>
  <c r="H67" i="26"/>
  <c r="H68" i="25"/>
  <c r="H67" i="24"/>
  <c r="H67" i="23"/>
  <c r="F68" i="28"/>
  <c r="F69" i="27"/>
  <c r="F69" i="26"/>
  <c r="F69" i="24"/>
  <c r="F70" i="25"/>
  <c r="F69" i="23"/>
  <c r="E73" i="28"/>
  <c r="E74" i="27"/>
  <c r="E74" i="26"/>
  <c r="E75" i="25"/>
  <c r="E74" i="24"/>
  <c r="E74" i="23"/>
  <c r="J74" i="28"/>
  <c r="J75" i="27"/>
  <c r="J75" i="26"/>
  <c r="J76" i="25"/>
  <c r="J75" i="24"/>
  <c r="J75" i="23"/>
  <c r="H78" i="20"/>
  <c r="H76" i="28"/>
  <c r="H77" i="27"/>
  <c r="H77" i="26"/>
  <c r="H78" i="25"/>
  <c r="H77" i="24"/>
  <c r="H77" i="23"/>
  <c r="F79" i="28"/>
  <c r="F80" i="27"/>
  <c r="F80" i="26"/>
  <c r="F81" i="25"/>
  <c r="F80" i="24"/>
  <c r="F80" i="23"/>
  <c r="J79" i="28"/>
  <c r="J80" i="27"/>
  <c r="J80" i="26"/>
  <c r="J81" i="25"/>
  <c r="J80" i="24"/>
  <c r="J80" i="23"/>
  <c r="H82" i="23"/>
  <c r="H81" i="28"/>
  <c r="H82" i="27"/>
  <c r="H82" i="26"/>
  <c r="H83" i="25"/>
  <c r="H82" i="24"/>
  <c r="F86" i="28"/>
  <c r="F87" i="27"/>
  <c r="F87" i="26"/>
  <c r="F88" i="25"/>
  <c r="F87" i="24"/>
  <c r="F87" i="23"/>
  <c r="I89" i="28"/>
  <c r="I90" i="27"/>
  <c r="I90" i="26"/>
  <c r="I91" i="25"/>
  <c r="I90" i="24"/>
  <c r="I90" i="23"/>
  <c r="J96" i="28"/>
  <c r="J97" i="27"/>
  <c r="J97" i="26"/>
  <c r="J98" i="25"/>
  <c r="J97" i="24"/>
  <c r="J97" i="23"/>
  <c r="AF11" i="23"/>
  <c r="AO48" i="2"/>
  <c r="AN48" i="2"/>
  <c r="AP48" i="2"/>
  <c r="AM48" i="2"/>
  <c r="W48" i="25"/>
  <c r="Z48" i="25" s="1"/>
  <c r="AJ48" i="2"/>
  <c r="AF53" i="23"/>
  <c r="D63" i="28"/>
  <c r="D64" i="27"/>
  <c r="D64" i="26"/>
  <c r="D65" i="25"/>
  <c r="D64" i="24"/>
  <c r="D64" i="23"/>
  <c r="AF68" i="23"/>
  <c r="AJ77" i="2"/>
  <c r="AL77" i="2"/>
  <c r="AO77" i="2"/>
  <c r="AP77" i="2"/>
  <c r="W77" i="25"/>
  <c r="Z77" i="25" s="1"/>
  <c r="D82" i="20"/>
  <c r="D80" i="28"/>
  <c r="D81" i="27"/>
  <c r="D81" i="26"/>
  <c r="D82" i="25"/>
  <c r="D81" i="24"/>
  <c r="D81" i="23"/>
  <c r="AJ82" i="2"/>
  <c r="AM82" i="2"/>
  <c r="AP82" i="2"/>
  <c r="AL82" i="2"/>
  <c r="W82" i="25"/>
  <c r="Z82" i="25" s="1"/>
  <c r="AJ83" i="2"/>
  <c r="AP83" i="2"/>
  <c r="AL83" i="2"/>
  <c r="AN83" i="2"/>
  <c r="AO83" i="2"/>
  <c r="W83" i="25"/>
  <c r="Z83" i="25" s="1"/>
  <c r="D97" i="20"/>
  <c r="D95" i="28"/>
  <c r="D96" i="27"/>
  <c r="D96" i="26"/>
  <c r="D97" i="25"/>
  <c r="D96" i="24"/>
  <c r="D96" i="23"/>
  <c r="C110" i="11"/>
  <c r="D110" i="28"/>
  <c r="D111" i="27"/>
  <c r="D111" i="26"/>
  <c r="D112" i="25"/>
  <c r="D111" i="24"/>
  <c r="D111" i="23"/>
  <c r="D128" i="20"/>
  <c r="D126" i="28"/>
  <c r="D127" i="27"/>
  <c r="D127" i="26"/>
  <c r="D128" i="25"/>
  <c r="D127" i="24"/>
  <c r="D127" i="23"/>
  <c r="C150" i="11"/>
  <c r="D150" i="28"/>
  <c r="D151" i="27"/>
  <c r="D151" i="26"/>
  <c r="D152" i="25"/>
  <c r="D151" i="24"/>
  <c r="D151" i="23"/>
  <c r="D166" i="20"/>
  <c r="D164" i="28"/>
  <c r="D165" i="27"/>
  <c r="D165" i="26"/>
  <c r="D166" i="25"/>
  <c r="D165" i="24"/>
  <c r="D165" i="23"/>
  <c r="D16" i="28"/>
  <c r="D17" i="27"/>
  <c r="D18" i="25"/>
  <c r="D17" i="26"/>
  <c r="D17" i="24"/>
  <c r="AP19" i="2"/>
  <c r="AL19" i="2"/>
  <c r="AO19" i="2"/>
  <c r="W19" i="25"/>
  <c r="Z19" i="25" s="1"/>
  <c r="AJ19" i="2"/>
  <c r="AJ49" i="2"/>
  <c r="AN49" i="2"/>
  <c r="AM49" i="2"/>
  <c r="AO49" i="2"/>
  <c r="AP49" i="2"/>
  <c r="W49" i="25"/>
  <c r="Z49" i="25" s="1"/>
  <c r="AJ47" i="2"/>
  <c r="AP47" i="2"/>
  <c r="AO47" i="2"/>
  <c r="AM47" i="2"/>
  <c r="AN47" i="2"/>
  <c r="W47" i="25"/>
  <c r="Z47" i="25" s="1"/>
  <c r="AJ66" i="2"/>
  <c r="AO66" i="2"/>
  <c r="AP66" i="2"/>
  <c r="AM66" i="2"/>
  <c r="AL66" i="2"/>
  <c r="W66" i="25"/>
  <c r="Z66" i="25" s="1"/>
  <c r="D70" i="20"/>
  <c r="D68" i="28"/>
  <c r="D69" i="27"/>
  <c r="D69" i="26"/>
  <c r="D70" i="25"/>
  <c r="D69" i="24"/>
  <c r="D69" i="23"/>
  <c r="AJ78" i="2"/>
  <c r="AP78" i="2"/>
  <c r="AL78" i="2"/>
  <c r="AO78" i="2"/>
  <c r="W78" i="25"/>
  <c r="Z78" i="25" s="1"/>
  <c r="AF88" i="23"/>
  <c r="C111" i="11"/>
  <c r="D111" i="28"/>
  <c r="D112" i="27"/>
  <c r="D112" i="26"/>
  <c r="D113" i="25"/>
  <c r="D112" i="24"/>
  <c r="D112" i="23"/>
  <c r="D129" i="20"/>
  <c r="D127" i="28"/>
  <c r="D128" i="27"/>
  <c r="D128" i="26"/>
  <c r="D129" i="25"/>
  <c r="D128" i="24"/>
  <c r="D128" i="23"/>
  <c r="D153" i="20"/>
  <c r="D151" i="28"/>
  <c r="D152" i="27"/>
  <c r="D152" i="26"/>
  <c r="D153" i="25"/>
  <c r="D152" i="24"/>
  <c r="D152" i="23"/>
  <c r="D164" i="20"/>
  <c r="D162" i="28"/>
  <c r="D163" i="27"/>
  <c r="D163" i="26"/>
  <c r="D164" i="25"/>
  <c r="D163" i="24"/>
  <c r="D163" i="23"/>
  <c r="D180" i="20"/>
  <c r="D178" i="28"/>
  <c r="D179" i="27"/>
  <c r="D179" i="26"/>
  <c r="D180" i="25"/>
  <c r="D179" i="24"/>
  <c r="D179" i="23"/>
  <c r="AP23" i="2"/>
  <c r="AL23" i="2"/>
  <c r="AO23" i="2"/>
  <c r="W23" i="25"/>
  <c r="Z23" i="25" s="1"/>
  <c r="AJ23" i="2"/>
  <c r="D27" i="28"/>
  <c r="D28" i="27"/>
  <c r="D29" i="25"/>
  <c r="D28" i="26"/>
  <c r="D28" i="24"/>
  <c r="AO32" i="2"/>
  <c r="AL32" i="2"/>
  <c r="AP32" i="2"/>
  <c r="W32" i="25"/>
  <c r="Z32" i="25" s="1"/>
  <c r="AJ32" i="2"/>
  <c r="D34" i="20"/>
  <c r="D32" i="28"/>
  <c r="D33" i="27"/>
  <c r="D33" i="26"/>
  <c r="D34" i="25"/>
  <c r="D33" i="24"/>
  <c r="D33" i="23"/>
  <c r="AM34" i="2"/>
  <c r="AO34" i="2"/>
  <c r="AL34" i="2"/>
  <c r="AP34" i="2"/>
  <c r="W34" i="25"/>
  <c r="Z34" i="25" s="1"/>
  <c r="AJ34" i="2"/>
  <c r="AJ35" i="2"/>
  <c r="AM35" i="2"/>
  <c r="AP35" i="2"/>
  <c r="AL35" i="2"/>
  <c r="AO35" i="2"/>
  <c r="W35" i="25"/>
  <c r="Z35" i="25" s="1"/>
  <c r="C39" i="11"/>
  <c r="D39" i="28"/>
  <c r="D40" i="27"/>
  <c r="D40" i="26"/>
  <c r="D41" i="25"/>
  <c r="D40" i="24"/>
  <c r="D40" i="23"/>
  <c r="AF39" i="23"/>
  <c r="AF40" i="23"/>
  <c r="AF42" i="23"/>
  <c r="AJ51" i="2"/>
  <c r="AP51" i="2"/>
  <c r="AL51" i="2"/>
  <c r="AN51" i="2"/>
  <c r="AO51" i="2"/>
  <c r="W51" i="25"/>
  <c r="Z51" i="25" s="1"/>
  <c r="AF71" i="23"/>
  <c r="AF86" i="23"/>
  <c r="AO93" i="2"/>
  <c r="AN93" i="2"/>
  <c r="AL93" i="2"/>
  <c r="AP93" i="2"/>
  <c r="W93" i="25"/>
  <c r="Z93" i="25" s="1"/>
  <c r="AJ93" i="2"/>
  <c r="AF102" i="23"/>
  <c r="AJ109" i="2"/>
  <c r="AP109" i="2"/>
  <c r="AL109" i="2"/>
  <c r="AO109" i="2"/>
  <c r="AN109" i="2"/>
  <c r="W109" i="25"/>
  <c r="Z109" i="25" s="1"/>
  <c r="AO149" i="2"/>
  <c r="AN149" i="2"/>
  <c r="AP149" i="2"/>
  <c r="AL149" i="2"/>
  <c r="W149" i="25"/>
  <c r="Z149" i="25" s="1"/>
  <c r="AJ149" i="2"/>
  <c r="AF154" i="23"/>
  <c r="AJ162" i="2"/>
  <c r="AP162" i="2"/>
  <c r="AL162" i="2"/>
  <c r="AO162" i="2"/>
  <c r="W162" i="25"/>
  <c r="Z162" i="25" s="1"/>
  <c r="C172" i="11"/>
  <c r="D172" i="28"/>
  <c r="D173" i="27"/>
  <c r="D173" i="26"/>
  <c r="D174" i="25"/>
  <c r="D173" i="24"/>
  <c r="D173" i="23"/>
  <c r="AJ174" i="2"/>
  <c r="AO174" i="2"/>
  <c r="AN174" i="2"/>
  <c r="AP174" i="2"/>
  <c r="AL174" i="2"/>
  <c r="W174" i="25"/>
  <c r="Z174" i="25" s="1"/>
  <c r="AJ175" i="2"/>
  <c r="AN175" i="2"/>
  <c r="AM175" i="2"/>
  <c r="AL175" i="2"/>
  <c r="AP175" i="2"/>
  <c r="W175" i="25"/>
  <c r="Z175" i="25" s="1"/>
  <c r="F8" i="28"/>
  <c r="F9" i="27"/>
  <c r="F10" i="25"/>
  <c r="F9" i="26"/>
  <c r="F9" i="24"/>
  <c r="J8" i="28"/>
  <c r="J9" i="27"/>
  <c r="J10" i="25"/>
  <c r="J9" i="26"/>
  <c r="J9" i="24"/>
  <c r="G9" i="28"/>
  <c r="G10" i="27"/>
  <c r="G11" i="25"/>
  <c r="G10" i="26"/>
  <c r="G10" i="24"/>
  <c r="H11" i="23"/>
  <c r="H10" i="28"/>
  <c r="H11" i="27"/>
  <c r="H12" i="25"/>
  <c r="H11" i="26"/>
  <c r="E11" i="28"/>
  <c r="E12" i="27"/>
  <c r="E12" i="26"/>
  <c r="E12" i="24"/>
  <c r="E13" i="25"/>
  <c r="I12" i="23"/>
  <c r="I11" i="28"/>
  <c r="I12" i="27"/>
  <c r="I12" i="26"/>
  <c r="I13" i="25"/>
  <c r="I12" i="24"/>
  <c r="F12" i="28"/>
  <c r="F13" i="27"/>
  <c r="F14" i="25"/>
  <c r="F13" i="26"/>
  <c r="F13" i="24"/>
  <c r="J12" i="28"/>
  <c r="J13" i="27"/>
  <c r="J14" i="25"/>
  <c r="J13" i="26"/>
  <c r="J13" i="24"/>
  <c r="G14" i="23"/>
  <c r="G13" i="28"/>
  <c r="G14" i="27"/>
  <c r="G15" i="25"/>
  <c r="G14" i="26"/>
  <c r="G14" i="24"/>
  <c r="G14" i="28"/>
  <c r="G15" i="27"/>
  <c r="G15" i="26"/>
  <c r="G15" i="24"/>
  <c r="G16" i="25"/>
  <c r="G15" i="28"/>
  <c r="G16" i="27"/>
  <c r="G17" i="25"/>
  <c r="G16" i="26"/>
  <c r="G16" i="24"/>
  <c r="H16" i="28"/>
  <c r="H17" i="27"/>
  <c r="H18" i="25"/>
  <c r="H17" i="26"/>
  <c r="H17" i="24"/>
  <c r="E17" i="28"/>
  <c r="E18" i="27"/>
  <c r="E18" i="26"/>
  <c r="E18" i="24"/>
  <c r="E19" i="25"/>
  <c r="I18" i="23"/>
  <c r="I17" i="28"/>
  <c r="I18" i="27"/>
  <c r="I18" i="26"/>
  <c r="I19" i="25"/>
  <c r="I18" i="24"/>
  <c r="F19" i="23"/>
  <c r="F18" i="28"/>
  <c r="F19" i="27"/>
  <c r="F20" i="25"/>
  <c r="F19" i="26"/>
  <c r="F19" i="24"/>
  <c r="J19" i="23"/>
  <c r="J18" i="28"/>
  <c r="J19" i="27"/>
  <c r="J20" i="25"/>
  <c r="J19" i="26"/>
  <c r="J19" i="24"/>
  <c r="F19" i="28"/>
  <c r="F20" i="27"/>
  <c r="F21" i="25"/>
  <c r="F20" i="26"/>
  <c r="F20" i="24"/>
  <c r="J20" i="23"/>
  <c r="J19" i="28"/>
  <c r="J20" i="27"/>
  <c r="J21" i="25"/>
  <c r="J20" i="26"/>
  <c r="J20" i="24"/>
  <c r="F20" i="28"/>
  <c r="F21" i="27"/>
  <c r="F22" i="25"/>
  <c r="F21" i="26"/>
  <c r="F21" i="24"/>
  <c r="J21" i="23"/>
  <c r="J20" i="28"/>
  <c r="J21" i="27"/>
  <c r="J22" i="25"/>
  <c r="J21" i="26"/>
  <c r="J21" i="24"/>
  <c r="G22" i="23"/>
  <c r="G21" i="28"/>
  <c r="G22" i="27"/>
  <c r="G23" i="25"/>
  <c r="G22" i="26"/>
  <c r="G22" i="24"/>
  <c r="G23" i="23"/>
  <c r="G22" i="28"/>
  <c r="G23" i="27"/>
  <c r="G23" i="26"/>
  <c r="G23" i="24"/>
  <c r="G24" i="25"/>
  <c r="G23" i="28"/>
  <c r="G24" i="27"/>
  <c r="G25" i="25"/>
  <c r="G24" i="26"/>
  <c r="G24" i="24"/>
  <c r="H24" i="28"/>
  <c r="H25" i="27"/>
  <c r="H26" i="25"/>
  <c r="H25" i="26"/>
  <c r="H25" i="24"/>
  <c r="E25" i="28"/>
  <c r="E26" i="27"/>
  <c r="E26" i="26"/>
  <c r="E26" i="24"/>
  <c r="E27" i="25"/>
  <c r="I26" i="23"/>
  <c r="I25" i="28"/>
  <c r="I26" i="27"/>
  <c r="I26" i="26"/>
  <c r="I27" i="25"/>
  <c r="I26" i="24"/>
  <c r="F26" i="28"/>
  <c r="F27" i="27"/>
  <c r="F28" i="25"/>
  <c r="F27" i="26"/>
  <c r="F27" i="24"/>
  <c r="J26" i="28"/>
  <c r="J27" i="27"/>
  <c r="J28" i="25"/>
  <c r="J27" i="26"/>
  <c r="J27" i="24"/>
  <c r="G27" i="28"/>
  <c r="G28" i="27"/>
  <c r="G29" i="25"/>
  <c r="G28" i="26"/>
  <c r="G28" i="24"/>
  <c r="E29" i="23"/>
  <c r="E28" i="28"/>
  <c r="E29" i="27"/>
  <c r="E30" i="25"/>
  <c r="E29" i="26"/>
  <c r="E29" i="24"/>
  <c r="I29" i="23"/>
  <c r="I28" i="28"/>
  <c r="I29" i="27"/>
  <c r="I30" i="25"/>
  <c r="I29" i="26"/>
  <c r="I29" i="24"/>
  <c r="E29" i="28"/>
  <c r="E30" i="27"/>
  <c r="E30" i="26"/>
  <c r="E30" i="24"/>
  <c r="E31" i="25"/>
  <c r="I30" i="23"/>
  <c r="I29" i="28"/>
  <c r="I30" i="27"/>
  <c r="I30" i="26"/>
  <c r="I31" i="25"/>
  <c r="I30" i="24"/>
  <c r="F31" i="23"/>
  <c r="F30" i="28"/>
  <c r="F31" i="27"/>
  <c r="F32" i="25"/>
  <c r="F31" i="26"/>
  <c r="F31" i="24"/>
  <c r="J31" i="23"/>
  <c r="J30" i="28"/>
  <c r="J31" i="27"/>
  <c r="J32" i="25"/>
  <c r="J31" i="26"/>
  <c r="J31" i="24"/>
  <c r="G32" i="28"/>
  <c r="G33" i="27"/>
  <c r="G34" i="25"/>
  <c r="G33" i="26"/>
  <c r="G33" i="24"/>
  <c r="G33" i="23"/>
  <c r="H33" i="28"/>
  <c r="H34" i="27"/>
  <c r="H34" i="26"/>
  <c r="H34" i="24"/>
  <c r="H34" i="23"/>
  <c r="E34" i="28"/>
  <c r="E35" i="27"/>
  <c r="E36" i="25"/>
  <c r="E35" i="26"/>
  <c r="E35" i="24"/>
  <c r="E35" i="23"/>
  <c r="I34" i="28"/>
  <c r="I35" i="27"/>
  <c r="I36" i="25"/>
  <c r="I35" i="26"/>
  <c r="I35" i="24"/>
  <c r="I35" i="23"/>
  <c r="E35" i="11"/>
  <c r="F35" i="28"/>
  <c r="F36" i="27"/>
  <c r="F36" i="26"/>
  <c r="F36" i="24"/>
  <c r="F37" i="25"/>
  <c r="F36" i="23"/>
  <c r="J35" i="28"/>
  <c r="J36" i="27"/>
  <c r="J36" i="26"/>
  <c r="J36" i="24"/>
  <c r="J37" i="25"/>
  <c r="J36" i="23"/>
  <c r="F36" i="11"/>
  <c r="G36" i="28"/>
  <c r="G37" i="27"/>
  <c r="G38" i="25"/>
  <c r="G37" i="26"/>
  <c r="G37" i="24"/>
  <c r="G37" i="23"/>
  <c r="H38" i="28"/>
  <c r="H39" i="27"/>
  <c r="H40" i="25"/>
  <c r="H39" i="26"/>
  <c r="H39" i="24"/>
  <c r="H39" i="23"/>
  <c r="E39" i="28"/>
  <c r="E40" i="27"/>
  <c r="E40" i="26"/>
  <c r="E40" i="24"/>
  <c r="E41" i="25"/>
  <c r="E40" i="23"/>
  <c r="I39" i="28"/>
  <c r="I40" i="27"/>
  <c r="I40" i="26"/>
  <c r="I41" i="25"/>
  <c r="I40" i="24"/>
  <c r="I40" i="23"/>
  <c r="F40" i="28"/>
  <c r="F41" i="27"/>
  <c r="F41" i="26"/>
  <c r="F42" i="25"/>
  <c r="F41" i="24"/>
  <c r="F41" i="23"/>
  <c r="J40" i="28"/>
  <c r="J41" i="27"/>
  <c r="J41" i="26"/>
  <c r="J42" i="25"/>
  <c r="J41" i="24"/>
  <c r="J41" i="23"/>
  <c r="G41" i="28"/>
  <c r="G42" i="27"/>
  <c r="G43" i="25"/>
  <c r="G42" i="26"/>
  <c r="G42" i="24"/>
  <c r="G42" i="23"/>
  <c r="E42" i="28"/>
  <c r="E43" i="27"/>
  <c r="E43" i="26"/>
  <c r="E44" i="25"/>
  <c r="E43" i="24"/>
  <c r="E43" i="23"/>
  <c r="I42" i="28"/>
  <c r="I43" i="27"/>
  <c r="I44" i="25"/>
  <c r="I43" i="26"/>
  <c r="I43" i="24"/>
  <c r="I43" i="23"/>
  <c r="F47" i="20"/>
  <c r="F45" i="28"/>
  <c r="F46" i="27"/>
  <c r="F46" i="26"/>
  <c r="F47" i="25"/>
  <c r="F46" i="24"/>
  <c r="F46" i="23"/>
  <c r="J45" i="28"/>
  <c r="J46" i="27"/>
  <c r="J46" i="26"/>
  <c r="J46" i="24"/>
  <c r="J47" i="25"/>
  <c r="J46" i="23"/>
  <c r="G48" i="20"/>
  <c r="G46" i="28"/>
  <c r="G47" i="26"/>
  <c r="G47" i="27"/>
  <c r="G48" i="25"/>
  <c r="G47" i="24"/>
  <c r="G47" i="23"/>
  <c r="H49" i="20"/>
  <c r="H47" i="28"/>
  <c r="H48" i="27"/>
  <c r="H49" i="25"/>
  <c r="H48" i="24"/>
  <c r="H48" i="26"/>
  <c r="H48" i="23"/>
  <c r="E51" i="20"/>
  <c r="E49" i="28"/>
  <c r="E50" i="27"/>
  <c r="E50" i="26"/>
  <c r="E51" i="25"/>
  <c r="E50" i="24"/>
  <c r="E50" i="23"/>
  <c r="I51" i="20"/>
  <c r="I49" i="28"/>
  <c r="I50" i="27"/>
  <c r="I51" i="25"/>
  <c r="I50" i="26"/>
  <c r="I50" i="24"/>
  <c r="I50" i="23"/>
  <c r="E50" i="11"/>
  <c r="F50" i="28"/>
  <c r="F51" i="27"/>
  <c r="F51" i="26"/>
  <c r="F52" i="25"/>
  <c r="F51" i="24"/>
  <c r="F51" i="23"/>
  <c r="I50" i="11"/>
  <c r="J50" i="28"/>
  <c r="J51" i="27"/>
  <c r="J51" i="26"/>
  <c r="J52" i="25"/>
  <c r="J51" i="24"/>
  <c r="J51" i="23"/>
  <c r="F53" i="20"/>
  <c r="F51" i="28"/>
  <c r="F52" i="27"/>
  <c r="F52" i="26"/>
  <c r="F53" i="25"/>
  <c r="F52" i="24"/>
  <c r="F52" i="23"/>
  <c r="J53" i="20"/>
  <c r="J51" i="28"/>
  <c r="J52" i="27"/>
  <c r="J52" i="26"/>
  <c r="J52" i="24"/>
  <c r="J53" i="25"/>
  <c r="J52" i="23"/>
  <c r="F52" i="11"/>
  <c r="G52" i="28"/>
  <c r="G53" i="27"/>
  <c r="G54" i="25"/>
  <c r="G53" i="24"/>
  <c r="G53" i="26"/>
  <c r="G53" i="23"/>
  <c r="H53" i="28"/>
  <c r="H54" i="27"/>
  <c r="H54" i="26"/>
  <c r="H55" i="25"/>
  <c r="H54" i="24"/>
  <c r="H54" i="23"/>
  <c r="C55" i="11"/>
  <c r="D55" i="28"/>
  <c r="D56" i="27"/>
  <c r="D56" i="26"/>
  <c r="D57" i="25"/>
  <c r="D56" i="24"/>
  <c r="D56" i="23"/>
  <c r="H55" i="28"/>
  <c r="H56" i="27"/>
  <c r="H56" i="26"/>
  <c r="H57" i="25"/>
  <c r="H56" i="24"/>
  <c r="H56" i="23"/>
  <c r="I59" i="20"/>
  <c r="I57" i="28"/>
  <c r="I58" i="27"/>
  <c r="I58" i="26"/>
  <c r="I59" i="25"/>
  <c r="I58" i="24"/>
  <c r="I58" i="23"/>
  <c r="I58" i="28"/>
  <c r="I59" i="27"/>
  <c r="I59" i="26"/>
  <c r="I60" i="25"/>
  <c r="I59" i="24"/>
  <c r="I59" i="23"/>
  <c r="I59" i="28"/>
  <c r="I60" i="27"/>
  <c r="I60" i="26"/>
  <c r="I61" i="25"/>
  <c r="I60" i="24"/>
  <c r="I60" i="23"/>
  <c r="D61" i="11"/>
  <c r="E61" i="28"/>
  <c r="E62" i="27"/>
  <c r="E63" i="25"/>
  <c r="E62" i="24"/>
  <c r="E62" i="26"/>
  <c r="E62" i="23"/>
  <c r="I61" i="28"/>
  <c r="I62" i="27"/>
  <c r="I63" i="25"/>
  <c r="I62" i="26"/>
  <c r="I62" i="24"/>
  <c r="I62" i="23"/>
  <c r="F62" i="28"/>
  <c r="F63" i="27"/>
  <c r="F63" i="26"/>
  <c r="F64" i="25"/>
  <c r="F63" i="24"/>
  <c r="F63" i="23"/>
  <c r="J62" i="28"/>
  <c r="J63" i="27"/>
  <c r="J63" i="26"/>
  <c r="J64" i="25"/>
  <c r="J63" i="24"/>
  <c r="J63" i="23"/>
  <c r="F63" i="11"/>
  <c r="G63" i="28"/>
  <c r="G64" i="27"/>
  <c r="G64" i="26"/>
  <c r="G65" i="25"/>
  <c r="G64" i="24"/>
  <c r="G64" i="23"/>
  <c r="E64" i="28"/>
  <c r="E65" i="27"/>
  <c r="E65" i="26"/>
  <c r="E66" i="25"/>
  <c r="E65" i="24"/>
  <c r="E65" i="23"/>
  <c r="I64" i="28"/>
  <c r="I65" i="27"/>
  <c r="I65" i="26"/>
  <c r="I66" i="25"/>
  <c r="I65" i="24"/>
  <c r="I65" i="23"/>
  <c r="E68" i="20"/>
  <c r="E66" i="28"/>
  <c r="E67" i="27"/>
  <c r="E67" i="26"/>
  <c r="E68" i="25"/>
  <c r="E67" i="24"/>
  <c r="E67" i="23"/>
  <c r="I68" i="20"/>
  <c r="I66" i="28"/>
  <c r="I67" i="27"/>
  <c r="I67" i="26"/>
  <c r="I68" i="25"/>
  <c r="I67" i="24"/>
  <c r="I67" i="23"/>
  <c r="F69" i="20"/>
  <c r="F67" i="28"/>
  <c r="F68" i="27"/>
  <c r="F68" i="26"/>
  <c r="F69" i="25"/>
  <c r="F68" i="24"/>
  <c r="F68" i="23"/>
  <c r="J67" i="28"/>
  <c r="J68" i="27"/>
  <c r="J68" i="26"/>
  <c r="J69" i="25"/>
  <c r="J68" i="24"/>
  <c r="J68" i="23"/>
  <c r="G68" i="28"/>
  <c r="G69" i="27"/>
  <c r="G69" i="26"/>
  <c r="G70" i="25"/>
  <c r="G69" i="24"/>
  <c r="G69" i="23"/>
  <c r="H71" i="20"/>
  <c r="H69" i="28"/>
  <c r="H70" i="27"/>
  <c r="H70" i="26"/>
  <c r="H71" i="25"/>
  <c r="H70" i="24"/>
  <c r="H70" i="23"/>
  <c r="C70" i="11"/>
  <c r="D70" i="28"/>
  <c r="D71" i="27"/>
  <c r="D71" i="26"/>
  <c r="D72" i="25"/>
  <c r="D71" i="24"/>
  <c r="D71" i="23"/>
  <c r="H70" i="28"/>
  <c r="H71" i="27"/>
  <c r="H71" i="26"/>
  <c r="H72" i="25"/>
  <c r="H71" i="24"/>
  <c r="H71" i="23"/>
  <c r="F75" i="20"/>
  <c r="F73" i="28"/>
  <c r="F74" i="27"/>
  <c r="F74" i="26"/>
  <c r="F75" i="25"/>
  <c r="F74" i="24"/>
  <c r="F74" i="23"/>
  <c r="J75" i="20"/>
  <c r="J73" i="28"/>
  <c r="J74" i="26"/>
  <c r="J74" i="27"/>
  <c r="J75" i="25"/>
  <c r="J74" i="24"/>
  <c r="J74" i="23"/>
  <c r="F74" i="11"/>
  <c r="G74" i="28"/>
  <c r="G75" i="27"/>
  <c r="G75" i="26"/>
  <c r="G76" i="25"/>
  <c r="G75" i="24"/>
  <c r="G75" i="23"/>
  <c r="H75" i="28"/>
  <c r="H76" i="27"/>
  <c r="H76" i="26"/>
  <c r="H77" i="25"/>
  <c r="H76" i="24"/>
  <c r="H76" i="23"/>
  <c r="E76" i="28"/>
  <c r="E77" i="27"/>
  <c r="E77" i="26"/>
  <c r="E78" i="25"/>
  <c r="E77" i="24"/>
  <c r="E77" i="23"/>
  <c r="I76" i="28"/>
  <c r="I77" i="27"/>
  <c r="I77" i="26"/>
  <c r="I78" i="25"/>
  <c r="I77" i="24"/>
  <c r="I77" i="23"/>
  <c r="F80" i="20"/>
  <c r="F78" i="28"/>
  <c r="F79" i="27"/>
  <c r="F79" i="26"/>
  <c r="F80" i="25"/>
  <c r="F79" i="24"/>
  <c r="F79" i="23"/>
  <c r="J80" i="20"/>
  <c r="J78" i="28"/>
  <c r="J79" i="27"/>
  <c r="J79" i="26"/>
  <c r="J80" i="25"/>
  <c r="J79" i="24"/>
  <c r="J79" i="23"/>
  <c r="G79" i="28"/>
  <c r="G80" i="27"/>
  <c r="G80" i="26"/>
  <c r="G81" i="25"/>
  <c r="G80" i="24"/>
  <c r="G80" i="23"/>
  <c r="H81" i="23"/>
  <c r="H80" i="28"/>
  <c r="H81" i="27"/>
  <c r="H81" i="26"/>
  <c r="H82" i="25"/>
  <c r="H81" i="24"/>
  <c r="E83" i="20"/>
  <c r="E81" i="28"/>
  <c r="E82" i="27"/>
  <c r="E82" i="26"/>
  <c r="E83" i="25"/>
  <c r="E82" i="24"/>
  <c r="E82" i="23"/>
  <c r="I81" i="28"/>
  <c r="I82" i="27"/>
  <c r="I82" i="26"/>
  <c r="I83" i="25"/>
  <c r="I82" i="24"/>
  <c r="I82" i="23"/>
  <c r="F87" i="20"/>
  <c r="F85" i="28"/>
  <c r="F86" i="27"/>
  <c r="F86" i="26"/>
  <c r="F87" i="25"/>
  <c r="F86" i="24"/>
  <c r="F86" i="23"/>
  <c r="J87" i="20"/>
  <c r="J85" i="28"/>
  <c r="J86" i="27"/>
  <c r="J86" i="26"/>
  <c r="J86" i="24"/>
  <c r="J87" i="25"/>
  <c r="J86" i="23"/>
  <c r="G88" i="20"/>
  <c r="G86" i="28"/>
  <c r="G87" i="27"/>
  <c r="G87" i="26"/>
  <c r="G88" i="25"/>
  <c r="G87" i="24"/>
  <c r="G87" i="23"/>
  <c r="H87" i="28"/>
  <c r="H88" i="27"/>
  <c r="H88" i="26"/>
  <c r="H89" i="25"/>
  <c r="H88" i="24"/>
  <c r="H88" i="23"/>
  <c r="D88" i="11"/>
  <c r="E88" i="28"/>
  <c r="E89" i="27"/>
  <c r="E89" i="26"/>
  <c r="E90" i="25"/>
  <c r="E89" i="24"/>
  <c r="E89" i="23"/>
  <c r="I88" i="28"/>
  <c r="I89" i="27"/>
  <c r="I89" i="26"/>
  <c r="I90" i="25"/>
  <c r="I89" i="24"/>
  <c r="I89" i="23"/>
  <c r="E89" i="11"/>
  <c r="F89" i="28"/>
  <c r="F90" i="27"/>
  <c r="F90" i="26"/>
  <c r="F90" i="24"/>
  <c r="F91" i="25"/>
  <c r="F90" i="23"/>
  <c r="J89" i="28"/>
  <c r="J90" i="27"/>
  <c r="J90" i="26"/>
  <c r="J90" i="24"/>
  <c r="J91" i="25"/>
  <c r="J90" i="23"/>
  <c r="G91" i="28"/>
  <c r="G92" i="27"/>
  <c r="G92" i="26"/>
  <c r="G93" i="25"/>
  <c r="G92" i="24"/>
  <c r="G92" i="23"/>
  <c r="H94" i="20"/>
  <c r="H92" i="28"/>
  <c r="H93" i="27"/>
  <c r="H93" i="26"/>
  <c r="H94" i="25"/>
  <c r="H93" i="24"/>
  <c r="H93" i="23"/>
  <c r="E95" i="20"/>
  <c r="E93" i="28"/>
  <c r="E94" i="27"/>
  <c r="E94" i="26"/>
  <c r="E95" i="25"/>
  <c r="E94" i="24"/>
  <c r="E94" i="23"/>
  <c r="I95" i="20"/>
  <c r="I93" i="28"/>
  <c r="I94" i="27"/>
  <c r="I94" i="26"/>
  <c r="I95" i="25"/>
  <c r="I94" i="24"/>
  <c r="I94" i="23"/>
  <c r="F94" i="28"/>
  <c r="F95" i="27"/>
  <c r="F95" i="26"/>
  <c r="F96" i="25"/>
  <c r="F95" i="24"/>
  <c r="F95" i="23"/>
  <c r="J94" i="28"/>
  <c r="J95" i="26"/>
  <c r="J95" i="27"/>
  <c r="J96" i="25"/>
  <c r="J95" i="24"/>
  <c r="J95" i="23"/>
  <c r="G95" i="28"/>
  <c r="G96" i="27"/>
  <c r="G96" i="26"/>
  <c r="G97" i="25"/>
  <c r="G96" i="24"/>
  <c r="G96" i="23"/>
  <c r="G96" i="28"/>
  <c r="G97" i="27"/>
  <c r="G97" i="26"/>
  <c r="G98" i="25"/>
  <c r="G97" i="24"/>
  <c r="G97" i="23"/>
  <c r="H101" i="28"/>
  <c r="H102" i="27"/>
  <c r="H102" i="26"/>
  <c r="H103" i="25"/>
  <c r="H102" i="24"/>
  <c r="H102" i="23"/>
  <c r="E104" i="20"/>
  <c r="E102" i="28"/>
  <c r="E103" i="27"/>
  <c r="E103" i="26"/>
  <c r="E104" i="25"/>
  <c r="E103" i="24"/>
  <c r="E103" i="23"/>
  <c r="I102" i="28"/>
  <c r="I103" i="27"/>
  <c r="I103" i="26"/>
  <c r="I104" i="25"/>
  <c r="I103" i="24"/>
  <c r="I103" i="23"/>
  <c r="F103" i="28"/>
  <c r="F104" i="27"/>
  <c r="F104" i="26"/>
  <c r="F105" i="25"/>
  <c r="F104" i="24"/>
  <c r="F104" i="23"/>
  <c r="J103" i="28"/>
  <c r="J104" i="27"/>
  <c r="J105" i="25"/>
  <c r="J104" i="26"/>
  <c r="J104" i="24"/>
  <c r="J104" i="23"/>
  <c r="G104" i="28"/>
  <c r="G105" i="27"/>
  <c r="G105" i="26"/>
  <c r="G106" i="25"/>
  <c r="G105" i="24"/>
  <c r="G105" i="23"/>
  <c r="H105" i="28"/>
  <c r="H106" i="27"/>
  <c r="H106" i="26"/>
  <c r="H107" i="25"/>
  <c r="H106" i="24"/>
  <c r="H106" i="23"/>
  <c r="E109" i="20"/>
  <c r="E107" i="28"/>
  <c r="E108" i="27"/>
  <c r="E108" i="26"/>
  <c r="E109" i="25"/>
  <c r="E108" i="24"/>
  <c r="E108" i="23"/>
  <c r="I107" i="28"/>
  <c r="I108" i="27"/>
  <c r="I109" i="25"/>
  <c r="I108" i="26"/>
  <c r="I108" i="24"/>
  <c r="I108" i="23"/>
  <c r="G108" i="28"/>
  <c r="G109" i="27"/>
  <c r="G109" i="26"/>
  <c r="G110" i="25"/>
  <c r="G109" i="24"/>
  <c r="G109" i="23"/>
  <c r="E109" i="28"/>
  <c r="E110" i="27"/>
  <c r="E110" i="26"/>
  <c r="E111" i="25"/>
  <c r="E110" i="24"/>
  <c r="E110" i="23"/>
  <c r="I109" i="28"/>
  <c r="I110" i="27"/>
  <c r="I111" i="25"/>
  <c r="I110" i="26"/>
  <c r="I110" i="24"/>
  <c r="I110" i="23"/>
  <c r="G110" i="28"/>
  <c r="G111" i="27"/>
  <c r="G111" i="26"/>
  <c r="G112" i="25"/>
  <c r="G111" i="24"/>
  <c r="G111" i="23"/>
  <c r="E111" i="28"/>
  <c r="E112" i="27"/>
  <c r="E112" i="26"/>
  <c r="E113" i="25"/>
  <c r="E112" i="24"/>
  <c r="E112" i="23"/>
  <c r="I111" i="28"/>
  <c r="I112" i="27"/>
  <c r="I113" i="25"/>
  <c r="I112" i="26"/>
  <c r="I112" i="24"/>
  <c r="I112" i="23"/>
  <c r="G113" i="28"/>
  <c r="G114" i="27"/>
  <c r="G114" i="26"/>
  <c r="G115" i="25"/>
  <c r="G114" i="24"/>
  <c r="G114" i="23"/>
  <c r="H114" i="28"/>
  <c r="H115" i="27"/>
  <c r="H115" i="26"/>
  <c r="H116" i="25"/>
  <c r="H115" i="24"/>
  <c r="H115" i="23"/>
  <c r="E117" i="20"/>
  <c r="E115" i="28"/>
  <c r="E116" i="27"/>
  <c r="E116" i="26"/>
  <c r="E117" i="25"/>
  <c r="E116" i="24"/>
  <c r="E116" i="23"/>
  <c r="I117" i="20"/>
  <c r="I115" i="28"/>
  <c r="I116" i="27"/>
  <c r="I117" i="25"/>
  <c r="I116" i="24"/>
  <c r="I116" i="26"/>
  <c r="I116" i="23"/>
  <c r="F116" i="28"/>
  <c r="F117" i="27"/>
  <c r="F117" i="26"/>
  <c r="F118" i="25"/>
  <c r="F117" i="24"/>
  <c r="F117" i="23"/>
  <c r="J116" i="28"/>
  <c r="J117" i="27"/>
  <c r="J117" i="26"/>
  <c r="J118" i="25"/>
  <c r="J117" i="24"/>
  <c r="J117" i="23"/>
  <c r="G117" i="28"/>
  <c r="G118" i="27"/>
  <c r="G118" i="26"/>
  <c r="G119" i="25"/>
  <c r="G118" i="24"/>
  <c r="G118" i="23"/>
  <c r="H120" i="28"/>
  <c r="H121" i="27"/>
  <c r="H121" i="26"/>
  <c r="H122" i="25"/>
  <c r="H121" i="24"/>
  <c r="H121" i="23"/>
  <c r="E121" i="28"/>
  <c r="E122" i="27"/>
  <c r="E122" i="26"/>
  <c r="E123" i="25"/>
  <c r="E122" i="24"/>
  <c r="E122" i="23"/>
  <c r="I121" i="28"/>
  <c r="I122" i="27"/>
  <c r="I122" i="26"/>
  <c r="I123" i="25"/>
  <c r="I122" i="24"/>
  <c r="I122" i="23"/>
  <c r="F122" i="28"/>
  <c r="F123" i="26"/>
  <c r="F123" i="27"/>
  <c r="F124" i="25"/>
  <c r="F123" i="24"/>
  <c r="F123" i="23"/>
  <c r="J122" i="28"/>
  <c r="J123" i="27"/>
  <c r="J123" i="26"/>
  <c r="J124" i="25"/>
  <c r="J123" i="24"/>
  <c r="J123" i="23"/>
  <c r="G126" i="28"/>
  <c r="G127" i="27"/>
  <c r="G127" i="26"/>
  <c r="G128" i="25"/>
  <c r="G127" i="24"/>
  <c r="G127" i="23"/>
  <c r="H127" i="28"/>
  <c r="H128" i="27"/>
  <c r="H128" i="26"/>
  <c r="H129" i="25"/>
  <c r="H128" i="24"/>
  <c r="H128" i="23"/>
  <c r="D125" i="20"/>
  <c r="D123" i="28"/>
  <c r="D124" i="27"/>
  <c r="D124" i="26"/>
  <c r="D125" i="25"/>
  <c r="D124" i="24"/>
  <c r="D124" i="23"/>
  <c r="H123" i="28"/>
  <c r="H124" i="27"/>
  <c r="H124" i="26"/>
  <c r="H125" i="25"/>
  <c r="H124" i="24"/>
  <c r="H124" i="23"/>
  <c r="C124" i="11"/>
  <c r="D124" i="28"/>
  <c r="D125" i="27"/>
  <c r="D125" i="26"/>
  <c r="D126" i="25"/>
  <c r="D125" i="24"/>
  <c r="D125" i="23"/>
  <c r="H124" i="28"/>
  <c r="H125" i="27"/>
  <c r="H125" i="26"/>
  <c r="H126" i="25"/>
  <c r="H125" i="24"/>
  <c r="H125" i="23"/>
  <c r="D127" i="20"/>
  <c r="D125" i="28"/>
  <c r="D126" i="27"/>
  <c r="D126" i="26"/>
  <c r="D127" i="25"/>
  <c r="D126" i="24"/>
  <c r="D126" i="23"/>
  <c r="H125" i="28"/>
  <c r="H126" i="27"/>
  <c r="H126" i="26"/>
  <c r="H127" i="25"/>
  <c r="H126" i="24"/>
  <c r="H126" i="23"/>
  <c r="E134" i="28"/>
  <c r="E135" i="27"/>
  <c r="E135" i="26"/>
  <c r="E136" i="25"/>
  <c r="E135" i="24"/>
  <c r="E135" i="23"/>
  <c r="I134" i="28"/>
  <c r="I135" i="27"/>
  <c r="I135" i="26"/>
  <c r="I136" i="25"/>
  <c r="I135" i="24"/>
  <c r="I135" i="23"/>
  <c r="F135" i="28"/>
  <c r="F136" i="27"/>
  <c r="F136" i="26"/>
  <c r="F137" i="25"/>
  <c r="F136" i="24"/>
  <c r="F136" i="23"/>
  <c r="J135" i="28"/>
  <c r="J136" i="26"/>
  <c r="J136" i="27"/>
  <c r="J137" i="25"/>
  <c r="J136" i="24"/>
  <c r="J136" i="23"/>
  <c r="F136" i="11"/>
  <c r="G136" i="28"/>
  <c r="G137" i="27"/>
  <c r="G137" i="26"/>
  <c r="G138" i="25"/>
  <c r="G137" i="24"/>
  <c r="G137" i="23"/>
  <c r="H137" i="28"/>
  <c r="H138" i="27"/>
  <c r="H138" i="26"/>
  <c r="H139" i="25"/>
  <c r="H138" i="24"/>
  <c r="H138" i="23"/>
  <c r="E138" i="28"/>
  <c r="E139" i="27"/>
  <c r="E140" i="25"/>
  <c r="E139" i="24"/>
  <c r="E139" i="26"/>
  <c r="E139" i="23"/>
  <c r="I138" i="28"/>
  <c r="I139" i="27"/>
  <c r="I139" i="26"/>
  <c r="I140" i="25"/>
  <c r="I139" i="24"/>
  <c r="I139" i="23"/>
  <c r="H147" i="28"/>
  <c r="H148" i="27"/>
  <c r="H148" i="26"/>
  <c r="H149" i="25"/>
  <c r="H148" i="24"/>
  <c r="H148" i="23"/>
  <c r="E150" i="20"/>
  <c r="E148" i="28"/>
  <c r="E149" i="27"/>
  <c r="E149" i="26"/>
  <c r="E150" i="25"/>
  <c r="E149" i="24"/>
  <c r="E149" i="23"/>
  <c r="I148" i="28"/>
  <c r="I149" i="27"/>
  <c r="I149" i="26"/>
  <c r="I150" i="25"/>
  <c r="I149" i="24"/>
  <c r="I149" i="23"/>
  <c r="F150" i="28"/>
  <c r="F151" i="26"/>
  <c r="F151" i="27"/>
  <c r="F152" i="25"/>
  <c r="F151" i="24"/>
  <c r="F151" i="23"/>
  <c r="J150" i="28"/>
  <c r="J151" i="27"/>
  <c r="J151" i="26"/>
  <c r="J152" i="25"/>
  <c r="J151" i="24"/>
  <c r="J151" i="23"/>
  <c r="G151" i="28"/>
  <c r="G152" i="27"/>
  <c r="G152" i="26"/>
  <c r="G153" i="25"/>
  <c r="G152" i="24"/>
  <c r="G152" i="23"/>
  <c r="F149" i="11"/>
  <c r="G149" i="28"/>
  <c r="G150" i="27"/>
  <c r="G150" i="26"/>
  <c r="G151" i="25"/>
  <c r="G150" i="24"/>
  <c r="G150" i="23"/>
  <c r="H153" i="28"/>
  <c r="H154" i="27"/>
  <c r="H154" i="26"/>
  <c r="H155" i="25"/>
  <c r="H154" i="24"/>
  <c r="H154" i="23"/>
  <c r="E156" i="20"/>
  <c r="E154" i="28"/>
  <c r="E155" i="27"/>
  <c r="E155" i="26"/>
  <c r="E156" i="25"/>
  <c r="E155" i="24"/>
  <c r="E155" i="23"/>
  <c r="I154" i="28"/>
  <c r="I155" i="27"/>
  <c r="I155" i="26"/>
  <c r="I156" i="25"/>
  <c r="I155" i="24"/>
  <c r="I155" i="23"/>
  <c r="F156" i="28"/>
  <c r="F157" i="27"/>
  <c r="F157" i="26"/>
  <c r="F157" i="24"/>
  <c r="F158" i="25"/>
  <c r="F157" i="23"/>
  <c r="J156" i="28"/>
  <c r="J157" i="27"/>
  <c r="J157" i="26"/>
  <c r="J157" i="24"/>
  <c r="J158" i="25"/>
  <c r="J157" i="23"/>
  <c r="G157" i="28"/>
  <c r="G158" i="27"/>
  <c r="G158" i="26"/>
  <c r="G159" i="25"/>
  <c r="G158" i="24"/>
  <c r="G158" i="23"/>
  <c r="G155" i="28"/>
  <c r="G156" i="27"/>
  <c r="G156" i="26"/>
  <c r="G157" i="25"/>
  <c r="G156" i="24"/>
  <c r="G156" i="23"/>
  <c r="H160" i="28"/>
  <c r="H161" i="27"/>
  <c r="H161" i="26"/>
  <c r="H162" i="25"/>
  <c r="H161" i="24"/>
  <c r="H161" i="23"/>
  <c r="E163" i="20"/>
  <c r="E161" i="28"/>
  <c r="E162" i="27"/>
  <c r="E162" i="26"/>
  <c r="E163" i="25"/>
  <c r="E162" i="24"/>
  <c r="E162" i="23"/>
  <c r="I161" i="28"/>
  <c r="I162" i="27"/>
  <c r="I162" i="26"/>
  <c r="I163" i="25"/>
  <c r="I162" i="24"/>
  <c r="I162" i="23"/>
  <c r="F162" i="28"/>
  <c r="F163" i="27"/>
  <c r="F163" i="26"/>
  <c r="F164" i="25"/>
  <c r="F163" i="24"/>
  <c r="F163" i="23"/>
  <c r="J162" i="28"/>
  <c r="J163" i="27"/>
  <c r="J163" i="26"/>
  <c r="J164" i="25"/>
  <c r="J163" i="24"/>
  <c r="J163" i="23"/>
  <c r="G163" i="28"/>
  <c r="G164" i="27"/>
  <c r="G165" i="25"/>
  <c r="G164" i="26"/>
  <c r="G164" i="24"/>
  <c r="G164" i="23"/>
  <c r="H164" i="28"/>
  <c r="H165" i="27"/>
  <c r="H165" i="26"/>
  <c r="H166" i="25"/>
  <c r="H165" i="24"/>
  <c r="H165" i="23"/>
  <c r="E174" i="20"/>
  <c r="E172" i="28"/>
  <c r="E173" i="27"/>
  <c r="E173" i="26"/>
  <c r="E174" i="25"/>
  <c r="E173" i="24"/>
  <c r="E173" i="23"/>
  <c r="I172" i="28"/>
  <c r="I173" i="27"/>
  <c r="I173" i="26"/>
  <c r="I174" i="25"/>
  <c r="I173" i="24"/>
  <c r="I173" i="23"/>
  <c r="F173" i="28"/>
  <c r="F174" i="26"/>
  <c r="F174" i="27"/>
  <c r="F175" i="25"/>
  <c r="F174" i="24"/>
  <c r="F174" i="23"/>
  <c r="J173" i="28"/>
  <c r="J174" i="26"/>
  <c r="J174" i="27"/>
  <c r="J175" i="25"/>
  <c r="J174" i="24"/>
  <c r="J174" i="23"/>
  <c r="G176" i="20"/>
  <c r="G174" i="28"/>
  <c r="G175" i="27"/>
  <c r="G175" i="26"/>
  <c r="G176" i="25"/>
  <c r="G175" i="24"/>
  <c r="G175" i="23"/>
  <c r="G175" i="11"/>
  <c r="H175" i="28"/>
  <c r="H176" i="27"/>
  <c r="H176" i="26"/>
  <c r="H176" i="24"/>
  <c r="H177" i="25"/>
  <c r="H176" i="23"/>
  <c r="E176" i="28"/>
  <c r="E177" i="27"/>
  <c r="E177" i="26"/>
  <c r="E178" i="25"/>
  <c r="E177" i="24"/>
  <c r="E177" i="23"/>
  <c r="I176" i="28"/>
  <c r="I177" i="27"/>
  <c r="I178" i="25"/>
  <c r="I177" i="26"/>
  <c r="I177" i="24"/>
  <c r="I177" i="23"/>
  <c r="F177" i="28"/>
  <c r="F178" i="26"/>
  <c r="F178" i="27"/>
  <c r="F178" i="24"/>
  <c r="F179" i="25"/>
  <c r="F178" i="23"/>
  <c r="J177" i="28"/>
  <c r="J178" i="26"/>
  <c r="J178" i="27"/>
  <c r="J178" i="24"/>
  <c r="J179" i="25"/>
  <c r="J178" i="23"/>
  <c r="G178" i="28"/>
  <c r="G179" i="27"/>
  <c r="G179" i="26"/>
  <c r="G179" i="24"/>
  <c r="G180" i="25"/>
  <c r="G179" i="23"/>
  <c r="H179" i="28"/>
  <c r="H180" i="27"/>
  <c r="H180" i="26"/>
  <c r="H180" i="24"/>
  <c r="H181" i="25"/>
  <c r="H180" i="23"/>
  <c r="D10" i="28"/>
  <c r="D11" i="27"/>
  <c r="D12" i="25"/>
  <c r="D11" i="26"/>
  <c r="D11" i="24"/>
  <c r="AP11" i="2"/>
  <c r="AL11" i="2"/>
  <c r="AO11" i="2"/>
  <c r="W11" i="25"/>
  <c r="Z11" i="25" s="1"/>
  <c r="AJ11" i="2"/>
  <c r="AF105" i="23"/>
  <c r="AJ112" i="2"/>
  <c r="AP112" i="2"/>
  <c r="AL112" i="2"/>
  <c r="AO112" i="2"/>
  <c r="AN112" i="2"/>
  <c r="W112" i="25"/>
  <c r="Z112" i="25" s="1"/>
  <c r="AF177" i="23"/>
  <c r="D13" i="28"/>
  <c r="D14" i="27"/>
  <c r="D15" i="25"/>
  <c r="D14" i="26"/>
  <c r="D14" i="24"/>
  <c r="AP18" i="2"/>
  <c r="AL18" i="2"/>
  <c r="AO18" i="2"/>
  <c r="W18" i="25"/>
  <c r="Z18" i="25" s="1"/>
  <c r="AJ18" i="2"/>
  <c r="D28" i="28"/>
  <c r="D29" i="27"/>
  <c r="D30" i="25"/>
  <c r="D29" i="26"/>
  <c r="D29" i="24"/>
  <c r="D78" i="20"/>
  <c r="D76" i="28"/>
  <c r="D77" i="27"/>
  <c r="D77" i="26"/>
  <c r="D78" i="25"/>
  <c r="D77" i="24"/>
  <c r="D77" i="23"/>
  <c r="AF106" i="23"/>
  <c r="AF158" i="23"/>
  <c r="AJ164" i="2"/>
  <c r="AO164" i="2"/>
  <c r="AL164" i="2"/>
  <c r="AP164" i="2"/>
  <c r="AM164" i="2"/>
  <c r="W164" i="25"/>
  <c r="Z164" i="25" s="1"/>
  <c r="C42" i="11"/>
  <c r="D42" i="28"/>
  <c r="D43" i="27"/>
  <c r="D43" i="26"/>
  <c r="D44" i="25"/>
  <c r="D43" i="24"/>
  <c r="D43" i="23"/>
  <c r="D103" i="20"/>
  <c r="D101" i="28"/>
  <c r="D102" i="27"/>
  <c r="D102" i="26"/>
  <c r="D103" i="25"/>
  <c r="D102" i="24"/>
  <c r="D102" i="23"/>
  <c r="D137" i="20"/>
  <c r="D135" i="28"/>
  <c r="D136" i="27"/>
  <c r="D136" i="26"/>
  <c r="D137" i="25"/>
  <c r="D136" i="24"/>
  <c r="D136" i="23"/>
  <c r="D155" i="20"/>
  <c r="D153" i="28"/>
  <c r="D154" i="27"/>
  <c r="D154" i="26"/>
  <c r="D154" i="24"/>
  <c r="D155" i="25"/>
  <c r="D154" i="23"/>
  <c r="E8" i="28"/>
  <c r="E9" i="27"/>
  <c r="E10" i="25"/>
  <c r="E9" i="26"/>
  <c r="E9" i="24"/>
  <c r="F9" i="28"/>
  <c r="F11" i="25"/>
  <c r="F10" i="26"/>
  <c r="F10" i="24"/>
  <c r="G10" i="28"/>
  <c r="G11" i="27"/>
  <c r="G11" i="26"/>
  <c r="G11" i="24"/>
  <c r="G12" i="25"/>
  <c r="E12" i="28"/>
  <c r="E13" i="27"/>
  <c r="E14" i="25"/>
  <c r="E13" i="26"/>
  <c r="E13" i="24"/>
  <c r="F14" i="23"/>
  <c r="F13" i="28"/>
  <c r="F14" i="27"/>
  <c r="F15" i="25"/>
  <c r="F14" i="26"/>
  <c r="F14" i="24"/>
  <c r="F14" i="28"/>
  <c r="F15" i="27"/>
  <c r="F16" i="25"/>
  <c r="F15" i="26"/>
  <c r="F15" i="24"/>
  <c r="F15" i="28"/>
  <c r="F16" i="27"/>
  <c r="F17" i="25"/>
  <c r="F16" i="26"/>
  <c r="F16" i="24"/>
  <c r="G17" i="23"/>
  <c r="G16" i="28"/>
  <c r="G17" i="27"/>
  <c r="G17" i="26"/>
  <c r="G17" i="24"/>
  <c r="G18" i="25"/>
  <c r="E19" i="23"/>
  <c r="E18" i="28"/>
  <c r="E19" i="27"/>
  <c r="E20" i="25"/>
  <c r="E19" i="26"/>
  <c r="E19" i="24"/>
  <c r="I20" i="23"/>
  <c r="I19" i="28"/>
  <c r="I20" i="27"/>
  <c r="I20" i="26"/>
  <c r="I21" i="25"/>
  <c r="I20" i="24"/>
  <c r="F22" i="23"/>
  <c r="F21" i="28"/>
  <c r="F22" i="27"/>
  <c r="F23" i="25"/>
  <c r="F22" i="26"/>
  <c r="F22" i="24"/>
  <c r="J23" i="23"/>
  <c r="J22" i="28"/>
  <c r="J23" i="27"/>
  <c r="J24" i="25"/>
  <c r="J23" i="26"/>
  <c r="J23" i="24"/>
  <c r="G25" i="23"/>
  <c r="G24" i="28"/>
  <c r="G25" i="27"/>
  <c r="G25" i="26"/>
  <c r="G25" i="24"/>
  <c r="G26" i="25"/>
  <c r="E26" i="28"/>
  <c r="E27" i="27"/>
  <c r="E28" i="25"/>
  <c r="E27" i="26"/>
  <c r="E27" i="24"/>
  <c r="J28" i="23"/>
  <c r="J27" i="28"/>
  <c r="J28" i="27"/>
  <c r="J29" i="25"/>
  <c r="J28" i="26"/>
  <c r="J28" i="24"/>
  <c r="H30" i="23"/>
  <c r="H29" i="28"/>
  <c r="H30" i="27"/>
  <c r="H31" i="25"/>
  <c r="H30" i="26"/>
  <c r="H30" i="24"/>
  <c r="F32" i="28"/>
  <c r="F33" i="27"/>
  <c r="F34" i="25"/>
  <c r="F33" i="26"/>
  <c r="F33" i="24"/>
  <c r="F33" i="23"/>
  <c r="E35" i="28"/>
  <c r="E36" i="27"/>
  <c r="E37" i="25"/>
  <c r="E36" i="26"/>
  <c r="E36" i="24"/>
  <c r="E36" i="23"/>
  <c r="J36" i="28"/>
  <c r="J37" i="27"/>
  <c r="J38" i="25"/>
  <c r="J37" i="26"/>
  <c r="J37" i="24"/>
  <c r="J37" i="23"/>
  <c r="H39" i="28"/>
  <c r="H40" i="27"/>
  <c r="H40" i="26"/>
  <c r="H41" i="25"/>
  <c r="H40" i="24"/>
  <c r="H40" i="23"/>
  <c r="F41" i="28"/>
  <c r="F42" i="27"/>
  <c r="F42" i="26"/>
  <c r="F43" i="25"/>
  <c r="F42" i="24"/>
  <c r="F42" i="23"/>
  <c r="H42" i="28"/>
  <c r="H43" i="27"/>
  <c r="H43" i="26"/>
  <c r="H44" i="25"/>
  <c r="H43" i="24"/>
  <c r="H43" i="23"/>
  <c r="F48" i="20"/>
  <c r="F46" i="28"/>
  <c r="F47" i="27"/>
  <c r="F47" i="26"/>
  <c r="F48" i="25"/>
  <c r="F47" i="24"/>
  <c r="F47" i="23"/>
  <c r="H49" i="28"/>
  <c r="H50" i="27"/>
  <c r="H50" i="26"/>
  <c r="H51" i="25"/>
  <c r="H50" i="24"/>
  <c r="H50" i="23"/>
  <c r="E53" i="20"/>
  <c r="E51" i="28"/>
  <c r="E52" i="27"/>
  <c r="E53" i="25"/>
  <c r="E52" i="26"/>
  <c r="E52" i="24"/>
  <c r="E52" i="23"/>
  <c r="J52" i="28"/>
  <c r="J53" i="27"/>
  <c r="J53" i="26"/>
  <c r="J54" i="25"/>
  <c r="J53" i="24"/>
  <c r="J53" i="23"/>
  <c r="G55" i="28"/>
  <c r="G56" i="27"/>
  <c r="G56" i="26"/>
  <c r="G57" i="25"/>
  <c r="G56" i="24"/>
  <c r="G56" i="23"/>
  <c r="D61" i="28"/>
  <c r="D62" i="27"/>
  <c r="D62" i="26"/>
  <c r="D63" i="25"/>
  <c r="D62" i="24"/>
  <c r="D62" i="23"/>
  <c r="I62" i="28"/>
  <c r="I63" i="27"/>
  <c r="I63" i="26"/>
  <c r="I64" i="25"/>
  <c r="I63" i="24"/>
  <c r="I63" i="23"/>
  <c r="H64" i="28"/>
  <c r="H65" i="27"/>
  <c r="H65" i="26"/>
  <c r="H66" i="25"/>
  <c r="H65" i="24"/>
  <c r="H65" i="23"/>
  <c r="E69" i="20"/>
  <c r="E67" i="28"/>
  <c r="E68" i="27"/>
  <c r="E68" i="26"/>
  <c r="E69" i="25"/>
  <c r="E68" i="24"/>
  <c r="E68" i="23"/>
  <c r="J68" i="28"/>
  <c r="J69" i="27"/>
  <c r="J69" i="26"/>
  <c r="J70" i="25"/>
  <c r="J69" i="24"/>
  <c r="J69" i="23"/>
  <c r="E74" i="11"/>
  <c r="F74" i="28"/>
  <c r="F75" i="27"/>
  <c r="F75" i="26"/>
  <c r="F75" i="24"/>
  <c r="F76" i="25"/>
  <c r="F75" i="23"/>
  <c r="G75" i="28"/>
  <c r="G76" i="27"/>
  <c r="G76" i="26"/>
  <c r="G77" i="25"/>
  <c r="G76" i="24"/>
  <c r="G76" i="23"/>
  <c r="E78" i="28"/>
  <c r="E79" i="27"/>
  <c r="E79" i="26"/>
  <c r="E79" i="24"/>
  <c r="E80" i="25"/>
  <c r="E79" i="23"/>
  <c r="I85" i="28"/>
  <c r="I86" i="27"/>
  <c r="I86" i="26"/>
  <c r="I87" i="25"/>
  <c r="I86" i="24"/>
  <c r="I86" i="23"/>
  <c r="G89" i="20"/>
  <c r="G87" i="28"/>
  <c r="G88" i="27"/>
  <c r="G88" i="26"/>
  <c r="G89" i="25"/>
  <c r="G88" i="24"/>
  <c r="G88" i="23"/>
  <c r="D89" i="11"/>
  <c r="E89" i="28"/>
  <c r="E90" i="27"/>
  <c r="E90" i="26"/>
  <c r="E91" i="25"/>
  <c r="E90" i="24"/>
  <c r="E90" i="23"/>
  <c r="J91" i="28"/>
  <c r="J92" i="27"/>
  <c r="J92" i="26"/>
  <c r="J93" i="25"/>
  <c r="J92" i="24"/>
  <c r="J92" i="23"/>
  <c r="E96" i="20"/>
  <c r="E94" i="28"/>
  <c r="E95" i="27"/>
  <c r="E95" i="26"/>
  <c r="E96" i="25"/>
  <c r="E95" i="24"/>
  <c r="E95" i="23"/>
  <c r="E95" i="11"/>
  <c r="F95" i="28"/>
  <c r="F96" i="27"/>
  <c r="F96" i="26"/>
  <c r="F97" i="25"/>
  <c r="F96" i="24"/>
  <c r="F96" i="23"/>
  <c r="F96" i="28"/>
  <c r="F97" i="27"/>
  <c r="F97" i="26"/>
  <c r="F98" i="25"/>
  <c r="F97" i="24"/>
  <c r="F97" i="23"/>
  <c r="D8" i="28"/>
  <c r="D9" i="27"/>
  <c r="D9" i="26"/>
  <c r="D9" i="24"/>
  <c r="AJ37" i="2"/>
  <c r="AO37" i="2"/>
  <c r="AP37" i="2"/>
  <c r="AL37" i="2"/>
  <c r="AM37" i="2"/>
  <c r="W37" i="25"/>
  <c r="Z37" i="25" s="1"/>
  <c r="AM38" i="2"/>
  <c r="AP38" i="2"/>
  <c r="AO38" i="2"/>
  <c r="AL38" i="2"/>
  <c r="W38" i="25"/>
  <c r="Z38" i="25" s="1"/>
  <c r="AJ38" i="2"/>
  <c r="C46" i="11"/>
  <c r="D46" i="28"/>
  <c r="D47" i="27"/>
  <c r="D47" i="26"/>
  <c r="D48" i="25"/>
  <c r="D47" i="24"/>
  <c r="D47" i="23"/>
  <c r="AF64" i="23"/>
  <c r="C75" i="11"/>
  <c r="D75" i="28"/>
  <c r="D76" i="27"/>
  <c r="D76" i="26"/>
  <c r="D76" i="24"/>
  <c r="D77" i="25"/>
  <c r="D76" i="23"/>
  <c r="C81" i="11"/>
  <c r="D81" i="28"/>
  <c r="D82" i="27"/>
  <c r="D82" i="26"/>
  <c r="D83" i="25"/>
  <c r="D82" i="24"/>
  <c r="D82" i="23"/>
  <c r="AP91" i="2"/>
  <c r="AL91" i="2"/>
  <c r="AM91" i="2"/>
  <c r="W91" i="25"/>
  <c r="Z91" i="25" s="1"/>
  <c r="AJ91" i="2"/>
  <c r="AF96" i="23"/>
  <c r="AJ106" i="2"/>
  <c r="AN106" i="2"/>
  <c r="AP106" i="2"/>
  <c r="AO106" i="2"/>
  <c r="AL106" i="2"/>
  <c r="W106" i="25"/>
  <c r="Z106" i="25" s="1"/>
  <c r="AF111" i="23"/>
  <c r="AP118" i="2"/>
  <c r="AL118" i="2"/>
  <c r="AO118" i="2"/>
  <c r="AM118" i="2"/>
  <c r="W118" i="25"/>
  <c r="Z118" i="25" s="1"/>
  <c r="AJ118" i="2"/>
  <c r="AF151" i="23"/>
  <c r="AJ158" i="2"/>
  <c r="AO158" i="2"/>
  <c r="AN158" i="2"/>
  <c r="AP158" i="2"/>
  <c r="AM158" i="2"/>
  <c r="W158" i="25"/>
  <c r="Z158" i="25" s="1"/>
  <c r="AJ178" i="2"/>
  <c r="AO178" i="2"/>
  <c r="AN178" i="2"/>
  <c r="AL178" i="2"/>
  <c r="AP178" i="2"/>
  <c r="W178" i="25"/>
  <c r="Z178" i="25" s="1"/>
  <c r="AO13" i="2"/>
  <c r="AL13" i="2"/>
  <c r="AP13" i="2"/>
  <c r="W13" i="25"/>
  <c r="Z13" i="25" s="1"/>
  <c r="AJ13" i="2"/>
  <c r="D17" i="28"/>
  <c r="D18" i="27"/>
  <c r="D19" i="25"/>
  <c r="D18" i="26"/>
  <c r="D18" i="24"/>
  <c r="AO20" i="2"/>
  <c r="AL20" i="2"/>
  <c r="AP20" i="2"/>
  <c r="W20" i="25"/>
  <c r="Z20" i="25" s="1"/>
  <c r="AJ20" i="2"/>
  <c r="D49" i="20"/>
  <c r="D47" i="28"/>
  <c r="D48" i="27"/>
  <c r="D49" i="25"/>
  <c r="D48" i="26"/>
  <c r="D48" i="24"/>
  <c r="D48" i="23"/>
  <c r="AJ53" i="2"/>
  <c r="AO53" i="2"/>
  <c r="AN53" i="2"/>
  <c r="AL53" i="2"/>
  <c r="AP53" i="2"/>
  <c r="W53" i="25"/>
  <c r="Z53" i="25" s="1"/>
  <c r="AJ60" i="2"/>
  <c r="AN60" i="2"/>
  <c r="AL60" i="2"/>
  <c r="AP60" i="2"/>
  <c r="AO60" i="2"/>
  <c r="W60" i="25"/>
  <c r="Z60" i="25" s="1"/>
  <c r="D64" i="28"/>
  <c r="D65" i="27"/>
  <c r="D65" i="26"/>
  <c r="D66" i="25"/>
  <c r="D65" i="24"/>
  <c r="D65" i="23"/>
  <c r="AF69" i="23"/>
  <c r="R77" i="26"/>
  <c r="T77" i="26" s="1"/>
  <c r="AF97" i="23"/>
  <c r="AJ107" i="2"/>
  <c r="AP107" i="2"/>
  <c r="AL107" i="2"/>
  <c r="AO107" i="2"/>
  <c r="W107" i="25"/>
  <c r="Z107" i="25" s="1"/>
  <c r="AF112" i="23"/>
  <c r="AO119" i="2"/>
  <c r="AP119" i="2"/>
  <c r="AL119" i="2"/>
  <c r="AM119" i="2"/>
  <c r="W119" i="25"/>
  <c r="Z119" i="25" s="1"/>
  <c r="AJ119" i="2"/>
  <c r="AF152" i="23"/>
  <c r="AJ159" i="2"/>
  <c r="AN159" i="2"/>
  <c r="AM159" i="2"/>
  <c r="AP159" i="2"/>
  <c r="AO159" i="2"/>
  <c r="W159" i="25"/>
  <c r="Z159" i="25" s="1"/>
  <c r="AF178" i="23"/>
  <c r="D21" i="28"/>
  <c r="D22" i="27"/>
  <c r="D23" i="25"/>
  <c r="D22" i="26"/>
  <c r="D22" i="24"/>
  <c r="AP26" i="2"/>
  <c r="AL26" i="2"/>
  <c r="AO26" i="2"/>
  <c r="W26" i="25"/>
  <c r="Z26" i="25" s="1"/>
  <c r="AJ26" i="2"/>
  <c r="D30" i="28"/>
  <c r="D31" i="27"/>
  <c r="D32" i="25"/>
  <c r="D31" i="26"/>
  <c r="D31" i="24"/>
  <c r="D35" i="20"/>
  <c r="D33" i="28"/>
  <c r="D34" i="27"/>
  <c r="D35" i="25"/>
  <c r="D34" i="26"/>
  <c r="D34" i="24"/>
  <c r="D34" i="23"/>
  <c r="D40" i="28"/>
  <c r="D41" i="27"/>
  <c r="D41" i="26"/>
  <c r="D42" i="25"/>
  <c r="D41" i="24"/>
  <c r="D41" i="23"/>
  <c r="C49" i="11"/>
  <c r="D49" i="28"/>
  <c r="D50" i="27"/>
  <c r="D50" i="26"/>
  <c r="D51" i="25"/>
  <c r="D50" i="24"/>
  <c r="D50" i="23"/>
  <c r="C91" i="11"/>
  <c r="D91" i="28"/>
  <c r="D92" i="27"/>
  <c r="D92" i="26"/>
  <c r="D93" i="25"/>
  <c r="D92" i="24"/>
  <c r="D92" i="23"/>
  <c r="D109" i="20"/>
  <c r="D107" i="28"/>
  <c r="D108" i="27"/>
  <c r="D108" i="26"/>
  <c r="D109" i="25"/>
  <c r="D108" i="24"/>
  <c r="D108" i="23"/>
  <c r="D149" i="20"/>
  <c r="D147" i="28"/>
  <c r="D148" i="27"/>
  <c r="D148" i="26"/>
  <c r="D149" i="25"/>
  <c r="D148" i="24"/>
  <c r="D148" i="23"/>
  <c r="C160" i="11"/>
  <c r="D160" i="28"/>
  <c r="D161" i="27"/>
  <c r="D161" i="26"/>
  <c r="D162" i="25"/>
  <c r="D161" i="24"/>
  <c r="D161" i="23"/>
  <c r="C173" i="11"/>
  <c r="D173" i="28"/>
  <c r="D174" i="27"/>
  <c r="D174" i="26"/>
  <c r="D174" i="24"/>
  <c r="D175" i="25"/>
  <c r="D174" i="23"/>
  <c r="G9" i="23"/>
  <c r="G8" i="28"/>
  <c r="G9" i="27"/>
  <c r="G9" i="26"/>
  <c r="G9" i="24"/>
  <c r="G10" i="25"/>
  <c r="H10" i="23"/>
  <c r="H9" i="28"/>
  <c r="H10" i="27"/>
  <c r="H11" i="25"/>
  <c r="H10" i="26"/>
  <c r="H10" i="24"/>
  <c r="E10" i="28"/>
  <c r="E11" i="27"/>
  <c r="E12" i="25"/>
  <c r="E11" i="26"/>
  <c r="E11" i="24"/>
  <c r="I10" i="28"/>
  <c r="I11" i="27"/>
  <c r="I12" i="25"/>
  <c r="I11" i="26"/>
  <c r="I11" i="24"/>
  <c r="F12" i="23"/>
  <c r="F11" i="28"/>
  <c r="F12" i="27"/>
  <c r="F13" i="25"/>
  <c r="F12" i="26"/>
  <c r="F12" i="24"/>
  <c r="J12" i="23"/>
  <c r="J11" i="28"/>
  <c r="J12" i="27"/>
  <c r="J13" i="25"/>
  <c r="J12" i="26"/>
  <c r="J12" i="24"/>
  <c r="G12" i="28"/>
  <c r="G13" i="27"/>
  <c r="G13" i="26"/>
  <c r="G13" i="24"/>
  <c r="G14" i="25"/>
  <c r="H13" i="28"/>
  <c r="H14" i="27"/>
  <c r="H15" i="25"/>
  <c r="H14" i="26"/>
  <c r="H14" i="24"/>
  <c r="D14" i="28"/>
  <c r="D15" i="27"/>
  <c r="D16" i="25"/>
  <c r="D15" i="26"/>
  <c r="D15" i="24"/>
  <c r="H14" i="28"/>
  <c r="H15" i="27"/>
  <c r="H16" i="25"/>
  <c r="H15" i="26"/>
  <c r="H15" i="24"/>
  <c r="D15" i="28"/>
  <c r="D16" i="27"/>
  <c r="D17" i="25"/>
  <c r="D16" i="26"/>
  <c r="D16" i="24"/>
  <c r="H16" i="23"/>
  <c r="H15" i="28"/>
  <c r="H16" i="27"/>
  <c r="H17" i="25"/>
  <c r="H16" i="26"/>
  <c r="H16" i="24"/>
  <c r="E16" i="28"/>
  <c r="E17" i="27"/>
  <c r="E18" i="25"/>
  <c r="E17" i="26"/>
  <c r="E17" i="24"/>
  <c r="I16" i="28"/>
  <c r="I17" i="27"/>
  <c r="I18" i="25"/>
  <c r="I17" i="26"/>
  <c r="I17" i="24"/>
  <c r="F17" i="28"/>
  <c r="F18" i="27"/>
  <c r="F19" i="25"/>
  <c r="F18" i="26"/>
  <c r="F18" i="24"/>
  <c r="J17" i="28"/>
  <c r="J18" i="27"/>
  <c r="J19" i="25"/>
  <c r="J18" i="26"/>
  <c r="J18" i="24"/>
  <c r="G18" i="28"/>
  <c r="G19" i="27"/>
  <c r="G19" i="26"/>
  <c r="G19" i="24"/>
  <c r="G20" i="25"/>
  <c r="G19" i="28"/>
  <c r="G20" i="27"/>
  <c r="G21" i="25"/>
  <c r="G20" i="26"/>
  <c r="G20" i="24"/>
  <c r="G20" i="28"/>
  <c r="G21" i="27"/>
  <c r="G21" i="26"/>
  <c r="G21" i="24"/>
  <c r="G22" i="25"/>
  <c r="H21" i="28"/>
  <c r="H22" i="27"/>
  <c r="H23" i="25"/>
  <c r="H22" i="26"/>
  <c r="H22" i="24"/>
  <c r="D22" i="28"/>
  <c r="D23" i="27"/>
  <c r="D24" i="25"/>
  <c r="D23" i="26"/>
  <c r="D23" i="24"/>
  <c r="H22" i="28"/>
  <c r="H23" i="27"/>
  <c r="H24" i="25"/>
  <c r="H23" i="26"/>
  <c r="H23" i="24"/>
  <c r="D23" i="28"/>
  <c r="D24" i="27"/>
  <c r="D25" i="25"/>
  <c r="D24" i="26"/>
  <c r="D24" i="24"/>
  <c r="H23" i="28"/>
  <c r="H24" i="27"/>
  <c r="H25" i="25"/>
  <c r="H24" i="26"/>
  <c r="H24" i="24"/>
  <c r="E24" i="28"/>
  <c r="E25" i="27"/>
  <c r="E26" i="25"/>
  <c r="E25" i="26"/>
  <c r="E25" i="24"/>
  <c r="I24" i="28"/>
  <c r="I25" i="27"/>
  <c r="I26" i="25"/>
  <c r="I25" i="26"/>
  <c r="I25" i="24"/>
  <c r="F25" i="28"/>
  <c r="F26" i="27"/>
  <c r="F27" i="25"/>
  <c r="F26" i="26"/>
  <c r="F26" i="24"/>
  <c r="J25" i="28"/>
  <c r="J26" i="27"/>
  <c r="J27" i="25"/>
  <c r="J26" i="26"/>
  <c r="J26" i="24"/>
  <c r="G27" i="23"/>
  <c r="G26" i="28"/>
  <c r="G27" i="27"/>
  <c r="G27" i="26"/>
  <c r="G27" i="24"/>
  <c r="G28" i="25"/>
  <c r="H28" i="23"/>
  <c r="H27" i="28"/>
  <c r="H28" i="27"/>
  <c r="H29" i="25"/>
  <c r="H28" i="26"/>
  <c r="H28" i="24"/>
  <c r="F29" i="23"/>
  <c r="F28" i="28"/>
  <c r="F29" i="27"/>
  <c r="F30" i="25"/>
  <c r="F29" i="26"/>
  <c r="F29" i="24"/>
  <c r="J29" i="23"/>
  <c r="J28" i="28"/>
  <c r="J29" i="27"/>
  <c r="J30" i="25"/>
  <c r="J29" i="26"/>
  <c r="J29" i="24"/>
  <c r="F30" i="23"/>
  <c r="F29" i="28"/>
  <c r="F30" i="27"/>
  <c r="F31" i="25"/>
  <c r="F30" i="26"/>
  <c r="F30" i="24"/>
  <c r="J29" i="28"/>
  <c r="J30" i="27"/>
  <c r="J31" i="25"/>
  <c r="J30" i="26"/>
  <c r="J30" i="24"/>
  <c r="G30" i="28"/>
  <c r="G31" i="27"/>
  <c r="G31" i="26"/>
  <c r="G31" i="24"/>
  <c r="G32" i="25"/>
  <c r="H34" i="20"/>
  <c r="H32" i="28"/>
  <c r="H33" i="27"/>
  <c r="H33" i="26"/>
  <c r="H33" i="24"/>
  <c r="H34" i="25"/>
  <c r="H33" i="23"/>
  <c r="E35" i="20"/>
  <c r="E33" i="28"/>
  <c r="E34" i="27"/>
  <c r="E35" i="25"/>
  <c r="E34" i="26"/>
  <c r="E34" i="24"/>
  <c r="E34" i="23"/>
  <c r="I35" i="20"/>
  <c r="I33" i="28"/>
  <c r="I34" i="27"/>
  <c r="I35" i="25"/>
  <c r="I34" i="26"/>
  <c r="I34" i="24"/>
  <c r="I34" i="23"/>
  <c r="E34" i="11"/>
  <c r="F34" i="28"/>
  <c r="F35" i="27"/>
  <c r="F36" i="25"/>
  <c r="F35" i="26"/>
  <c r="F35" i="24"/>
  <c r="F35" i="23"/>
  <c r="J34" i="28"/>
  <c r="J35" i="27"/>
  <c r="J36" i="25"/>
  <c r="J35" i="26"/>
  <c r="J35" i="24"/>
  <c r="J35" i="23"/>
  <c r="G37" i="20"/>
  <c r="G35" i="28"/>
  <c r="G36" i="27"/>
  <c r="G37" i="25"/>
  <c r="G36" i="26"/>
  <c r="G36" i="24"/>
  <c r="G36" i="23"/>
  <c r="H38" i="20"/>
  <c r="H36" i="28"/>
  <c r="H37" i="27"/>
  <c r="H37" i="26"/>
  <c r="H37" i="24"/>
  <c r="H38" i="25"/>
  <c r="H37" i="23"/>
  <c r="E38" i="28"/>
  <c r="E39" i="27"/>
  <c r="E40" i="25"/>
  <c r="E39" i="26"/>
  <c r="E39" i="24"/>
  <c r="E39" i="23"/>
  <c r="I38" i="28"/>
  <c r="I39" i="27"/>
  <c r="I40" i="25"/>
  <c r="I39" i="26"/>
  <c r="I39" i="24"/>
  <c r="I39" i="23"/>
  <c r="F39" i="28"/>
  <c r="F40" i="27"/>
  <c r="F40" i="26"/>
  <c r="F41" i="25"/>
  <c r="F40" i="24"/>
  <c r="F40" i="23"/>
  <c r="J39" i="28"/>
  <c r="J40" i="27"/>
  <c r="J40" i="26"/>
  <c r="J41" i="25"/>
  <c r="J40" i="24"/>
  <c r="J40" i="23"/>
  <c r="G40" i="28"/>
  <c r="G41" i="27"/>
  <c r="G41" i="26"/>
  <c r="G41" i="24"/>
  <c r="G42" i="25"/>
  <c r="G41" i="23"/>
  <c r="H41" i="28"/>
  <c r="H42" i="27"/>
  <c r="H42" i="26"/>
  <c r="H43" i="25"/>
  <c r="H42" i="24"/>
  <c r="H42" i="23"/>
  <c r="F42" i="28"/>
  <c r="F43" i="27"/>
  <c r="F43" i="26"/>
  <c r="F44" i="25"/>
  <c r="F43" i="24"/>
  <c r="F43" i="23"/>
  <c r="J42" i="28"/>
  <c r="J43" i="27"/>
  <c r="J43" i="26"/>
  <c r="J44" i="25"/>
  <c r="J43" i="24"/>
  <c r="J43" i="23"/>
  <c r="G47" i="20"/>
  <c r="G45" i="28"/>
  <c r="G46" i="27"/>
  <c r="G46" i="26"/>
  <c r="G47" i="25"/>
  <c r="G46" i="24"/>
  <c r="G46" i="23"/>
  <c r="H46" i="28"/>
  <c r="H47" i="27"/>
  <c r="H48" i="25"/>
  <c r="H47" i="24"/>
  <c r="H47" i="26"/>
  <c r="H47" i="23"/>
  <c r="E47" i="28"/>
  <c r="E48" i="27"/>
  <c r="E48" i="26"/>
  <c r="E49" i="25"/>
  <c r="E48" i="24"/>
  <c r="E48" i="23"/>
  <c r="I47" i="28"/>
  <c r="I48" i="27"/>
  <c r="I48" i="26"/>
  <c r="I48" i="24"/>
  <c r="I49" i="25"/>
  <c r="I48" i="23"/>
  <c r="F49" i="28"/>
  <c r="F50" i="27"/>
  <c r="F50" i="26"/>
  <c r="F51" i="25"/>
  <c r="F50" i="24"/>
  <c r="F50" i="23"/>
  <c r="J49" i="28"/>
  <c r="J50" i="27"/>
  <c r="J50" i="26"/>
  <c r="J51" i="25"/>
  <c r="J50" i="24"/>
  <c r="J50" i="23"/>
  <c r="G52" i="20"/>
  <c r="G50" i="28"/>
  <c r="G51" i="27"/>
  <c r="G52" i="25"/>
  <c r="G51" i="26"/>
  <c r="G51" i="24"/>
  <c r="G51" i="23"/>
  <c r="F51" i="11"/>
  <c r="G51" i="28"/>
  <c r="G52" i="27"/>
  <c r="G52" i="26"/>
  <c r="G53" i="25"/>
  <c r="G52" i="24"/>
  <c r="G52" i="23"/>
  <c r="H52" i="28"/>
  <c r="H53" i="27"/>
  <c r="H53" i="26"/>
  <c r="H53" i="24"/>
  <c r="H54" i="25"/>
  <c r="H53" i="23"/>
  <c r="E55" i="20"/>
  <c r="E53" i="28"/>
  <c r="E54" i="27"/>
  <c r="E54" i="26"/>
  <c r="E54" i="24"/>
  <c r="E55" i="25"/>
  <c r="E54" i="23"/>
  <c r="I53" i="28"/>
  <c r="I54" i="27"/>
  <c r="I54" i="26"/>
  <c r="I54" i="24"/>
  <c r="I55" i="25"/>
  <c r="I54" i="23"/>
  <c r="E55" i="28"/>
  <c r="E56" i="27"/>
  <c r="E56" i="26"/>
  <c r="E57" i="25"/>
  <c r="E56" i="24"/>
  <c r="E56" i="23"/>
  <c r="I55" i="28"/>
  <c r="I56" i="27"/>
  <c r="I56" i="26"/>
  <c r="I57" i="25"/>
  <c r="I56" i="24"/>
  <c r="I56" i="23"/>
  <c r="J59" i="20"/>
  <c r="J57" i="28"/>
  <c r="J58" i="27"/>
  <c r="J58" i="26"/>
  <c r="J58" i="24"/>
  <c r="J59" i="25"/>
  <c r="J58" i="23"/>
  <c r="J58" i="28"/>
  <c r="J59" i="27"/>
  <c r="J59" i="26"/>
  <c r="J60" i="25"/>
  <c r="J59" i="24"/>
  <c r="J59" i="23"/>
  <c r="J59" i="28"/>
  <c r="J60" i="27"/>
  <c r="J60" i="26"/>
  <c r="J61" i="25"/>
  <c r="J60" i="24"/>
  <c r="J60" i="23"/>
  <c r="F61" i="28"/>
  <c r="F62" i="27"/>
  <c r="F62" i="26"/>
  <c r="F63" i="25"/>
  <c r="F62" i="24"/>
  <c r="F62" i="23"/>
  <c r="J61" i="28"/>
  <c r="J62" i="27"/>
  <c r="J62" i="26"/>
  <c r="J63" i="25"/>
  <c r="J62" i="24"/>
  <c r="J62" i="23"/>
  <c r="F62" i="11"/>
  <c r="G62" i="28"/>
  <c r="G63" i="27"/>
  <c r="G64" i="25"/>
  <c r="G63" i="24"/>
  <c r="G63" i="26"/>
  <c r="G63" i="23"/>
  <c r="H63" i="28"/>
  <c r="H64" i="27"/>
  <c r="H64" i="26"/>
  <c r="H65" i="25"/>
  <c r="H64" i="24"/>
  <c r="H64" i="23"/>
  <c r="F64" i="28"/>
  <c r="F65" i="27"/>
  <c r="F65" i="26"/>
  <c r="F66" i="25"/>
  <c r="F65" i="24"/>
  <c r="F65" i="23"/>
  <c r="J64" i="28"/>
  <c r="J65" i="27"/>
  <c r="J65" i="26"/>
  <c r="J66" i="25"/>
  <c r="J65" i="24"/>
  <c r="J65" i="23"/>
  <c r="E66" i="11"/>
  <c r="F66" i="28"/>
  <c r="F67" i="27"/>
  <c r="F67" i="26"/>
  <c r="F68" i="25"/>
  <c r="F67" i="24"/>
  <c r="F67" i="23"/>
  <c r="J68" i="20"/>
  <c r="J66" i="28"/>
  <c r="J67" i="27"/>
  <c r="J67" i="26"/>
  <c r="J67" i="24"/>
  <c r="J68" i="25"/>
  <c r="J67" i="23"/>
  <c r="G69" i="20"/>
  <c r="G67" i="28"/>
  <c r="G68" i="27"/>
  <c r="G68" i="26"/>
  <c r="G69" i="25"/>
  <c r="G68" i="24"/>
  <c r="G68" i="23"/>
  <c r="H70" i="20"/>
  <c r="H68" i="28"/>
  <c r="H69" i="27"/>
  <c r="H69" i="26"/>
  <c r="H70" i="25"/>
  <c r="H69" i="24"/>
  <c r="H69" i="23"/>
  <c r="E71" i="20"/>
  <c r="E69" i="28"/>
  <c r="E70" i="27"/>
  <c r="E70" i="26"/>
  <c r="E71" i="25"/>
  <c r="E70" i="24"/>
  <c r="E70" i="23"/>
  <c r="I69" i="28"/>
  <c r="I70" i="27"/>
  <c r="I70" i="26"/>
  <c r="I71" i="25"/>
  <c r="I70" i="24"/>
  <c r="I70" i="23"/>
  <c r="E72" i="20"/>
  <c r="E70" i="28"/>
  <c r="E71" i="27"/>
  <c r="E71" i="26"/>
  <c r="E72" i="25"/>
  <c r="E71" i="24"/>
  <c r="E71" i="23"/>
  <c r="I70" i="28"/>
  <c r="I71" i="27"/>
  <c r="I71" i="26"/>
  <c r="I72" i="25"/>
  <c r="I71" i="24"/>
  <c r="I71" i="23"/>
  <c r="G73" i="28"/>
  <c r="G74" i="27"/>
  <c r="G74" i="26"/>
  <c r="G75" i="25"/>
  <c r="G74" i="24"/>
  <c r="G74" i="23"/>
  <c r="H74" i="28"/>
  <c r="H75" i="27"/>
  <c r="H75" i="26"/>
  <c r="H76" i="25"/>
  <c r="H75" i="24"/>
  <c r="H75" i="23"/>
  <c r="E77" i="20"/>
  <c r="E75" i="28"/>
  <c r="E76" i="27"/>
  <c r="E76" i="26"/>
  <c r="E77" i="25"/>
  <c r="E76" i="24"/>
  <c r="E76" i="23"/>
  <c r="I75" i="28"/>
  <c r="I76" i="27"/>
  <c r="I76" i="26"/>
  <c r="I77" i="25"/>
  <c r="I76" i="24"/>
  <c r="I76" i="23"/>
  <c r="F76" i="28"/>
  <c r="F77" i="27"/>
  <c r="F77" i="26"/>
  <c r="F78" i="25"/>
  <c r="F77" i="24"/>
  <c r="F77" i="23"/>
  <c r="J76" i="28"/>
  <c r="J77" i="27"/>
  <c r="J77" i="26"/>
  <c r="J78" i="25"/>
  <c r="J77" i="24"/>
  <c r="J77" i="23"/>
  <c r="G78" i="28"/>
  <c r="G79" i="27"/>
  <c r="G79" i="26"/>
  <c r="G80" i="25"/>
  <c r="G79" i="24"/>
  <c r="G79" i="23"/>
  <c r="H79" i="28"/>
  <c r="H80" i="27"/>
  <c r="H80" i="26"/>
  <c r="H81" i="25"/>
  <c r="H80" i="24"/>
  <c r="E80" i="28"/>
  <c r="E81" i="27"/>
  <c r="E81" i="26"/>
  <c r="E81" i="24"/>
  <c r="E82" i="25"/>
  <c r="E81" i="23"/>
  <c r="I80" i="28"/>
  <c r="I81" i="27"/>
  <c r="I81" i="26"/>
  <c r="I81" i="24"/>
  <c r="I82" i="25"/>
  <c r="I81" i="23"/>
  <c r="F83" i="20"/>
  <c r="F81" i="28"/>
  <c r="F82" i="27"/>
  <c r="F82" i="26"/>
  <c r="F83" i="25"/>
  <c r="F82" i="24"/>
  <c r="F82" i="23"/>
  <c r="J81" i="28"/>
  <c r="J82" i="27"/>
  <c r="J82" i="26"/>
  <c r="J83" i="25"/>
  <c r="J82" i="24"/>
  <c r="J82" i="23"/>
  <c r="G85" i="28"/>
  <c r="G86" i="27"/>
  <c r="G86" i="26"/>
  <c r="G87" i="25"/>
  <c r="G86" i="24"/>
  <c r="G86" i="23"/>
  <c r="H86" i="28"/>
  <c r="H87" i="27"/>
  <c r="H87" i="26"/>
  <c r="H87" i="24"/>
  <c r="H88" i="25"/>
  <c r="H87" i="23"/>
  <c r="E87" i="28"/>
  <c r="E88" i="27"/>
  <c r="E88" i="26"/>
  <c r="E89" i="25"/>
  <c r="E88" i="24"/>
  <c r="E88" i="23"/>
  <c r="I87" i="28"/>
  <c r="I88" i="27"/>
  <c r="I88" i="26"/>
  <c r="I89" i="25"/>
  <c r="I88" i="24"/>
  <c r="I88" i="23"/>
  <c r="F88" i="28"/>
  <c r="F89" i="27"/>
  <c r="F89" i="26"/>
  <c r="F90" i="25"/>
  <c r="F89" i="24"/>
  <c r="F89" i="23"/>
  <c r="J88" i="28"/>
  <c r="J89" i="27"/>
  <c r="J89" i="26"/>
  <c r="J90" i="25"/>
  <c r="J89" i="24"/>
  <c r="J89" i="23"/>
  <c r="G89" i="28"/>
  <c r="G90" i="27"/>
  <c r="G90" i="26"/>
  <c r="G91" i="25"/>
  <c r="G90" i="24"/>
  <c r="G90" i="23"/>
  <c r="H91" i="28"/>
  <c r="H92" i="27"/>
  <c r="H92" i="26"/>
  <c r="H93" i="25"/>
  <c r="H92" i="24"/>
  <c r="H92" i="23"/>
  <c r="E92" i="28"/>
  <c r="E93" i="27"/>
  <c r="E93" i="26"/>
  <c r="E94" i="25"/>
  <c r="E93" i="24"/>
  <c r="E93" i="23"/>
  <c r="I92" i="28"/>
  <c r="I93" i="27"/>
  <c r="I93" i="26"/>
  <c r="I94" i="25"/>
  <c r="I93" i="24"/>
  <c r="I93" i="23"/>
  <c r="F93" i="28"/>
  <c r="F94" i="27"/>
  <c r="F94" i="26"/>
  <c r="F95" i="25"/>
  <c r="F94" i="24"/>
  <c r="F94" i="23"/>
  <c r="J93" i="28"/>
  <c r="J94" i="27"/>
  <c r="J94" i="26"/>
  <c r="J95" i="25"/>
  <c r="J94" i="24"/>
  <c r="J94" i="23"/>
  <c r="G96" i="20"/>
  <c r="G94" i="28"/>
  <c r="G95" i="27"/>
  <c r="G95" i="26"/>
  <c r="G96" i="25"/>
  <c r="G95" i="24"/>
  <c r="G95" i="23"/>
  <c r="H95" i="28"/>
  <c r="H96" i="27"/>
  <c r="H96" i="26"/>
  <c r="H97" i="25"/>
  <c r="H96" i="24"/>
  <c r="H96" i="23"/>
  <c r="C96" i="11"/>
  <c r="D96" i="28"/>
  <c r="D97" i="27"/>
  <c r="D97" i="26"/>
  <c r="D98" i="25"/>
  <c r="D97" i="24"/>
  <c r="D97" i="23"/>
  <c r="H96" i="28"/>
  <c r="H97" i="27"/>
  <c r="H97" i="26"/>
  <c r="H98" i="25"/>
  <c r="H97" i="24"/>
  <c r="H97" i="23"/>
  <c r="E101" i="28"/>
  <c r="E102" i="27"/>
  <c r="E102" i="26"/>
  <c r="E103" i="25"/>
  <c r="E102" i="24"/>
  <c r="E102" i="23"/>
  <c r="I101" i="28"/>
  <c r="I102" i="27"/>
  <c r="I102" i="26"/>
  <c r="I103" i="25"/>
  <c r="I102" i="24"/>
  <c r="I102" i="23"/>
  <c r="F102" i="28"/>
  <c r="F103" i="27"/>
  <c r="F103" i="26"/>
  <c r="F104" i="25"/>
  <c r="F103" i="24"/>
  <c r="F103" i="23"/>
  <c r="J102" i="28"/>
  <c r="J103" i="27"/>
  <c r="J103" i="26"/>
  <c r="J104" i="25"/>
  <c r="J103" i="24"/>
  <c r="J103" i="23"/>
  <c r="G105" i="20"/>
  <c r="G103" i="28"/>
  <c r="G104" i="27"/>
  <c r="G104" i="26"/>
  <c r="G105" i="25"/>
  <c r="G104" i="24"/>
  <c r="G104" i="23"/>
  <c r="H104" i="28"/>
  <c r="H105" i="27"/>
  <c r="H106" i="25"/>
  <c r="H105" i="26"/>
  <c r="H105" i="24"/>
  <c r="H105" i="23"/>
  <c r="E105" i="28"/>
  <c r="E106" i="27"/>
  <c r="E106" i="26"/>
  <c r="E107" i="25"/>
  <c r="E106" i="24"/>
  <c r="E106" i="23"/>
  <c r="I105" i="28"/>
  <c r="I106" i="27"/>
  <c r="I106" i="26"/>
  <c r="I107" i="25"/>
  <c r="I106" i="24"/>
  <c r="I106" i="23"/>
  <c r="F107" i="28"/>
  <c r="F108" i="27"/>
  <c r="F108" i="26"/>
  <c r="F109" i="25"/>
  <c r="F108" i="24"/>
  <c r="F108" i="23"/>
  <c r="J107" i="28"/>
  <c r="J108" i="27"/>
  <c r="J108" i="26"/>
  <c r="J109" i="25"/>
  <c r="J108" i="24"/>
  <c r="J108" i="23"/>
  <c r="H108" i="28"/>
  <c r="H109" i="27"/>
  <c r="H109" i="26"/>
  <c r="H110" i="25"/>
  <c r="H109" i="24"/>
  <c r="H109" i="23"/>
  <c r="E109" i="11"/>
  <c r="F109" i="28"/>
  <c r="F110" i="27"/>
  <c r="F110" i="26"/>
  <c r="F111" i="25"/>
  <c r="F110" i="24"/>
  <c r="F110" i="23"/>
  <c r="I109" i="11"/>
  <c r="J109" i="28"/>
  <c r="J110" i="27"/>
  <c r="J110" i="26"/>
  <c r="J111" i="25"/>
  <c r="J110" i="24"/>
  <c r="J110" i="23"/>
  <c r="H110" i="28"/>
  <c r="H111" i="27"/>
  <c r="H111" i="26"/>
  <c r="H112" i="25"/>
  <c r="H111" i="24"/>
  <c r="H111" i="23"/>
  <c r="F111" i="28"/>
  <c r="F112" i="27"/>
  <c r="F112" i="26"/>
  <c r="F113" i="25"/>
  <c r="F112" i="24"/>
  <c r="F112" i="23"/>
  <c r="J111" i="28"/>
  <c r="J112" i="27"/>
  <c r="J112" i="26"/>
  <c r="J113" i="25"/>
  <c r="J112" i="24"/>
  <c r="J112" i="23"/>
  <c r="H113" i="28"/>
  <c r="H114" i="27"/>
  <c r="H114" i="26"/>
  <c r="H115" i="25"/>
  <c r="H114" i="24"/>
  <c r="H114" i="23"/>
  <c r="E114" i="28"/>
  <c r="E115" i="27"/>
  <c r="E115" i="26"/>
  <c r="E116" i="25"/>
  <c r="E115" i="24"/>
  <c r="E115" i="23"/>
  <c r="I114" i="28"/>
  <c r="I115" i="27"/>
  <c r="I115" i="26"/>
  <c r="I116" i="25"/>
  <c r="I115" i="24"/>
  <c r="I115" i="23"/>
  <c r="F115" i="28"/>
  <c r="F116" i="27"/>
  <c r="F116" i="26"/>
  <c r="F117" i="25"/>
  <c r="F116" i="24"/>
  <c r="F116" i="23"/>
  <c r="J115" i="28"/>
  <c r="J116" i="27"/>
  <c r="J116" i="26"/>
  <c r="J117" i="25"/>
  <c r="J116" i="24"/>
  <c r="J116" i="23"/>
  <c r="G116" i="28"/>
  <c r="G117" i="27"/>
  <c r="G117" i="26"/>
  <c r="G118" i="25"/>
  <c r="G117" i="24"/>
  <c r="G117" i="23"/>
  <c r="H117" i="28"/>
  <c r="H118" i="27"/>
  <c r="H118" i="26"/>
  <c r="H119" i="25"/>
  <c r="H118" i="24"/>
  <c r="H118" i="23"/>
  <c r="E120" i="28"/>
  <c r="E121" i="27"/>
  <c r="E121" i="26"/>
  <c r="E122" i="25"/>
  <c r="E121" i="24"/>
  <c r="E121" i="23"/>
  <c r="I120" i="28"/>
  <c r="I121" i="27"/>
  <c r="I121" i="26"/>
  <c r="I122" i="25"/>
  <c r="I121" i="24"/>
  <c r="I121" i="23"/>
  <c r="F121" i="28"/>
  <c r="F122" i="27"/>
  <c r="F122" i="26"/>
  <c r="F123" i="25"/>
  <c r="F122" i="24"/>
  <c r="F122" i="23"/>
  <c r="J121" i="28"/>
  <c r="J122" i="27"/>
  <c r="J123" i="25"/>
  <c r="J122" i="24"/>
  <c r="J122" i="26"/>
  <c r="J122" i="23"/>
  <c r="G122" i="28"/>
  <c r="G123" i="27"/>
  <c r="G123" i="26"/>
  <c r="G124" i="25"/>
  <c r="G123" i="24"/>
  <c r="G123" i="23"/>
  <c r="H126" i="28"/>
  <c r="H127" i="27"/>
  <c r="H128" i="25"/>
  <c r="H127" i="24"/>
  <c r="H127" i="26"/>
  <c r="H127" i="23"/>
  <c r="E129" i="20"/>
  <c r="E127" i="28"/>
  <c r="E128" i="27"/>
  <c r="E128" i="26"/>
  <c r="E129" i="25"/>
  <c r="E128" i="24"/>
  <c r="E128" i="23"/>
  <c r="I127" i="28"/>
  <c r="I128" i="27"/>
  <c r="I128" i="26"/>
  <c r="I129" i="25"/>
  <c r="I128" i="24"/>
  <c r="I128" i="23"/>
  <c r="D123" i="11"/>
  <c r="E123" i="28"/>
  <c r="E124" i="27"/>
  <c r="E124" i="26"/>
  <c r="E125" i="25"/>
  <c r="E124" i="24"/>
  <c r="E124" i="23"/>
  <c r="H123" i="11"/>
  <c r="I123" i="28"/>
  <c r="I124" i="27"/>
  <c r="I124" i="26"/>
  <c r="I125" i="25"/>
  <c r="I124" i="24"/>
  <c r="I124" i="23"/>
  <c r="E124" i="28"/>
  <c r="E125" i="27"/>
  <c r="E125" i="26"/>
  <c r="E126" i="25"/>
  <c r="E125" i="24"/>
  <c r="E125" i="23"/>
  <c r="I124" i="28"/>
  <c r="I125" i="27"/>
  <c r="I125" i="26"/>
  <c r="I126" i="25"/>
  <c r="I125" i="24"/>
  <c r="I125" i="23"/>
  <c r="E127" i="20"/>
  <c r="E125" i="28"/>
  <c r="E126" i="27"/>
  <c r="E126" i="26"/>
  <c r="E127" i="25"/>
  <c r="E126" i="24"/>
  <c r="E126" i="23"/>
  <c r="I127" i="20"/>
  <c r="I125" i="28"/>
  <c r="I126" i="27"/>
  <c r="I126" i="26"/>
  <c r="I127" i="25"/>
  <c r="I126" i="24"/>
  <c r="I126" i="23"/>
  <c r="F134" i="28"/>
  <c r="F135" i="26"/>
  <c r="F135" i="27"/>
  <c r="F136" i="25"/>
  <c r="F135" i="24"/>
  <c r="F135" i="23"/>
  <c r="J134" i="28"/>
  <c r="J135" i="26"/>
  <c r="J135" i="27"/>
  <c r="J136" i="25"/>
  <c r="J135" i="24"/>
  <c r="J135" i="23"/>
  <c r="G135" i="28"/>
  <c r="G136" i="27"/>
  <c r="G136" i="26"/>
  <c r="G137" i="25"/>
  <c r="G136" i="24"/>
  <c r="G136" i="23"/>
  <c r="H136" i="28"/>
  <c r="H137" i="27"/>
  <c r="H137" i="26"/>
  <c r="H138" i="25"/>
  <c r="H137" i="24"/>
  <c r="H137" i="23"/>
  <c r="E137" i="28"/>
  <c r="E138" i="27"/>
  <c r="E138" i="26"/>
  <c r="E139" i="25"/>
  <c r="E138" i="24"/>
  <c r="E138" i="23"/>
  <c r="H137" i="11"/>
  <c r="I137" i="28"/>
  <c r="I138" i="27"/>
  <c r="I138" i="26"/>
  <c r="I139" i="25"/>
  <c r="I138" i="24"/>
  <c r="I138" i="23"/>
  <c r="E138" i="11"/>
  <c r="F138" i="28"/>
  <c r="F139" i="26"/>
  <c r="F139" i="27"/>
  <c r="F140" i="25"/>
  <c r="F139" i="24"/>
  <c r="F139" i="23"/>
  <c r="I138" i="11"/>
  <c r="J138" i="28"/>
  <c r="J139" i="26"/>
  <c r="J139" i="27"/>
  <c r="J140" i="25"/>
  <c r="J139" i="24"/>
  <c r="J139" i="23"/>
  <c r="E149" i="20"/>
  <c r="E147" i="28"/>
  <c r="E148" i="27"/>
  <c r="E148" i="26"/>
  <c r="E149" i="25"/>
  <c r="E148" i="24"/>
  <c r="E148" i="23"/>
  <c r="I147" i="28"/>
  <c r="I148" i="27"/>
  <c r="I148" i="26"/>
  <c r="I149" i="25"/>
  <c r="I148" i="24"/>
  <c r="I148" i="23"/>
  <c r="F148" i="28"/>
  <c r="F149" i="26"/>
  <c r="F149" i="27"/>
  <c r="F150" i="25"/>
  <c r="F149" i="24"/>
  <c r="F149" i="23"/>
  <c r="J148" i="28"/>
  <c r="J149" i="26"/>
  <c r="J149" i="27"/>
  <c r="J150" i="25"/>
  <c r="J149" i="24"/>
  <c r="J149" i="23"/>
  <c r="G150" i="28"/>
  <c r="G151" i="27"/>
  <c r="G151" i="26"/>
  <c r="G152" i="25"/>
  <c r="G151" i="24"/>
  <c r="G151" i="23"/>
  <c r="H151" i="28"/>
  <c r="H152" i="27"/>
  <c r="H152" i="26"/>
  <c r="H153" i="25"/>
  <c r="H152" i="24"/>
  <c r="H152" i="23"/>
  <c r="C149" i="11"/>
  <c r="D149" i="28"/>
  <c r="D150" i="27"/>
  <c r="D150" i="26"/>
  <c r="D151" i="25"/>
  <c r="D150" i="24"/>
  <c r="D150" i="23"/>
  <c r="H149" i="28"/>
  <c r="H150" i="27"/>
  <c r="H150" i="26"/>
  <c r="H151" i="25"/>
  <c r="H150" i="24"/>
  <c r="H150" i="23"/>
  <c r="D153" i="11"/>
  <c r="E153" i="28"/>
  <c r="E154" i="27"/>
  <c r="E154" i="26"/>
  <c r="E155" i="25"/>
  <c r="E154" i="24"/>
  <c r="E154" i="23"/>
  <c r="I153" i="28"/>
  <c r="I154" i="27"/>
  <c r="I155" i="25"/>
  <c r="I154" i="26"/>
  <c r="I154" i="24"/>
  <c r="I154" i="23"/>
  <c r="F154" i="28"/>
  <c r="F155" i="27"/>
  <c r="F155" i="26"/>
  <c r="F156" i="25"/>
  <c r="F155" i="24"/>
  <c r="F155" i="23"/>
  <c r="J154" i="28"/>
  <c r="J155" i="26"/>
  <c r="J155" i="27"/>
  <c r="J156" i="25"/>
  <c r="J155" i="24"/>
  <c r="J155" i="23"/>
  <c r="G156" i="28"/>
  <c r="G157" i="27"/>
  <c r="G157" i="26"/>
  <c r="G158" i="25"/>
  <c r="G157" i="24"/>
  <c r="G157" i="23"/>
  <c r="H157" i="28"/>
  <c r="H158" i="27"/>
  <c r="H159" i="25"/>
  <c r="H158" i="26"/>
  <c r="H158" i="24"/>
  <c r="H158" i="23"/>
  <c r="D157" i="20"/>
  <c r="D155" i="28"/>
  <c r="D156" i="27"/>
  <c r="D156" i="26"/>
  <c r="D157" i="25"/>
  <c r="D156" i="24"/>
  <c r="D156" i="23"/>
  <c r="G155" i="11"/>
  <c r="H155" i="28"/>
  <c r="H156" i="27"/>
  <c r="H156" i="26"/>
  <c r="H157" i="25"/>
  <c r="H156" i="24"/>
  <c r="H156" i="23"/>
  <c r="E162" i="20"/>
  <c r="E160" i="28"/>
  <c r="E161" i="27"/>
  <c r="E161" i="26"/>
  <c r="E162" i="25"/>
  <c r="E161" i="24"/>
  <c r="E161" i="23"/>
  <c r="I160" i="28"/>
  <c r="I161" i="27"/>
  <c r="I161" i="26"/>
  <c r="I162" i="25"/>
  <c r="I161" i="24"/>
  <c r="I161" i="23"/>
  <c r="F161" i="28"/>
  <c r="F162" i="26"/>
  <c r="F162" i="27"/>
  <c r="F163" i="25"/>
  <c r="F162" i="24"/>
  <c r="F162" i="23"/>
  <c r="J161" i="28"/>
  <c r="J162" i="27"/>
  <c r="J162" i="26"/>
  <c r="J163" i="25"/>
  <c r="J162" i="24"/>
  <c r="J162" i="23"/>
  <c r="G162" i="28"/>
  <c r="G163" i="27"/>
  <c r="G163" i="26"/>
  <c r="G164" i="25"/>
  <c r="G163" i="24"/>
  <c r="G163" i="23"/>
  <c r="H165" i="20"/>
  <c r="H163" i="28"/>
  <c r="H164" i="27"/>
  <c r="H164" i="26"/>
  <c r="H165" i="25"/>
  <c r="H164" i="24"/>
  <c r="H164" i="23"/>
  <c r="E164" i="28"/>
  <c r="E165" i="27"/>
  <c r="E165" i="26"/>
  <c r="E166" i="25"/>
  <c r="E165" i="24"/>
  <c r="E165" i="23"/>
  <c r="I164" i="28"/>
  <c r="I165" i="27"/>
  <c r="I165" i="26"/>
  <c r="I166" i="25"/>
  <c r="I165" i="24"/>
  <c r="I165" i="23"/>
  <c r="F172" i="28"/>
  <c r="F173" i="27"/>
  <c r="F173" i="26"/>
  <c r="F174" i="25"/>
  <c r="F173" i="24"/>
  <c r="F173" i="23"/>
  <c r="J172" i="28"/>
  <c r="J173" i="27"/>
  <c r="J173" i="26"/>
  <c r="J174" i="25"/>
  <c r="J173" i="24"/>
  <c r="J173" i="23"/>
  <c r="G173" i="28"/>
  <c r="G174" i="27"/>
  <c r="G174" i="26"/>
  <c r="G175" i="25"/>
  <c r="G174" i="24"/>
  <c r="G174" i="23"/>
  <c r="H174" i="28"/>
  <c r="H175" i="27"/>
  <c r="H175" i="26"/>
  <c r="H176" i="25"/>
  <c r="H175" i="24"/>
  <c r="H175" i="23"/>
  <c r="E175" i="28"/>
  <c r="E176" i="27"/>
  <c r="E176" i="26"/>
  <c r="E177" i="25"/>
  <c r="E176" i="24"/>
  <c r="E176" i="23"/>
  <c r="I175" i="28"/>
  <c r="I176" i="27"/>
  <c r="I176" i="26"/>
  <c r="I177" i="25"/>
  <c r="I176" i="24"/>
  <c r="I176" i="23"/>
  <c r="F176" i="28"/>
  <c r="F177" i="27"/>
  <c r="F177" i="26"/>
  <c r="F177" i="24"/>
  <c r="F178" i="25"/>
  <c r="F177" i="23"/>
  <c r="J176" i="28"/>
  <c r="J177" i="27"/>
  <c r="J177" i="26"/>
  <c r="J177" i="24"/>
  <c r="J178" i="25"/>
  <c r="J177" i="23"/>
  <c r="G177" i="28"/>
  <c r="G178" i="27"/>
  <c r="G178" i="26"/>
  <c r="G179" i="25"/>
  <c r="G178" i="24"/>
  <c r="G178" i="23"/>
  <c r="H178" i="28"/>
  <c r="H179" i="27"/>
  <c r="H179" i="26"/>
  <c r="H180" i="25"/>
  <c r="H179" i="24"/>
  <c r="H179" i="23"/>
  <c r="E179" i="28"/>
  <c r="E180" i="27"/>
  <c r="E180" i="26"/>
  <c r="E180" i="24"/>
  <c r="E181" i="25"/>
  <c r="E180" i="23"/>
  <c r="I179" i="28"/>
  <c r="I180" i="27"/>
  <c r="I180" i="26"/>
  <c r="I180" i="24"/>
  <c r="I181" i="25"/>
  <c r="I180" i="23"/>
  <c r="AJ65" i="2"/>
  <c r="AP65" i="2"/>
  <c r="AL65" i="2"/>
  <c r="AO65" i="2"/>
  <c r="AN65" i="2"/>
  <c r="W65" i="25"/>
  <c r="Z65" i="25" s="1"/>
  <c r="AP152" i="2"/>
  <c r="AL152" i="2"/>
  <c r="AO152" i="2"/>
  <c r="AN152" i="2"/>
  <c r="W152" i="25"/>
  <c r="Z152" i="25" s="1"/>
  <c r="AJ152" i="2"/>
  <c r="D89" i="20"/>
  <c r="D87" i="28"/>
  <c r="D88" i="27"/>
  <c r="D88" i="26"/>
  <c r="D89" i="25"/>
  <c r="D88" i="24"/>
  <c r="D88" i="23"/>
  <c r="AO153" i="2"/>
  <c r="AN153" i="2"/>
  <c r="AL153" i="2"/>
  <c r="AP153" i="2"/>
  <c r="W153" i="25"/>
  <c r="Z153" i="25" s="1"/>
  <c r="AJ153" i="2"/>
  <c r="D179" i="20"/>
  <c r="D177" i="28"/>
  <c r="D178" i="27"/>
  <c r="D178" i="26"/>
  <c r="D178" i="24"/>
  <c r="D179" i="25"/>
  <c r="D178" i="23"/>
  <c r="AJ180" i="2"/>
  <c r="AM180" i="2"/>
  <c r="AP180" i="2"/>
  <c r="AL180" i="2"/>
  <c r="AN180" i="2"/>
  <c r="W180" i="25"/>
  <c r="Z180" i="25" s="1"/>
  <c r="AP29" i="2"/>
  <c r="AL29" i="2"/>
  <c r="AO29" i="2"/>
  <c r="W29" i="25"/>
  <c r="Z29" i="25" s="1"/>
  <c r="AJ29" i="2"/>
  <c r="E19" i="28"/>
  <c r="E20" i="27"/>
  <c r="E20" i="26"/>
  <c r="E20" i="24"/>
  <c r="E21" i="25"/>
  <c r="I21" i="23"/>
  <c r="I20" i="28"/>
  <c r="I21" i="27"/>
  <c r="I22" i="25"/>
  <c r="I21" i="26"/>
  <c r="I21" i="24"/>
  <c r="J22" i="23"/>
  <c r="J21" i="28"/>
  <c r="J22" i="27"/>
  <c r="J23" i="25"/>
  <c r="J22" i="26"/>
  <c r="J22" i="24"/>
  <c r="F23" i="28"/>
  <c r="F24" i="27"/>
  <c r="F25" i="25"/>
  <c r="F24" i="26"/>
  <c r="F24" i="24"/>
  <c r="F28" i="23"/>
  <c r="F27" i="28"/>
  <c r="F28" i="27"/>
  <c r="F29" i="25"/>
  <c r="F28" i="26"/>
  <c r="F28" i="24"/>
  <c r="D29" i="28"/>
  <c r="D30" i="27"/>
  <c r="D31" i="25"/>
  <c r="D30" i="26"/>
  <c r="D30" i="24"/>
  <c r="I31" i="23"/>
  <c r="I30" i="28"/>
  <c r="I31" i="27"/>
  <c r="I32" i="25"/>
  <c r="I31" i="26"/>
  <c r="I31" i="24"/>
  <c r="J32" i="28"/>
  <c r="J33" i="27"/>
  <c r="J34" i="25"/>
  <c r="J33" i="26"/>
  <c r="J33" i="24"/>
  <c r="J33" i="23"/>
  <c r="H36" i="20"/>
  <c r="H34" i="28"/>
  <c r="H35" i="27"/>
  <c r="H35" i="26"/>
  <c r="H35" i="24"/>
  <c r="H36" i="25"/>
  <c r="H35" i="23"/>
  <c r="F36" i="28"/>
  <c r="F37" i="27"/>
  <c r="F38" i="25"/>
  <c r="F37" i="26"/>
  <c r="F37" i="24"/>
  <c r="F37" i="23"/>
  <c r="I40" i="28"/>
  <c r="I41" i="27"/>
  <c r="I41" i="26"/>
  <c r="I42" i="25"/>
  <c r="I41" i="24"/>
  <c r="I41" i="23"/>
  <c r="E47" i="20"/>
  <c r="E45" i="28"/>
  <c r="E46" i="27"/>
  <c r="E46" i="26"/>
  <c r="E47" i="25"/>
  <c r="E46" i="24"/>
  <c r="E46" i="23"/>
  <c r="J46" i="28"/>
  <c r="J47" i="27"/>
  <c r="J48" i="25"/>
  <c r="J47" i="26"/>
  <c r="J47" i="24"/>
  <c r="J47" i="23"/>
  <c r="I52" i="20"/>
  <c r="I50" i="28"/>
  <c r="I51" i="27"/>
  <c r="I51" i="26"/>
  <c r="I52" i="25"/>
  <c r="I51" i="24"/>
  <c r="I51" i="23"/>
  <c r="F54" i="20"/>
  <c r="F52" i="28"/>
  <c r="F53" i="27"/>
  <c r="F53" i="26"/>
  <c r="F54" i="25"/>
  <c r="F53" i="24"/>
  <c r="F53" i="23"/>
  <c r="H61" i="28"/>
  <c r="H62" i="27"/>
  <c r="H62" i="26"/>
  <c r="H63" i="25"/>
  <c r="H62" i="24"/>
  <c r="H62" i="23"/>
  <c r="F63" i="28"/>
  <c r="F64" i="27"/>
  <c r="F64" i="26"/>
  <c r="F64" i="24"/>
  <c r="F65" i="25"/>
  <c r="F64" i="23"/>
  <c r="D68" i="20"/>
  <c r="D66" i="28"/>
  <c r="D67" i="27"/>
  <c r="D67" i="26"/>
  <c r="D68" i="25"/>
  <c r="D67" i="24"/>
  <c r="D67" i="23"/>
  <c r="I67" i="28"/>
  <c r="I68" i="27"/>
  <c r="I68" i="26"/>
  <c r="I69" i="25"/>
  <c r="I68" i="24"/>
  <c r="I68" i="23"/>
  <c r="F69" i="11"/>
  <c r="G69" i="28"/>
  <c r="G70" i="27"/>
  <c r="G70" i="26"/>
  <c r="G71" i="25"/>
  <c r="G70" i="24"/>
  <c r="G70" i="23"/>
  <c r="G70" i="28"/>
  <c r="G71" i="27"/>
  <c r="G71" i="26"/>
  <c r="G72" i="25"/>
  <c r="G71" i="24"/>
  <c r="G71" i="23"/>
  <c r="I73" i="28"/>
  <c r="I74" i="27"/>
  <c r="I74" i="26"/>
  <c r="I75" i="25"/>
  <c r="I74" i="24"/>
  <c r="I74" i="23"/>
  <c r="I78" i="28"/>
  <c r="I79" i="27"/>
  <c r="I79" i="26"/>
  <c r="I80" i="25"/>
  <c r="I79" i="24"/>
  <c r="I79" i="23"/>
  <c r="F80" i="11"/>
  <c r="G80" i="28"/>
  <c r="G81" i="27"/>
  <c r="G81" i="26"/>
  <c r="G82" i="25"/>
  <c r="G81" i="24"/>
  <c r="G81" i="23"/>
  <c r="E87" i="20"/>
  <c r="E85" i="28"/>
  <c r="E86" i="27"/>
  <c r="E86" i="26"/>
  <c r="E87" i="25"/>
  <c r="E86" i="24"/>
  <c r="E86" i="23"/>
  <c r="J86" i="28"/>
  <c r="J87" i="27"/>
  <c r="J87" i="26"/>
  <c r="J88" i="25"/>
  <c r="J87" i="24"/>
  <c r="J87" i="23"/>
  <c r="H88" i="28"/>
  <c r="H89" i="27"/>
  <c r="H89" i="26"/>
  <c r="H89" i="24"/>
  <c r="H90" i="25"/>
  <c r="H89" i="23"/>
  <c r="F91" i="28"/>
  <c r="F92" i="27"/>
  <c r="F92" i="26"/>
  <c r="F93" i="25"/>
  <c r="F92" i="24"/>
  <c r="F92" i="23"/>
  <c r="G92" i="28"/>
  <c r="G93" i="27"/>
  <c r="G93" i="26"/>
  <c r="G94" i="25"/>
  <c r="G93" i="24"/>
  <c r="G93" i="23"/>
  <c r="H93" i="28"/>
  <c r="H94" i="27"/>
  <c r="H94" i="26"/>
  <c r="H95" i="25"/>
  <c r="H94" i="24"/>
  <c r="H94" i="23"/>
  <c r="I94" i="28"/>
  <c r="I95" i="27"/>
  <c r="I95" i="26"/>
  <c r="I96" i="25"/>
  <c r="I95" i="24"/>
  <c r="I95" i="23"/>
  <c r="J95" i="28"/>
  <c r="J96" i="27"/>
  <c r="J96" i="26"/>
  <c r="J97" i="25"/>
  <c r="J96" i="24"/>
  <c r="J96" i="23"/>
  <c r="G101" i="28"/>
  <c r="G102" i="27"/>
  <c r="G102" i="26"/>
  <c r="G103" i="25"/>
  <c r="G102" i="24"/>
  <c r="G102" i="23"/>
  <c r="D12" i="28"/>
  <c r="D13" i="27"/>
  <c r="D14" i="25"/>
  <c r="D13" i="26"/>
  <c r="D13" i="24"/>
  <c r="AF13" i="23"/>
  <c r="D9" i="28"/>
  <c r="D10" i="27"/>
  <c r="D11" i="25"/>
  <c r="D10" i="26"/>
  <c r="D10" i="24"/>
  <c r="AO12" i="2"/>
  <c r="AL12" i="2"/>
  <c r="AP12" i="2"/>
  <c r="W12" i="25"/>
  <c r="Z12" i="25" s="1"/>
  <c r="AJ12" i="2"/>
  <c r="AP14" i="2"/>
  <c r="AL14" i="2"/>
  <c r="AO14" i="2"/>
  <c r="W14" i="25"/>
  <c r="Z14" i="25" s="1"/>
  <c r="AJ14" i="2"/>
  <c r="D37" i="20"/>
  <c r="D35" i="28"/>
  <c r="D36" i="27"/>
  <c r="D37" i="25"/>
  <c r="D36" i="26"/>
  <c r="D36" i="24"/>
  <c r="D36" i="23"/>
  <c r="AF47" i="23"/>
  <c r="AN54" i="2"/>
  <c r="AP54" i="2"/>
  <c r="AO54" i="2"/>
  <c r="AL54" i="2"/>
  <c r="W54" i="25"/>
  <c r="Z54" i="25" s="1"/>
  <c r="AJ54" i="2"/>
  <c r="AM69" i="2"/>
  <c r="AP69" i="2"/>
  <c r="AL69" i="2"/>
  <c r="AO69" i="2"/>
  <c r="W69" i="25"/>
  <c r="Z69" i="25" s="1"/>
  <c r="AJ69" i="2"/>
  <c r="AF82" i="23"/>
  <c r="D91" i="20"/>
  <c r="D89" i="28"/>
  <c r="D90" i="27"/>
  <c r="D90" i="26"/>
  <c r="D91" i="25"/>
  <c r="D90" i="24"/>
  <c r="D90" i="23"/>
  <c r="C104" i="11"/>
  <c r="D104" i="28"/>
  <c r="D105" i="27"/>
  <c r="D105" i="26"/>
  <c r="D106" i="25"/>
  <c r="D105" i="24"/>
  <c r="D105" i="23"/>
  <c r="C116" i="11"/>
  <c r="D116" i="28"/>
  <c r="D117" i="27"/>
  <c r="D117" i="26"/>
  <c r="D118" i="25"/>
  <c r="D117" i="24"/>
  <c r="D117" i="23"/>
  <c r="C156" i="11"/>
  <c r="D156" i="28"/>
  <c r="D157" i="27"/>
  <c r="D157" i="26"/>
  <c r="D158" i="25"/>
  <c r="D157" i="24"/>
  <c r="D157" i="23"/>
  <c r="C176" i="11"/>
  <c r="D176" i="28"/>
  <c r="D177" i="27"/>
  <c r="D177" i="26"/>
  <c r="D177" i="24"/>
  <c r="D178" i="25"/>
  <c r="D177" i="23"/>
  <c r="D11" i="28"/>
  <c r="D12" i="27"/>
  <c r="D13" i="25"/>
  <c r="D12" i="26"/>
  <c r="D12" i="24"/>
  <c r="AP15" i="2"/>
  <c r="AL15" i="2"/>
  <c r="AO15" i="2"/>
  <c r="W15" i="25"/>
  <c r="Z15" i="25" s="1"/>
  <c r="AJ15" i="2"/>
  <c r="D18" i="28"/>
  <c r="D19" i="27"/>
  <c r="D20" i="25"/>
  <c r="D19" i="26"/>
  <c r="D19" i="24"/>
  <c r="AP30" i="2"/>
  <c r="AL30" i="2"/>
  <c r="AO30" i="2"/>
  <c r="W30" i="25"/>
  <c r="Z30" i="25" s="1"/>
  <c r="AJ30" i="2"/>
  <c r="AF48" i="23"/>
  <c r="AF46" i="23"/>
  <c r="AF65" i="23"/>
  <c r="AJ89" i="2"/>
  <c r="AN89" i="2"/>
  <c r="AL89" i="2"/>
  <c r="AO89" i="2"/>
  <c r="AP89" i="2"/>
  <c r="W89" i="25"/>
  <c r="Z89" i="25" s="1"/>
  <c r="C105" i="11"/>
  <c r="D105" i="28"/>
  <c r="D106" i="27"/>
  <c r="D106" i="26"/>
  <c r="D107" i="25"/>
  <c r="D106" i="24"/>
  <c r="D106" i="23"/>
  <c r="C117" i="11"/>
  <c r="D117" i="28"/>
  <c r="D118" i="27"/>
  <c r="D118" i="26"/>
  <c r="D119" i="25"/>
  <c r="D118" i="24"/>
  <c r="D118" i="23"/>
  <c r="C157" i="11"/>
  <c r="D157" i="28"/>
  <c r="D158" i="27"/>
  <c r="D158" i="26"/>
  <c r="D159" i="25"/>
  <c r="D158" i="24"/>
  <c r="D158" i="23"/>
  <c r="D24" i="28"/>
  <c r="D25" i="27"/>
  <c r="D26" i="25"/>
  <c r="D25" i="26"/>
  <c r="D25" i="24"/>
  <c r="AP27" i="2"/>
  <c r="AL27" i="2"/>
  <c r="AO27" i="2"/>
  <c r="W27" i="25"/>
  <c r="Z27" i="25" s="1"/>
  <c r="AJ27" i="2"/>
  <c r="C41" i="11"/>
  <c r="D41" i="28"/>
  <c r="D42" i="27"/>
  <c r="D42" i="26"/>
  <c r="D43" i="25"/>
  <c r="D42" i="24"/>
  <c r="D42" i="23"/>
  <c r="AJ40" i="2"/>
  <c r="AM40" i="2"/>
  <c r="AP40" i="2"/>
  <c r="AN40" i="2"/>
  <c r="AO40" i="2"/>
  <c r="W40" i="25"/>
  <c r="Z40" i="25" s="1"/>
  <c r="AJ41" i="2"/>
  <c r="AP41" i="2"/>
  <c r="AL41" i="2"/>
  <c r="AO41" i="2"/>
  <c r="AN41" i="2"/>
  <c r="W41" i="25"/>
  <c r="Z41" i="25" s="1"/>
  <c r="AL42" i="2"/>
  <c r="AP42" i="2"/>
  <c r="AM42" i="2"/>
  <c r="W42" i="25"/>
  <c r="Z42" i="25" s="1"/>
  <c r="AJ43" i="2"/>
  <c r="AO43" i="2"/>
  <c r="AL43" i="2"/>
  <c r="AP43" i="2"/>
  <c r="W43" i="25"/>
  <c r="Z43" i="25" s="1"/>
  <c r="AM44" i="2"/>
  <c r="AP44" i="2"/>
  <c r="AL44" i="2"/>
  <c r="W44" i="25"/>
  <c r="Z44" i="25" s="1"/>
  <c r="AF50" i="23"/>
  <c r="AJ72" i="2"/>
  <c r="AM72" i="2"/>
  <c r="AP72" i="2"/>
  <c r="AO72" i="2"/>
  <c r="AL72" i="2"/>
  <c r="W72" i="25"/>
  <c r="Z72" i="25" s="1"/>
  <c r="AJ87" i="2"/>
  <c r="AP87" i="2"/>
  <c r="AL87" i="2"/>
  <c r="AO87" i="2"/>
  <c r="AM87" i="2"/>
  <c r="W87" i="25"/>
  <c r="Z87" i="25" s="1"/>
  <c r="AF92" i="23"/>
  <c r="AP103" i="2"/>
  <c r="AL103" i="2"/>
  <c r="AO103" i="2"/>
  <c r="W103" i="25"/>
  <c r="Z103" i="25" s="1"/>
  <c r="AJ103" i="2"/>
  <c r="AF108" i="23"/>
  <c r="AO115" i="2"/>
  <c r="AM115" i="2"/>
  <c r="AL115" i="2"/>
  <c r="AP115" i="2"/>
  <c r="W115" i="25"/>
  <c r="Z115" i="25" s="1"/>
  <c r="AJ115" i="2"/>
  <c r="D122" i="20"/>
  <c r="D120" i="28"/>
  <c r="D121" i="27"/>
  <c r="D121" i="26"/>
  <c r="D122" i="25"/>
  <c r="D121" i="24"/>
  <c r="D121" i="23"/>
  <c r="C134" i="11"/>
  <c r="D134" i="28"/>
  <c r="D135" i="27"/>
  <c r="D135" i="26"/>
  <c r="D136" i="25"/>
  <c r="D135" i="24"/>
  <c r="D135" i="23"/>
  <c r="AF148" i="23"/>
  <c r="AJ155" i="2"/>
  <c r="AN155" i="2"/>
  <c r="AM155" i="2"/>
  <c r="AO155" i="2"/>
  <c r="AP155" i="2"/>
  <c r="W155" i="25"/>
  <c r="Z155" i="25" s="1"/>
  <c r="AF173" i="23"/>
  <c r="H9" i="23"/>
  <c r="H8" i="28"/>
  <c r="H9" i="27"/>
  <c r="H10" i="25"/>
  <c r="H9" i="26"/>
  <c r="H9" i="24"/>
  <c r="E10" i="23"/>
  <c r="E9" i="28"/>
  <c r="E10" i="27"/>
  <c r="E10" i="26"/>
  <c r="E10" i="24"/>
  <c r="E11" i="25"/>
  <c r="I9" i="28"/>
  <c r="I10" i="27"/>
  <c r="I10" i="26"/>
  <c r="I11" i="25"/>
  <c r="I10" i="24"/>
  <c r="F10" i="28"/>
  <c r="F11" i="27"/>
  <c r="F12" i="25"/>
  <c r="F11" i="26"/>
  <c r="F11" i="24"/>
  <c r="J10" i="28"/>
  <c r="J11" i="27"/>
  <c r="J12" i="25"/>
  <c r="J11" i="26"/>
  <c r="J11" i="24"/>
  <c r="G11" i="28"/>
  <c r="G12" i="27"/>
  <c r="G13" i="25"/>
  <c r="G12" i="26"/>
  <c r="G12" i="24"/>
  <c r="H13" i="23"/>
  <c r="H12" i="28"/>
  <c r="H13" i="27"/>
  <c r="H14" i="25"/>
  <c r="H13" i="26"/>
  <c r="H13" i="24"/>
  <c r="E13" i="28"/>
  <c r="E14" i="27"/>
  <c r="E14" i="26"/>
  <c r="E14" i="24"/>
  <c r="E15" i="25"/>
  <c r="I13" i="28"/>
  <c r="I14" i="27"/>
  <c r="I14" i="26"/>
  <c r="I15" i="25"/>
  <c r="I14" i="24"/>
  <c r="E14" i="28"/>
  <c r="E15" i="27"/>
  <c r="E16" i="25"/>
  <c r="E15" i="26"/>
  <c r="E15" i="24"/>
  <c r="I15" i="23"/>
  <c r="I14" i="28"/>
  <c r="I15" i="27"/>
  <c r="I16" i="25"/>
  <c r="I15" i="26"/>
  <c r="I15" i="24"/>
  <c r="E15" i="28"/>
  <c r="E16" i="27"/>
  <c r="E16" i="26"/>
  <c r="E16" i="24"/>
  <c r="E17" i="25"/>
  <c r="I16" i="23"/>
  <c r="I15" i="28"/>
  <c r="I16" i="27"/>
  <c r="I16" i="26"/>
  <c r="I17" i="25"/>
  <c r="I16" i="24"/>
  <c r="F17" i="23"/>
  <c r="F16" i="28"/>
  <c r="F17" i="27"/>
  <c r="F18" i="25"/>
  <c r="F17" i="26"/>
  <c r="F17" i="24"/>
  <c r="J17" i="23"/>
  <c r="J16" i="28"/>
  <c r="J17" i="27"/>
  <c r="J18" i="25"/>
  <c r="J17" i="26"/>
  <c r="J17" i="24"/>
  <c r="G17" i="28"/>
  <c r="G18" i="27"/>
  <c r="G19" i="25"/>
  <c r="G18" i="26"/>
  <c r="G18" i="24"/>
  <c r="H18" i="28"/>
  <c r="H19" i="27"/>
  <c r="H20" i="25"/>
  <c r="H19" i="26"/>
  <c r="H19" i="24"/>
  <c r="D20" i="23"/>
  <c r="D19" i="28"/>
  <c r="D20" i="27"/>
  <c r="D21" i="25"/>
  <c r="D20" i="26"/>
  <c r="D20" i="24"/>
  <c r="H19" i="28"/>
  <c r="H20" i="27"/>
  <c r="H21" i="25"/>
  <c r="H20" i="26"/>
  <c r="H20" i="24"/>
  <c r="D20" i="28"/>
  <c r="D21" i="27"/>
  <c r="D22" i="25"/>
  <c r="D21" i="26"/>
  <c r="D21" i="24"/>
  <c r="H20" i="28"/>
  <c r="H21" i="27"/>
  <c r="H22" i="25"/>
  <c r="H21" i="26"/>
  <c r="H21" i="24"/>
  <c r="E21" i="28"/>
  <c r="E22" i="27"/>
  <c r="E22" i="26"/>
  <c r="E22" i="24"/>
  <c r="E23" i="25"/>
  <c r="I21" i="28"/>
  <c r="I22" i="27"/>
  <c r="I22" i="26"/>
  <c r="I23" i="25"/>
  <c r="I22" i="24"/>
  <c r="E22" i="28"/>
  <c r="E23" i="27"/>
  <c r="E24" i="25"/>
  <c r="E23" i="26"/>
  <c r="E23" i="24"/>
  <c r="I22" i="28"/>
  <c r="I23" i="27"/>
  <c r="I24" i="25"/>
  <c r="I23" i="26"/>
  <c r="I23" i="24"/>
  <c r="E23" i="28"/>
  <c r="E24" i="27"/>
  <c r="E24" i="26"/>
  <c r="E24" i="24"/>
  <c r="E25" i="25"/>
  <c r="I24" i="23"/>
  <c r="I23" i="28"/>
  <c r="I24" i="27"/>
  <c r="I24" i="26"/>
  <c r="I25" i="25"/>
  <c r="I24" i="24"/>
  <c r="F25" i="23"/>
  <c r="F24" i="28"/>
  <c r="F25" i="27"/>
  <c r="F26" i="25"/>
  <c r="F25" i="26"/>
  <c r="F25" i="24"/>
  <c r="J25" i="23"/>
  <c r="J24" i="28"/>
  <c r="J25" i="27"/>
  <c r="J26" i="25"/>
  <c r="J25" i="26"/>
  <c r="J25" i="24"/>
  <c r="G26" i="23"/>
  <c r="G25" i="28"/>
  <c r="G26" i="27"/>
  <c r="G27" i="25"/>
  <c r="G26" i="26"/>
  <c r="G26" i="24"/>
  <c r="D26" i="28"/>
  <c r="D27" i="27"/>
  <c r="D28" i="25"/>
  <c r="D27" i="26"/>
  <c r="D27" i="24"/>
  <c r="H27" i="23"/>
  <c r="H26" i="28"/>
  <c r="H27" i="27"/>
  <c r="H28" i="25"/>
  <c r="H27" i="26"/>
  <c r="H27" i="24"/>
  <c r="E28" i="23"/>
  <c r="E27" i="28"/>
  <c r="E28" i="27"/>
  <c r="E28" i="26"/>
  <c r="E28" i="24"/>
  <c r="E29" i="25"/>
  <c r="I28" i="23"/>
  <c r="I27" i="28"/>
  <c r="I28" i="27"/>
  <c r="I28" i="26"/>
  <c r="I29" i="25"/>
  <c r="I28" i="24"/>
  <c r="G29" i="23"/>
  <c r="G28" i="28"/>
  <c r="G29" i="27"/>
  <c r="G29" i="26"/>
  <c r="G29" i="24"/>
  <c r="G30" i="25"/>
  <c r="G30" i="23"/>
  <c r="G29" i="28"/>
  <c r="G30" i="27"/>
  <c r="G31" i="25"/>
  <c r="G30" i="26"/>
  <c r="G30" i="24"/>
  <c r="H31" i="23"/>
  <c r="H30" i="28"/>
  <c r="H31" i="27"/>
  <c r="H32" i="25"/>
  <c r="H31" i="26"/>
  <c r="H31" i="24"/>
  <c r="E32" i="28"/>
  <c r="E33" i="27"/>
  <c r="E34" i="25"/>
  <c r="E33" i="26"/>
  <c r="E33" i="24"/>
  <c r="E33" i="23"/>
  <c r="I32" i="28"/>
  <c r="I33" i="27"/>
  <c r="I34" i="25"/>
  <c r="I33" i="26"/>
  <c r="I33" i="24"/>
  <c r="I33" i="23"/>
  <c r="F33" i="28"/>
  <c r="F34" i="27"/>
  <c r="F34" i="26"/>
  <c r="F34" i="24"/>
  <c r="F35" i="25"/>
  <c r="F34" i="23"/>
  <c r="J33" i="28"/>
  <c r="J34" i="27"/>
  <c r="J34" i="26"/>
  <c r="J34" i="24"/>
  <c r="J35" i="25"/>
  <c r="J34" i="23"/>
  <c r="F34" i="11"/>
  <c r="G34" i="28"/>
  <c r="G35" i="27"/>
  <c r="G36" i="25"/>
  <c r="G35" i="26"/>
  <c r="G35" i="24"/>
  <c r="G35" i="23"/>
  <c r="H37" i="20"/>
  <c r="H35" i="28"/>
  <c r="H36" i="27"/>
  <c r="H37" i="25"/>
  <c r="H36" i="26"/>
  <c r="H36" i="24"/>
  <c r="H36" i="23"/>
  <c r="E38" i="20"/>
  <c r="E36" i="28"/>
  <c r="E37" i="27"/>
  <c r="E38" i="25"/>
  <c r="E37" i="26"/>
  <c r="E37" i="24"/>
  <c r="E37" i="23"/>
  <c r="I36" i="28"/>
  <c r="I37" i="27"/>
  <c r="I38" i="25"/>
  <c r="I37" i="26"/>
  <c r="I37" i="24"/>
  <c r="I37" i="23"/>
  <c r="F38" i="28"/>
  <c r="F39" i="27"/>
  <c r="F40" i="25"/>
  <c r="F39" i="26"/>
  <c r="F39" i="24"/>
  <c r="F39" i="23"/>
  <c r="J38" i="28"/>
  <c r="J39" i="27"/>
  <c r="J39" i="26"/>
  <c r="J40" i="25"/>
  <c r="J39" i="24"/>
  <c r="J39" i="23"/>
  <c r="G39" i="28"/>
  <c r="G40" i="27"/>
  <c r="G40" i="26"/>
  <c r="G41" i="25"/>
  <c r="G40" i="24"/>
  <c r="G40" i="23"/>
  <c r="H40" i="28"/>
  <c r="H41" i="27"/>
  <c r="H41" i="26"/>
  <c r="H42" i="25"/>
  <c r="H41" i="24"/>
  <c r="H41" i="23"/>
  <c r="E41" i="28"/>
  <c r="E42" i="27"/>
  <c r="E42" i="26"/>
  <c r="E42" i="24"/>
  <c r="E43" i="25"/>
  <c r="E42" i="23"/>
  <c r="I41" i="28"/>
  <c r="I42" i="27"/>
  <c r="I42" i="26"/>
  <c r="I42" i="24"/>
  <c r="I43" i="25"/>
  <c r="I42" i="23"/>
  <c r="G42" i="28"/>
  <c r="G43" i="27"/>
  <c r="G43" i="24"/>
  <c r="G43" i="26"/>
  <c r="G44" i="25"/>
  <c r="G43" i="23"/>
  <c r="G45" i="11"/>
  <c r="H45" i="28"/>
  <c r="H46" i="27"/>
  <c r="H47" i="25"/>
  <c r="H46" i="26"/>
  <c r="H46" i="24"/>
  <c r="H46" i="23"/>
  <c r="E46" i="28"/>
  <c r="E47" i="27"/>
  <c r="E47" i="26"/>
  <c r="E48" i="25"/>
  <c r="E47" i="24"/>
  <c r="E47" i="23"/>
  <c r="I46" i="28"/>
  <c r="I47" i="27"/>
  <c r="I47" i="26"/>
  <c r="I48" i="25"/>
  <c r="I47" i="24"/>
  <c r="I47" i="23"/>
  <c r="F47" i="28"/>
  <c r="F48" i="27"/>
  <c r="F48" i="26"/>
  <c r="F49" i="25"/>
  <c r="F48" i="24"/>
  <c r="F48" i="23"/>
  <c r="J47" i="28"/>
  <c r="J48" i="27"/>
  <c r="J48" i="26"/>
  <c r="J49" i="25"/>
  <c r="J48" i="24"/>
  <c r="J48" i="23"/>
  <c r="G49" i="28"/>
  <c r="G50" i="27"/>
  <c r="G50" i="26"/>
  <c r="G51" i="25"/>
  <c r="G50" i="24"/>
  <c r="G50" i="23"/>
  <c r="H52" i="20"/>
  <c r="H50" i="28"/>
  <c r="H51" i="27"/>
  <c r="H51" i="26"/>
  <c r="H52" i="25"/>
  <c r="H51" i="24"/>
  <c r="H51" i="23"/>
  <c r="D51" i="28"/>
  <c r="D52" i="27"/>
  <c r="D52" i="26"/>
  <c r="D53" i="25"/>
  <c r="D52" i="24"/>
  <c r="D52" i="23"/>
  <c r="H53" i="20"/>
  <c r="H51" i="28"/>
  <c r="H52" i="27"/>
  <c r="H52" i="26"/>
  <c r="H53" i="25"/>
  <c r="H52" i="24"/>
  <c r="H52" i="23"/>
  <c r="E54" i="20"/>
  <c r="E52" i="28"/>
  <c r="E53" i="27"/>
  <c r="E53" i="26"/>
  <c r="E54" i="25"/>
  <c r="E53" i="24"/>
  <c r="E53" i="23"/>
  <c r="I52" i="28"/>
  <c r="I53" i="27"/>
  <c r="I53" i="26"/>
  <c r="I54" i="25"/>
  <c r="I53" i="24"/>
  <c r="I53" i="23"/>
  <c r="F53" i="28"/>
  <c r="F54" i="27"/>
  <c r="F54" i="26"/>
  <c r="F55" i="25"/>
  <c r="F54" i="24"/>
  <c r="F54" i="23"/>
  <c r="J55" i="20"/>
  <c r="J53" i="28"/>
  <c r="J54" i="27"/>
  <c r="J54" i="26"/>
  <c r="J55" i="25"/>
  <c r="J54" i="24"/>
  <c r="J54" i="23"/>
  <c r="E55" i="11"/>
  <c r="F55" i="28"/>
  <c r="F56" i="27"/>
  <c r="F57" i="25"/>
  <c r="F56" i="26"/>
  <c r="F56" i="24"/>
  <c r="F56" i="23"/>
  <c r="I55" i="11"/>
  <c r="J55" i="28"/>
  <c r="J56" i="27"/>
  <c r="J57" i="25"/>
  <c r="J56" i="26"/>
  <c r="J56" i="24"/>
  <c r="J56" i="23"/>
  <c r="L57" i="27"/>
  <c r="G61" i="28"/>
  <c r="G62" i="27"/>
  <c r="G62" i="26"/>
  <c r="G63" i="25"/>
  <c r="G62" i="24"/>
  <c r="G62" i="23"/>
  <c r="H62" i="28"/>
  <c r="H63" i="27"/>
  <c r="H63" i="26"/>
  <c r="H63" i="24"/>
  <c r="H64" i="25"/>
  <c r="H63" i="23"/>
  <c r="E63" i="28"/>
  <c r="E64" i="27"/>
  <c r="E65" i="25"/>
  <c r="E64" i="26"/>
  <c r="E64" i="24"/>
  <c r="E64" i="23"/>
  <c r="I63" i="28"/>
  <c r="I64" i="27"/>
  <c r="I64" i="26"/>
  <c r="I65" i="25"/>
  <c r="I64" i="24"/>
  <c r="I64" i="23"/>
  <c r="G64" i="28"/>
  <c r="G65" i="27"/>
  <c r="G65" i="26"/>
  <c r="G65" i="24"/>
  <c r="G66" i="25"/>
  <c r="G65" i="23"/>
  <c r="G68" i="20"/>
  <c r="G66" i="28"/>
  <c r="G67" i="27"/>
  <c r="G67" i="26"/>
  <c r="G68" i="25"/>
  <c r="G67" i="24"/>
  <c r="G67" i="23"/>
  <c r="H67" i="28"/>
  <c r="H68" i="27"/>
  <c r="H68" i="26"/>
  <c r="H68" i="24"/>
  <c r="H69" i="25"/>
  <c r="H68" i="23"/>
  <c r="E68" i="28"/>
  <c r="E69" i="27"/>
  <c r="E69" i="26"/>
  <c r="E70" i="25"/>
  <c r="E69" i="24"/>
  <c r="E69" i="23"/>
  <c r="I68" i="28"/>
  <c r="I69" i="27"/>
  <c r="I69" i="26"/>
  <c r="I70" i="25"/>
  <c r="I69" i="24"/>
  <c r="I69" i="23"/>
  <c r="F71" i="20"/>
  <c r="F69" i="28"/>
  <c r="F70" i="27"/>
  <c r="F70" i="26"/>
  <c r="F71" i="25"/>
  <c r="F70" i="24"/>
  <c r="F70" i="23"/>
  <c r="J69" i="28"/>
  <c r="J70" i="27"/>
  <c r="J70" i="26"/>
  <c r="J71" i="25"/>
  <c r="J70" i="24"/>
  <c r="J70" i="23"/>
  <c r="F72" i="20"/>
  <c r="F70" i="28"/>
  <c r="F71" i="27"/>
  <c r="F71" i="26"/>
  <c r="F72" i="25"/>
  <c r="F71" i="24"/>
  <c r="F71" i="23"/>
  <c r="J72" i="20"/>
  <c r="J70" i="28"/>
  <c r="J71" i="27"/>
  <c r="J71" i="26"/>
  <c r="J72" i="25"/>
  <c r="J71" i="24"/>
  <c r="J71" i="23"/>
  <c r="G73" i="11"/>
  <c r="H73" i="28"/>
  <c r="H74" i="27"/>
  <c r="H74" i="26"/>
  <c r="H74" i="24"/>
  <c r="H75" i="25"/>
  <c r="H74" i="23"/>
  <c r="E74" i="28"/>
  <c r="E75" i="27"/>
  <c r="E75" i="26"/>
  <c r="E76" i="25"/>
  <c r="E75" i="24"/>
  <c r="E75" i="23"/>
  <c r="I74" i="28"/>
  <c r="I75" i="27"/>
  <c r="I75" i="26"/>
  <c r="I76" i="25"/>
  <c r="I75" i="24"/>
  <c r="I75" i="23"/>
  <c r="F77" i="20"/>
  <c r="F75" i="28"/>
  <c r="F76" i="27"/>
  <c r="F76" i="26"/>
  <c r="F77" i="25"/>
  <c r="F76" i="24"/>
  <c r="F76" i="23"/>
  <c r="J75" i="28"/>
  <c r="J76" i="26"/>
  <c r="J76" i="27"/>
  <c r="J77" i="25"/>
  <c r="J76" i="24"/>
  <c r="J76" i="23"/>
  <c r="G76" i="28"/>
  <c r="G77" i="27"/>
  <c r="G77" i="26"/>
  <c r="G78" i="25"/>
  <c r="G77" i="24"/>
  <c r="G77" i="23"/>
  <c r="H78" i="28"/>
  <c r="H79" i="27"/>
  <c r="H79" i="26"/>
  <c r="H80" i="25"/>
  <c r="H79" i="24"/>
  <c r="D79" i="11"/>
  <c r="E79" i="28"/>
  <c r="E80" i="27"/>
  <c r="E80" i="26"/>
  <c r="E81" i="25"/>
  <c r="E80" i="24"/>
  <c r="E80" i="23"/>
  <c r="H79" i="11"/>
  <c r="I79" i="28"/>
  <c r="I80" i="27"/>
  <c r="I80" i="26"/>
  <c r="I81" i="25"/>
  <c r="I80" i="24"/>
  <c r="I80" i="23"/>
  <c r="E80" i="11"/>
  <c r="F80" i="28"/>
  <c r="F81" i="27"/>
  <c r="F81" i="26"/>
  <c r="F82" i="25"/>
  <c r="F81" i="24"/>
  <c r="F81" i="23"/>
  <c r="J80" i="28"/>
  <c r="J81" i="27"/>
  <c r="J81" i="26"/>
  <c r="J82" i="25"/>
  <c r="J81" i="24"/>
  <c r="J81" i="23"/>
  <c r="G83" i="20"/>
  <c r="G81" i="28"/>
  <c r="G82" i="27"/>
  <c r="G82" i="26"/>
  <c r="G83" i="25"/>
  <c r="G82" i="24"/>
  <c r="G82" i="23"/>
  <c r="H85" i="28"/>
  <c r="H86" i="27"/>
  <c r="H86" i="26"/>
  <c r="H87" i="25"/>
  <c r="H86" i="24"/>
  <c r="H86" i="23"/>
  <c r="D86" i="11"/>
  <c r="E86" i="28"/>
  <c r="E87" i="27"/>
  <c r="E87" i="26"/>
  <c r="E88" i="25"/>
  <c r="E87" i="24"/>
  <c r="E87" i="23"/>
  <c r="H86" i="11"/>
  <c r="I86" i="28"/>
  <c r="I87" i="27"/>
  <c r="I87" i="26"/>
  <c r="I88" i="25"/>
  <c r="I87" i="24"/>
  <c r="I87" i="23"/>
  <c r="F87" i="28"/>
  <c r="F88" i="27"/>
  <c r="F88" i="26"/>
  <c r="F88" i="24"/>
  <c r="F89" i="25"/>
  <c r="F88" i="23"/>
  <c r="J87" i="28"/>
  <c r="J88" i="27"/>
  <c r="J88" i="26"/>
  <c r="J88" i="24"/>
  <c r="J89" i="25"/>
  <c r="J88" i="23"/>
  <c r="G88" i="28"/>
  <c r="G89" i="27"/>
  <c r="G89" i="26"/>
  <c r="G90" i="25"/>
  <c r="G89" i="24"/>
  <c r="G89" i="23"/>
  <c r="H89" i="28"/>
  <c r="H90" i="27"/>
  <c r="H90" i="26"/>
  <c r="H91" i="25"/>
  <c r="H90" i="24"/>
  <c r="H90" i="23"/>
  <c r="E93" i="20"/>
  <c r="E91" i="28"/>
  <c r="E92" i="27"/>
  <c r="E92" i="26"/>
  <c r="E92" i="24"/>
  <c r="E93" i="25"/>
  <c r="E92" i="23"/>
  <c r="I91" i="28"/>
  <c r="I92" i="27"/>
  <c r="I92" i="26"/>
  <c r="I92" i="24"/>
  <c r="I93" i="25"/>
  <c r="I92" i="23"/>
  <c r="E92" i="11"/>
  <c r="F92" i="28"/>
  <c r="F93" i="27"/>
  <c r="F93" i="26"/>
  <c r="F94" i="25"/>
  <c r="F93" i="24"/>
  <c r="F93" i="23"/>
  <c r="J92" i="28"/>
  <c r="J93" i="26"/>
  <c r="J93" i="27"/>
  <c r="J94" i="25"/>
  <c r="J93" i="24"/>
  <c r="J93" i="23"/>
  <c r="F93" i="11"/>
  <c r="G93" i="28"/>
  <c r="G94" i="27"/>
  <c r="G94" i="26"/>
  <c r="G95" i="25"/>
  <c r="G94" i="24"/>
  <c r="G94" i="23"/>
  <c r="H94" i="28"/>
  <c r="H95" i="27"/>
  <c r="H95" i="26"/>
  <c r="H96" i="25"/>
  <c r="H95" i="24"/>
  <c r="H95" i="23"/>
  <c r="E95" i="28"/>
  <c r="E96" i="27"/>
  <c r="E96" i="26"/>
  <c r="E97" i="25"/>
  <c r="E96" i="24"/>
  <c r="E96" i="23"/>
  <c r="I95" i="28"/>
  <c r="I96" i="27"/>
  <c r="I96" i="26"/>
  <c r="I97" i="25"/>
  <c r="I96" i="24"/>
  <c r="I96" i="23"/>
  <c r="E96" i="28"/>
  <c r="E97" i="27"/>
  <c r="E97" i="26"/>
  <c r="E98" i="25"/>
  <c r="E97" i="24"/>
  <c r="E97" i="23"/>
  <c r="I96" i="28"/>
  <c r="I97" i="27"/>
  <c r="I97" i="26"/>
  <c r="I98" i="25"/>
  <c r="I97" i="24"/>
  <c r="I97" i="23"/>
  <c r="F101" i="28"/>
  <c r="F102" i="27"/>
  <c r="F102" i="26"/>
  <c r="F103" i="25"/>
  <c r="F102" i="24"/>
  <c r="F102" i="23"/>
  <c r="J101" i="28"/>
  <c r="J102" i="27"/>
  <c r="J102" i="26"/>
  <c r="J103" i="25"/>
  <c r="J102" i="24"/>
  <c r="J102" i="23"/>
  <c r="G102" i="28"/>
  <c r="G103" i="27"/>
  <c r="G103" i="26"/>
  <c r="G104" i="25"/>
  <c r="G103" i="24"/>
  <c r="G103" i="23"/>
  <c r="H103" i="28"/>
  <c r="H104" i="27"/>
  <c r="H104" i="26"/>
  <c r="H105" i="25"/>
  <c r="H104" i="24"/>
  <c r="H104" i="23"/>
  <c r="E104" i="28"/>
  <c r="E105" i="27"/>
  <c r="E105" i="26"/>
  <c r="E106" i="25"/>
  <c r="E105" i="24"/>
  <c r="E105" i="23"/>
  <c r="I104" i="28"/>
  <c r="I105" i="27"/>
  <c r="I105" i="26"/>
  <c r="I106" i="25"/>
  <c r="I105" i="24"/>
  <c r="I105" i="23"/>
  <c r="F105" i="28"/>
  <c r="F106" i="27"/>
  <c r="F107" i="25"/>
  <c r="F106" i="26"/>
  <c r="F106" i="24"/>
  <c r="F106" i="23"/>
  <c r="J105" i="28"/>
  <c r="J106" i="27"/>
  <c r="J106" i="26"/>
  <c r="J107" i="25"/>
  <c r="J106" i="24"/>
  <c r="J106" i="23"/>
  <c r="G107" i="28"/>
  <c r="G108" i="27"/>
  <c r="G108" i="26"/>
  <c r="G109" i="25"/>
  <c r="G108" i="24"/>
  <c r="G108" i="23"/>
  <c r="E110" i="20"/>
  <c r="E108" i="28"/>
  <c r="E109" i="27"/>
  <c r="E109" i="26"/>
  <c r="E110" i="25"/>
  <c r="E109" i="24"/>
  <c r="E109" i="23"/>
  <c r="I108" i="28"/>
  <c r="I109" i="27"/>
  <c r="I109" i="26"/>
  <c r="I110" i="25"/>
  <c r="I109" i="24"/>
  <c r="I109" i="23"/>
  <c r="G109" i="28"/>
  <c r="G110" i="27"/>
  <c r="G110" i="26"/>
  <c r="G111" i="25"/>
  <c r="G110" i="24"/>
  <c r="G110" i="23"/>
  <c r="E110" i="28"/>
  <c r="E111" i="27"/>
  <c r="E111" i="26"/>
  <c r="E112" i="25"/>
  <c r="E111" i="24"/>
  <c r="E111" i="23"/>
  <c r="I110" i="28"/>
  <c r="I111" i="27"/>
  <c r="I111" i="26"/>
  <c r="I112" i="25"/>
  <c r="I111" i="24"/>
  <c r="I111" i="23"/>
  <c r="G111" i="28"/>
  <c r="G112" i="27"/>
  <c r="G112" i="26"/>
  <c r="G113" i="25"/>
  <c r="G112" i="24"/>
  <c r="G112" i="23"/>
  <c r="E113" i="28"/>
  <c r="E114" i="27"/>
  <c r="E114" i="26"/>
  <c r="E115" i="25"/>
  <c r="E114" i="24"/>
  <c r="E114" i="23"/>
  <c r="I113" i="28"/>
  <c r="I114" i="27"/>
  <c r="I114" i="26"/>
  <c r="I115" i="25"/>
  <c r="I114" i="24"/>
  <c r="I114" i="23"/>
  <c r="E114" i="11"/>
  <c r="F114" i="28"/>
  <c r="F115" i="27"/>
  <c r="F116" i="25"/>
  <c r="F115" i="26"/>
  <c r="F115" i="24"/>
  <c r="F115" i="23"/>
  <c r="J114" i="28"/>
  <c r="J115" i="27"/>
  <c r="J115" i="26"/>
  <c r="J116" i="25"/>
  <c r="J115" i="24"/>
  <c r="J115" i="23"/>
  <c r="F115" i="11"/>
  <c r="G115" i="28"/>
  <c r="G116" i="27"/>
  <c r="G116" i="26"/>
  <c r="G117" i="25"/>
  <c r="G116" i="24"/>
  <c r="G116" i="23"/>
  <c r="H116" i="28"/>
  <c r="H117" i="27"/>
  <c r="H117" i="26"/>
  <c r="H118" i="25"/>
  <c r="H117" i="24"/>
  <c r="H117" i="23"/>
  <c r="E117" i="28"/>
  <c r="E118" i="27"/>
  <c r="E118" i="26"/>
  <c r="E119" i="25"/>
  <c r="E118" i="24"/>
  <c r="E118" i="23"/>
  <c r="I117" i="28"/>
  <c r="I118" i="27"/>
  <c r="I118" i="26"/>
  <c r="I119" i="25"/>
  <c r="I118" i="24"/>
  <c r="I118" i="23"/>
  <c r="F120" i="28"/>
  <c r="F121" i="26"/>
  <c r="F122" i="25"/>
  <c r="F121" i="27"/>
  <c r="F121" i="24"/>
  <c r="F121" i="23"/>
  <c r="J120" i="28"/>
  <c r="J121" i="27"/>
  <c r="J121" i="26"/>
  <c r="J122" i="25"/>
  <c r="J121" i="24"/>
  <c r="J121" i="23"/>
  <c r="G121" i="28"/>
  <c r="G122" i="27"/>
  <c r="G122" i="26"/>
  <c r="G123" i="25"/>
  <c r="G122" i="24"/>
  <c r="G122" i="23"/>
  <c r="H122" i="28"/>
  <c r="H123" i="27"/>
  <c r="H123" i="26"/>
  <c r="H124" i="25"/>
  <c r="H123" i="24"/>
  <c r="H123" i="23"/>
  <c r="E126" i="28"/>
  <c r="E127" i="27"/>
  <c r="E127" i="26"/>
  <c r="E128" i="25"/>
  <c r="E127" i="24"/>
  <c r="E127" i="23"/>
  <c r="I126" i="28"/>
  <c r="I127" i="27"/>
  <c r="I127" i="26"/>
  <c r="I128" i="25"/>
  <c r="I127" i="24"/>
  <c r="I127" i="23"/>
  <c r="F127" i="28"/>
  <c r="F128" i="27"/>
  <c r="F128" i="26"/>
  <c r="F129" i="25"/>
  <c r="F128" i="24"/>
  <c r="F128" i="23"/>
  <c r="J127" i="28"/>
  <c r="J128" i="27"/>
  <c r="J128" i="26"/>
  <c r="J129" i="25"/>
  <c r="J128" i="24"/>
  <c r="J128" i="23"/>
  <c r="F123" i="28"/>
  <c r="F124" i="27"/>
  <c r="F124" i="26"/>
  <c r="F125" i="25"/>
  <c r="F124" i="24"/>
  <c r="F124" i="23"/>
  <c r="J123" i="28"/>
  <c r="J124" i="27"/>
  <c r="J124" i="26"/>
  <c r="J125" i="25"/>
  <c r="J124" i="24"/>
  <c r="J124" i="23"/>
  <c r="E124" i="11"/>
  <c r="F124" i="28"/>
  <c r="F125" i="26"/>
  <c r="F125" i="27"/>
  <c r="F126" i="25"/>
  <c r="F125" i="24"/>
  <c r="F125" i="23"/>
  <c r="I124" i="11"/>
  <c r="J124" i="28"/>
  <c r="J125" i="26"/>
  <c r="J125" i="27"/>
  <c r="J126" i="25"/>
  <c r="J125" i="24"/>
  <c r="J125" i="23"/>
  <c r="F125" i="28"/>
  <c r="F126" i="27"/>
  <c r="F126" i="26"/>
  <c r="F127" i="25"/>
  <c r="F126" i="24"/>
  <c r="F126" i="23"/>
  <c r="J125" i="28"/>
  <c r="J126" i="26"/>
  <c r="J126" i="27"/>
  <c r="J127" i="25"/>
  <c r="J126" i="24"/>
  <c r="J126" i="23"/>
  <c r="G134" i="28"/>
  <c r="G135" i="27"/>
  <c r="G135" i="26"/>
  <c r="G136" i="25"/>
  <c r="G135" i="24"/>
  <c r="G135" i="23"/>
  <c r="H135" i="28"/>
  <c r="H136" i="27"/>
  <c r="H136" i="26"/>
  <c r="H137" i="25"/>
  <c r="H136" i="24"/>
  <c r="H136" i="23"/>
  <c r="E136" i="28"/>
  <c r="E137" i="27"/>
  <c r="E137" i="26"/>
  <c r="E138" i="25"/>
  <c r="E137" i="24"/>
  <c r="E137" i="23"/>
  <c r="I136" i="28"/>
  <c r="I137" i="27"/>
  <c r="I137" i="26"/>
  <c r="I138" i="25"/>
  <c r="I137" i="24"/>
  <c r="I137" i="23"/>
  <c r="F137" i="28"/>
  <c r="F138" i="27"/>
  <c r="F138" i="26"/>
  <c r="F139" i="25"/>
  <c r="F138" i="24"/>
  <c r="F138" i="23"/>
  <c r="J137" i="28"/>
  <c r="J138" i="27"/>
  <c r="J138" i="26"/>
  <c r="J139" i="25"/>
  <c r="J138" i="24"/>
  <c r="J138" i="23"/>
  <c r="G138" i="28"/>
  <c r="G139" i="27"/>
  <c r="G139" i="26"/>
  <c r="G140" i="25"/>
  <c r="G139" i="24"/>
  <c r="G139" i="23"/>
  <c r="F147" i="28"/>
  <c r="F148" i="27"/>
  <c r="F148" i="26"/>
  <c r="F149" i="25"/>
  <c r="F148" i="24"/>
  <c r="F148" i="23"/>
  <c r="J147" i="28"/>
  <c r="J148" i="27"/>
  <c r="J148" i="26"/>
  <c r="J149" i="25"/>
  <c r="J148" i="24"/>
  <c r="J148" i="23"/>
  <c r="F148" i="11"/>
  <c r="G148" i="28"/>
  <c r="G149" i="27"/>
  <c r="G150" i="25"/>
  <c r="G149" i="24"/>
  <c r="G149" i="26"/>
  <c r="G149" i="23"/>
  <c r="H150" i="28"/>
  <c r="H151" i="27"/>
  <c r="H152" i="25"/>
  <c r="H151" i="26"/>
  <c r="H151" i="24"/>
  <c r="H151" i="23"/>
  <c r="E151" i="28"/>
  <c r="E152" i="27"/>
  <c r="E152" i="26"/>
  <c r="E153" i="25"/>
  <c r="E152" i="24"/>
  <c r="E152" i="23"/>
  <c r="I151" i="28"/>
  <c r="I152" i="27"/>
  <c r="I153" i="25"/>
  <c r="I152" i="26"/>
  <c r="I152" i="24"/>
  <c r="I152" i="23"/>
  <c r="E149" i="28"/>
  <c r="E150" i="27"/>
  <c r="E150" i="26"/>
  <c r="E151" i="25"/>
  <c r="E150" i="24"/>
  <c r="E150" i="23"/>
  <c r="I151" i="20"/>
  <c r="I149" i="28"/>
  <c r="I150" i="27"/>
  <c r="I150" i="26"/>
  <c r="I151" i="25"/>
  <c r="I150" i="24"/>
  <c r="I150" i="23"/>
  <c r="F153" i="28"/>
  <c r="F154" i="26"/>
  <c r="F154" i="27"/>
  <c r="F155" i="25"/>
  <c r="F154" i="24"/>
  <c r="F154" i="23"/>
  <c r="J153" i="28"/>
  <c r="J154" i="26"/>
  <c r="J154" i="27"/>
  <c r="J155" i="25"/>
  <c r="J154" i="24"/>
  <c r="J154" i="23"/>
  <c r="G156" i="20"/>
  <c r="G154" i="28"/>
  <c r="G155" i="27"/>
  <c r="G155" i="26"/>
  <c r="G156" i="25"/>
  <c r="G155" i="24"/>
  <c r="G155" i="23"/>
  <c r="H156" i="28"/>
  <c r="H157" i="27"/>
  <c r="H157" i="26"/>
  <c r="H158" i="25"/>
  <c r="H157" i="24"/>
  <c r="H157" i="23"/>
  <c r="E159" i="20"/>
  <c r="E157" i="28"/>
  <c r="E158" i="27"/>
  <c r="E158" i="26"/>
  <c r="E159" i="25"/>
  <c r="E158" i="24"/>
  <c r="E158" i="23"/>
  <c r="I157" i="28"/>
  <c r="I158" i="27"/>
  <c r="I158" i="26"/>
  <c r="I159" i="25"/>
  <c r="I158" i="24"/>
  <c r="I158" i="23"/>
  <c r="E155" i="28"/>
  <c r="E156" i="27"/>
  <c r="E156" i="26"/>
  <c r="E157" i="25"/>
  <c r="E156" i="24"/>
  <c r="E156" i="23"/>
  <c r="I155" i="28"/>
  <c r="I156" i="27"/>
  <c r="I156" i="26"/>
  <c r="I157" i="25"/>
  <c r="I156" i="24"/>
  <c r="I156" i="23"/>
  <c r="F160" i="28"/>
  <c r="F161" i="27"/>
  <c r="F161" i="26"/>
  <c r="F162" i="25"/>
  <c r="F161" i="24"/>
  <c r="F161" i="23"/>
  <c r="J160" i="28"/>
  <c r="J161" i="26"/>
  <c r="J162" i="25"/>
  <c r="J161" i="27"/>
  <c r="J161" i="24"/>
  <c r="J161" i="23"/>
  <c r="F161" i="11"/>
  <c r="G161" i="28"/>
  <c r="G162" i="27"/>
  <c r="G163" i="25"/>
  <c r="G162" i="26"/>
  <c r="G162" i="24"/>
  <c r="G162" i="23"/>
  <c r="H162" i="28"/>
  <c r="H163" i="27"/>
  <c r="H163" i="26"/>
  <c r="H164" i="25"/>
  <c r="H163" i="24"/>
  <c r="H163" i="23"/>
  <c r="E163" i="28"/>
  <c r="E164" i="27"/>
  <c r="E164" i="26"/>
  <c r="E165" i="25"/>
  <c r="E164" i="24"/>
  <c r="E164" i="23"/>
  <c r="I163" i="28"/>
  <c r="I164" i="27"/>
  <c r="I164" i="26"/>
  <c r="I165" i="25"/>
  <c r="I164" i="24"/>
  <c r="I164" i="23"/>
  <c r="F164" i="28"/>
  <c r="F165" i="27"/>
  <c r="F165" i="26"/>
  <c r="F166" i="25"/>
  <c r="F165" i="24"/>
  <c r="F165" i="23"/>
  <c r="J166" i="20"/>
  <c r="J164" i="28"/>
  <c r="J165" i="26"/>
  <c r="J165" i="27"/>
  <c r="J166" i="25"/>
  <c r="J165" i="24"/>
  <c r="J165" i="23"/>
  <c r="G172" i="28"/>
  <c r="G173" i="27"/>
  <c r="G173" i="26"/>
  <c r="G173" i="24"/>
  <c r="G174" i="25"/>
  <c r="G173" i="23"/>
  <c r="H173" i="28"/>
  <c r="H174" i="27"/>
  <c r="H174" i="26"/>
  <c r="H175" i="25"/>
  <c r="H174" i="24"/>
  <c r="H174" i="23"/>
  <c r="E176" i="20"/>
  <c r="E174" i="28"/>
  <c r="E175" i="27"/>
  <c r="E175" i="26"/>
  <c r="E176" i="25"/>
  <c r="E175" i="24"/>
  <c r="E175" i="23"/>
  <c r="I174" i="28"/>
  <c r="I175" i="27"/>
  <c r="I176" i="25"/>
  <c r="I175" i="26"/>
  <c r="I175" i="24"/>
  <c r="I175" i="23"/>
  <c r="F177" i="20"/>
  <c r="F175" i="28"/>
  <c r="F176" i="27"/>
  <c r="F176" i="26"/>
  <c r="F176" i="24"/>
  <c r="F177" i="25"/>
  <c r="F176" i="23"/>
  <c r="J175" i="28"/>
  <c r="J176" i="26"/>
  <c r="J176" i="24"/>
  <c r="J176" i="27"/>
  <c r="J177" i="25"/>
  <c r="J176" i="23"/>
  <c r="G178" i="20"/>
  <c r="G176" i="28"/>
  <c r="G177" i="27"/>
  <c r="G177" i="26"/>
  <c r="G178" i="25"/>
  <c r="G177" i="24"/>
  <c r="G177" i="23"/>
  <c r="H177" i="28"/>
  <c r="H178" i="27"/>
  <c r="H178" i="26"/>
  <c r="H178" i="24"/>
  <c r="H179" i="25"/>
  <c r="H178" i="23"/>
  <c r="D178" i="11"/>
  <c r="E178" i="28"/>
  <c r="E179" i="27"/>
  <c r="E179" i="26"/>
  <c r="E179" i="24"/>
  <c r="E180" i="25"/>
  <c r="E179" i="23"/>
  <c r="I178" i="28"/>
  <c r="I179" i="27"/>
  <c r="I179" i="26"/>
  <c r="I179" i="24"/>
  <c r="I180" i="25"/>
  <c r="I179" i="23"/>
  <c r="F179" i="28"/>
  <c r="F180" i="27"/>
  <c r="F180" i="26"/>
  <c r="F181" i="25"/>
  <c r="F180" i="24"/>
  <c r="F180" i="23"/>
  <c r="J179" i="28"/>
  <c r="J180" i="26"/>
  <c r="J180" i="27"/>
  <c r="J181" i="25"/>
  <c r="J180" i="24"/>
  <c r="J180" i="23"/>
  <c r="H61" i="20"/>
  <c r="H59" i="28"/>
  <c r="H60" i="27"/>
  <c r="H60" i="26"/>
  <c r="H61" i="25"/>
  <c r="H60" i="24"/>
  <c r="H60" i="23"/>
  <c r="H58" i="28"/>
  <c r="H59" i="27"/>
  <c r="H59" i="26"/>
  <c r="H60" i="25"/>
  <c r="H59" i="24"/>
  <c r="H59" i="23"/>
  <c r="H59" i="20"/>
  <c r="H57" i="28"/>
  <c r="H58" i="27"/>
  <c r="H58" i="24"/>
  <c r="H58" i="26"/>
  <c r="H59" i="25"/>
  <c r="H58" i="23"/>
  <c r="G78" i="11"/>
  <c r="H79" i="23"/>
  <c r="H81" i="20"/>
  <c r="H80" i="23"/>
  <c r="D10" i="20"/>
  <c r="D9" i="23"/>
  <c r="E10" i="20"/>
  <c r="E9" i="23"/>
  <c r="F11" i="20"/>
  <c r="F10" i="23"/>
  <c r="H13" i="20"/>
  <c r="H12" i="23"/>
  <c r="E14" i="20"/>
  <c r="E13" i="23"/>
  <c r="F16" i="20"/>
  <c r="F15" i="23"/>
  <c r="F17" i="20"/>
  <c r="F16" i="23"/>
  <c r="D31" i="20"/>
  <c r="D30" i="23"/>
  <c r="C9" i="11"/>
  <c r="D10" i="23"/>
  <c r="D13" i="20"/>
  <c r="D12" i="23"/>
  <c r="C18" i="11"/>
  <c r="D19" i="23"/>
  <c r="C21" i="11"/>
  <c r="D22" i="23"/>
  <c r="D32" i="20"/>
  <c r="D31" i="23"/>
  <c r="D21" i="20"/>
  <c r="F10" i="20"/>
  <c r="F9" i="23"/>
  <c r="J10" i="20"/>
  <c r="J9" i="23"/>
  <c r="G11" i="20"/>
  <c r="G10" i="23"/>
  <c r="E13" i="20"/>
  <c r="E12" i="23"/>
  <c r="F14" i="20"/>
  <c r="F13" i="23"/>
  <c r="J14" i="20"/>
  <c r="J13" i="23"/>
  <c r="G16" i="20"/>
  <c r="G15" i="23"/>
  <c r="G17" i="20"/>
  <c r="G16" i="23"/>
  <c r="H18" i="20"/>
  <c r="H17" i="23"/>
  <c r="E19" i="20"/>
  <c r="E18" i="23"/>
  <c r="E19" i="11"/>
  <c r="F20" i="23"/>
  <c r="E20" i="11"/>
  <c r="F21" i="23"/>
  <c r="G25" i="20"/>
  <c r="G24" i="23"/>
  <c r="H26" i="20"/>
  <c r="H25" i="23"/>
  <c r="E27" i="20"/>
  <c r="E26" i="23"/>
  <c r="F28" i="20"/>
  <c r="F27" i="23"/>
  <c r="J28" i="20"/>
  <c r="J27" i="23"/>
  <c r="G29" i="20"/>
  <c r="G28" i="23"/>
  <c r="E31" i="20"/>
  <c r="E30" i="23"/>
  <c r="D29" i="20"/>
  <c r="D28" i="23"/>
  <c r="J11" i="20"/>
  <c r="J10" i="23"/>
  <c r="F24" i="20"/>
  <c r="F23" i="23"/>
  <c r="F25" i="20"/>
  <c r="F24" i="23"/>
  <c r="H30" i="20"/>
  <c r="H29" i="23"/>
  <c r="C10" i="11"/>
  <c r="D11" i="23"/>
  <c r="C13" i="11"/>
  <c r="D14" i="23"/>
  <c r="C28" i="11"/>
  <c r="D29" i="23"/>
  <c r="C24" i="11"/>
  <c r="D25" i="23"/>
  <c r="D10" i="11"/>
  <c r="E11" i="23"/>
  <c r="H15" i="20"/>
  <c r="H14" i="23"/>
  <c r="C15" i="11"/>
  <c r="D16" i="23"/>
  <c r="E18" i="20"/>
  <c r="E17" i="23"/>
  <c r="F19" i="20"/>
  <c r="F18" i="23"/>
  <c r="G21" i="20"/>
  <c r="G20" i="23"/>
  <c r="H23" i="20"/>
  <c r="H22" i="23"/>
  <c r="H24" i="20"/>
  <c r="H23" i="23"/>
  <c r="H25" i="20"/>
  <c r="H24" i="23"/>
  <c r="E26" i="20"/>
  <c r="E25" i="23"/>
  <c r="F27" i="20"/>
  <c r="F26" i="23"/>
  <c r="J27" i="20"/>
  <c r="J26" i="23"/>
  <c r="J31" i="20"/>
  <c r="J30" i="23"/>
  <c r="G32" i="20"/>
  <c r="G31" i="23"/>
  <c r="D19" i="20"/>
  <c r="D18" i="23"/>
  <c r="G12" i="20"/>
  <c r="G11" i="23"/>
  <c r="J17" i="20"/>
  <c r="J16" i="23"/>
  <c r="D19" i="11"/>
  <c r="E20" i="23"/>
  <c r="E28" i="20"/>
  <c r="E27" i="23"/>
  <c r="I12" i="20"/>
  <c r="I11" i="23"/>
  <c r="G14" i="20"/>
  <c r="G13" i="23"/>
  <c r="C14" i="11"/>
  <c r="D15" i="23"/>
  <c r="H16" i="20"/>
  <c r="H15" i="23"/>
  <c r="I18" i="20"/>
  <c r="I17" i="23"/>
  <c r="J19" i="20"/>
  <c r="J18" i="23"/>
  <c r="G20" i="20"/>
  <c r="G19" i="23"/>
  <c r="F20" i="11"/>
  <c r="G21" i="23"/>
  <c r="D24" i="20"/>
  <c r="D23" i="23"/>
  <c r="C23" i="11"/>
  <c r="D24" i="23"/>
  <c r="I26" i="20"/>
  <c r="I25" i="23"/>
  <c r="C12" i="11"/>
  <c r="D13" i="23"/>
  <c r="C16" i="11"/>
  <c r="D17" i="23"/>
  <c r="D27" i="20"/>
  <c r="D26" i="23"/>
  <c r="I11" i="20"/>
  <c r="I10" i="23"/>
  <c r="E10" i="11"/>
  <c r="F11" i="23"/>
  <c r="J12" i="20"/>
  <c r="J11" i="23"/>
  <c r="G13" i="20"/>
  <c r="G12" i="23"/>
  <c r="E15" i="20"/>
  <c r="E14" i="23"/>
  <c r="I15" i="20"/>
  <c r="I14" i="23"/>
  <c r="E16" i="20"/>
  <c r="E15" i="23"/>
  <c r="D15" i="11"/>
  <c r="E16" i="23"/>
  <c r="G19" i="20"/>
  <c r="G18" i="23"/>
  <c r="H20" i="20"/>
  <c r="H19" i="23"/>
  <c r="H21" i="20"/>
  <c r="H20" i="23"/>
  <c r="D22" i="20"/>
  <c r="D21" i="23"/>
  <c r="H22" i="20"/>
  <c r="H21" i="23"/>
  <c r="E23" i="20"/>
  <c r="E22" i="23"/>
  <c r="I23" i="20"/>
  <c r="I22" i="23"/>
  <c r="E24" i="20"/>
  <c r="E23" i="23"/>
  <c r="I24" i="20"/>
  <c r="I23" i="23"/>
  <c r="D23" i="11"/>
  <c r="E24" i="23"/>
  <c r="C26" i="11"/>
  <c r="D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W45" i="7"/>
  <c r="K72" i="7"/>
  <c r="L72" i="7"/>
  <c r="M72" i="7"/>
  <c r="N72" i="7"/>
  <c r="O72" i="7"/>
  <c r="P72" i="7"/>
  <c r="Y72" i="7" s="1"/>
  <c r="X72" i="7"/>
  <c r="L65" i="7"/>
  <c r="M65" i="7"/>
  <c r="N65" i="7"/>
  <c r="O65" i="7"/>
  <c r="P65" i="7"/>
  <c r="Y65" i="7" s="1"/>
  <c r="X65" i="7"/>
  <c r="AK181" i="2"/>
  <c r="AI181" i="2"/>
  <c r="CG181" i="10" s="1"/>
  <c r="AH181" i="2"/>
  <c r="AG181" i="2"/>
  <c r="AD180" i="23" s="1"/>
  <c r="AG180" i="23" s="1"/>
  <c r="AK176" i="2"/>
  <c r="CH176" i="10" s="1"/>
  <c r="AI176" i="2"/>
  <c r="AH176" i="2"/>
  <c r="AG176" i="2"/>
  <c r="AD175" i="23" s="1"/>
  <c r="AG175" i="23" s="1"/>
  <c r="D176" i="2"/>
  <c r="D181" i="2"/>
  <c r="A72" i="6"/>
  <c r="A71" i="6"/>
  <c r="A68" i="6"/>
  <c r="AI163" i="2"/>
  <c r="CG162" i="10" s="1"/>
  <c r="AH163" i="2"/>
  <c r="AG163" i="2"/>
  <c r="AD162" i="23" s="1"/>
  <c r="AG162" i="23" s="1"/>
  <c r="D163" i="2"/>
  <c r="A64" i="6"/>
  <c r="AI156" i="2"/>
  <c r="AH156" i="2"/>
  <c r="AG156" i="2"/>
  <c r="AD155" i="23" s="1"/>
  <c r="AG155" i="23" s="1"/>
  <c r="D156" i="2"/>
  <c r="A61" i="6"/>
  <c r="AK150" i="2"/>
  <c r="AI150" i="2"/>
  <c r="AH150" i="2"/>
  <c r="AG150" i="2"/>
  <c r="AD149" i="23" s="1"/>
  <c r="AG149" i="23" s="1"/>
  <c r="D150" i="2"/>
  <c r="A59" i="6"/>
  <c r="L58" i="6"/>
  <c r="M58" i="6"/>
  <c r="N58" i="6"/>
  <c r="O58" i="6"/>
  <c r="P58" i="6"/>
  <c r="T179" i="26" l="1"/>
  <c r="N137" i="41"/>
  <c r="CN47" i="10"/>
  <c r="CO47" i="10"/>
  <c r="CL47" i="10"/>
  <c r="CM47" i="10"/>
  <c r="CO48" i="10"/>
  <c r="CN48" i="10"/>
  <c r="T178" i="26"/>
  <c r="N136" i="41"/>
  <c r="T173" i="26"/>
  <c r="N131" i="41"/>
  <c r="T148" i="26"/>
  <c r="N114" i="41"/>
  <c r="T88" i="26"/>
  <c r="N66" i="41"/>
  <c r="T86" i="26"/>
  <c r="N64" i="41"/>
  <c r="T65" i="26"/>
  <c r="N50" i="41"/>
  <c r="T48" i="26"/>
  <c r="N37" i="41"/>
  <c r="T47" i="26"/>
  <c r="N36" i="41"/>
  <c r="T42" i="26"/>
  <c r="N33" i="41"/>
  <c r="B39" i="41"/>
  <c r="F163" i="40"/>
  <c r="F155" i="40"/>
  <c r="G154" i="40"/>
  <c r="G159" i="40"/>
  <c r="G170" i="40"/>
  <c r="G160" i="40"/>
  <c r="F152" i="40"/>
  <c r="D145" i="41" s="1"/>
  <c r="F168" i="40"/>
  <c r="F160" i="40"/>
  <c r="G152" i="40"/>
  <c r="G163" i="40"/>
  <c r="H167" i="40"/>
  <c r="H155" i="40"/>
  <c r="H154" i="40"/>
  <c r="H153" i="40"/>
  <c r="H172" i="40"/>
  <c r="H171" i="40"/>
  <c r="H159" i="40"/>
  <c r="H170" i="40"/>
  <c r="H169" i="40"/>
  <c r="H165" i="40"/>
  <c r="H161" i="40"/>
  <c r="F169" i="40"/>
  <c r="D163" i="41" s="1"/>
  <c r="F161" i="40"/>
  <c r="F153" i="40"/>
  <c r="I152" i="40"/>
  <c r="G155" i="40"/>
  <c r="G168" i="40"/>
  <c r="G156" i="40"/>
  <c r="F174" i="40"/>
  <c r="F158" i="40"/>
  <c r="G175" i="40"/>
  <c r="G157" i="40"/>
  <c r="H157" i="40"/>
  <c r="H156" i="40"/>
  <c r="H175" i="40"/>
  <c r="H173" i="40"/>
  <c r="H160" i="40"/>
  <c r="F167" i="40"/>
  <c r="F159" i="40"/>
  <c r="G162" i="40"/>
  <c r="G169" i="40"/>
  <c r="G174" i="40"/>
  <c r="G166" i="40"/>
  <c r="G171" i="40"/>
  <c r="F172" i="40"/>
  <c r="F164" i="40"/>
  <c r="F156" i="40"/>
  <c r="G173" i="40"/>
  <c r="G153" i="40"/>
  <c r="H166" i="40"/>
  <c r="H164" i="40"/>
  <c r="H158" i="40"/>
  <c r="H168" i="40"/>
  <c r="F165" i="40"/>
  <c r="F157" i="40"/>
  <c r="D149" i="41" s="1"/>
  <c r="G158" i="40"/>
  <c r="G165" i="40"/>
  <c r="G172" i="40"/>
  <c r="G164" i="40"/>
  <c r="G161" i="40"/>
  <c r="F170" i="40"/>
  <c r="F162" i="40"/>
  <c r="F154" i="40"/>
  <c r="D158" i="41" s="1"/>
  <c r="G167" i="40"/>
  <c r="H174" i="40"/>
  <c r="H152" i="40"/>
  <c r="H162" i="40"/>
  <c r="I161" i="40"/>
  <c r="I162" i="40"/>
  <c r="I168" i="40"/>
  <c r="I153" i="40"/>
  <c r="I170" i="40"/>
  <c r="H163" i="40"/>
  <c r="I175" i="40"/>
  <c r="I173" i="40"/>
  <c r="I174" i="40"/>
  <c r="I172" i="40"/>
  <c r="I165" i="40"/>
  <c r="I158" i="40"/>
  <c r="I163" i="40"/>
  <c r="I157" i="40"/>
  <c r="I169" i="40"/>
  <c r="I154" i="40"/>
  <c r="I159" i="40"/>
  <c r="I166" i="40"/>
  <c r="I164" i="40"/>
  <c r="I156" i="40"/>
  <c r="I167" i="40"/>
  <c r="I155" i="40"/>
  <c r="I160" i="40"/>
  <c r="I171" i="40"/>
  <c r="AU9" i="20"/>
  <c r="AS9" i="20"/>
  <c r="AT9" i="20"/>
  <c r="AY9" i="20"/>
  <c r="Z9" i="20"/>
  <c r="AW9" i="20"/>
  <c r="AX9" i="20"/>
  <c r="AD9" i="20"/>
  <c r="AA9" i="20"/>
  <c r="AC9" i="20"/>
  <c r="Y9" i="20"/>
  <c r="AV9" i="20"/>
  <c r="AE9" i="20"/>
  <c r="AB9" i="20"/>
  <c r="E105" i="21"/>
  <c r="U59" i="10"/>
  <c r="T47" i="24"/>
  <c r="CH181" i="10"/>
  <c r="AT181" i="2"/>
  <c r="AV181" i="2" s="1"/>
  <c r="CM178" i="10"/>
  <c r="S178" i="10" s="1"/>
  <c r="AT176" i="2"/>
  <c r="AV176" i="2" s="1"/>
  <c r="CG176" i="10"/>
  <c r="CM176" i="10"/>
  <c r="S176" i="10" s="1"/>
  <c r="T39" i="24"/>
  <c r="U65" i="10"/>
  <c r="AF43" i="10"/>
  <c r="AG65" i="10"/>
  <c r="AG61" i="10" s="1"/>
  <c r="T148" i="24"/>
  <c r="T157" i="24"/>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T22" i="24"/>
  <c r="AF41" i="10"/>
  <c r="T50" i="24"/>
  <c r="T158" i="24"/>
  <c r="T52" i="24"/>
  <c r="T82" i="24"/>
  <c r="T178" i="24"/>
  <c r="T152" i="24"/>
  <c r="T177" i="24"/>
  <c r="T25" i="24"/>
  <c r="T151" i="24"/>
  <c r="T64" i="24"/>
  <c r="T108" i="24"/>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T154" i="24"/>
  <c r="T26" i="24"/>
  <c r="T112" i="24"/>
  <c r="T29" i="24"/>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T105" i="24"/>
  <c r="T102" i="24"/>
  <c r="M58" i="2"/>
  <c r="T28" i="24"/>
  <c r="U28" i="24"/>
  <c r="T48" i="24"/>
  <c r="T53" i="24"/>
  <c r="T46" i="24"/>
  <c r="U118" i="24"/>
  <c r="T118" i="24"/>
  <c r="U86" i="24"/>
  <c r="T86" i="24"/>
  <c r="U114" i="24"/>
  <c r="T114" i="24"/>
  <c r="T88" i="24"/>
  <c r="U88" i="24"/>
  <c r="T40" i="24"/>
  <c r="T106" i="24"/>
  <c r="T59" i="24"/>
  <c r="U59" i="24"/>
  <c r="U65" i="24"/>
  <c r="T65" i="24"/>
  <c r="T117" i="24"/>
  <c r="U117" i="24"/>
  <c r="T92" i="24"/>
  <c r="U92" i="24"/>
  <c r="T34" i="24"/>
  <c r="T42" i="24"/>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R149" i="24"/>
  <c r="R175" i="24"/>
  <c r="U175" i="24" s="1"/>
  <c r="Y93" i="25"/>
  <c r="S30" i="38"/>
  <c r="S54" i="38"/>
  <c r="S14" i="38"/>
  <c r="S26" i="38"/>
  <c r="S51" i="38"/>
  <c r="S27" i="38"/>
  <c r="T19" i="24"/>
  <c r="S13" i="38"/>
  <c r="CH9" i="20"/>
  <c r="CJ9" i="20"/>
  <c r="T31" i="24"/>
  <c r="S65" i="38"/>
  <c r="B162" i="10"/>
  <c r="C169" i="38"/>
  <c r="Y41" i="25"/>
  <c r="T173" i="24"/>
  <c r="T111" i="24"/>
  <c r="S15" i="38"/>
  <c r="T13" i="24"/>
  <c r="S53" i="38"/>
  <c r="T12" i="24"/>
  <c r="CL9" i="20"/>
  <c r="S19" i="38"/>
  <c r="B155" i="10"/>
  <c r="C162" i="38"/>
  <c r="R162" i="24"/>
  <c r="U162" i="24" s="1"/>
  <c r="R180" i="24"/>
  <c r="U180" i="24" s="1"/>
  <c r="B149" i="10"/>
  <c r="C156" i="38"/>
  <c r="R155" i="24"/>
  <c r="B181" i="10"/>
  <c r="C187" i="38"/>
  <c r="B176" i="10"/>
  <c r="C182" i="38"/>
  <c r="S10" i="38"/>
  <c r="T14" i="24"/>
  <c r="S12" i="38"/>
  <c r="CG9" i="20"/>
  <c r="CI9" i="20"/>
  <c r="T18" i="24"/>
  <c r="S23" i="38"/>
  <c r="S11" i="38"/>
  <c r="S18" i="38"/>
  <c r="S60" i="38"/>
  <c r="T9" i="24"/>
  <c r="S29" i="38"/>
  <c r="T11" i="24"/>
  <c r="S20" i="38"/>
  <c r="CK9" i="20"/>
  <c r="CM9" i="20"/>
  <c r="S32" i="38"/>
  <c r="T10" i="24"/>
  <c r="T17" i="24"/>
  <c r="DG9" i="20"/>
  <c r="DB9" i="20"/>
  <c r="DD9" i="20"/>
  <c r="DE9" i="20"/>
  <c r="DF9" i="20"/>
  <c r="DC9" i="20"/>
  <c r="Y39" i="20"/>
  <c r="AP39" i="2"/>
  <c r="AB39" i="20"/>
  <c r="AS39" i="20"/>
  <c r="AU39" i="20"/>
  <c r="AC39" i="20"/>
  <c r="AW39" i="20"/>
  <c r="AA39" i="20"/>
  <c r="AX39" i="20"/>
  <c r="AV39" i="20"/>
  <c r="Z39" i="20"/>
  <c r="AY39" i="20"/>
  <c r="AE39" i="20"/>
  <c r="AD39" i="20"/>
  <c r="AT39" i="20"/>
  <c r="R162" i="26"/>
  <c r="T162" i="26" s="1"/>
  <c r="R155" i="26"/>
  <c r="T155" i="26" s="1"/>
  <c r="R149" i="26"/>
  <c r="T149" i="26" s="1"/>
  <c r="BR150" i="20"/>
  <c r="BN150" i="20"/>
  <c r="BS150" i="20"/>
  <c r="BQ150" i="20"/>
  <c r="BM150" i="20"/>
  <c r="BP150" i="20"/>
  <c r="BO150" i="20"/>
  <c r="R175" i="26"/>
  <c r="T175" i="26" s="1"/>
  <c r="R180" i="26"/>
  <c r="T180" i="26" s="1"/>
  <c r="Y40" i="25"/>
  <c r="Y53" i="25"/>
  <c r="Y158" i="25"/>
  <c r="Y51" i="25"/>
  <c r="Y179" i="25"/>
  <c r="AN150" i="2"/>
  <c r="AP150" i="2"/>
  <c r="AL150" i="2"/>
  <c r="AO150" i="2"/>
  <c r="W150" i="25"/>
  <c r="Z150" i="25" s="1"/>
  <c r="AJ150" i="2"/>
  <c r="AJ163" i="2"/>
  <c r="AP163" i="2"/>
  <c r="AL163" i="2"/>
  <c r="AO163" i="2"/>
  <c r="AM163" i="2"/>
  <c r="W163" i="25"/>
  <c r="Z163" i="25" s="1"/>
  <c r="AF149" i="23"/>
  <c r="AJ156" i="2"/>
  <c r="AM156" i="2"/>
  <c r="AP156" i="2"/>
  <c r="AO156" i="2"/>
  <c r="AN156" i="2"/>
  <c r="W156" i="25"/>
  <c r="Z156" i="25" s="1"/>
  <c r="D174" i="28"/>
  <c r="D175" i="27"/>
  <c r="D175" i="26"/>
  <c r="D176" i="25"/>
  <c r="D175" i="24"/>
  <c r="D175" i="23"/>
  <c r="D154" i="28"/>
  <c r="D155" i="27"/>
  <c r="D155" i="26"/>
  <c r="D156" i="25"/>
  <c r="D155" i="24"/>
  <c r="D155" i="23"/>
  <c r="AF175" i="23"/>
  <c r="Y54" i="25"/>
  <c r="Y159" i="25"/>
  <c r="Y60" i="25"/>
  <c r="Y178" i="25"/>
  <c r="Y49" i="25"/>
  <c r="Y47" i="25"/>
  <c r="AF155" i="23"/>
  <c r="D148" i="28"/>
  <c r="D149" i="27"/>
  <c r="D149" i="26"/>
  <c r="D150" i="25"/>
  <c r="D149" i="24"/>
  <c r="D149" i="23"/>
  <c r="D161" i="28"/>
  <c r="D162" i="27"/>
  <c r="D162" i="26"/>
  <c r="D163" i="25"/>
  <c r="D162" i="24"/>
  <c r="D162" i="23"/>
  <c r="D179" i="28"/>
  <c r="D180" i="27"/>
  <c r="D180" i="26"/>
  <c r="D180" i="24"/>
  <c r="D181" i="25"/>
  <c r="D180" i="23"/>
  <c r="AJ176" i="2"/>
  <c r="AP176" i="2"/>
  <c r="AL176" i="2"/>
  <c r="AO176" i="2"/>
  <c r="AN176" i="2"/>
  <c r="W176" i="25"/>
  <c r="Z176" i="25" s="1"/>
  <c r="AP181" i="2"/>
  <c r="AL181" i="2"/>
  <c r="AO181" i="2"/>
  <c r="AM181" i="2"/>
  <c r="W181" i="25"/>
  <c r="Z181" i="25" s="1"/>
  <c r="AJ181" i="2"/>
  <c r="Y155" i="25"/>
  <c r="Y153" i="25"/>
  <c r="Y152" i="25"/>
  <c r="Y65" i="25"/>
  <c r="Y174" i="25"/>
  <c r="Y149" i="25"/>
  <c r="Y83" i="25"/>
  <c r="Y48" i="25"/>
  <c r="AL9" i="2"/>
  <c r="D4" i="19" s="1"/>
  <c r="H4" i="19"/>
  <c r="AP9" i="2"/>
  <c r="G4" i="19"/>
  <c r="AO9" i="2"/>
  <c r="D181" i="20"/>
  <c r="C179" i="11"/>
  <c r="C174" i="11"/>
  <c r="D176" i="20"/>
  <c r="D163" i="20"/>
  <c r="C161" i="11"/>
  <c r="D156" i="20"/>
  <c r="C154" i="11"/>
  <c r="C148" i="11"/>
  <c r="D150" i="20"/>
  <c r="AK116" i="2"/>
  <c r="CH115" i="10" s="1"/>
  <c r="AI116" i="2"/>
  <c r="AH116" i="2"/>
  <c r="AG116" i="2"/>
  <c r="AD115" i="23" s="1"/>
  <c r="AG115" i="23" s="1"/>
  <c r="A48" i="6"/>
  <c r="AI110" i="2"/>
  <c r="AH110" i="2"/>
  <c r="AG110" i="2"/>
  <c r="AD109" i="23" s="1"/>
  <c r="AG109" i="23" s="1"/>
  <c r="D110" i="2"/>
  <c r="A46" i="6"/>
  <c r="AK104" i="2"/>
  <c r="CH103" i="10" s="1"/>
  <c r="AI104" i="2"/>
  <c r="CG103" i="10" s="1"/>
  <c r="AH104" i="2"/>
  <c r="AG104" i="2"/>
  <c r="AD103" i="23" s="1"/>
  <c r="AG103" i="23" s="1"/>
  <c r="D104" i="2"/>
  <c r="A44" i="6"/>
  <c r="AK96" i="2"/>
  <c r="AI96" i="2"/>
  <c r="AH96" i="2"/>
  <c r="AG96" i="2"/>
  <c r="AD95" i="23" s="1"/>
  <c r="AG95" i="23" s="1"/>
  <c r="D96" i="2"/>
  <c r="A40" i="6"/>
  <c r="AK90" i="2"/>
  <c r="CH89" i="10" s="1"/>
  <c r="AH90" i="2"/>
  <c r="AG90" i="2"/>
  <c r="AD89" i="23" s="1"/>
  <c r="AG89" i="23" s="1"/>
  <c r="D90" i="2"/>
  <c r="A38" i="6"/>
  <c r="P35" i="6"/>
  <c r="O35" i="6"/>
  <c r="N35" i="6"/>
  <c r="M35" i="6"/>
  <c r="L35" i="6"/>
  <c r="K35" i="6"/>
  <c r="AK76" i="2"/>
  <c r="AI76" i="2"/>
  <c r="CG75" i="10" s="1"/>
  <c r="CI75" i="10" s="1"/>
  <c r="AH76" i="2"/>
  <c r="AG76" i="2"/>
  <c r="AD75" i="23" s="1"/>
  <c r="AG75" i="23" s="1"/>
  <c r="D76" i="2"/>
  <c r="A34" i="6"/>
  <c r="AD70" i="23"/>
  <c r="AG70" i="23" s="1"/>
  <c r="D71" i="2"/>
  <c r="A31" i="6"/>
  <c r="P28" i="6"/>
  <c r="O28" i="6"/>
  <c r="N28" i="6"/>
  <c r="M28" i="6"/>
  <c r="L28" i="6"/>
  <c r="K28" i="6"/>
  <c r="AI55" i="2"/>
  <c r="CG54" i="10" s="1"/>
  <c r="AH55" i="2"/>
  <c r="AG55" i="2"/>
  <c r="AD54" i="23" s="1"/>
  <c r="AG54" i="23" s="1"/>
  <c r="D55" i="2"/>
  <c r="A23" i="6"/>
  <c r="P20" i="6"/>
  <c r="O20" i="6"/>
  <c r="N20" i="6"/>
  <c r="M20" i="6"/>
  <c r="L20" i="6"/>
  <c r="K20" i="6"/>
  <c r="AK36" i="2"/>
  <c r="R35" i="26" s="1"/>
  <c r="AI36" i="2"/>
  <c r="CG35" i="10" s="1"/>
  <c r="AH36" i="2"/>
  <c r="AG36" i="2"/>
  <c r="AD35" i="23" s="1"/>
  <c r="AG35" i="23" s="1"/>
  <c r="D36" i="2"/>
  <c r="A17" i="6"/>
  <c r="K48" i="6"/>
  <c r="L63" i="6"/>
  <c r="M63" i="6"/>
  <c r="N63" i="6"/>
  <c r="O63" i="6"/>
  <c r="P63" i="6"/>
  <c r="Y63" i="6" s="1"/>
  <c r="X63" i="6"/>
  <c r="A15" i="6"/>
  <c r="A14" i="6"/>
  <c r="A13" i="6"/>
  <c r="A12" i="6"/>
  <c r="A11" i="6"/>
  <c r="A10" i="6"/>
  <c r="A9" i="6"/>
  <c r="A8" i="6"/>
  <c r="X47" i="10" l="1"/>
  <c r="R47" i="10"/>
  <c r="Q47" i="10"/>
  <c r="W47" i="10"/>
  <c r="V47" i="10"/>
  <c r="AB47" i="10"/>
  <c r="Y47" i="10"/>
  <c r="S47" i="10"/>
  <c r="D146" i="41"/>
  <c r="D156" i="41"/>
  <c r="D157" i="41"/>
  <c r="D162" i="41"/>
  <c r="D155" i="41"/>
  <c r="D164" i="41"/>
  <c r="D168" i="41"/>
  <c r="D152" i="41"/>
  <c r="D147" i="41"/>
  <c r="D165" i="41"/>
  <c r="D150" i="41"/>
  <c r="D159" i="41"/>
  <c r="D153" i="41"/>
  <c r="D148" i="41"/>
  <c r="D161" i="41"/>
  <c r="K169" i="40"/>
  <c r="J169" i="40"/>
  <c r="K152" i="40"/>
  <c r="J152" i="40"/>
  <c r="J155" i="40"/>
  <c r="K155" i="40"/>
  <c r="J172" i="40"/>
  <c r="K172" i="40"/>
  <c r="K164" i="40"/>
  <c r="J164" i="40"/>
  <c r="J165" i="40"/>
  <c r="K165" i="40"/>
  <c r="K168" i="40"/>
  <c r="J168" i="40"/>
  <c r="J166" i="40"/>
  <c r="J162" i="40"/>
  <c r="K162" i="40"/>
  <c r="K167" i="40"/>
  <c r="J167" i="40"/>
  <c r="K159" i="40"/>
  <c r="J159" i="40"/>
  <c r="K163" i="40"/>
  <c r="J163" i="40"/>
  <c r="K174" i="40"/>
  <c r="J174" i="40"/>
  <c r="J170" i="40"/>
  <c r="K170" i="40"/>
  <c r="J161" i="40"/>
  <c r="K161" i="40"/>
  <c r="K160" i="40"/>
  <c r="J160" i="40"/>
  <c r="J175" i="40"/>
  <c r="J157" i="40"/>
  <c r="K157" i="40"/>
  <c r="J171" i="40"/>
  <c r="K156" i="40"/>
  <c r="J156" i="40"/>
  <c r="J154" i="40"/>
  <c r="K154" i="40"/>
  <c r="J158" i="40"/>
  <c r="K158" i="40"/>
  <c r="J173" i="40"/>
  <c r="J153" i="40"/>
  <c r="K153" i="40"/>
  <c r="D151" i="41"/>
  <c r="C146" i="41"/>
  <c r="C154" i="41"/>
  <c r="C162" i="41"/>
  <c r="C165" i="41"/>
  <c r="C168" i="41"/>
  <c r="C145" i="41"/>
  <c r="C151" i="41"/>
  <c r="C160" i="41"/>
  <c r="C161" i="41"/>
  <c r="C155" i="41"/>
  <c r="C159" i="41"/>
  <c r="C147" i="41"/>
  <c r="C156" i="41"/>
  <c r="C153" i="41"/>
  <c r="C152" i="41"/>
  <c r="C163" i="41"/>
  <c r="C148" i="41"/>
  <c r="C167" i="41"/>
  <c r="C166" i="41"/>
  <c r="C158" i="41"/>
  <c r="C150" i="41"/>
  <c r="C164" i="41"/>
  <c r="C149" i="41"/>
  <c r="C157" i="41"/>
  <c r="U54" i="10"/>
  <c r="CN54" i="10"/>
  <c r="DG90" i="20"/>
  <c r="DE90" i="20"/>
  <c r="DA90" i="20"/>
  <c r="DD90" i="20"/>
  <c r="DC90" i="20"/>
  <c r="DB90" i="20"/>
  <c r="DF90" i="20"/>
  <c r="DC104" i="20"/>
  <c r="DG104" i="20"/>
  <c r="DF104" i="20"/>
  <c r="DB104" i="20"/>
  <c r="DE104" i="20"/>
  <c r="DA104" i="20"/>
  <c r="DD104" i="20"/>
  <c r="DG36" i="20"/>
  <c r="DF36" i="20"/>
  <c r="DB36" i="20"/>
  <c r="DC36" i="20"/>
  <c r="DE36" i="20"/>
  <c r="DA36" i="20"/>
  <c r="DD36" i="20"/>
  <c r="DG116" i="20"/>
  <c r="DE116" i="20"/>
  <c r="DA116" i="20"/>
  <c r="DC116" i="20"/>
  <c r="DF116" i="20"/>
  <c r="DB116" i="20"/>
  <c r="DD116"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T175" i="24"/>
  <c r="T155" i="24"/>
  <c r="U155" i="24"/>
  <c r="T149" i="24"/>
  <c r="U149" i="24"/>
  <c r="AW116" i="20"/>
  <c r="AS116" i="20"/>
  <c r="AC116" i="20"/>
  <c r="Y116" i="20"/>
  <c r="Z116" i="20"/>
  <c r="AV116" i="20"/>
  <c r="AB116" i="20"/>
  <c r="AT116" i="20"/>
  <c r="AY116" i="20"/>
  <c r="AU116" i="20"/>
  <c r="AE116" i="20"/>
  <c r="AA116" i="20"/>
  <c r="AX116" i="20"/>
  <c r="AD116" i="20"/>
  <c r="B109" i="10"/>
  <c r="C110" i="38"/>
  <c r="R35" i="24"/>
  <c r="U35" i="24" s="1"/>
  <c r="R54" i="24"/>
  <c r="U54" i="24" s="1"/>
  <c r="R70" i="24"/>
  <c r="U70" i="24" s="1"/>
  <c r="B75" i="10"/>
  <c r="C76" i="38"/>
  <c r="B89" i="10"/>
  <c r="C90" i="38"/>
  <c r="R115" i="24"/>
  <c r="B123" i="10"/>
  <c r="R103" i="24"/>
  <c r="B35" i="10"/>
  <c r="C36" i="38"/>
  <c r="B54" i="10"/>
  <c r="C55" i="38"/>
  <c r="B70" i="10"/>
  <c r="C71" i="38"/>
  <c r="R75" i="24"/>
  <c r="U75" i="24" s="1"/>
  <c r="R89" i="24"/>
  <c r="B137" i="10"/>
  <c r="C138" i="38"/>
  <c r="B95" i="10"/>
  <c r="C96" i="38"/>
  <c r="R95" i="24"/>
  <c r="U95" i="24" s="1"/>
  <c r="B103" i="10"/>
  <c r="C104" i="38"/>
  <c r="R109" i="24"/>
  <c r="Y176" i="25"/>
  <c r="R75" i="26"/>
  <c r="T75" i="26" s="1"/>
  <c r="R89" i="26"/>
  <c r="T89" i="26" s="1"/>
  <c r="R103" i="26"/>
  <c r="T103" i="26" s="1"/>
  <c r="R115" i="26"/>
  <c r="T115" i="26" s="1"/>
  <c r="R95" i="26"/>
  <c r="T35" i="26"/>
  <c r="R54" i="26"/>
  <c r="T54" i="26" s="1"/>
  <c r="R70" i="26"/>
  <c r="T70" i="26" s="1"/>
  <c r="D88" i="28"/>
  <c r="D89" i="27"/>
  <c r="D89" i="26"/>
  <c r="D89" i="24"/>
  <c r="D90" i="25"/>
  <c r="D89" i="23"/>
  <c r="AJ55" i="2"/>
  <c r="AP55" i="2"/>
  <c r="AL55" i="2"/>
  <c r="AO55" i="2"/>
  <c r="W55" i="25"/>
  <c r="Z55" i="25" s="1"/>
  <c r="AJ71" i="2"/>
  <c r="AO71" i="2"/>
  <c r="AL71" i="2"/>
  <c r="AP71" i="2"/>
  <c r="W71" i="25"/>
  <c r="Z71" i="25" s="1"/>
  <c r="AF89" i="23"/>
  <c r="AJ96" i="2"/>
  <c r="AP96" i="2"/>
  <c r="AL96" i="2"/>
  <c r="AO96" i="2"/>
  <c r="W96" i="25"/>
  <c r="Z96" i="25" s="1"/>
  <c r="AF103" i="23"/>
  <c r="AJ110" i="2"/>
  <c r="AO110" i="2"/>
  <c r="AP110" i="2"/>
  <c r="AL110" i="2"/>
  <c r="W110" i="25"/>
  <c r="Z110" i="25" s="1"/>
  <c r="AJ36" i="2"/>
  <c r="AP36" i="2"/>
  <c r="AL36" i="2"/>
  <c r="AM36" i="2"/>
  <c r="W36" i="25"/>
  <c r="Z36" i="25" s="1"/>
  <c r="D34" i="28"/>
  <c r="D35" i="27"/>
  <c r="D35" i="26"/>
  <c r="D35" i="24"/>
  <c r="D36" i="25"/>
  <c r="D35" i="23"/>
  <c r="D53" i="28"/>
  <c r="D54" i="27"/>
  <c r="D54" i="26"/>
  <c r="D55" i="25"/>
  <c r="D54" i="24"/>
  <c r="D54" i="23"/>
  <c r="D69" i="28"/>
  <c r="D70" i="27"/>
  <c r="D70" i="26"/>
  <c r="D70" i="24"/>
  <c r="D71" i="25"/>
  <c r="D70" i="23"/>
  <c r="D94" i="28"/>
  <c r="D95" i="27"/>
  <c r="D95" i="26"/>
  <c r="D96" i="25"/>
  <c r="D95" i="24"/>
  <c r="D95" i="23"/>
  <c r="D108" i="28"/>
  <c r="D109" i="27"/>
  <c r="D109" i="26"/>
  <c r="D110" i="25"/>
  <c r="D109" i="24"/>
  <c r="D109" i="23"/>
  <c r="D122" i="28"/>
  <c r="D123" i="27"/>
  <c r="D123" i="26"/>
  <c r="D124" i="25"/>
  <c r="D123" i="24"/>
  <c r="D123" i="23"/>
  <c r="Y150" i="25"/>
  <c r="T54" i="24"/>
  <c r="D74" i="28"/>
  <c r="D75" i="27"/>
  <c r="D75" i="26"/>
  <c r="D76" i="25"/>
  <c r="D75" i="24"/>
  <c r="D75" i="23"/>
  <c r="D102" i="28"/>
  <c r="D103" i="27"/>
  <c r="D103" i="26"/>
  <c r="D104" i="25"/>
  <c r="D103" i="24"/>
  <c r="D103" i="23"/>
  <c r="D136" i="28"/>
  <c r="D137" i="27"/>
  <c r="D137" i="26"/>
  <c r="D138" i="25"/>
  <c r="D137" i="24"/>
  <c r="D137" i="23"/>
  <c r="AF54" i="23"/>
  <c r="AF70" i="23"/>
  <c r="AP76" i="2"/>
  <c r="AL76" i="2"/>
  <c r="AM76" i="2"/>
  <c r="W76" i="25"/>
  <c r="Z76" i="25" s="1"/>
  <c r="AJ76" i="2"/>
  <c r="AJ90" i="2"/>
  <c r="AP90" i="2"/>
  <c r="AL90" i="2"/>
  <c r="AO90" i="2"/>
  <c r="W90" i="25"/>
  <c r="Z90" i="25" s="1"/>
  <c r="AF95" i="23"/>
  <c r="AJ104" i="2"/>
  <c r="AP104" i="2"/>
  <c r="AL104" i="2"/>
  <c r="AO104" i="2"/>
  <c r="W104" i="25"/>
  <c r="Z104" i="25" s="1"/>
  <c r="AF109" i="23"/>
  <c r="AM116" i="2"/>
  <c r="AP116" i="2"/>
  <c r="AO116" i="2"/>
  <c r="AL116" i="2"/>
  <c r="W116" i="25"/>
  <c r="Z116" i="25" s="1"/>
  <c r="AJ116" i="2"/>
  <c r="Y156" i="25"/>
  <c r="D138" i="20"/>
  <c r="C136" i="11"/>
  <c r="C122" i="11"/>
  <c r="D124" i="20"/>
  <c r="C108" i="11"/>
  <c r="D110" i="20"/>
  <c r="D104" i="20"/>
  <c r="C102" i="11"/>
  <c r="D96" i="20"/>
  <c r="C94" i="11"/>
  <c r="D90" i="20"/>
  <c r="C88" i="11"/>
  <c r="D76" i="20"/>
  <c r="C74" i="11"/>
  <c r="D71" i="20"/>
  <c r="C69" i="11"/>
  <c r="D55" i="20"/>
  <c r="C53" i="11"/>
  <c r="C34" i="11"/>
  <c r="D36" i="20"/>
  <c r="AK177" i="2"/>
  <c r="CH177" i="10" s="1"/>
  <c r="AI177" i="2"/>
  <c r="CG177" i="10" s="1"/>
  <c r="AH177" i="2"/>
  <c r="AG177" i="2"/>
  <c r="AD176" i="23" s="1"/>
  <c r="AG176" i="23" s="1"/>
  <c r="D177" i="2"/>
  <c r="A75" i="3"/>
  <c r="A72" i="3"/>
  <c r="AK165" i="2"/>
  <c r="CH164" i="10" s="1"/>
  <c r="AI165" i="2"/>
  <c r="CG164" i="10" s="1"/>
  <c r="AH165" i="2"/>
  <c r="AG165" i="2"/>
  <c r="AD164" i="23" s="1"/>
  <c r="AG164" i="23" s="1"/>
  <c r="D165" i="2"/>
  <c r="AI157" i="2"/>
  <c r="CG156" i="10" s="1"/>
  <c r="CM156" i="10" s="1"/>
  <c r="AH157" i="2"/>
  <c r="AG157" i="2"/>
  <c r="AD156" i="23" s="1"/>
  <c r="AG156" i="23" s="1"/>
  <c r="AI151" i="2"/>
  <c r="AH151" i="2"/>
  <c r="AG151" i="2"/>
  <c r="AD150" i="23" s="1"/>
  <c r="AG150" i="23" s="1"/>
  <c r="AK117" i="2"/>
  <c r="CH116" i="10" s="1"/>
  <c r="AI117" i="2"/>
  <c r="AH117" i="2"/>
  <c r="AG117" i="2"/>
  <c r="AD116" i="23" s="1"/>
  <c r="AG116" i="23" s="1"/>
  <c r="AK111" i="2"/>
  <c r="CH110" i="10" s="1"/>
  <c r="AI111" i="2"/>
  <c r="AH111" i="2"/>
  <c r="AG111" i="2"/>
  <c r="AD110" i="23" s="1"/>
  <c r="AG110" i="23" s="1"/>
  <c r="D117" i="2"/>
  <c r="D111" i="2"/>
  <c r="X73" i="3"/>
  <c r="X70" i="3"/>
  <c r="AK105" i="2"/>
  <c r="CH104" i="10" s="1"/>
  <c r="AI105" i="2"/>
  <c r="CG104" i="10" s="1"/>
  <c r="AH105" i="2"/>
  <c r="AG105" i="2"/>
  <c r="AD104" i="23" s="1"/>
  <c r="AG104" i="23" s="1"/>
  <c r="D105" i="2"/>
  <c r="AK95" i="2"/>
  <c r="AI95" i="2"/>
  <c r="AH95" i="2"/>
  <c r="AG95" i="2"/>
  <c r="AD94" i="23" s="1"/>
  <c r="AG94" i="23" s="1"/>
  <c r="AK94" i="2"/>
  <c r="AI94" i="2"/>
  <c r="AH94" i="2"/>
  <c r="AG94" i="2"/>
  <c r="AD93" i="23" s="1"/>
  <c r="AG93" i="23" s="1"/>
  <c r="D95" i="2"/>
  <c r="B71" i="40" s="1"/>
  <c r="D71" i="41" s="1"/>
  <c r="D94" i="2"/>
  <c r="B70" i="40" s="1"/>
  <c r="D70" i="41" s="1"/>
  <c r="AK88" i="2"/>
  <c r="CH87" i="10" s="1"/>
  <c r="AI88" i="2"/>
  <c r="CG87" i="10" s="1"/>
  <c r="AH88" i="2"/>
  <c r="AG88" i="2"/>
  <c r="AD87" i="23" s="1"/>
  <c r="AG87" i="23" s="1"/>
  <c r="D88" i="2"/>
  <c r="A33" i="3"/>
  <c r="AK81" i="2"/>
  <c r="AI81" i="2"/>
  <c r="CG80" i="10" s="1"/>
  <c r="AH81" i="2"/>
  <c r="AG81" i="2"/>
  <c r="AD80" i="23" s="1"/>
  <c r="AG80" i="23" s="1"/>
  <c r="AK80" i="2"/>
  <c r="AI80" i="2"/>
  <c r="CG79" i="10" s="1"/>
  <c r="CJ79" i="10" s="1"/>
  <c r="AH80" i="2"/>
  <c r="AG80" i="2"/>
  <c r="AD79" i="23" s="1"/>
  <c r="AG79" i="23" s="1"/>
  <c r="D81" i="2"/>
  <c r="C81" i="38" s="1"/>
  <c r="D80" i="2"/>
  <c r="A31" i="3"/>
  <c r="AK75" i="2"/>
  <c r="AI75" i="2"/>
  <c r="CG74" i="10" s="1"/>
  <c r="CI74" i="10" s="1"/>
  <c r="AH75" i="2"/>
  <c r="AG75" i="2"/>
  <c r="AD74" i="23" s="1"/>
  <c r="AG74" i="23" s="1"/>
  <c r="D75" i="2"/>
  <c r="N27" i="3"/>
  <c r="O27" i="3"/>
  <c r="P27" i="3"/>
  <c r="Q27" i="3"/>
  <c r="AK68" i="2"/>
  <c r="AI68" i="2"/>
  <c r="CG67" i="10" s="1"/>
  <c r="AH68" i="2"/>
  <c r="AG68" i="2"/>
  <c r="AD67" i="23" s="1"/>
  <c r="AG67" i="23" s="1"/>
  <c r="AK64" i="2"/>
  <c r="AI64" i="2"/>
  <c r="CG63" i="10" s="1"/>
  <c r="AH64" i="2"/>
  <c r="AG64" i="2"/>
  <c r="AD63" i="23" s="1"/>
  <c r="AG63" i="23" s="1"/>
  <c r="D64" i="2"/>
  <c r="AK59" i="2"/>
  <c r="AI59" i="2"/>
  <c r="CG58" i="10" s="1"/>
  <c r="AH59" i="2"/>
  <c r="AG59" i="2"/>
  <c r="AD58" i="23" s="1"/>
  <c r="AG58" i="23" s="1"/>
  <c r="AK57" i="2"/>
  <c r="AI57" i="2"/>
  <c r="CG56" i="10" s="1"/>
  <c r="AH57" i="2"/>
  <c r="AG57" i="2"/>
  <c r="AD56" i="23" s="1"/>
  <c r="AG56" i="23" s="1"/>
  <c r="D52" i="2"/>
  <c r="D47" i="2"/>
  <c r="M19" i="3"/>
  <c r="N19" i="3"/>
  <c r="O19" i="3"/>
  <c r="P19" i="3"/>
  <c r="Q19" i="3"/>
  <c r="CI47" i="10" l="1"/>
  <c r="T95" i="26"/>
  <c r="N72" i="41"/>
  <c r="Y54" i="10"/>
  <c r="AE54" i="10"/>
  <c r="CM177" i="10"/>
  <c r="S177" i="10" s="1"/>
  <c r="S54" i="10"/>
  <c r="U89" i="24"/>
  <c r="T89" i="24"/>
  <c r="AT177" i="2"/>
  <c r="AV177" i="2" s="1"/>
  <c r="CH56" i="10"/>
  <c r="DG57" i="20"/>
  <c r="DF57" i="20"/>
  <c r="DB57" i="20"/>
  <c r="DE57" i="20"/>
  <c r="DC57" i="20"/>
  <c r="DA57" i="20"/>
  <c r="DD57" i="20"/>
  <c r="CH58" i="10"/>
  <c r="U58" i="10" s="1"/>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CN56" i="10" s="1"/>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BO161" i="20" s="1"/>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AU161" i="20" s="1"/>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H117" i="20"/>
  <c r="CK117" i="20"/>
  <c r="CG117" i="20"/>
  <c r="CJ117" i="20"/>
  <c r="BP117" i="20"/>
  <c r="BM117" i="20"/>
  <c r="BQ117" i="20"/>
  <c r="BO117" i="20"/>
  <c r="CM117" i="20"/>
  <c r="BN117" i="20"/>
  <c r="BR117" i="20"/>
  <c r="CI117" i="20"/>
  <c r="BS117" i="20"/>
  <c r="BR57" i="20"/>
  <c r="BN57" i="20"/>
  <c r="AW57" i="20"/>
  <c r="AS57" i="20"/>
  <c r="AB57" i="20"/>
  <c r="BS57" i="20"/>
  <c r="AC57" i="20"/>
  <c r="BQ57" i="20"/>
  <c r="BM57" i="20"/>
  <c r="AV57" i="20"/>
  <c r="AE57" i="20"/>
  <c r="AA57" i="20"/>
  <c r="BO57" i="20"/>
  <c r="BP57" i="20"/>
  <c r="AY57" i="20"/>
  <c r="AU57" i="20"/>
  <c r="AD57" i="20"/>
  <c r="Z57" i="20"/>
  <c r="AX57" i="20"/>
  <c r="AT57" i="20"/>
  <c r="Y57" i="20"/>
  <c r="T109" i="24"/>
  <c r="U109" i="24"/>
  <c r="T103" i="24"/>
  <c r="U103" i="24"/>
  <c r="U115" i="24"/>
  <c r="T115" i="24"/>
  <c r="BS111" i="20"/>
  <c r="BO111" i="20"/>
  <c r="BR111" i="20"/>
  <c r="BN111" i="20"/>
  <c r="BQ111" i="20"/>
  <c r="BM111" i="20"/>
  <c r="BP111" i="20"/>
  <c r="AV117" i="20"/>
  <c r="AE117" i="20"/>
  <c r="AA117" i="20"/>
  <c r="AC117" i="20"/>
  <c r="AW117" i="20"/>
  <c r="AY117" i="20"/>
  <c r="AU117" i="20"/>
  <c r="AD117" i="20"/>
  <c r="Z117" i="20"/>
  <c r="AX117" i="20"/>
  <c r="AT117" i="20"/>
  <c r="Y117" i="20"/>
  <c r="AS117" i="20"/>
  <c r="AB117" i="20"/>
  <c r="R56" i="24"/>
  <c r="U56" i="24" s="1"/>
  <c r="R94" i="24"/>
  <c r="U94" i="24" s="1"/>
  <c r="R116" i="24"/>
  <c r="B51" i="10"/>
  <c r="C52" i="38"/>
  <c r="R58" i="24"/>
  <c r="B63" i="10"/>
  <c r="C64" i="38"/>
  <c r="D64" i="20"/>
  <c r="B93" i="10"/>
  <c r="C94" i="38"/>
  <c r="B110" i="10"/>
  <c r="C111" i="38"/>
  <c r="B139" i="10"/>
  <c r="C140" i="38"/>
  <c r="C144" i="38"/>
  <c r="R150" i="24"/>
  <c r="U150" i="24" s="1"/>
  <c r="R156" i="24"/>
  <c r="B164" i="10"/>
  <c r="C171" i="38"/>
  <c r="B74" i="10"/>
  <c r="C75" i="38"/>
  <c r="R87" i="24"/>
  <c r="U87" i="24" s="1"/>
  <c r="C143" i="38"/>
  <c r="B177" i="10"/>
  <c r="C183" i="38"/>
  <c r="B46" i="10"/>
  <c r="C47" i="38"/>
  <c r="R74" i="24"/>
  <c r="U74" i="24" s="1"/>
  <c r="B87" i="10"/>
  <c r="C88" i="38"/>
  <c r="R104" i="24"/>
  <c r="U104" i="24" s="1"/>
  <c r="C141" i="38"/>
  <c r="S55" i="38"/>
  <c r="B80" i="10"/>
  <c r="B104" i="10"/>
  <c r="C105" i="38"/>
  <c r="R110" i="24"/>
  <c r="B138" i="10"/>
  <c r="C139" i="38"/>
  <c r="R79" i="24"/>
  <c r="U79" i="24" s="1"/>
  <c r="R80" i="24"/>
  <c r="U80" i="24" s="1"/>
  <c r="B94" i="10"/>
  <c r="C95" i="38"/>
  <c r="B116" i="10"/>
  <c r="C117" i="38"/>
  <c r="R176" i="24"/>
  <c r="U176" i="24" s="1"/>
  <c r="R63" i="24"/>
  <c r="U63" i="24" s="1"/>
  <c r="B79" i="10"/>
  <c r="C80" i="38"/>
  <c r="C142" i="38"/>
  <c r="R164" i="24"/>
  <c r="U164" i="24" s="1"/>
  <c r="R67" i="24"/>
  <c r="U67" i="24" s="1"/>
  <c r="R93" i="24"/>
  <c r="U93" i="24" s="1"/>
  <c r="AF104" i="23"/>
  <c r="R56" i="26"/>
  <c r="T56" i="26" s="1"/>
  <c r="R67" i="26"/>
  <c r="T67" i="26" s="1"/>
  <c r="R87" i="26"/>
  <c r="T87" i="26" s="1"/>
  <c r="R93" i="26"/>
  <c r="T93" i="26" s="1"/>
  <c r="R94" i="26"/>
  <c r="T94" i="26" s="1"/>
  <c r="R110" i="26"/>
  <c r="T110" i="26" s="1"/>
  <c r="R116" i="26"/>
  <c r="T116" i="26" s="1"/>
  <c r="R164" i="26"/>
  <c r="T164" i="26" s="1"/>
  <c r="R58" i="26"/>
  <c r="R150" i="26"/>
  <c r="T150" i="26" s="1"/>
  <c r="CJ141" i="20"/>
  <c r="CM141" i="20"/>
  <c r="CI141" i="20"/>
  <c r="CL141" i="20"/>
  <c r="CH141" i="20"/>
  <c r="BS151" i="20"/>
  <c r="BO151" i="20"/>
  <c r="CG141" i="20"/>
  <c r="BR151" i="20"/>
  <c r="BN151" i="20"/>
  <c r="BP151" i="20"/>
  <c r="CK141" i="20"/>
  <c r="BQ151" i="20"/>
  <c r="BM151" i="20"/>
  <c r="R156" i="26"/>
  <c r="T156" i="26" s="1"/>
  <c r="R63" i="26"/>
  <c r="T63" i="26" s="1"/>
  <c r="R74" i="26"/>
  <c r="T74" i="26" s="1"/>
  <c r="R80" i="26"/>
  <c r="T80" i="26" s="1"/>
  <c r="R104" i="26"/>
  <c r="T104" i="26" s="1"/>
  <c r="R176" i="26"/>
  <c r="T176" i="26" s="1"/>
  <c r="AF80" i="23"/>
  <c r="AJ88" i="2"/>
  <c r="AO88" i="2"/>
  <c r="AN88" i="2"/>
  <c r="AP88" i="2"/>
  <c r="AL88" i="2"/>
  <c r="W88" i="25"/>
  <c r="Z88" i="25" s="1"/>
  <c r="D92" i="28"/>
  <c r="D93" i="27"/>
  <c r="D93" i="26"/>
  <c r="D94" i="25"/>
  <c r="D93" i="24"/>
  <c r="D93" i="23"/>
  <c r="AJ94" i="2"/>
  <c r="AN94" i="2"/>
  <c r="AP94" i="2"/>
  <c r="AO94" i="2"/>
  <c r="AL94" i="2"/>
  <c r="W94" i="25"/>
  <c r="Z94" i="25" s="1"/>
  <c r="AM95" i="2"/>
  <c r="AP95" i="2"/>
  <c r="AL95" i="2"/>
  <c r="AO95" i="2"/>
  <c r="W95" i="25"/>
  <c r="Z95" i="25" s="1"/>
  <c r="AJ95" i="2"/>
  <c r="D109" i="28"/>
  <c r="D110" i="27"/>
  <c r="D110" i="26"/>
  <c r="D111" i="25"/>
  <c r="D110" i="24"/>
  <c r="D110" i="23"/>
  <c r="AJ111" i="2"/>
  <c r="AL111" i="2"/>
  <c r="AO111" i="2"/>
  <c r="AP111" i="2"/>
  <c r="W111" i="25"/>
  <c r="Z111" i="25" s="1"/>
  <c r="AM117" i="2"/>
  <c r="AM114" i="2" s="1"/>
  <c r="E21" i="19" s="1"/>
  <c r="AP117" i="2"/>
  <c r="AP114" i="2" s="1"/>
  <c r="H21" i="19" s="1"/>
  <c r="AL117" i="2"/>
  <c r="AL114" i="2" s="1"/>
  <c r="D21" i="19" s="1"/>
  <c r="AO117" i="2"/>
  <c r="AO114" i="2" s="1"/>
  <c r="G21" i="19" s="1"/>
  <c r="W117" i="25"/>
  <c r="Z117" i="25" s="1"/>
  <c r="AJ117" i="2"/>
  <c r="D138" i="28"/>
  <c r="D139" i="27"/>
  <c r="D139" i="26"/>
  <c r="D140" i="25"/>
  <c r="D139" i="24"/>
  <c r="D139" i="23"/>
  <c r="D163" i="28"/>
  <c r="D164" i="27"/>
  <c r="D164" i="26"/>
  <c r="D165" i="25"/>
  <c r="D164" i="24"/>
  <c r="D164" i="23"/>
  <c r="AF176" i="23"/>
  <c r="D50" i="28"/>
  <c r="D51" i="27"/>
  <c r="D51" i="26"/>
  <c r="D52" i="25"/>
  <c r="D51" i="24"/>
  <c r="D51" i="23"/>
  <c r="D45" i="28"/>
  <c r="D46" i="27"/>
  <c r="D46" i="26"/>
  <c r="D47" i="25"/>
  <c r="D46" i="24"/>
  <c r="D46" i="23"/>
  <c r="AF63" i="23"/>
  <c r="D93" i="28"/>
  <c r="D94" i="27"/>
  <c r="D94" i="26"/>
  <c r="D95" i="25"/>
  <c r="D94" i="24"/>
  <c r="D94" i="23"/>
  <c r="AP151" i="2"/>
  <c r="AL151" i="2"/>
  <c r="AN151" i="2"/>
  <c r="AO151" i="2"/>
  <c r="W151" i="25"/>
  <c r="Z151" i="25" s="1"/>
  <c r="AJ151" i="2"/>
  <c r="AJ157" i="2"/>
  <c r="AP157" i="2"/>
  <c r="AO157" i="2"/>
  <c r="AM157" i="2"/>
  <c r="AN157" i="2"/>
  <c r="W157" i="25"/>
  <c r="Z157" i="25" s="1"/>
  <c r="AJ57" i="2"/>
  <c r="AP57" i="2"/>
  <c r="AO57" i="2"/>
  <c r="W57" i="25"/>
  <c r="Z57" i="25" s="1"/>
  <c r="AJ59" i="2"/>
  <c r="AO59" i="2"/>
  <c r="AN59" i="2"/>
  <c r="AP59" i="2"/>
  <c r="AL59" i="2"/>
  <c r="W59" i="25"/>
  <c r="Z59" i="25" s="1"/>
  <c r="D86" i="28"/>
  <c r="D87" i="27"/>
  <c r="D87" i="26"/>
  <c r="D88" i="25"/>
  <c r="D87" i="24"/>
  <c r="D87" i="23"/>
  <c r="AF56" i="23"/>
  <c r="AF67" i="23"/>
  <c r="AJ75" i="2"/>
  <c r="AP75" i="2"/>
  <c r="AL75" i="2"/>
  <c r="AM75" i="2"/>
  <c r="W75" i="25"/>
  <c r="Z75" i="25" s="1"/>
  <c r="D78" i="28"/>
  <c r="D79" i="27"/>
  <c r="D79" i="26"/>
  <c r="D80" i="25"/>
  <c r="D79" i="24"/>
  <c r="D79" i="23"/>
  <c r="AP80" i="2"/>
  <c r="H15" i="19" s="1"/>
  <c r="AL80" i="2"/>
  <c r="AM80" i="2"/>
  <c r="E15" i="19" s="1"/>
  <c r="W80" i="25"/>
  <c r="Z80" i="25" s="1"/>
  <c r="AJ80" i="2"/>
  <c r="AJ81" i="2"/>
  <c r="AO81" i="2"/>
  <c r="AN81" i="2"/>
  <c r="AL81" i="2"/>
  <c r="AP81" i="2"/>
  <c r="W81" i="25"/>
  <c r="Z81" i="25" s="1"/>
  <c r="AF87" i="23"/>
  <c r="AF93" i="23"/>
  <c r="AF94" i="23"/>
  <c r="AJ105" i="2"/>
  <c r="AO105" i="2"/>
  <c r="AL105" i="2"/>
  <c r="AP105" i="2"/>
  <c r="W105" i="25"/>
  <c r="Z105" i="25" s="1"/>
  <c r="AF110" i="23"/>
  <c r="AP177" i="2"/>
  <c r="AP173" i="2" s="1"/>
  <c r="AL177" i="2"/>
  <c r="AL173" i="2" s="1"/>
  <c r="AO177" i="2"/>
  <c r="AN177" i="2"/>
  <c r="W177" i="25"/>
  <c r="Z177" i="25" s="1"/>
  <c r="AJ177" i="2"/>
  <c r="D62" i="28"/>
  <c r="D63" i="27"/>
  <c r="D63" i="26"/>
  <c r="D64" i="25"/>
  <c r="D63" i="24"/>
  <c r="D63" i="23"/>
  <c r="AM68" i="2"/>
  <c r="AP68" i="2"/>
  <c r="AO68" i="2"/>
  <c r="AL68" i="2"/>
  <c r="W68" i="25"/>
  <c r="Z68" i="25" s="1"/>
  <c r="AJ68" i="2"/>
  <c r="AF58" i="23"/>
  <c r="AP64" i="2"/>
  <c r="AO64" i="2"/>
  <c r="AN64" i="2"/>
  <c r="AL64" i="2"/>
  <c r="W64" i="25"/>
  <c r="Z64" i="25" s="1"/>
  <c r="AJ64" i="2"/>
  <c r="D73" i="28"/>
  <c r="D74" i="27"/>
  <c r="D74" i="26"/>
  <c r="D75" i="25"/>
  <c r="D74" i="24"/>
  <c r="D74" i="23"/>
  <c r="D79" i="28"/>
  <c r="D80" i="27"/>
  <c r="D80" i="26"/>
  <c r="D81" i="25"/>
  <c r="D80" i="24"/>
  <c r="D80" i="23"/>
  <c r="R79" i="26"/>
  <c r="T79" i="26" s="1"/>
  <c r="D103" i="28"/>
  <c r="D104" i="27"/>
  <c r="D104" i="26"/>
  <c r="D105" i="25"/>
  <c r="D104" i="24"/>
  <c r="D104" i="23"/>
  <c r="D137" i="28"/>
  <c r="D138" i="27"/>
  <c r="D138" i="26"/>
  <c r="D139" i="25"/>
  <c r="D138" i="24"/>
  <c r="D138" i="23"/>
  <c r="AF150" i="23"/>
  <c r="AF156" i="23"/>
  <c r="AM165" i="2"/>
  <c r="AO165" i="2"/>
  <c r="AL165" i="2"/>
  <c r="AL161" i="2" s="1"/>
  <c r="AP165" i="2"/>
  <c r="W165" i="25"/>
  <c r="Z165" i="25" s="1"/>
  <c r="AJ165" i="2"/>
  <c r="D175" i="28"/>
  <c r="D176" i="27"/>
  <c r="D176" i="26"/>
  <c r="D176" i="24"/>
  <c r="D177" i="25"/>
  <c r="D176" i="23"/>
  <c r="Y55" i="25"/>
  <c r="D115" i="28"/>
  <c r="D116" i="26"/>
  <c r="D117" i="25"/>
  <c r="D116" i="24"/>
  <c r="D116" i="27"/>
  <c r="D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T58" i="26" l="1"/>
  <c r="N44" i="41"/>
  <c r="AA58" i="10"/>
  <c r="AS79" i="20"/>
  <c r="E22" i="21" s="1"/>
  <c r="AY79" i="20"/>
  <c r="K22" i="21" s="1"/>
  <c r="CI79" i="10"/>
  <c r="AU79" i="20"/>
  <c r="G22" i="21" s="1"/>
  <c r="BM79" i="20"/>
  <c r="E35" i="21" s="1"/>
  <c r="AV79" i="20"/>
  <c r="H22" i="21" s="1"/>
  <c r="AW79" i="20"/>
  <c r="I22" i="21" s="1"/>
  <c r="AC79" i="20"/>
  <c r="AA79" i="20"/>
  <c r="Y79" i="20"/>
  <c r="Z79" i="20"/>
  <c r="AE79" i="20"/>
  <c r="AT79" i="20"/>
  <c r="F22" i="21" s="1"/>
  <c r="AD79" i="20"/>
  <c r="AB79" i="20"/>
  <c r="BQ79" i="20"/>
  <c r="I35" i="21" s="1"/>
  <c r="BN79" i="20"/>
  <c r="F35" i="21" s="1"/>
  <c r="BO79" i="20"/>
  <c r="G35" i="21" s="1"/>
  <c r="BR79" i="20"/>
  <c r="J35" i="21" s="1"/>
  <c r="BS79" i="20"/>
  <c r="K35" i="21" s="1"/>
  <c r="BP79" i="20"/>
  <c r="H35" i="21" s="1"/>
  <c r="AO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P92" i="2"/>
  <c r="AL92" i="2"/>
  <c r="T56" i="24"/>
  <c r="T63" i="24"/>
  <c r="T150" i="24"/>
  <c r="AV67" i="20"/>
  <c r="H7" i="21" s="1"/>
  <c r="AU67" i="20"/>
  <c r="G7" i="21" s="1"/>
  <c r="AS67" i="20"/>
  <c r="E7" i="21"/>
  <c r="F7" i="21"/>
  <c r="AT67" i="20"/>
  <c r="AW67" i="20"/>
  <c r="I7" i="21" s="1"/>
  <c r="AY67" i="20"/>
  <c r="K7" i="21" s="1"/>
  <c r="AX67" i="20"/>
  <c r="J7" i="21" s="1"/>
  <c r="T93" i="24"/>
  <c r="T156" i="24"/>
  <c r="U156" i="24"/>
  <c r="T58" i="24"/>
  <c r="U58" i="24"/>
  <c r="T110" i="24"/>
  <c r="U110" i="24"/>
  <c r="T116" i="24"/>
  <c r="U116" i="24"/>
  <c r="T176" i="24"/>
  <c r="T87" i="24"/>
  <c r="T80" i="24"/>
  <c r="T104" i="24"/>
  <c r="AO161" i="2"/>
  <c r="G27" i="19"/>
  <c r="S64" i="38"/>
  <c r="S59" i="38"/>
  <c r="AP161" i="2"/>
  <c r="H27" i="19"/>
  <c r="S88" i="38"/>
  <c r="Y177" i="25"/>
  <c r="Y81" i="25"/>
  <c r="Y88" i="25"/>
  <c r="Y151" i="25"/>
  <c r="Y94" i="25"/>
  <c r="Y157" i="25"/>
  <c r="Y64" i="25"/>
  <c r="Y57" i="25"/>
  <c r="Y59" i="25"/>
  <c r="Y170" i="20"/>
  <c r="Z170" i="20"/>
  <c r="AA170" i="20"/>
  <c r="AB170" i="20"/>
  <c r="AC170" i="20"/>
  <c r="AD170" i="20"/>
  <c r="AE170" i="20"/>
  <c r="Y58" i="20"/>
  <c r="Z58" i="20"/>
  <c r="AA58" i="20"/>
  <c r="AB58" i="20"/>
  <c r="AC58" i="20"/>
  <c r="AD58" i="20"/>
  <c r="AE58" i="20"/>
  <c r="Y56" i="20"/>
  <c r="Z56" i="20"/>
  <c r="AA56" i="20"/>
  <c r="AB56" i="20"/>
  <c r="AC56" i="20"/>
  <c r="AD56" i="20"/>
  <c r="AE56" i="20"/>
  <c r="AS56" i="20"/>
  <c r="AT56" i="20"/>
  <c r="AU56" i="20"/>
  <c r="AV56" i="20"/>
  <c r="AW56" i="20"/>
  <c r="AX56" i="20"/>
  <c r="AY56" i="20"/>
  <c r="AE33" i="20"/>
  <c r="K46" i="21" s="1"/>
  <c r="AD33" i="20"/>
  <c r="J46" i="21" s="1"/>
  <c r="AC33" i="20"/>
  <c r="I46" i="21" s="1"/>
  <c r="Z33" i="20"/>
  <c r="F46" i="21" s="1"/>
  <c r="Y33" i="20"/>
  <c r="E46" i="21" s="1"/>
  <c r="E88" i="21" l="1"/>
  <c r="F88" i="21" s="1"/>
  <c r="G88" i="21" s="1"/>
  <c r="H88" i="21" s="1"/>
  <c r="I88" i="21" s="1"/>
  <c r="J88" i="21" s="1"/>
  <c r="K88" i="21" s="1"/>
  <c r="L35" i="21"/>
  <c r="L88" i="21" s="1"/>
  <c r="E75" i="21"/>
  <c r="F75" i="21" s="1"/>
  <c r="G75" i="21" s="1"/>
  <c r="H75" i="21" s="1"/>
  <c r="I75" i="21" s="1"/>
  <c r="J75" i="21" s="1"/>
  <c r="K75" i="21" s="1"/>
  <c r="L22" i="21"/>
  <c r="L75" i="21" s="1"/>
  <c r="E60" i="21"/>
  <c r="F60" i="21" s="1"/>
  <c r="G60" i="21" s="1"/>
  <c r="H60" i="21" s="1"/>
  <c r="I60" i="21" s="1"/>
  <c r="J60" i="21" s="1"/>
  <c r="K60" i="21" s="1"/>
  <c r="L7" i="21"/>
  <c r="L60" i="21" s="1"/>
  <c r="X181" i="2" l="1"/>
  <c r="AE179" i="28" s="1"/>
  <c r="AI179" i="28" s="1"/>
  <c r="U181" i="2"/>
  <c r="Z179" i="28" s="1"/>
  <c r="AD179" i="28" s="1"/>
  <c r="R181" i="2"/>
  <c r="U179" i="28" s="1"/>
  <c r="Y179" i="28" s="1"/>
  <c r="O181" i="2"/>
  <c r="P179" i="28" s="1"/>
  <c r="T179" i="28" s="1"/>
  <c r="L181" i="2"/>
  <c r="K179" i="28" s="1"/>
  <c r="O179" i="28" s="1"/>
  <c r="AA181" i="2"/>
  <c r="AJ179" i="28" s="1"/>
  <c r="AN179" i="28" s="1"/>
  <c r="P70" i="6"/>
  <c r="O70" i="6"/>
  <c r="N70" i="6"/>
  <c r="M70" i="6"/>
  <c r="L70" i="6"/>
  <c r="K70" i="6"/>
  <c r="M180" i="24" l="1"/>
  <c r="Q180" i="23"/>
  <c r="M181" i="25"/>
  <c r="P180" i="24"/>
  <c r="Z180" i="23"/>
  <c r="P181" i="25"/>
  <c r="S181" i="25" s="1"/>
  <c r="S173" i="25" s="1"/>
  <c r="AE181" i="2"/>
  <c r="N180" i="24"/>
  <c r="T180" i="23"/>
  <c r="N181" i="25"/>
  <c r="N180" i="23"/>
  <c r="L181" i="25"/>
  <c r="Q181" i="2"/>
  <c r="K180" i="24"/>
  <c r="K180" i="23"/>
  <c r="K181" i="25"/>
  <c r="N181" i="2"/>
  <c r="W180" i="23"/>
  <c r="O181" i="25"/>
  <c r="N187" i="38"/>
  <c r="O180" i="24"/>
  <c r="K187" i="38"/>
  <c r="L180" i="24"/>
  <c r="S180" i="27"/>
  <c r="U180" i="27" s="1"/>
  <c r="L187" i="38"/>
  <c r="W180" i="27"/>
  <c r="Y180" i="27" s="1"/>
  <c r="M187" i="38"/>
  <c r="AS181" i="10"/>
  <c r="CN181" i="10" s="1"/>
  <c r="O187" i="38"/>
  <c r="AI181" i="10"/>
  <c r="J187" i="38"/>
  <c r="AQ181" i="10"/>
  <c r="AA181" i="10" s="1"/>
  <c r="AA180" i="27"/>
  <c r="AK181" i="10"/>
  <c r="CL181" i="10" s="1"/>
  <c r="O180" i="27"/>
  <c r="AM181" i="10"/>
  <c r="AO181" i="10"/>
  <c r="AF181" i="10" s="1"/>
  <c r="AE180" i="27"/>
  <c r="AN181" i="2"/>
  <c r="AN173" i="2" s="1"/>
  <c r="K180" i="27"/>
  <c r="V179" i="11"/>
  <c r="W179" i="11"/>
  <c r="O155" i="2"/>
  <c r="P153" i="28" s="1"/>
  <c r="R155" i="2"/>
  <c r="U153" i="28" s="1"/>
  <c r="U155" i="2"/>
  <c r="Z153" i="28" s="1"/>
  <c r="X155" i="2"/>
  <c r="AE153" i="28" s="1"/>
  <c r="AI153" i="28" s="1"/>
  <c r="AA155" i="2"/>
  <c r="AJ153" i="28" s="1"/>
  <c r="O156" i="2"/>
  <c r="P154" i="28" s="1"/>
  <c r="T154" i="28" s="1"/>
  <c r="R156" i="2"/>
  <c r="U154" i="28" s="1"/>
  <c r="Y154" i="28" s="1"/>
  <c r="U156" i="2"/>
  <c r="Z154" i="28" s="1"/>
  <c r="AD154" i="28" s="1"/>
  <c r="X156" i="2"/>
  <c r="AE154" i="28" s="1"/>
  <c r="AA156" i="2"/>
  <c r="AJ154" i="28" s="1"/>
  <c r="AN154" i="28" s="1"/>
  <c r="O157" i="2"/>
  <c r="P155" i="28" s="1"/>
  <c r="T155" i="28" s="1"/>
  <c r="R157" i="2"/>
  <c r="U155" i="28" s="1"/>
  <c r="Y155" i="28" s="1"/>
  <c r="U157" i="2"/>
  <c r="Z155" i="28" s="1"/>
  <c r="AD155" i="28" s="1"/>
  <c r="X157" i="2"/>
  <c r="AE155" i="28" s="1"/>
  <c r="AI155" i="28" s="1"/>
  <c r="AA157" i="2"/>
  <c r="AJ155" i="28" s="1"/>
  <c r="AN155" i="28" s="1"/>
  <c r="O158" i="2"/>
  <c r="P156" i="28" s="1"/>
  <c r="T156" i="28" s="1"/>
  <c r="R158" i="2"/>
  <c r="U156" i="28" s="1"/>
  <c r="Y156" i="28" s="1"/>
  <c r="U158" i="2"/>
  <c r="Z156" i="28" s="1"/>
  <c r="AD156" i="28" s="1"/>
  <c r="X158" i="2"/>
  <c r="AE156" i="28" s="1"/>
  <c r="AI156" i="28" s="1"/>
  <c r="AA158" i="2"/>
  <c r="AJ156" i="28" s="1"/>
  <c r="AN156" i="28" s="1"/>
  <c r="O159" i="2"/>
  <c r="P157" i="28" s="1"/>
  <c r="T157" i="28" s="1"/>
  <c r="R159" i="2"/>
  <c r="U157" i="28" s="1"/>
  <c r="Y157" i="28" s="1"/>
  <c r="U159" i="2"/>
  <c r="Z157" i="28" s="1"/>
  <c r="AD157" i="28" s="1"/>
  <c r="X159" i="2"/>
  <c r="AE157" i="28" s="1"/>
  <c r="AI157" i="28" s="1"/>
  <c r="AA159" i="2"/>
  <c r="AJ157" i="28" s="1"/>
  <c r="AN157" i="28" s="1"/>
  <c r="O59" i="2"/>
  <c r="P57" i="28" s="1"/>
  <c r="R59" i="2"/>
  <c r="U57" i="28" s="1"/>
  <c r="U59" i="2"/>
  <c r="Z57" i="28" s="1"/>
  <c r="X59" i="2"/>
  <c r="AE57" i="28" s="1"/>
  <c r="AA59" i="2"/>
  <c r="AJ57" i="28" s="1"/>
  <c r="R60" i="2"/>
  <c r="U58" i="28" s="1"/>
  <c r="Y58" i="28" s="1"/>
  <c r="U60" i="2"/>
  <c r="Z58" i="28" s="1"/>
  <c r="AD58" i="28" s="1"/>
  <c r="X60" i="2"/>
  <c r="AE58" i="28" s="1"/>
  <c r="AI58" i="28" s="1"/>
  <c r="AA60" i="2"/>
  <c r="AJ58" i="28" s="1"/>
  <c r="AN58" i="28" s="1"/>
  <c r="R61" i="2"/>
  <c r="U59" i="28" s="1"/>
  <c r="Y59" i="28" s="1"/>
  <c r="U61" i="2"/>
  <c r="Z59" i="28" s="1"/>
  <c r="AD59" i="28" s="1"/>
  <c r="X61" i="2"/>
  <c r="AA61" i="2"/>
  <c r="O51" i="2"/>
  <c r="P49" i="28" s="1"/>
  <c r="R51" i="2"/>
  <c r="U49" i="28" s="1"/>
  <c r="U51" i="2"/>
  <c r="Z49" i="28" s="1"/>
  <c r="X51" i="2"/>
  <c r="AE49" i="28" s="1"/>
  <c r="AI49" i="28" s="1"/>
  <c r="AA51" i="2"/>
  <c r="AJ49" i="28" s="1"/>
  <c r="O52" i="2"/>
  <c r="P50" i="28" s="1"/>
  <c r="T50" i="28" s="1"/>
  <c r="R52" i="2"/>
  <c r="U50" i="28" s="1"/>
  <c r="Y50" i="28" s="1"/>
  <c r="U52" i="2"/>
  <c r="Z50" i="28" s="1"/>
  <c r="X52" i="2"/>
  <c r="AE50" i="28" s="1"/>
  <c r="AA52" i="2"/>
  <c r="AJ50" i="28" s="1"/>
  <c r="AN50" i="28" s="1"/>
  <c r="O53" i="2"/>
  <c r="P51" i="28" s="1"/>
  <c r="T51" i="28" s="1"/>
  <c r="R53" i="2"/>
  <c r="U51" i="28" s="1"/>
  <c r="Y51" i="28" s="1"/>
  <c r="U53" i="2"/>
  <c r="Z51" i="28" s="1"/>
  <c r="AD51" i="28" s="1"/>
  <c r="X53" i="2"/>
  <c r="AE51" i="28" s="1"/>
  <c r="AI51" i="28" s="1"/>
  <c r="AA53" i="2"/>
  <c r="AJ51" i="28" s="1"/>
  <c r="AN51" i="28" s="1"/>
  <c r="O54" i="2"/>
  <c r="P52" i="28" s="1"/>
  <c r="T52" i="28" s="1"/>
  <c r="R54" i="2"/>
  <c r="U52" i="28" s="1"/>
  <c r="Y52" i="28" s="1"/>
  <c r="U54" i="2"/>
  <c r="Z52" i="28" s="1"/>
  <c r="AD52" i="28" s="1"/>
  <c r="X54" i="2"/>
  <c r="AE52" i="28" s="1"/>
  <c r="AI52" i="28" s="1"/>
  <c r="AA54" i="2"/>
  <c r="AJ52" i="28" s="1"/>
  <c r="AN52" i="28" s="1"/>
  <c r="L53" i="9"/>
  <c r="L48" i="8"/>
  <c r="L47" i="8" s="1"/>
  <c r="K51" i="7"/>
  <c r="L44" i="3"/>
  <c r="AO61" i="2" l="1"/>
  <c r="AJ59" i="28"/>
  <c r="AN59" i="28" s="1"/>
  <c r="AJ56" i="28"/>
  <c r="AN57" i="28"/>
  <c r="AN56" i="28" s="1"/>
  <c r="AJ152" i="28"/>
  <c r="AN153" i="28"/>
  <c r="AN152" i="28" s="1"/>
  <c r="AN49" i="28"/>
  <c r="AE152" i="28"/>
  <c r="AI154" i="28"/>
  <c r="AI152" i="28" s="1"/>
  <c r="P152" i="28"/>
  <c r="T153" i="28"/>
  <c r="T152" i="28" s="1"/>
  <c r="T57" i="28"/>
  <c r="Y49" i="28"/>
  <c r="Z56" i="28"/>
  <c r="AD57" i="28"/>
  <c r="AD56" i="28" s="1"/>
  <c r="U152" i="28"/>
  <c r="Y153" i="28"/>
  <c r="Y152" i="28" s="1"/>
  <c r="N61" i="38"/>
  <c r="AE59" i="28"/>
  <c r="AI59" i="28" s="1"/>
  <c r="AI57" i="28"/>
  <c r="AI50" i="28"/>
  <c r="T49" i="28"/>
  <c r="U56" i="28"/>
  <c r="Y57" i="28"/>
  <c r="Y56" i="28" s="1"/>
  <c r="Z152" i="28"/>
  <c r="AD153" i="28"/>
  <c r="AD152" i="28" s="1"/>
  <c r="M180" i="27"/>
  <c r="N180" i="27"/>
  <c r="Q180" i="27"/>
  <c r="R180" i="27"/>
  <c r="AG180" i="27"/>
  <c r="AH180" i="27"/>
  <c r="W181" i="10"/>
  <c r="CK181" i="10"/>
  <c r="M181" i="10"/>
  <c r="CM181" i="10"/>
  <c r="AL181" i="10"/>
  <c r="D181" i="10"/>
  <c r="R181" i="10"/>
  <c r="N54" i="38"/>
  <c r="W53" i="23"/>
  <c r="O54" i="25"/>
  <c r="O53" i="24"/>
  <c r="O53" i="38"/>
  <c r="Z52" i="23"/>
  <c r="P53" i="25"/>
  <c r="R53" i="25" s="1"/>
  <c r="P52" i="24"/>
  <c r="K53" i="38"/>
  <c r="N52" i="23"/>
  <c r="L53" i="25"/>
  <c r="L52" i="24"/>
  <c r="Q51" i="23"/>
  <c r="M52" i="25"/>
  <c r="M51" i="24"/>
  <c r="M51" i="38"/>
  <c r="T50" i="23"/>
  <c r="N51" i="25"/>
  <c r="N50" i="24"/>
  <c r="N60" i="38"/>
  <c r="W59" i="23"/>
  <c r="O59" i="24"/>
  <c r="O60" i="25"/>
  <c r="N59" i="38"/>
  <c r="W58" i="23"/>
  <c r="O59" i="25"/>
  <c r="O58" i="24"/>
  <c r="T158" i="23"/>
  <c r="N159" i="25"/>
  <c r="N158" i="24"/>
  <c r="N164" i="38"/>
  <c r="W157" i="23"/>
  <c r="O158" i="25"/>
  <c r="O157" i="24"/>
  <c r="O163" i="38"/>
  <c r="Z156" i="23"/>
  <c r="P157" i="25"/>
  <c r="Q157" i="25" s="1"/>
  <c r="P156" i="24"/>
  <c r="N156" i="23"/>
  <c r="L157" i="25"/>
  <c r="L156" i="24"/>
  <c r="Q155" i="23"/>
  <c r="M155" i="24"/>
  <c r="M156" i="25"/>
  <c r="T154" i="23"/>
  <c r="N155" i="25"/>
  <c r="N154" i="24"/>
  <c r="M54" i="38"/>
  <c r="T53" i="23"/>
  <c r="N54" i="25"/>
  <c r="N53" i="24"/>
  <c r="N53" i="38"/>
  <c r="W52" i="23"/>
  <c r="O53" i="25"/>
  <c r="O52" i="24"/>
  <c r="O52" i="38"/>
  <c r="Z51" i="23"/>
  <c r="P52" i="25"/>
  <c r="Q52" i="25" s="1"/>
  <c r="Q50" i="25" s="1"/>
  <c r="G9" i="30" s="1"/>
  <c r="P51" i="24"/>
  <c r="K52" i="38"/>
  <c r="N51" i="23"/>
  <c r="L52" i="25"/>
  <c r="L51" i="24"/>
  <c r="Q50" i="23"/>
  <c r="M51" i="25"/>
  <c r="M50" i="24"/>
  <c r="T59" i="23"/>
  <c r="N60" i="25"/>
  <c r="N59" i="24"/>
  <c r="T58" i="23"/>
  <c r="N59" i="25"/>
  <c r="N58" i="24"/>
  <c r="Q158" i="23"/>
  <c r="M159" i="25"/>
  <c r="M158" i="24"/>
  <c r="T157" i="23"/>
  <c r="N158" i="25"/>
  <c r="N157" i="24"/>
  <c r="N163" i="38"/>
  <c r="W156" i="23"/>
  <c r="O156" i="24"/>
  <c r="O157" i="25"/>
  <c r="O162" i="38"/>
  <c r="Z155" i="23"/>
  <c r="P156" i="25"/>
  <c r="Q156" i="25" s="1"/>
  <c r="P155" i="24"/>
  <c r="N155" i="23"/>
  <c r="L156" i="25"/>
  <c r="L155" i="24"/>
  <c r="Q154" i="23"/>
  <c r="M155" i="25"/>
  <c r="M154" i="24"/>
  <c r="Q53" i="23"/>
  <c r="M54" i="25"/>
  <c r="M53" i="24"/>
  <c r="M53" i="38"/>
  <c r="T52" i="23"/>
  <c r="N53" i="25"/>
  <c r="N52" i="24"/>
  <c r="N52" i="38"/>
  <c r="W51" i="23"/>
  <c r="O52" i="25"/>
  <c r="O51" i="24"/>
  <c r="O51" i="38"/>
  <c r="Z50" i="23"/>
  <c r="P50" i="24"/>
  <c r="P51" i="25"/>
  <c r="R51" i="25" s="1"/>
  <c r="K51" i="38"/>
  <c r="N50" i="23"/>
  <c r="L51" i="25"/>
  <c r="L50" i="24"/>
  <c r="Q59" i="23"/>
  <c r="M60" i="25"/>
  <c r="M59" i="24"/>
  <c r="Q58" i="23"/>
  <c r="M58" i="24"/>
  <c r="M59" i="25"/>
  <c r="O165" i="38"/>
  <c r="Z158" i="23"/>
  <c r="P159" i="25"/>
  <c r="Q159" i="25" s="1"/>
  <c r="P158" i="24"/>
  <c r="N158" i="23"/>
  <c r="L159" i="25"/>
  <c r="L158" i="24"/>
  <c r="Q157" i="23"/>
  <c r="M158" i="25"/>
  <c r="M157" i="24"/>
  <c r="T156" i="23"/>
  <c r="N157" i="25"/>
  <c r="N156" i="24"/>
  <c r="N162" i="38"/>
  <c r="W155" i="23"/>
  <c r="O156" i="25"/>
  <c r="O155" i="24"/>
  <c r="O161" i="38"/>
  <c r="Z154" i="23"/>
  <c r="P155" i="25"/>
  <c r="Q155" i="25" s="1"/>
  <c r="P154" i="24"/>
  <c r="N154" i="23"/>
  <c r="L155" i="25"/>
  <c r="L154" i="24"/>
  <c r="O54" i="38"/>
  <c r="Z53" i="23"/>
  <c r="P54" i="25"/>
  <c r="R54" i="25" s="1"/>
  <c r="P53" i="24"/>
  <c r="K54" i="38"/>
  <c r="N53" i="23"/>
  <c r="L54" i="25"/>
  <c r="L53" i="24"/>
  <c r="Q52" i="23"/>
  <c r="M53" i="25"/>
  <c r="M52" i="24"/>
  <c r="M52" i="38"/>
  <c r="T51" i="23"/>
  <c r="N52" i="25"/>
  <c r="N51" i="24"/>
  <c r="N51" i="38"/>
  <c r="W50" i="23"/>
  <c r="O51" i="25"/>
  <c r="O50" i="24"/>
  <c r="O60" i="38"/>
  <c r="Z59" i="23"/>
  <c r="P60" i="25"/>
  <c r="R60" i="25" s="1"/>
  <c r="P59" i="24"/>
  <c r="O59" i="38"/>
  <c r="Z58" i="23"/>
  <c r="Z57" i="23" s="1"/>
  <c r="P59" i="25"/>
  <c r="R59" i="25" s="1"/>
  <c r="P58" i="24"/>
  <c r="N58" i="23"/>
  <c r="L59" i="25"/>
  <c r="L58" i="24"/>
  <c r="N165" i="38"/>
  <c r="W158" i="23"/>
  <c r="O159" i="25"/>
  <c r="O158" i="24"/>
  <c r="O164" i="38"/>
  <c r="Z157" i="23"/>
  <c r="P158" i="25"/>
  <c r="Q158" i="25" s="1"/>
  <c r="P157" i="24"/>
  <c r="N157" i="23"/>
  <c r="L158" i="25"/>
  <c r="L157" i="24"/>
  <c r="Q156" i="23"/>
  <c r="M157" i="25"/>
  <c r="M156" i="24"/>
  <c r="T155" i="23"/>
  <c r="N156" i="25"/>
  <c r="N155" i="24"/>
  <c r="N161" i="38"/>
  <c r="W154" i="23"/>
  <c r="O155" i="25"/>
  <c r="O154" i="24"/>
  <c r="AH181" i="10"/>
  <c r="AB181" i="10"/>
  <c r="Q181" i="10"/>
  <c r="AC181" i="10"/>
  <c r="V181" i="10"/>
  <c r="S50" i="27"/>
  <c r="U50" i="27" s="1"/>
  <c r="L51" i="38"/>
  <c r="W59" i="27"/>
  <c r="Y59" i="27" s="1"/>
  <c r="M60" i="38"/>
  <c r="S154" i="27"/>
  <c r="U154" i="27" s="1"/>
  <c r="L161" i="38"/>
  <c r="S53" i="27"/>
  <c r="U53" i="27" s="1"/>
  <c r="L54" i="38"/>
  <c r="S60" i="27"/>
  <c r="U60" i="27" s="1"/>
  <c r="L61" i="38"/>
  <c r="S59" i="27"/>
  <c r="U59" i="27" s="1"/>
  <c r="L60" i="38"/>
  <c r="S58" i="27"/>
  <c r="U58" i="27" s="1"/>
  <c r="L59" i="38"/>
  <c r="O158" i="27"/>
  <c r="R158" i="27" s="1"/>
  <c r="K165" i="38"/>
  <c r="S157" i="27"/>
  <c r="U157" i="27" s="1"/>
  <c r="L164" i="38"/>
  <c r="W156" i="27"/>
  <c r="Y156" i="27" s="1"/>
  <c r="M163" i="38"/>
  <c r="O154" i="27"/>
  <c r="R154" i="27" s="1"/>
  <c r="K161" i="38"/>
  <c r="E181" i="10"/>
  <c r="K181" i="10" s="1"/>
  <c r="AJ181" i="10" s="1"/>
  <c r="C181" i="10"/>
  <c r="W60" i="27"/>
  <c r="Y60" i="27" s="1"/>
  <c r="M61" i="38"/>
  <c r="S158" i="27"/>
  <c r="U158" i="27" s="1"/>
  <c r="L165" i="38"/>
  <c r="S52" i="27"/>
  <c r="U52" i="27" s="1"/>
  <c r="L53" i="38"/>
  <c r="AS60" i="10"/>
  <c r="O61" i="38"/>
  <c r="O58" i="27"/>
  <c r="R58" i="27" s="1"/>
  <c r="K59" i="38"/>
  <c r="O157" i="27"/>
  <c r="R157" i="27" s="1"/>
  <c r="K164" i="38"/>
  <c r="S156" i="27"/>
  <c r="U156" i="27" s="1"/>
  <c r="L163" i="38"/>
  <c r="W155" i="27"/>
  <c r="Y155" i="27" s="1"/>
  <c r="M162" i="38"/>
  <c r="W58" i="27"/>
  <c r="Y58" i="27" s="1"/>
  <c r="M59" i="38"/>
  <c r="W157" i="27"/>
  <c r="Y157" i="27" s="1"/>
  <c r="M164" i="38"/>
  <c r="O155" i="27"/>
  <c r="R155" i="27" s="1"/>
  <c r="K162" i="38"/>
  <c r="S51" i="27"/>
  <c r="U51" i="27" s="1"/>
  <c r="L52" i="38"/>
  <c r="W158" i="27"/>
  <c r="Y158" i="27" s="1"/>
  <c r="M165" i="38"/>
  <c r="O156" i="27"/>
  <c r="R156" i="27" s="1"/>
  <c r="K163" i="38"/>
  <c r="S155" i="27"/>
  <c r="U155" i="27" s="1"/>
  <c r="L162" i="38"/>
  <c r="W154" i="27"/>
  <c r="Y154" i="27" s="1"/>
  <c r="M161" i="38"/>
  <c r="AG181" i="10"/>
  <c r="O181" i="10"/>
  <c r="U181" i="10"/>
  <c r="S181" i="10"/>
  <c r="W51" i="27"/>
  <c r="W50" i="27"/>
  <c r="Z50" i="27" s="1"/>
  <c r="W53" i="27"/>
  <c r="Z53" i="27" s="1"/>
  <c r="W52" i="27"/>
  <c r="Y52" i="27" s="1"/>
  <c r="AQ53" i="10"/>
  <c r="AA53" i="27"/>
  <c r="AQ60" i="10"/>
  <c r="AA60" i="27"/>
  <c r="AQ59" i="10"/>
  <c r="AA59" i="27"/>
  <c r="AQ58" i="10"/>
  <c r="AA58" i="27"/>
  <c r="AQ157" i="10"/>
  <c r="AA157" i="27"/>
  <c r="AQ52" i="10"/>
  <c r="AA52" i="27"/>
  <c r="AQ156" i="10"/>
  <c r="AA156" i="27"/>
  <c r="AQ51" i="10"/>
  <c r="AA51" i="27"/>
  <c r="AQ155" i="10"/>
  <c r="AA155" i="27"/>
  <c r="AQ50" i="10"/>
  <c r="I49" i="10" s="1"/>
  <c r="AA50" i="27"/>
  <c r="AQ158" i="10"/>
  <c r="AA158" i="27"/>
  <c r="AQ154" i="10"/>
  <c r="AA154" i="27"/>
  <c r="Z181" i="10"/>
  <c r="AE181" i="10"/>
  <c r="X181" i="10"/>
  <c r="T181" i="10"/>
  <c r="AK52" i="10"/>
  <c r="O52" i="27"/>
  <c r="Q52" i="27" s="1"/>
  <c r="AM51" i="10"/>
  <c r="AK51" i="10"/>
  <c r="O51" i="27"/>
  <c r="Q51" i="27" s="1"/>
  <c r="AM50" i="10"/>
  <c r="AO60" i="10"/>
  <c r="AO59" i="10"/>
  <c r="AP59" i="10" s="1"/>
  <c r="AO58" i="10"/>
  <c r="AP58" i="10" s="1"/>
  <c r="AM158" i="10"/>
  <c r="AO157" i="10"/>
  <c r="AM154" i="10"/>
  <c r="N181" i="10"/>
  <c r="Y181" i="10"/>
  <c r="AD181" i="10"/>
  <c r="AM53" i="10"/>
  <c r="AK50" i="10"/>
  <c r="O50" i="27"/>
  <c r="Q50" i="27" s="1"/>
  <c r="AM60" i="10"/>
  <c r="AM59" i="10"/>
  <c r="AN59" i="10" s="1"/>
  <c r="AM58" i="10"/>
  <c r="AN58" i="10" s="1"/>
  <c r="AM157" i="10"/>
  <c r="AO156" i="10"/>
  <c r="AK53" i="10"/>
  <c r="O53" i="27"/>
  <c r="Q53" i="27" s="1"/>
  <c r="AM52" i="10"/>
  <c r="AM156" i="10"/>
  <c r="AO155" i="10"/>
  <c r="AO158" i="10"/>
  <c r="AM155" i="10"/>
  <c r="AO154" i="10"/>
  <c r="AC180" i="27"/>
  <c r="Q157" i="2"/>
  <c r="AK156" i="10"/>
  <c r="AL156" i="10" s="1"/>
  <c r="CL156" i="10" s="1"/>
  <c r="W54" i="2"/>
  <c r="AO53" i="10"/>
  <c r="AP53" i="10" s="1"/>
  <c r="CO53" i="10" s="1"/>
  <c r="AE52" i="2"/>
  <c r="AS51" i="10"/>
  <c r="AE156" i="2"/>
  <c r="AS155" i="10"/>
  <c r="Q156" i="2"/>
  <c r="AK155" i="10"/>
  <c r="AL155" i="10" s="1"/>
  <c r="CL155" i="10" s="1"/>
  <c r="W53" i="2"/>
  <c r="AO52" i="10"/>
  <c r="AP52" i="10" s="1"/>
  <c r="AE51" i="2"/>
  <c r="AS50" i="10"/>
  <c r="AT50" i="10" s="1"/>
  <c r="AE159" i="2"/>
  <c r="AS158" i="10"/>
  <c r="AT158" i="10" s="1"/>
  <c r="CN158" i="10" s="1"/>
  <c r="Q159" i="2"/>
  <c r="AK158" i="10"/>
  <c r="AL158" i="10" s="1"/>
  <c r="CL158" i="10" s="1"/>
  <c r="AE155" i="2"/>
  <c r="AS154" i="10"/>
  <c r="CN154" i="10" s="1"/>
  <c r="Q155" i="2"/>
  <c r="AK154" i="10"/>
  <c r="AL154" i="10" s="1"/>
  <c r="CL154" i="10" s="1"/>
  <c r="AE53" i="2"/>
  <c r="AS52" i="10"/>
  <c r="AT52" i="10" s="1"/>
  <c r="W51" i="2"/>
  <c r="AO50" i="10"/>
  <c r="AP50" i="10" s="1"/>
  <c r="AE157" i="2"/>
  <c r="AS156" i="10"/>
  <c r="AT156" i="10" s="1"/>
  <c r="CN156" i="10" s="1"/>
  <c r="AE54" i="2"/>
  <c r="AS53" i="10"/>
  <c r="AO51" i="10"/>
  <c r="AP51" i="10" s="1"/>
  <c r="AE60" i="2"/>
  <c r="AS59" i="10"/>
  <c r="AT59" i="10" s="1"/>
  <c r="AE59" i="2"/>
  <c r="AS58" i="10"/>
  <c r="AT58" i="10" s="1"/>
  <c r="Q59" i="2"/>
  <c r="AK58" i="10"/>
  <c r="AL58" i="10" s="1"/>
  <c r="AE158" i="2"/>
  <c r="AS157" i="10"/>
  <c r="AT157" i="10" s="1"/>
  <c r="Q158" i="2"/>
  <c r="AK157" i="10"/>
  <c r="AL157" i="10" s="1"/>
  <c r="CL157" i="10" s="1"/>
  <c r="AN61" i="2"/>
  <c r="AE60" i="27"/>
  <c r="AG60" i="27" s="1"/>
  <c r="AE58" i="27"/>
  <c r="AM59" i="2"/>
  <c r="AE157" i="27"/>
  <c r="AL158" i="2"/>
  <c r="AE52" i="27"/>
  <c r="AM53" i="2"/>
  <c r="AE156" i="27"/>
  <c r="AL157" i="2"/>
  <c r="AE53" i="27"/>
  <c r="AM54" i="2"/>
  <c r="AE59" i="27"/>
  <c r="AM60" i="2"/>
  <c r="AM52" i="2"/>
  <c r="AE51" i="27"/>
  <c r="AE155" i="27"/>
  <c r="AL156" i="2"/>
  <c r="AE50" i="27"/>
  <c r="AM51" i="2"/>
  <c r="AE158" i="27"/>
  <c r="AL159" i="2"/>
  <c r="AE154" i="27"/>
  <c r="AL155" i="2"/>
  <c r="W57" i="23" l="1"/>
  <c r="AI56" i="28"/>
  <c r="AE56" i="28"/>
  <c r="R156" i="10"/>
  <c r="X156" i="10"/>
  <c r="R60" i="27"/>
  <c r="P60" i="23"/>
  <c r="V156" i="10"/>
  <c r="AB156" i="10"/>
  <c r="V157" i="10"/>
  <c r="R157" i="10" s="1"/>
  <c r="Q157" i="10" s="1"/>
  <c r="CQ157" i="10" s="1"/>
  <c r="CN157" i="10"/>
  <c r="AN60" i="10"/>
  <c r="CN60" i="10"/>
  <c r="AP60" i="10"/>
  <c r="Z60" i="10" s="1"/>
  <c r="CO60" i="10"/>
  <c r="AT60" i="10"/>
  <c r="CP60" i="10"/>
  <c r="T153" i="23"/>
  <c r="T57" i="23"/>
  <c r="Z153" i="23"/>
  <c r="N153" i="23"/>
  <c r="Q57" i="23"/>
  <c r="W153" i="23"/>
  <c r="Q153" i="23"/>
  <c r="P57" i="24"/>
  <c r="M58" i="25"/>
  <c r="CI181" i="10"/>
  <c r="T53" i="10"/>
  <c r="AF53" i="10"/>
  <c r="Z53" i="10"/>
  <c r="CQ181" i="10"/>
  <c r="AT181" i="10"/>
  <c r="CR181" i="10"/>
  <c r="Y59" i="10"/>
  <c r="S59" i="10"/>
  <c r="T59" i="10"/>
  <c r="Z59" i="10"/>
  <c r="R58" i="10"/>
  <c r="X58" i="10"/>
  <c r="Y58" i="10"/>
  <c r="S58" i="10"/>
  <c r="AB58" i="10"/>
  <c r="V58" i="10"/>
  <c r="AE60" i="10"/>
  <c r="Y60" i="10"/>
  <c r="AB59" i="10"/>
  <c r="V59" i="10"/>
  <c r="T58" i="10"/>
  <c r="Z58" i="10"/>
  <c r="V52" i="10"/>
  <c r="AB52" i="10"/>
  <c r="T50" i="10"/>
  <c r="AF50" i="10"/>
  <c r="Z50" i="10"/>
  <c r="V50" i="10"/>
  <c r="AH50" i="10"/>
  <c r="AB50" i="10"/>
  <c r="T52" i="10"/>
  <c r="Z52" i="10"/>
  <c r="Z51" i="10"/>
  <c r="AF51" i="10"/>
  <c r="T51" i="10"/>
  <c r="Q158" i="27"/>
  <c r="Q157" i="27"/>
  <c r="Q155" i="27"/>
  <c r="Q154" i="27"/>
  <c r="Q58" i="27"/>
  <c r="R154" i="10"/>
  <c r="X154" i="10"/>
  <c r="AT154" i="10"/>
  <c r="V158" i="10"/>
  <c r="AB158" i="10"/>
  <c r="X158" i="10" s="1"/>
  <c r="W158" i="10" s="1"/>
  <c r="AT155" i="10"/>
  <c r="CN155" i="10" s="1"/>
  <c r="O154" i="25"/>
  <c r="N58" i="25"/>
  <c r="O57" i="24"/>
  <c r="L153" i="24"/>
  <c r="M154" i="25"/>
  <c r="N153" i="24"/>
  <c r="AT53" i="10"/>
  <c r="CP53" i="10" s="1"/>
  <c r="AT51" i="10"/>
  <c r="O153" i="24"/>
  <c r="M57" i="24"/>
  <c r="M153" i="24"/>
  <c r="L154" i="25"/>
  <c r="N57" i="24"/>
  <c r="P58" i="25"/>
  <c r="P153" i="24"/>
  <c r="N154" i="25"/>
  <c r="O58" i="25"/>
  <c r="P154" i="25"/>
  <c r="Q156" i="27"/>
  <c r="R153" i="27"/>
  <c r="Y53" i="27"/>
  <c r="H153" i="10"/>
  <c r="I153" i="10"/>
  <c r="Z52" i="27"/>
  <c r="F49" i="10"/>
  <c r="AE58" i="2"/>
  <c r="Z11" i="30" s="1"/>
  <c r="G49" i="10"/>
  <c r="P61" i="2"/>
  <c r="P58" i="2" s="1"/>
  <c r="AG158" i="27"/>
  <c r="AH158" i="27"/>
  <c r="Z52" i="2"/>
  <c r="AC158" i="27"/>
  <c r="AC157" i="27"/>
  <c r="Z53" i="2"/>
  <c r="AG52" i="27"/>
  <c r="AH52" i="27"/>
  <c r="AG157" i="27"/>
  <c r="AH157" i="27"/>
  <c r="AG154" i="27"/>
  <c r="AH154" i="27"/>
  <c r="AG155" i="27"/>
  <c r="AH155" i="27"/>
  <c r="AG59" i="27"/>
  <c r="AH59" i="27"/>
  <c r="AG53" i="27"/>
  <c r="AH53" i="27"/>
  <c r="Z54" i="2"/>
  <c r="AE154" i="2"/>
  <c r="Z26" i="30" s="1"/>
  <c r="Q154" i="2"/>
  <c r="AC155" i="27"/>
  <c r="AG50" i="27"/>
  <c r="AH50" i="27"/>
  <c r="AC154" i="27"/>
  <c r="AC156" i="27"/>
  <c r="AG51" i="27"/>
  <c r="AH51" i="27"/>
  <c r="Z51" i="2"/>
  <c r="AG156" i="27"/>
  <c r="AH156" i="27"/>
  <c r="AG58" i="27"/>
  <c r="AH58" i="27"/>
  <c r="AS57" i="10"/>
  <c r="H49" i="10"/>
  <c r="AS153" i="10"/>
  <c r="AH153" i="10"/>
  <c r="AC58" i="27"/>
  <c r="Z59" i="2"/>
  <c r="AC59" i="27"/>
  <c r="Z60" i="2"/>
  <c r="AC60" i="27"/>
  <c r="Z61" i="2"/>
  <c r="Q154" i="25"/>
  <c r="G26" i="30" s="1"/>
  <c r="J26" i="30" s="1"/>
  <c r="M26" i="30" s="1"/>
  <c r="P26" i="30" s="1"/>
  <c r="S26" i="30" s="1"/>
  <c r="V26" i="30" s="1"/>
  <c r="U153" i="27"/>
  <c r="Y153" i="27"/>
  <c r="U57" i="27"/>
  <c r="P57" i="27"/>
  <c r="Y57" i="27"/>
  <c r="R58" i="25"/>
  <c r="J11" i="30" s="1"/>
  <c r="M11" i="30" s="1"/>
  <c r="P11" i="30" s="1"/>
  <c r="S11" i="30" s="1"/>
  <c r="V11" i="30" s="1"/>
  <c r="CI135" i="20"/>
  <c r="CJ135" i="20"/>
  <c r="CM135" i="20"/>
  <c r="CL135" i="20"/>
  <c r="CK135" i="20"/>
  <c r="CH135" i="20"/>
  <c r="CG135" i="20"/>
  <c r="CR156" i="10" l="1"/>
  <c r="CS156" i="10" s="1"/>
  <c r="CR157" i="10"/>
  <c r="AF60" i="10"/>
  <c r="M60" i="23"/>
  <c r="M57" i="23" s="1"/>
  <c r="M7" i="23" s="1"/>
  <c r="M6" i="23" s="1"/>
  <c r="P57" i="23"/>
  <c r="P7" i="23" s="1"/>
  <c r="P6" i="23" s="1"/>
  <c r="P182" i="23" s="1"/>
  <c r="AH60" i="10"/>
  <c r="AH57" i="10" s="1"/>
  <c r="AB60" i="10"/>
  <c r="R158" i="10"/>
  <c r="Q158" i="10" s="1"/>
  <c r="CQ158" i="10" s="1"/>
  <c r="CR158" i="10"/>
  <c r="AB53" i="10"/>
  <c r="AH53" i="10"/>
  <c r="V53" i="10"/>
  <c r="CR50" i="10"/>
  <c r="CR52" i="10"/>
  <c r="CI58" i="10"/>
  <c r="CJ58" i="10" s="1"/>
  <c r="CI59" i="10"/>
  <c r="CJ59" i="10" s="1"/>
  <c r="AB51" i="10"/>
  <c r="V51" i="10"/>
  <c r="AH51" i="10"/>
  <c r="CI52" i="10"/>
  <c r="CJ52" i="10" s="1"/>
  <c r="Q153" i="27"/>
  <c r="V155" i="10"/>
  <c r="AB155" i="10"/>
  <c r="X155" i="10" s="1"/>
  <c r="W155" i="10" s="1"/>
  <c r="AB154" i="10"/>
  <c r="V154" i="10"/>
  <c r="O57" i="10"/>
  <c r="M57" i="10"/>
  <c r="CI158" i="10"/>
  <c r="CJ158" i="10" s="1"/>
  <c r="G153" i="10"/>
  <c r="Q61" i="2"/>
  <c r="N57" i="10"/>
  <c r="AG57" i="27"/>
  <c r="AG153" i="27"/>
  <c r="AC153" i="27"/>
  <c r="AH57" i="27"/>
  <c r="L11" i="19" s="1"/>
  <c r="AH153" i="27"/>
  <c r="F153" i="10"/>
  <c r="Z58" i="2"/>
  <c r="P7" i="27"/>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AY135" i="20"/>
  <c r="K25" i="21" s="1"/>
  <c r="AX135" i="20"/>
  <c r="J25" i="21" s="1"/>
  <c r="AW135" i="20"/>
  <c r="I25" i="21" s="1"/>
  <c r="AV135" i="20"/>
  <c r="H25" i="21" s="1"/>
  <c r="AU135" i="20"/>
  <c r="G25" i="21" s="1"/>
  <c r="AT135" i="20"/>
  <c r="F25" i="21" s="1"/>
  <c r="AS135" i="20"/>
  <c r="E25"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AE67" i="20"/>
  <c r="K40" i="21" s="1"/>
  <c r="AD67" i="20"/>
  <c r="J40" i="21" s="1"/>
  <c r="AC67" i="20"/>
  <c r="I40" i="21" s="1"/>
  <c r="Z67" i="20"/>
  <c r="F40" i="21" s="1"/>
  <c r="Y67" i="20"/>
  <c r="E40" i="21" s="1"/>
  <c r="AY62" i="20"/>
  <c r="AX62" i="20"/>
  <c r="AW62" i="20"/>
  <c r="AV62" i="20"/>
  <c r="AU62" i="20"/>
  <c r="AT62" i="20"/>
  <c r="AS62" i="20"/>
  <c r="AE62" i="20"/>
  <c r="K21" i="21" s="1"/>
  <c r="AD62" i="20"/>
  <c r="J21" i="21" s="1"/>
  <c r="AC62" i="20"/>
  <c r="I21" i="21" s="1"/>
  <c r="Y62" i="20"/>
  <c r="E21" i="21" s="1"/>
  <c r="K30" i="21"/>
  <c r="J30" i="21"/>
  <c r="I30" i="21"/>
  <c r="H30" i="21"/>
  <c r="E30" i="21"/>
  <c r="K13" i="21"/>
  <c r="J13" i="21"/>
  <c r="I13" i="21"/>
  <c r="H13" i="21"/>
  <c r="G13" i="21"/>
  <c r="E13" i="21"/>
  <c r="K37" i="21"/>
  <c r="J37" i="21"/>
  <c r="I37" i="21"/>
  <c r="H37" i="21"/>
  <c r="G37" i="21"/>
  <c r="E37" i="21"/>
  <c r="DG50" i="20"/>
  <c r="K39" i="21" s="1"/>
  <c r="DF50" i="20"/>
  <c r="J39" i="21" s="1"/>
  <c r="DE50" i="20"/>
  <c r="I39" i="21" s="1"/>
  <c r="DD50" i="20"/>
  <c r="H39" i="21" s="1"/>
  <c r="DA50" i="20"/>
  <c r="E39" i="21" s="1"/>
  <c r="CM50" i="20"/>
  <c r="K17" i="21" s="1"/>
  <c r="CL50" i="20"/>
  <c r="J17" i="21" s="1"/>
  <c r="CK50" i="20"/>
  <c r="I17" i="21" s="1"/>
  <c r="CJ50" i="20"/>
  <c r="H17" i="21" s="1"/>
  <c r="CH50" i="20"/>
  <c r="F17" i="21" s="1"/>
  <c r="CG50" i="20"/>
  <c r="E17" i="21" s="1"/>
  <c r="BS50" i="20"/>
  <c r="K16" i="21" s="1"/>
  <c r="BR50" i="20"/>
  <c r="J16" i="21" s="1"/>
  <c r="BQ50" i="20"/>
  <c r="I16" i="21" s="1"/>
  <c r="BP50" i="20"/>
  <c r="H16" i="21" s="1"/>
  <c r="BN50" i="20"/>
  <c r="F16" i="21" s="1"/>
  <c r="BM50" i="20"/>
  <c r="E16" i="21" s="1"/>
  <c r="AY50" i="20"/>
  <c r="K15" i="21" s="1"/>
  <c r="AX50" i="20"/>
  <c r="J15" i="21" s="1"/>
  <c r="AW50" i="20"/>
  <c r="I15" i="21" s="1"/>
  <c r="AV50" i="20"/>
  <c r="H15" i="21" s="1"/>
  <c r="AS50" i="20"/>
  <c r="E15" i="21" s="1"/>
  <c r="BS46" i="20"/>
  <c r="BR46" i="20"/>
  <c r="BQ46" i="20"/>
  <c r="BP46" i="20"/>
  <c r="BO46" i="20"/>
  <c r="BN46" i="20"/>
  <c r="BM46" i="20"/>
  <c r="DB50" i="20"/>
  <c r="F39" i="21" s="1"/>
  <c r="AE50" i="20"/>
  <c r="K14" i="21" s="1"/>
  <c r="AD50" i="20"/>
  <c r="J14" i="21" s="1"/>
  <c r="AC50" i="20"/>
  <c r="I14" i="21" s="1"/>
  <c r="AB50" i="20"/>
  <c r="H14" i="21" s="1"/>
  <c r="Z50" i="20"/>
  <c r="F14" i="21" s="1"/>
  <c r="Y50" i="20"/>
  <c r="E14" i="21" s="1"/>
  <c r="AY46" i="20"/>
  <c r="K12" i="21" s="1"/>
  <c r="AX46" i="20"/>
  <c r="J12" i="21" s="1"/>
  <c r="AW46" i="20"/>
  <c r="I12" i="21" s="1"/>
  <c r="AV46" i="20"/>
  <c r="H12" i="21" s="1"/>
  <c r="AU46" i="20"/>
  <c r="G12" i="21" s="1"/>
  <c r="AS46" i="20"/>
  <c r="E12" i="21" s="1"/>
  <c r="AE46" i="20"/>
  <c r="AD46" i="20"/>
  <c r="AC46" i="20"/>
  <c r="AB46" i="20"/>
  <c r="H11" i="21" s="1"/>
  <c r="AA46" i="20"/>
  <c r="L31" i="21" l="1"/>
  <c r="L84" i="21" s="1"/>
  <c r="CI60" i="10"/>
  <c r="CJ60" i="10" s="1"/>
  <c r="L48" i="21"/>
  <c r="E78" i="21"/>
  <c r="L25" i="21"/>
  <c r="L78" i="21" s="1"/>
  <c r="L51" i="21"/>
  <c r="L50" i="21"/>
  <c r="L103" i="21" s="1"/>
  <c r="L23" i="21"/>
  <c r="L76" i="21" s="1"/>
  <c r="CI53" i="10"/>
  <c r="R155" i="10"/>
  <c r="Q155" i="10" s="1"/>
  <c r="CQ155" i="10" s="1"/>
  <c r="CR155" i="10"/>
  <c r="CR154" i="10"/>
  <c r="CR53" i="10"/>
  <c r="CR51" i="10"/>
  <c r="CI51" i="10"/>
  <c r="CJ51" i="10" s="1"/>
  <c r="F78" i="21"/>
  <c r="G78" i="21" s="1"/>
  <c r="H78" i="21" s="1"/>
  <c r="I78" i="21" s="1"/>
  <c r="J78" i="21" s="1"/>
  <c r="K78" i="21" s="1"/>
  <c r="CI155" i="10"/>
  <c r="CJ155" i="10" s="1"/>
  <c r="I43" i="21"/>
  <c r="J43" i="21"/>
  <c r="E43" i="21"/>
  <c r="K43" i="21"/>
  <c r="F43" i="21"/>
  <c r="F41" i="21"/>
  <c r="K41" i="21"/>
  <c r="AS33" i="20"/>
  <c r="E47" i="21" s="1"/>
  <c r="AT33" i="20"/>
  <c r="F47" i="21" s="1"/>
  <c r="L104" i="21"/>
  <c r="AX33" i="20"/>
  <c r="J47" i="21" s="1"/>
  <c r="AY33" i="20"/>
  <c r="K47" i="21" s="1"/>
  <c r="I10" i="21"/>
  <c r="G10" i="21"/>
  <c r="J11" i="21"/>
  <c r="F12" i="21"/>
  <c r="L12" i="21" s="1"/>
  <c r="L65" i="21" s="1"/>
  <c r="K11" i="21"/>
  <c r="DC50" i="20"/>
  <c r="G39" i="21" s="1"/>
  <c r="L39" i="21" s="1"/>
  <c r="L92" i="21" s="1"/>
  <c r="G42" i="21"/>
  <c r="L42" i="21" s="1"/>
  <c r="L95" i="21" s="1"/>
  <c r="BS9" i="20"/>
  <c r="K6" i="21" s="1"/>
  <c r="BR9" i="20"/>
  <c r="J6" i="21" s="1"/>
  <c r="BQ9" i="20"/>
  <c r="I6" i="21" s="1"/>
  <c r="BP9" i="20"/>
  <c r="H6" i="21" s="1"/>
  <c r="BO9" i="20"/>
  <c r="G6" i="21" s="1"/>
  <c r="BN9" i="20"/>
  <c r="F6" i="21" s="1"/>
  <c r="BM9" i="20"/>
  <c r="E6" i="21" s="1"/>
  <c r="K5" i="21"/>
  <c r="J5" i="21"/>
  <c r="I5" i="21"/>
  <c r="H5" i="21"/>
  <c r="G5" i="21"/>
  <c r="F5" i="21"/>
  <c r="E5" i="21"/>
  <c r="K4" i="21"/>
  <c r="J4" i="21"/>
  <c r="I4" i="21"/>
  <c r="H4" i="21"/>
  <c r="F4" i="21"/>
  <c r="E4" i="21"/>
  <c r="C104" i="21"/>
  <c r="D104" i="21" s="1"/>
  <c r="C103" i="21"/>
  <c r="D103" i="21" s="1"/>
  <c r="C101" i="21"/>
  <c r="D101" i="21" s="1"/>
  <c r="E101" i="21" s="1"/>
  <c r="F101" i="21" s="1"/>
  <c r="G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C79" i="21"/>
  <c r="D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G52" i="21"/>
  <c r="K52" i="21"/>
  <c r="G38" i="21"/>
  <c r="L38" i="21" s="1"/>
  <c r="L91" i="21" s="1"/>
  <c r="Z154" i="20"/>
  <c r="F44" i="21" s="1"/>
  <c r="AA148" i="20"/>
  <c r="AA86" i="20"/>
  <c r="G32" i="21" s="1"/>
  <c r="E34" i="21"/>
  <c r="F34" i="21"/>
  <c r="AB74" i="20"/>
  <c r="H36" i="21" s="1"/>
  <c r="AB67" i="20"/>
  <c r="H40" i="21" s="1"/>
  <c r="AB62" i="20"/>
  <c r="H21" i="21" s="1"/>
  <c r="AA62" i="20"/>
  <c r="G21" i="21" s="1"/>
  <c r="F30" i="21"/>
  <c r="F13" i="21"/>
  <c r="L13" i="21" s="1"/>
  <c r="L66" i="21" s="1"/>
  <c r="F37" i="21"/>
  <c r="L37" i="21" s="1"/>
  <c r="L90" i="21" s="1"/>
  <c r="AU50" i="20"/>
  <c r="G15" i="21" s="1"/>
  <c r="AT50" i="20"/>
  <c r="F15" i="21" s="1"/>
  <c r="Z46" i="20"/>
  <c r="Y46" i="20"/>
  <c r="E11" i="21" s="1"/>
  <c r="G11" i="21"/>
  <c r="H101" i="21" l="1"/>
  <c r="I101" i="21" s="1"/>
  <c r="J101" i="21" s="1"/>
  <c r="K101" i="21" s="1"/>
  <c r="L10" i="21"/>
  <c r="L63" i="21" s="1"/>
  <c r="L6" i="21"/>
  <c r="L59" i="21" s="1"/>
  <c r="L41" i="21"/>
  <c r="L94" i="21" s="1"/>
  <c r="L15" i="21"/>
  <c r="L68" i="21" s="1"/>
  <c r="L5" i="21"/>
  <c r="L58" i="21" s="1"/>
  <c r="G43" i="21"/>
  <c r="F19" i="21"/>
  <c r="G19" i="21"/>
  <c r="F20" i="21"/>
  <c r="L20" i="21" s="1"/>
  <c r="L73" i="21" s="1"/>
  <c r="AW33" i="20"/>
  <c r="I47" i="21" s="1"/>
  <c r="AA33" i="20"/>
  <c r="G46" i="21" s="1"/>
  <c r="AB33" i="20"/>
  <c r="H46" i="21" s="1"/>
  <c r="AV33" i="20"/>
  <c r="H47" i="21" s="1"/>
  <c r="G63" i="21"/>
  <c r="H63" i="21" s="1"/>
  <c r="I63" i="21" s="1"/>
  <c r="J63" i="21" s="1"/>
  <c r="K63" i="21" s="1"/>
  <c r="E103" i="21"/>
  <c r="F103" i="21" s="1"/>
  <c r="G103" i="21" s="1"/>
  <c r="H103" i="21" s="1"/>
  <c r="I103" i="21" s="1"/>
  <c r="J103" i="21" s="1"/>
  <c r="K103" i="21" s="1"/>
  <c r="F18" i="21"/>
  <c r="L18" i="21" s="1"/>
  <c r="L71" i="21" s="1"/>
  <c r="F11" i="21"/>
  <c r="E71" i="21"/>
  <c r="CI50" i="20"/>
  <c r="G17" i="21" s="1"/>
  <c r="L17" i="21" s="1"/>
  <c r="L70" i="21" s="1"/>
  <c r="Z62" i="20"/>
  <c r="F21" i="21" s="1"/>
  <c r="L21" i="21" s="1"/>
  <c r="L74" i="21" s="1"/>
  <c r="G30" i="21"/>
  <c r="L30" i="21" s="1"/>
  <c r="L83" i="21" s="1"/>
  <c r="AA67" i="20"/>
  <c r="G40" i="21" s="1"/>
  <c r="L40" i="21" s="1"/>
  <c r="L93" i="21" s="1"/>
  <c r="AA74" i="20"/>
  <c r="G36" i="21" s="1"/>
  <c r="L36" i="21" s="1"/>
  <c r="L89" i="21" s="1"/>
  <c r="AB148" i="20"/>
  <c r="AT86" i="20"/>
  <c r="F33" i="21" s="1"/>
  <c r="L33" i="21" s="1"/>
  <c r="L86" i="21" s="1"/>
  <c r="Y154" i="20"/>
  <c r="E44" i="21" s="1"/>
  <c r="F52" i="21"/>
  <c r="L52" i="21" s="1"/>
  <c r="I11" i="21"/>
  <c r="H34" i="21"/>
  <c r="L34" i="21" s="1"/>
  <c r="L87" i="21" s="1"/>
  <c r="Z86" i="20"/>
  <c r="F32" i="21" s="1"/>
  <c r="AA50" i="20"/>
  <c r="G14" i="21" s="1"/>
  <c r="L14" i="21" s="1"/>
  <c r="L67" i="21" s="1"/>
  <c r="BO50" i="20"/>
  <c r="G16" i="21" s="1"/>
  <c r="L16" i="21" s="1"/>
  <c r="L69" i="21" s="1"/>
  <c r="G8" i="21"/>
  <c r="L8" i="21" s="1"/>
  <c r="L61" i="21" s="1"/>
  <c r="E68" i="21"/>
  <c r="F68" i="21" s="1"/>
  <c r="G68" i="21" s="1"/>
  <c r="H68" i="21" s="1"/>
  <c r="I68" i="21" s="1"/>
  <c r="J68" i="21" s="1"/>
  <c r="K68" i="21" s="1"/>
  <c r="E73" i="21"/>
  <c r="E96" i="21"/>
  <c r="F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E69" i="21"/>
  <c r="F69" i="21" s="1"/>
  <c r="F76" i="21"/>
  <c r="G76" i="21" s="1"/>
  <c r="H76" i="21" s="1"/>
  <c r="I76" i="21" s="1"/>
  <c r="J76" i="21" s="1"/>
  <c r="K76"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91" i="21"/>
  <c r="F91" i="21" s="1"/>
  <c r="G91" i="21" s="1"/>
  <c r="H91" i="21" s="1"/>
  <c r="I91" i="21" s="1"/>
  <c r="J91" i="21" s="1"/>
  <c r="K91" i="21" s="1"/>
  <c r="E100" i="21"/>
  <c r="F100" i="21" s="1"/>
  <c r="E104" i="21"/>
  <c r="F104" i="21" s="1"/>
  <c r="G104" i="21" s="1"/>
  <c r="H104" i="21" s="1"/>
  <c r="I104" i="21" s="1"/>
  <c r="J104" i="21" s="1"/>
  <c r="K104" i="21" s="1"/>
  <c r="G96" i="21" l="1"/>
  <c r="L11" i="21"/>
  <c r="L64" i="21" s="1"/>
  <c r="F105" i="21"/>
  <c r="G105" i="21" s="1"/>
  <c r="H105" i="21" s="1"/>
  <c r="I105" i="21" s="1"/>
  <c r="J105" i="21" s="1"/>
  <c r="K105" i="21" s="1"/>
  <c r="L105" i="21"/>
  <c r="L46" i="21"/>
  <c r="L99" i="21" s="1"/>
  <c r="L19" i="21"/>
  <c r="L72" i="21" s="1"/>
  <c r="F85" i="21"/>
  <c r="G85" i="21" s="1"/>
  <c r="H85" i="21" s="1"/>
  <c r="I85" i="21" s="1"/>
  <c r="J85" i="21" s="1"/>
  <c r="K85" i="21" s="1"/>
  <c r="L32" i="21"/>
  <c r="L85" i="21" s="1"/>
  <c r="E97" i="21"/>
  <c r="F97" i="21" s="1"/>
  <c r="G97" i="21" s="1"/>
  <c r="H97" i="21" s="1"/>
  <c r="I97" i="21" s="1"/>
  <c r="J97" i="21" s="1"/>
  <c r="K97" i="21" s="1"/>
  <c r="L44" i="21"/>
  <c r="L97" i="21" s="1"/>
  <c r="G67" i="21"/>
  <c r="H67" i="21" s="1"/>
  <c r="I67" i="21" s="1"/>
  <c r="J67" i="21" s="1"/>
  <c r="K67" i="21" s="1"/>
  <c r="H43" i="21"/>
  <c r="F86" i="21"/>
  <c r="G86" i="21" s="1"/>
  <c r="H86" i="21" s="1"/>
  <c r="I86" i="21" s="1"/>
  <c r="J86" i="21" s="1"/>
  <c r="K86" i="21" s="1"/>
  <c r="F73" i="21"/>
  <c r="G73" i="21" s="1"/>
  <c r="H73" i="21" s="1"/>
  <c r="I73" i="21" s="1"/>
  <c r="J73" i="21" s="1"/>
  <c r="K73"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F74" i="21"/>
  <c r="G74" i="21" s="1"/>
  <c r="H74" i="21" s="1"/>
  <c r="I74" i="21" s="1"/>
  <c r="J74" i="21" s="1"/>
  <c r="K74" i="21" s="1"/>
  <c r="G83" i="21"/>
  <c r="H83" i="21" s="1"/>
  <c r="I83" i="21" s="1"/>
  <c r="J83" i="21" s="1"/>
  <c r="K83"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H96" i="21" l="1"/>
  <c r="I96" i="21" s="1"/>
  <c r="J96" i="21" s="1"/>
  <c r="K96" i="21" s="1"/>
  <c r="L43" i="21"/>
  <c r="L96" i="21" s="1"/>
  <c r="G47" i="21"/>
  <c r="G100" i="21" l="1"/>
  <c r="H100" i="21" s="1"/>
  <c r="I100" i="21" s="1"/>
  <c r="J100" i="21" s="1"/>
  <c r="K100" i="21" s="1"/>
  <c r="L47" i="21"/>
  <c r="L100" i="21" s="1"/>
  <c r="C4" i="19"/>
  <c r="X32" i="2" l="1"/>
  <c r="AE30" i="28" s="1"/>
  <c r="AI30" i="28" s="1"/>
  <c r="U32" i="2"/>
  <c r="Z30" i="28" s="1"/>
  <c r="AD30" i="28" s="1"/>
  <c r="R32" i="2"/>
  <c r="U30" i="28" s="1"/>
  <c r="Y30" i="28" s="1"/>
  <c r="O32" i="2"/>
  <c r="AA32" i="2"/>
  <c r="AJ30" i="28" s="1"/>
  <c r="AN30" i="28" s="1"/>
  <c r="L12" i="9"/>
  <c r="L32" i="2" s="1"/>
  <c r="K30" i="28" s="1"/>
  <c r="O30" i="28" s="1"/>
  <c r="X31" i="2"/>
  <c r="AE29" i="28" s="1"/>
  <c r="AI29" i="28" s="1"/>
  <c r="U31" i="2"/>
  <c r="Z29" i="28" s="1"/>
  <c r="AD29" i="28" s="1"/>
  <c r="R31" i="2"/>
  <c r="U29" i="28" s="1"/>
  <c r="Y29" i="28" s="1"/>
  <c r="O31" i="2"/>
  <c r="P29" i="28" s="1"/>
  <c r="T29" i="28" s="1"/>
  <c r="AA31" i="2"/>
  <c r="AJ29" i="28" s="1"/>
  <c r="AN29" i="28" s="1"/>
  <c r="K15" i="6"/>
  <c r="L31" i="2" s="1"/>
  <c r="K29" i="28" s="1"/>
  <c r="O29" i="28" s="1"/>
  <c r="X30" i="2"/>
  <c r="U30" i="2"/>
  <c r="R30" i="2"/>
  <c r="U28" i="28" s="1"/>
  <c r="Y28" i="28" s="1"/>
  <c r="O30" i="2"/>
  <c r="P28" i="28" s="1"/>
  <c r="T28" i="28" s="1"/>
  <c r="AA30" i="2"/>
  <c r="AJ28" i="28" s="1"/>
  <c r="AN28" i="28" s="1"/>
  <c r="L13" i="8"/>
  <c r="L30" i="2" s="1"/>
  <c r="K28" i="28" s="1"/>
  <c r="O28" i="28" s="1"/>
  <c r="X29" i="2"/>
  <c r="U29" i="2"/>
  <c r="R29" i="2"/>
  <c r="U27" i="28" s="1"/>
  <c r="Y27" i="28" s="1"/>
  <c r="O29" i="2"/>
  <c r="P27" i="28" s="1"/>
  <c r="T27" i="28" s="1"/>
  <c r="AA29" i="2"/>
  <c r="AJ27" i="28" s="1"/>
  <c r="AN27" i="28" s="1"/>
  <c r="L11" i="9"/>
  <c r="L29" i="2" s="1"/>
  <c r="K27" i="28" s="1"/>
  <c r="O27" i="28" s="1"/>
  <c r="X28" i="2"/>
  <c r="AE26" i="28" s="1"/>
  <c r="AI26" i="28" s="1"/>
  <c r="U28" i="2"/>
  <c r="Z26" i="28" s="1"/>
  <c r="AD26" i="28" s="1"/>
  <c r="R28" i="2"/>
  <c r="U26" i="28" s="1"/>
  <c r="Y26" i="28" s="1"/>
  <c r="O28" i="2"/>
  <c r="P26" i="28" s="1"/>
  <c r="T26" i="28" s="1"/>
  <c r="AA28" i="2"/>
  <c r="AJ26" i="28" s="1"/>
  <c r="AN26" i="28" s="1"/>
  <c r="K14" i="6"/>
  <c r="X27" i="2"/>
  <c r="U27" i="2"/>
  <c r="R27" i="2"/>
  <c r="U25" i="28" s="1"/>
  <c r="Y25" i="28" s="1"/>
  <c r="O27" i="2"/>
  <c r="P25" i="28" s="1"/>
  <c r="T25" i="28" s="1"/>
  <c r="AA27" i="2"/>
  <c r="AJ25" i="28" s="1"/>
  <c r="AN25" i="28" s="1"/>
  <c r="L10" i="9"/>
  <c r="L27" i="2" s="1"/>
  <c r="K25" i="28" s="1"/>
  <c r="O25" i="28" s="1"/>
  <c r="X26" i="2"/>
  <c r="U26" i="2"/>
  <c r="R26" i="2"/>
  <c r="U24" i="28" s="1"/>
  <c r="Y24" i="28" s="1"/>
  <c r="O26" i="2"/>
  <c r="P24" i="28" s="1"/>
  <c r="T24" i="28" s="1"/>
  <c r="AA26" i="2"/>
  <c r="AJ24" i="28" s="1"/>
  <c r="AN24" i="28" s="1"/>
  <c r="L9" i="9"/>
  <c r="L26" i="2" s="1"/>
  <c r="K24" i="28" s="1"/>
  <c r="O24" i="28" s="1"/>
  <c r="AA25" i="2"/>
  <c r="AJ23" i="28" s="1"/>
  <c r="AN23" i="28" s="1"/>
  <c r="X25" i="2"/>
  <c r="U25" i="2"/>
  <c r="R25" i="2"/>
  <c r="U23" i="28" s="1"/>
  <c r="Y23" i="28" s="1"/>
  <c r="O25" i="2"/>
  <c r="P23" i="28" s="1"/>
  <c r="T23" i="28" s="1"/>
  <c r="K13" i="6"/>
  <c r="L25" i="2" s="1"/>
  <c r="K23" i="28" s="1"/>
  <c r="O23" i="28" s="1"/>
  <c r="X24" i="2"/>
  <c r="AE22" i="28" s="1"/>
  <c r="AI22" i="28" s="1"/>
  <c r="U24" i="2"/>
  <c r="Z22" i="28" s="1"/>
  <c r="AD22" i="28" s="1"/>
  <c r="R24" i="2"/>
  <c r="U22" i="28" s="1"/>
  <c r="Y22" i="28" s="1"/>
  <c r="O24" i="2"/>
  <c r="P22" i="28" s="1"/>
  <c r="T22" i="28" s="1"/>
  <c r="AA24" i="2"/>
  <c r="AJ22" i="28" s="1"/>
  <c r="AN22" i="28" s="1"/>
  <c r="K12" i="6"/>
  <c r="L24" i="2" s="1"/>
  <c r="K22" i="28" s="1"/>
  <c r="O22" i="28" s="1"/>
  <c r="X23" i="2"/>
  <c r="U23" i="2"/>
  <c r="R23" i="2"/>
  <c r="U21" i="28" s="1"/>
  <c r="Y21" i="28" s="1"/>
  <c r="O23" i="2"/>
  <c r="P21" i="28" s="1"/>
  <c r="T21" i="28" s="1"/>
  <c r="AA23" i="2"/>
  <c r="AJ21" i="28" s="1"/>
  <c r="AN21" i="28" s="1"/>
  <c r="L8" i="9"/>
  <c r="P7" i="9"/>
  <c r="O7" i="9"/>
  <c r="N7" i="9"/>
  <c r="M7" i="9"/>
  <c r="Q7" i="9"/>
  <c r="AA22" i="2"/>
  <c r="AJ20" i="28" s="1"/>
  <c r="AN20" i="28" s="1"/>
  <c r="X22" i="2"/>
  <c r="U22" i="2"/>
  <c r="R22" i="2"/>
  <c r="U20" i="28" s="1"/>
  <c r="Y20" i="28" s="1"/>
  <c r="O22" i="2"/>
  <c r="P20" i="28" s="1"/>
  <c r="T20" i="28" s="1"/>
  <c r="K11" i="6"/>
  <c r="L22" i="2" s="1"/>
  <c r="K20" i="28" s="1"/>
  <c r="O20" i="28" s="1"/>
  <c r="X21" i="2"/>
  <c r="AE19" i="28" s="1"/>
  <c r="AI19" i="28" s="1"/>
  <c r="U21" i="2"/>
  <c r="Z19" i="28" s="1"/>
  <c r="AD19" i="28" s="1"/>
  <c r="R21" i="2"/>
  <c r="U19" i="28" s="1"/>
  <c r="Y19" i="28" s="1"/>
  <c r="O21" i="2"/>
  <c r="P19" i="28" s="1"/>
  <c r="T19" i="28" s="1"/>
  <c r="AA21" i="2"/>
  <c r="AJ19" i="28" s="1"/>
  <c r="AN19" i="28" s="1"/>
  <c r="O7" i="6"/>
  <c r="N7" i="6"/>
  <c r="M7" i="6"/>
  <c r="L7" i="6"/>
  <c r="P7" i="6"/>
  <c r="K10" i="6"/>
  <c r="L21" i="2" s="1"/>
  <c r="K19" i="28" s="1"/>
  <c r="O19" i="28" s="1"/>
  <c r="AA20" i="2"/>
  <c r="AJ18" i="28" s="1"/>
  <c r="AN18" i="28" s="1"/>
  <c r="X20" i="2"/>
  <c r="U20" i="2"/>
  <c r="R20" i="2"/>
  <c r="U18" i="28" s="1"/>
  <c r="Y18" i="28" s="1"/>
  <c r="O20" i="2"/>
  <c r="P18" i="28" s="1"/>
  <c r="T18" i="28" s="1"/>
  <c r="L12" i="8"/>
  <c r="L20" i="2" s="1"/>
  <c r="K18" i="28" s="1"/>
  <c r="O18" i="28" s="1"/>
  <c r="AA19" i="2"/>
  <c r="AJ17" i="28" s="1"/>
  <c r="AN17" i="28" s="1"/>
  <c r="X19" i="2"/>
  <c r="U19" i="2"/>
  <c r="R19" i="2"/>
  <c r="U17" i="28" s="1"/>
  <c r="Y17" i="28" s="1"/>
  <c r="O19" i="2"/>
  <c r="P17" i="28" s="1"/>
  <c r="T17" i="28" s="1"/>
  <c r="L11" i="8"/>
  <c r="L19" i="2" s="1"/>
  <c r="K17" i="28" s="1"/>
  <c r="O17" i="28" s="1"/>
  <c r="X18" i="2"/>
  <c r="U18" i="2"/>
  <c r="R18" i="2"/>
  <c r="U16" i="28" s="1"/>
  <c r="Y16" i="28" s="1"/>
  <c r="O18" i="2"/>
  <c r="P16" i="28" s="1"/>
  <c r="T16" i="28" s="1"/>
  <c r="AA18" i="2"/>
  <c r="AJ16" i="28" s="1"/>
  <c r="AN16" i="28" s="1"/>
  <c r="L10" i="8"/>
  <c r="L18" i="2" s="1"/>
  <c r="K16" i="28" s="1"/>
  <c r="O16" i="28" s="1"/>
  <c r="X17" i="2"/>
  <c r="U17" i="2"/>
  <c r="R17" i="2"/>
  <c r="U15" i="28" s="1"/>
  <c r="Y15" i="28" s="1"/>
  <c r="O17" i="2"/>
  <c r="P15" i="28" s="1"/>
  <c r="T15" i="28" s="1"/>
  <c r="AA17" i="2"/>
  <c r="AJ15" i="28" s="1"/>
  <c r="AN15" i="28" s="1"/>
  <c r="K9" i="6"/>
  <c r="L17" i="2" s="1"/>
  <c r="K15" i="28" s="1"/>
  <c r="O15" i="28" s="1"/>
  <c r="X16" i="2"/>
  <c r="AE14" i="28" s="1"/>
  <c r="AI14" i="28" s="1"/>
  <c r="U16" i="2"/>
  <c r="Z14" i="28" s="1"/>
  <c r="AD14" i="28" s="1"/>
  <c r="R16" i="2"/>
  <c r="U14" i="28" s="1"/>
  <c r="Y14" i="28" s="1"/>
  <c r="O16" i="2"/>
  <c r="P14" i="28" s="1"/>
  <c r="T14" i="28" s="1"/>
  <c r="AA16" i="2"/>
  <c r="AJ14" i="28" s="1"/>
  <c r="AN14" i="28" s="1"/>
  <c r="K8" i="6"/>
  <c r="L16" i="2" s="1"/>
  <c r="K14" i="28" s="1"/>
  <c r="O14" i="28" s="1"/>
  <c r="X15" i="2"/>
  <c r="U15" i="2"/>
  <c r="R15" i="2"/>
  <c r="U13" i="28" s="1"/>
  <c r="Y13" i="28" s="1"/>
  <c r="O15" i="2"/>
  <c r="P13" i="28" s="1"/>
  <c r="T13" i="28" s="1"/>
  <c r="AA15" i="2"/>
  <c r="AJ13" i="28" s="1"/>
  <c r="AN13" i="28" s="1"/>
  <c r="L9" i="8"/>
  <c r="L15" i="2" s="1"/>
  <c r="K13" i="28" s="1"/>
  <c r="O13" i="28" s="1"/>
  <c r="X13" i="2"/>
  <c r="U13" i="2"/>
  <c r="R13" i="2"/>
  <c r="U11" i="28" s="1"/>
  <c r="Y11" i="28" s="1"/>
  <c r="O13" i="2"/>
  <c r="P11" i="28" s="1"/>
  <c r="T11" i="28" s="1"/>
  <c r="AA13" i="2"/>
  <c r="AJ11" i="28" s="1"/>
  <c r="AN11" i="28" s="1"/>
  <c r="L8" i="8"/>
  <c r="L13" i="2" s="1"/>
  <c r="K11" i="28" s="1"/>
  <c r="O11" i="28" s="1"/>
  <c r="X14" i="2"/>
  <c r="U14" i="2"/>
  <c r="R14" i="2"/>
  <c r="U12" i="28" s="1"/>
  <c r="Y12" i="28" s="1"/>
  <c r="O14" i="2"/>
  <c r="P12" i="28" s="1"/>
  <c r="T12" i="28" s="1"/>
  <c r="AA12" i="2"/>
  <c r="AJ10" i="28" s="1"/>
  <c r="AN10" i="28" s="1"/>
  <c r="X12" i="2"/>
  <c r="U12" i="2"/>
  <c r="R12" i="2"/>
  <c r="U10" i="28" s="1"/>
  <c r="Y10" i="28" s="1"/>
  <c r="O12" i="2"/>
  <c r="P10" i="28" s="1"/>
  <c r="T10" i="28" s="1"/>
  <c r="K11" i="7"/>
  <c r="L14" i="2" s="1"/>
  <c r="K12" i="28" s="1"/>
  <c r="O12" i="28" s="1"/>
  <c r="K10" i="7"/>
  <c r="L12" i="2" s="1"/>
  <c r="K10" i="28" s="1"/>
  <c r="O10" i="28" s="1"/>
  <c r="AA11" i="2"/>
  <c r="AJ9" i="28" s="1"/>
  <c r="AN9" i="28" s="1"/>
  <c r="X11" i="2"/>
  <c r="U11" i="2"/>
  <c r="R11" i="2"/>
  <c r="O11" i="2"/>
  <c r="P9" i="28" s="1"/>
  <c r="T9" i="28" s="1"/>
  <c r="K9" i="7"/>
  <c r="L11" i="2" s="1"/>
  <c r="K9" i="28" s="1"/>
  <c r="O9" i="28" s="1"/>
  <c r="X10" i="2"/>
  <c r="U10" i="2"/>
  <c r="R10" i="2"/>
  <c r="O10" i="2"/>
  <c r="P8" i="28" s="1"/>
  <c r="AA10" i="2"/>
  <c r="K8" i="7"/>
  <c r="L10" i="2" s="1"/>
  <c r="K8" i="28" l="1"/>
  <c r="AA9" i="2"/>
  <c r="AJ8" i="28"/>
  <c r="P9" i="24"/>
  <c r="Z9" i="23"/>
  <c r="P30" i="28"/>
  <c r="T30" i="28" s="1"/>
  <c r="R9" i="2"/>
  <c r="U8" i="28"/>
  <c r="N13" i="25"/>
  <c r="Z11" i="28"/>
  <c r="AD11" i="28" s="1"/>
  <c r="N10" i="25"/>
  <c r="Z8" i="28"/>
  <c r="M11" i="25"/>
  <c r="U9" i="28"/>
  <c r="N12" i="25"/>
  <c r="Z10" i="28"/>
  <c r="AD10" i="28" s="1"/>
  <c r="O13" i="25"/>
  <c r="AE11" i="28"/>
  <c r="AI11" i="28" s="1"/>
  <c r="O18" i="25"/>
  <c r="AE16" i="28"/>
  <c r="AI16" i="28" s="1"/>
  <c r="N19" i="25"/>
  <c r="Z17" i="28"/>
  <c r="AD17" i="28" s="1"/>
  <c r="O22" i="25"/>
  <c r="AE20" i="28"/>
  <c r="AI20" i="28" s="1"/>
  <c r="O23" i="25"/>
  <c r="AE21" i="28"/>
  <c r="AI21" i="28" s="1"/>
  <c r="O27" i="25"/>
  <c r="AE25" i="28"/>
  <c r="AI25" i="28" s="1"/>
  <c r="O29" i="25"/>
  <c r="AE27" i="28"/>
  <c r="AI27" i="28" s="1"/>
  <c r="N18" i="25"/>
  <c r="Z16" i="28"/>
  <c r="AD16" i="28" s="1"/>
  <c r="N27" i="25"/>
  <c r="Z25" i="28"/>
  <c r="AD25" i="28" s="1"/>
  <c r="N29" i="25"/>
  <c r="Z27" i="28"/>
  <c r="AD27" i="28" s="1"/>
  <c r="O10" i="25"/>
  <c r="AE8" i="28"/>
  <c r="O12" i="25"/>
  <c r="AE10" i="28"/>
  <c r="AI10" i="28" s="1"/>
  <c r="N14" i="25"/>
  <c r="Z12" i="28"/>
  <c r="AD12" i="28" s="1"/>
  <c r="N15" i="25"/>
  <c r="Z13" i="28"/>
  <c r="AD13" i="28" s="1"/>
  <c r="N17" i="25"/>
  <c r="Z15" i="28"/>
  <c r="AD15" i="28" s="1"/>
  <c r="O19" i="25"/>
  <c r="AE17" i="28"/>
  <c r="AI17" i="28" s="1"/>
  <c r="N26" i="25"/>
  <c r="Z24" i="28"/>
  <c r="AD24" i="28" s="1"/>
  <c r="N30" i="25"/>
  <c r="Z28" i="28"/>
  <c r="AD28" i="28" s="1"/>
  <c r="O20" i="25"/>
  <c r="AE18" i="28"/>
  <c r="AI18" i="28" s="1"/>
  <c r="N22" i="25"/>
  <c r="Z20" i="28"/>
  <c r="AD20" i="28" s="1"/>
  <c r="N23" i="25"/>
  <c r="Z21" i="28"/>
  <c r="AD21" i="28" s="1"/>
  <c r="O25" i="25"/>
  <c r="AE23" i="28"/>
  <c r="AI23" i="28" s="1"/>
  <c r="N11" i="25"/>
  <c r="Z9" i="28"/>
  <c r="AD9" i="28" s="1"/>
  <c r="T8" i="28"/>
  <c r="O11" i="25"/>
  <c r="AE9" i="28"/>
  <c r="AI9" i="28" s="1"/>
  <c r="O14" i="25"/>
  <c r="AE12" i="28"/>
  <c r="AI12" i="28" s="1"/>
  <c r="O15" i="25"/>
  <c r="AE13" i="28"/>
  <c r="AI13" i="28" s="1"/>
  <c r="O17" i="25"/>
  <c r="AE15" i="28"/>
  <c r="AI15" i="28" s="1"/>
  <c r="N20" i="25"/>
  <c r="Z18" i="28"/>
  <c r="AD18" i="28" s="1"/>
  <c r="N25" i="25"/>
  <c r="Z23" i="28"/>
  <c r="AD23" i="28" s="1"/>
  <c r="O26" i="25"/>
  <c r="AE24" i="28"/>
  <c r="AI24" i="28" s="1"/>
  <c r="O30" i="25"/>
  <c r="AE28" i="28"/>
  <c r="AI28" i="28" s="1"/>
  <c r="P10" i="25"/>
  <c r="S10" i="25" s="1"/>
  <c r="AE10" i="2"/>
  <c r="K14" i="25"/>
  <c r="N14" i="2"/>
  <c r="P13" i="25"/>
  <c r="S13" i="25" s="1"/>
  <c r="AE13" i="2"/>
  <c r="M15" i="25"/>
  <c r="T15" i="2"/>
  <c r="P18" i="25"/>
  <c r="S18" i="25" s="1"/>
  <c r="AE18" i="2"/>
  <c r="L20" i="25"/>
  <c r="Q20" i="2"/>
  <c r="P20" i="25"/>
  <c r="S20" i="25" s="1"/>
  <c r="AE20" i="2"/>
  <c r="K22" i="25"/>
  <c r="N22" i="2"/>
  <c r="P25" i="25"/>
  <c r="S25" i="25" s="1"/>
  <c r="AE25" i="2"/>
  <c r="K10" i="25"/>
  <c r="N10" i="2"/>
  <c r="K13" i="25"/>
  <c r="N13" i="2"/>
  <c r="K18" i="25"/>
  <c r="N18" i="2"/>
  <c r="M19" i="25"/>
  <c r="T19" i="2"/>
  <c r="K25" i="25"/>
  <c r="N25" i="2"/>
  <c r="K11" i="25"/>
  <c r="N11" i="2"/>
  <c r="K15" i="25"/>
  <c r="N15" i="2"/>
  <c r="L18" i="25"/>
  <c r="Q18" i="2"/>
  <c r="K19" i="25"/>
  <c r="N19" i="2"/>
  <c r="M20" i="25"/>
  <c r="T20" i="2"/>
  <c r="P22" i="25"/>
  <c r="S22" i="25" s="1"/>
  <c r="AE22" i="2"/>
  <c r="L15" i="25"/>
  <c r="Q15" i="2"/>
  <c r="K20" i="25"/>
  <c r="N20" i="2"/>
  <c r="P11" i="25"/>
  <c r="S11" i="25" s="1"/>
  <c r="AE11" i="2"/>
  <c r="P14" i="25"/>
  <c r="S14" i="25" s="1"/>
  <c r="AE14" i="2"/>
  <c r="P15" i="25"/>
  <c r="S15" i="25" s="1"/>
  <c r="AE15" i="2"/>
  <c r="M18" i="25"/>
  <c r="T18" i="2"/>
  <c r="L19" i="25"/>
  <c r="Q19" i="2"/>
  <c r="P19" i="25"/>
  <c r="S19" i="25" s="1"/>
  <c r="AE19" i="2"/>
  <c r="L14" i="25"/>
  <c r="Q14" i="2"/>
  <c r="M14" i="25"/>
  <c r="T14" i="2"/>
  <c r="L25" i="25"/>
  <c r="Q25" i="2"/>
  <c r="L22" i="25"/>
  <c r="Q22" i="2"/>
  <c r="M25" i="25"/>
  <c r="T25" i="2"/>
  <c r="L10" i="25"/>
  <c r="Q10" i="2"/>
  <c r="L13" i="25"/>
  <c r="Q13" i="2"/>
  <c r="M10" i="25"/>
  <c r="T10" i="2"/>
  <c r="L11" i="25"/>
  <c r="Q11" i="2"/>
  <c r="M13" i="25"/>
  <c r="T13" i="2"/>
  <c r="M22" i="25"/>
  <c r="T22" i="2"/>
  <c r="K12" i="25"/>
  <c r="N12" i="2"/>
  <c r="K27" i="25"/>
  <c r="N27" i="2"/>
  <c r="K29" i="25"/>
  <c r="N29" i="2"/>
  <c r="P29" i="25"/>
  <c r="S29" i="25" s="1"/>
  <c r="AE29" i="2"/>
  <c r="P23" i="25"/>
  <c r="S23" i="25" s="1"/>
  <c r="AE23" i="2"/>
  <c r="P27" i="25"/>
  <c r="S27" i="25" s="1"/>
  <c r="AE27" i="2"/>
  <c r="P12" i="25"/>
  <c r="S12" i="25" s="1"/>
  <c r="AE12" i="2"/>
  <c r="L12" i="25"/>
  <c r="Q12" i="2"/>
  <c r="M12" i="25"/>
  <c r="T12" i="2"/>
  <c r="L23" i="25"/>
  <c r="Q23" i="2"/>
  <c r="L27" i="25"/>
  <c r="Q27" i="2"/>
  <c r="L29" i="25"/>
  <c r="Q29" i="2"/>
  <c r="M23" i="25"/>
  <c r="T23" i="2"/>
  <c r="M27" i="25"/>
  <c r="T27" i="2"/>
  <c r="M29" i="25"/>
  <c r="T29" i="2"/>
  <c r="K17" i="25"/>
  <c r="N17" i="2"/>
  <c r="K26" i="25"/>
  <c r="N26" i="2"/>
  <c r="K30" i="25"/>
  <c r="N30" i="2"/>
  <c r="L26" i="25"/>
  <c r="Q26" i="2"/>
  <c r="L17" i="25"/>
  <c r="Q17" i="2"/>
  <c r="L30" i="25"/>
  <c r="Q30" i="2"/>
  <c r="M17" i="25"/>
  <c r="T17" i="2"/>
  <c r="M26" i="25"/>
  <c r="T26" i="2"/>
  <c r="M30" i="25"/>
  <c r="T30" i="2"/>
  <c r="P26" i="25"/>
  <c r="R26" i="25" s="1"/>
  <c r="AE26" i="2"/>
  <c r="P30" i="25"/>
  <c r="R30" i="25" s="1"/>
  <c r="AE30" i="2"/>
  <c r="P17" i="25"/>
  <c r="AE17" i="2"/>
  <c r="K9" i="23"/>
  <c r="K9" i="24"/>
  <c r="T9" i="23"/>
  <c r="N9" i="24"/>
  <c r="Q10" i="23"/>
  <c r="M10" i="24"/>
  <c r="K11" i="23"/>
  <c r="K11" i="24"/>
  <c r="T11" i="23"/>
  <c r="N11" i="24"/>
  <c r="K14" i="38"/>
  <c r="N13" i="23"/>
  <c r="L13" i="24"/>
  <c r="K12" i="23"/>
  <c r="K12" i="24"/>
  <c r="T12" i="23"/>
  <c r="N12" i="24"/>
  <c r="K15" i="38"/>
  <c r="N14" i="23"/>
  <c r="L14" i="24"/>
  <c r="K15" i="23"/>
  <c r="K15" i="24"/>
  <c r="T15" i="23"/>
  <c r="N15" i="24"/>
  <c r="K17" i="38"/>
  <c r="N16" i="23"/>
  <c r="L16" i="24"/>
  <c r="K17" i="23"/>
  <c r="K17" i="24"/>
  <c r="T17" i="23"/>
  <c r="N17" i="24"/>
  <c r="Q18" i="23"/>
  <c r="M18" i="24"/>
  <c r="K19" i="23"/>
  <c r="K19" i="24"/>
  <c r="N20" i="38"/>
  <c r="W19" i="23"/>
  <c r="O19" i="24"/>
  <c r="O21" i="38"/>
  <c r="Z20" i="23"/>
  <c r="P20" i="24"/>
  <c r="N21" i="38"/>
  <c r="W20" i="23"/>
  <c r="O20" i="24"/>
  <c r="T21" i="23"/>
  <c r="N21" i="24"/>
  <c r="T22" i="23"/>
  <c r="N22" i="24"/>
  <c r="K24" i="38"/>
  <c r="N23" i="23"/>
  <c r="L23" i="24"/>
  <c r="K24" i="23"/>
  <c r="K24" i="24"/>
  <c r="N25" i="38"/>
  <c r="W24" i="23"/>
  <c r="O24" i="24"/>
  <c r="K26" i="38"/>
  <c r="N25" i="23"/>
  <c r="L25" i="24"/>
  <c r="K26" i="23"/>
  <c r="K26" i="24"/>
  <c r="T26" i="23"/>
  <c r="N26" i="24"/>
  <c r="K28" i="38"/>
  <c r="N27" i="23"/>
  <c r="L27" i="24"/>
  <c r="K28" i="23"/>
  <c r="K28" i="24"/>
  <c r="T28" i="23"/>
  <c r="N28" i="24"/>
  <c r="K30" i="38"/>
  <c r="N29" i="23"/>
  <c r="L29" i="24"/>
  <c r="K30" i="23"/>
  <c r="K30" i="24"/>
  <c r="T30" i="23"/>
  <c r="N30" i="24"/>
  <c r="N31" i="23"/>
  <c r="L31" i="24"/>
  <c r="N10" i="38"/>
  <c r="W9" i="23"/>
  <c r="O9" i="24"/>
  <c r="T10" i="23"/>
  <c r="N10" i="24"/>
  <c r="K13" i="23"/>
  <c r="K13" i="24"/>
  <c r="N12" i="38"/>
  <c r="W11" i="23"/>
  <c r="O11" i="24"/>
  <c r="Q13" i="23"/>
  <c r="M13" i="24"/>
  <c r="Z12" i="23"/>
  <c r="P12" i="24"/>
  <c r="N13" i="38"/>
  <c r="W12" i="23"/>
  <c r="O12" i="24"/>
  <c r="Q14" i="23"/>
  <c r="M14" i="24"/>
  <c r="O16" i="38"/>
  <c r="Z15" i="23"/>
  <c r="P15" i="24"/>
  <c r="N16" i="38"/>
  <c r="W15" i="23"/>
  <c r="O15" i="24"/>
  <c r="Q16" i="23"/>
  <c r="M16" i="24"/>
  <c r="Z17" i="23"/>
  <c r="P17" i="24"/>
  <c r="N18" i="38"/>
  <c r="W17" i="23"/>
  <c r="O17" i="24"/>
  <c r="T18" i="23"/>
  <c r="N18" i="24"/>
  <c r="K20" i="38"/>
  <c r="N19" i="23"/>
  <c r="L19" i="24"/>
  <c r="Z19" i="23"/>
  <c r="P19" i="24"/>
  <c r="K21" i="38"/>
  <c r="N20" i="23"/>
  <c r="L20" i="24"/>
  <c r="K21" i="23"/>
  <c r="K21" i="24"/>
  <c r="N22" i="38"/>
  <c r="W21" i="23"/>
  <c r="O21" i="24"/>
  <c r="O23" i="38"/>
  <c r="Z22" i="23"/>
  <c r="P22" i="24"/>
  <c r="N23" i="38"/>
  <c r="W22" i="23"/>
  <c r="O22" i="24"/>
  <c r="Q23" i="23"/>
  <c r="M23" i="24"/>
  <c r="K25" i="38"/>
  <c r="N24" i="23"/>
  <c r="L24" i="24"/>
  <c r="O25" i="38"/>
  <c r="Z24" i="23"/>
  <c r="P24" i="24"/>
  <c r="Q25" i="23"/>
  <c r="M25" i="24"/>
  <c r="O27" i="38"/>
  <c r="Z26" i="23"/>
  <c r="P26" i="24"/>
  <c r="N27" i="38"/>
  <c r="W26" i="23"/>
  <c r="O26" i="24"/>
  <c r="Q27" i="23"/>
  <c r="M27" i="24"/>
  <c r="O29" i="38"/>
  <c r="Z28" i="23"/>
  <c r="P28" i="24"/>
  <c r="N29" i="38"/>
  <c r="W28" i="23"/>
  <c r="O28" i="24"/>
  <c r="Q29" i="23"/>
  <c r="M29" i="24"/>
  <c r="O31" i="38"/>
  <c r="Z30" i="23"/>
  <c r="P30" i="24"/>
  <c r="N31" i="38"/>
  <c r="W30" i="23"/>
  <c r="O30" i="24"/>
  <c r="Q31" i="23"/>
  <c r="M31" i="24"/>
  <c r="K10" i="38"/>
  <c r="N9" i="23"/>
  <c r="L9" i="24"/>
  <c r="K10" i="23"/>
  <c r="K10" i="24"/>
  <c r="N11" i="38"/>
  <c r="W10" i="23"/>
  <c r="O10" i="24"/>
  <c r="K12" i="38"/>
  <c r="N11" i="23"/>
  <c r="L11" i="24"/>
  <c r="Z11" i="23"/>
  <c r="P11" i="24"/>
  <c r="T13" i="23"/>
  <c r="N13" i="24"/>
  <c r="K13" i="38"/>
  <c r="N12" i="23"/>
  <c r="L12" i="24"/>
  <c r="K14" i="23"/>
  <c r="K14" i="24"/>
  <c r="T14" i="23"/>
  <c r="N14" i="24"/>
  <c r="K16" i="38"/>
  <c r="N15" i="23"/>
  <c r="L15" i="24"/>
  <c r="K16" i="23"/>
  <c r="K16" i="24"/>
  <c r="T16" i="23"/>
  <c r="N16" i="24"/>
  <c r="K18" i="38"/>
  <c r="N17" i="23"/>
  <c r="L17" i="24"/>
  <c r="K18" i="23"/>
  <c r="K18" i="24"/>
  <c r="N19" i="38"/>
  <c r="W18" i="23"/>
  <c r="O18" i="24"/>
  <c r="Q19" i="23"/>
  <c r="M19" i="24"/>
  <c r="K20" i="23"/>
  <c r="K20" i="24"/>
  <c r="Q20" i="23"/>
  <c r="M20" i="24"/>
  <c r="K22" i="38"/>
  <c r="N21" i="23"/>
  <c r="L21" i="24"/>
  <c r="O22" i="38"/>
  <c r="Z21" i="23"/>
  <c r="P21" i="24"/>
  <c r="K23" i="38"/>
  <c r="N22" i="23"/>
  <c r="L22" i="24"/>
  <c r="K23" i="23"/>
  <c r="K23" i="24"/>
  <c r="T23" i="23"/>
  <c r="N23" i="24"/>
  <c r="Q24" i="23"/>
  <c r="M24" i="24"/>
  <c r="K25" i="23"/>
  <c r="K25" i="24"/>
  <c r="T25" i="23"/>
  <c r="N25" i="24"/>
  <c r="K27" i="38"/>
  <c r="N26" i="23"/>
  <c r="L26" i="24"/>
  <c r="T27" i="23"/>
  <c r="N27" i="24"/>
  <c r="K29" i="38"/>
  <c r="N28" i="23"/>
  <c r="L28" i="24"/>
  <c r="K29" i="23"/>
  <c r="K29" i="24"/>
  <c r="T29" i="23"/>
  <c r="N29" i="24"/>
  <c r="K31" i="38"/>
  <c r="N30" i="23"/>
  <c r="L30" i="24"/>
  <c r="J32" i="38"/>
  <c r="K31" i="23"/>
  <c r="K31" i="24"/>
  <c r="T31" i="23"/>
  <c r="N31" i="24"/>
  <c r="Q9" i="23"/>
  <c r="M9" i="24"/>
  <c r="K11" i="38"/>
  <c r="N10" i="23"/>
  <c r="L10" i="24"/>
  <c r="Z10" i="23"/>
  <c r="P10" i="24"/>
  <c r="Q11" i="23"/>
  <c r="M11" i="24"/>
  <c r="Z13" i="23"/>
  <c r="P13" i="24"/>
  <c r="N14" i="38"/>
  <c r="W13" i="23"/>
  <c r="O13" i="24"/>
  <c r="Q12" i="23"/>
  <c r="M12" i="24"/>
  <c r="Z14" i="23"/>
  <c r="P14" i="24"/>
  <c r="N15" i="38"/>
  <c r="W14" i="23"/>
  <c r="O14" i="24"/>
  <c r="Q15" i="23"/>
  <c r="M15" i="24"/>
  <c r="O17" i="38"/>
  <c r="Z16" i="23"/>
  <c r="P16" i="24"/>
  <c r="N17" i="38"/>
  <c r="W16" i="23"/>
  <c r="O16" i="24"/>
  <c r="Q17" i="23"/>
  <c r="M17" i="24"/>
  <c r="K19" i="38"/>
  <c r="N18" i="23"/>
  <c r="L18" i="24"/>
  <c r="Z18" i="23"/>
  <c r="P18" i="24"/>
  <c r="T19" i="23"/>
  <c r="N19" i="24"/>
  <c r="T20" i="23"/>
  <c r="N20" i="24"/>
  <c r="Q21" i="23"/>
  <c r="M21" i="24"/>
  <c r="Q22" i="23"/>
  <c r="M22" i="24"/>
  <c r="O24" i="38"/>
  <c r="Z23" i="23"/>
  <c r="P23" i="24"/>
  <c r="N24" i="38"/>
  <c r="W23" i="23"/>
  <c r="O23" i="24"/>
  <c r="T24" i="23"/>
  <c r="N24" i="24"/>
  <c r="O26" i="38"/>
  <c r="Z25" i="23"/>
  <c r="P25" i="24"/>
  <c r="N26" i="38"/>
  <c r="W25" i="23"/>
  <c r="O25" i="24"/>
  <c r="Q26" i="23"/>
  <c r="M26" i="24"/>
  <c r="O28" i="38"/>
  <c r="Z27" i="23"/>
  <c r="P27" i="24"/>
  <c r="N28" i="38"/>
  <c r="W27" i="23"/>
  <c r="O27" i="24"/>
  <c r="Q28" i="23"/>
  <c r="M28" i="24"/>
  <c r="O30" i="38"/>
  <c r="Z29" i="23"/>
  <c r="P29" i="24"/>
  <c r="N30" i="38"/>
  <c r="W29" i="23"/>
  <c r="O29" i="24"/>
  <c r="Q30" i="23"/>
  <c r="M30" i="24"/>
  <c r="Z31" i="23"/>
  <c r="P31" i="24"/>
  <c r="W31" i="23"/>
  <c r="O31" i="24"/>
  <c r="AI9" i="10"/>
  <c r="AJ9" i="10" s="1"/>
  <c r="Q9" i="10" s="1"/>
  <c r="CQ9" i="10" s="1"/>
  <c r="J10" i="38"/>
  <c r="W9" i="27"/>
  <c r="Y9" i="27" s="1"/>
  <c r="M10" i="38"/>
  <c r="S10" i="27"/>
  <c r="L11" i="38"/>
  <c r="AI11" i="10"/>
  <c r="AJ11" i="10" s="1"/>
  <c r="Q11" i="10" s="1"/>
  <c r="CQ11" i="10" s="1"/>
  <c r="J12" i="38"/>
  <c r="W11" i="27"/>
  <c r="Y11" i="27" s="1"/>
  <c r="M12" i="38"/>
  <c r="AI12" i="10"/>
  <c r="AJ12" i="10" s="1"/>
  <c r="J13" i="38"/>
  <c r="W12" i="27"/>
  <c r="Y12" i="27" s="1"/>
  <c r="M13" i="38"/>
  <c r="AI15" i="10"/>
  <c r="AJ15" i="10" s="1"/>
  <c r="J16" i="38"/>
  <c r="W15" i="27"/>
  <c r="Y15" i="27" s="1"/>
  <c r="M16" i="38"/>
  <c r="AI17" i="10"/>
  <c r="AJ17" i="10" s="1"/>
  <c r="J18" i="38"/>
  <c r="W17" i="27"/>
  <c r="Y17" i="27" s="1"/>
  <c r="M18" i="38"/>
  <c r="S18" i="27"/>
  <c r="L19" i="38"/>
  <c r="AI19" i="10"/>
  <c r="AJ19" i="10" s="1"/>
  <c r="J20" i="38"/>
  <c r="W21" i="27"/>
  <c r="Y21" i="27" s="1"/>
  <c r="M22" i="38"/>
  <c r="W22" i="27"/>
  <c r="Y22" i="27" s="1"/>
  <c r="M23" i="38"/>
  <c r="AI24" i="10"/>
  <c r="AJ24" i="10" s="1"/>
  <c r="Q24" i="10" s="1"/>
  <c r="CQ24" i="10" s="1"/>
  <c r="J25" i="38"/>
  <c r="AI26" i="10"/>
  <c r="AJ26" i="10" s="1"/>
  <c r="Q26" i="10" s="1"/>
  <c r="J27" i="38"/>
  <c r="W26" i="27"/>
  <c r="Y26" i="27" s="1"/>
  <c r="M27" i="38"/>
  <c r="AI28" i="10"/>
  <c r="AJ28" i="10" s="1"/>
  <c r="Q28" i="10" s="1"/>
  <c r="J29" i="38"/>
  <c r="W28" i="27"/>
  <c r="Y28" i="27" s="1"/>
  <c r="M29" i="38"/>
  <c r="AI30" i="10"/>
  <c r="AJ30" i="10" s="1"/>
  <c r="Q30" i="10" s="1"/>
  <c r="CQ30" i="10" s="1"/>
  <c r="J31" i="38"/>
  <c r="W30" i="27"/>
  <c r="Y30" i="27" s="1"/>
  <c r="M31" i="38"/>
  <c r="O31" i="27"/>
  <c r="Q31" i="27" s="1"/>
  <c r="K32" i="38"/>
  <c r="W10" i="27"/>
  <c r="Y10" i="27" s="1"/>
  <c r="M11" i="38"/>
  <c r="AI13" i="10"/>
  <c r="AJ13" i="10" s="1"/>
  <c r="Q13" i="10" s="1"/>
  <c r="CQ13" i="10" s="1"/>
  <c r="J14" i="38"/>
  <c r="S13" i="27"/>
  <c r="L14" i="38"/>
  <c r="AS12" i="10"/>
  <c r="O13" i="38"/>
  <c r="AN13" i="2"/>
  <c r="S14" i="27"/>
  <c r="V14" i="27" s="1"/>
  <c r="L15" i="38"/>
  <c r="S16" i="27"/>
  <c r="L17" i="38"/>
  <c r="AS17" i="10"/>
  <c r="O18" i="38"/>
  <c r="AN18" i="2"/>
  <c r="W18" i="27"/>
  <c r="Y18" i="27" s="1"/>
  <c r="M19" i="38"/>
  <c r="AS19" i="10"/>
  <c r="O20" i="38"/>
  <c r="AN20" i="2"/>
  <c r="AI21" i="10"/>
  <c r="AJ21" i="10" s="1"/>
  <c r="J22" i="38"/>
  <c r="S23" i="27"/>
  <c r="U23" i="27" s="1"/>
  <c r="L24" i="38"/>
  <c r="S25" i="27"/>
  <c r="L26" i="38"/>
  <c r="S27" i="27"/>
  <c r="U27" i="27" s="1"/>
  <c r="L28" i="38"/>
  <c r="S29" i="27"/>
  <c r="L30" i="38"/>
  <c r="S31" i="27"/>
  <c r="U31" i="27" s="1"/>
  <c r="L32" i="38"/>
  <c r="AS9" i="10"/>
  <c r="AT9" i="10" s="1"/>
  <c r="V9" i="10" s="1"/>
  <c r="CR9" i="10" s="1"/>
  <c r="O10" i="38"/>
  <c r="AN10" i="2"/>
  <c r="AI10" i="10"/>
  <c r="AJ10" i="10" s="1"/>
  <c r="Q10" i="10" s="1"/>
  <c r="CQ10" i="10" s="1"/>
  <c r="J11" i="38"/>
  <c r="AS11" i="10"/>
  <c r="AT11" i="10" s="1"/>
  <c r="V11" i="10" s="1"/>
  <c r="CR11" i="10" s="1"/>
  <c r="O12" i="38"/>
  <c r="AN12" i="2"/>
  <c r="W13" i="27"/>
  <c r="Y13" i="27" s="1"/>
  <c r="M14" i="38"/>
  <c r="AI14" i="10"/>
  <c r="AJ14" i="10" s="1"/>
  <c r="J15" i="38"/>
  <c r="W14" i="27"/>
  <c r="Y14" i="27" s="1"/>
  <c r="M15" i="38"/>
  <c r="AI16" i="10"/>
  <c r="AJ16" i="10" s="1"/>
  <c r="Q16" i="10" s="1"/>
  <c r="CQ16" i="10" s="1"/>
  <c r="J17" i="38"/>
  <c r="W16" i="27"/>
  <c r="Y16" i="27" s="1"/>
  <c r="M17" i="38"/>
  <c r="AI18" i="10"/>
  <c r="AJ18" i="10" s="1"/>
  <c r="J19" i="38"/>
  <c r="S19" i="27"/>
  <c r="L20" i="38"/>
  <c r="AI20" i="10"/>
  <c r="AJ20" i="10" s="1"/>
  <c r="Q20" i="10" s="1"/>
  <c r="CQ20" i="10" s="1"/>
  <c r="J21" i="38"/>
  <c r="S20" i="27"/>
  <c r="U20" i="27" s="1"/>
  <c r="L21" i="38"/>
  <c r="AI23" i="10"/>
  <c r="AJ23" i="10" s="1"/>
  <c r="Q23" i="10" s="1"/>
  <c r="CQ23" i="10" s="1"/>
  <c r="J24" i="38"/>
  <c r="W23" i="27"/>
  <c r="Y23" i="27" s="1"/>
  <c r="M24" i="38"/>
  <c r="S24" i="27"/>
  <c r="L25" i="38"/>
  <c r="AI25" i="10"/>
  <c r="AJ25" i="10" s="1"/>
  <c r="Q25" i="10" s="1"/>
  <c r="J26" i="38"/>
  <c r="W25" i="27"/>
  <c r="Y25" i="27" s="1"/>
  <c r="M26" i="38"/>
  <c r="W27" i="27"/>
  <c r="Y27" i="27" s="1"/>
  <c r="M28" i="38"/>
  <c r="AI29" i="10"/>
  <c r="AJ29" i="10" s="1"/>
  <c r="Q29" i="10" s="1"/>
  <c r="CQ29" i="10" s="1"/>
  <c r="J30" i="38"/>
  <c r="W29" i="27"/>
  <c r="Y29" i="27" s="1"/>
  <c r="M30" i="38"/>
  <c r="W31" i="27"/>
  <c r="Y31" i="27" s="1"/>
  <c r="M32" i="38"/>
  <c r="S9" i="27"/>
  <c r="L10" i="38"/>
  <c r="AS10" i="10"/>
  <c r="AT10" i="10" s="1"/>
  <c r="V10" i="10" s="1"/>
  <c r="CR10" i="10" s="1"/>
  <c r="O11" i="38"/>
  <c r="AN11" i="2"/>
  <c r="S11" i="27"/>
  <c r="L12" i="38"/>
  <c r="AS13" i="10"/>
  <c r="AT13" i="10" s="1"/>
  <c r="V13" i="10" s="1"/>
  <c r="CR13" i="10" s="1"/>
  <c r="O14" i="38"/>
  <c r="AN14" i="2"/>
  <c r="S12" i="27"/>
  <c r="L13" i="38"/>
  <c r="AS14" i="10"/>
  <c r="O15" i="38"/>
  <c r="AN15" i="2"/>
  <c r="S15" i="27"/>
  <c r="U15" i="27" s="1"/>
  <c r="L16" i="38"/>
  <c r="S17" i="27"/>
  <c r="L18" i="38"/>
  <c r="AS18" i="10"/>
  <c r="O19" i="38"/>
  <c r="AN19" i="2"/>
  <c r="W19" i="27"/>
  <c r="Y19" i="27" s="1"/>
  <c r="M20" i="38"/>
  <c r="W20" i="27"/>
  <c r="Y20" i="27" s="1"/>
  <c r="M21" i="38"/>
  <c r="S21" i="27"/>
  <c r="L22" i="38"/>
  <c r="S22" i="27"/>
  <c r="L23" i="38"/>
  <c r="W24" i="27"/>
  <c r="Y24" i="27" s="1"/>
  <c r="M25" i="38"/>
  <c r="S26" i="27"/>
  <c r="L27" i="38"/>
  <c r="S28" i="27"/>
  <c r="L29" i="38"/>
  <c r="S30" i="27"/>
  <c r="U30" i="27" s="1"/>
  <c r="L31" i="38"/>
  <c r="O32" i="38"/>
  <c r="AN32" i="2"/>
  <c r="AA31" i="27"/>
  <c r="N32" i="38"/>
  <c r="AS16" i="10"/>
  <c r="AT16" i="10" s="1"/>
  <c r="V16" i="10" s="1"/>
  <c r="CR16" i="10" s="1"/>
  <c r="AN17" i="2"/>
  <c r="AS20" i="10"/>
  <c r="AT20" i="10" s="1"/>
  <c r="V20" i="10" s="1"/>
  <c r="CR20" i="10" s="1"/>
  <c r="AN21" i="2"/>
  <c r="AS22" i="10"/>
  <c r="AT22" i="10" s="1"/>
  <c r="V22" i="10" s="1"/>
  <c r="AN23" i="2"/>
  <c r="AS24" i="10"/>
  <c r="AT24" i="10" s="1"/>
  <c r="V24" i="10" s="1"/>
  <c r="CR24" i="10" s="1"/>
  <c r="AN25" i="2"/>
  <c r="AS26" i="10"/>
  <c r="AT26" i="10" s="1"/>
  <c r="V26" i="10" s="1"/>
  <c r="AN27" i="2"/>
  <c r="AS28" i="10"/>
  <c r="AT28" i="10" s="1"/>
  <c r="V28" i="10" s="1"/>
  <c r="AN29" i="2"/>
  <c r="AS30" i="10"/>
  <c r="AT30" i="10" s="1"/>
  <c r="V30" i="10" s="1"/>
  <c r="CR30" i="10" s="1"/>
  <c r="AN31" i="2"/>
  <c r="AS15" i="10"/>
  <c r="AN16" i="2"/>
  <c r="AS21" i="10"/>
  <c r="AN22" i="2"/>
  <c r="AS23" i="10"/>
  <c r="AT23" i="10" s="1"/>
  <c r="V23" i="10" s="1"/>
  <c r="CR23" i="10" s="1"/>
  <c r="AN24" i="2"/>
  <c r="AS25" i="10"/>
  <c r="AT25" i="10" s="1"/>
  <c r="V25" i="10" s="1"/>
  <c r="AN26" i="2"/>
  <c r="AS27" i="10"/>
  <c r="AT27" i="10" s="1"/>
  <c r="V27" i="10" s="1"/>
  <c r="CR27" i="10" s="1"/>
  <c r="AN28" i="2"/>
  <c r="AS29" i="10"/>
  <c r="AT29" i="10" s="1"/>
  <c r="V29" i="10" s="1"/>
  <c r="CR29" i="10" s="1"/>
  <c r="AN30" i="2"/>
  <c r="AQ14" i="10"/>
  <c r="AR14" i="10" s="1"/>
  <c r="AA14" i="27"/>
  <c r="AQ19" i="10"/>
  <c r="AR19" i="10" s="1"/>
  <c r="AA19" i="27"/>
  <c r="AQ20" i="10"/>
  <c r="AR20" i="10" s="1"/>
  <c r="U20" i="10" s="1"/>
  <c r="AA20" i="27"/>
  <c r="AQ24" i="10"/>
  <c r="AR24" i="10" s="1"/>
  <c r="U24" i="10" s="1"/>
  <c r="AA24" i="27"/>
  <c r="AQ9" i="10"/>
  <c r="AR9" i="10" s="1"/>
  <c r="U9" i="10" s="1"/>
  <c r="AA9" i="27"/>
  <c r="AQ17" i="10"/>
  <c r="AR17" i="10" s="1"/>
  <c r="AA17" i="27"/>
  <c r="AQ21" i="10"/>
  <c r="AR21" i="10" s="1"/>
  <c r="AA21" i="27"/>
  <c r="AQ22" i="10"/>
  <c r="AR22" i="10" s="1"/>
  <c r="U22" i="10" s="1"/>
  <c r="AA22" i="27"/>
  <c r="AQ26" i="10"/>
  <c r="AR26" i="10" s="1"/>
  <c r="U26" i="10" s="1"/>
  <c r="AA26" i="27"/>
  <c r="AQ28" i="10"/>
  <c r="AR28" i="10" s="1"/>
  <c r="U28" i="10" s="1"/>
  <c r="AA28" i="27"/>
  <c r="AQ30" i="10"/>
  <c r="AR30" i="10" s="1"/>
  <c r="U30" i="10" s="1"/>
  <c r="AA30" i="27"/>
  <c r="AQ11" i="10"/>
  <c r="AR11" i="10" s="1"/>
  <c r="U11" i="10" s="1"/>
  <c r="AA11" i="27"/>
  <c r="AQ12" i="10"/>
  <c r="AR12" i="10" s="1"/>
  <c r="U12" i="10" s="1"/>
  <c r="AA12" i="27"/>
  <c r="AQ15" i="10"/>
  <c r="AR15" i="10" s="1"/>
  <c r="AA15" i="27"/>
  <c r="AQ10" i="10"/>
  <c r="AR10" i="10" s="1"/>
  <c r="U10" i="10" s="1"/>
  <c r="AA10" i="27"/>
  <c r="AQ18" i="10"/>
  <c r="AR18" i="10" s="1"/>
  <c r="AA18" i="27"/>
  <c r="AQ13" i="10"/>
  <c r="AR13" i="10" s="1"/>
  <c r="U13" i="10" s="1"/>
  <c r="AA13" i="27"/>
  <c r="AQ16" i="10"/>
  <c r="AR16" i="10" s="1"/>
  <c r="U16" i="10" s="1"/>
  <c r="AA16" i="27"/>
  <c r="AQ23" i="10"/>
  <c r="AR23" i="10" s="1"/>
  <c r="U23" i="10" s="1"/>
  <c r="AA23" i="27"/>
  <c r="AQ25" i="10"/>
  <c r="AR25" i="10" s="1"/>
  <c r="U25" i="10" s="1"/>
  <c r="AA25" i="27"/>
  <c r="AQ27" i="10"/>
  <c r="AR27" i="10" s="1"/>
  <c r="U27" i="10" s="1"/>
  <c r="AA27" i="27"/>
  <c r="AQ29" i="10"/>
  <c r="AR29" i="10" s="1"/>
  <c r="U29" i="10" s="1"/>
  <c r="AA29" i="27"/>
  <c r="AM11" i="10"/>
  <c r="AN11" i="10" s="1"/>
  <c r="S11" i="10" s="1"/>
  <c r="AO9" i="10"/>
  <c r="AP9" i="10" s="1"/>
  <c r="T9" i="10" s="1"/>
  <c r="AM10" i="10"/>
  <c r="AN10" i="10" s="1"/>
  <c r="S10" i="10" s="1"/>
  <c r="AO11" i="10"/>
  <c r="AP11" i="10" s="1"/>
  <c r="T11" i="10" s="1"/>
  <c r="AK13" i="10"/>
  <c r="AL13" i="10" s="1"/>
  <c r="R13" i="10" s="1"/>
  <c r="O13" i="27"/>
  <c r="AO12" i="10"/>
  <c r="AP12" i="10" s="1"/>
  <c r="T12" i="10" s="1"/>
  <c r="AK14" i="10"/>
  <c r="O14" i="27"/>
  <c r="AO15" i="10"/>
  <c r="AP15" i="10" s="1"/>
  <c r="AK16" i="10"/>
  <c r="AL16" i="10" s="1"/>
  <c r="R16" i="10" s="1"/>
  <c r="O16" i="27"/>
  <c r="AO17" i="10"/>
  <c r="AP17" i="10" s="1"/>
  <c r="AM18" i="10"/>
  <c r="AO21" i="10"/>
  <c r="AP21" i="10" s="1"/>
  <c r="AO22" i="10"/>
  <c r="AP22" i="10" s="1"/>
  <c r="T22" i="10" s="1"/>
  <c r="AK23" i="10"/>
  <c r="AL23" i="10" s="1"/>
  <c r="R23" i="10" s="1"/>
  <c r="O23" i="27"/>
  <c r="Q23" i="27" s="1"/>
  <c r="AK25" i="10"/>
  <c r="AL25" i="10" s="1"/>
  <c r="R25" i="10" s="1"/>
  <c r="O25" i="27"/>
  <c r="AO26" i="10"/>
  <c r="AP26" i="10" s="1"/>
  <c r="T26" i="10" s="1"/>
  <c r="AK27" i="10"/>
  <c r="AL27" i="10" s="1"/>
  <c r="R27" i="10" s="1"/>
  <c r="O27" i="27"/>
  <c r="Q27" i="27" s="1"/>
  <c r="AO28" i="10"/>
  <c r="AP28" i="10" s="1"/>
  <c r="T28" i="10" s="1"/>
  <c r="AK29" i="10"/>
  <c r="AL29" i="10" s="1"/>
  <c r="R29" i="10" s="1"/>
  <c r="O29" i="27"/>
  <c r="AO30" i="10"/>
  <c r="AP30" i="10" s="1"/>
  <c r="T30" i="10" s="1"/>
  <c r="AO18" i="10"/>
  <c r="AP18" i="10" s="1"/>
  <c r="AK19" i="10"/>
  <c r="O19" i="27"/>
  <c r="AK20" i="10"/>
  <c r="AL20" i="10" s="1"/>
  <c r="R20" i="10" s="1"/>
  <c r="O20" i="27"/>
  <c r="Q20" i="27" s="1"/>
  <c r="AM23" i="10"/>
  <c r="AN23" i="10" s="1"/>
  <c r="S23" i="10" s="1"/>
  <c r="AK24" i="10"/>
  <c r="AL24" i="10" s="1"/>
  <c r="R24" i="10" s="1"/>
  <c r="O24" i="27"/>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O9" i="27"/>
  <c r="AK11" i="10"/>
  <c r="AL11" i="10" s="1"/>
  <c r="R11" i="10" s="1"/>
  <c r="O11" i="27"/>
  <c r="AO13" i="10"/>
  <c r="AP13" i="10" s="1"/>
  <c r="T13" i="10" s="1"/>
  <c r="AK12" i="10"/>
  <c r="O12" i="27"/>
  <c r="AO14" i="10"/>
  <c r="AP14" i="10" s="1"/>
  <c r="AK15" i="10"/>
  <c r="O15" i="27"/>
  <c r="Q15" i="27" s="1"/>
  <c r="AO16" i="10"/>
  <c r="AP16" i="10" s="1"/>
  <c r="T16" i="10" s="1"/>
  <c r="AK17" i="10"/>
  <c r="O17" i="27"/>
  <c r="AM19" i="10"/>
  <c r="AM20" i="10"/>
  <c r="AN20" i="10" s="1"/>
  <c r="S20" i="10" s="1"/>
  <c r="AK21" i="10"/>
  <c r="O21" i="27"/>
  <c r="AK22" i="10"/>
  <c r="AL22" i="10" s="1"/>
  <c r="R22" i="10" s="1"/>
  <c r="O22" i="27"/>
  <c r="AO23" i="10"/>
  <c r="AP23" i="10" s="1"/>
  <c r="T23" i="10" s="1"/>
  <c r="AM24" i="10"/>
  <c r="AN24" i="10" s="1"/>
  <c r="S24" i="10" s="1"/>
  <c r="AO25" i="10"/>
  <c r="AP25" i="10" s="1"/>
  <c r="T25" i="10" s="1"/>
  <c r="AK26" i="10"/>
  <c r="AL26" i="10" s="1"/>
  <c r="R26" i="10" s="1"/>
  <c r="O26" i="27"/>
  <c r="AO27" i="10"/>
  <c r="AP27" i="10" s="1"/>
  <c r="T27" i="10" s="1"/>
  <c r="AK28" i="10"/>
  <c r="AL28" i="10" s="1"/>
  <c r="R28" i="10" s="1"/>
  <c r="O28" i="27"/>
  <c r="AO29" i="10"/>
  <c r="AP29" i="10" s="1"/>
  <c r="T29" i="10" s="1"/>
  <c r="AK30" i="10"/>
  <c r="AL30" i="10" s="1"/>
  <c r="R30" i="10" s="1"/>
  <c r="O30" i="27"/>
  <c r="Q30" i="27" s="1"/>
  <c r="AM9" i="10"/>
  <c r="AN9" i="10" s="1"/>
  <c r="S9" i="10" s="1"/>
  <c r="AK10" i="10"/>
  <c r="AL10" i="10" s="1"/>
  <c r="R10" i="10" s="1"/>
  <c r="O10" i="27"/>
  <c r="AM12" i="10"/>
  <c r="AM15" i="10"/>
  <c r="AM17" i="10"/>
  <c r="AK18" i="10"/>
  <c r="O18" i="27"/>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Z7" i="9"/>
  <c r="K9" i="27"/>
  <c r="K11" i="27"/>
  <c r="K17" i="27"/>
  <c r="K19" i="27"/>
  <c r="K24" i="27"/>
  <c r="K26" i="27"/>
  <c r="K28" i="27"/>
  <c r="K30" i="27"/>
  <c r="M30" i="27" s="1"/>
  <c r="AE9" i="27"/>
  <c r="AM10" i="2"/>
  <c r="K13" i="27"/>
  <c r="AE12" i="27"/>
  <c r="AM13" i="2"/>
  <c r="AM16" i="2"/>
  <c r="AE15" i="27"/>
  <c r="AG15" i="27" s="1"/>
  <c r="AE17" i="27"/>
  <c r="AM18" i="2"/>
  <c r="AE19" i="27"/>
  <c r="AM20" i="2"/>
  <c r="K21" i="27"/>
  <c r="AE22" i="27"/>
  <c r="AM23" i="2"/>
  <c r="AM25" i="2"/>
  <c r="AE24" i="27"/>
  <c r="AE26" i="27"/>
  <c r="AM27" i="2"/>
  <c r="AE28" i="27"/>
  <c r="AM29" i="2"/>
  <c r="AM31" i="2"/>
  <c r="AE30" i="27"/>
  <c r="AG30" i="27" s="1"/>
  <c r="K12" i="27"/>
  <c r="K15" i="27"/>
  <c r="M15" i="27" s="1"/>
  <c r="K10" i="27"/>
  <c r="AE11" i="27"/>
  <c r="AM12" i="2"/>
  <c r="K14" i="27"/>
  <c r="K16" i="27"/>
  <c r="K18" i="27"/>
  <c r="K20" i="27"/>
  <c r="M20" i="27" s="1"/>
  <c r="AM22" i="2"/>
  <c r="AE21" i="27"/>
  <c r="K23" i="27"/>
  <c r="M23" i="27" s="1"/>
  <c r="K25" i="27"/>
  <c r="K29" i="27"/>
  <c r="K31" i="27"/>
  <c r="M31" i="27" s="1"/>
  <c r="AM21" i="2"/>
  <c r="AE20" i="27"/>
  <c r="AG20" i="27" s="1"/>
  <c r="AE10" i="27"/>
  <c r="AM11" i="2"/>
  <c r="AE13" i="27"/>
  <c r="AM14" i="2"/>
  <c r="AE14" i="27"/>
  <c r="AM15" i="2"/>
  <c r="AM17" i="2"/>
  <c r="AE16" i="27"/>
  <c r="AE18" i="27"/>
  <c r="AM19" i="2"/>
  <c r="AM24" i="2"/>
  <c r="AE23" i="27"/>
  <c r="AG23" i="27" s="1"/>
  <c r="AE25" i="27"/>
  <c r="AM26" i="2"/>
  <c r="AM28" i="2"/>
  <c r="AE27" i="27"/>
  <c r="AG27" i="27" s="1"/>
  <c r="AE29" i="27"/>
  <c r="AM30" i="2"/>
  <c r="AE31" i="27"/>
  <c r="AG31" i="27" s="1"/>
  <c r="AM32" i="2"/>
  <c r="V10" i="11"/>
  <c r="V25" i="11"/>
  <c r="V12" i="11"/>
  <c r="V20" i="11"/>
  <c r="W25" i="11"/>
  <c r="W29" i="11"/>
  <c r="V8" i="11"/>
  <c r="V14" i="11"/>
  <c r="V23" i="11"/>
  <c r="V27" i="11"/>
  <c r="V13" i="11"/>
  <c r="V15" i="11"/>
  <c r="V22" i="11"/>
  <c r="V24" i="11"/>
  <c r="V28" i="11"/>
  <c r="V30" i="11"/>
  <c r="V11" i="11"/>
  <c r="V16" i="11"/>
  <c r="V18" i="11"/>
  <c r="E24" i="12" s="1"/>
  <c r="V29" i="11"/>
  <c r="W26" i="11"/>
  <c r="W28" i="11"/>
  <c r="L7" i="9"/>
  <c r="K7" i="6"/>
  <c r="L28" i="2"/>
  <c r="K26" i="28" s="1"/>
  <c r="O26" i="28" s="1"/>
  <c r="V19" i="11"/>
  <c r="W21" i="11"/>
  <c r="W30" i="11"/>
  <c r="V9" i="11"/>
  <c r="W13" i="11"/>
  <c r="V17" i="11"/>
  <c r="W18" i="11"/>
  <c r="F24" i="12" s="1"/>
  <c r="W24" i="11"/>
  <c r="W8" i="11"/>
  <c r="W9" i="11"/>
  <c r="W10" i="11"/>
  <c r="W11" i="11"/>
  <c r="W16" i="11"/>
  <c r="W17" i="11"/>
  <c r="W12" i="11"/>
  <c r="W15" i="11"/>
  <c r="W22" i="11"/>
  <c r="W23" i="11"/>
  <c r="W27" i="11"/>
  <c r="W14" i="11"/>
  <c r="W19" i="11"/>
  <c r="W20" i="11"/>
  <c r="L23" i="2"/>
  <c r="K21" i="28" s="1"/>
  <c r="O21" i="28" s="1"/>
  <c r="O9" i="2"/>
  <c r="O8" i="27" s="1"/>
  <c r="P7" i="28" l="1"/>
  <c r="AJ7" i="28"/>
  <c r="AN8" i="28"/>
  <c r="AN7" i="28" s="1"/>
  <c r="L9" i="2"/>
  <c r="K7" i="28"/>
  <c r="O8" i="28"/>
  <c r="O7" i="28" s="1"/>
  <c r="T7" i="28"/>
  <c r="AE7" i="28"/>
  <c r="Z7" i="28"/>
  <c r="U7" i="28"/>
  <c r="AI8" i="28"/>
  <c r="AI7" i="28" s="1"/>
  <c r="AD8" i="28"/>
  <c r="AD7" i="28" s="1"/>
  <c r="Y8" i="28"/>
  <c r="F26" i="12"/>
  <c r="S26" i="25"/>
  <c r="E26" i="12"/>
  <c r="AG17" i="27"/>
  <c r="AH17" i="27"/>
  <c r="M17" i="27"/>
  <c r="N17" i="27"/>
  <c r="U17" i="27"/>
  <c r="V17" i="27"/>
  <c r="Q17" i="27"/>
  <c r="R17" i="27"/>
  <c r="M18" i="27"/>
  <c r="N18" i="27"/>
  <c r="AG19" i="27"/>
  <c r="AH19" i="27"/>
  <c r="Q19" i="27"/>
  <c r="R19" i="27"/>
  <c r="AG18" i="27"/>
  <c r="AH18" i="27"/>
  <c r="AG14" i="27"/>
  <c r="AH14" i="27"/>
  <c r="M14" i="27"/>
  <c r="N14" i="27"/>
  <c r="M19" i="27"/>
  <c r="N19" i="27"/>
  <c r="Q14" i="27"/>
  <c r="R14" i="27"/>
  <c r="U19" i="27"/>
  <c r="V19" i="27"/>
  <c r="Q18" i="27"/>
  <c r="R18" i="27"/>
  <c r="U18" i="27"/>
  <c r="V18" i="27"/>
  <c r="AG21" i="27"/>
  <c r="AH21" i="27"/>
  <c r="M10" i="27"/>
  <c r="N10" i="27"/>
  <c r="AG9" i="27"/>
  <c r="AH9" i="27"/>
  <c r="M24" i="27"/>
  <c r="N24" i="27"/>
  <c r="M9" i="27"/>
  <c r="N9" i="27"/>
  <c r="AG10" i="27"/>
  <c r="AH10" i="27"/>
  <c r="AG24" i="27"/>
  <c r="AH24" i="27"/>
  <c r="M21" i="27"/>
  <c r="N21" i="27"/>
  <c r="AG12" i="27"/>
  <c r="AH12" i="27"/>
  <c r="M12" i="27"/>
  <c r="N12" i="27"/>
  <c r="M13" i="27"/>
  <c r="N13" i="27"/>
  <c r="AG13" i="27"/>
  <c r="AH13" i="27"/>
  <c r="Q12" i="27"/>
  <c r="R12" i="27"/>
  <c r="U9" i="27"/>
  <c r="V9" i="27"/>
  <c r="U14" i="27"/>
  <c r="U13" i="27"/>
  <c r="V13" i="27"/>
  <c r="Q13" i="27"/>
  <c r="R13" i="27"/>
  <c r="Q9" i="27"/>
  <c r="R9" i="27"/>
  <c r="Q10" i="27"/>
  <c r="R10" i="27"/>
  <c r="Q21" i="27"/>
  <c r="R21" i="27"/>
  <c r="Q24" i="27"/>
  <c r="R24" i="27"/>
  <c r="U21" i="27"/>
  <c r="V21" i="27"/>
  <c r="U12" i="27"/>
  <c r="V12" i="27"/>
  <c r="U24" i="27"/>
  <c r="V24" i="27"/>
  <c r="S30" i="25"/>
  <c r="K23" i="25"/>
  <c r="N23" i="2"/>
  <c r="N9" i="2" s="1"/>
  <c r="M11" i="27"/>
  <c r="N11" i="27"/>
  <c r="AG11" i="27"/>
  <c r="AH11" i="27"/>
  <c r="Q11" i="27"/>
  <c r="R11" i="27"/>
  <c r="U11" i="27"/>
  <c r="V11" i="27"/>
  <c r="AG28" i="27"/>
  <c r="AH28" i="27"/>
  <c r="M28" i="27"/>
  <c r="N28" i="27"/>
  <c r="M26" i="27"/>
  <c r="N26" i="27"/>
  <c r="AG26" i="27"/>
  <c r="AH26" i="27"/>
  <c r="AG22" i="27"/>
  <c r="AH22" i="27"/>
  <c r="U26" i="27"/>
  <c r="V26" i="27"/>
  <c r="Q22" i="27"/>
  <c r="R22" i="27"/>
  <c r="U28" i="27"/>
  <c r="V28" i="27"/>
  <c r="Q28" i="27"/>
  <c r="R28" i="27"/>
  <c r="U22" i="27"/>
  <c r="V22" i="27"/>
  <c r="Q26" i="27"/>
  <c r="R26" i="27"/>
  <c r="AT14" i="10"/>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Q9" i="2"/>
  <c r="Q25" i="27"/>
  <c r="R25" i="27"/>
  <c r="Q16" i="27"/>
  <c r="R16" i="27"/>
  <c r="AG29" i="27"/>
  <c r="AH29" i="27"/>
  <c r="AG25" i="27"/>
  <c r="AH25" i="27"/>
  <c r="U25" i="27"/>
  <c r="V25" i="27"/>
  <c r="U16" i="27"/>
  <c r="V16" i="27"/>
  <c r="AE9" i="2"/>
  <c r="Z4" i="30" s="1"/>
  <c r="U29" i="27"/>
  <c r="V29" i="27"/>
  <c r="M29" i="27"/>
  <c r="N29" i="27"/>
  <c r="M16" i="27"/>
  <c r="N16" i="27"/>
  <c r="M25" i="27"/>
  <c r="N25" i="27"/>
  <c r="Q29" i="27"/>
  <c r="R29" i="27"/>
  <c r="S17" i="25"/>
  <c r="R17" i="25"/>
  <c r="R9" i="25" s="1"/>
  <c r="J4" i="30" s="1"/>
  <c r="AG16" i="27"/>
  <c r="AH16" i="27"/>
  <c r="K9" i="38"/>
  <c r="N9" i="38"/>
  <c r="K22" i="23"/>
  <c r="K22" i="24"/>
  <c r="K27" i="23"/>
  <c r="K27" i="24"/>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N9" i="2"/>
  <c r="N8" i="23"/>
  <c r="AC10" i="27"/>
  <c r="Z11" i="2"/>
  <c r="AC20" i="27"/>
  <c r="Z21" i="2"/>
  <c r="AC28" i="27"/>
  <c r="Z29" i="2"/>
  <c r="AC26" i="27"/>
  <c r="Z27" i="2"/>
  <c r="AC17" i="27"/>
  <c r="Z18" i="2"/>
  <c r="AC15" i="27"/>
  <c r="Z16" i="2"/>
  <c r="AC25" i="27"/>
  <c r="Z26" i="2"/>
  <c r="AC23" i="27"/>
  <c r="Z24" i="2"/>
  <c r="AC27" i="27"/>
  <c r="Z28" i="2"/>
  <c r="AC18" i="27"/>
  <c r="Z19" i="2"/>
  <c r="AC19" i="27"/>
  <c r="Z20" i="2"/>
  <c r="AC30" i="27"/>
  <c r="Z31" i="2"/>
  <c r="AC9" i="27"/>
  <c r="Z10" i="2"/>
  <c r="AC31" i="27"/>
  <c r="Z32" i="2"/>
  <c r="AC29" i="27"/>
  <c r="Z30" i="2"/>
  <c r="AC16" i="27"/>
  <c r="Z17" i="2"/>
  <c r="AC14" i="27"/>
  <c r="Z15" i="2"/>
  <c r="AC13" i="27"/>
  <c r="Z14" i="2"/>
  <c r="AC24" i="27"/>
  <c r="Z25" i="2"/>
  <c r="AC21" i="27"/>
  <c r="Z22" i="2"/>
  <c r="AC22" i="27"/>
  <c r="Z23" i="2"/>
  <c r="AC12" i="27"/>
  <c r="Z13" i="2"/>
  <c r="AC11" i="27"/>
  <c r="Z12" i="2"/>
  <c r="T8" i="23"/>
  <c r="Q8" i="23"/>
  <c r="W8" i="23"/>
  <c r="K27" i="27"/>
  <c r="M27" i="27" s="1"/>
  <c r="Y8" i="27"/>
  <c r="L9" i="25"/>
  <c r="K22" i="27"/>
  <c r="N8" i="24"/>
  <c r="O9" i="25"/>
  <c r="P9" i="25"/>
  <c r="N9" i="25"/>
  <c r="P8" i="24"/>
  <c r="M8" i="24"/>
  <c r="M9" i="25"/>
  <c r="L8" i="24"/>
  <c r="O8" i="24"/>
  <c r="AM9" i="2"/>
  <c r="E4" i="19" s="1"/>
  <c r="Z8" i="23"/>
  <c r="V26" i="11"/>
  <c r="G4" i="21"/>
  <c r="V21" i="11"/>
  <c r="H29" i="19"/>
  <c r="F29" i="19"/>
  <c r="D29" i="19"/>
  <c r="AP170" i="2"/>
  <c r="H28" i="19" s="1"/>
  <c r="AO170" i="2"/>
  <c r="G28" i="19" s="1"/>
  <c r="AN170" i="2"/>
  <c r="F28" i="19" s="1"/>
  <c r="AL170" i="2"/>
  <c r="D28" i="19" s="1"/>
  <c r="D27" i="19"/>
  <c r="AP154" i="2"/>
  <c r="H26" i="19" s="1"/>
  <c r="AO154" i="2"/>
  <c r="G26" i="19" s="1"/>
  <c r="AN154" i="2"/>
  <c r="F26" i="19" s="1"/>
  <c r="AM154" i="2"/>
  <c r="E26" i="19" s="1"/>
  <c r="AP148" i="2"/>
  <c r="H25" i="19" s="1"/>
  <c r="AO148" i="2"/>
  <c r="G25" i="19" s="1"/>
  <c r="AN148" i="2"/>
  <c r="F25" i="19" s="1"/>
  <c r="AL148" i="2"/>
  <c r="D25" i="19" s="1"/>
  <c r="AP108" i="2"/>
  <c r="H20" i="19" s="1"/>
  <c r="AO108" i="2"/>
  <c r="G20" i="19" s="1"/>
  <c r="AL108" i="2"/>
  <c r="D20" i="19" s="1"/>
  <c r="AP102" i="2"/>
  <c r="H19" i="19" s="1"/>
  <c r="AO102" i="2"/>
  <c r="G19" i="19" s="1"/>
  <c r="AL102" i="2"/>
  <c r="D19" i="19" s="1"/>
  <c r="H18" i="19"/>
  <c r="G18" i="19"/>
  <c r="D18" i="19"/>
  <c r="AP86" i="2"/>
  <c r="H17" i="19" s="1"/>
  <c r="AL86" i="2"/>
  <c r="D17" i="19" s="1"/>
  <c r="H16" i="19"/>
  <c r="G16" i="19"/>
  <c r="F16" i="19"/>
  <c r="D16" i="19"/>
  <c r="D15" i="19"/>
  <c r="AP74" i="2"/>
  <c r="H14" i="19" s="1"/>
  <c r="AL74" i="2"/>
  <c r="D14" i="19" s="1"/>
  <c r="AP67" i="2"/>
  <c r="H13" i="19" s="1"/>
  <c r="AO67" i="2"/>
  <c r="G13" i="19" s="1"/>
  <c r="AL67" i="2"/>
  <c r="D13" i="19" s="1"/>
  <c r="AP62" i="2"/>
  <c r="H12" i="19" s="1"/>
  <c r="AO62" i="2"/>
  <c r="G12" i="19" s="1"/>
  <c r="AL62" i="2"/>
  <c r="D12" i="19" s="1"/>
  <c r="AP58" i="2"/>
  <c r="H11" i="19" s="1"/>
  <c r="AO58" i="2"/>
  <c r="G11" i="19" s="1"/>
  <c r="AL58" i="2"/>
  <c r="D11" i="19" s="1"/>
  <c r="AP56" i="2"/>
  <c r="H10" i="19" s="1"/>
  <c r="AO56" i="2"/>
  <c r="G10" i="19" s="1"/>
  <c r="AP50" i="2"/>
  <c r="H9" i="19" s="1"/>
  <c r="AO50" i="2"/>
  <c r="G9" i="19" s="1"/>
  <c r="AL50" i="2"/>
  <c r="D9" i="19" s="1"/>
  <c r="H7" i="19"/>
  <c r="G7" i="19"/>
  <c r="F7" i="19"/>
  <c r="E7" i="19"/>
  <c r="H8" i="19"/>
  <c r="G8" i="19"/>
  <c r="F8" i="19"/>
  <c r="E8" i="19"/>
  <c r="AP46" i="2"/>
  <c r="AO46" i="2"/>
  <c r="AN46" i="2"/>
  <c r="AM46" i="2"/>
  <c r="AP33" i="2"/>
  <c r="H5" i="19" s="1"/>
  <c r="AL33" i="2"/>
  <c r="D5" i="19" s="1"/>
  <c r="H6" i="19"/>
  <c r="AQ7" i="28" l="1"/>
  <c r="S9" i="25"/>
  <c r="M4" i="30" s="1"/>
  <c r="P4" i="30" s="1"/>
  <c r="S4" i="30" s="1"/>
  <c r="V4" i="30" s="1"/>
  <c r="G57" i="21"/>
  <c r="H57" i="21" s="1"/>
  <c r="I57" i="21" s="1"/>
  <c r="J57" i="21" s="1"/>
  <c r="K57" i="21" s="1"/>
  <c r="L4" i="21"/>
  <c r="L57" i="21" s="1"/>
  <c r="M22" i="27"/>
  <c r="M8" i="27" s="1"/>
  <c r="N22" i="27"/>
  <c r="N8" i="27" s="1"/>
  <c r="Q21" i="10"/>
  <c r="CQ21" i="10" s="1"/>
  <c r="Q15" i="10"/>
  <c r="CQ15" i="10" s="1"/>
  <c r="Q12" i="10"/>
  <c r="CQ12" i="10" s="1"/>
  <c r="Q14" i="10"/>
  <c r="CQ14" i="10" s="1"/>
  <c r="CR14" i="10"/>
  <c r="Q18" i="10"/>
  <c r="CQ18" i="10" s="1"/>
  <c r="Q19" i="10"/>
  <c r="CQ19" i="10" s="1"/>
  <c r="AH8" i="10"/>
  <c r="Q8" i="27"/>
  <c r="AG8" i="27"/>
  <c r="R8" i="27"/>
  <c r="AH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K9" i="25"/>
  <c r="K8" i="24"/>
  <c r="AC8" i="27"/>
  <c r="Z9" i="2"/>
  <c r="K8" i="23"/>
  <c r="L40" i="8" l="1"/>
  <c r="W33" i="6"/>
  <c r="AK122" i="10" l="1"/>
  <c r="CS122" i="10" s="1"/>
  <c r="O122" i="27"/>
  <c r="Q122" i="27" s="1"/>
  <c r="AK125" i="10"/>
  <c r="CS125" i="10" s="1"/>
  <c r="O125" i="27"/>
  <c r="Q125" i="27" s="1"/>
  <c r="O151" i="2"/>
  <c r="P149" i="28" s="1"/>
  <c r="T149" i="28" s="1"/>
  <c r="AD122" i="10" l="1"/>
  <c r="X122" i="10"/>
  <c r="X125" i="10"/>
  <c r="AD125" i="10"/>
  <c r="N150" i="23"/>
  <c r="L151" i="25"/>
  <c r="L150" i="24"/>
  <c r="O150" i="27"/>
  <c r="R150" i="27" s="1"/>
  <c r="K157" i="38"/>
  <c r="Q151" i="2"/>
  <c r="AK150" i="10"/>
  <c r="AL150" i="10" s="1"/>
  <c r="AA180" i="2"/>
  <c r="X180" i="2"/>
  <c r="AE178" i="28" s="1"/>
  <c r="AI178" i="28" s="1"/>
  <c r="U180" i="2"/>
  <c r="R180" i="2"/>
  <c r="O180" i="2"/>
  <c r="P178" i="28" s="1"/>
  <c r="T178" i="28" s="1"/>
  <c r="L71" i="8"/>
  <c r="P69" i="8"/>
  <c r="O69" i="8"/>
  <c r="N69" i="8"/>
  <c r="Q69" i="8"/>
  <c r="M69" i="8"/>
  <c r="Z179" i="23" l="1"/>
  <c r="AJ178" i="28"/>
  <c r="AN178" i="28" s="1"/>
  <c r="T179" i="23"/>
  <c r="Z178" i="28"/>
  <c r="AD178" i="28" s="1"/>
  <c r="Q179" i="23"/>
  <c r="U178" i="28"/>
  <c r="Y178" i="28" s="1"/>
  <c r="K186" i="38"/>
  <c r="N179" i="23"/>
  <c r="N186" i="38"/>
  <c r="W179" i="23"/>
  <c r="X150" i="10"/>
  <c r="R150" i="10"/>
  <c r="Q150" i="27"/>
  <c r="W179" i="27"/>
  <c r="Y179" i="27" s="1"/>
  <c r="M186" i="38"/>
  <c r="S179" i="27"/>
  <c r="U179" i="27" s="1"/>
  <c r="L186" i="38"/>
  <c r="AS180" i="10"/>
  <c r="O186" i="38"/>
  <c r="AQ180" i="10"/>
  <c r="AG180" i="10" s="1"/>
  <c r="AG173" i="10" s="1"/>
  <c r="AA179" i="27"/>
  <c r="AK180" i="10"/>
  <c r="CL180" i="10" s="1"/>
  <c r="O179" i="27"/>
  <c r="Q179" i="27" s="1"/>
  <c r="AM180" i="10"/>
  <c r="CM180" i="10" s="1"/>
  <c r="AO180" i="10"/>
  <c r="T180" i="10" s="1"/>
  <c r="AE179" i="27"/>
  <c r="AG179" i="27" s="1"/>
  <c r="AO180" i="2"/>
  <c r="L180" i="2"/>
  <c r="W178" i="11"/>
  <c r="L25" i="3"/>
  <c r="L24" i="3" s="1"/>
  <c r="K179" i="23" l="1"/>
  <c r="K178" i="28"/>
  <c r="O178" i="28" s="1"/>
  <c r="V180" i="10"/>
  <c r="CN180" i="10"/>
  <c r="D180" i="10"/>
  <c r="AL180" i="10"/>
  <c r="AB180" i="10"/>
  <c r="AH180" i="10"/>
  <c r="AI180" i="10"/>
  <c r="J186" i="38"/>
  <c r="AF180" i="10"/>
  <c r="AF173" i="10" s="1"/>
  <c r="U180" i="10"/>
  <c r="M180" i="10"/>
  <c r="AA180" i="10"/>
  <c r="O180" i="10"/>
  <c r="Y180" i="10"/>
  <c r="S180" i="10"/>
  <c r="R180" i="10"/>
  <c r="X180" i="10"/>
  <c r="N180" i="10"/>
  <c r="Z180" i="10"/>
  <c r="AE180" i="10"/>
  <c r="AD180" i="10"/>
  <c r="AC179" i="27"/>
  <c r="V178" i="11"/>
  <c r="K179" i="27"/>
  <c r="M179" i="27" s="1"/>
  <c r="AT180" i="10" l="1"/>
  <c r="CI180" i="10"/>
  <c r="CR180" i="10"/>
  <c r="AC180" i="10"/>
  <c r="CK180" i="10"/>
  <c r="W180" i="10"/>
  <c r="Q180" i="10"/>
  <c r="E180" i="10"/>
  <c r="K180" i="10" s="1"/>
  <c r="AJ180" i="10" s="1"/>
  <c r="C180" i="10"/>
  <c r="G3" i="13"/>
  <c r="W49" i="11"/>
  <c r="CQ180" i="10" l="1"/>
  <c r="O75" i="2" l="1"/>
  <c r="P73" i="28" s="1"/>
  <c r="M27" i="3"/>
  <c r="O23" i="7"/>
  <c r="N23" i="7"/>
  <c r="M23" i="7"/>
  <c r="P23" i="7"/>
  <c r="P29" i="9"/>
  <c r="O29" i="9"/>
  <c r="N29" i="9"/>
  <c r="L30" i="9"/>
  <c r="Q29" i="9"/>
  <c r="M32" i="9"/>
  <c r="L32" i="9" s="1"/>
  <c r="M31" i="9"/>
  <c r="L31" i="9" s="1"/>
  <c r="P24" i="8"/>
  <c r="O24" i="8"/>
  <c r="N24" i="8"/>
  <c r="Q24" i="8"/>
  <c r="M27" i="8"/>
  <c r="L27" i="8" s="1"/>
  <c r="M24" i="8"/>
  <c r="L26" i="7"/>
  <c r="L25" i="7"/>
  <c r="T73" i="28" l="1"/>
  <c r="K75" i="38"/>
  <c r="N74" i="23"/>
  <c r="AK74" i="10"/>
  <c r="CM74" i="10" s="1"/>
  <c r="O74" i="27"/>
  <c r="Q74" i="27" s="1"/>
  <c r="L29" i="9"/>
  <c r="M29" i="9"/>
  <c r="O61" i="2"/>
  <c r="L23" i="7"/>
  <c r="O60" i="2"/>
  <c r="P58" i="28" s="1"/>
  <c r="K26" i="7"/>
  <c r="L61" i="2" s="1"/>
  <c r="K59" i="28" s="1"/>
  <c r="O59" i="28" s="1"/>
  <c r="W57" i="11"/>
  <c r="F29" i="12" s="1"/>
  <c r="W58" i="11"/>
  <c r="W59" i="11"/>
  <c r="AN58" i="2"/>
  <c r="F11" i="19" s="1"/>
  <c r="AA175" i="2"/>
  <c r="X175" i="2"/>
  <c r="AE173" i="28" s="1"/>
  <c r="AI173" i="28" s="1"/>
  <c r="U175" i="2"/>
  <c r="R175" i="2"/>
  <c r="O175" i="2"/>
  <c r="P173" i="28" s="1"/>
  <c r="T173" i="28" s="1"/>
  <c r="Z174" i="23" l="1"/>
  <c r="AJ173" i="28"/>
  <c r="AN173" i="28" s="1"/>
  <c r="T174" i="23"/>
  <c r="Z173" i="28"/>
  <c r="AD173" i="28" s="1"/>
  <c r="T58" i="28"/>
  <c r="Q174" i="23"/>
  <c r="U173" i="28"/>
  <c r="Y173" i="28" s="1"/>
  <c r="K61" i="38"/>
  <c r="P59" i="28"/>
  <c r="T59" i="28" s="1"/>
  <c r="N181" i="38"/>
  <c r="W174" i="23"/>
  <c r="K181" i="38"/>
  <c r="N174" i="23"/>
  <c r="X74" i="10"/>
  <c r="AD74" i="10"/>
  <c r="AL74" i="10"/>
  <c r="N59" i="23"/>
  <c r="N57" i="23" s="1"/>
  <c r="L60" i="25"/>
  <c r="L58" i="25" s="1"/>
  <c r="L59" i="24"/>
  <c r="L57" i="24" s="1"/>
  <c r="S174" i="27"/>
  <c r="U174" i="27" s="1"/>
  <c r="L181" i="38"/>
  <c r="AI60" i="10"/>
  <c r="J61" i="38"/>
  <c r="W174" i="27"/>
  <c r="Y174" i="27" s="1"/>
  <c r="M181" i="38"/>
  <c r="O59" i="27"/>
  <c r="R59" i="27" s="1"/>
  <c r="R57" i="27" s="1"/>
  <c r="K60" i="38"/>
  <c r="AS175" i="10"/>
  <c r="CN175" i="10" s="1"/>
  <c r="O181" i="38"/>
  <c r="AQ175" i="10"/>
  <c r="AA174" i="27"/>
  <c r="AO175" i="10"/>
  <c r="AK175" i="10"/>
  <c r="O174" i="27"/>
  <c r="Q174" i="27" s="1"/>
  <c r="AK60" i="10"/>
  <c r="O60" i="27"/>
  <c r="Q60" i="27" s="1"/>
  <c r="AM175" i="10"/>
  <c r="CM175" i="10" s="1"/>
  <c r="Q60" i="2"/>
  <c r="Q58" i="2" s="1"/>
  <c r="AK59" i="10"/>
  <c r="AL59" i="10" s="1"/>
  <c r="AE174" i="27"/>
  <c r="AG174" i="27" s="1"/>
  <c r="AO175" i="2"/>
  <c r="V59" i="11"/>
  <c r="K60" i="27"/>
  <c r="M60" i="27" s="1"/>
  <c r="AM58" i="2"/>
  <c r="E11" i="19" s="1"/>
  <c r="W173" i="11"/>
  <c r="X70" i="6"/>
  <c r="L175" i="2"/>
  <c r="K174" i="23" l="1"/>
  <c r="K173" i="28"/>
  <c r="P56" i="28"/>
  <c r="T56" i="28"/>
  <c r="AL60" i="10"/>
  <c r="CM60" i="10"/>
  <c r="AJ60" i="10"/>
  <c r="CL60" i="10"/>
  <c r="AH175" i="10"/>
  <c r="AH173" i="10" s="1"/>
  <c r="AB175" i="10"/>
  <c r="AL175" i="10"/>
  <c r="CL175" i="10"/>
  <c r="AE175" i="10"/>
  <c r="AE173" i="10" s="1"/>
  <c r="Y175" i="10"/>
  <c r="AO173" i="2"/>
  <c r="G29" i="19" s="1"/>
  <c r="X59" i="10"/>
  <c r="R59" i="10"/>
  <c r="D175" i="10"/>
  <c r="D173" i="10" s="1"/>
  <c r="AT175" i="10"/>
  <c r="I176" i="10"/>
  <c r="I173" i="10" s="1"/>
  <c r="Q59" i="27"/>
  <c r="Q57" i="27" s="1"/>
  <c r="H176" i="10"/>
  <c r="H173" i="10" s="1"/>
  <c r="AI175" i="10"/>
  <c r="CK175" i="10" s="1"/>
  <c r="J181" i="38"/>
  <c r="G176" i="10"/>
  <c r="G173" i="10" s="1"/>
  <c r="F176" i="10"/>
  <c r="AC174" i="27"/>
  <c r="K174" i="27"/>
  <c r="M174" i="27" s="1"/>
  <c r="V173" i="11"/>
  <c r="O94" i="2"/>
  <c r="P92" i="28" s="1"/>
  <c r="O173" i="28" l="1"/>
  <c r="AC60" i="10"/>
  <c r="W60" i="10"/>
  <c r="AD60" i="10"/>
  <c r="X60" i="10"/>
  <c r="CR60" i="10"/>
  <c r="F173" i="10"/>
  <c r="L176" i="10"/>
  <c r="AC175" i="10"/>
  <c r="AC173" i="10" s="1"/>
  <c r="W175" i="10"/>
  <c r="CI175" i="10"/>
  <c r="X175" i="10"/>
  <c r="AD175" i="10"/>
  <c r="AD173" i="10" s="1"/>
  <c r="E175" i="10"/>
  <c r="K175" i="10" s="1"/>
  <c r="N93" i="23"/>
  <c r="L94" i="25"/>
  <c r="L93" i="24"/>
  <c r="L57" i="10"/>
  <c r="O93" i="27"/>
  <c r="K94" i="38"/>
  <c r="C175" i="10"/>
  <c r="C173" i="10" s="1"/>
  <c r="AK93" i="10"/>
  <c r="W52" i="11"/>
  <c r="AR173" i="2"/>
  <c r="AA174" i="2"/>
  <c r="AA176" i="2"/>
  <c r="AJ174" i="28" s="1"/>
  <c r="AN174" i="28" s="1"/>
  <c r="AA177" i="2"/>
  <c r="AJ175" i="28" s="1"/>
  <c r="AN175" i="28" s="1"/>
  <c r="AA178" i="2"/>
  <c r="AA179" i="2"/>
  <c r="AJ177" i="28" s="1"/>
  <c r="AN177" i="28" s="1"/>
  <c r="AJ172" i="28" l="1"/>
  <c r="F131" i="40"/>
  <c r="AN172" i="28"/>
  <c r="P177" i="26"/>
  <c r="P172" i="26" s="1"/>
  <c r="P171" i="26" s="1"/>
  <c r="P167" i="26" s="1"/>
  <c r="AJ176" i="28"/>
  <c r="AN176" i="28" s="1"/>
  <c r="AA173" i="2"/>
  <c r="CR175" i="10"/>
  <c r="AJ175" i="10"/>
  <c r="E173" i="10"/>
  <c r="O185" i="38"/>
  <c r="Z178" i="23"/>
  <c r="P179" i="25"/>
  <c r="R179" i="25" s="1"/>
  <c r="P178" i="24"/>
  <c r="O180" i="38"/>
  <c r="Z173" i="23"/>
  <c r="P174" i="25"/>
  <c r="R174" i="25" s="1"/>
  <c r="P173" i="24"/>
  <c r="O183" i="38"/>
  <c r="Z176" i="23"/>
  <c r="P177" i="25"/>
  <c r="R177" i="25" s="1"/>
  <c r="P176" i="24"/>
  <c r="O184" i="38"/>
  <c r="Z177" i="23"/>
  <c r="P178" i="25"/>
  <c r="R178" i="25" s="1"/>
  <c r="P177" i="24"/>
  <c r="O182" i="38"/>
  <c r="Z175" i="23"/>
  <c r="P176" i="25"/>
  <c r="R176" i="25" s="1"/>
  <c r="P175" i="24"/>
  <c r="AL93" i="10"/>
  <c r="AS176" i="10"/>
  <c r="AE176" i="2"/>
  <c r="AE177" i="2"/>
  <c r="AS177" i="10"/>
  <c r="AE179" i="2"/>
  <c r="AS179" i="10"/>
  <c r="AE174" i="2"/>
  <c r="AS174" i="10"/>
  <c r="AE178" i="2"/>
  <c r="AS178" i="10"/>
  <c r="AT178" i="10" s="1"/>
  <c r="CN178" i="10" s="1"/>
  <c r="V178" i="10" s="1"/>
  <c r="AE177" i="27"/>
  <c r="AM178" i="2"/>
  <c r="AE176" i="27"/>
  <c r="AM177" i="2"/>
  <c r="AE175" i="27"/>
  <c r="AM176" i="2"/>
  <c r="AE178" i="27"/>
  <c r="AM179" i="2"/>
  <c r="AE173" i="27"/>
  <c r="AM174" i="2"/>
  <c r="W172" i="11"/>
  <c r="F28" i="12" s="1"/>
  <c r="W174" i="11"/>
  <c r="W177" i="11"/>
  <c r="W176" i="11"/>
  <c r="W175" i="11"/>
  <c r="F145" i="40" l="1"/>
  <c r="M131" i="40"/>
  <c r="F175" i="40"/>
  <c r="AN171" i="28"/>
  <c r="AN170" i="28" s="1"/>
  <c r="AJ171" i="28"/>
  <c r="AJ170" i="28" s="1"/>
  <c r="Z172" i="23"/>
  <c r="Z171" i="23" s="1"/>
  <c r="AT176" i="10"/>
  <c r="CN176" i="10" s="1"/>
  <c r="V176" i="10" s="1"/>
  <c r="CI176" i="10" s="1"/>
  <c r="AM173" i="2"/>
  <c r="E29" i="19" s="1"/>
  <c r="CQ175" i="10"/>
  <c r="AT174" i="10"/>
  <c r="AS173" i="10"/>
  <c r="AS172" i="10" s="1"/>
  <c r="X93" i="10"/>
  <c r="AB178" i="10"/>
  <c r="CI178" i="10" s="1"/>
  <c r="P172" i="24"/>
  <c r="P171" i="24" s="1"/>
  <c r="P173" i="25"/>
  <c r="P172" i="25" s="1"/>
  <c r="AB177" i="10"/>
  <c r="AG175" i="27"/>
  <c r="AH175" i="27"/>
  <c r="AE173" i="2"/>
  <c r="Z29" i="30" s="1"/>
  <c r="AG173" i="27"/>
  <c r="AH173" i="27"/>
  <c r="AG178" i="27"/>
  <c r="AH178" i="27"/>
  <c r="AG176" i="27"/>
  <c r="AH176" i="27"/>
  <c r="AG177" i="27"/>
  <c r="AH177" i="27"/>
  <c r="R173" i="25"/>
  <c r="J29" i="30" s="1"/>
  <c r="M29" i="30" s="1"/>
  <c r="P29" i="30" s="1"/>
  <c r="S29" i="30" s="1"/>
  <c r="V29" i="30" s="1"/>
  <c r="W171" i="11"/>
  <c r="D154" i="41" l="1"/>
  <c r="K175" i="40"/>
  <c r="AB174" i="10"/>
  <c r="CN174" i="10"/>
  <c r="CR178" i="10"/>
  <c r="V174" i="10"/>
  <c r="CR176" i="10"/>
  <c r="AT177" i="10"/>
  <c r="CN177" i="10" s="1"/>
  <c r="V177" i="10" s="1"/>
  <c r="CI177" i="10" s="1"/>
  <c r="AG172" i="27"/>
  <c r="AG171" i="27" s="1"/>
  <c r="AH172" i="27"/>
  <c r="AH172" i="10"/>
  <c r="CI174" i="10" l="1"/>
  <c r="CR177" i="10"/>
  <c r="CR174" i="10"/>
  <c r="S127" i="27"/>
  <c r="U127" i="27" s="1"/>
  <c r="AI127" i="10"/>
  <c r="W127" i="27"/>
  <c r="Y127" i="27" s="1"/>
  <c r="AS127" i="10"/>
  <c r="CM127" i="10" s="1"/>
  <c r="AH171" i="27"/>
  <c r="AQ127" i="10"/>
  <c r="AA127" i="27"/>
  <c r="AK127" i="10"/>
  <c r="CS127" i="10" s="1"/>
  <c r="O127" i="27"/>
  <c r="Q127" i="27" s="1"/>
  <c r="AO127" i="10"/>
  <c r="CT127" i="10" s="1"/>
  <c r="AM127" i="10"/>
  <c r="CR127" i="10" s="1"/>
  <c r="W126" i="11"/>
  <c r="AE127" i="27"/>
  <c r="AG127" i="27" s="1"/>
  <c r="V126" i="11"/>
  <c r="K127" i="27"/>
  <c r="M127" i="27" s="1"/>
  <c r="L18" i="9"/>
  <c r="K44" i="6"/>
  <c r="K40" i="6"/>
  <c r="K27" i="6"/>
  <c r="K17" i="6"/>
  <c r="L16" i="3"/>
  <c r="L52" i="2" s="1"/>
  <c r="K50" i="28" s="1"/>
  <c r="AD127" i="10" l="1"/>
  <c r="X127" i="10"/>
  <c r="AE127" i="10"/>
  <c r="Y127" i="10"/>
  <c r="AB127" i="10"/>
  <c r="AH127" i="10"/>
  <c r="AF127" i="10"/>
  <c r="Z127" i="10"/>
  <c r="J52" i="38"/>
  <c r="K51" i="23"/>
  <c r="K52" i="25"/>
  <c r="K51" i="24"/>
  <c r="AC127" i="27"/>
  <c r="AI51" i="10"/>
  <c r="AJ51" i="10" s="1"/>
  <c r="K51" i="27"/>
  <c r="O88" i="2"/>
  <c r="P86" i="28" s="1"/>
  <c r="T86" i="28" s="1"/>
  <c r="AA94" i="2"/>
  <c r="AJ92" i="28" s="1"/>
  <c r="AN92" i="28" s="1"/>
  <c r="AC127" i="10" l="1"/>
  <c r="W127" i="10"/>
  <c r="AC51" i="10"/>
  <c r="Q51" i="10"/>
  <c r="W51" i="10"/>
  <c r="O94" i="38"/>
  <c r="Z93" i="23"/>
  <c r="P93" i="24"/>
  <c r="P94" i="25"/>
  <c r="R94" i="25" s="1"/>
  <c r="N87" i="23"/>
  <c r="L88" i="25"/>
  <c r="L87" i="24"/>
  <c r="O87" i="27"/>
  <c r="R87" i="27" s="1"/>
  <c r="K88" i="38"/>
  <c r="Q88" i="2"/>
  <c r="AK87" i="10"/>
  <c r="CK87" i="10" s="1"/>
  <c r="AE94" i="2"/>
  <c r="AS93" i="10"/>
  <c r="AE93" i="27"/>
  <c r="AM94" i="2"/>
  <c r="W92" i="11"/>
  <c r="F10" i="12" s="1"/>
  <c r="K20" i="7"/>
  <c r="L54" i="2" s="1"/>
  <c r="K52" i="28" s="1"/>
  <c r="O52" i="28" s="1"/>
  <c r="Q87" i="27" l="1"/>
  <c r="CQ51" i="10"/>
  <c r="AL87" i="10"/>
  <c r="R87" i="10"/>
  <c r="J54" i="38"/>
  <c r="K53" i="23"/>
  <c r="K54" i="25"/>
  <c r="K53" i="24"/>
  <c r="AT93" i="10"/>
  <c r="AG93" i="27"/>
  <c r="AH93" i="27"/>
  <c r="AI53" i="10"/>
  <c r="AJ53" i="10" s="1"/>
  <c r="CN53" i="10" s="1"/>
  <c r="N54" i="2"/>
  <c r="K53" i="27"/>
  <c r="N53" i="27" s="1"/>
  <c r="K23" i="6"/>
  <c r="AC53" i="10" l="1"/>
  <c r="W53" i="10"/>
  <c r="Q53" i="10"/>
  <c r="AB93" i="10"/>
  <c r="M53" i="27"/>
  <c r="L26" i="9"/>
  <c r="L51" i="2" s="1"/>
  <c r="K49" i="28" s="1"/>
  <c r="CQ53" i="10" l="1"/>
  <c r="J51" i="38"/>
  <c r="K50" i="23"/>
  <c r="K51" i="25"/>
  <c r="K50" i="24"/>
  <c r="AI50" i="10"/>
  <c r="AJ50" i="10" s="1"/>
  <c r="N51" i="2"/>
  <c r="K50" i="27"/>
  <c r="N50" i="27" s="1"/>
  <c r="E171" i="10"/>
  <c r="J171" i="10"/>
  <c r="K171" i="10"/>
  <c r="P171" i="10"/>
  <c r="Q171" i="10"/>
  <c r="AC50" i="10" l="1"/>
  <c r="W50" i="10"/>
  <c r="Q50" i="10"/>
  <c r="M50" i="27"/>
  <c r="M17" i="3"/>
  <c r="AQ62" i="2"/>
  <c r="AA41" i="2"/>
  <c r="AJ39" i="28" s="1"/>
  <c r="AN39" i="28" s="1"/>
  <c r="X41" i="2"/>
  <c r="AE39" i="28" s="1"/>
  <c r="AI39" i="28" s="1"/>
  <c r="U41" i="2"/>
  <c r="Z39" i="28" s="1"/>
  <c r="AD39" i="28" s="1"/>
  <c r="R41" i="2"/>
  <c r="U39" i="28" s="1"/>
  <c r="Y39" i="28" s="1"/>
  <c r="O41" i="2"/>
  <c r="P39" i="28" s="1"/>
  <c r="T39" i="28" s="1"/>
  <c r="L41" i="2"/>
  <c r="K39" i="28" s="1"/>
  <c r="O39" i="28" s="1"/>
  <c r="CQ50" i="10" l="1"/>
  <c r="J41" i="38"/>
  <c r="K40" i="23"/>
  <c r="K41" i="25"/>
  <c r="K40" i="24"/>
  <c r="N41" i="38"/>
  <c r="W40" i="23"/>
  <c r="O41" i="25"/>
  <c r="O40" i="24"/>
  <c r="K41" i="38"/>
  <c r="N40" i="23"/>
  <c r="L40" i="24"/>
  <c r="L41" i="25"/>
  <c r="O41" i="38"/>
  <c r="Z40" i="23"/>
  <c r="P41" i="25"/>
  <c r="R41" i="25" s="1"/>
  <c r="R39" i="25" s="1"/>
  <c r="P40" i="24"/>
  <c r="L41" i="38"/>
  <c r="Q40" i="23"/>
  <c r="M40" i="24"/>
  <c r="M41" i="25"/>
  <c r="T40" i="23"/>
  <c r="N41" i="25"/>
  <c r="N40" i="24"/>
  <c r="W40" i="27"/>
  <c r="Y40" i="27" s="1"/>
  <c r="M41" i="38"/>
  <c r="O40" i="27"/>
  <c r="R40" i="27" s="1"/>
  <c r="AI40" i="10"/>
  <c r="N41" i="2"/>
  <c r="AQ40" i="10"/>
  <c r="AA40" i="27"/>
  <c r="S40" i="27"/>
  <c r="V40" i="27" s="1"/>
  <c r="AO40" i="10"/>
  <c r="AK40" i="10"/>
  <c r="AL40" i="10" s="1"/>
  <c r="Q41" i="2"/>
  <c r="AM40" i="10"/>
  <c r="AN40" i="10" s="1"/>
  <c r="T41" i="2"/>
  <c r="AE41" i="2"/>
  <c r="AS40" i="10"/>
  <c r="AT40" i="10" s="1"/>
  <c r="K40" i="27"/>
  <c r="N40" i="27" s="1"/>
  <c r="AE40" i="27"/>
  <c r="AM41" i="2"/>
  <c r="W39" i="11"/>
  <c r="V39" i="11"/>
  <c r="Q40" i="27" l="1"/>
  <c r="U40" i="27"/>
  <c r="AB40" i="10"/>
  <c r="V40" i="10"/>
  <c r="Y40" i="10"/>
  <c r="S40" i="10"/>
  <c r="X40" i="10"/>
  <c r="R40" i="10"/>
  <c r="AJ40" i="10"/>
  <c r="Z40" i="10"/>
  <c r="T40" i="10"/>
  <c r="AA40" i="10"/>
  <c r="U40" i="10"/>
  <c r="M40" i="27"/>
  <c r="AG40" i="27"/>
  <c r="AH40" i="27"/>
  <c r="AC40" i="27"/>
  <c r="Z41" i="2"/>
  <c r="L21" i="8"/>
  <c r="L53" i="2" s="1"/>
  <c r="K51" i="28" s="1"/>
  <c r="L25" i="8"/>
  <c r="L24" i="8" s="1"/>
  <c r="L34" i="8"/>
  <c r="L36" i="8"/>
  <c r="L44" i="8"/>
  <c r="L46" i="8"/>
  <c r="L45" i="8" s="1"/>
  <c r="L70" i="8"/>
  <c r="L69" i="8" s="1"/>
  <c r="L63" i="8"/>
  <c r="L60" i="8"/>
  <c r="L159" i="2" s="1"/>
  <c r="K157" i="28" s="1"/>
  <c r="O157" i="28" s="1"/>
  <c r="K64" i="6"/>
  <c r="K63" i="6" s="1"/>
  <c r="L58" i="8"/>
  <c r="K61" i="6"/>
  <c r="L156" i="2" s="1"/>
  <c r="K154" i="28" s="1"/>
  <c r="O154" i="28" s="1"/>
  <c r="K59" i="6"/>
  <c r="K58" i="6" s="1"/>
  <c r="O51" i="28" l="1"/>
  <c r="CI40" i="10"/>
  <c r="CJ40" i="10" s="1"/>
  <c r="J165" i="38"/>
  <c r="K158" i="23"/>
  <c r="K158" i="24"/>
  <c r="K159" i="25"/>
  <c r="J162" i="38"/>
  <c r="K155" i="23"/>
  <c r="K156" i="25"/>
  <c r="K155" i="24"/>
  <c r="J53" i="38"/>
  <c r="K52" i="23"/>
  <c r="K53" i="25"/>
  <c r="K52" i="24"/>
  <c r="W40" i="10"/>
  <c r="Q40" i="10"/>
  <c r="AI158" i="10"/>
  <c r="AJ158" i="10" s="1"/>
  <c r="CK158" i="10" s="1"/>
  <c r="N159" i="2"/>
  <c r="AI155" i="10"/>
  <c r="AJ155" i="10" s="1"/>
  <c r="CK155" i="10" s="1"/>
  <c r="N156" i="2"/>
  <c r="AI52" i="10"/>
  <c r="AJ52" i="10" s="1"/>
  <c r="N53" i="2"/>
  <c r="K158" i="27"/>
  <c r="N158" i="27" s="1"/>
  <c r="K155" i="27"/>
  <c r="N155" i="27" s="1"/>
  <c r="K52" i="27"/>
  <c r="N52" i="27" s="1"/>
  <c r="W52" i="10" l="1"/>
  <c r="Q52" i="10"/>
  <c r="M155" i="27"/>
  <c r="M158" i="27"/>
  <c r="M52" i="27"/>
  <c r="V52" i="11"/>
  <c r="V51" i="11"/>
  <c r="E6" i="12" s="1"/>
  <c r="Q15" i="3"/>
  <c r="Z15" i="3" s="1"/>
  <c r="P15" i="3"/>
  <c r="O15" i="3"/>
  <c r="N15" i="3"/>
  <c r="M15" i="3"/>
  <c r="L15" i="3"/>
  <c r="Y15" i="3"/>
  <c r="Q25" i="9"/>
  <c r="P25" i="9"/>
  <c r="O25" i="9"/>
  <c r="N25" i="9"/>
  <c r="M25" i="9"/>
  <c r="L25" i="9"/>
  <c r="CQ52" i="10" l="1"/>
  <c r="W51" i="11"/>
  <c r="F6" i="12" s="1"/>
  <c r="K46" i="6" l="1"/>
  <c r="O16" i="6" l="1"/>
  <c r="N16" i="6"/>
  <c r="M16" i="6"/>
  <c r="L16" i="6"/>
  <c r="P16" i="6"/>
  <c r="X179" i="2"/>
  <c r="AE177" i="28" s="1"/>
  <c r="AI177" i="28" s="1"/>
  <c r="U179" i="2"/>
  <c r="Z177" i="28" s="1"/>
  <c r="AD177" i="28" s="1"/>
  <c r="R179" i="2"/>
  <c r="U177" i="28" s="1"/>
  <c r="Y177" i="28" s="1"/>
  <c r="O179" i="2"/>
  <c r="P177" i="28" s="1"/>
  <c r="T177" i="28" s="1"/>
  <c r="L179" i="2"/>
  <c r="K177" i="28" s="1"/>
  <c r="O177" i="28" s="1"/>
  <c r="X178" i="2"/>
  <c r="U178" i="2"/>
  <c r="R178" i="2"/>
  <c r="O178" i="2"/>
  <c r="X177" i="2"/>
  <c r="AE175" i="28" s="1"/>
  <c r="AI175" i="28" s="1"/>
  <c r="U177" i="2"/>
  <c r="Z175" i="28" s="1"/>
  <c r="AD175" i="28" s="1"/>
  <c r="R177" i="2"/>
  <c r="U175" i="28" s="1"/>
  <c r="Y175" i="28" s="1"/>
  <c r="O177" i="2"/>
  <c r="P175" i="28" s="1"/>
  <c r="T175" i="28" s="1"/>
  <c r="X176" i="2"/>
  <c r="AE174" i="28" s="1"/>
  <c r="AI174" i="28" s="1"/>
  <c r="U176" i="2"/>
  <c r="Z174" i="28" s="1"/>
  <c r="AD174" i="28" s="1"/>
  <c r="R176" i="2"/>
  <c r="U174" i="28" s="1"/>
  <c r="Y174" i="28" s="1"/>
  <c r="O176" i="2"/>
  <c r="P174" i="28" s="1"/>
  <c r="T174" i="28" s="1"/>
  <c r="X174" i="2"/>
  <c r="U174" i="2"/>
  <c r="Z172" i="28" s="1"/>
  <c r="R174" i="2"/>
  <c r="U172" i="28" s="1"/>
  <c r="O174" i="2"/>
  <c r="P172" i="28" s="1"/>
  <c r="X171" i="2"/>
  <c r="AE169" i="28" s="1"/>
  <c r="U171" i="2"/>
  <c r="Z169" i="28" s="1"/>
  <c r="R171" i="2"/>
  <c r="U169" i="28" s="1"/>
  <c r="X166" i="2"/>
  <c r="AE164" i="28" s="1"/>
  <c r="AI164" i="28" s="1"/>
  <c r="U166" i="2"/>
  <c r="Z164" i="28" s="1"/>
  <c r="AD164" i="28" s="1"/>
  <c r="R166" i="2"/>
  <c r="U164" i="28" s="1"/>
  <c r="Y164" i="28" s="1"/>
  <c r="O166" i="2"/>
  <c r="X165" i="2"/>
  <c r="AE163" i="28" s="1"/>
  <c r="AI163" i="28" s="1"/>
  <c r="U165" i="2"/>
  <c r="Z163" i="28" s="1"/>
  <c r="AD163" i="28" s="1"/>
  <c r="R165" i="2"/>
  <c r="U163" i="28" s="1"/>
  <c r="Y163" i="28" s="1"/>
  <c r="O165" i="2"/>
  <c r="X164" i="2"/>
  <c r="AE162" i="28" s="1"/>
  <c r="U164" i="2"/>
  <c r="R164" i="2"/>
  <c r="O164" i="2"/>
  <c r="L164" i="2"/>
  <c r="K162" i="28" s="1"/>
  <c r="O162" i="28" s="1"/>
  <c r="X163" i="2"/>
  <c r="AE161" i="28" s="1"/>
  <c r="AI161" i="28" s="1"/>
  <c r="U163" i="2"/>
  <c r="Z161" i="28" s="1"/>
  <c r="AD161" i="28" s="1"/>
  <c r="R163" i="2"/>
  <c r="U161" i="28" s="1"/>
  <c r="Y161" i="28" s="1"/>
  <c r="O163" i="2"/>
  <c r="X162" i="2"/>
  <c r="U162" i="2"/>
  <c r="Z160" i="28" s="1"/>
  <c r="R162" i="2"/>
  <c r="U160" i="28" s="1"/>
  <c r="O162" i="2"/>
  <c r="P160" i="28" s="1"/>
  <c r="X153" i="2"/>
  <c r="AE151" i="28" s="1"/>
  <c r="AI151" i="28" s="1"/>
  <c r="U153" i="2"/>
  <c r="Z151" i="28" s="1"/>
  <c r="AD151" i="28" s="1"/>
  <c r="R153" i="2"/>
  <c r="U151" i="28" s="1"/>
  <c r="Y151" i="28" s="1"/>
  <c r="O153" i="2"/>
  <c r="P151" i="28" s="1"/>
  <c r="T151" i="28" s="1"/>
  <c r="L153" i="2"/>
  <c r="K151" i="28" s="1"/>
  <c r="O151" i="28" s="1"/>
  <c r="X152" i="2"/>
  <c r="AE150" i="28" s="1"/>
  <c r="AI150" i="28" s="1"/>
  <c r="U152" i="2"/>
  <c r="Z150" i="28" s="1"/>
  <c r="AD150" i="28" s="1"/>
  <c r="R152" i="2"/>
  <c r="U150" i="28" s="1"/>
  <c r="Y150" i="28" s="1"/>
  <c r="O152" i="2"/>
  <c r="P150" i="28" s="1"/>
  <c r="T150" i="28" s="1"/>
  <c r="X151" i="2"/>
  <c r="AE149" i="28" s="1"/>
  <c r="AI149" i="28" s="1"/>
  <c r="U151" i="2"/>
  <c r="Z149" i="28" s="1"/>
  <c r="AD149" i="28" s="1"/>
  <c r="R151" i="2"/>
  <c r="U149" i="28" s="1"/>
  <c r="Y149" i="28" s="1"/>
  <c r="X150" i="2"/>
  <c r="AE148" i="28" s="1"/>
  <c r="U150" i="2"/>
  <c r="Z148" i="28" s="1"/>
  <c r="AD148" i="28" s="1"/>
  <c r="R150" i="2"/>
  <c r="U148" i="28" s="1"/>
  <c r="Y148" i="28" s="1"/>
  <c r="O150" i="2"/>
  <c r="P148" i="28" s="1"/>
  <c r="T148" i="28" s="1"/>
  <c r="X149" i="2"/>
  <c r="AE147" i="28" s="1"/>
  <c r="AI147" i="28" s="1"/>
  <c r="U149" i="2"/>
  <c r="Z147" i="28" s="1"/>
  <c r="R149" i="2"/>
  <c r="U147" i="28" s="1"/>
  <c r="O149" i="2"/>
  <c r="P147" i="28" s="1"/>
  <c r="N146" i="38"/>
  <c r="K146" i="38"/>
  <c r="N145" i="38"/>
  <c r="K145" i="38"/>
  <c r="N144" i="38"/>
  <c r="K144" i="38"/>
  <c r="N143" i="38"/>
  <c r="K143" i="38"/>
  <c r="N142" i="38"/>
  <c r="K142" i="38"/>
  <c r="N141" i="38"/>
  <c r="K141" i="38"/>
  <c r="N140" i="38"/>
  <c r="K140" i="38"/>
  <c r="N139" i="38"/>
  <c r="K139" i="38"/>
  <c r="N138" i="38"/>
  <c r="K138" i="38"/>
  <c r="N137" i="38"/>
  <c r="K137" i="38"/>
  <c r="N136" i="38"/>
  <c r="K136" i="38"/>
  <c r="N122" i="38"/>
  <c r="K122" i="38"/>
  <c r="X119" i="2"/>
  <c r="AE117" i="28" s="1"/>
  <c r="AI117" i="28" s="1"/>
  <c r="U119" i="2"/>
  <c r="R119" i="2"/>
  <c r="U117" i="28" s="1"/>
  <c r="Y117" i="28" s="1"/>
  <c r="O119" i="2"/>
  <c r="P117" i="28" s="1"/>
  <c r="T117" i="28" s="1"/>
  <c r="L119" i="2"/>
  <c r="K117" i="28" s="1"/>
  <c r="O117" i="28" s="1"/>
  <c r="X118" i="2"/>
  <c r="AE116" i="28" s="1"/>
  <c r="AI116" i="28" s="1"/>
  <c r="U118" i="2"/>
  <c r="R118" i="2"/>
  <c r="U116" i="28" s="1"/>
  <c r="Y116" i="28" s="1"/>
  <c r="O118" i="2"/>
  <c r="X117" i="2"/>
  <c r="AE115" i="28" s="1"/>
  <c r="AI115" i="28" s="1"/>
  <c r="U117" i="2"/>
  <c r="R117" i="2"/>
  <c r="U115" i="28" s="1"/>
  <c r="Y115" i="28" s="1"/>
  <c r="O117" i="2"/>
  <c r="X116" i="2"/>
  <c r="U116" i="2"/>
  <c r="R116" i="2"/>
  <c r="U114" i="28" s="1"/>
  <c r="Y114" i="28" s="1"/>
  <c r="O116" i="2"/>
  <c r="P114" i="28" s="1"/>
  <c r="T114" i="28" s="1"/>
  <c r="X115" i="2"/>
  <c r="U115" i="2"/>
  <c r="R115" i="2"/>
  <c r="U113" i="28" s="1"/>
  <c r="O115" i="2"/>
  <c r="P113" i="28" s="1"/>
  <c r="X113" i="2"/>
  <c r="U113" i="2"/>
  <c r="R113" i="2"/>
  <c r="O113" i="2"/>
  <c r="P111" i="28" s="1"/>
  <c r="T111" i="28" s="1"/>
  <c r="L113" i="2"/>
  <c r="K111" i="28" s="1"/>
  <c r="O111" i="28" s="1"/>
  <c r="X112" i="2"/>
  <c r="U112" i="2"/>
  <c r="R112" i="2"/>
  <c r="O112" i="2"/>
  <c r="P110" i="28" s="1"/>
  <c r="T110" i="28" s="1"/>
  <c r="X111" i="2"/>
  <c r="U111" i="2"/>
  <c r="R111" i="2"/>
  <c r="O111" i="2"/>
  <c r="P109" i="28" s="1"/>
  <c r="T109" i="28" s="1"/>
  <c r="X110" i="2"/>
  <c r="U110" i="2"/>
  <c r="R110" i="2"/>
  <c r="O110" i="2"/>
  <c r="P108" i="28" s="1"/>
  <c r="T108" i="28" s="1"/>
  <c r="L110" i="2"/>
  <c r="K108" i="28" s="1"/>
  <c r="O108" i="28" s="1"/>
  <c r="X109" i="2"/>
  <c r="U109" i="2"/>
  <c r="R109" i="2"/>
  <c r="O109" i="2"/>
  <c r="P107" i="28" s="1"/>
  <c r="X107" i="2"/>
  <c r="U107" i="2"/>
  <c r="R107" i="2"/>
  <c r="U105" i="28" s="1"/>
  <c r="Y105" i="28" s="1"/>
  <c r="O107" i="2"/>
  <c r="P105" i="28" s="1"/>
  <c r="T105" i="28" s="1"/>
  <c r="L107" i="2"/>
  <c r="K105" i="28" s="1"/>
  <c r="O105" i="28" s="1"/>
  <c r="X106" i="2"/>
  <c r="U106" i="2"/>
  <c r="R106" i="2"/>
  <c r="U104" i="28" s="1"/>
  <c r="Y104" i="28" s="1"/>
  <c r="O106" i="2"/>
  <c r="P104" i="28" s="1"/>
  <c r="T104" i="28" s="1"/>
  <c r="X105" i="2"/>
  <c r="U105" i="2"/>
  <c r="R105" i="2"/>
  <c r="U103" i="28" s="1"/>
  <c r="Y103" i="28" s="1"/>
  <c r="O105" i="2"/>
  <c r="P103" i="28" s="1"/>
  <c r="T103" i="28" s="1"/>
  <c r="X104" i="2"/>
  <c r="U104" i="2"/>
  <c r="R104" i="2"/>
  <c r="U102" i="28" s="1"/>
  <c r="Y102" i="28" s="1"/>
  <c r="O104" i="2"/>
  <c r="X103" i="2"/>
  <c r="U103" i="2"/>
  <c r="R103" i="2"/>
  <c r="U101" i="28" s="1"/>
  <c r="O103" i="2"/>
  <c r="P101" i="28" s="1"/>
  <c r="X98" i="2"/>
  <c r="AE96" i="28" s="1"/>
  <c r="AI96" i="28" s="1"/>
  <c r="U98" i="2"/>
  <c r="Z96" i="28" s="1"/>
  <c r="AD96" i="28" s="1"/>
  <c r="R98" i="2"/>
  <c r="U96" i="28" s="1"/>
  <c r="Y96" i="28" s="1"/>
  <c r="O98" i="2"/>
  <c r="P96" i="28" s="1"/>
  <c r="T96" i="28" s="1"/>
  <c r="X97" i="2"/>
  <c r="U97" i="2"/>
  <c r="Z95" i="28" s="1"/>
  <c r="AD95" i="28" s="1"/>
  <c r="R97" i="2"/>
  <c r="U95" i="28" s="1"/>
  <c r="Y95" i="28" s="1"/>
  <c r="O97" i="2"/>
  <c r="X96" i="2"/>
  <c r="U96" i="2"/>
  <c r="R96" i="2"/>
  <c r="O96" i="2"/>
  <c r="X95" i="2"/>
  <c r="U95" i="2"/>
  <c r="Z93" i="28" s="1"/>
  <c r="AD93" i="28" s="1"/>
  <c r="R95" i="2"/>
  <c r="U93" i="28" s="1"/>
  <c r="Y93" i="28" s="1"/>
  <c r="O95" i="2"/>
  <c r="X94" i="2"/>
  <c r="AE92" i="28" s="1"/>
  <c r="AI92" i="28" s="1"/>
  <c r="U94" i="2"/>
  <c r="Z92" i="28" s="1"/>
  <c r="AD92" i="28" s="1"/>
  <c r="R94" i="2"/>
  <c r="U92" i="28" s="1"/>
  <c r="Y92" i="28" s="1"/>
  <c r="X93" i="2"/>
  <c r="AE91" i="28" s="1"/>
  <c r="U93" i="2"/>
  <c r="Z91" i="28" s="1"/>
  <c r="R93" i="2"/>
  <c r="U91" i="28" s="1"/>
  <c r="O93" i="2"/>
  <c r="P91" i="28" s="1"/>
  <c r="X91" i="2"/>
  <c r="AE89" i="28" s="1"/>
  <c r="AI89" i="28" s="1"/>
  <c r="U91" i="2"/>
  <c r="R91" i="2"/>
  <c r="O91" i="2"/>
  <c r="X90" i="2"/>
  <c r="AE88" i="28" s="1"/>
  <c r="AI88" i="28" s="1"/>
  <c r="U90" i="2"/>
  <c r="Z88" i="28" s="1"/>
  <c r="AD88" i="28" s="1"/>
  <c r="R90" i="2"/>
  <c r="U88" i="28" s="1"/>
  <c r="Y88" i="28" s="1"/>
  <c r="O90" i="2"/>
  <c r="P88" i="28" s="1"/>
  <c r="T88" i="28" s="1"/>
  <c r="X89" i="2"/>
  <c r="AE87" i="28" s="1"/>
  <c r="AI87" i="28" s="1"/>
  <c r="U89" i="2"/>
  <c r="R89" i="2"/>
  <c r="O89" i="2"/>
  <c r="X88" i="2"/>
  <c r="AE86" i="28" s="1"/>
  <c r="U88" i="2"/>
  <c r="Z86" i="28" s="1"/>
  <c r="AD86" i="28" s="1"/>
  <c r="R88" i="2"/>
  <c r="U86" i="28" s="1"/>
  <c r="Y86" i="28" s="1"/>
  <c r="X87" i="2"/>
  <c r="AE85" i="28" s="1"/>
  <c r="AI85" i="28" s="1"/>
  <c r="U87" i="2"/>
  <c r="R87" i="2"/>
  <c r="O87" i="2"/>
  <c r="P85" i="28" s="1"/>
  <c r="X83" i="2"/>
  <c r="U83" i="2"/>
  <c r="R83" i="2"/>
  <c r="O83" i="2"/>
  <c r="X82" i="2"/>
  <c r="AE80" i="28" s="1"/>
  <c r="U82" i="2"/>
  <c r="Z80" i="28" s="1"/>
  <c r="AD80" i="28" s="1"/>
  <c r="R82" i="2"/>
  <c r="U80" i="28" s="1"/>
  <c r="Y80" i="28" s="1"/>
  <c r="O82" i="2"/>
  <c r="P80" i="28" s="1"/>
  <c r="T80" i="28" s="1"/>
  <c r="X81" i="2"/>
  <c r="R81" i="2"/>
  <c r="O81" i="2"/>
  <c r="X80" i="2"/>
  <c r="AE78" i="28" s="1"/>
  <c r="AI78" i="28" s="1"/>
  <c r="U80" i="2"/>
  <c r="Z78" i="28" s="1"/>
  <c r="R80" i="2"/>
  <c r="U78" i="28" s="1"/>
  <c r="O80" i="2"/>
  <c r="P78" i="28" s="1"/>
  <c r="X78" i="2"/>
  <c r="U78" i="2"/>
  <c r="Z76" i="28" s="1"/>
  <c r="AD76" i="28" s="1"/>
  <c r="R78" i="2"/>
  <c r="U76" i="28" s="1"/>
  <c r="Y76" i="28" s="1"/>
  <c r="O78" i="2"/>
  <c r="L78" i="2"/>
  <c r="K76" i="28" s="1"/>
  <c r="O76" i="28" s="1"/>
  <c r="X77" i="2"/>
  <c r="U77" i="2"/>
  <c r="Z75" i="28" s="1"/>
  <c r="AD75" i="28" s="1"/>
  <c r="R77" i="2"/>
  <c r="U75" i="28" s="1"/>
  <c r="Y75" i="28" s="1"/>
  <c r="O77" i="2"/>
  <c r="X76" i="2"/>
  <c r="AE74" i="28" s="1"/>
  <c r="AI74" i="28" s="1"/>
  <c r="U76" i="2"/>
  <c r="R76" i="2"/>
  <c r="O76" i="2"/>
  <c r="P74" i="28" s="1"/>
  <c r="X75" i="2"/>
  <c r="AE73" i="28" s="1"/>
  <c r="U75" i="2"/>
  <c r="R75" i="2"/>
  <c r="X72" i="2"/>
  <c r="AE70" i="28" s="1"/>
  <c r="AI70" i="28" s="1"/>
  <c r="U72" i="2"/>
  <c r="R72" i="2"/>
  <c r="O72" i="2"/>
  <c r="P70" i="28" s="1"/>
  <c r="T70" i="28" s="1"/>
  <c r="X71" i="2"/>
  <c r="U71" i="2"/>
  <c r="Z69" i="28" s="1"/>
  <c r="AD69" i="28" s="1"/>
  <c r="R71" i="2"/>
  <c r="U69" i="28" s="1"/>
  <c r="Y69" i="28" s="1"/>
  <c r="O71" i="2"/>
  <c r="X70" i="2"/>
  <c r="AE68" i="28" s="1"/>
  <c r="AI68" i="28" s="1"/>
  <c r="U70" i="2"/>
  <c r="Z68" i="28" s="1"/>
  <c r="AD68" i="28" s="1"/>
  <c r="R70" i="2"/>
  <c r="U68" i="28" s="1"/>
  <c r="Y68" i="28" s="1"/>
  <c r="O70" i="2"/>
  <c r="P68" i="28" s="1"/>
  <c r="T68" i="28" s="1"/>
  <c r="X69" i="2"/>
  <c r="AE67" i="28" s="1"/>
  <c r="AI67" i="28" s="1"/>
  <c r="U69" i="2"/>
  <c r="Z67" i="28" s="1"/>
  <c r="AD67" i="28" s="1"/>
  <c r="R69" i="2"/>
  <c r="U67" i="28" s="1"/>
  <c r="Y67" i="28" s="1"/>
  <c r="O69" i="2"/>
  <c r="P67" i="28" s="1"/>
  <c r="T67" i="28" s="1"/>
  <c r="X68" i="2"/>
  <c r="AE66" i="28" s="1"/>
  <c r="U68" i="2"/>
  <c r="Z66" i="28" s="1"/>
  <c r="R68" i="2"/>
  <c r="O68" i="2"/>
  <c r="P66" i="28" s="1"/>
  <c r="X66" i="2"/>
  <c r="AE64" i="28" s="1"/>
  <c r="AI64" i="28" s="1"/>
  <c r="U66" i="2"/>
  <c r="R66" i="2"/>
  <c r="O66" i="2"/>
  <c r="X65" i="2"/>
  <c r="AE63" i="28" s="1"/>
  <c r="AI63" i="28" s="1"/>
  <c r="U65" i="2"/>
  <c r="Z63" i="28" s="1"/>
  <c r="AD63" i="28" s="1"/>
  <c r="R65" i="2"/>
  <c r="U63" i="28" s="1"/>
  <c r="Y63" i="28" s="1"/>
  <c r="O65" i="2"/>
  <c r="P63" i="28" s="1"/>
  <c r="T63" i="28" s="1"/>
  <c r="X64" i="2"/>
  <c r="AE62" i="28" s="1"/>
  <c r="AI62" i="28" s="1"/>
  <c r="U64" i="2"/>
  <c r="Z62" i="28" s="1"/>
  <c r="AD62" i="28" s="1"/>
  <c r="R64" i="2"/>
  <c r="U62" i="28" s="1"/>
  <c r="Y62" i="28" s="1"/>
  <c r="O64" i="2"/>
  <c r="P62" i="28" s="1"/>
  <c r="T62" i="28" s="1"/>
  <c r="X63" i="2"/>
  <c r="AE61" i="28" s="1"/>
  <c r="U63" i="2"/>
  <c r="Z61" i="28" s="1"/>
  <c r="R63" i="2"/>
  <c r="U61" i="28" s="1"/>
  <c r="O63" i="2"/>
  <c r="P61" i="28" s="1"/>
  <c r="X57" i="2"/>
  <c r="AE55" i="28" s="1"/>
  <c r="U57" i="2"/>
  <c r="Z55" i="28" s="1"/>
  <c r="R57" i="2"/>
  <c r="U55" i="28" s="1"/>
  <c r="O57" i="2"/>
  <c r="P55" i="28" s="1"/>
  <c r="X49" i="2"/>
  <c r="AE47" i="28" s="1"/>
  <c r="AI47" i="28" s="1"/>
  <c r="U49" i="2"/>
  <c r="Z47" i="28" s="1"/>
  <c r="AD47" i="28" s="1"/>
  <c r="R49" i="2"/>
  <c r="U47" i="28" s="1"/>
  <c r="Y47" i="28" s="1"/>
  <c r="O49" i="2"/>
  <c r="P47" i="28" s="1"/>
  <c r="T47" i="28" s="1"/>
  <c r="X48" i="2"/>
  <c r="AE46" i="28" s="1"/>
  <c r="AI46" i="28" s="1"/>
  <c r="U48" i="2"/>
  <c r="Z46" i="28" s="1"/>
  <c r="AD46" i="28" s="1"/>
  <c r="R48" i="2"/>
  <c r="U46" i="28" s="1"/>
  <c r="Y46" i="28" s="1"/>
  <c r="O48" i="2"/>
  <c r="P46" i="28" s="1"/>
  <c r="T46" i="28" s="1"/>
  <c r="X47" i="2"/>
  <c r="U47" i="2"/>
  <c r="R47" i="2"/>
  <c r="O47" i="2"/>
  <c r="X44" i="2"/>
  <c r="U44" i="2"/>
  <c r="Z42" i="28" s="1"/>
  <c r="AD42" i="28" s="1"/>
  <c r="R44" i="2"/>
  <c r="U42" i="28" s="1"/>
  <c r="Y42" i="28" s="1"/>
  <c r="O44" i="2"/>
  <c r="X43" i="2"/>
  <c r="U43" i="2"/>
  <c r="X42" i="2"/>
  <c r="U42" i="2"/>
  <c r="R42" i="2"/>
  <c r="U40" i="28" s="1"/>
  <c r="Y40" i="28" s="1"/>
  <c r="O42" i="2"/>
  <c r="P40" i="28" s="1"/>
  <c r="T40" i="28" s="1"/>
  <c r="X40" i="2"/>
  <c r="AE38" i="28" s="1"/>
  <c r="AI38" i="28" s="1"/>
  <c r="U40" i="2"/>
  <c r="Z38" i="28" s="1"/>
  <c r="R40" i="2"/>
  <c r="U38" i="28" s="1"/>
  <c r="O40" i="2"/>
  <c r="P38" i="28" s="1"/>
  <c r="X38" i="2"/>
  <c r="AE36" i="28" s="1"/>
  <c r="AI36" i="28" s="1"/>
  <c r="U38" i="2"/>
  <c r="Z36" i="28" s="1"/>
  <c r="AD36" i="28" s="1"/>
  <c r="R38" i="2"/>
  <c r="U36" i="28" s="1"/>
  <c r="Y36" i="28" s="1"/>
  <c r="O38" i="2"/>
  <c r="P36" i="28" s="1"/>
  <c r="T36" i="28" s="1"/>
  <c r="X37" i="2"/>
  <c r="AE35" i="28" s="1"/>
  <c r="AI35" i="28" s="1"/>
  <c r="U37" i="2"/>
  <c r="R37" i="2"/>
  <c r="O37" i="2"/>
  <c r="X36" i="2"/>
  <c r="U36" i="2"/>
  <c r="Z34" i="28" s="1"/>
  <c r="AD34" i="28" s="1"/>
  <c r="R36" i="2"/>
  <c r="U34" i="28" s="1"/>
  <c r="O36" i="2"/>
  <c r="X35" i="2"/>
  <c r="AE33" i="28" s="1"/>
  <c r="AI33" i="28" s="1"/>
  <c r="U35" i="2"/>
  <c r="R35" i="2"/>
  <c r="U33" i="28" s="1"/>
  <c r="Y33" i="28" s="1"/>
  <c r="O35" i="2"/>
  <c r="P33" i="28" s="1"/>
  <c r="T33" i="28" s="1"/>
  <c r="X34" i="2"/>
  <c r="U34" i="2"/>
  <c r="R34" i="2"/>
  <c r="O34" i="2"/>
  <c r="Q66" i="8"/>
  <c r="P66" i="8"/>
  <c r="O66" i="8"/>
  <c r="N66" i="8"/>
  <c r="Q73" i="9"/>
  <c r="P73" i="9"/>
  <c r="O73" i="9"/>
  <c r="N73" i="9"/>
  <c r="U37" i="28" l="1"/>
  <c r="Y38" i="28"/>
  <c r="Y37" i="28" s="1"/>
  <c r="O43" i="24"/>
  <c r="AE42" i="28"/>
  <c r="AI42" i="28" s="1"/>
  <c r="AE60" i="28"/>
  <c r="AI61" i="28"/>
  <c r="AI60" i="28" s="1"/>
  <c r="T85" i="28"/>
  <c r="Q90" i="23"/>
  <c r="U89" i="28"/>
  <c r="Y89" i="28" s="1"/>
  <c r="N103" i="25"/>
  <c r="Z101" i="28"/>
  <c r="N104" i="25"/>
  <c r="Z102" i="28"/>
  <c r="AD102" i="28" s="1"/>
  <c r="M109" i="25"/>
  <c r="U107" i="28"/>
  <c r="O115" i="25"/>
  <c r="AE113" i="28"/>
  <c r="AI113" i="28" s="1"/>
  <c r="N119" i="25"/>
  <c r="Z117" i="28"/>
  <c r="AD117" i="28" s="1"/>
  <c r="Z146" i="28"/>
  <c r="Z145" i="28" s="1"/>
  <c r="AD147" i="28"/>
  <c r="AD146" i="28" s="1"/>
  <c r="AD145" i="28" s="1"/>
  <c r="M164" i="25"/>
  <c r="U162" i="28"/>
  <c r="Y162" i="28" s="1"/>
  <c r="Z168" i="28"/>
  <c r="Z167" i="28" s="1"/>
  <c r="AD169" i="28"/>
  <c r="AD168" i="28" s="1"/>
  <c r="AD167" i="28" s="1"/>
  <c r="AD172" i="28"/>
  <c r="N177" i="26"/>
  <c r="N172" i="26" s="1"/>
  <c r="N171" i="26" s="1"/>
  <c r="N167" i="26" s="1"/>
  <c r="Z176" i="28"/>
  <c r="AD176" i="28" s="1"/>
  <c r="AD38" i="28"/>
  <c r="N42" i="25"/>
  <c r="Z40" i="28"/>
  <c r="AD40" i="28" s="1"/>
  <c r="L43" i="24"/>
  <c r="P42" i="28"/>
  <c r="T42" i="28" s="1"/>
  <c r="L46" i="26"/>
  <c r="L45" i="26" s="1"/>
  <c r="L7" i="26" s="1"/>
  <c r="P45" i="28"/>
  <c r="P54" i="28"/>
  <c r="T55" i="28"/>
  <c r="T54" i="28" s="1"/>
  <c r="T61" i="28"/>
  <c r="Q66" i="2"/>
  <c r="P64" i="28"/>
  <c r="T64" i="28" s="1"/>
  <c r="T66" i="28"/>
  <c r="L70" i="24"/>
  <c r="P69" i="28"/>
  <c r="T69" i="28" s="1"/>
  <c r="Q74" i="23"/>
  <c r="U73" i="28"/>
  <c r="Q75" i="23"/>
  <c r="U74" i="28"/>
  <c r="Y74" i="28" s="1"/>
  <c r="L77" i="24"/>
  <c r="P76" i="28"/>
  <c r="T76" i="28" s="1"/>
  <c r="T78" i="28"/>
  <c r="K81" i="38"/>
  <c r="P79" i="28"/>
  <c r="T79" i="28" s="1"/>
  <c r="M82" i="26"/>
  <c r="M78" i="26" s="1"/>
  <c r="M72" i="26" s="1"/>
  <c r="U81" i="28"/>
  <c r="Y81" i="28" s="1"/>
  <c r="M87" i="25"/>
  <c r="U85" i="28"/>
  <c r="N89" i="25"/>
  <c r="Z87" i="28"/>
  <c r="AD87" i="28" s="1"/>
  <c r="T90" i="23"/>
  <c r="Z89" i="28"/>
  <c r="AD89" i="28" s="1"/>
  <c r="AD91" i="28"/>
  <c r="O94" i="24"/>
  <c r="AE93" i="28"/>
  <c r="AI93" i="28" s="1"/>
  <c r="O95" i="24"/>
  <c r="AE94" i="28"/>
  <c r="AI94" i="28" s="1"/>
  <c r="O96" i="25"/>
  <c r="O96" i="24"/>
  <c r="AE95" i="28"/>
  <c r="AI95" i="28" s="1"/>
  <c r="O103" i="25"/>
  <c r="AE101" i="28"/>
  <c r="AI101" i="28" s="1"/>
  <c r="O104" i="25"/>
  <c r="AE102" i="28"/>
  <c r="O105" i="25"/>
  <c r="AE103" i="28"/>
  <c r="AI103" i="28" s="1"/>
  <c r="O106" i="25"/>
  <c r="AE104" i="28"/>
  <c r="AI104" i="28" s="1"/>
  <c r="N107" i="25"/>
  <c r="Z105" i="28"/>
  <c r="AD105" i="28" s="1"/>
  <c r="N109" i="25"/>
  <c r="Z107" i="28"/>
  <c r="M110" i="25"/>
  <c r="U108" i="28"/>
  <c r="Y108" i="28" s="1"/>
  <c r="M111" i="25"/>
  <c r="U109" i="28"/>
  <c r="Y109" i="28" s="1"/>
  <c r="M112" i="25"/>
  <c r="U110" i="28"/>
  <c r="Y110" i="28" s="1"/>
  <c r="T113" i="28"/>
  <c r="Q117" i="2"/>
  <c r="P115" i="28"/>
  <c r="T115" i="28" s="1"/>
  <c r="Q118" i="2"/>
  <c r="P116" i="28"/>
  <c r="T116" i="28" s="1"/>
  <c r="AE146" i="28"/>
  <c r="AE145" i="28" s="1"/>
  <c r="AI148" i="28"/>
  <c r="AI146" i="28" s="1"/>
  <c r="AI145" i="28" s="1"/>
  <c r="O162" i="25"/>
  <c r="AE160" i="28"/>
  <c r="AI160" i="28" s="1"/>
  <c r="N164" i="25"/>
  <c r="Z162" i="28"/>
  <c r="AD162" i="28" s="1"/>
  <c r="AE168" i="28"/>
  <c r="AE167" i="28" s="1"/>
  <c r="AI169" i="28"/>
  <c r="AI168" i="28" s="1"/>
  <c r="AI167" i="28" s="1"/>
  <c r="X173" i="2"/>
  <c r="AE172" i="28"/>
  <c r="O177" i="26"/>
  <c r="O172" i="26" s="1"/>
  <c r="O171" i="26" s="1"/>
  <c r="O167" i="26" s="1"/>
  <c r="AE176" i="28"/>
  <c r="AI176" i="28" s="1"/>
  <c r="O43" i="25"/>
  <c r="AE41" i="28"/>
  <c r="AI41" i="28" s="1"/>
  <c r="O70" i="24"/>
  <c r="AE69" i="28"/>
  <c r="AI69" i="28" s="1"/>
  <c r="T74" i="28"/>
  <c r="L76" i="24"/>
  <c r="P75" i="28"/>
  <c r="T75" i="28" s="1"/>
  <c r="O77" i="24"/>
  <c r="AE76" i="28"/>
  <c r="AI76" i="28" s="1"/>
  <c r="L82" i="26"/>
  <c r="L78" i="26" s="1"/>
  <c r="L72" i="26" s="1"/>
  <c r="P81" i="28"/>
  <c r="T81" i="28" s="1"/>
  <c r="M89" i="25"/>
  <c r="U87" i="28"/>
  <c r="Y87" i="28" s="1"/>
  <c r="Y91" i="28"/>
  <c r="Z94" i="28"/>
  <c r="AD94" i="28" s="1"/>
  <c r="N96" i="25"/>
  <c r="N105" i="25"/>
  <c r="Z103" i="28"/>
  <c r="AD103" i="28" s="1"/>
  <c r="N106" i="25"/>
  <c r="Z104" i="28"/>
  <c r="AD104" i="28" s="1"/>
  <c r="O113" i="25"/>
  <c r="AE111" i="28"/>
  <c r="AI111" i="28" s="1"/>
  <c r="O116" i="25"/>
  <c r="AE114" i="28"/>
  <c r="AD160" i="28"/>
  <c r="O42" i="25"/>
  <c r="AE40" i="28"/>
  <c r="M46" i="26"/>
  <c r="M45" i="26" s="1"/>
  <c r="M7" i="26" s="1"/>
  <c r="U45" i="28"/>
  <c r="U54" i="28"/>
  <c r="Y55" i="28"/>
  <c r="Y54" i="28" s="1"/>
  <c r="Y61" i="28"/>
  <c r="M66" i="25"/>
  <c r="U64" i="28"/>
  <c r="Y64" i="28" s="1"/>
  <c r="Q67" i="23"/>
  <c r="U66" i="28"/>
  <c r="M72" i="25"/>
  <c r="U70" i="28"/>
  <c r="Y70" i="28" s="1"/>
  <c r="T74" i="23"/>
  <c r="Z73" i="28"/>
  <c r="T75" i="23"/>
  <c r="Z74" i="28"/>
  <c r="AD74" i="28" s="1"/>
  <c r="Y78" i="28"/>
  <c r="L81" i="38"/>
  <c r="U79" i="28"/>
  <c r="Y79" i="28" s="1"/>
  <c r="N82" i="26"/>
  <c r="N78" i="26" s="1"/>
  <c r="N72" i="26" s="1"/>
  <c r="Z81" i="28"/>
  <c r="AD81" i="28" s="1"/>
  <c r="N87" i="25"/>
  <c r="Z85" i="28"/>
  <c r="AE84" i="28"/>
  <c r="AI86" i="28"/>
  <c r="AI84" i="28" s="1"/>
  <c r="AI91" i="28"/>
  <c r="L94" i="24"/>
  <c r="P93" i="28"/>
  <c r="T93" i="28" s="1"/>
  <c r="L95" i="24"/>
  <c r="P94" i="28"/>
  <c r="T94" i="28" s="1"/>
  <c r="L96" i="25"/>
  <c r="Q96" i="2"/>
  <c r="L96" i="24"/>
  <c r="P95" i="28"/>
  <c r="T95" i="28" s="1"/>
  <c r="T101" i="28"/>
  <c r="N103" i="23"/>
  <c r="P102" i="28"/>
  <c r="T102" i="28" s="1"/>
  <c r="O107" i="25"/>
  <c r="AE105" i="28"/>
  <c r="AI105" i="28" s="1"/>
  <c r="O109" i="25"/>
  <c r="AE107" i="28"/>
  <c r="N110" i="25"/>
  <c r="Z108" i="28"/>
  <c r="AD108" i="28" s="1"/>
  <c r="N111" i="25"/>
  <c r="Z109" i="28"/>
  <c r="AD109" i="28" s="1"/>
  <c r="N112" i="25"/>
  <c r="Z110" i="28"/>
  <c r="AD110" i="28" s="1"/>
  <c r="M113" i="25"/>
  <c r="M108" i="25" s="1"/>
  <c r="U111" i="28"/>
  <c r="Y111" i="28" s="1"/>
  <c r="U112" i="28"/>
  <c r="Y113" i="28"/>
  <c r="Y112" i="28" s="1"/>
  <c r="P146" i="28"/>
  <c r="P145" i="28" s="1"/>
  <c r="T147" i="28"/>
  <c r="T146" i="28" s="1"/>
  <c r="T145" i="28" s="1"/>
  <c r="T160" i="28"/>
  <c r="Q163" i="2"/>
  <c r="O162" i="27"/>
  <c r="P161" i="28"/>
  <c r="T161" i="28" s="1"/>
  <c r="AE159" i="28"/>
  <c r="AE158" i="28" s="1"/>
  <c r="AI162" i="28"/>
  <c r="T172" i="28"/>
  <c r="L177" i="26"/>
  <c r="L172" i="26" s="1"/>
  <c r="L171" i="26" s="1"/>
  <c r="L167" i="26" s="1"/>
  <c r="P176" i="28"/>
  <c r="T176" i="28" s="1"/>
  <c r="O46" i="26"/>
  <c r="O45" i="26" s="1"/>
  <c r="O7" i="26" s="1"/>
  <c r="AE45" i="28"/>
  <c r="AE54" i="28"/>
  <c r="AI55" i="28"/>
  <c r="AI54" i="28" s="1"/>
  <c r="AE65" i="28"/>
  <c r="AI66" i="28"/>
  <c r="P37" i="28"/>
  <c r="T38" i="28"/>
  <c r="T37" i="28" s="1"/>
  <c r="N43" i="25"/>
  <c r="Z41" i="28"/>
  <c r="AD41" i="28" s="1"/>
  <c r="N46" i="26"/>
  <c r="N45" i="26" s="1"/>
  <c r="N7" i="26" s="1"/>
  <c r="Z45" i="28"/>
  <c r="Z54" i="28"/>
  <c r="AD55" i="28"/>
  <c r="AD54" i="28" s="1"/>
  <c r="AD61" i="28"/>
  <c r="N66" i="25"/>
  <c r="Z64" i="28"/>
  <c r="AD64" i="28" s="1"/>
  <c r="AD66" i="28"/>
  <c r="N72" i="25"/>
  <c r="Z70" i="28"/>
  <c r="AD70" i="28" s="1"/>
  <c r="AI73" i="28"/>
  <c r="O76" i="24"/>
  <c r="AE75" i="28"/>
  <c r="AI75" i="28" s="1"/>
  <c r="AD78" i="28"/>
  <c r="N81" i="38"/>
  <c r="AE79" i="28"/>
  <c r="AI79" i="28" s="1"/>
  <c r="AI80" i="28"/>
  <c r="O82" i="26"/>
  <c r="O78" i="26" s="1"/>
  <c r="O72" i="26" s="1"/>
  <c r="AE81" i="28"/>
  <c r="AI81" i="28" s="1"/>
  <c r="Q89" i="2"/>
  <c r="P87" i="28"/>
  <c r="T87" i="28" s="1"/>
  <c r="N90" i="23"/>
  <c r="P89" i="28"/>
  <c r="T89" i="28" s="1"/>
  <c r="T91" i="28"/>
  <c r="U94" i="28"/>
  <c r="Y94" i="28" s="1"/>
  <c r="M96" i="25"/>
  <c r="U100" i="28"/>
  <c r="Y101" i="28"/>
  <c r="Y100" i="28" s="1"/>
  <c r="P106" i="28"/>
  <c r="T107" i="28"/>
  <c r="T106" i="28" s="1"/>
  <c r="O110" i="25"/>
  <c r="AE108" i="28"/>
  <c r="AI108" i="28" s="1"/>
  <c r="O111" i="25"/>
  <c r="AE109" i="28"/>
  <c r="AI109" i="28" s="1"/>
  <c r="O112" i="25"/>
  <c r="AE110" i="28"/>
  <c r="AI110" i="28" s="1"/>
  <c r="N113" i="25"/>
  <c r="Z111" i="28"/>
  <c r="AD111" i="28" s="1"/>
  <c r="N115" i="25"/>
  <c r="Z113" i="28"/>
  <c r="N116" i="25"/>
  <c r="Z114" i="28"/>
  <c r="AD114" i="28" s="1"/>
  <c r="N117" i="25"/>
  <c r="Z115" i="28"/>
  <c r="AD115" i="28" s="1"/>
  <c r="N118" i="25"/>
  <c r="Z116" i="28"/>
  <c r="AD116" i="28" s="1"/>
  <c r="U146" i="28"/>
  <c r="U145" i="28" s="1"/>
  <c r="Y147" i="28"/>
  <c r="Y146" i="28" s="1"/>
  <c r="Y145" i="28" s="1"/>
  <c r="Y160" i="28"/>
  <c r="Q164" i="2"/>
  <c r="P162" i="28"/>
  <c r="T162" i="28" s="1"/>
  <c r="Q165" i="2"/>
  <c r="P163" i="28"/>
  <c r="T163" i="28" s="1"/>
  <c r="Q166" i="2"/>
  <c r="P164" i="28"/>
  <c r="T164" i="28" s="1"/>
  <c r="U168" i="28"/>
  <c r="U167" i="28" s="1"/>
  <c r="Y169" i="28"/>
  <c r="Y168" i="28" s="1"/>
  <c r="Y167" i="28" s="1"/>
  <c r="Y172" i="28"/>
  <c r="M177" i="26"/>
  <c r="M172" i="26" s="1"/>
  <c r="M171" i="26" s="1"/>
  <c r="M167" i="26" s="1"/>
  <c r="U176" i="28"/>
  <c r="Y176" i="28" s="1"/>
  <c r="Q33" i="23"/>
  <c r="U32" i="28"/>
  <c r="T33" i="23"/>
  <c r="Z32" i="28"/>
  <c r="N35" i="25"/>
  <c r="Z33" i="28"/>
  <c r="T36" i="23"/>
  <c r="Z35" i="28"/>
  <c r="AD35" i="28" s="1"/>
  <c r="Y34" i="28"/>
  <c r="Q36" i="23"/>
  <c r="U35" i="28"/>
  <c r="Y35" i="28" s="1"/>
  <c r="W33" i="23"/>
  <c r="AE32" i="28"/>
  <c r="N36" i="38"/>
  <c r="AE34" i="28"/>
  <c r="AI34" i="28" s="1"/>
  <c r="Q43" i="23"/>
  <c r="M43" i="24"/>
  <c r="N33" i="23"/>
  <c r="P32" i="28"/>
  <c r="K36" i="38"/>
  <c r="P34" i="28"/>
  <c r="T34" i="28" s="1"/>
  <c r="N36" i="23"/>
  <c r="P35" i="28"/>
  <c r="T35" i="28" s="1"/>
  <c r="T43" i="23"/>
  <c r="N43" i="24"/>
  <c r="K82" i="38"/>
  <c r="N81" i="23"/>
  <c r="T94" i="23"/>
  <c r="N94" i="24"/>
  <c r="K44" i="38"/>
  <c r="N43" i="23"/>
  <c r="L71" i="24"/>
  <c r="L72" i="25"/>
  <c r="Q72" i="2"/>
  <c r="Q76" i="23"/>
  <c r="M76" i="24"/>
  <c r="L82" i="38"/>
  <c r="Q81" i="23"/>
  <c r="L83" i="38"/>
  <c r="O71" i="24"/>
  <c r="O72" i="25"/>
  <c r="K77" i="23"/>
  <c r="K77" i="24"/>
  <c r="O37" i="25"/>
  <c r="W36" i="23"/>
  <c r="W37" i="23"/>
  <c r="O38" i="25"/>
  <c r="T76" i="23"/>
  <c r="N76" i="24"/>
  <c r="Q77" i="23"/>
  <c r="M77" i="24"/>
  <c r="M82" i="38"/>
  <c r="T81" i="23"/>
  <c r="M83" i="38"/>
  <c r="M37" i="24"/>
  <c r="Q37" i="23"/>
  <c r="M38" i="25"/>
  <c r="T38" i="2"/>
  <c r="N44" i="38"/>
  <c r="W43" i="23"/>
  <c r="K83" i="38"/>
  <c r="N37" i="24"/>
  <c r="T37" i="23"/>
  <c r="N38" i="25"/>
  <c r="N37" i="23"/>
  <c r="L38" i="25"/>
  <c r="Q38" i="2"/>
  <c r="T77" i="23"/>
  <c r="N77" i="24"/>
  <c r="N82" i="38"/>
  <c r="W81" i="23"/>
  <c r="N83" i="38"/>
  <c r="Q94" i="23"/>
  <c r="M94" i="24"/>
  <c r="L42" i="25"/>
  <c r="Q42" i="2"/>
  <c r="Q96" i="23"/>
  <c r="M96" i="24"/>
  <c r="M42" i="25"/>
  <c r="T42" i="2"/>
  <c r="T96" i="23"/>
  <c r="N96" i="24"/>
  <c r="L37" i="25"/>
  <c r="Q37" i="2"/>
  <c r="N36" i="24"/>
  <c r="N37" i="25"/>
  <c r="M36" i="24"/>
  <c r="M37" i="25"/>
  <c r="T37" i="2"/>
  <c r="K107" i="25"/>
  <c r="N107" i="2"/>
  <c r="K164" i="25"/>
  <c r="N164" i="2"/>
  <c r="K119" i="25"/>
  <c r="N119" i="2"/>
  <c r="L105" i="25"/>
  <c r="Q105" i="2"/>
  <c r="M115" i="25"/>
  <c r="T115" i="2"/>
  <c r="M116" i="25"/>
  <c r="T116" i="2"/>
  <c r="M117" i="25"/>
  <c r="T117" i="2"/>
  <c r="M118" i="25"/>
  <c r="T118" i="2"/>
  <c r="O118" i="27"/>
  <c r="R118" i="27" s="1"/>
  <c r="Q119" i="2"/>
  <c r="M105" i="25"/>
  <c r="T105" i="2"/>
  <c r="M119" i="25"/>
  <c r="T119" i="2"/>
  <c r="L115" i="25"/>
  <c r="Q115" i="2"/>
  <c r="L116" i="25"/>
  <c r="Q116" i="2"/>
  <c r="N34" i="38"/>
  <c r="O34" i="25"/>
  <c r="O34" i="24"/>
  <c r="O35" i="25"/>
  <c r="N37" i="38"/>
  <c r="O36" i="24"/>
  <c r="N42" i="38"/>
  <c r="W41" i="23"/>
  <c r="O41" i="24"/>
  <c r="M68" i="25"/>
  <c r="M67" i="24"/>
  <c r="Q69" i="23"/>
  <c r="M70" i="25"/>
  <c r="M69" i="24"/>
  <c r="Q71" i="23"/>
  <c r="M71" i="24"/>
  <c r="Q165" i="23"/>
  <c r="M166" i="25"/>
  <c r="M165" i="24"/>
  <c r="K34" i="38"/>
  <c r="L34" i="25"/>
  <c r="Q34" i="2"/>
  <c r="L34" i="24"/>
  <c r="L35" i="25"/>
  <c r="Q35" i="2"/>
  <c r="K42" i="38"/>
  <c r="N41" i="23"/>
  <c r="L41" i="24"/>
  <c r="T67" i="23"/>
  <c r="N68" i="25"/>
  <c r="N67" i="24"/>
  <c r="T69" i="23"/>
  <c r="N70" i="25"/>
  <c r="N69" i="24"/>
  <c r="T71" i="23"/>
  <c r="N71" i="24"/>
  <c r="Q95" i="23"/>
  <c r="M95" i="24"/>
  <c r="Q97" i="23"/>
  <c r="M98" i="25"/>
  <c r="M97" i="24"/>
  <c r="O162" i="24"/>
  <c r="O163" i="25"/>
  <c r="T164" i="23"/>
  <c r="N165" i="25"/>
  <c r="N164" i="24"/>
  <c r="T165" i="23"/>
  <c r="N166" i="25"/>
  <c r="N165" i="24"/>
  <c r="M34" i="25"/>
  <c r="T34" i="2"/>
  <c r="M35" i="25"/>
  <c r="T35" i="2"/>
  <c r="Q41" i="23"/>
  <c r="M41" i="24"/>
  <c r="O65" i="24"/>
  <c r="O66" i="25"/>
  <c r="O68" i="25"/>
  <c r="O67" i="24"/>
  <c r="O69" i="25"/>
  <c r="O68" i="24"/>
  <c r="O70" i="25"/>
  <c r="O69" i="24"/>
  <c r="L86" i="24"/>
  <c r="L87" i="25"/>
  <c r="Q87" i="2"/>
  <c r="Q89" i="23"/>
  <c r="M89" i="24"/>
  <c r="M90" i="25"/>
  <c r="T95" i="23"/>
  <c r="N95" i="24"/>
  <c r="T97" i="23"/>
  <c r="N97" i="24"/>
  <c r="N98" i="25"/>
  <c r="M107" i="25"/>
  <c r="T107" i="2"/>
  <c r="O116" i="24"/>
  <c r="O117" i="25"/>
  <c r="O117" i="24"/>
  <c r="O118" i="25"/>
  <c r="L163" i="25"/>
  <c r="L162" i="24"/>
  <c r="W163" i="23"/>
  <c r="O164" i="25"/>
  <c r="O165" i="25"/>
  <c r="O164" i="24"/>
  <c r="O166" i="25"/>
  <c r="O165" i="24"/>
  <c r="N38" i="38"/>
  <c r="O37" i="24"/>
  <c r="Q68" i="23"/>
  <c r="M69" i="25"/>
  <c r="M68" i="24"/>
  <c r="Q70" i="23"/>
  <c r="M70" i="24"/>
  <c r="O89" i="24"/>
  <c r="O90" i="25"/>
  <c r="L98" i="25"/>
  <c r="L97" i="24"/>
  <c r="Q98" i="2"/>
  <c r="L118" i="24"/>
  <c r="L119" i="25"/>
  <c r="T162" i="23"/>
  <c r="N162" i="24"/>
  <c r="N163" i="25"/>
  <c r="Q164" i="23"/>
  <c r="M165" i="25"/>
  <c r="M164" i="24"/>
  <c r="K37" i="38"/>
  <c r="L36" i="24"/>
  <c r="K38" i="38"/>
  <c r="L37" i="24"/>
  <c r="T68" i="23"/>
  <c r="N69" i="25"/>
  <c r="N68" i="24"/>
  <c r="T70" i="23"/>
  <c r="N70" i="24"/>
  <c r="O86" i="24"/>
  <c r="O87" i="25"/>
  <c r="L89" i="24"/>
  <c r="L90" i="25"/>
  <c r="Q90" i="2"/>
  <c r="L107" i="25"/>
  <c r="Q107" i="2"/>
  <c r="N34" i="25"/>
  <c r="T41" i="23"/>
  <c r="N41" i="24"/>
  <c r="L65" i="24"/>
  <c r="L66" i="25"/>
  <c r="L68" i="25"/>
  <c r="L67" i="24"/>
  <c r="Q68" i="2"/>
  <c r="L69" i="25"/>
  <c r="L68" i="24"/>
  <c r="Q69" i="2"/>
  <c r="L69" i="24"/>
  <c r="L70" i="25"/>
  <c r="Q70" i="2"/>
  <c r="T89" i="23"/>
  <c r="N90" i="25"/>
  <c r="N89" i="24"/>
  <c r="O98" i="25"/>
  <c r="O97" i="24"/>
  <c r="L116" i="24"/>
  <c r="L117" i="25"/>
  <c r="L117" i="24"/>
  <c r="L118" i="25"/>
  <c r="O118" i="24"/>
  <c r="O119" i="25"/>
  <c r="Q162" i="23"/>
  <c r="M162" i="24"/>
  <c r="M163" i="25"/>
  <c r="N163" i="23"/>
  <c r="L164" i="25"/>
  <c r="L165" i="25"/>
  <c r="L164" i="24"/>
  <c r="L165" i="24"/>
  <c r="L166" i="25"/>
  <c r="U173" i="2"/>
  <c r="R173" i="2"/>
  <c r="O173" i="2"/>
  <c r="R79" i="2"/>
  <c r="U79" i="2"/>
  <c r="N80" i="38"/>
  <c r="X79" i="2"/>
  <c r="K80" i="38"/>
  <c r="O79" i="2"/>
  <c r="L109" i="25"/>
  <c r="Q109" i="2"/>
  <c r="K110" i="25"/>
  <c r="N110" i="2"/>
  <c r="L110" i="25"/>
  <c r="Q110" i="2"/>
  <c r="L111" i="25"/>
  <c r="Q111" i="2"/>
  <c r="L112" i="25"/>
  <c r="Q112" i="2"/>
  <c r="X92" i="2"/>
  <c r="L103" i="25"/>
  <c r="Q103" i="2"/>
  <c r="M103" i="25"/>
  <c r="T103" i="2"/>
  <c r="M104" i="25"/>
  <c r="T104" i="2"/>
  <c r="L43" i="25"/>
  <c r="Q43" i="2"/>
  <c r="L104" i="25"/>
  <c r="Q104" i="2"/>
  <c r="M43" i="25"/>
  <c r="T43" i="2"/>
  <c r="L162" i="25"/>
  <c r="Q162" i="2"/>
  <c r="R92" i="2"/>
  <c r="O92" i="2"/>
  <c r="U92" i="2"/>
  <c r="N161" i="24"/>
  <c r="N162" i="25"/>
  <c r="O88" i="24"/>
  <c r="O89" i="25"/>
  <c r="L88" i="24"/>
  <c r="L89" i="25"/>
  <c r="M161" i="24"/>
  <c r="M162" i="25"/>
  <c r="K113" i="25"/>
  <c r="N113" i="2"/>
  <c r="K163" i="23"/>
  <c r="K163" i="24"/>
  <c r="K118" i="23"/>
  <c r="K118" i="24"/>
  <c r="L106" i="25"/>
  <c r="Q106" i="2"/>
  <c r="Q115" i="23"/>
  <c r="M115" i="24"/>
  <c r="M106" i="25"/>
  <c r="T106" i="2"/>
  <c r="T114" i="23"/>
  <c r="N114" i="24"/>
  <c r="T115" i="23"/>
  <c r="N115" i="24"/>
  <c r="T116" i="23"/>
  <c r="N116" i="24"/>
  <c r="T117" i="23"/>
  <c r="N117" i="24"/>
  <c r="Q118" i="23"/>
  <c r="M118" i="24"/>
  <c r="N169" i="38"/>
  <c r="W162" i="23"/>
  <c r="N163" i="24"/>
  <c r="T163" i="23"/>
  <c r="T65" i="23"/>
  <c r="N65" i="24"/>
  <c r="Q114" i="23"/>
  <c r="M114" i="24"/>
  <c r="N115" i="38"/>
  <c r="W114" i="23"/>
  <c r="O114" i="24"/>
  <c r="N116" i="38"/>
  <c r="W115" i="23"/>
  <c r="O115" i="24"/>
  <c r="T118" i="23"/>
  <c r="N118" i="24"/>
  <c r="K169" i="38"/>
  <c r="N162" i="23"/>
  <c r="N171" i="38"/>
  <c r="W164" i="23"/>
  <c r="T86" i="23"/>
  <c r="N86" i="24"/>
  <c r="Q116" i="23"/>
  <c r="M116" i="24"/>
  <c r="Q117" i="23"/>
  <c r="M117" i="24"/>
  <c r="M163" i="24"/>
  <c r="Q163" i="23"/>
  <c r="Q65" i="23"/>
  <c r="M65" i="24"/>
  <c r="Q86" i="23"/>
  <c r="M86" i="24"/>
  <c r="K115" i="38"/>
  <c r="N114" i="23"/>
  <c r="L114" i="24"/>
  <c r="K116" i="38"/>
  <c r="N115" i="23"/>
  <c r="L115" i="24"/>
  <c r="K171" i="38"/>
  <c r="N164" i="23"/>
  <c r="W161" i="23"/>
  <c r="O161" i="24"/>
  <c r="Q88" i="23"/>
  <c r="M88" i="24"/>
  <c r="N161" i="23"/>
  <c r="L161" i="24"/>
  <c r="N170" i="38"/>
  <c r="O163" i="24"/>
  <c r="T34" i="23"/>
  <c r="N34" i="24"/>
  <c r="Q34" i="23"/>
  <c r="M34" i="24"/>
  <c r="T88" i="23"/>
  <c r="N88" i="24"/>
  <c r="L113" i="25"/>
  <c r="Q113" i="2"/>
  <c r="K170" i="38"/>
  <c r="L163" i="24"/>
  <c r="T39" i="23"/>
  <c r="N40" i="25"/>
  <c r="N39" i="24"/>
  <c r="T42" i="23"/>
  <c r="N42" i="24"/>
  <c r="T47" i="23"/>
  <c r="N48" i="25"/>
  <c r="N47" i="24"/>
  <c r="T48" i="23"/>
  <c r="N49" i="25"/>
  <c r="N48" i="24"/>
  <c r="M57" i="38"/>
  <c r="T56" i="23"/>
  <c r="T55" i="23" s="1"/>
  <c r="N57" i="25"/>
  <c r="N56" i="25" s="1"/>
  <c r="N56" i="24"/>
  <c r="N55" i="24" s="1"/>
  <c r="T62" i="23"/>
  <c r="N63" i="25"/>
  <c r="N62" i="24"/>
  <c r="T63" i="23"/>
  <c r="N64" i="25"/>
  <c r="N63" i="24"/>
  <c r="T64" i="23"/>
  <c r="N64" i="24"/>
  <c r="N65" i="25"/>
  <c r="N75" i="38"/>
  <c r="W74" i="23"/>
  <c r="N76" i="38"/>
  <c r="W75" i="23"/>
  <c r="N77" i="38"/>
  <c r="W76" i="23"/>
  <c r="T80" i="23"/>
  <c r="N81" i="25"/>
  <c r="N80" i="24"/>
  <c r="T82" i="23"/>
  <c r="N83" i="25"/>
  <c r="N82" i="24"/>
  <c r="N88" i="38"/>
  <c r="W87" i="23"/>
  <c r="O88" i="25"/>
  <c r="O87" i="24"/>
  <c r="N89" i="38"/>
  <c r="W88" i="23"/>
  <c r="N90" i="38"/>
  <c r="W89" i="23"/>
  <c r="N91" i="38"/>
  <c r="W90" i="23"/>
  <c r="W92" i="23"/>
  <c r="O93" i="25"/>
  <c r="O92" i="24"/>
  <c r="K95" i="38"/>
  <c r="N94" i="23"/>
  <c r="K96" i="38"/>
  <c r="N95" i="23"/>
  <c r="K97" i="38"/>
  <c r="N96" i="23"/>
  <c r="K98" i="38"/>
  <c r="N97" i="23"/>
  <c r="K103" i="38"/>
  <c r="N102" i="23"/>
  <c r="L102" i="24"/>
  <c r="K104" i="38"/>
  <c r="L103" i="24"/>
  <c r="K105" i="38"/>
  <c r="N104" i="23"/>
  <c r="L104" i="24"/>
  <c r="K106" i="38"/>
  <c r="N105" i="23"/>
  <c r="L105" i="24"/>
  <c r="K106" i="23"/>
  <c r="K106" i="24"/>
  <c r="N107" i="38"/>
  <c r="W106" i="23"/>
  <c r="O106" i="24"/>
  <c r="N109" i="38"/>
  <c r="W108" i="23"/>
  <c r="O108" i="24"/>
  <c r="T109" i="23"/>
  <c r="N109" i="24"/>
  <c r="T110" i="23"/>
  <c r="N110" i="24"/>
  <c r="T111" i="23"/>
  <c r="N111" i="24"/>
  <c r="Q112" i="23"/>
  <c r="M112" i="24"/>
  <c r="K119" i="38"/>
  <c r="N118" i="23"/>
  <c r="T148" i="23"/>
  <c r="N148" i="24"/>
  <c r="N149" i="25"/>
  <c r="T149" i="23"/>
  <c r="N150" i="25"/>
  <c r="N149" i="24"/>
  <c r="N157" i="38"/>
  <c r="W150" i="23"/>
  <c r="O151" i="25"/>
  <c r="O150" i="24"/>
  <c r="N158" i="38"/>
  <c r="W151" i="23"/>
  <c r="O152" i="25"/>
  <c r="O151" i="24"/>
  <c r="T152" i="23"/>
  <c r="N153" i="25"/>
  <c r="N152" i="24"/>
  <c r="M168" i="38"/>
  <c r="T161" i="23"/>
  <c r="T170" i="23"/>
  <c r="T169" i="23" s="1"/>
  <c r="T168" i="23" s="1"/>
  <c r="N171" i="25"/>
  <c r="N170" i="25" s="1"/>
  <c r="N169" i="25" s="1"/>
  <c r="N170" i="24"/>
  <c r="N169" i="24" s="1"/>
  <c r="N168" i="24" s="1"/>
  <c r="T173" i="23"/>
  <c r="N174" i="25"/>
  <c r="N173" i="24"/>
  <c r="T175" i="23"/>
  <c r="N176" i="25"/>
  <c r="N175" i="24"/>
  <c r="T176" i="23"/>
  <c r="N177" i="25"/>
  <c r="N176" i="24"/>
  <c r="T177" i="23"/>
  <c r="N178" i="25"/>
  <c r="N177" i="24"/>
  <c r="Q178" i="23"/>
  <c r="M179" i="25"/>
  <c r="M178" i="24"/>
  <c r="N35" i="38"/>
  <c r="W34" i="23"/>
  <c r="W39" i="23"/>
  <c r="O40" i="25"/>
  <c r="O39" i="24"/>
  <c r="N43" i="38"/>
  <c r="W42" i="23"/>
  <c r="O42" i="24"/>
  <c r="N48" i="38"/>
  <c r="W47" i="23"/>
  <c r="O48" i="25"/>
  <c r="O47" i="24"/>
  <c r="N49" i="38"/>
  <c r="W48" i="23"/>
  <c r="O49" i="25"/>
  <c r="O48" i="24"/>
  <c r="N57" i="38"/>
  <c r="W56" i="23"/>
  <c r="W55" i="23" s="1"/>
  <c r="O57" i="25"/>
  <c r="O56" i="25" s="1"/>
  <c r="O56" i="24"/>
  <c r="O55" i="24" s="1"/>
  <c r="N63" i="38"/>
  <c r="W62" i="23"/>
  <c r="O63" i="25"/>
  <c r="O62" i="24"/>
  <c r="N64" i="38"/>
  <c r="W63" i="23"/>
  <c r="O64" i="25"/>
  <c r="O63" i="24"/>
  <c r="N65" i="38"/>
  <c r="W64" i="23"/>
  <c r="O64" i="24"/>
  <c r="O65" i="25"/>
  <c r="N66" i="38"/>
  <c r="W65" i="23"/>
  <c r="N68" i="38"/>
  <c r="W67" i="23"/>
  <c r="N69" i="38"/>
  <c r="W68" i="23"/>
  <c r="N70" i="38"/>
  <c r="W69" i="23"/>
  <c r="N71" i="38"/>
  <c r="W70" i="23"/>
  <c r="N72" i="38"/>
  <c r="W71" i="23"/>
  <c r="K76" i="38"/>
  <c r="N75" i="23"/>
  <c r="K77" i="38"/>
  <c r="N76" i="23"/>
  <c r="N78" i="38"/>
  <c r="W77" i="23"/>
  <c r="W80" i="23"/>
  <c r="O80" i="24"/>
  <c r="O81" i="25"/>
  <c r="W82" i="23"/>
  <c r="O83" i="25"/>
  <c r="O82" i="24"/>
  <c r="N87" i="38"/>
  <c r="W86" i="23"/>
  <c r="K89" i="38"/>
  <c r="N88" i="23"/>
  <c r="K90" i="38"/>
  <c r="N89" i="23"/>
  <c r="N92" i="23"/>
  <c r="L93" i="25"/>
  <c r="L92" i="24"/>
  <c r="Q93" i="23"/>
  <c r="M94" i="25"/>
  <c r="M93" i="24"/>
  <c r="Q102" i="23"/>
  <c r="M102" i="24"/>
  <c r="Q103" i="23"/>
  <c r="M103" i="24"/>
  <c r="Q104" i="23"/>
  <c r="M104" i="24"/>
  <c r="Q105" i="23"/>
  <c r="M105" i="24"/>
  <c r="K107" i="38"/>
  <c r="N106" i="23"/>
  <c r="L106" i="24"/>
  <c r="K109" i="38"/>
  <c r="N108" i="23"/>
  <c r="L108" i="24"/>
  <c r="K109" i="23"/>
  <c r="K109" i="24"/>
  <c r="N110" i="38"/>
  <c r="W109" i="23"/>
  <c r="O109" i="24"/>
  <c r="N111" i="38"/>
  <c r="W110" i="23"/>
  <c r="O110" i="24"/>
  <c r="N112" i="38"/>
  <c r="W111" i="23"/>
  <c r="O111" i="24"/>
  <c r="T112" i="23"/>
  <c r="N112" i="24"/>
  <c r="N155" i="38"/>
  <c r="W148" i="23"/>
  <c r="O149" i="25"/>
  <c r="O148" i="24"/>
  <c r="N156" i="38"/>
  <c r="W149" i="23"/>
  <c r="O150" i="25"/>
  <c r="O149" i="24"/>
  <c r="N151" i="23"/>
  <c r="L151" i="24"/>
  <c r="L152" i="25"/>
  <c r="J159" i="38"/>
  <c r="K152" i="23"/>
  <c r="K153" i="25"/>
  <c r="K152" i="24"/>
  <c r="N159" i="38"/>
  <c r="W152" i="23"/>
  <c r="O153" i="25"/>
  <c r="O152" i="24"/>
  <c r="N177" i="38"/>
  <c r="W170" i="23"/>
  <c r="W169" i="23" s="1"/>
  <c r="W168" i="23" s="1"/>
  <c r="O170" i="24"/>
  <c r="O169" i="24" s="1"/>
  <c r="O168" i="24" s="1"/>
  <c r="O171" i="25"/>
  <c r="O170" i="25" s="1"/>
  <c r="O169" i="25" s="1"/>
  <c r="N180" i="38"/>
  <c r="W173" i="23"/>
  <c r="O174" i="25"/>
  <c r="O173" i="24"/>
  <c r="N182" i="38"/>
  <c r="W175" i="23"/>
  <c r="O176" i="25"/>
  <c r="O175" i="24"/>
  <c r="N183" i="38"/>
  <c r="W176" i="23"/>
  <c r="O177" i="25"/>
  <c r="O176" i="24"/>
  <c r="N184" i="38"/>
  <c r="W177" i="23"/>
  <c r="O177" i="24"/>
  <c r="O178" i="25"/>
  <c r="T178" i="23"/>
  <c r="N179" i="25"/>
  <c r="N178" i="24"/>
  <c r="K35" i="38"/>
  <c r="N34" i="23"/>
  <c r="N39" i="23"/>
  <c r="L40" i="25"/>
  <c r="L39" i="24"/>
  <c r="K43" i="38"/>
  <c r="N42" i="23"/>
  <c r="L42" i="24"/>
  <c r="N47" i="23"/>
  <c r="L47" i="24"/>
  <c r="L48" i="25"/>
  <c r="N48" i="23"/>
  <c r="L49" i="25"/>
  <c r="L48" i="24"/>
  <c r="K57" i="38"/>
  <c r="N56" i="23"/>
  <c r="N55" i="23" s="1"/>
  <c r="L57" i="25"/>
  <c r="L56" i="25" s="1"/>
  <c r="L56" i="24"/>
  <c r="L55" i="24" s="1"/>
  <c r="N62" i="23"/>
  <c r="L63" i="25"/>
  <c r="L62" i="24"/>
  <c r="N63" i="23"/>
  <c r="L63" i="24"/>
  <c r="L64" i="25"/>
  <c r="N64" i="23"/>
  <c r="L65" i="25"/>
  <c r="L64" i="24"/>
  <c r="K66" i="38"/>
  <c r="N65" i="23"/>
  <c r="K68" i="38"/>
  <c r="N67" i="23"/>
  <c r="K69" i="38"/>
  <c r="N68" i="23"/>
  <c r="K70" i="38"/>
  <c r="N69" i="23"/>
  <c r="K71" i="38"/>
  <c r="N70" i="23"/>
  <c r="K72" i="38"/>
  <c r="N71" i="23"/>
  <c r="K78" i="38"/>
  <c r="N77" i="23"/>
  <c r="N80" i="23"/>
  <c r="L80" i="24"/>
  <c r="L81" i="25"/>
  <c r="N82" i="23"/>
  <c r="L83" i="25"/>
  <c r="L82" i="24"/>
  <c r="K87" i="38"/>
  <c r="N86" i="23"/>
  <c r="Q87" i="23"/>
  <c r="M88" i="25"/>
  <c r="M87" i="24"/>
  <c r="Q92" i="23"/>
  <c r="M93" i="25"/>
  <c r="M92" i="24"/>
  <c r="T93" i="23"/>
  <c r="N94" i="25"/>
  <c r="N93" i="24"/>
  <c r="T102" i="23"/>
  <c r="N102" i="24"/>
  <c r="T103" i="23"/>
  <c r="N103" i="24"/>
  <c r="T104" i="23"/>
  <c r="N104" i="24"/>
  <c r="T105" i="23"/>
  <c r="N105" i="24"/>
  <c r="Q106" i="23"/>
  <c r="M106" i="24"/>
  <c r="Q108" i="23"/>
  <c r="M108" i="24"/>
  <c r="K110" i="38"/>
  <c r="N109" i="23"/>
  <c r="L109" i="24"/>
  <c r="K111" i="38"/>
  <c r="N110" i="23"/>
  <c r="L110" i="24"/>
  <c r="K112" i="38"/>
  <c r="N111" i="23"/>
  <c r="L111" i="24"/>
  <c r="K112" i="23"/>
  <c r="K112" i="24"/>
  <c r="N113" i="38"/>
  <c r="W112" i="23"/>
  <c r="O112" i="24"/>
  <c r="N117" i="38"/>
  <c r="W116" i="23"/>
  <c r="N118" i="38"/>
  <c r="W117" i="23"/>
  <c r="N148" i="23"/>
  <c r="L149" i="25"/>
  <c r="L148" i="24"/>
  <c r="N149" i="23"/>
  <c r="L150" i="25"/>
  <c r="L149" i="24"/>
  <c r="Q150" i="23"/>
  <c r="M151" i="25"/>
  <c r="M150" i="24"/>
  <c r="Q151" i="23"/>
  <c r="M152" i="25"/>
  <c r="M151" i="24"/>
  <c r="K159" i="38"/>
  <c r="N152" i="23"/>
  <c r="L153" i="25"/>
  <c r="L152" i="24"/>
  <c r="N172" i="38"/>
  <c r="W165" i="23"/>
  <c r="N173" i="23"/>
  <c r="L174" i="25"/>
  <c r="L173" i="24"/>
  <c r="N175" i="23"/>
  <c r="L176" i="25"/>
  <c r="L175" i="24"/>
  <c r="N176" i="23"/>
  <c r="L177" i="25"/>
  <c r="L176" i="24"/>
  <c r="N177" i="23"/>
  <c r="L178" i="25"/>
  <c r="L177" i="24"/>
  <c r="J185" i="38"/>
  <c r="K178" i="23"/>
  <c r="K179" i="25"/>
  <c r="K178" i="24"/>
  <c r="N185" i="38"/>
  <c r="W178" i="23"/>
  <c r="O179" i="25"/>
  <c r="O178" i="24"/>
  <c r="Q39" i="23"/>
  <c r="M40" i="25"/>
  <c r="M39" i="24"/>
  <c r="Q42" i="23"/>
  <c r="M42" i="24"/>
  <c r="L48" i="38"/>
  <c r="Q47" i="23"/>
  <c r="M48" i="25"/>
  <c r="M47" i="24"/>
  <c r="L49" i="38"/>
  <c r="Q48" i="23"/>
  <c r="M49" i="25"/>
  <c r="M48" i="24"/>
  <c r="Q56" i="23"/>
  <c r="Q55" i="23" s="1"/>
  <c r="M57" i="25"/>
  <c r="M56" i="25" s="1"/>
  <c r="M56" i="24"/>
  <c r="M55" i="24" s="1"/>
  <c r="Q62" i="23"/>
  <c r="M63" i="25"/>
  <c r="M62" i="24"/>
  <c r="L64" i="38"/>
  <c r="Q63" i="23"/>
  <c r="M63" i="24"/>
  <c r="M64" i="25"/>
  <c r="Q64" i="23"/>
  <c r="M65" i="25"/>
  <c r="M64" i="24"/>
  <c r="Q80" i="23"/>
  <c r="M81" i="25"/>
  <c r="M80" i="24"/>
  <c r="Q82" i="23"/>
  <c r="M83" i="25"/>
  <c r="M82" i="24"/>
  <c r="T87" i="23"/>
  <c r="N88" i="25"/>
  <c r="N87" i="24"/>
  <c r="T92" i="23"/>
  <c r="N93" i="25"/>
  <c r="N92" i="24"/>
  <c r="N94" i="38"/>
  <c r="W93" i="23"/>
  <c r="O94" i="25"/>
  <c r="O93" i="24"/>
  <c r="N95" i="38"/>
  <c r="W94" i="23"/>
  <c r="N96" i="38"/>
  <c r="W95" i="23"/>
  <c r="N97" i="38"/>
  <c r="W96" i="23"/>
  <c r="N98" i="38"/>
  <c r="W97" i="23"/>
  <c r="N103" i="38"/>
  <c r="W102" i="23"/>
  <c r="O102" i="24"/>
  <c r="N104" i="38"/>
  <c r="W103" i="23"/>
  <c r="O103" i="24"/>
  <c r="N105" i="38"/>
  <c r="W104" i="23"/>
  <c r="O104" i="24"/>
  <c r="N106" i="38"/>
  <c r="W105" i="23"/>
  <c r="O105" i="24"/>
  <c r="T106" i="23"/>
  <c r="N106" i="24"/>
  <c r="T108" i="23"/>
  <c r="N108" i="24"/>
  <c r="Q109" i="23"/>
  <c r="M109" i="24"/>
  <c r="Q110" i="23"/>
  <c r="M110" i="24"/>
  <c r="Q111" i="23"/>
  <c r="M111" i="24"/>
  <c r="K113" i="38"/>
  <c r="N112" i="23"/>
  <c r="L112" i="24"/>
  <c r="K117" i="38"/>
  <c r="N116" i="23"/>
  <c r="K118" i="38"/>
  <c r="N117" i="23"/>
  <c r="N119" i="38"/>
  <c r="W118" i="23"/>
  <c r="Q148" i="23"/>
  <c r="M149" i="25"/>
  <c r="M148" i="24"/>
  <c r="Q149" i="23"/>
  <c r="M150" i="25"/>
  <c r="M149" i="24"/>
  <c r="T150" i="23"/>
  <c r="N150" i="24"/>
  <c r="N151" i="25"/>
  <c r="T151" i="23"/>
  <c r="N152" i="25"/>
  <c r="N151" i="24"/>
  <c r="L159" i="38"/>
  <c r="Q152" i="23"/>
  <c r="M153" i="25"/>
  <c r="M152" i="24"/>
  <c r="L168" i="38"/>
  <c r="Q161" i="23"/>
  <c r="K172" i="38"/>
  <c r="N165" i="23"/>
  <c r="L177" i="38"/>
  <c r="Q170" i="23"/>
  <c r="Q169" i="23" s="1"/>
  <c r="Q168" i="23" s="1"/>
  <c r="M171" i="25"/>
  <c r="M170" i="25" s="1"/>
  <c r="M169" i="25" s="1"/>
  <c r="M170" i="24"/>
  <c r="M169" i="24" s="1"/>
  <c r="M168" i="24" s="1"/>
  <c r="Q173" i="23"/>
  <c r="M174" i="25"/>
  <c r="M173" i="24"/>
  <c r="Q175" i="23"/>
  <c r="M176" i="25"/>
  <c r="M175" i="24"/>
  <c r="Q176" i="23"/>
  <c r="M176" i="24"/>
  <c r="M177" i="25"/>
  <c r="Q177" i="23"/>
  <c r="M178" i="25"/>
  <c r="M177" i="24"/>
  <c r="N178" i="23"/>
  <c r="L179" i="25"/>
  <c r="L178" i="24"/>
  <c r="L47" i="38"/>
  <c r="Q46" i="23"/>
  <c r="M47" i="25"/>
  <c r="M46" i="24"/>
  <c r="T46" i="23"/>
  <c r="N47" i="25"/>
  <c r="N46" i="24"/>
  <c r="N47" i="38"/>
  <c r="W46" i="23"/>
  <c r="O46" i="24"/>
  <c r="O47" i="25"/>
  <c r="N46" i="23"/>
  <c r="L46" i="24"/>
  <c r="L47" i="25"/>
  <c r="S34" i="27"/>
  <c r="L35" i="38"/>
  <c r="S35" i="27"/>
  <c r="U35" i="27" s="1"/>
  <c r="L36" i="38"/>
  <c r="S37" i="27"/>
  <c r="L38" i="38"/>
  <c r="S41" i="27"/>
  <c r="L42" i="38"/>
  <c r="S43" i="27"/>
  <c r="U43" i="27" s="1"/>
  <c r="L44" i="38"/>
  <c r="S64" i="27"/>
  <c r="U64" i="27" s="1"/>
  <c r="L65" i="38"/>
  <c r="S68" i="27"/>
  <c r="U68" i="27" s="1"/>
  <c r="L69" i="38"/>
  <c r="S69" i="27"/>
  <c r="U69" i="27" s="1"/>
  <c r="L70" i="38"/>
  <c r="W75" i="27"/>
  <c r="Y75" i="27" s="1"/>
  <c r="M76" i="38"/>
  <c r="S77" i="27"/>
  <c r="U77" i="27" s="1"/>
  <c r="L78" i="38"/>
  <c r="S80" i="27"/>
  <c r="U80" i="27" s="1"/>
  <c r="S82" i="27"/>
  <c r="U82" i="27" s="1"/>
  <c r="W87" i="27"/>
  <c r="Y87" i="27" s="1"/>
  <c r="M88" i="38"/>
  <c r="W89" i="27"/>
  <c r="Y89" i="27" s="1"/>
  <c r="M90" i="38"/>
  <c r="W106" i="27"/>
  <c r="Y106" i="27" s="1"/>
  <c r="M107" i="38"/>
  <c r="S109" i="27"/>
  <c r="U109" i="27" s="1"/>
  <c r="L110" i="38"/>
  <c r="W137" i="27"/>
  <c r="Y137" i="27" s="1"/>
  <c r="M138" i="38"/>
  <c r="W139" i="27"/>
  <c r="Y139" i="27" s="1"/>
  <c r="M140" i="38"/>
  <c r="M142" i="38"/>
  <c r="M144" i="38"/>
  <c r="W148" i="27"/>
  <c r="Y148" i="27" s="1"/>
  <c r="M155" i="38"/>
  <c r="S163" i="27"/>
  <c r="U163" i="27" s="1"/>
  <c r="L170" i="38"/>
  <c r="S164" i="27"/>
  <c r="U164" i="27" s="1"/>
  <c r="L171" i="38"/>
  <c r="S165" i="27"/>
  <c r="U165" i="27" s="1"/>
  <c r="L172" i="38"/>
  <c r="W173" i="27"/>
  <c r="Y173" i="27" s="1"/>
  <c r="M180" i="38"/>
  <c r="W175" i="27"/>
  <c r="Y175" i="27" s="1"/>
  <c r="M182" i="38"/>
  <c r="S178" i="27"/>
  <c r="U178" i="27" s="1"/>
  <c r="L185" i="38"/>
  <c r="W34" i="27"/>
  <c r="Y34" i="27" s="1"/>
  <c r="M35" i="38"/>
  <c r="W36" i="27"/>
  <c r="Y36" i="27" s="1"/>
  <c r="M37" i="38"/>
  <c r="M40" i="38"/>
  <c r="U39" i="2"/>
  <c r="M39" i="38" s="1"/>
  <c r="W42" i="27"/>
  <c r="Y42" i="27" s="1"/>
  <c r="M43" i="38"/>
  <c r="W43" i="27"/>
  <c r="Y43" i="27" s="1"/>
  <c r="M44" i="38"/>
  <c r="W47" i="27"/>
  <c r="M48" i="38"/>
  <c r="W48" i="27"/>
  <c r="M49" i="38"/>
  <c r="W62" i="27"/>
  <c r="Y62" i="27" s="1"/>
  <c r="M63" i="38"/>
  <c r="W64" i="27"/>
  <c r="Y64" i="27" s="1"/>
  <c r="M65" i="38"/>
  <c r="W67" i="27"/>
  <c r="Y67" i="27" s="1"/>
  <c r="M68" i="38"/>
  <c r="W69" i="27"/>
  <c r="Y69" i="27" s="1"/>
  <c r="M70" i="38"/>
  <c r="W71" i="27"/>
  <c r="Y71" i="27" s="1"/>
  <c r="M72" i="38"/>
  <c r="W79" i="27"/>
  <c r="M80" i="38"/>
  <c r="W81" i="27"/>
  <c r="Y81" i="27" s="1"/>
  <c r="W86" i="27"/>
  <c r="Y86" i="27" s="1"/>
  <c r="M87" i="38"/>
  <c r="AA92" i="27"/>
  <c r="AD92" i="27" s="1"/>
  <c r="AD91" i="27" s="1"/>
  <c r="N93" i="38"/>
  <c r="W109" i="27"/>
  <c r="Y109" i="27" s="1"/>
  <c r="M110" i="38"/>
  <c r="W110" i="27"/>
  <c r="Y110" i="27" s="1"/>
  <c r="M111" i="38"/>
  <c r="S112" i="27"/>
  <c r="U112" i="27" s="1"/>
  <c r="L113" i="38"/>
  <c r="S115" i="27"/>
  <c r="L116" i="38"/>
  <c r="S117" i="27"/>
  <c r="L118" i="38"/>
  <c r="S122" i="27"/>
  <c r="U122" i="27" s="1"/>
  <c r="S125" i="27"/>
  <c r="U125" i="27" s="1"/>
  <c r="S126" i="27"/>
  <c r="U126" i="27" s="1"/>
  <c r="N40" i="38"/>
  <c r="X39" i="2"/>
  <c r="N39" i="38" s="1"/>
  <c r="AI77" i="10"/>
  <c r="CL77" i="10" s="1"/>
  <c r="J78" i="38"/>
  <c r="K91" i="38"/>
  <c r="AK90" i="10"/>
  <c r="CK90" i="10" s="1"/>
  <c r="O92" i="27"/>
  <c r="R92" i="27" s="1"/>
  <c r="K93" i="38"/>
  <c r="S93" i="27"/>
  <c r="U93" i="27" s="1"/>
  <c r="L94" i="38"/>
  <c r="S94" i="27"/>
  <c r="U94" i="27" s="1"/>
  <c r="L95" i="38"/>
  <c r="S95" i="27"/>
  <c r="U95" i="27" s="1"/>
  <c r="L96" i="38"/>
  <c r="S96" i="27"/>
  <c r="U96" i="27" s="1"/>
  <c r="L97" i="38"/>
  <c r="S97" i="27"/>
  <c r="U97" i="27" s="1"/>
  <c r="L98" i="38"/>
  <c r="S102" i="27"/>
  <c r="V102" i="27" s="1"/>
  <c r="L103" i="38"/>
  <c r="S103" i="27"/>
  <c r="L104" i="38"/>
  <c r="S104" i="27"/>
  <c r="L105" i="38"/>
  <c r="S105" i="27"/>
  <c r="V105" i="27" s="1"/>
  <c r="L106" i="38"/>
  <c r="AI109" i="10"/>
  <c r="J110" i="38"/>
  <c r="W112" i="27"/>
  <c r="Y112" i="27" s="1"/>
  <c r="M113" i="38"/>
  <c r="W114" i="27"/>
  <c r="Y114" i="27" s="1"/>
  <c r="M115" i="38"/>
  <c r="W115" i="27"/>
  <c r="Y115" i="27" s="1"/>
  <c r="M116" i="38"/>
  <c r="W116" i="27"/>
  <c r="Y116" i="27" s="1"/>
  <c r="M117" i="38"/>
  <c r="W117" i="27"/>
  <c r="Y117" i="27" s="1"/>
  <c r="M118" i="38"/>
  <c r="S118" i="27"/>
  <c r="V118" i="27" s="1"/>
  <c r="L119" i="38"/>
  <c r="S121" i="27"/>
  <c r="U121" i="27" s="1"/>
  <c r="L122" i="38"/>
  <c r="W122" i="27"/>
  <c r="Y122" i="27" s="1"/>
  <c r="S123" i="27"/>
  <c r="U123" i="27" s="1"/>
  <c r="S124" i="27"/>
  <c r="U124" i="27" s="1"/>
  <c r="W125" i="27"/>
  <c r="Y125" i="27" s="1"/>
  <c r="W126" i="27"/>
  <c r="Y126" i="27" s="1"/>
  <c r="S128" i="27"/>
  <c r="U128" i="27" s="1"/>
  <c r="S135" i="27"/>
  <c r="L136" i="38"/>
  <c r="S136" i="27"/>
  <c r="L137" i="38"/>
  <c r="O148" i="27"/>
  <c r="R148" i="27" s="1"/>
  <c r="K155" i="38"/>
  <c r="O149" i="27"/>
  <c r="R149" i="27" s="1"/>
  <c r="K156" i="38"/>
  <c r="S150" i="27"/>
  <c r="U150" i="27" s="1"/>
  <c r="L157" i="38"/>
  <c r="S151" i="27"/>
  <c r="U151" i="27" s="1"/>
  <c r="L158" i="38"/>
  <c r="O161" i="2"/>
  <c r="K167" i="38" s="1"/>
  <c r="K168" i="38"/>
  <c r="AI163" i="10"/>
  <c r="CK163" i="10" s="1"/>
  <c r="J170" i="38"/>
  <c r="O173" i="27"/>
  <c r="R173" i="27" s="1"/>
  <c r="K180" i="38"/>
  <c r="Q176" i="2"/>
  <c r="K182" i="38"/>
  <c r="O176" i="27"/>
  <c r="R176" i="27" s="1"/>
  <c r="K183" i="38"/>
  <c r="O177" i="27"/>
  <c r="R177" i="27" s="1"/>
  <c r="K184" i="38"/>
  <c r="S33" i="27"/>
  <c r="L34" i="38"/>
  <c r="S36" i="27"/>
  <c r="L37" i="38"/>
  <c r="L40" i="38"/>
  <c r="R39" i="2"/>
  <c r="L39" i="38" s="1"/>
  <c r="S42" i="27"/>
  <c r="L43" i="38"/>
  <c r="S56" i="27"/>
  <c r="U56" i="27" s="1"/>
  <c r="U55" i="27" s="1"/>
  <c r="L57" i="38"/>
  <c r="S62" i="27"/>
  <c r="U62" i="27" s="1"/>
  <c r="L63" i="38"/>
  <c r="S65" i="27"/>
  <c r="U65" i="27" s="1"/>
  <c r="L66" i="38"/>
  <c r="S67" i="27"/>
  <c r="U67" i="27" s="1"/>
  <c r="L68" i="38"/>
  <c r="S70" i="27"/>
  <c r="U70" i="27" s="1"/>
  <c r="L71" i="38"/>
  <c r="S71" i="27"/>
  <c r="U71" i="27" s="1"/>
  <c r="L72" i="38"/>
  <c r="W74" i="27"/>
  <c r="Y74" i="27" s="1"/>
  <c r="M75" i="38"/>
  <c r="W76" i="27"/>
  <c r="Y76" i="27" s="1"/>
  <c r="M77" i="38"/>
  <c r="S79" i="27"/>
  <c r="U79" i="27" s="1"/>
  <c r="L80" i="38"/>
  <c r="S81" i="27"/>
  <c r="U81" i="27" s="1"/>
  <c r="S86" i="27"/>
  <c r="U86" i="27" s="1"/>
  <c r="L87" i="38"/>
  <c r="W88" i="27"/>
  <c r="Y88" i="27" s="1"/>
  <c r="M89" i="38"/>
  <c r="W90" i="27"/>
  <c r="Y90" i="27" s="1"/>
  <c r="M91" i="38"/>
  <c r="W92" i="27"/>
  <c r="Y92" i="27" s="1"/>
  <c r="M93" i="38"/>
  <c r="W108" i="27"/>
  <c r="Y108" i="27" s="1"/>
  <c r="M109" i="38"/>
  <c r="S110" i="27"/>
  <c r="U110" i="27" s="1"/>
  <c r="L111" i="38"/>
  <c r="S111" i="27"/>
  <c r="U111" i="27" s="1"/>
  <c r="L112" i="38"/>
  <c r="AI118" i="10"/>
  <c r="CK118" i="10" s="1"/>
  <c r="J119" i="38"/>
  <c r="AI123" i="10"/>
  <c r="AI128" i="10"/>
  <c r="W138" i="27"/>
  <c r="Y138" i="27" s="1"/>
  <c r="M139" i="38"/>
  <c r="M141" i="38"/>
  <c r="M143" i="38"/>
  <c r="M145" i="38"/>
  <c r="M146" i="38"/>
  <c r="W149" i="27"/>
  <c r="Y149" i="27" s="1"/>
  <c r="M156" i="38"/>
  <c r="W152" i="27"/>
  <c r="Y152" i="27" s="1"/>
  <c r="M159" i="38"/>
  <c r="W162" i="27"/>
  <c r="Y162" i="27" s="1"/>
  <c r="M169" i="38"/>
  <c r="W170" i="27"/>
  <c r="Y170" i="27" s="1"/>
  <c r="Y169" i="27" s="1"/>
  <c r="Y168" i="27" s="1"/>
  <c r="M177" i="38"/>
  <c r="W176" i="27"/>
  <c r="Y176" i="27" s="1"/>
  <c r="M183" i="38"/>
  <c r="W177" i="27"/>
  <c r="Y177" i="27" s="1"/>
  <c r="M184" i="38"/>
  <c r="W33" i="27"/>
  <c r="Y33" i="27" s="1"/>
  <c r="M34" i="38"/>
  <c r="W35" i="27"/>
  <c r="Y35" i="27" s="1"/>
  <c r="M36" i="38"/>
  <c r="W37" i="27"/>
  <c r="Y37" i="27" s="1"/>
  <c r="M38" i="38"/>
  <c r="W41" i="27"/>
  <c r="Y41" i="27" s="1"/>
  <c r="M42" i="38"/>
  <c r="W46" i="27"/>
  <c r="Y46" i="27" s="1"/>
  <c r="Y45" i="27" s="1"/>
  <c r="M47" i="38"/>
  <c r="W63" i="27"/>
  <c r="Y63" i="27" s="1"/>
  <c r="M64" i="38"/>
  <c r="W65" i="27"/>
  <c r="Y65" i="27" s="1"/>
  <c r="M66" i="38"/>
  <c r="W68" i="27"/>
  <c r="Y68" i="27" s="1"/>
  <c r="M69" i="38"/>
  <c r="W70" i="27"/>
  <c r="Y70" i="27" s="1"/>
  <c r="M71" i="38"/>
  <c r="W77" i="27"/>
  <c r="Y77" i="27" s="1"/>
  <c r="M78" i="38"/>
  <c r="W80" i="27"/>
  <c r="Y80" i="27" s="1"/>
  <c r="W82" i="27"/>
  <c r="Y82" i="27" s="1"/>
  <c r="AI106" i="10"/>
  <c r="CK106" i="10" s="1"/>
  <c r="J107" i="38"/>
  <c r="W111" i="27"/>
  <c r="Y111" i="27" s="1"/>
  <c r="M112" i="38"/>
  <c r="S114" i="27"/>
  <c r="L115" i="38"/>
  <c r="S116" i="27"/>
  <c r="V116" i="27" s="1"/>
  <c r="L117" i="38"/>
  <c r="J138" i="38"/>
  <c r="O151" i="27"/>
  <c r="R151" i="27" s="1"/>
  <c r="K158" i="38"/>
  <c r="X161" i="2"/>
  <c r="N167" i="38" s="1"/>
  <c r="N168" i="38"/>
  <c r="W163" i="27"/>
  <c r="Y163" i="27" s="1"/>
  <c r="M170" i="38"/>
  <c r="W164" i="27"/>
  <c r="Y164" i="27" s="1"/>
  <c r="M171" i="38"/>
  <c r="W165" i="27"/>
  <c r="Y165" i="27" s="1"/>
  <c r="M172" i="38"/>
  <c r="W178" i="27"/>
  <c r="Y178" i="27" s="1"/>
  <c r="M185" i="38"/>
  <c r="K40" i="38"/>
  <c r="O39" i="2"/>
  <c r="K39" i="38" s="1"/>
  <c r="O46" i="27"/>
  <c r="R46" i="27" s="1"/>
  <c r="K47" i="38"/>
  <c r="O47" i="27"/>
  <c r="R47" i="27" s="1"/>
  <c r="K48" i="38"/>
  <c r="O48" i="27"/>
  <c r="R48" i="27" s="1"/>
  <c r="K49" i="38"/>
  <c r="O62" i="27"/>
  <c r="R62" i="27" s="1"/>
  <c r="K63" i="38"/>
  <c r="O63" i="27"/>
  <c r="R63" i="27" s="1"/>
  <c r="K64" i="38"/>
  <c r="O64" i="27"/>
  <c r="R64" i="27" s="1"/>
  <c r="K65" i="38"/>
  <c r="S74" i="27"/>
  <c r="U74" i="27" s="1"/>
  <c r="L75" i="38"/>
  <c r="S75" i="27"/>
  <c r="U75" i="27" s="1"/>
  <c r="L76" i="38"/>
  <c r="S76" i="27"/>
  <c r="U76" i="27" s="1"/>
  <c r="L77" i="38"/>
  <c r="O80" i="27"/>
  <c r="O82" i="27"/>
  <c r="S87" i="27"/>
  <c r="U87" i="27" s="1"/>
  <c r="L88" i="38"/>
  <c r="S88" i="27"/>
  <c r="U88" i="27" s="1"/>
  <c r="L89" i="38"/>
  <c r="S89" i="27"/>
  <c r="U89" i="27" s="1"/>
  <c r="L90" i="38"/>
  <c r="S90" i="27"/>
  <c r="U90" i="27" s="1"/>
  <c r="L91" i="38"/>
  <c r="S92" i="27"/>
  <c r="U92" i="27" s="1"/>
  <c r="L93" i="38"/>
  <c r="W93" i="27"/>
  <c r="Y93" i="27" s="1"/>
  <c r="M94" i="38"/>
  <c r="W94" i="27"/>
  <c r="Y94" i="27" s="1"/>
  <c r="M95" i="38"/>
  <c r="W95" i="27"/>
  <c r="Y95" i="27" s="1"/>
  <c r="M96" i="38"/>
  <c r="W96" i="27"/>
  <c r="Y96" i="27" s="1"/>
  <c r="M97" i="38"/>
  <c r="W97" i="27"/>
  <c r="Y97" i="27" s="1"/>
  <c r="M98" i="38"/>
  <c r="W102" i="27"/>
  <c r="Y102" i="27" s="1"/>
  <c r="M103" i="38"/>
  <c r="W103" i="27"/>
  <c r="Y103" i="27" s="1"/>
  <c r="M104" i="38"/>
  <c r="W104" i="27"/>
  <c r="Y104" i="27" s="1"/>
  <c r="M105" i="38"/>
  <c r="W105" i="27"/>
  <c r="Y105" i="27" s="1"/>
  <c r="M106" i="38"/>
  <c r="S106" i="27"/>
  <c r="L107" i="38"/>
  <c r="S108" i="27"/>
  <c r="U108" i="27" s="1"/>
  <c r="L109" i="38"/>
  <c r="AI112" i="10"/>
  <c r="CK112" i="10" s="1"/>
  <c r="J113" i="38"/>
  <c r="W118" i="27"/>
  <c r="Y118" i="27" s="1"/>
  <c r="M119" i="38"/>
  <c r="W121" i="27"/>
  <c r="Y121" i="27" s="1"/>
  <c r="M122" i="38"/>
  <c r="W123" i="27"/>
  <c r="Y123" i="27" s="1"/>
  <c r="W124" i="27"/>
  <c r="Y124" i="27" s="1"/>
  <c r="W128" i="27"/>
  <c r="Y128" i="27" s="1"/>
  <c r="W135" i="27"/>
  <c r="Y135" i="27" s="1"/>
  <c r="M136" i="38"/>
  <c r="W136" i="27"/>
  <c r="Y136" i="27" s="1"/>
  <c r="M137" i="38"/>
  <c r="S137" i="27"/>
  <c r="L138" i="38"/>
  <c r="S138" i="27"/>
  <c r="L139" i="38"/>
  <c r="S139" i="27"/>
  <c r="L140" i="38"/>
  <c r="L141" i="38"/>
  <c r="L142" i="38"/>
  <c r="L143" i="38"/>
  <c r="L144" i="38"/>
  <c r="L145" i="38"/>
  <c r="L146" i="38"/>
  <c r="S148" i="27"/>
  <c r="U148" i="27" s="1"/>
  <c r="L155" i="38"/>
  <c r="S149" i="27"/>
  <c r="U149" i="27" s="1"/>
  <c r="L156" i="38"/>
  <c r="W150" i="27"/>
  <c r="Y150" i="27" s="1"/>
  <c r="M157" i="38"/>
  <c r="W151" i="27"/>
  <c r="Y151" i="27" s="1"/>
  <c r="M158" i="38"/>
  <c r="S162" i="27"/>
  <c r="U162" i="27" s="1"/>
  <c r="L169" i="38"/>
  <c r="S173" i="27"/>
  <c r="U173" i="27" s="1"/>
  <c r="L180" i="38"/>
  <c r="S175" i="27"/>
  <c r="U175" i="27" s="1"/>
  <c r="L182" i="38"/>
  <c r="S176" i="27"/>
  <c r="U176" i="27" s="1"/>
  <c r="L183" i="38"/>
  <c r="S177" i="27"/>
  <c r="U177" i="27" s="1"/>
  <c r="L184" i="38"/>
  <c r="O178" i="27"/>
  <c r="R178" i="27" s="1"/>
  <c r="K185" i="38"/>
  <c r="S170" i="27"/>
  <c r="U170" i="27" s="1"/>
  <c r="U169" i="27" s="1"/>
  <c r="U168" i="27" s="1"/>
  <c r="W161" i="27"/>
  <c r="Y161" i="27" s="1"/>
  <c r="U161" i="2"/>
  <c r="M167" i="38" s="1"/>
  <c r="S161" i="27"/>
  <c r="U161" i="27" s="1"/>
  <c r="R161" i="2"/>
  <c r="L167" i="38" s="1"/>
  <c r="W39" i="27"/>
  <c r="Y39" i="27" s="1"/>
  <c r="O39" i="27"/>
  <c r="R39" i="27" s="1"/>
  <c r="W56" i="27"/>
  <c r="Z56" i="27" s="1"/>
  <c r="Z55" i="27" s="1"/>
  <c r="AQ93" i="10"/>
  <c r="AA93" i="27"/>
  <c r="AQ94" i="10"/>
  <c r="AA94" i="27"/>
  <c r="AQ95" i="10"/>
  <c r="AG95" i="10" s="1"/>
  <c r="AG91" i="10" s="1"/>
  <c r="AA95" i="27"/>
  <c r="AQ96" i="10"/>
  <c r="AA96" i="27"/>
  <c r="AQ97" i="10"/>
  <c r="AA97" i="27"/>
  <c r="AQ102" i="10"/>
  <c r="AA102" i="27"/>
  <c r="AQ103" i="10"/>
  <c r="AA103" i="27"/>
  <c r="AQ104" i="10"/>
  <c r="AA104" i="27"/>
  <c r="AQ105" i="10"/>
  <c r="AA105" i="27"/>
  <c r="AQ118" i="10"/>
  <c r="AA118" i="27"/>
  <c r="AQ121" i="10"/>
  <c r="AA121" i="27"/>
  <c r="AQ123" i="10"/>
  <c r="AA123" i="27"/>
  <c r="AQ124" i="10"/>
  <c r="AA124" i="27"/>
  <c r="AQ128" i="10"/>
  <c r="AA128" i="27"/>
  <c r="AQ135" i="10"/>
  <c r="U140" i="10" s="1"/>
  <c r="AA135" i="27"/>
  <c r="AQ136" i="10"/>
  <c r="AA136" i="27"/>
  <c r="AQ150" i="10"/>
  <c r="AR150" i="10" s="1"/>
  <c r="AA150" i="27"/>
  <c r="AQ151" i="10"/>
  <c r="AR151" i="10" s="1"/>
  <c r="AA151" i="27"/>
  <c r="AQ74" i="10"/>
  <c r="AA74" i="27"/>
  <c r="AQ75" i="10"/>
  <c r="U75" i="10" s="1"/>
  <c r="AA75" i="27"/>
  <c r="AQ76" i="10"/>
  <c r="AA76" i="27"/>
  <c r="AQ87" i="10"/>
  <c r="AA87" i="27"/>
  <c r="AQ88" i="10"/>
  <c r="AA88" i="27"/>
  <c r="AQ89" i="10"/>
  <c r="AA89" i="27"/>
  <c r="AQ90" i="10"/>
  <c r="AA90" i="27"/>
  <c r="AQ106" i="10"/>
  <c r="AA106" i="27"/>
  <c r="AQ108" i="10"/>
  <c r="AA108" i="27"/>
  <c r="AQ137" i="10"/>
  <c r="AA137" i="27"/>
  <c r="AQ138" i="10"/>
  <c r="AA138" i="27"/>
  <c r="AQ139" i="10"/>
  <c r="AA139" i="27"/>
  <c r="AQ148" i="10"/>
  <c r="AR148" i="10" s="1"/>
  <c r="AA148" i="27"/>
  <c r="AQ149" i="10"/>
  <c r="AR149" i="10" s="1"/>
  <c r="AA149" i="27"/>
  <c r="AQ152" i="10"/>
  <c r="AR152" i="10" s="1"/>
  <c r="AA152" i="27"/>
  <c r="AQ161" i="10"/>
  <c r="AA161" i="27"/>
  <c r="AQ162" i="10"/>
  <c r="I162" i="10" s="1"/>
  <c r="AA162" i="27"/>
  <c r="AQ170" i="10"/>
  <c r="AA170" i="27"/>
  <c r="AQ174" i="10"/>
  <c r="AA173" i="27"/>
  <c r="AQ176" i="10"/>
  <c r="AA175" i="27"/>
  <c r="AQ177" i="10"/>
  <c r="AA176" i="27"/>
  <c r="AQ178" i="10"/>
  <c r="AA177" i="27"/>
  <c r="AQ33" i="10"/>
  <c r="AA33" i="27"/>
  <c r="AQ34" i="10"/>
  <c r="AA34" i="27"/>
  <c r="AQ35" i="10"/>
  <c r="AA35" i="27"/>
  <c r="AQ36" i="10"/>
  <c r="AA36" i="27"/>
  <c r="AQ37" i="10"/>
  <c r="AA37" i="27"/>
  <c r="AQ39" i="10"/>
  <c r="AA39" i="27"/>
  <c r="AQ41" i="10"/>
  <c r="AA41" i="27"/>
  <c r="AQ42" i="10"/>
  <c r="AA42" i="27"/>
  <c r="AQ43" i="10"/>
  <c r="AA43" i="27"/>
  <c r="AQ46" i="10"/>
  <c r="AA46" i="27"/>
  <c r="AQ47" i="10"/>
  <c r="AA47" i="27"/>
  <c r="AQ48" i="10"/>
  <c r="AA48" i="27"/>
  <c r="AQ56" i="10"/>
  <c r="AA56" i="27"/>
  <c r="AQ62" i="10"/>
  <c r="AA62" i="27"/>
  <c r="AQ63" i="10"/>
  <c r="AA63" i="27"/>
  <c r="AD63" i="27" s="1"/>
  <c r="AD61" i="27" s="1"/>
  <c r="AD7" i="27" s="1"/>
  <c r="AQ64" i="10"/>
  <c r="AA64" i="27"/>
  <c r="AQ65" i="10"/>
  <c r="AA65" i="27"/>
  <c r="AQ67" i="10"/>
  <c r="AA67" i="27"/>
  <c r="AQ68" i="10"/>
  <c r="U68" i="10" s="1"/>
  <c r="AA68" i="27"/>
  <c r="AQ69" i="10"/>
  <c r="AA69" i="27"/>
  <c r="AQ70" i="10"/>
  <c r="AA70" i="27"/>
  <c r="AQ71" i="10"/>
  <c r="AA71" i="27"/>
  <c r="AQ77" i="10"/>
  <c r="AA77" i="27"/>
  <c r="AQ79" i="10"/>
  <c r="AA79" i="27"/>
  <c r="AQ80" i="10"/>
  <c r="AA80" i="27"/>
  <c r="AQ81" i="10"/>
  <c r="AA81" i="27"/>
  <c r="AQ82" i="10"/>
  <c r="AA82" i="27"/>
  <c r="AQ86" i="10"/>
  <c r="AA86" i="27"/>
  <c r="AQ109" i="10"/>
  <c r="AA109" i="27"/>
  <c r="AQ110" i="10"/>
  <c r="AA110" i="27"/>
  <c r="AQ111" i="10"/>
  <c r="AA111" i="27"/>
  <c r="AQ163" i="10"/>
  <c r="I163" i="10" s="1"/>
  <c r="AA163" i="27"/>
  <c r="AQ164" i="10"/>
  <c r="I164" i="10" s="1"/>
  <c r="AA164" i="27"/>
  <c r="AQ165" i="10"/>
  <c r="AA165" i="27"/>
  <c r="AQ179" i="10"/>
  <c r="AA178" i="27"/>
  <c r="AQ112" i="10"/>
  <c r="AA112" i="27"/>
  <c r="AQ114" i="10"/>
  <c r="AA114" i="27"/>
  <c r="AQ115" i="10"/>
  <c r="AA115" i="27"/>
  <c r="AQ116" i="10"/>
  <c r="AA116" i="27"/>
  <c r="AQ117" i="10"/>
  <c r="AA117" i="27"/>
  <c r="AQ122" i="10"/>
  <c r="AA122" i="27"/>
  <c r="AQ125" i="10"/>
  <c r="AA125" i="27"/>
  <c r="AQ126" i="10"/>
  <c r="AA126" i="27"/>
  <c r="S46" i="27"/>
  <c r="V46" i="27" s="1"/>
  <c r="S47" i="27"/>
  <c r="V47" i="27" s="1"/>
  <c r="S48" i="27"/>
  <c r="V48" i="27" s="1"/>
  <c r="S63" i="27"/>
  <c r="S39" i="27"/>
  <c r="V39" i="27" s="1"/>
  <c r="S152" i="27"/>
  <c r="V152" i="27" s="1"/>
  <c r="V147" i="27" s="1"/>
  <c r="V146" i="27" s="1"/>
  <c r="AM41" i="10"/>
  <c r="AM42" i="10"/>
  <c r="CP42" i="10" s="1"/>
  <c r="AM43" i="10"/>
  <c r="AM56" i="10"/>
  <c r="AM62" i="10"/>
  <c r="AM64" i="10"/>
  <c r="CN64" i="10" s="1"/>
  <c r="AM65" i="10"/>
  <c r="AN65" i="10" s="1"/>
  <c r="AM67" i="10"/>
  <c r="AM68" i="10"/>
  <c r="CN68" i="10" s="1"/>
  <c r="S68" i="10" s="1"/>
  <c r="AM69" i="10"/>
  <c r="CN69" i="10" s="1"/>
  <c r="AM70" i="10"/>
  <c r="CN70" i="10" s="1"/>
  <c r="AM71" i="10"/>
  <c r="CN71" i="10" s="1"/>
  <c r="AE71" i="10" s="1"/>
  <c r="AO74" i="10"/>
  <c r="AO75" i="10"/>
  <c r="AO76" i="10"/>
  <c r="AM77" i="10"/>
  <c r="AM79" i="10"/>
  <c r="AM80" i="10"/>
  <c r="AM81" i="10"/>
  <c r="AM82" i="10"/>
  <c r="AM86" i="10"/>
  <c r="AN86" i="10" s="1"/>
  <c r="AO87" i="10"/>
  <c r="AP87" i="10" s="1"/>
  <c r="AO88" i="10"/>
  <c r="AP88" i="10" s="1"/>
  <c r="AO89" i="10"/>
  <c r="AP89" i="10" s="1"/>
  <c r="AO90" i="10"/>
  <c r="AP90" i="10" s="1"/>
  <c r="AO92" i="10"/>
  <c r="AO106" i="10"/>
  <c r="AO108" i="10"/>
  <c r="AM109" i="10"/>
  <c r="AM110" i="10"/>
  <c r="AM111" i="10"/>
  <c r="AK112" i="10"/>
  <c r="CL112" i="10" s="1"/>
  <c r="O112" i="27"/>
  <c r="AK114" i="10"/>
  <c r="O114" i="27"/>
  <c r="AK115" i="10"/>
  <c r="CL115" i="10" s="1"/>
  <c r="O115" i="27"/>
  <c r="AK116" i="10"/>
  <c r="CL116" i="10" s="1"/>
  <c r="O116" i="27"/>
  <c r="AK117" i="10"/>
  <c r="CL117" i="10" s="1"/>
  <c r="O117" i="27"/>
  <c r="AK126" i="10"/>
  <c r="CS126" i="10" s="1"/>
  <c r="O126" i="27"/>
  <c r="Q126" i="27" s="1"/>
  <c r="AO137" i="10"/>
  <c r="CT137" i="10" s="1"/>
  <c r="AO138" i="10"/>
  <c r="AO139" i="10"/>
  <c r="AO148" i="10"/>
  <c r="AP148" i="10" s="1"/>
  <c r="AO149" i="10"/>
  <c r="AP149" i="10" s="1"/>
  <c r="AO152" i="10"/>
  <c r="AP152" i="10" s="1"/>
  <c r="AO161" i="10"/>
  <c r="AO162" i="10"/>
  <c r="AM163" i="10"/>
  <c r="CM163" i="10" s="1"/>
  <c r="AM164" i="10"/>
  <c r="CM164" i="10" s="1"/>
  <c r="AM165" i="10"/>
  <c r="AO170" i="10"/>
  <c r="AF170" i="10" s="1"/>
  <c r="AO174" i="10"/>
  <c r="AO176" i="10"/>
  <c r="AO177" i="10"/>
  <c r="AO178" i="10"/>
  <c r="AM179" i="10"/>
  <c r="AM33" i="10"/>
  <c r="AM34" i="10"/>
  <c r="AM35" i="10"/>
  <c r="CN35" i="10" s="1"/>
  <c r="AM36" i="10"/>
  <c r="AM37" i="10"/>
  <c r="AO33" i="10"/>
  <c r="AO34" i="10"/>
  <c r="AO35" i="10"/>
  <c r="AO36" i="10"/>
  <c r="AO37" i="10"/>
  <c r="AO39" i="10"/>
  <c r="AO41" i="10"/>
  <c r="T41" i="10" s="1"/>
  <c r="AO42" i="10"/>
  <c r="AO43" i="10"/>
  <c r="AO46" i="10"/>
  <c r="AO47" i="10"/>
  <c r="AO48" i="10"/>
  <c r="AO62" i="10"/>
  <c r="AO63" i="10"/>
  <c r="AO64" i="10"/>
  <c r="AO65" i="10"/>
  <c r="AP65" i="10" s="1"/>
  <c r="AO67" i="10"/>
  <c r="AP67" i="10" s="1"/>
  <c r="AO68" i="10"/>
  <c r="AO69" i="10"/>
  <c r="AO70" i="10"/>
  <c r="AO71" i="10"/>
  <c r="AO77" i="10"/>
  <c r="AO79" i="10"/>
  <c r="AO80" i="10"/>
  <c r="AO81" i="10"/>
  <c r="AO82" i="10"/>
  <c r="AO86" i="10"/>
  <c r="AP86" i="10" s="1"/>
  <c r="AK94" i="10"/>
  <c r="AL94" i="10" s="1"/>
  <c r="O94" i="27"/>
  <c r="Q94" i="27" s="1"/>
  <c r="AK95" i="10"/>
  <c r="CM95" i="10" s="1"/>
  <c r="O95" i="27"/>
  <c r="AK96" i="10"/>
  <c r="AL96" i="10" s="1"/>
  <c r="O96" i="27"/>
  <c r="Q96" i="27" s="1"/>
  <c r="AK97" i="10"/>
  <c r="AL97" i="10" s="1"/>
  <c r="O97" i="27"/>
  <c r="AK102" i="10"/>
  <c r="CL102" i="10" s="1"/>
  <c r="O102" i="27"/>
  <c r="AK103" i="10"/>
  <c r="CL103" i="10" s="1"/>
  <c r="O103" i="27"/>
  <c r="AK104" i="10"/>
  <c r="CL104" i="10" s="1"/>
  <c r="O104" i="27"/>
  <c r="AK105" i="10"/>
  <c r="O105" i="27"/>
  <c r="R105" i="27" s="1"/>
  <c r="AO109" i="10"/>
  <c r="AO110" i="10"/>
  <c r="AO111" i="10"/>
  <c r="AM112" i="10"/>
  <c r="AM114" i="10"/>
  <c r="AM115" i="10"/>
  <c r="CM115" i="10" s="1"/>
  <c r="AM116" i="10"/>
  <c r="CM116" i="10" s="1"/>
  <c r="AM117" i="10"/>
  <c r="CM117" i="10" s="1"/>
  <c r="AK118" i="10"/>
  <c r="CL118" i="10" s="1"/>
  <c r="X118" i="10" s="1"/>
  <c r="AK121" i="10"/>
  <c r="O121" i="27"/>
  <c r="Q121" i="27" s="1"/>
  <c r="AM122" i="10"/>
  <c r="CR122" i="10" s="1"/>
  <c r="AK123" i="10"/>
  <c r="CS123" i="10" s="1"/>
  <c r="O123" i="27"/>
  <c r="Q123" i="27" s="1"/>
  <c r="AK124" i="10"/>
  <c r="CS124" i="10" s="1"/>
  <c r="O124" i="27"/>
  <c r="Q124" i="27" s="1"/>
  <c r="AM125" i="10"/>
  <c r="CR125" i="10" s="1"/>
  <c r="AM126" i="10"/>
  <c r="CR126" i="10" s="1"/>
  <c r="AK128" i="10"/>
  <c r="CS128" i="10" s="1"/>
  <c r="O128" i="27"/>
  <c r="Q128" i="27" s="1"/>
  <c r="AK135" i="10"/>
  <c r="R140" i="10" s="1"/>
  <c r="R119" i="10" s="1"/>
  <c r="O135" i="27"/>
  <c r="AK136" i="10"/>
  <c r="O136" i="27"/>
  <c r="AO163" i="10"/>
  <c r="AO164" i="10"/>
  <c r="AO165" i="10"/>
  <c r="AO179" i="10"/>
  <c r="AK75" i="10"/>
  <c r="CM75" i="10" s="1"/>
  <c r="O75" i="27"/>
  <c r="Q75" i="27" s="1"/>
  <c r="AK76" i="10"/>
  <c r="O76" i="27"/>
  <c r="Q76" i="27" s="1"/>
  <c r="AK88" i="10"/>
  <c r="O88" i="27"/>
  <c r="AK89" i="10"/>
  <c r="O89" i="27"/>
  <c r="O90" i="27"/>
  <c r="Q90" i="27" s="1"/>
  <c r="AM93" i="10"/>
  <c r="AM94" i="10"/>
  <c r="AM95" i="10"/>
  <c r="AM96" i="10"/>
  <c r="AN96" i="10" s="1"/>
  <c r="S96" i="10" s="1"/>
  <c r="AM97" i="10"/>
  <c r="AN97" i="10" s="1"/>
  <c r="S97" i="10" s="1"/>
  <c r="AM102" i="10"/>
  <c r="CM102" i="10" s="1"/>
  <c r="AM103" i="10"/>
  <c r="CM103" i="10" s="1"/>
  <c r="AM104" i="10"/>
  <c r="CM104" i="10" s="1"/>
  <c r="AM105" i="10"/>
  <c r="AK106" i="10"/>
  <c r="CL106" i="10" s="1"/>
  <c r="O106" i="27"/>
  <c r="AK108" i="10"/>
  <c r="O108" i="27"/>
  <c r="AO112" i="10"/>
  <c r="AO114" i="10"/>
  <c r="AO115" i="10"/>
  <c r="AO116" i="10"/>
  <c r="AO117" i="10"/>
  <c r="AM118" i="10"/>
  <c r="CM118" i="10" s="1"/>
  <c r="AM121" i="10"/>
  <c r="AO122" i="10"/>
  <c r="AM123" i="10"/>
  <c r="CR123" i="10" s="1"/>
  <c r="AM124" i="10"/>
  <c r="CR124" i="10" s="1"/>
  <c r="AO125" i="10"/>
  <c r="AO126" i="10"/>
  <c r="AM128" i="10"/>
  <c r="CR128" i="10" s="1"/>
  <c r="AM135" i="10"/>
  <c r="S140" i="10" s="1"/>
  <c r="S119" i="10" s="1"/>
  <c r="AM136" i="10"/>
  <c r="AK137" i="10"/>
  <c r="O137" i="27"/>
  <c r="AK138" i="10"/>
  <c r="O138" i="27"/>
  <c r="AK139" i="10"/>
  <c r="O139" i="27"/>
  <c r="AM150" i="10"/>
  <c r="AN150" i="10" s="1"/>
  <c r="AM151" i="10"/>
  <c r="AN151" i="10" s="1"/>
  <c r="AK152" i="10"/>
  <c r="AL152" i="10" s="1"/>
  <c r="O152" i="27"/>
  <c r="Q152" i="27" s="1"/>
  <c r="AK161" i="10"/>
  <c r="O161" i="27"/>
  <c r="AK162" i="10"/>
  <c r="AK176" i="10"/>
  <c r="O175" i="27"/>
  <c r="R175" i="27" s="1"/>
  <c r="AK33" i="10"/>
  <c r="O33" i="27"/>
  <c r="AK34" i="10"/>
  <c r="O34" i="27"/>
  <c r="AK35" i="10"/>
  <c r="CM35" i="10" s="1"/>
  <c r="O35" i="27"/>
  <c r="Q35" i="27" s="1"/>
  <c r="AK36" i="10"/>
  <c r="O36" i="27"/>
  <c r="AK37" i="10"/>
  <c r="O37" i="27"/>
  <c r="AK41" i="10"/>
  <c r="O41" i="27"/>
  <c r="AK42" i="10"/>
  <c r="CO42" i="10" s="1"/>
  <c r="O42" i="27"/>
  <c r="AK43" i="10"/>
  <c r="O43" i="27"/>
  <c r="Q43" i="27" s="1"/>
  <c r="AK56" i="10"/>
  <c r="O56" i="27"/>
  <c r="Q56" i="27" s="1"/>
  <c r="Q55" i="27" s="1"/>
  <c r="AK65" i="10"/>
  <c r="AL65" i="10" s="1"/>
  <c r="O65" i="27"/>
  <c r="AK67" i="10"/>
  <c r="O67" i="27"/>
  <c r="AK68" i="10"/>
  <c r="CM68" i="10" s="1"/>
  <c r="R68" i="10" s="1"/>
  <c r="O68" i="27"/>
  <c r="AK69" i="10"/>
  <c r="CM69" i="10" s="1"/>
  <c r="O69" i="27"/>
  <c r="AK70" i="10"/>
  <c r="CM70" i="10" s="1"/>
  <c r="O70" i="27"/>
  <c r="Q70" i="27" s="1"/>
  <c r="AK71" i="10"/>
  <c r="CM71" i="10" s="1"/>
  <c r="O71" i="27"/>
  <c r="AM74" i="10"/>
  <c r="AM75" i="10"/>
  <c r="AM76" i="10"/>
  <c r="AK77" i="10"/>
  <c r="CM77" i="10" s="1"/>
  <c r="O77" i="27"/>
  <c r="Q77" i="27" s="1"/>
  <c r="AK79" i="10"/>
  <c r="CR79" i="10" s="1"/>
  <c r="O79" i="27"/>
  <c r="AK81" i="10"/>
  <c r="CR81" i="10" s="1"/>
  <c r="O81" i="27"/>
  <c r="Q81" i="27" s="1"/>
  <c r="AK86" i="10"/>
  <c r="O86" i="27"/>
  <c r="AM87" i="10"/>
  <c r="AN87" i="10" s="1"/>
  <c r="AM88" i="10"/>
  <c r="AN88" i="10" s="1"/>
  <c r="AM89" i="10"/>
  <c r="AN89" i="10" s="1"/>
  <c r="AM90" i="10"/>
  <c r="AM92" i="10"/>
  <c r="AO93" i="10"/>
  <c r="AO94" i="10"/>
  <c r="AP94" i="10" s="1"/>
  <c r="AO95" i="10"/>
  <c r="AO96" i="10"/>
  <c r="AP96" i="10" s="1"/>
  <c r="AO97" i="10"/>
  <c r="AP97" i="10" s="1"/>
  <c r="AO102" i="10"/>
  <c r="AO103" i="10"/>
  <c r="AO104" i="10"/>
  <c r="AO105" i="10"/>
  <c r="AM106" i="10"/>
  <c r="CM106" i="10" s="1"/>
  <c r="AM108" i="10"/>
  <c r="AK109" i="10"/>
  <c r="O109" i="27"/>
  <c r="AK110" i="10"/>
  <c r="CL110" i="10" s="1"/>
  <c r="O110" i="27"/>
  <c r="AK111" i="10"/>
  <c r="O111"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AM162" i="10"/>
  <c r="AK163" i="10"/>
  <c r="CL163" i="10" s="1"/>
  <c r="O163" i="27"/>
  <c r="AK164" i="10"/>
  <c r="CL164" i="10" s="1"/>
  <c r="O164" i="27"/>
  <c r="AK165" i="10"/>
  <c r="O165" i="27"/>
  <c r="AM170" i="10"/>
  <c r="AM174" i="10"/>
  <c r="AM176" i="10"/>
  <c r="AM177" i="10"/>
  <c r="AM178" i="10"/>
  <c r="AK80" i="10"/>
  <c r="R80" i="10" s="1"/>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AK92" i="10"/>
  <c r="Q149" i="2"/>
  <c r="AK148" i="10"/>
  <c r="AL148" i="10" s="1"/>
  <c r="Q150" i="2"/>
  <c r="AK149" i="10"/>
  <c r="AL149" i="10" s="1"/>
  <c r="Q174" i="2"/>
  <c r="AK174" i="10"/>
  <c r="AL174" i="10" s="1"/>
  <c r="CL174" i="10" s="1"/>
  <c r="Q177" i="2"/>
  <c r="AK177" i="10"/>
  <c r="Q178" i="2"/>
  <c r="AK178" i="10"/>
  <c r="AL178" i="10" s="1"/>
  <c r="CL178" i="10" s="1"/>
  <c r="R178" i="10" s="1"/>
  <c r="AI179" i="10"/>
  <c r="AJ179" i="10" s="1"/>
  <c r="CK179" i="10" s="1"/>
  <c r="N179" i="2"/>
  <c r="Q40" i="2"/>
  <c r="AK39" i="10"/>
  <c r="R39" i="10" s="1"/>
  <c r="Q47" i="2"/>
  <c r="AK46" i="10"/>
  <c r="R46" i="10" s="1"/>
  <c r="Q48" i="2"/>
  <c r="AK47" i="10"/>
  <c r="Q49" i="2"/>
  <c r="AK48" i="10"/>
  <c r="Q63" i="2"/>
  <c r="AK62" i="10"/>
  <c r="AL62" i="10" s="1"/>
  <c r="Q64" i="2"/>
  <c r="AK63" i="10"/>
  <c r="AL63" i="10" s="1"/>
  <c r="R63" i="10" s="1"/>
  <c r="Q65" i="2"/>
  <c r="AK64" i="10"/>
  <c r="AL64" i="10" s="1"/>
  <c r="CM64" i="10" s="1"/>
  <c r="AK82" i="10"/>
  <c r="T153" i="2"/>
  <c r="T148" i="2" s="1"/>
  <c r="AM152" i="10"/>
  <c r="AN152" i="10" s="1"/>
  <c r="Q179" i="2"/>
  <c r="AK179" i="10"/>
  <c r="AL179" i="10" s="1"/>
  <c r="CL179" i="10" s="1"/>
  <c r="V105" i="11"/>
  <c r="K106" i="27"/>
  <c r="V136" i="11"/>
  <c r="K137" i="27"/>
  <c r="V151" i="11"/>
  <c r="K152" i="27"/>
  <c r="N152" i="27" s="1"/>
  <c r="V122" i="11"/>
  <c r="K123" i="27"/>
  <c r="M123" i="27" s="1"/>
  <c r="V76" i="11"/>
  <c r="K77" i="27"/>
  <c r="M77" i="27" s="1"/>
  <c r="V108" i="11"/>
  <c r="K109" i="27"/>
  <c r="V162" i="11"/>
  <c r="K163" i="27"/>
  <c r="K178" i="27"/>
  <c r="N178" i="27" s="1"/>
  <c r="V127" i="11"/>
  <c r="K128" i="27"/>
  <c r="M128" i="27" s="1"/>
  <c r="R73" i="27"/>
  <c r="V111" i="11"/>
  <c r="K112" i="27"/>
  <c r="V117" i="11"/>
  <c r="K118" i="27"/>
  <c r="M121" i="38"/>
  <c r="K121" i="38"/>
  <c r="N121" i="38"/>
  <c r="L121" i="38"/>
  <c r="U9" i="2"/>
  <c r="X9" i="2"/>
  <c r="AA8" i="27" s="1"/>
  <c r="V157" i="11"/>
  <c r="V177" i="11"/>
  <c r="X69" i="10" l="1"/>
  <c r="X95" i="10"/>
  <c r="R95" i="10"/>
  <c r="O73" i="24"/>
  <c r="AI65" i="28"/>
  <c r="Y159" i="28"/>
  <c r="Y158" i="28" s="1"/>
  <c r="R64" i="10"/>
  <c r="X64" i="10"/>
  <c r="AP64" i="10"/>
  <c r="T64" i="10" s="1"/>
  <c r="CO64" i="10"/>
  <c r="T65" i="28"/>
  <c r="U171" i="28"/>
  <c r="U170" i="28" s="1"/>
  <c r="P65" i="28"/>
  <c r="P60" i="28"/>
  <c r="Z77" i="28"/>
  <c r="AI77" i="28"/>
  <c r="P171" i="28"/>
  <c r="P170" i="28" s="1"/>
  <c r="P166" i="28" s="1"/>
  <c r="AD77" i="28"/>
  <c r="Z65" i="28"/>
  <c r="Z60" i="28"/>
  <c r="U159" i="28"/>
  <c r="U158" i="28" s="1"/>
  <c r="AI90" i="28"/>
  <c r="Z159" i="28"/>
  <c r="Z158" i="28" s="1"/>
  <c r="L6" i="26"/>
  <c r="L73" i="24"/>
  <c r="L92" i="25"/>
  <c r="O39" i="25"/>
  <c r="O108" i="25"/>
  <c r="O6" i="26"/>
  <c r="AI72" i="28"/>
  <c r="N108" i="25"/>
  <c r="N39" i="25"/>
  <c r="Z171" i="28"/>
  <c r="Z170" i="28" s="1"/>
  <c r="U90" i="28"/>
  <c r="N6" i="26"/>
  <c r="Y171" i="28"/>
  <c r="Y170" i="28" s="1"/>
  <c r="Y166" i="28" s="1"/>
  <c r="P72" i="28"/>
  <c r="Q161" i="2"/>
  <c r="AE31" i="28"/>
  <c r="U166" i="28"/>
  <c r="Z90" i="28"/>
  <c r="M6" i="26"/>
  <c r="P77" i="28"/>
  <c r="Z37" i="28"/>
  <c r="Z166" i="28"/>
  <c r="N114" i="25"/>
  <c r="AD65" i="28"/>
  <c r="AD60" i="28"/>
  <c r="T60" i="28"/>
  <c r="Y32" i="28"/>
  <c r="Y31" i="28" s="1"/>
  <c r="U31" i="28"/>
  <c r="Z112" i="28"/>
  <c r="AD113" i="28"/>
  <c r="AD112" i="28" s="1"/>
  <c r="AE106" i="28"/>
  <c r="AI107" i="28"/>
  <c r="AI106" i="28" s="1"/>
  <c r="Z84" i="28"/>
  <c r="AD85" i="28"/>
  <c r="AD84" i="28" s="1"/>
  <c r="AE37" i="28"/>
  <c r="AI40" i="28"/>
  <c r="AI37" i="28" s="1"/>
  <c r="T112" i="28"/>
  <c r="Z106" i="28"/>
  <c r="AD107" i="28"/>
  <c r="AD106" i="28" s="1"/>
  <c r="AE100" i="28"/>
  <c r="AI102" i="28"/>
  <c r="AI100" i="28" s="1"/>
  <c r="P84" i="28"/>
  <c r="T73" i="23"/>
  <c r="P90" i="28"/>
  <c r="Z44" i="28"/>
  <c r="AD45" i="28"/>
  <c r="AD44" i="28" s="1"/>
  <c r="AE90" i="28"/>
  <c r="AE112" i="28"/>
  <c r="AI114" i="28"/>
  <c r="AI112" i="28" s="1"/>
  <c r="AE171" i="28"/>
  <c r="AE170" i="28" s="1"/>
  <c r="AE166" i="28" s="1"/>
  <c r="AI172" i="28"/>
  <c r="AI171" i="28" s="1"/>
  <c r="AI170" i="28" s="1"/>
  <c r="AI166" i="28" s="1"/>
  <c r="P112" i="28"/>
  <c r="U84" i="28"/>
  <c r="Y85" i="28"/>
  <c r="Y84" i="28" s="1"/>
  <c r="U72" i="28"/>
  <c r="Y73" i="28"/>
  <c r="Y72" i="28" s="1"/>
  <c r="P44" i="28"/>
  <c r="T45" i="28"/>
  <c r="T44" i="28" s="1"/>
  <c r="AD32" i="28"/>
  <c r="Z31" i="28"/>
  <c r="AE77" i="28"/>
  <c r="AE72" i="28"/>
  <c r="AE71" i="28" s="1"/>
  <c r="T159" i="28"/>
  <c r="T158" i="28" s="1"/>
  <c r="T100" i="28"/>
  <c r="Y77" i="28"/>
  <c r="Z72" i="28"/>
  <c r="AD73" i="28"/>
  <c r="AD72" i="28" s="1"/>
  <c r="U65" i="28"/>
  <c r="Y66" i="28"/>
  <c r="Y65" i="28" s="1"/>
  <c r="Y60" i="28"/>
  <c r="U44" i="28"/>
  <c r="Y45" i="28"/>
  <c r="Y44" i="28" s="1"/>
  <c r="T72" i="28"/>
  <c r="P31" i="28"/>
  <c r="AE44" i="28"/>
  <c r="AI45" i="28"/>
  <c r="AI44" i="28" s="1"/>
  <c r="T171" i="28"/>
  <c r="T170" i="28" s="1"/>
  <c r="T166" i="28" s="1"/>
  <c r="P159" i="28"/>
  <c r="P158" i="28" s="1"/>
  <c r="P100" i="28"/>
  <c r="U77" i="28"/>
  <c r="U60" i="28"/>
  <c r="AD159" i="28"/>
  <c r="AD158" i="28" s="1"/>
  <c r="Y90" i="28"/>
  <c r="AI159" i="28"/>
  <c r="AI158" i="28" s="1"/>
  <c r="AD90" i="28"/>
  <c r="T77" i="28"/>
  <c r="AD37" i="28"/>
  <c r="AD171" i="28"/>
  <c r="AD170" i="28" s="1"/>
  <c r="AD166" i="28" s="1"/>
  <c r="U106" i="28"/>
  <c r="U99" i="28" s="1"/>
  <c r="Y107" i="28"/>
  <c r="Y106" i="28" s="1"/>
  <c r="Y99" i="28" s="1"/>
  <c r="Y98" i="28" s="1"/>
  <c r="Z100" i="28"/>
  <c r="AD101" i="28"/>
  <c r="AD100" i="28" s="1"/>
  <c r="T84" i="28"/>
  <c r="Q73" i="23"/>
  <c r="Q95" i="27"/>
  <c r="R95" i="27"/>
  <c r="T32" i="28"/>
  <c r="T31" i="28" s="1"/>
  <c r="Q32" i="23"/>
  <c r="AI32" i="28"/>
  <c r="AI31" i="28" s="1"/>
  <c r="AD33" i="28"/>
  <c r="M91" i="24"/>
  <c r="M86" i="25"/>
  <c r="T32" i="23"/>
  <c r="W32" i="23"/>
  <c r="N86" i="25"/>
  <c r="M73" i="24"/>
  <c r="Q37" i="27"/>
  <c r="R37" i="27"/>
  <c r="AE35" i="10"/>
  <c r="Y35" i="10"/>
  <c r="N32" i="23"/>
  <c r="N73" i="24"/>
  <c r="X35" i="10"/>
  <c r="AD35" i="10"/>
  <c r="U37" i="27"/>
  <c r="V37" i="27"/>
  <c r="Q78" i="23"/>
  <c r="W85" i="23"/>
  <c r="W91" i="23"/>
  <c r="W160" i="23"/>
  <c r="W159" i="23" s="1"/>
  <c r="Q160" i="23"/>
  <c r="Q159" i="23" s="1"/>
  <c r="N147" i="23"/>
  <c r="N146" i="23" s="1"/>
  <c r="Q91" i="23"/>
  <c r="N85" i="23"/>
  <c r="N160" i="23"/>
  <c r="N159" i="23" s="1"/>
  <c r="W147" i="23"/>
  <c r="W146" i="23" s="1"/>
  <c r="Q101" i="23"/>
  <c r="T147" i="23"/>
  <c r="T146" i="23" s="1"/>
  <c r="N101" i="23"/>
  <c r="Q172" i="23"/>
  <c r="Q171" i="23" s="1"/>
  <c r="Q167" i="23" s="1"/>
  <c r="Q147" i="23"/>
  <c r="Q146" i="23" s="1"/>
  <c r="N107" i="23"/>
  <c r="T107" i="23"/>
  <c r="N172" i="23"/>
  <c r="N171" i="23" s="1"/>
  <c r="N167" i="23" s="1"/>
  <c r="T101" i="23"/>
  <c r="N61" i="23"/>
  <c r="W172" i="23"/>
  <c r="W171" i="23" s="1"/>
  <c r="W167" i="23" s="1"/>
  <c r="T172" i="23"/>
  <c r="T171" i="23" s="1"/>
  <c r="T167" i="23" s="1"/>
  <c r="T160" i="23"/>
  <c r="T159" i="23" s="1"/>
  <c r="Q85" i="23"/>
  <c r="Q107" i="23"/>
  <c r="W107" i="23"/>
  <c r="T85" i="23"/>
  <c r="W101" i="23"/>
  <c r="T91" i="23"/>
  <c r="N91" i="23"/>
  <c r="N113" i="23"/>
  <c r="W113" i="23"/>
  <c r="Q113" i="23"/>
  <c r="T113" i="23"/>
  <c r="W73" i="23"/>
  <c r="Q61" i="23"/>
  <c r="N66" i="23"/>
  <c r="N73" i="23"/>
  <c r="W61" i="23"/>
  <c r="T66" i="23"/>
  <c r="N78" i="23"/>
  <c r="T61" i="23"/>
  <c r="Q66" i="23"/>
  <c r="W78" i="23"/>
  <c r="W66" i="23"/>
  <c r="T78" i="23"/>
  <c r="U137" i="27"/>
  <c r="V137" i="27"/>
  <c r="M137" i="27"/>
  <c r="N137" i="27"/>
  <c r="Q71" i="27"/>
  <c r="R71" i="27"/>
  <c r="Q137" i="27"/>
  <c r="R137" i="27"/>
  <c r="AL86" i="10"/>
  <c r="AL88" i="10"/>
  <c r="R88" i="10" s="1"/>
  <c r="CK88" i="10"/>
  <c r="X90" i="10"/>
  <c r="AD90" i="10"/>
  <c r="AL89" i="10"/>
  <c r="CK89" i="10"/>
  <c r="Q41" i="27"/>
  <c r="R41" i="27"/>
  <c r="U41" i="27"/>
  <c r="V41" i="27"/>
  <c r="M92" i="25"/>
  <c r="M39" i="25"/>
  <c r="L39" i="25"/>
  <c r="U36" i="27"/>
  <c r="V36" i="27"/>
  <c r="N33" i="25"/>
  <c r="L91" i="24"/>
  <c r="Q36" i="27"/>
  <c r="R36" i="27"/>
  <c r="Q118" i="27"/>
  <c r="L114" i="25"/>
  <c r="L161" i="25"/>
  <c r="L160" i="25" s="1"/>
  <c r="Q118" i="10"/>
  <c r="W118" i="10"/>
  <c r="W163" i="10"/>
  <c r="AC163" i="10"/>
  <c r="Q163" i="10"/>
  <c r="Q112" i="10"/>
  <c r="W112" i="10"/>
  <c r="U116" i="27"/>
  <c r="Q65" i="27"/>
  <c r="R65" i="27"/>
  <c r="R61" i="27" s="1"/>
  <c r="Q164" i="27"/>
  <c r="R164" i="27"/>
  <c r="M33" i="25"/>
  <c r="U118" i="27"/>
  <c r="Q165" i="27"/>
  <c r="R165" i="27"/>
  <c r="L85" i="24"/>
  <c r="M163" i="27"/>
  <c r="N163" i="27"/>
  <c r="M118" i="27"/>
  <c r="N118" i="27"/>
  <c r="M114" i="25"/>
  <c r="Q136" i="27"/>
  <c r="R136" i="27"/>
  <c r="Q117" i="27"/>
  <c r="R117" i="27"/>
  <c r="Q115" i="27"/>
  <c r="R115" i="27"/>
  <c r="U139" i="27"/>
  <c r="V139" i="27"/>
  <c r="T33" i="2"/>
  <c r="O33" i="25"/>
  <c r="Q162" i="27"/>
  <c r="R162" i="27"/>
  <c r="Q139" i="27"/>
  <c r="R139" i="27"/>
  <c r="U114" i="27"/>
  <c r="V114" i="27"/>
  <c r="U136" i="27"/>
  <c r="V136" i="27"/>
  <c r="U117" i="27"/>
  <c r="V117" i="27"/>
  <c r="Q163" i="27"/>
  <c r="R163" i="27"/>
  <c r="Q135" i="27"/>
  <c r="R135" i="27"/>
  <c r="Q116" i="27"/>
  <c r="R116" i="27"/>
  <c r="Q114" i="27"/>
  <c r="R114" i="27"/>
  <c r="U138" i="27"/>
  <c r="V138" i="27"/>
  <c r="Q114" i="2"/>
  <c r="T114" i="2"/>
  <c r="Q138" i="27"/>
  <c r="R138" i="27"/>
  <c r="Q104" i="27"/>
  <c r="R104" i="27"/>
  <c r="U135" i="27"/>
  <c r="V135" i="27"/>
  <c r="U104" i="27"/>
  <c r="V104" i="27"/>
  <c r="U115" i="27"/>
  <c r="V115" i="27"/>
  <c r="M106" i="27"/>
  <c r="N106" i="27"/>
  <c r="O114" i="25"/>
  <c r="O161" i="25"/>
  <c r="O160" i="25" s="1"/>
  <c r="M67" i="25"/>
  <c r="Q106" i="27"/>
  <c r="R106" i="27"/>
  <c r="Q89" i="27"/>
  <c r="R89" i="27"/>
  <c r="U33" i="27"/>
  <c r="V33" i="27"/>
  <c r="O66" i="24"/>
  <c r="AD164" i="10"/>
  <c r="X164" i="10"/>
  <c r="R164" i="10"/>
  <c r="M161" i="10"/>
  <c r="CM161" i="10"/>
  <c r="Q69" i="27"/>
  <c r="R69" i="27"/>
  <c r="Q67" i="27"/>
  <c r="R67" i="27"/>
  <c r="Q33" i="27"/>
  <c r="R33" i="27"/>
  <c r="Y117" i="10"/>
  <c r="S117" i="10"/>
  <c r="CR117" i="10"/>
  <c r="CM112" i="10"/>
  <c r="CR112" i="10" s="1"/>
  <c r="Q97" i="27"/>
  <c r="R97" i="27"/>
  <c r="AE164" i="10"/>
  <c r="Y164" i="10"/>
  <c r="S164" i="10"/>
  <c r="U106" i="27"/>
  <c r="V106" i="27"/>
  <c r="M161" i="25"/>
  <c r="M160" i="25" s="1"/>
  <c r="Q86" i="2"/>
  <c r="O67" i="25"/>
  <c r="L33" i="25"/>
  <c r="Y118" i="10"/>
  <c r="CR118" i="10"/>
  <c r="U34" i="27"/>
  <c r="V34" i="27"/>
  <c r="O85" i="24"/>
  <c r="Q67" i="2"/>
  <c r="L66" i="24"/>
  <c r="N66" i="24"/>
  <c r="M162" i="10"/>
  <c r="CM162" i="10"/>
  <c r="F161" i="10"/>
  <c r="CL161" i="10"/>
  <c r="G165" i="10"/>
  <c r="CM165" i="10"/>
  <c r="X116" i="10"/>
  <c r="R116" i="10"/>
  <c r="CM110" i="10"/>
  <c r="Q86" i="27"/>
  <c r="R86" i="27"/>
  <c r="L162" i="10"/>
  <c r="CL162" i="10"/>
  <c r="Q88" i="27"/>
  <c r="R88" i="27"/>
  <c r="AK120" i="10"/>
  <c r="AK119" i="10" s="1"/>
  <c r="S116" i="10"/>
  <c r="Y116" i="10"/>
  <c r="CR116" i="10"/>
  <c r="AE163" i="10"/>
  <c r="Y163" i="10"/>
  <c r="S163" i="10"/>
  <c r="R115" i="10"/>
  <c r="AD115" i="10"/>
  <c r="X115" i="10"/>
  <c r="R112" i="10"/>
  <c r="X112" i="10"/>
  <c r="Q176" i="27"/>
  <c r="L165" i="10"/>
  <c r="CL165" i="10"/>
  <c r="X163" i="10"/>
  <c r="R163" i="10"/>
  <c r="AD163" i="10"/>
  <c r="R110" i="10"/>
  <c r="X110" i="10"/>
  <c r="Q68" i="27"/>
  <c r="R68" i="27"/>
  <c r="Q34" i="27"/>
  <c r="R34" i="27"/>
  <c r="AE115" i="10"/>
  <c r="Y115" i="10"/>
  <c r="S115" i="10"/>
  <c r="CR115" i="10"/>
  <c r="L86" i="25"/>
  <c r="N161" i="25"/>
  <c r="N160" i="25" s="1"/>
  <c r="L67" i="25"/>
  <c r="N67" i="25"/>
  <c r="Q33" i="2"/>
  <c r="M66" i="24"/>
  <c r="X117" i="10"/>
  <c r="R117" i="10"/>
  <c r="R42" i="10"/>
  <c r="X42" i="10"/>
  <c r="X103" i="10"/>
  <c r="R103" i="10"/>
  <c r="Y106" i="10"/>
  <c r="S106" i="10"/>
  <c r="Y104" i="10"/>
  <c r="S104" i="10"/>
  <c r="S42" i="10"/>
  <c r="Y42" i="10"/>
  <c r="X71" i="10"/>
  <c r="R71" i="10"/>
  <c r="AD71" i="10"/>
  <c r="AL67" i="10"/>
  <c r="CM67" i="10"/>
  <c r="AN67" i="10"/>
  <c r="CN67" i="10"/>
  <c r="Q106" i="10"/>
  <c r="W106" i="10"/>
  <c r="Y103" i="10"/>
  <c r="S103" i="10"/>
  <c r="X104" i="10"/>
  <c r="R104" i="10"/>
  <c r="X102" i="10"/>
  <c r="R102" i="10"/>
  <c r="X106" i="10"/>
  <c r="R106" i="10"/>
  <c r="S102" i="10"/>
  <c r="Y102" i="10"/>
  <c r="AM120" i="10"/>
  <c r="AM119" i="10" s="1"/>
  <c r="CT121" i="10"/>
  <c r="AO120" i="10"/>
  <c r="AO119" i="10" s="1"/>
  <c r="Q173" i="27"/>
  <c r="Q92" i="27"/>
  <c r="Q148" i="27"/>
  <c r="U102" i="27"/>
  <c r="X174" i="10"/>
  <c r="W174" i="10" s="1"/>
  <c r="R174" i="10"/>
  <c r="Q174" i="10" s="1"/>
  <c r="X77" i="10"/>
  <c r="R77" i="10"/>
  <c r="AD7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AE125" i="10"/>
  <c r="Y125" i="10"/>
  <c r="T140" i="10"/>
  <c r="T119" i="10" s="1"/>
  <c r="CT135" i="10"/>
  <c r="CT122" i="10"/>
  <c r="AF122" i="10"/>
  <c r="AE126" i="10"/>
  <c r="Y126" i="10"/>
  <c r="CT125" i="10"/>
  <c r="CT126" i="10"/>
  <c r="CR121" i="10"/>
  <c r="AQ120" i="10"/>
  <c r="AQ119" i="10" s="1"/>
  <c r="AF121" i="10"/>
  <c r="CS121" i="10"/>
  <c r="U78" i="27"/>
  <c r="N45" i="24"/>
  <c r="N85" i="24"/>
  <c r="AK91" i="10"/>
  <c r="N79" i="25"/>
  <c r="O79" i="25"/>
  <c r="AA78" i="27"/>
  <c r="Q108" i="2"/>
  <c r="T102" i="2"/>
  <c r="Q102" i="2"/>
  <c r="L108" i="25"/>
  <c r="S78" i="27"/>
  <c r="Y79" i="27"/>
  <c r="Y78" i="27" s="1"/>
  <c r="W78" i="27"/>
  <c r="Q39" i="2"/>
  <c r="T39" i="2"/>
  <c r="Q79" i="27"/>
  <c r="O78" i="27"/>
  <c r="M79" i="25"/>
  <c r="O78" i="24"/>
  <c r="N78" i="24"/>
  <c r="L79" i="25"/>
  <c r="M78" i="24"/>
  <c r="L78" i="24"/>
  <c r="Q149" i="27"/>
  <c r="U105" i="27"/>
  <c r="M160" i="24"/>
  <c r="M159" i="24" s="1"/>
  <c r="AM91" i="10"/>
  <c r="AR92" i="10"/>
  <c r="AR91" i="10" s="1"/>
  <c r="AQ91" i="10"/>
  <c r="AO91" i="10"/>
  <c r="Q110" i="27"/>
  <c r="R110" i="27"/>
  <c r="AN76" i="10"/>
  <c r="Y76" i="10"/>
  <c r="Q108" i="27"/>
  <c r="R108" i="27"/>
  <c r="T70" i="10"/>
  <c r="AF70" i="10"/>
  <c r="G79" i="10"/>
  <c r="AP74" i="10"/>
  <c r="Z74" i="10"/>
  <c r="Y41" i="10"/>
  <c r="AE41" i="10"/>
  <c r="S41" i="10"/>
  <c r="U77" i="10"/>
  <c r="AG70" i="10"/>
  <c r="U70" i="10"/>
  <c r="AA43" i="10"/>
  <c r="AG43" i="10"/>
  <c r="U43" i="10"/>
  <c r="AA41" i="10"/>
  <c r="AG41" i="10"/>
  <c r="U41" i="10"/>
  <c r="AA76" i="10"/>
  <c r="U76" i="10"/>
  <c r="AA74" i="10"/>
  <c r="AN48" i="10"/>
  <c r="AN75" i="10"/>
  <c r="S75" i="10"/>
  <c r="AL75" i="10"/>
  <c r="R75" i="10"/>
  <c r="AP77" i="10"/>
  <c r="T77" i="10"/>
  <c r="Z43" i="10"/>
  <c r="T43" i="10"/>
  <c r="N47" i="10"/>
  <c r="T47" i="10" s="1"/>
  <c r="N46" i="10"/>
  <c r="T46" i="10" s="1"/>
  <c r="N48" i="10"/>
  <c r="T48" i="10" s="1"/>
  <c r="AN77" i="10"/>
  <c r="Y70" i="10"/>
  <c r="Y71" i="10"/>
  <c r="M109" i="27"/>
  <c r="N109" i="27"/>
  <c r="Q111" i="27"/>
  <c r="R111" i="27"/>
  <c r="Q109" i="27"/>
  <c r="R109"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R81" i="10"/>
  <c r="AL77" i="10"/>
  <c r="AL76" i="10"/>
  <c r="R76" i="10"/>
  <c r="X76" i="10"/>
  <c r="T71" i="10"/>
  <c r="Z70" i="10"/>
  <c r="AF71" i="10"/>
  <c r="Z71" i="10"/>
  <c r="AP75" i="10"/>
  <c r="T75" i="10"/>
  <c r="AJ77" i="10"/>
  <c r="AF65" i="10"/>
  <c r="AF61" i="10" s="1"/>
  <c r="T65" i="10"/>
  <c r="Z65" i="10"/>
  <c r="Z61" i="10" s="1"/>
  <c r="X61" i="10"/>
  <c r="AD65" i="10"/>
  <c r="AD61" i="10" s="1"/>
  <c r="Y61" i="10"/>
  <c r="AE65" i="10"/>
  <c r="AE61" i="10" s="1"/>
  <c r="U42" i="27"/>
  <c r="V42" i="27"/>
  <c r="U103" i="27"/>
  <c r="V103" i="27"/>
  <c r="Q102" i="27"/>
  <c r="R102" i="27"/>
  <c r="Q42" i="27"/>
  <c r="R42" i="27"/>
  <c r="Q103" i="27"/>
  <c r="R103" i="27"/>
  <c r="Q161" i="27"/>
  <c r="R161" i="27"/>
  <c r="O92" i="25"/>
  <c r="O91" i="24"/>
  <c r="N91" i="24"/>
  <c r="N92" i="25"/>
  <c r="N160" i="24"/>
  <c r="N159" i="24" s="1"/>
  <c r="O86" i="25"/>
  <c r="Q177" i="27"/>
  <c r="Q105" i="27"/>
  <c r="Q151" i="27"/>
  <c r="L113" i="24"/>
  <c r="O113" i="24"/>
  <c r="N45" i="23"/>
  <c r="Q178" i="27"/>
  <c r="R172" i="27"/>
  <c r="R171" i="27" s="1"/>
  <c r="R167" i="27" s="1"/>
  <c r="R147" i="27"/>
  <c r="R146" i="27" s="1"/>
  <c r="R140" i="27" s="1"/>
  <c r="W152" i="10"/>
  <c r="Q152" i="10"/>
  <c r="Q47" i="27"/>
  <c r="AP81" i="10"/>
  <c r="Q64" i="27"/>
  <c r="M46" i="25"/>
  <c r="M112" i="27"/>
  <c r="N112" i="27"/>
  <c r="Q62" i="27"/>
  <c r="Q39" i="27"/>
  <c r="H163" i="10"/>
  <c r="Q45" i="23"/>
  <c r="M113" i="24"/>
  <c r="N113" i="24"/>
  <c r="AP82" i="10"/>
  <c r="M45" i="24"/>
  <c r="O45" i="24"/>
  <c r="T97" i="10"/>
  <c r="Z97" i="10"/>
  <c r="N93" i="10"/>
  <c r="N94" i="10"/>
  <c r="Q48" i="27"/>
  <c r="R179" i="10"/>
  <c r="X179" i="10"/>
  <c r="R149" i="10"/>
  <c r="X149" i="10"/>
  <c r="T150" i="10"/>
  <c r="Z150" i="10"/>
  <c r="T96" i="10"/>
  <c r="Z96" i="10"/>
  <c r="M93" i="10"/>
  <c r="AN93" i="10" s="1"/>
  <c r="S93" i="10" s="1"/>
  <c r="M94" i="10"/>
  <c r="AN94" i="10" s="1"/>
  <c r="S94" i="10" s="1"/>
  <c r="X97" i="10"/>
  <c r="R97" i="10"/>
  <c r="AL95" i="10"/>
  <c r="AD95" i="10"/>
  <c r="AD91" i="10" s="1"/>
  <c r="U149" i="10"/>
  <c r="AA149" i="10"/>
  <c r="S150" i="10"/>
  <c r="Y150" i="10"/>
  <c r="T148" i="10"/>
  <c r="Z148" i="10"/>
  <c r="Q63" i="27"/>
  <c r="R151" i="10"/>
  <c r="X151" i="10"/>
  <c r="Y149" i="10"/>
  <c r="S149" i="10"/>
  <c r="AP95" i="10"/>
  <c r="AF95" i="10"/>
  <c r="AF91" i="10" s="1"/>
  <c r="X152" i="10"/>
  <c r="R152" i="10"/>
  <c r="T152" i="10"/>
  <c r="Z152" i="10"/>
  <c r="AA150" i="10"/>
  <c r="U150" i="10"/>
  <c r="L46" i="25"/>
  <c r="N46" i="25"/>
  <c r="L160" i="24"/>
  <c r="L159" i="24" s="1"/>
  <c r="O160" i="24"/>
  <c r="O159" i="24" s="1"/>
  <c r="Z151" i="10"/>
  <c r="T151" i="10"/>
  <c r="U151" i="10"/>
  <c r="AA151" i="10"/>
  <c r="Q46" i="27"/>
  <c r="S152" i="10"/>
  <c r="Y152" i="10"/>
  <c r="X178" i="10"/>
  <c r="W178" i="10" s="1"/>
  <c r="X148" i="10"/>
  <c r="R148" i="10"/>
  <c r="S148" i="10"/>
  <c r="Y148" i="10"/>
  <c r="T94" i="10"/>
  <c r="Z94" i="10"/>
  <c r="Y151" i="10"/>
  <c r="S151" i="10"/>
  <c r="AN95" i="10"/>
  <c r="S95" i="10" s="1"/>
  <c r="AE95" i="10"/>
  <c r="AE91" i="10" s="1"/>
  <c r="X96" i="10"/>
  <c r="R96" i="10"/>
  <c r="Z149" i="10"/>
  <c r="T149" i="10"/>
  <c r="Q112" i="27"/>
  <c r="R112" i="27"/>
  <c r="AA152" i="10"/>
  <c r="U152" i="10"/>
  <c r="AA148" i="10"/>
  <c r="U148" i="10"/>
  <c r="W45" i="23"/>
  <c r="T45" i="23"/>
  <c r="M85" i="24"/>
  <c r="N107" i="24"/>
  <c r="L45" i="24"/>
  <c r="AN71" i="10"/>
  <c r="S71" i="10"/>
  <c r="T69" i="10"/>
  <c r="Z69" i="10"/>
  <c r="Y69" i="10"/>
  <c r="S69" i="10"/>
  <c r="AA69" i="10"/>
  <c r="U69" i="10"/>
  <c r="I165" i="10"/>
  <c r="AP68" i="10"/>
  <c r="T68" i="10"/>
  <c r="AN68" i="10"/>
  <c r="AL68" i="10"/>
  <c r="V140" i="27"/>
  <c r="O46" i="25"/>
  <c r="R45" i="27"/>
  <c r="O163" i="10"/>
  <c r="I161" i="10"/>
  <c r="U39" i="27"/>
  <c r="M38" i="24"/>
  <c r="F163" i="10"/>
  <c r="Q175" i="27"/>
  <c r="M164" i="10"/>
  <c r="O148" i="25"/>
  <c r="O147" i="25" s="1"/>
  <c r="L147" i="24"/>
  <c r="L146" i="24" s="1"/>
  <c r="L140" i="24" s="1"/>
  <c r="M61" i="24"/>
  <c r="N61" i="24"/>
  <c r="Y85" i="27"/>
  <c r="AF136" i="10"/>
  <c r="Z136" i="10"/>
  <c r="T136" i="10"/>
  <c r="AN90" i="10"/>
  <c r="AL71" i="10"/>
  <c r="AE136" i="10"/>
  <c r="S136" i="10"/>
  <c r="Y136" i="10"/>
  <c r="Y80" i="10"/>
  <c r="AN70" i="10"/>
  <c r="M172" i="24"/>
  <c r="M171" i="24" s="1"/>
  <c r="M167" i="24" s="1"/>
  <c r="M147" i="24"/>
  <c r="M146" i="24" s="1"/>
  <c r="M140" i="24" s="1"/>
  <c r="M62" i="25"/>
  <c r="L173" i="25"/>
  <c r="L172" i="25" s="1"/>
  <c r="L168" i="25" s="1"/>
  <c r="L148" i="25"/>
  <c r="L147" i="25" s="1"/>
  <c r="N148" i="25"/>
  <c r="N147" i="25" s="1"/>
  <c r="Y138" i="10"/>
  <c r="AE138" i="10"/>
  <c r="S138" i="10"/>
  <c r="Z135" i="10"/>
  <c r="T135" i="10"/>
  <c r="AF135" i="10"/>
  <c r="AL79" i="10"/>
  <c r="X138" i="10"/>
  <c r="AD138" i="10"/>
  <c r="R138" i="10"/>
  <c r="AE135" i="10"/>
  <c r="Y135" i="10"/>
  <c r="S135" i="10"/>
  <c r="AD135" i="10"/>
  <c r="X135" i="10"/>
  <c r="R135" i="10"/>
  <c r="AP62" i="10"/>
  <c r="AN64" i="10"/>
  <c r="S64" i="10" s="1"/>
  <c r="U138" i="10"/>
  <c r="AA138" i="10"/>
  <c r="AG138" i="10"/>
  <c r="U135" i="10"/>
  <c r="AG135" i="10"/>
  <c r="AA135" i="10"/>
  <c r="M173" i="25"/>
  <c r="M172" i="25" s="1"/>
  <c r="M168" i="25" s="1"/>
  <c r="M148" i="25"/>
  <c r="M147" i="25" s="1"/>
  <c r="Q38" i="23"/>
  <c r="N101" i="24"/>
  <c r="L61" i="24"/>
  <c r="L38" i="24"/>
  <c r="O172" i="24"/>
  <c r="O171" i="24" s="1"/>
  <c r="O167" i="24" s="1"/>
  <c r="O147" i="24"/>
  <c r="O146" i="24" s="1"/>
  <c r="O140" i="24" s="1"/>
  <c r="O38" i="24"/>
  <c r="N147" i="24"/>
  <c r="N146" i="24" s="1"/>
  <c r="N140" i="24" s="1"/>
  <c r="N38" i="24"/>
  <c r="Y137" i="10"/>
  <c r="S137" i="10"/>
  <c r="AE137" i="10"/>
  <c r="AF138" i="10"/>
  <c r="T138" i="10"/>
  <c r="Z138" i="10"/>
  <c r="AN82" i="10"/>
  <c r="AN62" i="10"/>
  <c r="AL90" i="10"/>
  <c r="L62" i="25"/>
  <c r="O173" i="25"/>
  <c r="O172" i="25" s="1"/>
  <c r="O168" i="25" s="1"/>
  <c r="L107" i="24"/>
  <c r="M101" i="24"/>
  <c r="O61" i="24"/>
  <c r="N172" i="24"/>
  <c r="N171" i="24" s="1"/>
  <c r="N167" i="24" s="1"/>
  <c r="O107" i="24"/>
  <c r="AN63" i="10"/>
  <c r="S63" i="10" s="1"/>
  <c r="X137" i="10"/>
  <c r="R137" i="10"/>
  <c r="AD137" i="10"/>
  <c r="AD136" i="10"/>
  <c r="R136" i="10"/>
  <c r="X136" i="10"/>
  <c r="AF80" i="10"/>
  <c r="AP80" i="10"/>
  <c r="AP71" i="10"/>
  <c r="AF137" i="10"/>
  <c r="T137" i="10"/>
  <c r="Z137" i="10"/>
  <c r="AG137" i="10"/>
  <c r="AA137" i="10"/>
  <c r="U137" i="10"/>
  <c r="U136" i="10"/>
  <c r="AA136" i="10"/>
  <c r="AG136" i="10"/>
  <c r="O101" i="24"/>
  <c r="L172" i="24"/>
  <c r="L171" i="24" s="1"/>
  <c r="L167" i="24" s="1"/>
  <c r="M107" i="24"/>
  <c r="N38" i="23"/>
  <c r="O62" i="25"/>
  <c r="W38" i="23"/>
  <c r="N173" i="25"/>
  <c r="N172" i="25" s="1"/>
  <c r="N168" i="25" s="1"/>
  <c r="L101" i="24"/>
  <c r="N62" i="25"/>
  <c r="T38" i="23"/>
  <c r="AE139" i="10"/>
  <c r="Y139" i="10"/>
  <c r="S139" i="10"/>
  <c r="AF139" i="10"/>
  <c r="Z139" i="10"/>
  <c r="T139" i="10"/>
  <c r="R139" i="10"/>
  <c r="AD139" i="10"/>
  <c r="X139" i="10"/>
  <c r="AG139" i="10"/>
  <c r="AA139" i="10"/>
  <c r="U139" i="10"/>
  <c r="AL47" i="10"/>
  <c r="AL48" i="10"/>
  <c r="CM48" i="10" s="1"/>
  <c r="F165" i="10"/>
  <c r="AL81" i="10"/>
  <c r="L163" i="10"/>
  <c r="N165" i="10"/>
  <c r="F79" i="10"/>
  <c r="U82" i="10"/>
  <c r="U80" i="10"/>
  <c r="AP70" i="10"/>
  <c r="AA82" i="10"/>
  <c r="I56" i="10"/>
  <c r="O162" i="10"/>
  <c r="S82" i="10"/>
  <c r="T103" i="10"/>
  <c r="Z103" i="10"/>
  <c r="AD33" i="10"/>
  <c r="R33" i="10"/>
  <c r="X33" i="10"/>
  <c r="AA116" i="10"/>
  <c r="U116" i="10"/>
  <c r="U103" i="10"/>
  <c r="AA103" i="10"/>
  <c r="U48" i="27"/>
  <c r="O164" i="10"/>
  <c r="I82" i="10"/>
  <c r="AG80" i="10"/>
  <c r="T80" i="10"/>
  <c r="N162" i="10"/>
  <c r="U121" i="10"/>
  <c r="Y82" i="10"/>
  <c r="T118" i="10"/>
  <c r="Z118" i="10"/>
  <c r="AD110" i="10"/>
  <c r="AF102" i="10"/>
  <c r="T102" i="10"/>
  <c r="Z102" i="10"/>
  <c r="AF115" i="10"/>
  <c r="T115" i="10"/>
  <c r="Z115" i="10"/>
  <c r="AE104" i="10"/>
  <c r="Z33" i="10"/>
  <c r="AF33" i="10"/>
  <c r="T33" i="10"/>
  <c r="Y34" i="10"/>
  <c r="AE34" i="10"/>
  <c r="S34" i="10"/>
  <c r="L112" i="10"/>
  <c r="K112" i="10"/>
  <c r="Z116" i="10"/>
  <c r="T116" i="10"/>
  <c r="M112" i="10"/>
  <c r="Z42" i="10"/>
  <c r="T42" i="10"/>
  <c r="AG35" i="10"/>
  <c r="AA35" i="10"/>
  <c r="U85" i="27"/>
  <c r="AG82" i="10"/>
  <c r="AA80" i="10"/>
  <c r="O56" i="10"/>
  <c r="O55" i="10" s="1"/>
  <c r="Z80" i="10"/>
  <c r="X36" i="10"/>
  <c r="R36" i="10"/>
  <c r="X34" i="10"/>
  <c r="AD34" i="10"/>
  <c r="R34" i="10"/>
  <c r="S118" i="10"/>
  <c r="AF110" i="10"/>
  <c r="T110" i="10"/>
  <c r="Z110" i="10"/>
  <c r="T36" i="10"/>
  <c r="Z36" i="10"/>
  <c r="Y33" i="10"/>
  <c r="S33" i="10"/>
  <c r="AE33" i="10"/>
  <c r="AA117" i="10"/>
  <c r="U117" i="10"/>
  <c r="AA115" i="10"/>
  <c r="U115" i="10"/>
  <c r="AG115" i="10"/>
  <c r="O112" i="10"/>
  <c r="AG110" i="10"/>
  <c r="U110" i="10"/>
  <c r="AA110" i="10"/>
  <c r="U42" i="10"/>
  <c r="AA42" i="10"/>
  <c r="I39" i="10"/>
  <c r="U36" i="10"/>
  <c r="AA36" i="10"/>
  <c r="AG34" i="10"/>
  <c r="U34" i="10"/>
  <c r="AA34" i="10"/>
  <c r="AA106" i="10"/>
  <c r="U106" i="10"/>
  <c r="U118" i="10"/>
  <c r="AA118" i="10"/>
  <c r="AG104" i="10"/>
  <c r="AA104" i="10"/>
  <c r="U104" i="10"/>
  <c r="AG102" i="10"/>
  <c r="U102" i="10"/>
  <c r="AA102" i="10"/>
  <c r="Z34" i="10"/>
  <c r="AF34" i="10"/>
  <c r="T34" i="10"/>
  <c r="AG33" i="10"/>
  <c r="U33" i="10"/>
  <c r="AA33" i="10"/>
  <c r="I80" i="10"/>
  <c r="H80" i="10"/>
  <c r="H162" i="10"/>
  <c r="AE82" i="10"/>
  <c r="AF104" i="10"/>
  <c r="Z104" i="10"/>
  <c r="T104" i="10"/>
  <c r="Z117" i="10"/>
  <c r="T117" i="10"/>
  <c r="N112" i="10"/>
  <c r="AE102" i="10"/>
  <c r="R118" i="10"/>
  <c r="AD104" i="10"/>
  <c r="AD102" i="10"/>
  <c r="H39" i="10"/>
  <c r="AF35" i="10"/>
  <c r="Z35" i="10"/>
  <c r="Y36" i="10"/>
  <c r="S36" i="10"/>
  <c r="AE110" i="10"/>
  <c r="Z106" i="10"/>
  <c r="T106" i="10"/>
  <c r="S172" i="27"/>
  <c r="L179" i="38"/>
  <c r="Y177" i="10"/>
  <c r="M177" i="10"/>
  <c r="X68" i="10"/>
  <c r="AP69" i="10"/>
  <c r="AQ61" i="10"/>
  <c r="I61" i="10"/>
  <c r="O169" i="10"/>
  <c r="O168" i="10" s="1"/>
  <c r="S120" i="27"/>
  <c r="O172" i="27"/>
  <c r="K179" i="38"/>
  <c r="U46" i="27"/>
  <c r="AK61" i="10"/>
  <c r="F61" i="10"/>
  <c r="AL92" i="10"/>
  <c r="I81" i="10"/>
  <c r="N163" i="10"/>
  <c r="AG161" i="10"/>
  <c r="AE80" i="10"/>
  <c r="M176" i="10"/>
  <c r="M92" i="10"/>
  <c r="Z68" i="10"/>
  <c r="T89" i="10"/>
  <c r="M66" i="10"/>
  <c r="N176" i="10"/>
  <c r="U89" i="10"/>
  <c r="U85" i="10" s="1"/>
  <c r="AA120" i="27"/>
  <c r="W172" i="27"/>
  <c r="M179" i="38"/>
  <c r="O165" i="10"/>
  <c r="AG170" i="10"/>
  <c r="O161" i="10"/>
  <c r="S76" i="10"/>
  <c r="AL69" i="10"/>
  <c r="AK66" i="10"/>
  <c r="H45" i="10"/>
  <c r="N169" i="10"/>
  <c r="N168" i="10" s="1"/>
  <c r="Z88" i="10"/>
  <c r="S77" i="10"/>
  <c r="AF74" i="10"/>
  <c r="T74" i="10"/>
  <c r="Y68" i="10"/>
  <c r="AM61" i="10"/>
  <c r="G61" i="10"/>
  <c r="AA68" i="10"/>
  <c r="AA61" i="10"/>
  <c r="AP63" i="10"/>
  <c r="T63" i="10" s="1"/>
  <c r="AA177" i="10"/>
  <c r="O177" i="10"/>
  <c r="AA88" i="10"/>
  <c r="AG74" i="10"/>
  <c r="U74" i="10"/>
  <c r="AP93" i="10"/>
  <c r="W120" i="27"/>
  <c r="Y88" i="10"/>
  <c r="AE74" i="10"/>
  <c r="S74" i="10"/>
  <c r="AL176" i="10"/>
  <c r="CL176" i="10" s="1"/>
  <c r="R176" i="10" s="1"/>
  <c r="AO61" i="10"/>
  <c r="H61" i="10"/>
  <c r="AQ66" i="10"/>
  <c r="AG67" i="10"/>
  <c r="U67" i="10"/>
  <c r="AA67" i="10"/>
  <c r="O176" i="10"/>
  <c r="O120" i="27"/>
  <c r="AA172" i="27"/>
  <c r="N179" i="38"/>
  <c r="X177" i="10"/>
  <c r="AL177" i="10"/>
  <c r="CL177" i="10" s="1"/>
  <c r="R177" i="10" s="1"/>
  <c r="M169" i="10"/>
  <c r="M168" i="10" s="1"/>
  <c r="S89" i="10"/>
  <c r="Z67" i="10"/>
  <c r="AO66" i="10"/>
  <c r="AF67" i="10"/>
  <c r="T67" i="10"/>
  <c r="Z177" i="10"/>
  <c r="N177" i="10"/>
  <c r="N92" i="10"/>
  <c r="AE67" i="10"/>
  <c r="S67" i="10"/>
  <c r="Y67" i="10"/>
  <c r="AM66" i="10"/>
  <c r="AD80" i="10"/>
  <c r="F164" i="10"/>
  <c r="AK160" i="10"/>
  <c r="AQ160" i="10"/>
  <c r="AO160" i="10"/>
  <c r="AM160" i="10"/>
  <c r="AN79" i="10"/>
  <c r="F56" i="10"/>
  <c r="G82" i="10"/>
  <c r="H81" i="10"/>
  <c r="F80" i="10"/>
  <c r="L56" i="10"/>
  <c r="AL56" i="10" s="1"/>
  <c r="CM56" i="10" s="1"/>
  <c r="H165" i="10"/>
  <c r="AF38" i="10"/>
  <c r="G163" i="10"/>
  <c r="G162" i="10"/>
  <c r="X80" i="10"/>
  <c r="F162" i="10"/>
  <c r="AE172" i="10"/>
  <c r="AL80" i="10"/>
  <c r="AF82" i="10"/>
  <c r="H82" i="10"/>
  <c r="Z82" i="10"/>
  <c r="T82" i="10"/>
  <c r="U152" i="27"/>
  <c r="U147" i="27" s="1"/>
  <c r="U146" i="27" s="1"/>
  <c r="U140" i="27" s="1"/>
  <c r="Y56" i="27"/>
  <c r="Y55" i="27" s="1"/>
  <c r="AL70" i="10"/>
  <c r="AK38" i="10"/>
  <c r="L32" i="10"/>
  <c r="AD161" i="10"/>
  <c r="M165" i="10"/>
  <c r="AN81" i="10"/>
  <c r="G56" i="10"/>
  <c r="U47" i="27"/>
  <c r="L73" i="10"/>
  <c r="N164" i="10"/>
  <c r="H164" i="10"/>
  <c r="H79" i="10"/>
  <c r="H161" i="10"/>
  <c r="AF161" i="10"/>
  <c r="M56" i="10"/>
  <c r="M55" i="10" s="1"/>
  <c r="AQ38" i="10"/>
  <c r="G164" i="10"/>
  <c r="S80" i="10"/>
  <c r="AM38" i="10"/>
  <c r="AO38" i="10"/>
  <c r="G80" i="10"/>
  <c r="V45" i="27"/>
  <c r="U63" i="27"/>
  <c r="U61" i="27" s="1"/>
  <c r="V63" i="27"/>
  <c r="V61" i="27" s="1"/>
  <c r="L161" i="10"/>
  <c r="M163" i="10"/>
  <c r="N161" i="10"/>
  <c r="AE170" i="10"/>
  <c r="L164" i="10"/>
  <c r="AE161" i="10"/>
  <c r="G161" i="10"/>
  <c r="F81" i="10"/>
  <c r="G81" i="10"/>
  <c r="M152" i="27"/>
  <c r="M178" i="27"/>
  <c r="V73" i="27"/>
  <c r="V72" i="27" s="1"/>
  <c r="AC117" i="27"/>
  <c r="AC112" i="27"/>
  <c r="AC150" i="27"/>
  <c r="AC102" i="27"/>
  <c r="AC165" i="27"/>
  <c r="AC110" i="27"/>
  <c r="AC82" i="27"/>
  <c r="AC77" i="27"/>
  <c r="AC69" i="27"/>
  <c r="Z49" i="2"/>
  <c r="AC128" i="27"/>
  <c r="AC94" i="27"/>
  <c r="AC173" i="27"/>
  <c r="AC148" i="27"/>
  <c r="AC138" i="27"/>
  <c r="AC88" i="27"/>
  <c r="AC76" i="27"/>
  <c r="Q148" i="2"/>
  <c r="AC126" i="27"/>
  <c r="AC122" i="27"/>
  <c r="AC116" i="27"/>
  <c r="AC96" i="27"/>
  <c r="AC164" i="27"/>
  <c r="AC109" i="27"/>
  <c r="AC81" i="27"/>
  <c r="AC68" i="27"/>
  <c r="Z48" i="2"/>
  <c r="AC151" i="27"/>
  <c r="AC118" i="27"/>
  <c r="AC104" i="27"/>
  <c r="AC177" i="27"/>
  <c r="AC170" i="27"/>
  <c r="AC169" i="27" s="1"/>
  <c r="AC168" i="27" s="1"/>
  <c r="AC162" i="27"/>
  <c r="AC137" i="27"/>
  <c r="AC108" i="27"/>
  <c r="AC92" i="27"/>
  <c r="AC87" i="27"/>
  <c r="AC75" i="27"/>
  <c r="AC125" i="27"/>
  <c r="AC115" i="27"/>
  <c r="AC123" i="27"/>
  <c r="AC95" i="27"/>
  <c r="AC178" i="27"/>
  <c r="AC163" i="27"/>
  <c r="AC80" i="27"/>
  <c r="AC71" i="27"/>
  <c r="AC67" i="27"/>
  <c r="AC124" i="27"/>
  <c r="AC103" i="27"/>
  <c r="AC176" i="27"/>
  <c r="AC161" i="27"/>
  <c r="AC106" i="27"/>
  <c r="AC90" i="27"/>
  <c r="AC74" i="27"/>
  <c r="AC114" i="27"/>
  <c r="AC135" i="27"/>
  <c r="AC121" i="27"/>
  <c r="AC105" i="27"/>
  <c r="AC93" i="27"/>
  <c r="AC111" i="27"/>
  <c r="AC86" i="27"/>
  <c r="AC79" i="27"/>
  <c r="AC70" i="27"/>
  <c r="AC136" i="27"/>
  <c r="AC97" i="27"/>
  <c r="AC175" i="27"/>
  <c r="AC152" i="27"/>
  <c r="AC149" i="27"/>
  <c r="AC139" i="27"/>
  <c r="AC89" i="27"/>
  <c r="O73" i="10"/>
  <c r="H56" i="10"/>
  <c r="AP56" i="10" s="1"/>
  <c r="CO56" i="10" s="1"/>
  <c r="N55" i="10"/>
  <c r="M73" i="10"/>
  <c r="AL82" i="10"/>
  <c r="AD82" i="10"/>
  <c r="X82" i="10"/>
  <c r="F82" i="10"/>
  <c r="R82" i="10"/>
  <c r="Q46" i="2"/>
  <c r="I172" i="10"/>
  <c r="N32" i="10"/>
  <c r="AF172" i="10"/>
  <c r="T46" i="2"/>
  <c r="Q62" i="2"/>
  <c r="AG172" i="10"/>
  <c r="O113" i="10"/>
  <c r="O32" i="10"/>
  <c r="N73" i="10"/>
  <c r="AC65" i="27"/>
  <c r="Z66" i="2"/>
  <c r="AC56" i="27"/>
  <c r="AC55" i="27" s="1"/>
  <c r="Z57" i="2"/>
  <c r="Z56" i="2" s="1"/>
  <c r="AC43" i="27"/>
  <c r="Z44" i="2"/>
  <c r="AC37" i="27"/>
  <c r="Z38" i="2"/>
  <c r="AC33" i="27"/>
  <c r="Z34" i="2"/>
  <c r="AC64" i="27"/>
  <c r="Z65" i="2"/>
  <c r="AC42" i="27"/>
  <c r="Z43" i="2"/>
  <c r="AC36" i="27"/>
  <c r="Z37" i="2"/>
  <c r="AC63" i="27"/>
  <c r="Z64" i="2"/>
  <c r="AC41" i="27"/>
  <c r="Z42" i="2"/>
  <c r="AC35" i="27"/>
  <c r="Z36" i="2"/>
  <c r="AC62" i="27"/>
  <c r="Z63" i="2"/>
  <c r="AC46" i="27"/>
  <c r="AC45" i="27" s="1"/>
  <c r="Z47" i="2"/>
  <c r="AC39" i="27"/>
  <c r="Z40" i="2"/>
  <c r="AC34" i="27"/>
  <c r="Z35" i="2"/>
  <c r="Y66" i="27"/>
  <c r="Y134" i="27"/>
  <c r="Q120" i="27"/>
  <c r="Y61" i="27"/>
  <c r="U66" i="27"/>
  <c r="Y113" i="27"/>
  <c r="U91" i="27"/>
  <c r="Y32" i="27"/>
  <c r="U120" i="27"/>
  <c r="Y91" i="27"/>
  <c r="Q73" i="27"/>
  <c r="Y107" i="27"/>
  <c r="U172" i="27"/>
  <c r="U171" i="27" s="1"/>
  <c r="U167" i="27" s="1"/>
  <c r="U160" i="27"/>
  <c r="U159" i="27" s="1"/>
  <c r="Y120" i="27"/>
  <c r="U107" i="27"/>
  <c r="Y101" i="27"/>
  <c r="Y38" i="27"/>
  <c r="Y172" i="27"/>
  <c r="Y171" i="27" s="1"/>
  <c r="Y167" i="27" s="1"/>
  <c r="Y160" i="27"/>
  <c r="Y159" i="27" s="1"/>
  <c r="Y147" i="27"/>
  <c r="Y146" i="27" s="1"/>
  <c r="Y140" i="27" s="1"/>
  <c r="W8" i="27"/>
  <c r="S8" i="27"/>
  <c r="L176" i="2"/>
  <c r="K174" i="28" s="1"/>
  <c r="O174" i="28" s="1"/>
  <c r="AI71" i="28" l="1"/>
  <c r="U98" i="28"/>
  <c r="X88" i="10"/>
  <c r="P71" i="28"/>
  <c r="AD99" i="28"/>
  <c r="AD98" i="28" s="1"/>
  <c r="AI99" i="28"/>
  <c r="AI98" i="28" s="1"/>
  <c r="Z71" i="28"/>
  <c r="R38" i="27"/>
  <c r="Z99" i="28"/>
  <c r="Z98" i="28" s="1"/>
  <c r="P99" i="28"/>
  <c r="P98" i="28" s="1"/>
  <c r="T99" i="28"/>
  <c r="T98" i="28" s="1"/>
  <c r="U71" i="28"/>
  <c r="AD71" i="28"/>
  <c r="AD31" i="28"/>
  <c r="Y71" i="28"/>
  <c r="AE99" i="28"/>
  <c r="AE98" i="28" s="1"/>
  <c r="M73" i="25"/>
  <c r="R113" i="27"/>
  <c r="Q72" i="23"/>
  <c r="W72" i="23"/>
  <c r="N100" i="23"/>
  <c r="N99" i="23" s="1"/>
  <c r="Q100" i="23"/>
  <c r="Q99" i="23" s="1"/>
  <c r="W100" i="23"/>
  <c r="W99" i="23" s="1"/>
  <c r="T100" i="23"/>
  <c r="T99" i="23" s="1"/>
  <c r="T72" i="23"/>
  <c r="N72" i="23"/>
  <c r="Z56" i="10"/>
  <c r="AF56" i="10"/>
  <c r="T56" i="10"/>
  <c r="R89" i="10"/>
  <c r="R85" i="10" s="1"/>
  <c r="X89" i="10"/>
  <c r="V38" i="27"/>
  <c r="R134" i="27"/>
  <c r="L72" i="24"/>
  <c r="Q113" i="27"/>
  <c r="Q134" i="27"/>
  <c r="Q119" i="27" s="1"/>
  <c r="U134" i="27"/>
  <c r="U119" i="27" s="1"/>
  <c r="U113" i="27"/>
  <c r="L73" i="25"/>
  <c r="U38" i="27"/>
  <c r="U32" i="27"/>
  <c r="Q160" i="27"/>
  <c r="Q159" i="27" s="1"/>
  <c r="Q32" i="27"/>
  <c r="V113" i="27"/>
  <c r="V134" i="27"/>
  <c r="R160" i="27"/>
  <c r="R159" i="27" s="1"/>
  <c r="V101" i="27"/>
  <c r="Q66" i="27"/>
  <c r="Q85" i="27"/>
  <c r="R85" i="27"/>
  <c r="Y110" i="10"/>
  <c r="S110" i="10"/>
  <c r="R32" i="27"/>
  <c r="S161" i="10"/>
  <c r="Y161" i="10"/>
  <c r="V32" i="27"/>
  <c r="AD165" i="10"/>
  <c r="R165" i="10"/>
  <c r="X165" i="10"/>
  <c r="CR110" i="10"/>
  <c r="S162" i="10"/>
  <c r="AE162" i="10"/>
  <c r="Y162" i="10"/>
  <c r="X161" i="10"/>
  <c r="R161" i="10"/>
  <c r="S112" i="10"/>
  <c r="Y112" i="10"/>
  <c r="AD162" i="10"/>
  <c r="X162" i="10"/>
  <c r="R162" i="10"/>
  <c r="S165" i="10"/>
  <c r="AE165" i="10"/>
  <c r="Y165" i="10"/>
  <c r="R66" i="27"/>
  <c r="X67" i="10"/>
  <c r="R67" i="10"/>
  <c r="AD67" i="10"/>
  <c r="U120" i="10"/>
  <c r="U119" i="10" s="1"/>
  <c r="M173" i="10"/>
  <c r="M172" i="10" s="1"/>
  <c r="M167" i="10" s="1"/>
  <c r="Y173" i="10"/>
  <c r="Y172" i="10" s="1"/>
  <c r="CQ77" i="10"/>
  <c r="U101" i="27"/>
  <c r="Q147" i="27"/>
  <c r="Q146" i="27" s="1"/>
  <c r="Q140" i="27" s="1"/>
  <c r="N173" i="10"/>
  <c r="N172" i="10" s="1"/>
  <c r="N167" i="10" s="1"/>
  <c r="U173" i="10"/>
  <c r="U172" i="10" s="1"/>
  <c r="AL91" i="10"/>
  <c r="AA173" i="10"/>
  <c r="AA172" i="10" s="1"/>
  <c r="L173" i="10"/>
  <c r="L172" i="10" s="1"/>
  <c r="L167" i="10" s="1"/>
  <c r="T173" i="10"/>
  <c r="T172" i="10" s="1"/>
  <c r="R173" i="10"/>
  <c r="R172" i="10" s="1"/>
  <c r="O173" i="10"/>
  <c r="O172" i="10" s="1"/>
  <c r="O167" i="10" s="1"/>
  <c r="Z173" i="10"/>
  <c r="Z172" i="10" s="1"/>
  <c r="S173" i="10"/>
  <c r="S172" i="10" s="1"/>
  <c r="AC128" i="10"/>
  <c r="Q38" i="27"/>
  <c r="AF126" i="10"/>
  <c r="Z126" i="10"/>
  <c r="W128" i="10"/>
  <c r="Q107" i="27"/>
  <c r="AF125" i="10"/>
  <c r="Z125" i="10"/>
  <c r="AE121" i="10"/>
  <c r="Y121" i="10"/>
  <c r="AD121" i="10"/>
  <c r="X121" i="10"/>
  <c r="U91" i="10"/>
  <c r="Q101" i="27"/>
  <c r="AC78" i="27"/>
  <c r="AA91" i="10"/>
  <c r="R107" i="27"/>
  <c r="AN92" i="10"/>
  <c r="AN91" i="10" s="1"/>
  <c r="M91" i="10"/>
  <c r="AP92" i="10"/>
  <c r="AP91" i="10" s="1"/>
  <c r="N91" i="10"/>
  <c r="AA38" i="10"/>
  <c r="Q172" i="27"/>
  <c r="Q171" i="27" s="1"/>
  <c r="Q167" i="27" s="1"/>
  <c r="R101" i="27"/>
  <c r="S85" i="10"/>
  <c r="O100" i="24"/>
  <c r="N100" i="24"/>
  <c r="Q45" i="27"/>
  <c r="L100" i="24"/>
  <c r="Q61" i="27"/>
  <c r="O78" i="10"/>
  <c r="I160" i="10"/>
  <c r="U45" i="27"/>
  <c r="N73" i="25"/>
  <c r="N72" i="24"/>
  <c r="Z95" i="10"/>
  <c r="T95" i="10"/>
  <c r="M72" i="24"/>
  <c r="O73" i="25"/>
  <c r="T93" i="10"/>
  <c r="Z93" i="10"/>
  <c r="AN80" i="10"/>
  <c r="T85" i="10"/>
  <c r="O160" i="10"/>
  <c r="O159" i="10" s="1"/>
  <c r="M100" i="24"/>
  <c r="J182" i="38"/>
  <c r="K175" i="23"/>
  <c r="K175" i="24"/>
  <c r="K176" i="25"/>
  <c r="AP79" i="10"/>
  <c r="L55" i="10"/>
  <c r="O72" i="24"/>
  <c r="AN69" i="10"/>
  <c r="O134" i="10"/>
  <c r="O61" i="10"/>
  <c r="AG38" i="10"/>
  <c r="O66" i="10"/>
  <c r="AG66" i="10"/>
  <c r="N61" i="10"/>
  <c r="N66" i="10"/>
  <c r="O38" i="10"/>
  <c r="O147" i="10"/>
  <c r="AG160" i="10"/>
  <c r="X38" i="10"/>
  <c r="M78" i="10"/>
  <c r="U160" i="10"/>
  <c r="M85" i="10"/>
  <c r="U38" i="10"/>
  <c r="N78" i="10"/>
  <c r="AF66" i="10"/>
  <c r="AC85" i="27"/>
  <c r="N45" i="10"/>
  <c r="N38" i="10"/>
  <c r="M147" i="10"/>
  <c r="AA160" i="10"/>
  <c r="S66" i="10"/>
  <c r="N85" i="10"/>
  <c r="R61" i="10"/>
  <c r="Z38" i="10"/>
  <c r="H160" i="10"/>
  <c r="L85" i="10"/>
  <c r="O45" i="10"/>
  <c r="L113" i="10"/>
  <c r="O85" i="10"/>
  <c r="L66" i="10"/>
  <c r="G160" i="10"/>
  <c r="U61" i="10"/>
  <c r="AF160" i="10"/>
  <c r="M160" i="10"/>
  <c r="M159" i="10" s="1"/>
  <c r="T38" i="10"/>
  <c r="AE66" i="10"/>
  <c r="Z66" i="10"/>
  <c r="AA66" i="10"/>
  <c r="S61" i="10"/>
  <c r="U73" i="27"/>
  <c r="U72" i="27" s="1"/>
  <c r="Z39" i="2"/>
  <c r="L160" i="10"/>
  <c r="L159" i="10" s="1"/>
  <c r="T160" i="10"/>
  <c r="T66" i="10"/>
  <c r="U66" i="10"/>
  <c r="T61" i="10"/>
  <c r="I45" i="10"/>
  <c r="G45" i="10"/>
  <c r="N160" i="10"/>
  <c r="N159" i="10" s="1"/>
  <c r="M113" i="10"/>
  <c r="Y66" i="10"/>
  <c r="F45" i="10"/>
  <c r="H172" i="10"/>
  <c r="N113" i="10"/>
  <c r="F160" i="10"/>
  <c r="F159" i="10" s="1"/>
  <c r="M134" i="10"/>
  <c r="M119" i="10" s="1"/>
  <c r="L134" i="10"/>
  <c r="Z160" i="10"/>
  <c r="AE38" i="10"/>
  <c r="G172" i="10"/>
  <c r="N134" i="10"/>
  <c r="M32" i="10"/>
  <c r="AD38" i="10"/>
  <c r="Y38" i="10"/>
  <c r="F134" i="10"/>
  <c r="N147" i="10"/>
  <c r="Z46" i="2"/>
  <c r="R38" i="10"/>
  <c r="M61" i="10"/>
  <c r="S38" i="10"/>
  <c r="M38" i="10"/>
  <c r="L38" i="10"/>
  <c r="AI176" i="10"/>
  <c r="N176" i="2"/>
  <c r="Z73" i="27"/>
  <c r="Z72" i="27" s="1"/>
  <c r="AC38" i="27"/>
  <c r="AC120" i="27"/>
  <c r="AC160" i="27"/>
  <c r="AC159" i="27" s="1"/>
  <c r="AC61" i="27"/>
  <c r="AC101" i="27"/>
  <c r="AC32" i="27"/>
  <c r="AC66" i="27"/>
  <c r="AC172" i="27"/>
  <c r="AC171" i="27" s="1"/>
  <c r="AC167" i="27" s="1"/>
  <c r="AC107" i="27"/>
  <c r="AC113" i="27"/>
  <c r="AC147" i="27"/>
  <c r="AC146" i="27" s="1"/>
  <c r="AC140" i="27" s="1"/>
  <c r="AC91" i="27"/>
  <c r="Y119" i="27"/>
  <c r="AC134" i="27"/>
  <c r="AD172" i="10"/>
  <c r="AU158" i="10"/>
  <c r="L147" i="10"/>
  <c r="L45" i="10"/>
  <c r="M45" i="10"/>
  <c r="F147" i="10"/>
  <c r="F146" i="10" s="1"/>
  <c r="F172" i="10"/>
  <c r="F167" i="10" s="1"/>
  <c r="L61" i="10"/>
  <c r="Z62" i="2"/>
  <c r="Z33" i="2"/>
  <c r="V174" i="11"/>
  <c r="K175" i="27"/>
  <c r="D2" i="13"/>
  <c r="AE8" i="27"/>
  <c r="Y100" i="27"/>
  <c r="W7" i="11"/>
  <c r="L98" i="2"/>
  <c r="K96" i="28" s="1"/>
  <c r="O96" i="28" s="1"/>
  <c r="Q100" i="27" l="1"/>
  <c r="Q99" i="27" s="1"/>
  <c r="U100" i="27"/>
  <c r="U99" i="27" s="1"/>
  <c r="AD160" i="10"/>
  <c r="R7" i="27"/>
  <c r="K97" i="23"/>
  <c r="K98" i="25"/>
  <c r="K97" i="24"/>
  <c r="N98" i="2"/>
  <c r="S92" i="10"/>
  <c r="S91" i="10" s="1"/>
  <c r="V100" i="27"/>
  <c r="AE160" i="10"/>
  <c r="S160" i="10"/>
  <c r="Y160" i="10"/>
  <c r="X160" i="10"/>
  <c r="R160" i="10"/>
  <c r="Y92" i="10"/>
  <c r="Z92" i="10"/>
  <c r="Z91" i="10" s="1"/>
  <c r="R100" i="27"/>
  <c r="Y97" i="10"/>
  <c r="Y94" i="10"/>
  <c r="Y96" i="10"/>
  <c r="Y95" i="10"/>
  <c r="Y93" i="10"/>
  <c r="T92" i="10"/>
  <c r="T91" i="10" s="1"/>
  <c r="X91" i="10"/>
  <c r="R91" i="10"/>
  <c r="O72" i="10"/>
  <c r="O119" i="10"/>
  <c r="F119" i="10"/>
  <c r="N119" i="10"/>
  <c r="L119" i="10"/>
  <c r="M72" i="10"/>
  <c r="N72" i="10"/>
  <c r="L72" i="10"/>
  <c r="AJ176" i="10"/>
  <c r="CK176" i="10" s="1"/>
  <c r="Q176" i="10" s="1"/>
  <c r="AI97" i="10"/>
  <c r="AJ97" i="10" s="1"/>
  <c r="J98" i="38"/>
  <c r="M175" i="27"/>
  <c r="N175" i="27"/>
  <c r="Y99" i="27"/>
  <c r="AC7" i="27"/>
  <c r="AC119" i="27"/>
  <c r="Y73" i="27"/>
  <c r="Y72" i="27" s="1"/>
  <c r="AC100" i="27"/>
  <c r="V96" i="11"/>
  <c r="K97" i="27"/>
  <c r="Y53" i="8"/>
  <c r="AA119" i="2"/>
  <c r="AA113" i="2"/>
  <c r="AA107" i="2"/>
  <c r="AJ105" i="28" s="1"/>
  <c r="AN105" i="28" s="1"/>
  <c r="AA98" i="2"/>
  <c r="AJ96" i="28" s="1"/>
  <c r="AN96" i="28" s="1"/>
  <c r="AA78" i="2"/>
  <c r="AJ111" i="28" l="1"/>
  <c r="AN111" i="28" s="1"/>
  <c r="F85" i="40"/>
  <c r="P77" i="24"/>
  <c r="AJ76" i="28"/>
  <c r="AN76" i="28" s="1"/>
  <c r="P119" i="25"/>
  <c r="S119" i="25" s="1"/>
  <c r="AJ117" i="28"/>
  <c r="AN117" i="28" s="1"/>
  <c r="Z97" i="23"/>
  <c r="P98" i="25"/>
  <c r="S98" i="25" s="1"/>
  <c r="P97" i="24"/>
  <c r="AE98" i="2"/>
  <c r="P107" i="25"/>
  <c r="S107" i="25" s="1"/>
  <c r="AE107" i="2"/>
  <c r="AN107" i="2"/>
  <c r="M97" i="27"/>
  <c r="N97" i="27"/>
  <c r="CQ176" i="10"/>
  <c r="Y91" i="10"/>
  <c r="P118" i="24"/>
  <c r="AE119" i="2"/>
  <c r="W97" i="10"/>
  <c r="Q97" i="10"/>
  <c r="P113" i="25"/>
  <c r="AE113" i="2"/>
  <c r="Z112" i="23"/>
  <c r="P112" i="24"/>
  <c r="O78" i="38"/>
  <c r="Z77" i="23"/>
  <c r="O119" i="38"/>
  <c r="Z118" i="23"/>
  <c r="Z106" i="23"/>
  <c r="P106" i="24"/>
  <c r="AS106" i="10"/>
  <c r="CN106" i="10" s="1"/>
  <c r="O107" i="38"/>
  <c r="O146" i="38"/>
  <c r="AS112" i="10"/>
  <c r="CN112" i="10" s="1"/>
  <c r="O113" i="38"/>
  <c r="AS97" i="10"/>
  <c r="AT97" i="10" s="1"/>
  <c r="O98" i="38"/>
  <c r="AS77" i="10"/>
  <c r="CN77" i="10" s="1"/>
  <c r="AN78" i="2"/>
  <c r="AC99" i="27"/>
  <c r="AN119" i="2"/>
  <c r="AS118" i="10"/>
  <c r="CN118" i="10" s="1"/>
  <c r="AB118" i="10" s="1"/>
  <c r="AE77" i="27"/>
  <c r="AG77" i="27" s="1"/>
  <c r="AM78" i="2"/>
  <c r="AE106" i="27"/>
  <c r="AM107" i="2"/>
  <c r="AE97" i="27"/>
  <c r="AN98" i="2"/>
  <c r="W111" i="11"/>
  <c r="AE112" i="27"/>
  <c r="AM113" i="2"/>
  <c r="W127" i="11"/>
  <c r="AE128" i="27"/>
  <c r="AG128" i="27" s="1"/>
  <c r="AE118" i="27"/>
  <c r="W117" i="11"/>
  <c r="W105" i="11"/>
  <c r="W76" i="11"/>
  <c r="W96" i="11"/>
  <c r="W157" i="11"/>
  <c r="M85" i="40" l="1"/>
  <c r="F166" i="40"/>
  <c r="V112" i="10"/>
  <c r="AB112" i="10"/>
  <c r="AG106" i="27"/>
  <c r="AH106" i="27"/>
  <c r="AG97" i="27"/>
  <c r="AH97" i="27"/>
  <c r="V106" i="10"/>
  <c r="AB106" i="10"/>
  <c r="AB77" i="10"/>
  <c r="V77" i="10"/>
  <c r="AH77" i="10"/>
  <c r="AT77" i="10"/>
  <c r="AG118" i="27"/>
  <c r="AH118" i="27"/>
  <c r="AB97" i="10"/>
  <c r="V97" i="10"/>
  <c r="AG112" i="27"/>
  <c r="AH112" i="27"/>
  <c r="R113" i="25"/>
  <c r="V118" i="10"/>
  <c r="P112" i="10"/>
  <c r="CI112" i="10" s="1"/>
  <c r="J146" i="38"/>
  <c r="AD73" i="27"/>
  <c r="AD72" i="27" s="1"/>
  <c r="AD6" i="27" s="1"/>
  <c r="AC73" i="27"/>
  <c r="AC72" i="27" s="1"/>
  <c r="AC6" i="27" s="1"/>
  <c r="D166" i="41" l="1"/>
  <c r="K166" i="40"/>
  <c r="CR77" i="10"/>
  <c r="CI97" i="10"/>
  <c r="CI118" i="10"/>
  <c r="CI106" i="10"/>
  <c r="AU77" i="10"/>
  <c r="AV158" i="10"/>
  <c r="L23" i="3"/>
  <c r="L64" i="2" s="1"/>
  <c r="K62" i="28" s="1"/>
  <c r="O62" i="28" s="1"/>
  <c r="K42" i="7"/>
  <c r="L77" i="2"/>
  <c r="K75" i="28" s="1"/>
  <c r="O75" i="28" s="1"/>
  <c r="K28" i="7"/>
  <c r="L65" i="2" s="1"/>
  <c r="K63" i="28" s="1"/>
  <c r="O63" i="28" s="1"/>
  <c r="K18" i="7"/>
  <c r="L48" i="2" s="1"/>
  <c r="K46" i="28" s="1"/>
  <c r="O46" i="28" s="1"/>
  <c r="K14" i="7"/>
  <c r="L38" i="2" s="1"/>
  <c r="K36" i="28" s="1"/>
  <c r="O36" i="28" s="1"/>
  <c r="K13" i="7"/>
  <c r="L37" i="2" s="1"/>
  <c r="K35" i="28" s="1"/>
  <c r="O35" i="28" s="1"/>
  <c r="K37" i="24" l="1"/>
  <c r="K37" i="23"/>
  <c r="K38" i="25"/>
  <c r="N38" i="2"/>
  <c r="K36" i="24"/>
  <c r="K36" i="23"/>
  <c r="K37" i="25"/>
  <c r="N37" i="2"/>
  <c r="K76" i="23"/>
  <c r="K76" i="24"/>
  <c r="K73" i="24" s="1"/>
  <c r="L97" i="2"/>
  <c r="K95" i="28" s="1"/>
  <c r="O95" i="28" s="1"/>
  <c r="K41" i="7"/>
  <c r="J65" i="38"/>
  <c r="K64" i="23"/>
  <c r="K65" i="25"/>
  <c r="K64" i="24"/>
  <c r="J48" i="38"/>
  <c r="K47" i="23"/>
  <c r="K48" i="25"/>
  <c r="K47" i="24"/>
  <c r="J64" i="38"/>
  <c r="K63" i="23"/>
  <c r="K64" i="25"/>
  <c r="K63" i="24"/>
  <c r="AI139" i="10"/>
  <c r="J140" i="38"/>
  <c r="AI36" i="10"/>
  <c r="J37" i="38"/>
  <c r="AI76" i="10"/>
  <c r="J77" i="38"/>
  <c r="AI125" i="10"/>
  <c r="J141" i="38"/>
  <c r="J144" i="38"/>
  <c r="AI37" i="10"/>
  <c r="J38" i="38"/>
  <c r="AI126" i="10"/>
  <c r="J142" i="38"/>
  <c r="AI124" i="10"/>
  <c r="AI138" i="10"/>
  <c r="J139" i="38"/>
  <c r="J143" i="38"/>
  <c r="AI47" i="10"/>
  <c r="N48" i="2"/>
  <c r="AI63" i="10"/>
  <c r="AJ63" i="10" s="1"/>
  <c r="Q63" i="10" s="1"/>
  <c r="N64" i="2"/>
  <c r="AI64" i="10"/>
  <c r="AJ64" i="10" s="1"/>
  <c r="N65" i="2"/>
  <c r="V63" i="11"/>
  <c r="K64" i="27"/>
  <c r="N64" i="27" s="1"/>
  <c r="V123" i="11"/>
  <c r="K124" i="27"/>
  <c r="M124" i="27" s="1"/>
  <c r="V138" i="11"/>
  <c r="K139" i="27"/>
  <c r="V46" i="11"/>
  <c r="K47" i="27"/>
  <c r="N47" i="27" s="1"/>
  <c r="V137" i="11"/>
  <c r="K138" i="27"/>
  <c r="V35" i="11"/>
  <c r="K36" i="27"/>
  <c r="V75" i="11"/>
  <c r="K76" i="27"/>
  <c r="M76" i="27" s="1"/>
  <c r="V124" i="11"/>
  <c r="K125" i="27"/>
  <c r="M125" i="27" s="1"/>
  <c r="V62" i="11"/>
  <c r="K63" i="27"/>
  <c r="N63" i="27" s="1"/>
  <c r="V36" i="11"/>
  <c r="K37" i="27"/>
  <c r="V95" i="11"/>
  <c r="V125" i="11"/>
  <c r="K126" i="27"/>
  <c r="M126" i="27" s="1"/>
  <c r="AA171" i="2"/>
  <c r="AJ169" i="28" s="1"/>
  <c r="P67" i="6"/>
  <c r="O67" i="6"/>
  <c r="N67" i="6"/>
  <c r="M67" i="6"/>
  <c r="AJ168" i="28" l="1"/>
  <c r="AJ167" i="28" s="1"/>
  <c r="AJ166" i="28" s="1"/>
  <c r="AN169" i="28"/>
  <c r="AN168" i="28" s="1"/>
  <c r="AN167" i="28" s="1"/>
  <c r="AN166" i="28" s="1"/>
  <c r="M37" i="27"/>
  <c r="N37" i="27"/>
  <c r="K96" i="23"/>
  <c r="K96" i="24"/>
  <c r="M36" i="27"/>
  <c r="N36" i="27"/>
  <c r="M138" i="27"/>
  <c r="N138" i="27"/>
  <c r="M139" i="27"/>
  <c r="N139" i="27"/>
  <c r="K96" i="27"/>
  <c r="M96" i="27" s="1"/>
  <c r="J97" i="38"/>
  <c r="AI96" i="10"/>
  <c r="AJ96" i="10" s="1"/>
  <c r="W96" i="10" s="1"/>
  <c r="AJ76" i="10"/>
  <c r="W76" i="10" s="1"/>
  <c r="Q76" i="10"/>
  <c r="Q138" i="10"/>
  <c r="W138" i="10"/>
  <c r="AC138" i="10"/>
  <c r="Z170" i="23"/>
  <c r="Z169" i="23" s="1"/>
  <c r="Z168" i="23" s="1"/>
  <c r="Z167" i="23" s="1"/>
  <c r="P171" i="25"/>
  <c r="P170" i="25" s="1"/>
  <c r="P169" i="25" s="1"/>
  <c r="P168" i="25" s="1"/>
  <c r="P170" i="24"/>
  <c r="P169" i="24" s="1"/>
  <c r="P168" i="24" s="1"/>
  <c r="P167" i="24" s="1"/>
  <c r="AC139" i="10"/>
  <c r="W139" i="10"/>
  <c r="Q139" i="10"/>
  <c r="AJ47" i="10"/>
  <c r="Q36" i="10"/>
  <c r="W36" i="10"/>
  <c r="L171" i="2"/>
  <c r="K169" i="28" s="1"/>
  <c r="K168" i="28" s="1"/>
  <c r="O177" i="38"/>
  <c r="M47" i="27"/>
  <c r="M64" i="27"/>
  <c r="M63" i="27"/>
  <c r="AS170" i="10"/>
  <c r="AT170" i="10" s="1"/>
  <c r="CN170" i="10" s="1"/>
  <c r="AE171" i="2"/>
  <c r="AE170" i="2" s="1"/>
  <c r="Z28" i="30" s="1"/>
  <c r="AM171" i="2"/>
  <c r="AM170" i="2" s="1"/>
  <c r="E28" i="19" s="1"/>
  <c r="AE170" i="27"/>
  <c r="W169" i="11"/>
  <c r="M66" i="8"/>
  <c r="L73" i="9"/>
  <c r="M73" i="9"/>
  <c r="K24" i="7"/>
  <c r="K167" i="28" l="1"/>
  <c r="W168" i="11"/>
  <c r="F4" i="12"/>
  <c r="CQ76" i="10"/>
  <c r="CQ37" i="10"/>
  <c r="CQ36" i="10"/>
  <c r="R171" i="25"/>
  <c r="R170" i="25" s="1"/>
  <c r="J28" i="30" s="1"/>
  <c r="M28" i="30" s="1"/>
  <c r="P28" i="30" s="1"/>
  <c r="S28" i="30" s="1"/>
  <c r="V28" i="30" s="1"/>
  <c r="AB170" i="10"/>
  <c r="V170" i="10"/>
  <c r="J177" i="38"/>
  <c r="K170" i="23"/>
  <c r="K169" i="23" s="1"/>
  <c r="K168" i="23" s="1"/>
  <c r="K170" i="24"/>
  <c r="K169" i="24" s="1"/>
  <c r="K168" i="24" s="1"/>
  <c r="K171" i="25"/>
  <c r="K170" i="25" s="1"/>
  <c r="K169" i="25" s="1"/>
  <c r="AS169" i="10"/>
  <c r="AS168" i="10" s="1"/>
  <c r="AS167" i="10" s="1"/>
  <c r="AH170" i="10"/>
  <c r="AH169" i="10" s="1"/>
  <c r="AH168" i="10" s="1"/>
  <c r="AH167" i="10" s="1"/>
  <c r="AG170" i="27"/>
  <c r="AH170" i="27"/>
  <c r="AH169" i="27" s="1"/>
  <c r="AH168" i="27" s="1"/>
  <c r="AH167" i="27" s="1"/>
  <c r="AI170" i="10"/>
  <c r="AJ170" i="10" s="1"/>
  <c r="CK170" i="10" s="1"/>
  <c r="N171" i="2"/>
  <c r="N170" i="2" s="1"/>
  <c r="K170" i="27"/>
  <c r="N170" i="27" s="1"/>
  <c r="N169" i="27" s="1"/>
  <c r="N168" i="27" s="1"/>
  <c r="V169" i="11"/>
  <c r="E4" i="12" s="1"/>
  <c r="K25" i="7"/>
  <c r="L60" i="2" s="1"/>
  <c r="K58" i="28" s="1"/>
  <c r="O58" i="28" s="1"/>
  <c r="L66" i="8"/>
  <c r="W170" i="10" l="1"/>
  <c r="Q170" i="10"/>
  <c r="CI170" i="10"/>
  <c r="J60" i="38"/>
  <c r="K59" i="23"/>
  <c r="K60" i="25"/>
  <c r="K59" i="24"/>
  <c r="AI169" i="10"/>
  <c r="AI168" i="10" s="1"/>
  <c r="M170" i="27"/>
  <c r="M169" i="27" s="1"/>
  <c r="M168" i="27" s="1"/>
  <c r="AG169" i="27"/>
  <c r="AG168" i="27" s="1"/>
  <c r="AG167" i="27" s="1"/>
  <c r="AI59" i="10"/>
  <c r="AJ59" i="10" s="1"/>
  <c r="N60" i="2"/>
  <c r="K59" i="27"/>
  <c r="N59" i="27" s="1"/>
  <c r="V168" i="11"/>
  <c r="K23" i="7"/>
  <c r="V58" i="11"/>
  <c r="N17" i="3"/>
  <c r="O17" i="3"/>
  <c r="P17" i="3"/>
  <c r="Q17" i="3"/>
  <c r="AA57" i="2"/>
  <c r="AJ55" i="28" s="1"/>
  <c r="L18" i="3"/>
  <c r="L57" i="2" s="1"/>
  <c r="K55" i="28" s="1"/>
  <c r="AA83" i="2"/>
  <c r="Y34" i="7"/>
  <c r="K36" i="7"/>
  <c r="L83" i="2" s="1"/>
  <c r="K35" i="7"/>
  <c r="K82" i="26" l="1"/>
  <c r="D14" i="31" s="1"/>
  <c r="K81" i="28"/>
  <c r="O81" i="28" s="1"/>
  <c r="P82" i="26"/>
  <c r="AJ81" i="28"/>
  <c r="AN81" i="28" s="1"/>
  <c r="K54" i="28"/>
  <c r="O55" i="28"/>
  <c r="O54" i="28" s="1"/>
  <c r="AJ54" i="28"/>
  <c r="AN55" i="28"/>
  <c r="AN54" i="28" s="1"/>
  <c r="P78" i="26"/>
  <c r="P72" i="26" s="1"/>
  <c r="O83" i="38"/>
  <c r="K78" i="26"/>
  <c r="K72" i="26" s="1"/>
  <c r="J83" i="38"/>
  <c r="K34" i="7"/>
  <c r="Q59" i="10"/>
  <c r="W59" i="10"/>
  <c r="K82" i="23"/>
  <c r="K82" i="24"/>
  <c r="K83" i="25"/>
  <c r="O57" i="38"/>
  <c r="Z56" i="23"/>
  <c r="Z55" i="23" s="1"/>
  <c r="P57" i="25"/>
  <c r="P56" i="25" s="1"/>
  <c r="P56" i="24"/>
  <c r="P55" i="24" s="1"/>
  <c r="Z82" i="23"/>
  <c r="P83" i="25"/>
  <c r="R83" i="25" s="1"/>
  <c r="P82" i="24"/>
  <c r="J57" i="38"/>
  <c r="K56" i="23"/>
  <c r="K55" i="23" s="1"/>
  <c r="K57" i="25"/>
  <c r="K56" i="25" s="1"/>
  <c r="K56" i="24"/>
  <c r="K55" i="24" s="1"/>
  <c r="AN56" i="2"/>
  <c r="F10" i="19" s="1"/>
  <c r="AM57" i="2"/>
  <c r="AM56" i="2" s="1"/>
  <c r="E10" i="19" s="1"/>
  <c r="M59" i="27"/>
  <c r="AI82" i="10"/>
  <c r="AE57" i="2"/>
  <c r="AE56" i="2" s="1"/>
  <c r="Z10" i="30" s="1"/>
  <c r="AS56" i="10"/>
  <c r="D56" i="10" s="1"/>
  <c r="D55" i="10" s="1"/>
  <c r="C10" i="19" s="1"/>
  <c r="C43" i="19" s="1"/>
  <c r="C10" i="30" s="1"/>
  <c r="E10" i="30" s="1"/>
  <c r="AE83" i="2"/>
  <c r="AS82" i="10"/>
  <c r="AI56" i="10"/>
  <c r="N57" i="2"/>
  <c r="N56" i="2" s="1"/>
  <c r="V55" i="11"/>
  <c r="K56" i="27"/>
  <c r="N56" i="27" s="1"/>
  <c r="N55" i="27" s="1"/>
  <c r="V81" i="11"/>
  <c r="K82" i="27"/>
  <c r="AE56" i="27"/>
  <c r="AL57" i="2"/>
  <c r="AL56" i="2" s="1"/>
  <c r="D10" i="19" s="1"/>
  <c r="AE82" i="27"/>
  <c r="AM83" i="2"/>
  <c r="W81" i="11"/>
  <c r="W55" i="11"/>
  <c r="F7" i="12" s="1"/>
  <c r="L82" i="2"/>
  <c r="K80" i="28" s="1"/>
  <c r="O80" i="28" s="1"/>
  <c r="K40" i="7"/>
  <c r="L91" i="2" s="1"/>
  <c r="K90" i="23" l="1"/>
  <c r="K89" i="28"/>
  <c r="O89" i="28" s="1"/>
  <c r="V54" i="11"/>
  <c r="E7" i="12"/>
  <c r="J82" i="38"/>
  <c r="K81" i="23"/>
  <c r="R57" i="25"/>
  <c r="R56" i="25" s="1"/>
  <c r="J10" i="30" s="1"/>
  <c r="M10" i="30" s="1"/>
  <c r="P10" i="30" s="1"/>
  <c r="S10" i="30" s="1"/>
  <c r="V10" i="30" s="1"/>
  <c r="AH82" i="10"/>
  <c r="AC82" i="10"/>
  <c r="AI55" i="10"/>
  <c r="AI90" i="10"/>
  <c r="CJ90" i="10" s="1"/>
  <c r="J91" i="38"/>
  <c r="AI81" i="10"/>
  <c r="D82" i="10"/>
  <c r="M56" i="27"/>
  <c r="M55" i="27" s="1"/>
  <c r="AG82" i="27"/>
  <c r="AH82" i="27"/>
  <c r="AG56" i="27"/>
  <c r="AG55" i="27" s="1"/>
  <c r="AH56" i="27"/>
  <c r="AH55" i="27" s="1"/>
  <c r="AS55" i="10"/>
  <c r="V80" i="11"/>
  <c r="K81" i="27"/>
  <c r="M81" i="27" s="1"/>
  <c r="V89" i="11"/>
  <c r="K90" i="27"/>
  <c r="M90" i="27" s="1"/>
  <c r="D43" i="19"/>
  <c r="AB82" i="10"/>
  <c r="W82" i="10"/>
  <c r="V82" i="10"/>
  <c r="C82" i="10"/>
  <c r="J56" i="10"/>
  <c r="E82" i="10"/>
  <c r="AJ82" i="10"/>
  <c r="Q82" i="10"/>
  <c r="J82" i="10"/>
  <c r="AT82" i="10"/>
  <c r="C56" i="10"/>
  <c r="C55" i="10" s="1"/>
  <c r="E56" i="10"/>
  <c r="L15" i="9"/>
  <c r="L35" i="2" s="1"/>
  <c r="K33" i="28" s="1"/>
  <c r="O33" i="28" s="1"/>
  <c r="L14" i="9"/>
  <c r="L21" i="9"/>
  <c r="L44" i="2" s="1"/>
  <c r="L20" i="9"/>
  <c r="L43" i="2" s="1"/>
  <c r="K41" i="28" s="1"/>
  <c r="O41" i="28" s="1"/>
  <c r="L19" i="9"/>
  <c r="L42" i="2" s="1"/>
  <c r="K40" i="28" s="1"/>
  <c r="O40" i="28" s="1"/>
  <c r="L17" i="9"/>
  <c r="L34" i="9"/>
  <c r="L63" i="2" s="1"/>
  <c r="K61" i="28" s="1"/>
  <c r="L36" i="9"/>
  <c r="L72" i="2" s="1"/>
  <c r="K70" i="28" s="1"/>
  <c r="O70" i="28" s="1"/>
  <c r="L43" i="9"/>
  <c r="L87" i="2" s="1"/>
  <c r="K85" i="28" s="1"/>
  <c r="L45" i="9"/>
  <c r="L93" i="2" s="1"/>
  <c r="K91" i="28" s="1"/>
  <c r="L49" i="9"/>
  <c r="L103" i="2" s="1"/>
  <c r="K101" i="28" s="1"/>
  <c r="L51" i="9"/>
  <c r="L115" i="2"/>
  <c r="K113" i="28" s="1"/>
  <c r="L65" i="9"/>
  <c r="L67" i="9"/>
  <c r="L155" i="2" s="1"/>
  <c r="K153" i="28" s="1"/>
  <c r="L70" i="9"/>
  <c r="L162" i="2" s="1"/>
  <c r="K160" i="28" s="1"/>
  <c r="L76" i="9"/>
  <c r="U41" i="9"/>
  <c r="T41" i="9"/>
  <c r="K76" i="7"/>
  <c r="K69" i="7"/>
  <c r="L166" i="2" s="1"/>
  <c r="K164" i="28" s="1"/>
  <c r="O164" i="28" s="1"/>
  <c r="K66" i="7"/>
  <c r="K64" i="7"/>
  <c r="L152" i="2" s="1"/>
  <c r="K47" i="7"/>
  <c r="L106" i="2" s="1"/>
  <c r="K104" i="28" s="1"/>
  <c r="O104" i="28" s="1"/>
  <c r="K49" i="7"/>
  <c r="L112" i="2" s="1"/>
  <c r="K110" i="28" s="1"/>
  <c r="O110" i="28" s="1"/>
  <c r="L118" i="2"/>
  <c r="K116" i="28" s="1"/>
  <c r="O116" i="28" s="1"/>
  <c r="L75" i="3"/>
  <c r="L177" i="2" s="1"/>
  <c r="K175" i="28" s="1"/>
  <c r="O175" i="28" s="1"/>
  <c r="L42" i="3"/>
  <c r="L111" i="2" s="1"/>
  <c r="K109" i="28" s="1"/>
  <c r="O109" i="28" s="1"/>
  <c r="L36" i="3"/>
  <c r="L95" i="2" s="1"/>
  <c r="K93" i="28" s="1"/>
  <c r="O93" i="28" s="1"/>
  <c r="L47" i="2"/>
  <c r="V50" i="11"/>
  <c r="L163" i="2"/>
  <c r="K161" i="28" s="1"/>
  <c r="O161" i="28" s="1"/>
  <c r="L150" i="2"/>
  <c r="K34" i="6"/>
  <c r="L76" i="2" s="1"/>
  <c r="K31" i="6"/>
  <c r="L71" i="2" s="1"/>
  <c r="K69" i="28" s="1"/>
  <c r="O69" i="28" s="1"/>
  <c r="O91" i="28" l="1"/>
  <c r="K149" i="23"/>
  <c r="K148" i="28"/>
  <c r="O148" i="28" s="1"/>
  <c r="K75" i="23"/>
  <c r="K74" i="28"/>
  <c r="O74" i="28" s="1"/>
  <c r="K46" i="26"/>
  <c r="K45" i="28"/>
  <c r="K151" i="23"/>
  <c r="K150" i="28"/>
  <c r="O101" i="28"/>
  <c r="O61" i="28"/>
  <c r="K43" i="23"/>
  <c r="K42" i="28"/>
  <c r="O42" i="28" s="1"/>
  <c r="K43" i="24"/>
  <c r="O113" i="28"/>
  <c r="O85" i="28"/>
  <c r="K72" i="25"/>
  <c r="N72" i="2"/>
  <c r="K94" i="23"/>
  <c r="K94" i="24"/>
  <c r="K42" i="25"/>
  <c r="N42" i="2"/>
  <c r="W90" i="10"/>
  <c r="AC90" i="10"/>
  <c r="K165" i="23"/>
  <c r="K166" i="25"/>
  <c r="K165" i="24"/>
  <c r="N166" i="2"/>
  <c r="N167" i="2"/>
  <c r="K115" i="25"/>
  <c r="N115" i="2"/>
  <c r="K87" i="25"/>
  <c r="N87" i="2"/>
  <c r="K41" i="23"/>
  <c r="K41" i="24"/>
  <c r="K35" i="25"/>
  <c r="N35" i="2"/>
  <c r="K162" i="23"/>
  <c r="K163" i="25"/>
  <c r="K162" i="24"/>
  <c r="N163" i="2"/>
  <c r="K71" i="23"/>
  <c r="K71" i="24"/>
  <c r="K118" i="25"/>
  <c r="N118" i="2"/>
  <c r="K70" i="23"/>
  <c r="K70" i="24"/>
  <c r="L178" i="2"/>
  <c r="K75" i="7"/>
  <c r="AJ56" i="10"/>
  <c r="L109" i="2"/>
  <c r="L50" i="9"/>
  <c r="K43" i="25"/>
  <c r="N43" i="2"/>
  <c r="Q81" i="10"/>
  <c r="K111" i="25"/>
  <c r="N111" i="2"/>
  <c r="K112" i="25"/>
  <c r="N112" i="2"/>
  <c r="K103" i="25"/>
  <c r="N103" i="2"/>
  <c r="K162" i="25"/>
  <c r="N162" i="2"/>
  <c r="K34" i="23"/>
  <c r="K34" i="24"/>
  <c r="K117" i="23"/>
  <c r="K117" i="24"/>
  <c r="K106" i="25"/>
  <c r="N106" i="2"/>
  <c r="K161" i="23"/>
  <c r="K161" i="24"/>
  <c r="K114" i="23"/>
  <c r="K114" i="24"/>
  <c r="K86" i="23"/>
  <c r="K86" i="24"/>
  <c r="L174" i="2"/>
  <c r="K172" i="28" s="1"/>
  <c r="L40" i="2"/>
  <c r="L16" i="9"/>
  <c r="J156" i="38"/>
  <c r="K150" i="25"/>
  <c r="K149" i="24"/>
  <c r="K110" i="23"/>
  <c r="K110" i="24"/>
  <c r="K111" i="23"/>
  <c r="K111" i="24"/>
  <c r="K102" i="23"/>
  <c r="K102" i="24"/>
  <c r="K42" i="23"/>
  <c r="K42" i="24"/>
  <c r="J93" i="38"/>
  <c r="K92" i="23"/>
  <c r="K93" i="25"/>
  <c r="K92" i="24"/>
  <c r="J63" i="38"/>
  <c r="K62" i="23"/>
  <c r="K62" i="24"/>
  <c r="K63" i="25"/>
  <c r="K105" i="23"/>
  <c r="K105" i="24"/>
  <c r="K177" i="24"/>
  <c r="J183" i="38"/>
  <c r="K176" i="23"/>
  <c r="K177" i="25"/>
  <c r="K176" i="24"/>
  <c r="J158" i="38"/>
  <c r="K152" i="25"/>
  <c r="K151" i="24"/>
  <c r="J161" i="38"/>
  <c r="K154" i="23"/>
  <c r="K154" i="24"/>
  <c r="K155" i="25"/>
  <c r="AJ90" i="10"/>
  <c r="AT56" i="10"/>
  <c r="CP56" i="10" s="1"/>
  <c r="J47" i="38"/>
  <c r="K46" i="23"/>
  <c r="K46" i="24"/>
  <c r="K47" i="25"/>
  <c r="AI70" i="10"/>
  <c r="CL70" i="10" s="1"/>
  <c r="J71" i="38"/>
  <c r="AI114" i="10"/>
  <c r="J115" i="38"/>
  <c r="AI161" i="10"/>
  <c r="CK161" i="10" s="1"/>
  <c r="J168" i="38"/>
  <c r="AI135" i="10"/>
  <c r="Q140" i="10" s="1"/>
  <c r="I36" i="1" s="1"/>
  <c r="Q36" i="1" s="1"/>
  <c r="S36" i="1" s="1"/>
  <c r="J136" i="38"/>
  <c r="AI41" i="10"/>
  <c r="J42" i="38"/>
  <c r="AI34" i="10"/>
  <c r="J35" i="38"/>
  <c r="AI105" i="10"/>
  <c r="J106" i="38"/>
  <c r="J137" i="38"/>
  <c r="AI86" i="10"/>
  <c r="J87" i="38"/>
  <c r="AI94" i="10"/>
  <c r="AJ94" i="10" s="1"/>
  <c r="J95" i="38"/>
  <c r="AI117" i="10"/>
  <c r="CK117" i="10" s="1"/>
  <c r="J118" i="38"/>
  <c r="AI122" i="10"/>
  <c r="AI102" i="10"/>
  <c r="CK102" i="10" s="1"/>
  <c r="J103" i="38"/>
  <c r="AI71" i="10"/>
  <c r="CL71" i="10" s="1"/>
  <c r="J72" i="38"/>
  <c r="AI42" i="10"/>
  <c r="CN42" i="10" s="1"/>
  <c r="J43" i="38"/>
  <c r="AI165" i="10"/>
  <c r="CK165" i="10" s="1"/>
  <c r="J172" i="38"/>
  <c r="AI75" i="10"/>
  <c r="CL75" i="10" s="1"/>
  <c r="J76" i="38"/>
  <c r="J145" i="38"/>
  <c r="AI162" i="10"/>
  <c r="CK162" i="10" s="1"/>
  <c r="J169" i="38"/>
  <c r="AI110" i="10"/>
  <c r="CK110" i="10" s="1"/>
  <c r="J111" i="38"/>
  <c r="AI111" i="10"/>
  <c r="J112" i="38"/>
  <c r="AI121" i="10"/>
  <c r="J122" i="38"/>
  <c r="AI43" i="10"/>
  <c r="J44" i="38"/>
  <c r="L165" i="2"/>
  <c r="K163" i="28" s="1"/>
  <c r="O163" i="28" s="1"/>
  <c r="AI177" i="10"/>
  <c r="N177" i="2"/>
  <c r="AI149" i="10"/>
  <c r="AJ149" i="10" s="1"/>
  <c r="N150" i="2"/>
  <c r="AI151" i="10"/>
  <c r="AJ151" i="10" s="1"/>
  <c r="N152" i="2"/>
  <c r="AI154" i="10"/>
  <c r="AJ154" i="10" s="1"/>
  <c r="CK154" i="10" s="1"/>
  <c r="N155" i="2"/>
  <c r="AI46" i="10"/>
  <c r="Q46" i="10" s="1"/>
  <c r="N47" i="2"/>
  <c r="AI92" i="10"/>
  <c r="N93" i="2"/>
  <c r="AI62" i="10"/>
  <c r="AJ62" i="10" s="1"/>
  <c r="N63" i="2"/>
  <c r="V69" i="11"/>
  <c r="K70" i="27"/>
  <c r="M70" i="27" s="1"/>
  <c r="V74" i="11"/>
  <c r="K75" i="27"/>
  <c r="M75" i="27" s="1"/>
  <c r="V45" i="11"/>
  <c r="E23" i="12" s="1"/>
  <c r="K46" i="27"/>
  <c r="N46" i="27" s="1"/>
  <c r="K176" i="27"/>
  <c r="N176" i="27" s="1"/>
  <c r="V160" i="11"/>
  <c r="K161" i="27"/>
  <c r="V134" i="11"/>
  <c r="K135" i="27"/>
  <c r="N73" i="27"/>
  <c r="V40" i="11"/>
  <c r="K41" i="27"/>
  <c r="V33" i="11"/>
  <c r="K34" i="27"/>
  <c r="V164" i="11"/>
  <c r="K165" i="27"/>
  <c r="V85" i="11"/>
  <c r="K86" i="27"/>
  <c r="V148" i="11"/>
  <c r="K149" i="27"/>
  <c r="N149" i="27" s="1"/>
  <c r="V93" i="11"/>
  <c r="K94" i="27"/>
  <c r="M94" i="27" s="1"/>
  <c r="V150" i="11"/>
  <c r="K151" i="27"/>
  <c r="N151" i="27" s="1"/>
  <c r="K154" i="27"/>
  <c r="N154" i="27" s="1"/>
  <c r="V121" i="11"/>
  <c r="K122" i="27"/>
  <c r="M122" i="27" s="1"/>
  <c r="V101" i="11"/>
  <c r="K102" i="27"/>
  <c r="V70" i="11"/>
  <c r="K71" i="27"/>
  <c r="V41" i="11"/>
  <c r="E20" i="12" s="1"/>
  <c r="K42" i="27"/>
  <c r="V104" i="11"/>
  <c r="K105" i="27"/>
  <c r="V135" i="11"/>
  <c r="K136" i="27"/>
  <c r="V161" i="11"/>
  <c r="K162" i="27"/>
  <c r="V109" i="11"/>
  <c r="K110" i="27"/>
  <c r="V110" i="11"/>
  <c r="K111" i="27"/>
  <c r="K121" i="27"/>
  <c r="M121" i="27" s="1"/>
  <c r="V91" i="11"/>
  <c r="E11" i="12" s="1"/>
  <c r="K92" i="27"/>
  <c r="V61" i="11"/>
  <c r="K62" i="27"/>
  <c r="N62" i="27" s="1"/>
  <c r="V42" i="11"/>
  <c r="E27" i="12" s="1"/>
  <c r="K43" i="27"/>
  <c r="M43" i="27" s="1"/>
  <c r="E43" i="19"/>
  <c r="F43" i="19" s="1"/>
  <c r="F10" i="30"/>
  <c r="H10" i="30" s="1"/>
  <c r="V113" i="11"/>
  <c r="K114" i="27"/>
  <c r="V116" i="11"/>
  <c r="K117" i="27"/>
  <c r="L34" i="2"/>
  <c r="L13" i="9"/>
  <c r="L149" i="2"/>
  <c r="L64" i="9"/>
  <c r="K65" i="7"/>
  <c r="L158" i="2"/>
  <c r="K156" i="28" s="1"/>
  <c r="O156" i="28" s="1"/>
  <c r="V175" i="11"/>
  <c r="V120" i="11"/>
  <c r="J121" i="38"/>
  <c r="L135" i="2"/>
  <c r="V153" i="11"/>
  <c r="V154" i="11"/>
  <c r="E17" i="12" s="1"/>
  <c r="V49" i="11"/>
  <c r="L17" i="3"/>
  <c r="D24" i="31" l="1"/>
  <c r="K45" i="26"/>
  <c r="K7" i="26" s="1"/>
  <c r="K6" i="26" s="1"/>
  <c r="K148" i="23"/>
  <c r="K147" i="28"/>
  <c r="K39" i="24"/>
  <c r="K38" i="28"/>
  <c r="O150" i="28"/>
  <c r="J184" i="38"/>
  <c r="K177" i="26"/>
  <c r="K176" i="28"/>
  <c r="O176" i="28" s="1"/>
  <c r="O134" i="28"/>
  <c r="O133" i="28" s="1"/>
  <c r="O118" i="28" s="1"/>
  <c r="AQ133" i="28"/>
  <c r="K33" i="23"/>
  <c r="K32" i="28"/>
  <c r="K108" i="24"/>
  <c r="K107" i="24" s="1"/>
  <c r="K107" i="28"/>
  <c r="O45" i="28"/>
  <c r="K159" i="28"/>
  <c r="K32" i="23"/>
  <c r="N178" i="2"/>
  <c r="K178" i="25"/>
  <c r="K177" i="27"/>
  <c r="N177" i="27" s="1"/>
  <c r="AI178" i="10"/>
  <c r="AJ178" i="10" s="1"/>
  <c r="CK178" i="10" s="1"/>
  <c r="Q178" i="10" s="1"/>
  <c r="CQ178" i="10" s="1"/>
  <c r="K177" i="23"/>
  <c r="K108" i="23"/>
  <c r="K107" i="23" s="1"/>
  <c r="E31" i="12"/>
  <c r="V176" i="11"/>
  <c r="M71" i="27"/>
  <c r="N71" i="27"/>
  <c r="AH56" i="10"/>
  <c r="AH55" i="10" s="1"/>
  <c r="AB56" i="10"/>
  <c r="V56" i="10"/>
  <c r="M41" i="27"/>
  <c r="N41" i="27"/>
  <c r="W162" i="10"/>
  <c r="AC162" i="10"/>
  <c r="Q162" i="10"/>
  <c r="K34" i="25"/>
  <c r="K33" i="25" s="1"/>
  <c r="N34" i="2"/>
  <c r="N33" i="2" s="1"/>
  <c r="W165" i="10"/>
  <c r="AC165" i="10"/>
  <c r="Q165" i="10"/>
  <c r="K165" i="25"/>
  <c r="K161" i="25" s="1"/>
  <c r="K160" i="25" s="1"/>
  <c r="K164" i="24"/>
  <c r="K160" i="24" s="1"/>
  <c r="K159" i="24" s="1"/>
  <c r="N165" i="2"/>
  <c r="N161" i="2" s="1"/>
  <c r="Q110" i="10"/>
  <c r="W110" i="10"/>
  <c r="Q161" i="10"/>
  <c r="W161" i="10"/>
  <c r="M165" i="27"/>
  <c r="N165" i="27"/>
  <c r="M162" i="27"/>
  <c r="N162" i="27"/>
  <c r="M136" i="27"/>
  <c r="N136" i="27"/>
  <c r="M117" i="27"/>
  <c r="N117" i="27"/>
  <c r="M135" i="27"/>
  <c r="N135" i="27"/>
  <c r="M114" i="27"/>
  <c r="N114" i="27"/>
  <c r="M86" i="27"/>
  <c r="N86" i="27"/>
  <c r="M34" i="27"/>
  <c r="N34" i="27"/>
  <c r="CL56" i="10"/>
  <c r="W117" i="10"/>
  <c r="Q117" i="10"/>
  <c r="W71" i="10"/>
  <c r="Q71" i="10"/>
  <c r="AC71" i="10"/>
  <c r="Q42" i="10"/>
  <c r="W42" i="10"/>
  <c r="Q102" i="10"/>
  <c r="W102" i="10"/>
  <c r="AI120" i="10"/>
  <c r="K108" i="27"/>
  <c r="M108" i="27" s="1"/>
  <c r="J109" i="38"/>
  <c r="V107" i="11"/>
  <c r="AI108" i="10"/>
  <c r="W75" i="10"/>
  <c r="AC75" i="10"/>
  <c r="K173" i="24"/>
  <c r="K172" i="24" s="1"/>
  <c r="K171" i="24" s="1"/>
  <c r="K167" i="24" s="1"/>
  <c r="L173" i="2"/>
  <c r="M111" i="27"/>
  <c r="N111" i="27"/>
  <c r="AC41" i="10"/>
  <c r="W41" i="10"/>
  <c r="Q41" i="10"/>
  <c r="AJ75" i="10"/>
  <c r="Q75" i="10"/>
  <c r="M110" i="27"/>
  <c r="N110" i="27"/>
  <c r="AC43" i="10"/>
  <c r="W43" i="10"/>
  <c r="Q43" i="10"/>
  <c r="K109" i="25"/>
  <c r="K108" i="25" s="1"/>
  <c r="N109" i="2"/>
  <c r="N108" i="2" s="1"/>
  <c r="M42" i="27"/>
  <c r="N42" i="27"/>
  <c r="M102" i="27"/>
  <c r="N102" i="27"/>
  <c r="N174" i="2"/>
  <c r="V172" i="11"/>
  <c r="E28" i="12" s="1"/>
  <c r="K174" i="25"/>
  <c r="M161" i="27"/>
  <c r="N161" i="27"/>
  <c r="L39" i="2"/>
  <c r="J39" i="38" s="1"/>
  <c r="K40" i="25"/>
  <c r="K39" i="25" s="1"/>
  <c r="V38" i="11"/>
  <c r="V37" i="11" s="1"/>
  <c r="N40" i="2"/>
  <c r="N39" i="2" s="1"/>
  <c r="K39" i="23"/>
  <c r="K38" i="23" s="1"/>
  <c r="K39" i="27"/>
  <c r="N39" i="27" s="1"/>
  <c r="AI39" i="10"/>
  <c r="AI38" i="10" s="1"/>
  <c r="W149" i="10"/>
  <c r="Q149" i="10"/>
  <c r="W154" i="10"/>
  <c r="Q154" i="10"/>
  <c r="Q151" i="10"/>
  <c r="W151" i="10"/>
  <c r="J171" i="38"/>
  <c r="K164" i="23"/>
  <c r="K160" i="23" s="1"/>
  <c r="K159" i="23" s="1"/>
  <c r="M105" i="27"/>
  <c r="N105" i="27"/>
  <c r="AJ71" i="10"/>
  <c r="AI174" i="10"/>
  <c r="AJ174" i="10" s="1"/>
  <c r="CK174" i="10" s="1"/>
  <c r="K173" i="23"/>
  <c r="K172" i="23" s="1"/>
  <c r="K171" i="23" s="1"/>
  <c r="K167" i="23" s="1"/>
  <c r="J180" i="38"/>
  <c r="K173" i="27"/>
  <c r="N173" i="27" s="1"/>
  <c r="J40" i="38"/>
  <c r="K38" i="24"/>
  <c r="J135" i="38"/>
  <c r="L120" i="2"/>
  <c r="AQ118" i="28" s="1"/>
  <c r="AI134" i="10"/>
  <c r="K164" i="27"/>
  <c r="J164" i="38"/>
  <c r="K157" i="23"/>
  <c r="K158" i="25"/>
  <c r="K157" i="24"/>
  <c r="AJ86" i="10"/>
  <c r="V163" i="11"/>
  <c r="E33" i="12" s="1"/>
  <c r="J155" i="38"/>
  <c r="K149" i="25"/>
  <c r="K148" i="24"/>
  <c r="Q135" i="10"/>
  <c r="AC135" i="10"/>
  <c r="W135" i="10"/>
  <c r="O153" i="10"/>
  <c r="O146" i="10" s="1"/>
  <c r="N153" i="10"/>
  <c r="N146" i="10" s="1"/>
  <c r="M153" i="10"/>
  <c r="M146" i="10" s="1"/>
  <c r="AC102" i="10"/>
  <c r="AC110" i="10"/>
  <c r="AC34" i="10"/>
  <c r="Q34" i="10"/>
  <c r="W34" i="10"/>
  <c r="L161" i="2"/>
  <c r="AI164" i="10"/>
  <c r="AI33" i="10"/>
  <c r="J34" i="38"/>
  <c r="W177" i="10"/>
  <c r="AJ177" i="10"/>
  <c r="CK177" i="10" s="1"/>
  <c r="Q177" i="10" s="1"/>
  <c r="AJ92" i="10"/>
  <c r="M92" i="27"/>
  <c r="N92" i="27"/>
  <c r="M151" i="27"/>
  <c r="M149" i="27"/>
  <c r="M62" i="27"/>
  <c r="M154" i="27"/>
  <c r="M176" i="27"/>
  <c r="M120" i="27"/>
  <c r="AI157" i="10"/>
  <c r="N158" i="2"/>
  <c r="AI148" i="10"/>
  <c r="AJ148" i="10" s="1"/>
  <c r="N149" i="2"/>
  <c r="K120" i="27"/>
  <c r="K134" i="27"/>
  <c r="V32" i="11"/>
  <c r="K33" i="27"/>
  <c r="K157" i="27"/>
  <c r="N157" i="27" s="1"/>
  <c r="V147" i="11"/>
  <c r="K148" i="27"/>
  <c r="N148" i="27" s="1"/>
  <c r="M46" i="27"/>
  <c r="G43" i="19"/>
  <c r="L10" i="30"/>
  <c r="N10" i="30" s="1"/>
  <c r="V156" i="11"/>
  <c r="V119" i="11"/>
  <c r="V133" i="11"/>
  <c r="L20" i="3"/>
  <c r="L19" i="3" s="1"/>
  <c r="L151" i="2"/>
  <c r="L157" i="2"/>
  <c r="K155" i="28" s="1"/>
  <c r="N134" i="27" l="1"/>
  <c r="M134" i="27"/>
  <c r="M119" i="27" s="1"/>
  <c r="O32" i="28"/>
  <c r="K171" i="28"/>
  <c r="K170" i="28" s="1"/>
  <c r="K166" i="28" s="1"/>
  <c r="K37" i="28"/>
  <c r="AQ37" i="28" s="1"/>
  <c r="O38" i="28"/>
  <c r="O37" i="28" s="1"/>
  <c r="K150" i="23"/>
  <c r="K147" i="23" s="1"/>
  <c r="K149" i="28"/>
  <c r="K152" i="28"/>
  <c r="O155" i="28"/>
  <c r="K158" i="28"/>
  <c r="AQ159" i="28"/>
  <c r="K106" i="28"/>
  <c r="O107" i="28"/>
  <c r="O106" i="28" s="1"/>
  <c r="D29" i="31"/>
  <c r="K172" i="26"/>
  <c r="K171" i="26" s="1"/>
  <c r="K167" i="26" s="1"/>
  <c r="J179" i="38"/>
  <c r="O172" i="28"/>
  <c r="O171" i="28" s="1"/>
  <c r="O170" i="28" s="1"/>
  <c r="J167" i="38"/>
  <c r="O160" i="28"/>
  <c r="O159" i="28" s="1"/>
  <c r="O158" i="28" s="1"/>
  <c r="N172" i="27"/>
  <c r="N171" i="27" s="1"/>
  <c r="N167" i="27" s="1"/>
  <c r="M177" i="27"/>
  <c r="K173" i="25"/>
  <c r="K172" i="25" s="1"/>
  <c r="K168" i="25" s="1"/>
  <c r="V106" i="11"/>
  <c r="E16" i="12"/>
  <c r="Q56" i="10"/>
  <c r="AC56" i="10"/>
  <c r="W56" i="10"/>
  <c r="AI160" i="10"/>
  <c r="AI159" i="10" s="1"/>
  <c r="CK164" i="10"/>
  <c r="M164" i="27"/>
  <c r="M160" i="27" s="1"/>
  <c r="M159" i="27" s="1"/>
  <c r="N164" i="27"/>
  <c r="N160" i="27" s="1"/>
  <c r="N159" i="27" s="1"/>
  <c r="M33" i="27"/>
  <c r="N33" i="27"/>
  <c r="N32" i="27" s="1"/>
  <c r="N108" i="27"/>
  <c r="N107" i="27" s="1"/>
  <c r="AI119" i="10"/>
  <c r="M107" i="27"/>
  <c r="V171" i="11"/>
  <c r="K172" i="27"/>
  <c r="AI107" i="10"/>
  <c r="CR56" i="10"/>
  <c r="CR57" i="10" s="1"/>
  <c r="CQ34" i="10"/>
  <c r="CQ154" i="10"/>
  <c r="CQ75" i="10"/>
  <c r="K173" i="10"/>
  <c r="CQ177" i="10"/>
  <c r="AI173" i="10"/>
  <c r="AI172" i="10" s="1"/>
  <c r="AI167" i="10" s="1"/>
  <c r="N38" i="27"/>
  <c r="M173" i="27"/>
  <c r="M39" i="27"/>
  <c r="M38" i="27" s="1"/>
  <c r="Q148" i="10"/>
  <c r="W148" i="10"/>
  <c r="CI56" i="10"/>
  <c r="V159" i="11"/>
  <c r="J157" i="38"/>
  <c r="K151" i="25"/>
  <c r="K148" i="25" s="1"/>
  <c r="K150" i="24"/>
  <c r="K147" i="24" s="1"/>
  <c r="J163" i="38"/>
  <c r="K156" i="23"/>
  <c r="K153" i="23" s="1"/>
  <c r="K146" i="23" s="1"/>
  <c r="K157" i="25"/>
  <c r="K154" i="25" s="1"/>
  <c r="K156" i="24"/>
  <c r="K153" i="24" s="1"/>
  <c r="X153" i="10"/>
  <c r="W33" i="10"/>
  <c r="AC33" i="10"/>
  <c r="Q33" i="10"/>
  <c r="AU154" i="10"/>
  <c r="M157" i="27"/>
  <c r="M148" i="27"/>
  <c r="AU155" i="10"/>
  <c r="AI156" i="10"/>
  <c r="AJ156" i="10" s="1"/>
  <c r="CK156" i="10" s="1"/>
  <c r="N157" i="2"/>
  <c r="N154" i="2" s="1"/>
  <c r="AI150" i="10"/>
  <c r="AJ150" i="10" s="1"/>
  <c r="N151" i="2"/>
  <c r="N148" i="2" s="1"/>
  <c r="AJ157" i="10"/>
  <c r="CK157" i="10" s="1"/>
  <c r="K156" i="27"/>
  <c r="N156" i="27" s="1"/>
  <c r="N153" i="27" s="1"/>
  <c r="V149" i="11"/>
  <c r="E19" i="12" s="1"/>
  <c r="K150" i="27"/>
  <c r="N150" i="27" s="1"/>
  <c r="N147" i="27" s="1"/>
  <c r="H43" i="19"/>
  <c r="R10" i="30" s="1"/>
  <c r="T10" i="30" s="1"/>
  <c r="O10" i="30"/>
  <c r="Q10" i="30" s="1"/>
  <c r="I10" i="30"/>
  <c r="K10" i="30" s="1"/>
  <c r="L59" i="2"/>
  <c r="K57" i="28" s="1"/>
  <c r="V155" i="11"/>
  <c r="E18" i="12" s="1"/>
  <c r="L117" i="2"/>
  <c r="K115" i="28" s="1"/>
  <c r="O115" i="28" s="1"/>
  <c r="L68" i="2"/>
  <c r="K66" i="28" s="1"/>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M58" i="7"/>
  <c r="M52" i="7" s="1"/>
  <c r="N52" i="7"/>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22" i="6"/>
  <c r="U55" i="2" s="1"/>
  <c r="M22" i="6"/>
  <c r="R55" i="2" s="1"/>
  <c r="O30" i="6"/>
  <c r="N30" i="6"/>
  <c r="M30" i="6"/>
  <c r="L30" i="6"/>
  <c r="M172" i="27" l="1"/>
  <c r="M171" i="27" s="1"/>
  <c r="M167" i="27" s="1"/>
  <c r="O66" i="28"/>
  <c r="K56" i="28"/>
  <c r="O57" i="28"/>
  <c r="O56" i="28" s="1"/>
  <c r="O149" i="28"/>
  <c r="K146" i="28"/>
  <c r="AQ171" i="28"/>
  <c r="M55" i="25"/>
  <c r="M50" i="25" s="1"/>
  <c r="M8" i="25" s="1"/>
  <c r="M7" i="25" s="1"/>
  <c r="U53" i="28"/>
  <c r="N55" i="25"/>
  <c r="N50" i="25" s="1"/>
  <c r="N8" i="25" s="1"/>
  <c r="N7" i="25" s="1"/>
  <c r="Z53" i="28"/>
  <c r="O55" i="25"/>
  <c r="O50" i="25" s="1"/>
  <c r="O8" i="25" s="1"/>
  <c r="O7" i="25" s="1"/>
  <c r="AE53" i="28"/>
  <c r="Q156" i="10"/>
  <c r="W156" i="10"/>
  <c r="W153" i="10" s="1"/>
  <c r="CQ56" i="10"/>
  <c r="K67" i="23"/>
  <c r="K67" i="24"/>
  <c r="K68" i="25"/>
  <c r="N68" i="2"/>
  <c r="K117" i="25"/>
  <c r="N117" i="2"/>
  <c r="W164" i="10"/>
  <c r="AC164" i="10"/>
  <c r="Q164" i="10"/>
  <c r="CQ33" i="10"/>
  <c r="CQ174" i="10"/>
  <c r="O54" i="9"/>
  <c r="O52" i="7"/>
  <c r="W150" i="10"/>
  <c r="Q150" i="10"/>
  <c r="K116" i="23"/>
  <c r="K116" i="24"/>
  <c r="K146" i="24"/>
  <c r="K140" i="24" s="1"/>
  <c r="K147" i="25"/>
  <c r="J59" i="38"/>
  <c r="K58" i="23"/>
  <c r="K57" i="23" s="1"/>
  <c r="K59" i="25"/>
  <c r="K58" i="25" s="1"/>
  <c r="K58" i="24"/>
  <c r="K57" i="24" s="1"/>
  <c r="AI153" i="10"/>
  <c r="AI147" i="10"/>
  <c r="M55" i="38"/>
  <c r="T54" i="23"/>
  <c r="N54" i="24"/>
  <c r="N49" i="24" s="1"/>
  <c r="N55" i="38"/>
  <c r="W54" i="23"/>
  <c r="O54" i="24"/>
  <c r="O49" i="24" s="1"/>
  <c r="Q54" i="23"/>
  <c r="M54" i="24"/>
  <c r="M49" i="24" s="1"/>
  <c r="V146" i="11"/>
  <c r="V139" i="11" s="1"/>
  <c r="S54" i="27"/>
  <c r="U54" i="27" s="1"/>
  <c r="U49" i="27" s="1"/>
  <c r="L55" i="38"/>
  <c r="AI116" i="10"/>
  <c r="CK116" i="10" s="1"/>
  <c r="J117" i="38"/>
  <c r="AI67" i="10"/>
  <c r="J68" i="38"/>
  <c r="N146" i="27"/>
  <c r="W54" i="27"/>
  <c r="Z54" i="27" s="1"/>
  <c r="AQ54" i="10"/>
  <c r="AA54" i="27"/>
  <c r="M150" i="27"/>
  <c r="M147" i="27" s="1"/>
  <c r="M156" i="27"/>
  <c r="M153" i="27" s="1"/>
  <c r="AM54" i="10"/>
  <c r="W55" i="2"/>
  <c r="AO54" i="10"/>
  <c r="AP54" i="10" s="1"/>
  <c r="CO54" i="10" s="1"/>
  <c r="AI58" i="10"/>
  <c r="AJ58" i="10" s="1"/>
  <c r="N59" i="2"/>
  <c r="N58" i="2" s="1"/>
  <c r="U50" i="2"/>
  <c r="V57" i="11"/>
  <c r="E29" i="12" s="1"/>
  <c r="K58" i="27"/>
  <c r="N58" i="27" s="1"/>
  <c r="N57" i="27" s="1"/>
  <c r="X50" i="2"/>
  <c r="R50" i="2"/>
  <c r="V66" i="11"/>
  <c r="K67" i="27"/>
  <c r="V115" i="11"/>
  <c r="K116" i="27"/>
  <c r="N45" i="7"/>
  <c r="O45" i="7"/>
  <c r="M45" i="7"/>
  <c r="V152" i="11"/>
  <c r="P37" i="9"/>
  <c r="O37" i="9"/>
  <c r="N37" i="9"/>
  <c r="P47" i="9"/>
  <c r="O47" i="9"/>
  <c r="N47" i="9"/>
  <c r="P63" i="9"/>
  <c r="O63" i="9"/>
  <c r="N63" i="9"/>
  <c r="P68" i="9"/>
  <c r="O68" i="9"/>
  <c r="N68" i="9"/>
  <c r="P72" i="9"/>
  <c r="O72" i="9"/>
  <c r="N72" i="9"/>
  <c r="P75" i="9"/>
  <c r="O75" i="9"/>
  <c r="N75"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K145" i="28" l="1"/>
  <c r="AD53" i="28"/>
  <c r="Z48" i="28"/>
  <c r="Z6" i="28" s="1"/>
  <c r="Z5" i="28" s="1"/>
  <c r="AI53" i="28"/>
  <c r="AI48" i="28" s="1"/>
  <c r="AI6" i="28" s="1"/>
  <c r="AI5" i="28" s="1"/>
  <c r="AI181" i="28" s="1"/>
  <c r="AE48" i="28"/>
  <c r="AE6" i="28" s="1"/>
  <c r="AE5" i="28" s="1"/>
  <c r="AE181" i="28" s="1"/>
  <c r="Y53" i="28"/>
  <c r="Y48" i="28" s="1"/>
  <c r="U48" i="28"/>
  <c r="U6" i="28" s="1"/>
  <c r="U5" i="28" s="1"/>
  <c r="CQ156" i="10"/>
  <c r="W49" i="23"/>
  <c r="W7" i="23" s="1"/>
  <c r="W6" i="23" s="1"/>
  <c r="W182" i="23" s="1"/>
  <c r="Q49" i="23"/>
  <c r="Q7" i="23" s="1"/>
  <c r="Q6" i="23" s="1"/>
  <c r="Q182" i="23" s="1"/>
  <c r="T49" i="23"/>
  <c r="T7" i="23" s="1"/>
  <c r="T6" i="23" s="1"/>
  <c r="T182" i="23" s="1"/>
  <c r="Q116" i="10"/>
  <c r="W116" i="10"/>
  <c r="M116" i="27"/>
  <c r="N116" i="27"/>
  <c r="M67" i="27"/>
  <c r="N67" i="27"/>
  <c r="Z54" i="10"/>
  <c r="AF54" i="10"/>
  <c r="T54" i="10"/>
  <c r="AJ67" i="10"/>
  <c r="CL67" i="10"/>
  <c r="W58" i="10"/>
  <c r="Q58" i="10"/>
  <c r="N140" i="27"/>
  <c r="AU157" i="10"/>
  <c r="AI146" i="10"/>
  <c r="S49" i="27"/>
  <c r="L50" i="38"/>
  <c r="W49" i="27"/>
  <c r="M50" i="38"/>
  <c r="AI57" i="10"/>
  <c r="AA49" i="27"/>
  <c r="N50" i="38"/>
  <c r="Y54" i="27"/>
  <c r="O49" i="10"/>
  <c r="M146" i="27"/>
  <c r="M140" i="27" s="1"/>
  <c r="M49" i="10"/>
  <c r="M58" i="27"/>
  <c r="M57" i="27" s="1"/>
  <c r="Z55" i="2"/>
  <c r="Z50" i="2" s="1"/>
  <c r="N49" i="10"/>
  <c r="V56" i="11"/>
  <c r="O64" i="8"/>
  <c r="N64" i="8"/>
  <c r="P64" i="8"/>
  <c r="N71" i="9"/>
  <c r="P71" i="9"/>
  <c r="O71" i="9"/>
  <c r="N46" i="9"/>
  <c r="P46" i="9"/>
  <c r="O46" i="9"/>
  <c r="N41" i="8"/>
  <c r="P41" i="8"/>
  <c r="O41" i="8"/>
  <c r="O70" i="7"/>
  <c r="N70" i="7"/>
  <c r="M70" i="7"/>
  <c r="M44" i="7"/>
  <c r="O44" i="7"/>
  <c r="N44" i="7"/>
  <c r="L33" i="3"/>
  <c r="L88" i="2" s="1"/>
  <c r="K86" i="28" s="1"/>
  <c r="O86" i="28" l="1"/>
  <c r="AF183" i="28"/>
  <c r="W67" i="10"/>
  <c r="Q67" i="10"/>
  <c r="AC67" i="10"/>
  <c r="AU156" i="10"/>
  <c r="J88" i="38"/>
  <c r="K87" i="23"/>
  <c r="K88" i="25"/>
  <c r="K87" i="24"/>
  <c r="AI87" i="10"/>
  <c r="N88" i="2"/>
  <c r="V86" i="11"/>
  <c r="K87" i="27"/>
  <c r="N87" i="27" s="1"/>
  <c r="AA72" i="2"/>
  <c r="AJ70" i="28" s="1"/>
  <c r="AN70" i="28" s="1"/>
  <c r="P72" i="25" l="1"/>
  <c r="S72" i="25" s="1"/>
  <c r="AE72" i="2"/>
  <c r="AJ87" i="10"/>
  <c r="CJ87" i="10"/>
  <c r="CQ67" i="10"/>
  <c r="Z71" i="23"/>
  <c r="P71" i="24"/>
  <c r="AS71" i="10"/>
  <c r="CO71" i="10" s="1"/>
  <c r="O72" i="38"/>
  <c r="M87" i="27"/>
  <c r="W70" i="11"/>
  <c r="AE71" i="27"/>
  <c r="AN72" i="2"/>
  <c r="AA153" i="2"/>
  <c r="AJ151" i="28" l="1"/>
  <c r="AN151" i="28" s="1"/>
  <c r="F118" i="40"/>
  <c r="AG71" i="27"/>
  <c r="AH71" i="27"/>
  <c r="AB71" i="10"/>
  <c r="V71" i="10"/>
  <c r="AH71" i="10"/>
  <c r="AB70" i="10"/>
  <c r="AT71" i="10"/>
  <c r="O159" i="38"/>
  <c r="Z152" i="23"/>
  <c r="P153" i="25"/>
  <c r="R153" i="25" s="1"/>
  <c r="P152" i="24"/>
  <c r="AE153" i="2"/>
  <c r="AS152" i="10"/>
  <c r="AT152" i="10" s="1"/>
  <c r="AE152" i="27"/>
  <c r="AM153" i="2"/>
  <c r="W151" i="11"/>
  <c r="AA166" i="2"/>
  <c r="AJ164" i="28" s="1"/>
  <c r="AN164" i="28" s="1"/>
  <c r="AA152" i="2"/>
  <c r="AJ150" i="28" s="1"/>
  <c r="AN150" i="28" s="1"/>
  <c r="AA118" i="2"/>
  <c r="AJ116" i="28" s="1"/>
  <c r="AN116" i="28" s="1"/>
  <c r="AA112" i="2"/>
  <c r="AJ110" i="28" s="1"/>
  <c r="AN110" i="28" s="1"/>
  <c r="AA106" i="2"/>
  <c r="AJ104" i="28" s="1"/>
  <c r="AN104" i="28" s="1"/>
  <c r="AA97" i="2"/>
  <c r="AJ95" i="28" s="1"/>
  <c r="AN95" i="28" s="1"/>
  <c r="AA91" i="2"/>
  <c r="AJ89" i="28" s="1"/>
  <c r="AN89" i="28" s="1"/>
  <c r="AA77" i="2"/>
  <c r="AA38" i="2"/>
  <c r="AJ36" i="28" s="1"/>
  <c r="AN36" i="28" s="1"/>
  <c r="AA37" i="2"/>
  <c r="AJ35" i="28" s="1"/>
  <c r="AN35" i="28" s="1"/>
  <c r="P12" i="7"/>
  <c r="O12" i="7"/>
  <c r="N12" i="7"/>
  <c r="M12" i="7"/>
  <c r="L12" i="7"/>
  <c r="K12" i="7"/>
  <c r="M118" i="40" l="1"/>
  <c r="F171" i="40"/>
  <c r="P76" i="24"/>
  <c r="P73" i="24" s="1"/>
  <c r="AJ75" i="28"/>
  <c r="AN75" i="28" s="1"/>
  <c r="Z90" i="23"/>
  <c r="AO91" i="2"/>
  <c r="AO86" i="2" s="1"/>
  <c r="G17" i="19" s="1"/>
  <c r="P36" i="24"/>
  <c r="Z36" i="23"/>
  <c r="P37" i="25"/>
  <c r="S37" i="25" s="1"/>
  <c r="AE37" i="2"/>
  <c r="Z96" i="23"/>
  <c r="P96" i="24"/>
  <c r="P37" i="24"/>
  <c r="Z37" i="23"/>
  <c r="P38" i="25"/>
  <c r="S38" i="25" s="1"/>
  <c r="AE38" i="2"/>
  <c r="P117" i="24"/>
  <c r="P118" i="25"/>
  <c r="S118" i="25" s="1"/>
  <c r="AE118" i="2"/>
  <c r="Z165" i="23"/>
  <c r="P166" i="25"/>
  <c r="S166" i="25" s="1"/>
  <c r="P165" i="24"/>
  <c r="AE166" i="2"/>
  <c r="CR71" i="10"/>
  <c r="P112" i="25"/>
  <c r="R112" i="25" s="1"/>
  <c r="AE112" i="2"/>
  <c r="P106" i="25"/>
  <c r="R106" i="25" s="1"/>
  <c r="R102" i="25" s="1"/>
  <c r="J19" i="30" s="1"/>
  <c r="AE106" i="2"/>
  <c r="AB152" i="10"/>
  <c r="V152" i="10"/>
  <c r="CI71" i="10"/>
  <c r="CJ71" i="10" s="1"/>
  <c r="O118" i="38"/>
  <c r="Z117" i="23"/>
  <c r="O158" i="38"/>
  <c r="Z151" i="23"/>
  <c r="P152" i="25"/>
  <c r="R152" i="25" s="1"/>
  <c r="P151" i="24"/>
  <c r="Z105" i="23"/>
  <c r="P105" i="24"/>
  <c r="O77" i="38"/>
  <c r="Z76" i="23"/>
  <c r="Z111" i="23"/>
  <c r="P111" i="24"/>
  <c r="AS36" i="10"/>
  <c r="O37" i="38"/>
  <c r="AS111" i="10"/>
  <c r="O112" i="38"/>
  <c r="AS165" i="10"/>
  <c r="CN165" i="10" s="1"/>
  <c r="O172" i="38"/>
  <c r="AS37" i="10"/>
  <c r="CP37" i="10" s="1"/>
  <c r="O38" i="38"/>
  <c r="AS90" i="10"/>
  <c r="CL90" i="10" s="1"/>
  <c r="O91" i="38"/>
  <c r="AS105" i="10"/>
  <c r="O106" i="38"/>
  <c r="AS96" i="10"/>
  <c r="AT96" i="10" s="1"/>
  <c r="O97" i="38"/>
  <c r="O145" i="38"/>
  <c r="AS76" i="10"/>
  <c r="AN77" i="2"/>
  <c r="AG152" i="27"/>
  <c r="AH152" i="27"/>
  <c r="AE152" i="2"/>
  <c r="AS151" i="10"/>
  <c r="AT151" i="10" s="1"/>
  <c r="AN118" i="2"/>
  <c r="AS117" i="10"/>
  <c r="CN117" i="10" s="1"/>
  <c r="AE105" i="27"/>
  <c r="AM106" i="2"/>
  <c r="AE37" i="27"/>
  <c r="AN38" i="2"/>
  <c r="AE151" i="27"/>
  <c r="AM152" i="2"/>
  <c r="AE76" i="27"/>
  <c r="AG76" i="27" s="1"/>
  <c r="AM77" i="2"/>
  <c r="AE90" i="27"/>
  <c r="AG90" i="27" s="1"/>
  <c r="AN91" i="2"/>
  <c r="AE96" i="27"/>
  <c r="AG96" i="27" s="1"/>
  <c r="AN97" i="2"/>
  <c r="W110" i="11"/>
  <c r="AE111" i="27"/>
  <c r="AM112" i="2"/>
  <c r="AE36" i="27"/>
  <c r="AN37" i="2"/>
  <c r="AE165" i="27"/>
  <c r="AN166" i="2"/>
  <c r="AE117" i="27"/>
  <c r="W116" i="11"/>
  <c r="W36" i="11"/>
  <c r="W150" i="11"/>
  <c r="W89" i="11"/>
  <c r="W95" i="11"/>
  <c r="W75" i="11"/>
  <c r="W104" i="11"/>
  <c r="W164" i="11"/>
  <c r="W35" i="11"/>
  <c r="W156" i="11"/>
  <c r="K165" i="10"/>
  <c r="E165" i="10"/>
  <c r="AB171" i="10"/>
  <c r="V171" i="10"/>
  <c r="D171" i="10"/>
  <c r="C165" i="10"/>
  <c r="AC171" i="10"/>
  <c r="W171" i="10"/>
  <c r="C171" i="10"/>
  <c r="D160" i="41" l="1"/>
  <c r="K171" i="40"/>
  <c r="AG37" i="27"/>
  <c r="AH37" i="27"/>
  <c r="AB90" i="10"/>
  <c r="AH90" i="10"/>
  <c r="AG36" i="27"/>
  <c r="AH36" i="27"/>
  <c r="AB165" i="10"/>
  <c r="AH165" i="10"/>
  <c r="V165" i="10"/>
  <c r="V117" i="10"/>
  <c r="AB117" i="10"/>
  <c r="AG165" i="27"/>
  <c r="AH165" i="27"/>
  <c r="AG117" i="27"/>
  <c r="AH117" i="27"/>
  <c r="AG111" i="27"/>
  <c r="AH111" i="27"/>
  <c r="AT76" i="10"/>
  <c r="AB76" i="10" s="1"/>
  <c r="V76" i="10"/>
  <c r="AG105" i="27"/>
  <c r="AH105" i="27"/>
  <c r="AB96" i="10"/>
  <c r="V96" i="10"/>
  <c r="V151" i="10"/>
  <c r="AB151" i="10"/>
  <c r="AT90" i="10"/>
  <c r="CI152" i="10"/>
  <c r="V36" i="10"/>
  <c r="AB36" i="10"/>
  <c r="AG151" i="27"/>
  <c r="AH151" i="27"/>
  <c r="D165" i="10"/>
  <c r="C20" i="19"/>
  <c r="P165" i="10"/>
  <c r="J165" i="10"/>
  <c r="C21" i="19"/>
  <c r="L116" i="2"/>
  <c r="K114" i="28" s="1"/>
  <c r="L104" i="2"/>
  <c r="K102" i="28" s="1"/>
  <c r="AA96" i="2"/>
  <c r="L96" i="2"/>
  <c r="AA95" i="2"/>
  <c r="AJ93" i="28" s="1"/>
  <c r="AN93" i="28" s="1"/>
  <c r="L90" i="2"/>
  <c r="K88" i="28" s="1"/>
  <c r="O88" i="28" s="1"/>
  <c r="O114" i="28" l="1"/>
  <c r="O112" i="28" s="1"/>
  <c r="K112" i="28"/>
  <c r="K94" i="28"/>
  <c r="O94" i="28" s="1"/>
  <c r="K96" i="25"/>
  <c r="N96" i="2"/>
  <c r="P95" i="24"/>
  <c r="AJ94" i="28"/>
  <c r="AN94" i="28" s="1"/>
  <c r="P96" i="25"/>
  <c r="S96" i="25" s="1"/>
  <c r="S92" i="25" s="1"/>
  <c r="AE96" i="2"/>
  <c r="O102" i="28"/>
  <c r="Z94" i="23"/>
  <c r="P94" i="24"/>
  <c r="CI165" i="10"/>
  <c r="CI90" i="10"/>
  <c r="K116" i="25"/>
  <c r="K114" i="25" s="1"/>
  <c r="N116" i="2"/>
  <c r="N114" i="2" s="1"/>
  <c r="K95" i="23"/>
  <c r="K95" i="24"/>
  <c r="K89" i="23"/>
  <c r="K89" i="24"/>
  <c r="K90" i="25"/>
  <c r="N90" i="2"/>
  <c r="CR76" i="10"/>
  <c r="CR37" i="10"/>
  <c r="CR36" i="10"/>
  <c r="CI76" i="10"/>
  <c r="CJ76" i="10" s="1"/>
  <c r="K104" i="25"/>
  <c r="N104" i="2"/>
  <c r="CI96" i="10"/>
  <c r="K115" i="23"/>
  <c r="K113" i="23" s="1"/>
  <c r="K115" i="24"/>
  <c r="K113" i="24" s="1"/>
  <c r="O96" i="38"/>
  <c r="Z95" i="23"/>
  <c r="K103" i="23"/>
  <c r="K103" i="24"/>
  <c r="L153" i="10"/>
  <c r="L146" i="10" s="1"/>
  <c r="CI117" i="10"/>
  <c r="CI36" i="10"/>
  <c r="CJ36" i="10" s="1"/>
  <c r="CI37" i="10"/>
  <c r="CJ37" i="10" s="1"/>
  <c r="CI151" i="10"/>
  <c r="AU76" i="10"/>
  <c r="AI103" i="10"/>
  <c r="CK103" i="10" s="1"/>
  <c r="J104" i="38"/>
  <c r="AS94" i="10"/>
  <c r="AT94" i="10" s="1"/>
  <c r="O95" i="38"/>
  <c r="AI115" i="10"/>
  <c r="CK115" i="10" s="1"/>
  <c r="J116" i="38"/>
  <c r="AI89" i="10"/>
  <c r="CJ89" i="10" s="1"/>
  <c r="J90" i="38"/>
  <c r="AI95" i="10"/>
  <c r="J96" i="38"/>
  <c r="AS95" i="10"/>
  <c r="AN96" i="2"/>
  <c r="V94" i="11"/>
  <c r="E34" i="12" s="1"/>
  <c r="K95" i="27"/>
  <c r="AE94" i="27"/>
  <c r="AG94" i="27" s="1"/>
  <c r="AN95" i="2"/>
  <c r="AE95" i="27"/>
  <c r="AM96" i="2"/>
  <c r="V88" i="11"/>
  <c r="K89" i="27"/>
  <c r="V102" i="11"/>
  <c r="K103" i="27"/>
  <c r="V114" i="11"/>
  <c r="K115" i="27"/>
  <c r="W94" i="11"/>
  <c r="W93" i="11"/>
  <c r="AG95" i="27" l="1"/>
  <c r="AH95" i="27"/>
  <c r="M95" i="27"/>
  <c r="N95" i="27"/>
  <c r="V112" i="11"/>
  <c r="E15" i="12"/>
  <c r="F34" i="12"/>
  <c r="W89" i="10"/>
  <c r="Q89" i="10"/>
  <c r="Q115" i="10"/>
  <c r="W115" i="10"/>
  <c r="AC115" i="10"/>
  <c r="M115" i="27"/>
  <c r="M113" i="27" s="1"/>
  <c r="N115" i="27"/>
  <c r="N113" i="27" s="1"/>
  <c r="M89" i="27"/>
  <c r="N89" i="27"/>
  <c r="Q103" i="10"/>
  <c r="W103" i="10"/>
  <c r="AN92" i="2"/>
  <c r="F18" i="19" s="1"/>
  <c r="M103" i="27"/>
  <c r="N103" i="27"/>
  <c r="AJ95" i="10"/>
  <c r="CL95" i="10" s="1"/>
  <c r="AC95" i="10"/>
  <c r="AC91" i="10" s="1"/>
  <c r="AT95" i="10"/>
  <c r="AH95" i="10"/>
  <c r="AH91" i="10" s="1"/>
  <c r="AJ89" i="10"/>
  <c r="AV157" i="10"/>
  <c r="CI157" i="10"/>
  <c r="CJ157" i="10" s="1"/>
  <c r="R153" i="10"/>
  <c r="AI113" i="10"/>
  <c r="K16" i="6"/>
  <c r="L36" i="2"/>
  <c r="K34" i="28" s="1"/>
  <c r="Q74" i="3"/>
  <c r="Q73" i="3" s="1"/>
  <c r="Q69" i="3" s="1"/>
  <c r="P74" i="3"/>
  <c r="P73" i="3" s="1"/>
  <c r="P69" i="3" s="1"/>
  <c r="O74" i="3"/>
  <c r="O73" i="3" s="1"/>
  <c r="O69" i="3" s="1"/>
  <c r="N74" i="3"/>
  <c r="N73" i="3" s="1"/>
  <c r="N69" i="3" s="1"/>
  <c r="M74" i="3"/>
  <c r="M73" i="3" s="1"/>
  <c r="M69" i="3" s="1"/>
  <c r="L74" i="3"/>
  <c r="L73" i="3" s="1"/>
  <c r="L69" i="3" s="1"/>
  <c r="AA165" i="2"/>
  <c r="AJ163" i="28" s="1"/>
  <c r="AN163" i="28" s="1"/>
  <c r="AA151" i="2"/>
  <c r="AJ149" i="28" s="1"/>
  <c r="AN149" i="28" s="1"/>
  <c r="X60" i="3"/>
  <c r="Y61" i="3"/>
  <c r="Z61" i="3"/>
  <c r="Q45" i="3"/>
  <c r="P45" i="3"/>
  <c r="O45" i="3"/>
  <c r="N45" i="3"/>
  <c r="M45" i="3"/>
  <c r="L45" i="3"/>
  <c r="AA117" i="2"/>
  <c r="AJ115" i="28" s="1"/>
  <c r="AN115" i="28" s="1"/>
  <c r="Q43" i="3"/>
  <c r="P43" i="3"/>
  <c r="O43" i="3"/>
  <c r="N43" i="3"/>
  <c r="M43" i="3"/>
  <c r="L43" i="3"/>
  <c r="AA111" i="2"/>
  <c r="Q41" i="3"/>
  <c r="P41" i="3"/>
  <c r="O41" i="3"/>
  <c r="N41" i="3"/>
  <c r="M41" i="3"/>
  <c r="L41" i="3"/>
  <c r="AA105" i="2"/>
  <c r="AJ103" i="28" s="1"/>
  <c r="Q39" i="3"/>
  <c r="P39" i="3"/>
  <c r="O39" i="3"/>
  <c r="M39" i="3"/>
  <c r="Z19" i="3"/>
  <c r="Y19" i="3"/>
  <c r="Q95" i="10" l="1"/>
  <c r="W95" i="10"/>
  <c r="AN111" i="2"/>
  <c r="AJ109" i="28"/>
  <c r="AN109" i="28" s="1"/>
  <c r="AN103" i="28"/>
  <c r="O34" i="28"/>
  <c r="O31" i="28" s="1"/>
  <c r="K31" i="28"/>
  <c r="P105" i="25"/>
  <c r="S105" i="25" s="1"/>
  <c r="AE105" i="2"/>
  <c r="AN105" i="2"/>
  <c r="Z164" i="23"/>
  <c r="P165" i="25"/>
  <c r="S165" i="25" s="1"/>
  <c r="P164" i="24"/>
  <c r="AE165" i="2"/>
  <c r="P116" i="24"/>
  <c r="P117" i="25"/>
  <c r="S117" i="25" s="1"/>
  <c r="AE117" i="2"/>
  <c r="P111" i="25"/>
  <c r="S111" i="25" s="1"/>
  <c r="AE111" i="2"/>
  <c r="CI94" i="10"/>
  <c r="O117" i="38"/>
  <c r="Z116" i="23"/>
  <c r="Z110" i="23"/>
  <c r="P110" i="24"/>
  <c r="O157" i="38"/>
  <c r="Z150" i="23"/>
  <c r="P151" i="25"/>
  <c r="R151" i="25" s="1"/>
  <c r="P150" i="24"/>
  <c r="Z104" i="23"/>
  <c r="P104" i="24"/>
  <c r="AS125" i="10"/>
  <c r="CM125" i="10" s="1"/>
  <c r="AS139" i="10"/>
  <c r="O140" i="38"/>
  <c r="O144" i="38"/>
  <c r="AS164" i="10"/>
  <c r="CN164" i="10" s="1"/>
  <c r="O171" i="38"/>
  <c r="AS124" i="10"/>
  <c r="CM124" i="10" s="1"/>
  <c r="O143" i="38"/>
  <c r="AS110" i="10"/>
  <c r="CN110" i="10" s="1"/>
  <c r="O111" i="38"/>
  <c r="AS126" i="10"/>
  <c r="CM126" i="10" s="1"/>
  <c r="O141" i="38"/>
  <c r="AI35" i="10"/>
  <c r="CL35" i="10" s="1"/>
  <c r="J36" i="38"/>
  <c r="AS138" i="10"/>
  <c r="O139" i="38"/>
  <c r="AS104" i="10"/>
  <c r="CN104" i="10" s="1"/>
  <c r="O105" i="38"/>
  <c r="O142" i="38"/>
  <c r="AN117" i="2"/>
  <c r="AS116" i="10"/>
  <c r="CN116" i="10" s="1"/>
  <c r="AE151" i="2"/>
  <c r="AS150" i="10"/>
  <c r="AT150" i="10" s="1"/>
  <c r="W123" i="11"/>
  <c r="AE124" i="27"/>
  <c r="AG124" i="27" s="1"/>
  <c r="W125" i="11"/>
  <c r="AE126" i="27"/>
  <c r="AG126" i="27" s="1"/>
  <c r="W109" i="11"/>
  <c r="AE110" i="27"/>
  <c r="AM111" i="2"/>
  <c r="W137" i="11"/>
  <c r="AN139" i="2"/>
  <c r="AE138" i="27"/>
  <c r="AE164" i="27"/>
  <c r="AN165" i="2"/>
  <c r="W138" i="11"/>
  <c r="AN140" i="2"/>
  <c r="AE139" i="27"/>
  <c r="AE150" i="27"/>
  <c r="AM151" i="2"/>
  <c r="AE104" i="27"/>
  <c r="AM105" i="2"/>
  <c r="W124" i="11"/>
  <c r="AE125" i="27"/>
  <c r="AG125" i="27" s="1"/>
  <c r="K35" i="27"/>
  <c r="M35" i="27" s="1"/>
  <c r="M32" i="27" s="1"/>
  <c r="AE116" i="27"/>
  <c r="W115" i="11"/>
  <c r="W149" i="11"/>
  <c r="W103" i="11"/>
  <c r="W163" i="11"/>
  <c r="V34" i="11"/>
  <c r="M38" i="3"/>
  <c r="W155" i="11"/>
  <c r="E164" i="10"/>
  <c r="K164" i="10"/>
  <c r="X48" i="3"/>
  <c r="Q38" i="3"/>
  <c r="P38" i="3"/>
  <c r="O38" i="3"/>
  <c r="C164" i="10"/>
  <c r="CK95" i="10" l="1"/>
  <c r="W35" i="10"/>
  <c r="AC35" i="10"/>
  <c r="CT35" i="10"/>
  <c r="CU35" i="10" s="1"/>
  <c r="AB164" i="10"/>
  <c r="AH164" i="10"/>
  <c r="V164" i="10"/>
  <c r="V116" i="10"/>
  <c r="AB116" i="10"/>
  <c r="V110" i="10"/>
  <c r="AB110" i="10"/>
  <c r="AG164" i="27"/>
  <c r="AH164" i="27"/>
  <c r="AG116" i="27"/>
  <c r="AH116" i="27"/>
  <c r="AG139" i="27"/>
  <c r="AH139" i="27"/>
  <c r="AG104" i="27"/>
  <c r="AH104" i="27"/>
  <c r="AG138" i="27"/>
  <c r="AH138" i="27"/>
  <c r="V104" i="10"/>
  <c r="AB104" i="10"/>
  <c r="AB126" i="10"/>
  <c r="W126" i="10" s="1"/>
  <c r="AH126" i="10"/>
  <c r="AC126" i="10" s="1"/>
  <c r="AH125" i="10"/>
  <c r="AC125" i="10" s="1"/>
  <c r="AB125" i="10"/>
  <c r="W125" i="10" s="1"/>
  <c r="AB124" i="10"/>
  <c r="W124" i="10" s="1"/>
  <c r="AH124" i="10"/>
  <c r="AC124" i="10" s="1"/>
  <c r="AG110" i="27"/>
  <c r="AH110" i="27"/>
  <c r="AB150" i="10"/>
  <c r="V150" i="10"/>
  <c r="AB138" i="10"/>
  <c r="V138" i="10"/>
  <c r="AH138" i="10"/>
  <c r="AH139" i="10"/>
  <c r="V139" i="10"/>
  <c r="AB139" i="10"/>
  <c r="AH104" i="10"/>
  <c r="AI32" i="10"/>
  <c r="AH110" i="10"/>
  <c r="AG150" i="27"/>
  <c r="AH150" i="27"/>
  <c r="M37" i="3"/>
  <c r="Q37" i="3"/>
  <c r="V31" i="11"/>
  <c r="P37" i="3"/>
  <c r="CI156" i="10"/>
  <c r="CJ156" i="10" s="1"/>
  <c r="P164" i="10"/>
  <c r="J164" i="10"/>
  <c r="D164" i="10"/>
  <c r="O37" i="3"/>
  <c r="AA164" i="2"/>
  <c r="AA163" i="2"/>
  <c r="AJ161" i="28" s="1"/>
  <c r="AN161" i="28" s="1"/>
  <c r="AA162" i="2"/>
  <c r="AJ160" i="28" s="1"/>
  <c r="AN160" i="28" s="1"/>
  <c r="AA150" i="2"/>
  <c r="AJ148" i="28" s="1"/>
  <c r="AN148" i="28" s="1"/>
  <c r="AA149" i="2"/>
  <c r="AJ147" i="28" s="1"/>
  <c r="AA116" i="2"/>
  <c r="AJ114" i="28" s="1"/>
  <c r="AN114" i="28" s="1"/>
  <c r="AA115" i="2"/>
  <c r="AJ113" i="28" s="1"/>
  <c r="AA110" i="2"/>
  <c r="AA109" i="2"/>
  <c r="AJ107" i="28" s="1"/>
  <c r="AA104" i="2"/>
  <c r="AA103" i="2"/>
  <c r="AA93" i="2"/>
  <c r="AA90" i="2"/>
  <c r="AJ88" i="28" s="1"/>
  <c r="AN88" i="28" s="1"/>
  <c r="AA89" i="2"/>
  <c r="AJ87" i="28" s="1"/>
  <c r="AN87" i="28" s="1"/>
  <c r="AA88" i="2"/>
  <c r="AJ86" i="28" s="1"/>
  <c r="AN86" i="28" s="1"/>
  <c r="AA87" i="2"/>
  <c r="AJ85" i="28" s="1"/>
  <c r="AA82" i="2"/>
  <c r="AJ80" i="28" s="1"/>
  <c r="AN80" i="28" s="1"/>
  <c r="AA81" i="2"/>
  <c r="AA80" i="2"/>
  <c r="AJ78" i="28" s="1"/>
  <c r="AA76" i="2"/>
  <c r="AJ74" i="28" s="1"/>
  <c r="AN74" i="28" s="1"/>
  <c r="AA75" i="2"/>
  <c r="AJ73" i="28" s="1"/>
  <c r="AA71" i="2"/>
  <c r="AA70" i="2"/>
  <c r="AJ68" i="28" s="1"/>
  <c r="AN68" i="28" s="1"/>
  <c r="AA69" i="2"/>
  <c r="AJ67" i="28" s="1"/>
  <c r="AN67" i="28" s="1"/>
  <c r="AA68" i="2"/>
  <c r="AA66" i="2"/>
  <c r="AJ64" i="28" s="1"/>
  <c r="AN64" i="28" s="1"/>
  <c r="AA65" i="2"/>
  <c r="AA64" i="2"/>
  <c r="AA63" i="2"/>
  <c r="X56" i="2"/>
  <c r="U56" i="2"/>
  <c r="R56" i="2"/>
  <c r="O56" i="2"/>
  <c r="L69" i="2"/>
  <c r="K67" i="28" s="1"/>
  <c r="AJ162" i="28" l="1"/>
  <c r="F126" i="40"/>
  <c r="AE63" i="2"/>
  <c r="AJ61" i="28"/>
  <c r="Z67" i="23"/>
  <c r="AJ66" i="28"/>
  <c r="AJ72" i="28"/>
  <c r="AN73" i="28"/>
  <c r="AN72" i="28" s="1"/>
  <c r="AN107" i="28"/>
  <c r="AJ146" i="28"/>
  <c r="AJ145" i="28" s="1"/>
  <c r="AN147" i="28"/>
  <c r="AN146" i="28" s="1"/>
  <c r="AN145" i="28" s="1"/>
  <c r="AJ159" i="28"/>
  <c r="AJ158" i="28" s="1"/>
  <c r="AN162" i="28"/>
  <c r="AE64" i="2"/>
  <c r="AJ62" i="28"/>
  <c r="AN62" i="28" s="1"/>
  <c r="AJ84" i="28"/>
  <c r="AN85" i="28"/>
  <c r="AN84" i="28" s="1"/>
  <c r="AA92" i="2"/>
  <c r="AJ91" i="28"/>
  <c r="AN110" i="2"/>
  <c r="AN108" i="2" s="1"/>
  <c r="F20" i="19" s="1"/>
  <c r="AJ108" i="28"/>
  <c r="AN108" i="28" s="1"/>
  <c r="AE65" i="2"/>
  <c r="AJ63" i="28"/>
  <c r="AN63" i="28" s="1"/>
  <c r="AN78" i="28"/>
  <c r="AN103" i="2"/>
  <c r="AJ101" i="28"/>
  <c r="AJ112" i="28"/>
  <c r="AN113" i="28"/>
  <c r="AN112" i="28" s="1"/>
  <c r="AN159" i="28"/>
  <c r="AN158" i="28" s="1"/>
  <c r="O67" i="28"/>
  <c r="P70" i="24"/>
  <c r="AJ69" i="28"/>
  <c r="AN69" i="28" s="1"/>
  <c r="O81" i="38"/>
  <c r="AJ79" i="28"/>
  <c r="AN79" i="28" s="1"/>
  <c r="AN104" i="2"/>
  <c r="AJ102" i="28"/>
  <c r="AN102" i="28" s="1"/>
  <c r="AO82" i="2"/>
  <c r="O82" i="38"/>
  <c r="Z81" i="23"/>
  <c r="CI164" i="10"/>
  <c r="P87" i="25"/>
  <c r="S87" i="25" s="1"/>
  <c r="AE87" i="2"/>
  <c r="Z69" i="23"/>
  <c r="P69" i="24"/>
  <c r="P70" i="25"/>
  <c r="S70" i="25" s="1"/>
  <c r="AE70" i="2"/>
  <c r="AN102" i="2"/>
  <c r="F19" i="19" s="1"/>
  <c r="P115" i="25"/>
  <c r="AE115" i="2"/>
  <c r="AE162" i="2"/>
  <c r="AN162" i="2"/>
  <c r="P116" i="25"/>
  <c r="S116" i="25" s="1"/>
  <c r="AE116" i="2"/>
  <c r="Z162" i="23"/>
  <c r="P163" i="25"/>
  <c r="S163" i="25" s="1"/>
  <c r="P162" i="24"/>
  <c r="AE163" i="2"/>
  <c r="K68" i="23"/>
  <c r="K68" i="24"/>
  <c r="K69" i="25"/>
  <c r="N69" i="2"/>
  <c r="AE66" i="2"/>
  <c r="P66" i="25"/>
  <c r="S66" i="25" s="1"/>
  <c r="S62" i="25" s="1"/>
  <c r="P89" i="25"/>
  <c r="S89" i="25" s="1"/>
  <c r="AE89" i="2"/>
  <c r="P67" i="24"/>
  <c r="P68" i="25"/>
  <c r="AE68" i="2"/>
  <c r="P89" i="24"/>
  <c r="P90" i="25"/>
  <c r="S90" i="25" s="1"/>
  <c r="AE90" i="2"/>
  <c r="P164" i="25"/>
  <c r="S164" i="25" s="1"/>
  <c r="AE164" i="2"/>
  <c r="CI110" i="10"/>
  <c r="Z68" i="23"/>
  <c r="P69" i="25"/>
  <c r="S69" i="25" s="1"/>
  <c r="P68" i="24"/>
  <c r="AE69" i="2"/>
  <c r="D13" i="13"/>
  <c r="E13" i="13" s="1"/>
  <c r="CQ35" i="10"/>
  <c r="Z75" i="23"/>
  <c r="AO76" i="2"/>
  <c r="AO80" i="2"/>
  <c r="G15" i="19" s="1"/>
  <c r="AA79" i="2"/>
  <c r="P110" i="25"/>
  <c r="S110" i="25" s="1"/>
  <c r="S108" i="25" s="1"/>
  <c r="AE110" i="2"/>
  <c r="P109" i="25"/>
  <c r="AE109" i="2"/>
  <c r="P103" i="25"/>
  <c r="S103" i="25" s="1"/>
  <c r="AE103" i="2"/>
  <c r="P104" i="25"/>
  <c r="S104" i="25" s="1"/>
  <c r="AE104" i="2"/>
  <c r="P161" i="24"/>
  <c r="P162" i="25"/>
  <c r="Z74" i="23"/>
  <c r="AO75" i="2"/>
  <c r="Z65" i="23"/>
  <c r="P65" i="24"/>
  <c r="O115" i="38"/>
  <c r="Z114" i="23"/>
  <c r="P114" i="24"/>
  <c r="O116" i="38"/>
  <c r="Z115" i="23"/>
  <c r="P115" i="24"/>
  <c r="P163" i="24"/>
  <c r="Z163" i="23"/>
  <c r="R109" i="25"/>
  <c r="R108" i="25" s="1"/>
  <c r="J20" i="30" s="1"/>
  <c r="Z86" i="23"/>
  <c r="P86" i="24"/>
  <c r="Z88" i="23"/>
  <c r="P88" i="24"/>
  <c r="O93" i="38"/>
  <c r="Z92" i="23"/>
  <c r="Z91" i="23" s="1"/>
  <c r="P93" i="25"/>
  <c r="P92" i="25" s="1"/>
  <c r="P92" i="24"/>
  <c r="P91" i="24" s="1"/>
  <c r="Z109" i="23"/>
  <c r="P109" i="24"/>
  <c r="O168" i="38"/>
  <c r="Z161" i="23"/>
  <c r="O71" i="38"/>
  <c r="Z70" i="23"/>
  <c r="O88" i="38"/>
  <c r="Z87" i="23"/>
  <c r="P88" i="25"/>
  <c r="P87" i="24"/>
  <c r="Z102" i="23"/>
  <c r="P102" i="24"/>
  <c r="Z103" i="23"/>
  <c r="P103" i="24"/>
  <c r="O155" i="38"/>
  <c r="Z148" i="23"/>
  <c r="P149" i="25"/>
  <c r="R149" i="25" s="1"/>
  <c r="P148" i="24"/>
  <c r="O63" i="38"/>
  <c r="Z62" i="23"/>
  <c r="P63" i="25"/>
  <c r="R63" i="25" s="1"/>
  <c r="P62" i="24"/>
  <c r="Z80" i="23"/>
  <c r="P81" i="25"/>
  <c r="P79" i="25" s="1"/>
  <c r="P80" i="24"/>
  <c r="P78" i="24" s="1"/>
  <c r="O64" i="38"/>
  <c r="Z63" i="23"/>
  <c r="P64" i="25"/>
  <c r="R64" i="25" s="1"/>
  <c r="P63" i="24"/>
  <c r="O90" i="38"/>
  <c r="Z89" i="23"/>
  <c r="Z108" i="23"/>
  <c r="P108" i="24"/>
  <c r="O156" i="38"/>
  <c r="Z149" i="23"/>
  <c r="P150" i="25"/>
  <c r="R150" i="25" s="1"/>
  <c r="P149" i="24"/>
  <c r="O65" i="38"/>
  <c r="Z64" i="23"/>
  <c r="P65" i="25"/>
  <c r="R65" i="25" s="1"/>
  <c r="P64" i="24"/>
  <c r="CI116" i="10"/>
  <c r="CI150" i="10"/>
  <c r="CI104" i="10"/>
  <c r="W55" i="27"/>
  <c r="M56" i="38"/>
  <c r="AS69" i="10"/>
  <c r="CO69" i="10" s="1"/>
  <c r="O70" i="38"/>
  <c r="AS86" i="10"/>
  <c r="O87" i="38"/>
  <c r="AS109" i="10"/>
  <c r="O110" i="38"/>
  <c r="AS137" i="10"/>
  <c r="O138" i="38"/>
  <c r="AI68" i="10"/>
  <c r="CL68" i="10" s="1"/>
  <c r="Q68" i="10" s="1"/>
  <c r="J69" i="38"/>
  <c r="AS79" i="10"/>
  <c r="CM79" i="10" s="1"/>
  <c r="AH79" i="10" s="1"/>
  <c r="O80" i="38"/>
  <c r="AS88" i="10"/>
  <c r="O89" i="38"/>
  <c r="AS135" i="10"/>
  <c r="V140" i="10" s="1"/>
  <c r="O136" i="38"/>
  <c r="AS75" i="10"/>
  <c r="CN75" i="10" s="1"/>
  <c r="O76" i="38"/>
  <c r="AS122" i="10"/>
  <c r="CM122" i="10" s="1"/>
  <c r="AS162" i="10"/>
  <c r="CN162" i="10" s="1"/>
  <c r="O169" i="38"/>
  <c r="AA55" i="27"/>
  <c r="N56" i="38"/>
  <c r="AS65" i="10"/>
  <c r="AT65" i="10" s="1"/>
  <c r="O66" i="38"/>
  <c r="AS102" i="10"/>
  <c r="CN102" i="10" s="1"/>
  <c r="O103" i="38"/>
  <c r="AS123" i="10"/>
  <c r="CM123" i="10" s="1"/>
  <c r="AS163" i="10"/>
  <c r="CN163" i="10" s="1"/>
  <c r="O170" i="38"/>
  <c r="O55" i="27"/>
  <c r="K56" i="38"/>
  <c r="AS67" i="10"/>
  <c r="O68" i="38"/>
  <c r="AS103" i="10"/>
  <c r="CN103" i="10" s="1"/>
  <c r="O104" i="38"/>
  <c r="S55" i="27"/>
  <c r="L56" i="38"/>
  <c r="AS68" i="10"/>
  <c r="CO68" i="10" s="1"/>
  <c r="V68" i="10" s="1"/>
  <c r="O69" i="38"/>
  <c r="AS74" i="10"/>
  <c r="CN74" i="10" s="1"/>
  <c r="O75" i="38"/>
  <c r="AS81" i="10"/>
  <c r="CM81" i="10" s="1"/>
  <c r="AS108" i="10"/>
  <c r="O109" i="38"/>
  <c r="AS121" i="10"/>
  <c r="O122" i="38"/>
  <c r="AS136" i="10"/>
  <c r="O137" i="38"/>
  <c r="AS89" i="10"/>
  <c r="CL89" i="10" s="1"/>
  <c r="AN90" i="2"/>
  <c r="AS161" i="10"/>
  <c r="AA161" i="2"/>
  <c r="O167" i="38" s="1"/>
  <c r="AS80" i="10"/>
  <c r="V80" i="10" s="1"/>
  <c r="AE81" i="2"/>
  <c r="AV156" i="10"/>
  <c r="AE150" i="2"/>
  <c r="AS149" i="10"/>
  <c r="AT149" i="10" s="1"/>
  <c r="AS63" i="10"/>
  <c r="AT63" i="10" s="1"/>
  <c r="AN116" i="2"/>
  <c r="AS115" i="10"/>
  <c r="CN115" i="10" s="1"/>
  <c r="AS64" i="10"/>
  <c r="AT64" i="10" s="1"/>
  <c r="AE93" i="2"/>
  <c r="AE92" i="2" s="1"/>
  <c r="Z18" i="30" s="1"/>
  <c r="AS92" i="10"/>
  <c r="AS91" i="10" s="1"/>
  <c r="AS62" i="10"/>
  <c r="AT62" i="10" s="1"/>
  <c r="AS70" i="10"/>
  <c r="AN71" i="2"/>
  <c r="AE88" i="2"/>
  <c r="AS87" i="10"/>
  <c r="CL87" i="10" s="1"/>
  <c r="AN115" i="2"/>
  <c r="AS114" i="10"/>
  <c r="AE149" i="2"/>
  <c r="AS148" i="10"/>
  <c r="AT148" i="10" s="1"/>
  <c r="W68" i="11"/>
  <c r="AN70" i="2"/>
  <c r="AE69" i="27"/>
  <c r="AE92" i="27"/>
  <c r="AM93" i="2"/>
  <c r="W135" i="11"/>
  <c r="AN137" i="2"/>
  <c r="AE136" i="27"/>
  <c r="V67" i="11"/>
  <c r="K68" i="27"/>
  <c r="AE65" i="27"/>
  <c r="AN66" i="2"/>
  <c r="AN62" i="2" s="1"/>
  <c r="F12" i="19" s="1"/>
  <c r="W69" i="11"/>
  <c r="AE70" i="27"/>
  <c r="AG70" i="27" s="1"/>
  <c r="AM71" i="2"/>
  <c r="AE79" i="27"/>
  <c r="AN80" i="2"/>
  <c r="AE87" i="27"/>
  <c r="AM88" i="2"/>
  <c r="W108" i="11"/>
  <c r="AE109" i="27"/>
  <c r="AM110" i="2"/>
  <c r="W121" i="11"/>
  <c r="AE122" i="27"/>
  <c r="AG122" i="27" s="1"/>
  <c r="W136" i="11"/>
  <c r="AN138" i="2"/>
  <c r="AE137" i="27"/>
  <c r="AE162" i="27"/>
  <c r="AN163" i="2"/>
  <c r="AE64" i="27"/>
  <c r="AM65" i="2"/>
  <c r="AE86" i="27"/>
  <c r="AN87" i="2"/>
  <c r="AE121" i="27"/>
  <c r="AG121" i="27" s="1"/>
  <c r="W79" i="11"/>
  <c r="AE80" i="27"/>
  <c r="AM81" i="2"/>
  <c r="E16" i="19" s="1"/>
  <c r="AE88" i="27"/>
  <c r="AM89" i="2"/>
  <c r="AE102" i="27"/>
  <c r="AM103" i="2"/>
  <c r="W122" i="11"/>
  <c r="AE123" i="27"/>
  <c r="AG123" i="27" s="1"/>
  <c r="AE148" i="27"/>
  <c r="AM149" i="2"/>
  <c r="AE163" i="27"/>
  <c r="AN164" i="2"/>
  <c r="AE75" i="27"/>
  <c r="AG75" i="27" s="1"/>
  <c r="AN76" i="2"/>
  <c r="AE108" i="27"/>
  <c r="AM109" i="2"/>
  <c r="AE161" i="27"/>
  <c r="AM162" i="2"/>
  <c r="AM63" i="2"/>
  <c r="AE62" i="27"/>
  <c r="W66" i="11"/>
  <c r="F30" i="12" s="1"/>
  <c r="AE67" i="27"/>
  <c r="AN68" i="2"/>
  <c r="AE63" i="27"/>
  <c r="AM64" i="2"/>
  <c r="AE68" i="27"/>
  <c r="AN69" i="2"/>
  <c r="AE74" i="27"/>
  <c r="AG74" i="27" s="1"/>
  <c r="AN75" i="2"/>
  <c r="AE81" i="27"/>
  <c r="AG81" i="27" s="1"/>
  <c r="AN82" i="2"/>
  <c r="AE89" i="27"/>
  <c r="AM90" i="2"/>
  <c r="AE103" i="27"/>
  <c r="AM104" i="2"/>
  <c r="W134" i="11"/>
  <c r="AN136" i="2"/>
  <c r="AE135" i="27"/>
  <c r="AE149" i="27"/>
  <c r="AM150" i="2"/>
  <c r="AE114" i="27"/>
  <c r="AE115" i="27"/>
  <c r="W67" i="11"/>
  <c r="O121" i="38"/>
  <c r="W78" i="11"/>
  <c r="W80" i="11"/>
  <c r="W114" i="11"/>
  <c r="W107" i="11"/>
  <c r="F16" i="12" s="1"/>
  <c r="W101" i="11"/>
  <c r="F14" i="12" s="1"/>
  <c r="W162" i="11"/>
  <c r="W64" i="11"/>
  <c r="W102" i="11"/>
  <c r="W61" i="11"/>
  <c r="W85" i="11"/>
  <c r="W91" i="11"/>
  <c r="F11" i="12" s="1"/>
  <c r="W147" i="11"/>
  <c r="W160" i="11"/>
  <c r="W63" i="11"/>
  <c r="W74" i="11"/>
  <c r="W87" i="11"/>
  <c r="W153" i="11"/>
  <c r="F18" i="12" s="1"/>
  <c r="AL154" i="2"/>
  <c r="D26" i="19" s="1"/>
  <c r="W88" i="11"/>
  <c r="W62" i="11"/>
  <c r="W73" i="11"/>
  <c r="F9" i="12" s="1"/>
  <c r="W86" i="11"/>
  <c r="W148" i="11"/>
  <c r="W161" i="11"/>
  <c r="D14" i="13"/>
  <c r="W113" i="11"/>
  <c r="F15" i="12" s="1"/>
  <c r="W154" i="11"/>
  <c r="F17" i="12" s="1"/>
  <c r="W120" i="11"/>
  <c r="W50" i="11"/>
  <c r="AA56" i="2"/>
  <c r="O56" i="38" s="1"/>
  <c r="AB69" i="10" l="1"/>
  <c r="F144" i="40"/>
  <c r="F149" i="40" s="1"/>
  <c r="M126" i="40"/>
  <c r="F173" i="40"/>
  <c r="Z73" i="23"/>
  <c r="F25" i="12"/>
  <c r="F19" i="12"/>
  <c r="AN77" i="28"/>
  <c r="AN106" i="28"/>
  <c r="AJ65" i="28"/>
  <c r="AN66" i="28"/>
  <c r="AN65" i="28" s="1"/>
  <c r="AJ77" i="28"/>
  <c r="AJ106" i="28"/>
  <c r="AJ99" i="28" s="1"/>
  <c r="AJ98" i="28" s="1"/>
  <c r="AN101" i="28"/>
  <c r="AN100" i="28" s="1"/>
  <c r="AJ100" i="28"/>
  <c r="AJ90" i="28"/>
  <c r="AJ71" i="28" s="1"/>
  <c r="AN91" i="28"/>
  <c r="AN90" i="28" s="1"/>
  <c r="AJ60" i="28"/>
  <c r="AN61" i="28"/>
  <c r="AN60" i="28" s="1"/>
  <c r="F33" i="12"/>
  <c r="Z78" i="23"/>
  <c r="Z160" i="23"/>
  <c r="Z159" i="23" s="1"/>
  <c r="F31" i="12"/>
  <c r="F13" i="12"/>
  <c r="Z101" i="23"/>
  <c r="Z107" i="23"/>
  <c r="Z66" i="23"/>
  <c r="Z147" i="23"/>
  <c r="Z146" i="23" s="1"/>
  <c r="Z85" i="23"/>
  <c r="Z72" i="23" s="1"/>
  <c r="Z113" i="23"/>
  <c r="Z61" i="23"/>
  <c r="AS120" i="10"/>
  <c r="AG137" i="27"/>
  <c r="AH137" i="27"/>
  <c r="P66" i="24"/>
  <c r="P86" i="25"/>
  <c r="P73" i="25" s="1"/>
  <c r="V89" i="10"/>
  <c r="AB89" i="10"/>
  <c r="AT88" i="10"/>
  <c r="AB88" i="10" s="1"/>
  <c r="CL88" i="10"/>
  <c r="AE86" i="2"/>
  <c r="Z17" i="30" s="1"/>
  <c r="AB162" i="10"/>
  <c r="AH162" i="10"/>
  <c r="V162" i="10"/>
  <c r="P67" i="25"/>
  <c r="S68" i="25"/>
  <c r="S67" i="25" s="1"/>
  <c r="M13" i="30" s="1"/>
  <c r="P13" i="30" s="1"/>
  <c r="S13" i="30" s="1"/>
  <c r="V13" i="30" s="1"/>
  <c r="S86" i="25"/>
  <c r="P114" i="25"/>
  <c r="S115" i="25"/>
  <c r="S114" i="25" s="1"/>
  <c r="M21" i="30" s="1"/>
  <c r="P21" i="30" s="1"/>
  <c r="S21" i="30" s="1"/>
  <c r="V21" i="30" s="1"/>
  <c r="AB115" i="10"/>
  <c r="V115" i="10"/>
  <c r="AH115" i="10"/>
  <c r="AH113" i="10" s="1"/>
  <c r="AH161" i="10"/>
  <c r="CN161" i="10"/>
  <c r="AB163" i="10"/>
  <c r="V163" i="10"/>
  <c r="AH163" i="10"/>
  <c r="AE161" i="2"/>
  <c r="Z27" i="30" s="1"/>
  <c r="AE67" i="2"/>
  <c r="Z13" i="30" s="1"/>
  <c r="AE114" i="2"/>
  <c r="Z21" i="30" s="1"/>
  <c r="AG65" i="27"/>
  <c r="AH65" i="27"/>
  <c r="AG135" i="27"/>
  <c r="AH135" i="27"/>
  <c r="AG136" i="27"/>
  <c r="AH136" i="27"/>
  <c r="AG115" i="27"/>
  <c r="AH115" i="27"/>
  <c r="AG114" i="27"/>
  <c r="AH114" i="27"/>
  <c r="AG163" i="27"/>
  <c r="AH163" i="27"/>
  <c r="AG162" i="27"/>
  <c r="AH162" i="27"/>
  <c r="AG67" i="27"/>
  <c r="AH67" i="27"/>
  <c r="AG69" i="27"/>
  <c r="AH69" i="27"/>
  <c r="M68" i="27"/>
  <c r="N68" i="27"/>
  <c r="AG68" i="27"/>
  <c r="AH68" i="27"/>
  <c r="AG89" i="27"/>
  <c r="AH89" i="27"/>
  <c r="AG88" i="27"/>
  <c r="AH88" i="27"/>
  <c r="AG86" i="27"/>
  <c r="AH86" i="27"/>
  <c r="AT67" i="10"/>
  <c r="CO67" i="10"/>
  <c r="V102" i="10"/>
  <c r="AB102" i="10"/>
  <c r="X70" i="10"/>
  <c r="X66" i="10" s="1"/>
  <c r="CO70" i="10"/>
  <c r="V103" i="10"/>
  <c r="AB103" i="10"/>
  <c r="AO74" i="2"/>
  <c r="G14" i="19" s="1"/>
  <c r="F15" i="19"/>
  <c r="AB74" i="10"/>
  <c r="AH74" i="10"/>
  <c r="AB75" i="10"/>
  <c r="AH75" i="10"/>
  <c r="S102" i="25"/>
  <c r="M19" i="30" s="1"/>
  <c r="P19" i="30" s="1"/>
  <c r="S19" i="30" s="1"/>
  <c r="V19" i="30" s="1"/>
  <c r="AH81" i="10"/>
  <c r="AC81" i="10" s="1"/>
  <c r="AB81" i="10"/>
  <c r="W81" i="10" s="1"/>
  <c r="AH123" i="10"/>
  <c r="AC123" i="10" s="1"/>
  <c r="AB123" i="10"/>
  <c r="W123" i="10" s="1"/>
  <c r="AB122" i="10"/>
  <c r="W122" i="10" s="1"/>
  <c r="AH122" i="10"/>
  <c r="AC122" i="10" s="1"/>
  <c r="AC79" i="10"/>
  <c r="AB79" i="10"/>
  <c r="W79" i="10" s="1"/>
  <c r="CM121" i="10"/>
  <c r="AS78" i="10"/>
  <c r="M20" i="30"/>
  <c r="P20" i="30" s="1"/>
  <c r="S20" i="30" s="1"/>
  <c r="V20" i="30" s="1"/>
  <c r="P108" i="25"/>
  <c r="AG79" i="27"/>
  <c r="AE78" i="27"/>
  <c r="W77" i="11"/>
  <c r="AN86" i="2"/>
  <c r="F17" i="19" s="1"/>
  <c r="AE108" i="2"/>
  <c r="Z20" i="30" s="1"/>
  <c r="AG73" i="27"/>
  <c r="AG109" i="27"/>
  <c r="AH109" i="27"/>
  <c r="AG108" i="27"/>
  <c r="AH108" i="27"/>
  <c r="V70" i="10"/>
  <c r="AH70" i="10"/>
  <c r="AD70" i="10" s="1"/>
  <c r="AT75" i="10"/>
  <c r="V75" i="10"/>
  <c r="Q80" i="10"/>
  <c r="Q78" i="10" s="1"/>
  <c r="AH65" i="10"/>
  <c r="AH61" i="10" s="1"/>
  <c r="V63" i="10"/>
  <c r="CI63" i="10" s="1"/>
  <c r="CJ63" i="10" s="1"/>
  <c r="CJ64" i="10"/>
  <c r="CJ62" i="10"/>
  <c r="CR62" i="10" s="1"/>
  <c r="AG103" i="27"/>
  <c r="AH103" i="27"/>
  <c r="AE102" i="2"/>
  <c r="Z19" i="30" s="1"/>
  <c r="AG102" i="27"/>
  <c r="AH102" i="27"/>
  <c r="AG161" i="27"/>
  <c r="AH161" i="27"/>
  <c r="AM92" i="2"/>
  <c r="E18" i="19" s="1"/>
  <c r="P160" i="24"/>
  <c r="P159" i="24" s="1"/>
  <c r="P161" i="25"/>
  <c r="P160" i="25" s="1"/>
  <c r="S162" i="25"/>
  <c r="S161" i="25" s="1"/>
  <c r="M27" i="30" s="1"/>
  <c r="P27" i="30" s="1"/>
  <c r="S27" i="30" s="1"/>
  <c r="V27" i="30" s="1"/>
  <c r="R93" i="25"/>
  <c r="R92" i="25" s="1"/>
  <c r="J18" i="30" s="1"/>
  <c r="M18" i="30" s="1"/>
  <c r="P18" i="30" s="1"/>
  <c r="S18" i="30" s="1"/>
  <c r="V18" i="30" s="1"/>
  <c r="AE148" i="2"/>
  <c r="Z25" i="30" s="1"/>
  <c r="P85" i="24"/>
  <c r="P72" i="24" s="1"/>
  <c r="P113" i="24"/>
  <c r="V149" i="10"/>
  <c r="AB149" i="10"/>
  <c r="AB148" i="10"/>
  <c r="V148" i="10"/>
  <c r="R81" i="25"/>
  <c r="J16" i="30" s="1"/>
  <c r="M16" i="30" s="1"/>
  <c r="P16" i="30" s="1"/>
  <c r="S16" i="30" s="1"/>
  <c r="V16" i="30" s="1"/>
  <c r="R88" i="25"/>
  <c r="R86" i="25" s="1"/>
  <c r="J17" i="30" s="1"/>
  <c r="AN135" i="2"/>
  <c r="F24" i="19" s="1"/>
  <c r="P107" i="24"/>
  <c r="AT68" i="10"/>
  <c r="AJ68" i="10"/>
  <c r="CQ71" i="10"/>
  <c r="J36" i="1"/>
  <c r="R36" i="1" s="1"/>
  <c r="T36" i="1" s="1"/>
  <c r="I23" i="19"/>
  <c r="P101" i="24"/>
  <c r="AM108" i="2"/>
  <c r="E20" i="19" s="1"/>
  <c r="I20" i="19" s="1"/>
  <c r="K20" i="19" s="1"/>
  <c r="CI141" i="10"/>
  <c r="CJ141" i="10" s="1"/>
  <c r="P61" i="24"/>
  <c r="P147" i="24"/>
  <c r="P146" i="24" s="1"/>
  <c r="P140" i="24" s="1"/>
  <c r="AH136" i="10"/>
  <c r="V136" i="10"/>
  <c r="AB136" i="10"/>
  <c r="AS73" i="10"/>
  <c r="AT74" i="10"/>
  <c r="AH135" i="10"/>
  <c r="AB135" i="10"/>
  <c r="V135" i="10"/>
  <c r="V137" i="10"/>
  <c r="AH137" i="10"/>
  <c r="AB137" i="10"/>
  <c r="AT86" i="10"/>
  <c r="P62" i="25"/>
  <c r="P148" i="25"/>
  <c r="P147" i="25" s="1"/>
  <c r="AH80" i="10"/>
  <c r="AT89" i="10"/>
  <c r="V87" i="10"/>
  <c r="AT87" i="10"/>
  <c r="AS107" i="10"/>
  <c r="AS101" i="10"/>
  <c r="AH102" i="10"/>
  <c r="AH101" i="10" s="1"/>
  <c r="AS134" i="10"/>
  <c r="AS160" i="10"/>
  <c r="AS159" i="10" s="1"/>
  <c r="AB68" i="10"/>
  <c r="W68" i="10"/>
  <c r="AT69" i="10"/>
  <c r="E27" i="19"/>
  <c r="AM161" i="2"/>
  <c r="AN161" i="2"/>
  <c r="F27" i="19"/>
  <c r="AT92" i="10"/>
  <c r="V74" i="10"/>
  <c r="AN74" i="2"/>
  <c r="F14" i="19" s="1"/>
  <c r="AG92" i="27"/>
  <c r="AG91" i="27" s="1"/>
  <c r="AH92" i="27"/>
  <c r="AH91" i="27" s="1"/>
  <c r="AG149" i="27"/>
  <c r="AH149" i="27"/>
  <c r="AG62" i="27"/>
  <c r="AH62" i="27"/>
  <c r="AG148" i="27"/>
  <c r="AH148" i="27"/>
  <c r="AG87" i="27"/>
  <c r="AH87" i="27"/>
  <c r="AE62" i="2"/>
  <c r="Z12" i="30" s="1"/>
  <c r="AG80" i="27"/>
  <c r="AH80" i="27"/>
  <c r="AH78" i="27" s="1"/>
  <c r="Z16" i="30"/>
  <c r="AE79" i="2"/>
  <c r="AG63" i="27"/>
  <c r="AH63" i="27"/>
  <c r="AG64" i="27"/>
  <c r="AH64" i="27"/>
  <c r="AN114" i="2"/>
  <c r="F21" i="19" s="1"/>
  <c r="I21" i="19" s="1"/>
  <c r="K21" i="19" s="1"/>
  <c r="AH85" i="10"/>
  <c r="AS66" i="10"/>
  <c r="AS113" i="10"/>
  <c r="AH147" i="10"/>
  <c r="AH146" i="10" s="1"/>
  <c r="AS147" i="10"/>
  <c r="AS146" i="10" s="1"/>
  <c r="AS61" i="10"/>
  <c r="AS85" i="10"/>
  <c r="W133" i="11"/>
  <c r="R62" i="25"/>
  <c r="J12" i="30" s="1"/>
  <c r="M12" i="30" s="1"/>
  <c r="P12" i="30" s="1"/>
  <c r="S12" i="30" s="1"/>
  <c r="V12" i="30" s="1"/>
  <c r="AE120" i="27"/>
  <c r="AE55" i="27"/>
  <c r="R148" i="25"/>
  <c r="AG120" i="27"/>
  <c r="W112" i="11"/>
  <c r="D79" i="10"/>
  <c r="J79" i="10"/>
  <c r="AT79" i="10"/>
  <c r="W146" i="11"/>
  <c r="W139" i="11" s="1"/>
  <c r="AM86" i="2"/>
  <c r="E17" i="19" s="1"/>
  <c r="W159" i="11"/>
  <c r="AM62" i="2"/>
  <c r="E12" i="19" s="1"/>
  <c r="AM102" i="2"/>
  <c r="E19" i="19" s="1"/>
  <c r="AM148" i="2"/>
  <c r="E25" i="19" s="1"/>
  <c r="AM74" i="2"/>
  <c r="E14" i="19" s="1"/>
  <c r="AN67" i="2"/>
  <c r="F13" i="19" s="1"/>
  <c r="AM67" i="2"/>
  <c r="E13" i="19" s="1"/>
  <c r="E14" i="13"/>
  <c r="D8" i="13"/>
  <c r="E8" i="13" s="1"/>
  <c r="W119" i="11"/>
  <c r="W152" i="11"/>
  <c r="W106" i="11"/>
  <c r="J163" i="10"/>
  <c r="P163" i="10"/>
  <c r="K162" i="10"/>
  <c r="E162" i="10"/>
  <c r="J162" i="10"/>
  <c r="P162" i="10"/>
  <c r="E163" i="10"/>
  <c r="K163" i="10"/>
  <c r="CI154" i="10"/>
  <c r="CJ154" i="10" s="1"/>
  <c r="D163" i="10"/>
  <c r="C163" i="10"/>
  <c r="AA49" i="2"/>
  <c r="AJ47" i="28" s="1"/>
  <c r="AN47" i="28" s="1"/>
  <c r="AA48" i="2"/>
  <c r="AJ46" i="28" s="1"/>
  <c r="AN46" i="28" s="1"/>
  <c r="D167" i="41" l="1"/>
  <c r="K173" i="40"/>
  <c r="AH147" i="27"/>
  <c r="AH146" i="27" s="1"/>
  <c r="AH140" i="27" s="1"/>
  <c r="AN71" i="28"/>
  <c r="AN99" i="28"/>
  <c r="AN98" i="28" s="1"/>
  <c r="CS79" i="10"/>
  <c r="CI89" i="10"/>
  <c r="Z100" i="23"/>
  <c r="Z99" i="23" s="1"/>
  <c r="W70" i="10"/>
  <c r="AG134" i="27"/>
  <c r="AG119" i="27" s="1"/>
  <c r="AH160" i="10"/>
  <c r="AH159" i="10" s="1"/>
  <c r="V88" i="10"/>
  <c r="CI88" i="10" s="1"/>
  <c r="M17" i="30"/>
  <c r="P17" i="30" s="1"/>
  <c r="S17" i="30" s="1"/>
  <c r="V17" i="30" s="1"/>
  <c r="AH85" i="27"/>
  <c r="AH72" i="27" s="1"/>
  <c r="CI163" i="10"/>
  <c r="Q87" i="10"/>
  <c r="CI87" i="10"/>
  <c r="AG66" i="27"/>
  <c r="AG113" i="27"/>
  <c r="AG85" i="27"/>
  <c r="V161" i="10"/>
  <c r="AB161" i="10"/>
  <c r="CI162" i="10"/>
  <c r="AG160" i="27"/>
  <c r="AG159" i="27" s="1"/>
  <c r="AH113" i="27"/>
  <c r="L21" i="19" s="1"/>
  <c r="AH160" i="27"/>
  <c r="AH159" i="27" s="1"/>
  <c r="AH134" i="27"/>
  <c r="AH66" i="27"/>
  <c r="AB67" i="10"/>
  <c r="V67" i="10"/>
  <c r="AH67" i="10"/>
  <c r="AH66" i="10" s="1"/>
  <c r="AH107" i="27"/>
  <c r="L20" i="19" s="1"/>
  <c r="AH73" i="10"/>
  <c r="AG78" i="27"/>
  <c r="CR74" i="10"/>
  <c r="CR69" i="10"/>
  <c r="AG107" i="27"/>
  <c r="CR75" i="10"/>
  <c r="CQ68" i="10"/>
  <c r="CR68" i="10"/>
  <c r="AC70" i="10"/>
  <c r="AD66" i="10"/>
  <c r="R70" i="10"/>
  <c r="CR70" i="10"/>
  <c r="CI137" i="10"/>
  <c r="CJ137" i="10" s="1"/>
  <c r="CI135" i="10"/>
  <c r="CJ135" i="10" s="1"/>
  <c r="AB121" i="10"/>
  <c r="AB120" i="10" s="1"/>
  <c r="AH121" i="10"/>
  <c r="AH120" i="10" s="1"/>
  <c r="CI136" i="10"/>
  <c r="CJ136" i="10" s="1"/>
  <c r="AH78" i="10"/>
  <c r="AG101" i="27"/>
  <c r="CI65" i="10"/>
  <c r="CJ65" i="10" s="1"/>
  <c r="I56" i="19"/>
  <c r="K23" i="19"/>
  <c r="AH101" i="27"/>
  <c r="AE141" i="2"/>
  <c r="CI103" i="10"/>
  <c r="V91" i="10"/>
  <c r="AB91" i="10"/>
  <c r="P100" i="24"/>
  <c r="CI70" i="10"/>
  <c r="CJ70" i="10" s="1"/>
  <c r="AH134" i="10"/>
  <c r="J25" i="30"/>
  <c r="M25" i="30" s="1"/>
  <c r="P25" i="30" s="1"/>
  <c r="S25" i="30" s="1"/>
  <c r="V25" i="30" s="1"/>
  <c r="AS119" i="10"/>
  <c r="AG147" i="27"/>
  <c r="AG146" i="27" s="1"/>
  <c r="AG140" i="27" s="1"/>
  <c r="CI68" i="10"/>
  <c r="CJ68" i="10" s="1"/>
  <c r="O49" i="38"/>
  <c r="Z48" i="23"/>
  <c r="P49" i="25"/>
  <c r="Q49" i="25" s="1"/>
  <c r="P48" i="24"/>
  <c r="O48" i="38"/>
  <c r="Z47" i="23"/>
  <c r="P48" i="25"/>
  <c r="Q48" i="25" s="1"/>
  <c r="P47" i="24"/>
  <c r="CI69" i="10"/>
  <c r="CJ69" i="10" s="1"/>
  <c r="AS100" i="10"/>
  <c r="CI148" i="10"/>
  <c r="CI102" i="10"/>
  <c r="CI149" i="10"/>
  <c r="AU63" i="10"/>
  <c r="AU64" i="10"/>
  <c r="AU74" i="10"/>
  <c r="AU75" i="10"/>
  <c r="AU62" i="10"/>
  <c r="AU65" i="10"/>
  <c r="AS72" i="10"/>
  <c r="AV155" i="10"/>
  <c r="AG61" i="27"/>
  <c r="AV154" i="10"/>
  <c r="AH61" i="27"/>
  <c r="AU153" i="10"/>
  <c r="AE48" i="2"/>
  <c r="AS47" i="10"/>
  <c r="AE49" i="2"/>
  <c r="AS48" i="10"/>
  <c r="AE48" i="27"/>
  <c r="AL49" i="2"/>
  <c r="AE47" i="27"/>
  <c r="AL48" i="2"/>
  <c r="W47" i="11"/>
  <c r="W46" i="11"/>
  <c r="AA47" i="2"/>
  <c r="AA44" i="2"/>
  <c r="AA42" i="2"/>
  <c r="AJ40" i="28" s="1"/>
  <c r="AN40" i="28" s="1"/>
  <c r="AA40" i="2"/>
  <c r="AJ38" i="28" s="1"/>
  <c r="AA36" i="2"/>
  <c r="AA35" i="2"/>
  <c r="AJ33" i="28" s="1"/>
  <c r="AN33" i="28" s="1"/>
  <c r="AA34" i="2"/>
  <c r="L31" i="3"/>
  <c r="L81" i="2" s="1"/>
  <c r="L30" i="3"/>
  <c r="L80" i="2" s="1"/>
  <c r="K78" i="28" s="1"/>
  <c r="L28" i="3"/>
  <c r="Z33" i="23" l="1"/>
  <c r="AJ32" i="28"/>
  <c r="Z43" i="23"/>
  <c r="AJ42" i="28"/>
  <c r="AN42" i="28" s="1"/>
  <c r="P43" i="24"/>
  <c r="O78" i="28"/>
  <c r="AO36" i="2"/>
  <c r="AO33" i="2" s="1"/>
  <c r="G5" i="19" s="1"/>
  <c r="AJ34" i="28"/>
  <c r="AN34" i="28" s="1"/>
  <c r="P46" i="26"/>
  <c r="P45" i="26" s="1"/>
  <c r="P7" i="26" s="1"/>
  <c r="P6" i="26" s="1"/>
  <c r="AJ45" i="28"/>
  <c r="J81" i="38"/>
  <c r="K79" i="28"/>
  <c r="O79" i="28" s="1"/>
  <c r="AN38" i="28"/>
  <c r="P42" i="25"/>
  <c r="S42" i="25" s="1"/>
  <c r="AE42" i="2"/>
  <c r="AH72" i="10"/>
  <c r="CI67" i="10"/>
  <c r="CJ67" i="10" s="1"/>
  <c r="CR67" i="10"/>
  <c r="AG72" i="27"/>
  <c r="AH100" i="27"/>
  <c r="P34" i="25"/>
  <c r="S34" i="25" s="1"/>
  <c r="AE34" i="2"/>
  <c r="O42" i="38"/>
  <c r="Z41" i="23"/>
  <c r="P41" i="24"/>
  <c r="P35" i="25"/>
  <c r="S35" i="25" s="1"/>
  <c r="AE35" i="2"/>
  <c r="AG100" i="27"/>
  <c r="AG99" i="27" s="1"/>
  <c r="Q70" i="10"/>
  <c r="CQ70" i="10" s="1"/>
  <c r="R66" i="10"/>
  <c r="W121" i="10"/>
  <c r="W120" i="10" s="1"/>
  <c r="AC121" i="10"/>
  <c r="AC120" i="10" s="1"/>
  <c r="AH119" i="10"/>
  <c r="L79" i="2"/>
  <c r="AT48" i="10"/>
  <c r="AT47" i="10"/>
  <c r="CJ47" i="10"/>
  <c r="L23" i="19"/>
  <c r="P43" i="25"/>
  <c r="S43" i="25" s="1"/>
  <c r="S39" i="25" s="1"/>
  <c r="AE43" i="2"/>
  <c r="CI92" i="10"/>
  <c r="Z34" i="23"/>
  <c r="Z32" i="23" s="1"/>
  <c r="P34" i="24"/>
  <c r="AS99" i="10"/>
  <c r="K80" i="23"/>
  <c r="K78" i="23" s="1"/>
  <c r="K81" i="25"/>
  <c r="K79" i="25" s="1"/>
  <c r="K80" i="24"/>
  <c r="K78" i="24" s="1"/>
  <c r="O40" i="38"/>
  <c r="Z39" i="23"/>
  <c r="P40" i="25"/>
  <c r="P39" i="24"/>
  <c r="O43" i="38"/>
  <c r="Z42" i="23"/>
  <c r="P42" i="24"/>
  <c r="O47" i="38"/>
  <c r="Z46" i="23"/>
  <c r="Z45" i="23" s="1"/>
  <c r="P46" i="24"/>
  <c r="P45" i="24" s="1"/>
  <c r="P47" i="25"/>
  <c r="P46" i="25" s="1"/>
  <c r="AS35" i="10"/>
  <c r="CO35" i="10" s="1"/>
  <c r="O36" i="38"/>
  <c r="AS43" i="10"/>
  <c r="O44" i="38"/>
  <c r="AN44" i="2"/>
  <c r="AI79" i="10"/>
  <c r="J80" i="38"/>
  <c r="AS33" i="10"/>
  <c r="O34" i="38"/>
  <c r="AS34" i="10"/>
  <c r="O35" i="38"/>
  <c r="AA39" i="2"/>
  <c r="O39" i="38" s="1"/>
  <c r="AI80" i="10"/>
  <c r="AS41" i="10"/>
  <c r="AN42" i="2"/>
  <c r="AS42" i="10"/>
  <c r="CQ42" i="10" s="1"/>
  <c r="AM43" i="2"/>
  <c r="Z7" i="30"/>
  <c r="AG48" i="27"/>
  <c r="AH48" i="27"/>
  <c r="AG47" i="27"/>
  <c r="AH47" i="27"/>
  <c r="AH45" i="10"/>
  <c r="AE40" i="2"/>
  <c r="AS39" i="10"/>
  <c r="V39" i="10" s="1"/>
  <c r="Q39" i="10" s="1"/>
  <c r="AE47" i="2"/>
  <c r="AE46" i="2" s="1"/>
  <c r="AS46" i="10"/>
  <c r="V46" i="10" s="1"/>
  <c r="CI46" i="10" s="1"/>
  <c r="AV153" i="10"/>
  <c r="AE35" i="27"/>
  <c r="AG35" i="27" s="1"/>
  <c r="AN36" i="2"/>
  <c r="G7" i="30"/>
  <c r="J7" i="30" s="1"/>
  <c r="M7" i="30" s="1"/>
  <c r="P7" i="30" s="1"/>
  <c r="S7" i="30" s="1"/>
  <c r="V7" i="30" s="1"/>
  <c r="Q46" i="25"/>
  <c r="V79" i="11"/>
  <c r="K80" i="27"/>
  <c r="AE39" i="27"/>
  <c r="AL40" i="2"/>
  <c r="AE46" i="27"/>
  <c r="AL47" i="2"/>
  <c r="D8" i="19" s="1"/>
  <c r="AE43" i="27"/>
  <c r="AG43" i="27" s="1"/>
  <c r="AO44" i="2"/>
  <c r="AE41" i="27"/>
  <c r="AO42" i="2"/>
  <c r="K79" i="27"/>
  <c r="AE33" i="27"/>
  <c r="AN34" i="2"/>
  <c r="AE34" i="27"/>
  <c r="AN35" i="2"/>
  <c r="AE42" i="27"/>
  <c r="AN43" i="2"/>
  <c r="D7" i="19"/>
  <c r="D6" i="13"/>
  <c r="E6" i="13" s="1"/>
  <c r="L75" i="2"/>
  <c r="K73" i="28" s="1"/>
  <c r="L27" i="3"/>
  <c r="V78" i="11"/>
  <c r="W42" i="11"/>
  <c r="F27" i="12" s="1"/>
  <c r="W38" i="11"/>
  <c r="W32" i="11"/>
  <c r="W40" i="11"/>
  <c r="W34" i="11"/>
  <c r="W33" i="11"/>
  <c r="AM33" i="2"/>
  <c r="E5" i="19" s="1"/>
  <c r="W41" i="11"/>
  <c r="F20" i="12" s="1"/>
  <c r="W45" i="11"/>
  <c r="J7" i="19"/>
  <c r="E2" i="13"/>
  <c r="X65" i="3"/>
  <c r="D162" i="10"/>
  <c r="C162" i="10"/>
  <c r="AT70" i="10"/>
  <c r="AJ70" i="10"/>
  <c r="AA135" i="2"/>
  <c r="X135" i="2"/>
  <c r="X120" i="2" s="1"/>
  <c r="U135" i="2"/>
  <c r="U120" i="2" s="1"/>
  <c r="R135" i="2"/>
  <c r="R120" i="2" s="1"/>
  <c r="O135" i="2"/>
  <c r="O120" i="2" s="1"/>
  <c r="D20" i="13"/>
  <c r="E20" i="13" s="1"/>
  <c r="AA108" i="2"/>
  <c r="X108" i="2"/>
  <c r="U108" i="2"/>
  <c r="R108" i="2"/>
  <c r="O108" i="2"/>
  <c r="L108" i="2"/>
  <c r="AQ106" i="28" s="1"/>
  <c r="AQ170" i="2"/>
  <c r="AQ161" i="2"/>
  <c r="AQ154" i="2"/>
  <c r="AQ148" i="2"/>
  <c r="AQ135" i="2"/>
  <c r="AQ114" i="2"/>
  <c r="AQ108" i="2"/>
  <c r="AQ102" i="2"/>
  <c r="AQ92" i="2"/>
  <c r="AQ94" i="2" s="1"/>
  <c r="AQ86" i="2"/>
  <c r="AQ74" i="2"/>
  <c r="AQ67" i="2"/>
  <c r="AQ58" i="2"/>
  <c r="AQ50" i="2"/>
  <c r="AQ46" i="2"/>
  <c r="AQ39" i="2"/>
  <c r="AQ9" i="2"/>
  <c r="AS9" i="2" s="1"/>
  <c r="AA33" i="2"/>
  <c r="X33" i="2"/>
  <c r="AA32" i="27" s="1"/>
  <c r="U33" i="2"/>
  <c r="W32" i="27" s="1"/>
  <c r="R33" i="2"/>
  <c r="S32" i="27" s="1"/>
  <c r="O33" i="2"/>
  <c r="O32" i="27" s="1"/>
  <c r="X69" i="6"/>
  <c r="L69" i="6"/>
  <c r="K69" i="6"/>
  <c r="W69" i="6"/>
  <c r="O69" i="6"/>
  <c r="N69" i="6"/>
  <c r="M69" i="6"/>
  <c r="X67" i="6"/>
  <c r="X66" i="6" s="1"/>
  <c r="W66" i="6"/>
  <c r="O66" i="6"/>
  <c r="N66" i="6"/>
  <c r="M66" i="6"/>
  <c r="X62" i="6"/>
  <c r="Y62" i="6"/>
  <c r="L62" i="6"/>
  <c r="K62" i="6"/>
  <c r="W62" i="6"/>
  <c r="O62" i="6"/>
  <c r="N62" i="6"/>
  <c r="M62" i="6"/>
  <c r="X60" i="6"/>
  <c r="P60" i="6"/>
  <c r="Y60" i="6" s="1"/>
  <c r="L60" i="6"/>
  <c r="K60" i="6"/>
  <c r="X58" i="6"/>
  <c r="Y58" i="6"/>
  <c r="W57" i="6"/>
  <c r="O57" i="6"/>
  <c r="N57" i="6"/>
  <c r="M57" i="6"/>
  <c r="X53" i="6"/>
  <c r="P53" i="6"/>
  <c r="Y53" i="6" s="1"/>
  <c r="L53" i="6"/>
  <c r="L49" i="6" s="1"/>
  <c r="K53" i="6"/>
  <c r="X50" i="6"/>
  <c r="P49" i="6"/>
  <c r="O49" i="6"/>
  <c r="N49" i="6"/>
  <c r="M49" i="6"/>
  <c r="W49" i="6"/>
  <c r="X47" i="6"/>
  <c r="P47" i="6"/>
  <c r="Y47" i="6" s="1"/>
  <c r="L47" i="6"/>
  <c r="K47" i="6"/>
  <c r="X45" i="6"/>
  <c r="P45" i="6"/>
  <c r="Y45" i="6" s="1"/>
  <c r="L45" i="6"/>
  <c r="K45" i="6"/>
  <c r="X43" i="6"/>
  <c r="P43" i="6"/>
  <c r="Y43" i="6" s="1"/>
  <c r="L43" i="6"/>
  <c r="K43" i="6"/>
  <c r="W42" i="6"/>
  <c r="O42" i="6"/>
  <c r="N42" i="6"/>
  <c r="M42" i="6"/>
  <c r="X39" i="6"/>
  <c r="P39" i="6"/>
  <c r="Y39" i="6" s="1"/>
  <c r="L39" i="6"/>
  <c r="K39" i="6"/>
  <c r="X37" i="6"/>
  <c r="P37" i="6"/>
  <c r="Y37" i="6" s="1"/>
  <c r="L37" i="6"/>
  <c r="K37" i="6"/>
  <c r="X35" i="6"/>
  <c r="Y35" i="6"/>
  <c r="O32" i="6"/>
  <c r="N32" i="6"/>
  <c r="M32" i="6"/>
  <c r="X33" i="6"/>
  <c r="P33" i="6"/>
  <c r="Y33" i="6" s="1"/>
  <c r="L33" i="6"/>
  <c r="K33" i="6"/>
  <c r="W32" i="6"/>
  <c r="X30" i="6"/>
  <c r="P30" i="6"/>
  <c r="Y30" i="6" s="1"/>
  <c r="K30" i="6"/>
  <c r="X28" i="6"/>
  <c r="Y28" i="6"/>
  <c r="X26" i="6"/>
  <c r="P26" i="6"/>
  <c r="Y26" i="6" s="1"/>
  <c r="L26" i="6"/>
  <c r="K26" i="6"/>
  <c r="X24" i="6"/>
  <c r="P24" i="6"/>
  <c r="Y24" i="6" s="1"/>
  <c r="O24" i="6"/>
  <c r="N24" i="6"/>
  <c r="M24" i="6"/>
  <c r="L24" i="6"/>
  <c r="K24" i="6"/>
  <c r="X22" i="6"/>
  <c r="P22" i="6"/>
  <c r="AA55" i="2" s="1"/>
  <c r="AJ53" i="28" s="1"/>
  <c r="L22" i="6"/>
  <c r="O55" i="2" s="1"/>
  <c r="K22" i="6"/>
  <c r="L55" i="2" s="1"/>
  <c r="X20" i="6"/>
  <c r="X18" i="6"/>
  <c r="P18" i="6"/>
  <c r="Y18" i="6" s="1"/>
  <c r="M18" i="6"/>
  <c r="L18" i="6"/>
  <c r="K18" i="6"/>
  <c r="X16" i="6"/>
  <c r="Y16" i="6"/>
  <c r="X7" i="6"/>
  <c r="W6" i="6"/>
  <c r="S33" i="25" l="1"/>
  <c r="M5" i="30" s="1"/>
  <c r="P5" i="30" s="1"/>
  <c r="S5" i="30" s="1"/>
  <c r="V5" i="30" s="1"/>
  <c r="O77" i="28"/>
  <c r="AN37" i="28"/>
  <c r="AJ44" i="28"/>
  <c r="AN45" i="28"/>
  <c r="AN44" i="28" s="1"/>
  <c r="AJ37" i="28"/>
  <c r="K77" i="28"/>
  <c r="AQ77" i="28" s="1"/>
  <c r="AJ31" i="28"/>
  <c r="AN32" i="28"/>
  <c r="AN31" i="28" s="1"/>
  <c r="AN53" i="28"/>
  <c r="AN48" i="28" s="1"/>
  <c r="AJ48" i="28"/>
  <c r="K72" i="28"/>
  <c r="O73" i="28"/>
  <c r="O72" i="28" s="1"/>
  <c r="K55" i="25"/>
  <c r="K50" i="25" s="1"/>
  <c r="K53" i="28"/>
  <c r="L55" i="25"/>
  <c r="L50" i="25" s="1"/>
  <c r="L8" i="25" s="1"/>
  <c r="L7" i="25" s="1"/>
  <c r="P53" i="28"/>
  <c r="L42" i="6"/>
  <c r="AB35" i="10"/>
  <c r="AH35" i="10"/>
  <c r="CI35" i="10" s="1"/>
  <c r="CJ35" i="10" s="1"/>
  <c r="F4" i="19"/>
  <c r="I4" i="19" s="1"/>
  <c r="K4" i="19" s="1"/>
  <c r="D5" i="13"/>
  <c r="E5" i="13" s="1"/>
  <c r="F23" i="12"/>
  <c r="F21" i="12"/>
  <c r="AG41" i="27"/>
  <c r="AH41" i="27"/>
  <c r="AE33" i="2"/>
  <c r="Z5" i="30" s="1"/>
  <c r="P55" i="25"/>
  <c r="S55" i="25" s="1"/>
  <c r="S50" i="25" s="1"/>
  <c r="AN55" i="2"/>
  <c r="AN50" i="2" s="1"/>
  <c r="F9" i="19" s="1"/>
  <c r="P33" i="25"/>
  <c r="AG33" i="27"/>
  <c r="AH33" i="27"/>
  <c r="AG34" i="27"/>
  <c r="AH34" i="27"/>
  <c r="V42" i="10"/>
  <c r="AB42" i="10"/>
  <c r="AI78" i="10"/>
  <c r="M79" i="27"/>
  <c r="K78" i="27"/>
  <c r="V77" i="11"/>
  <c r="K49" i="6"/>
  <c r="AB41" i="10"/>
  <c r="AH41" i="10"/>
  <c r="V41" i="10"/>
  <c r="AB43" i="10"/>
  <c r="AH43" i="10"/>
  <c r="V43" i="10"/>
  <c r="P39" i="25"/>
  <c r="AG42" i="27"/>
  <c r="AH42" i="27"/>
  <c r="Q40" i="25"/>
  <c r="Q39" i="25" s="1"/>
  <c r="G6" i="30" s="1"/>
  <c r="J6" i="30" s="1"/>
  <c r="M6" i="30" s="1"/>
  <c r="P6" i="30" s="1"/>
  <c r="S6" i="30" s="1"/>
  <c r="V6" i="30" s="1"/>
  <c r="O135" i="38"/>
  <c r="AA120" i="2"/>
  <c r="J108" i="38"/>
  <c r="P38" i="24"/>
  <c r="O108" i="38"/>
  <c r="J75" i="38"/>
  <c r="K74" i="23"/>
  <c r="K73" i="23" s="1"/>
  <c r="Z38" i="23"/>
  <c r="R47" i="25"/>
  <c r="R46" i="25" s="1"/>
  <c r="AH33" i="10"/>
  <c r="V33" i="10"/>
  <c r="AB33" i="10"/>
  <c r="AB34" i="10"/>
  <c r="AH34" i="10"/>
  <c r="V34" i="10"/>
  <c r="CI115" i="10"/>
  <c r="K55" i="38"/>
  <c r="N54" i="23"/>
  <c r="L54" i="24"/>
  <c r="L49" i="24" s="1"/>
  <c r="O55" i="38"/>
  <c r="Z54" i="23"/>
  <c r="Z49" i="23" s="1"/>
  <c r="P54" i="24"/>
  <c r="P49" i="24" s="1"/>
  <c r="J55" i="38"/>
  <c r="K54" i="23"/>
  <c r="K49" i="23" s="1"/>
  <c r="K54" i="24"/>
  <c r="K49" i="24" s="1"/>
  <c r="W134" i="27"/>
  <c r="M135" i="38"/>
  <c r="S107" i="27"/>
  <c r="L108" i="38"/>
  <c r="AA134" i="27"/>
  <c r="N135" i="38"/>
  <c r="AS32" i="10"/>
  <c r="AS45" i="10"/>
  <c r="CJ46" i="10"/>
  <c r="W107" i="27"/>
  <c r="M108" i="38"/>
  <c r="O134" i="27"/>
  <c r="K135" i="38"/>
  <c r="O107" i="27"/>
  <c r="K108" i="38"/>
  <c r="AA107" i="27"/>
  <c r="N108" i="38"/>
  <c r="S134" i="27"/>
  <c r="L135" i="38"/>
  <c r="AE39" i="2"/>
  <c r="Z6" i="30" s="1"/>
  <c r="AO39" i="2"/>
  <c r="G6" i="19" s="1"/>
  <c r="AN39" i="2"/>
  <c r="F6" i="19" s="1"/>
  <c r="W37" i="11"/>
  <c r="AL39" i="2"/>
  <c r="D6" i="19" s="1"/>
  <c r="AM39" i="2"/>
  <c r="E6" i="19" s="1"/>
  <c r="AS38" i="10"/>
  <c r="AK54" i="10"/>
  <c r="O54" i="27"/>
  <c r="Q54" i="27" s="1"/>
  <c r="Q49" i="27" s="1"/>
  <c r="Q7" i="27" s="1"/>
  <c r="AG39" i="27"/>
  <c r="AH39" i="27"/>
  <c r="AG46" i="27"/>
  <c r="AG45" i="27" s="1"/>
  <c r="AH46" i="27"/>
  <c r="Z8" i="30"/>
  <c r="AI54" i="10"/>
  <c r="N55" i="2"/>
  <c r="AL46" i="2"/>
  <c r="V73" i="11"/>
  <c r="E9" i="12" s="1"/>
  <c r="AI74" i="10"/>
  <c r="CL74" i="10" s="1"/>
  <c r="AE55" i="2"/>
  <c r="AE50" i="2" s="1"/>
  <c r="Z9" i="30" s="1"/>
  <c r="AS54" i="10"/>
  <c r="AT54" i="10" s="1"/>
  <c r="CP54" i="10" s="1"/>
  <c r="K107" i="27"/>
  <c r="D18" i="13"/>
  <c r="E18" i="13" s="1"/>
  <c r="AE107" i="27"/>
  <c r="AA50" i="2"/>
  <c r="O50" i="38" s="1"/>
  <c r="AE54" i="27"/>
  <c r="R55" i="25"/>
  <c r="R50" i="25" s="1"/>
  <c r="J9" i="30" s="1"/>
  <c r="AM55" i="2"/>
  <c r="AM50" i="2" s="1"/>
  <c r="E9" i="19" s="1"/>
  <c r="L50" i="2"/>
  <c r="J50" i="38" s="1"/>
  <c r="K54" i="27"/>
  <c r="N54" i="27" s="1"/>
  <c r="D3" i="13"/>
  <c r="E3" i="13" s="1"/>
  <c r="AE32" i="27"/>
  <c r="K74" i="27"/>
  <c r="M74" i="27" s="1"/>
  <c r="M73" i="27" s="1"/>
  <c r="O50" i="2"/>
  <c r="D21" i="13"/>
  <c r="E21" i="13" s="1"/>
  <c r="AE134" i="27"/>
  <c r="X42" i="6"/>
  <c r="N65" i="6"/>
  <c r="X57" i="6"/>
  <c r="C79" i="10"/>
  <c r="E79" i="10"/>
  <c r="AJ79" i="10"/>
  <c r="Y42" i="6"/>
  <c r="W31" i="11"/>
  <c r="AN33" i="2"/>
  <c r="F5" i="19" s="1"/>
  <c r="W5" i="6"/>
  <c r="V53" i="11"/>
  <c r="E5" i="12" s="1"/>
  <c r="Y22" i="6"/>
  <c r="Y70" i="6"/>
  <c r="Y69" i="6" s="1"/>
  <c r="P69" i="6"/>
  <c r="Y57" i="6"/>
  <c r="K57" i="6"/>
  <c r="N41" i="6"/>
  <c r="W65" i="6"/>
  <c r="L32" i="6"/>
  <c r="O65" i="6"/>
  <c r="O6" i="6"/>
  <c r="O5" i="6" s="1"/>
  <c r="Y50" i="6"/>
  <c r="Y49" i="6" s="1"/>
  <c r="K6" i="6"/>
  <c r="M6" i="6"/>
  <c r="M5" i="6" s="1"/>
  <c r="X6" i="6"/>
  <c r="X49" i="6"/>
  <c r="M65" i="6"/>
  <c r="L57" i="6"/>
  <c r="W41" i="6"/>
  <c r="N6" i="6"/>
  <c r="N5" i="6" s="1"/>
  <c r="K42" i="6"/>
  <c r="L6" i="6"/>
  <c r="M41" i="6"/>
  <c r="O41" i="6"/>
  <c r="P42" i="6"/>
  <c r="P32" i="6"/>
  <c r="K32" i="6"/>
  <c r="L33" i="2"/>
  <c r="AQ31" i="28" s="1"/>
  <c r="X32" i="6"/>
  <c r="P57" i="6"/>
  <c r="P62" i="6"/>
  <c r="X65" i="6"/>
  <c r="Y32" i="6"/>
  <c r="AJ6" i="28" l="1"/>
  <c r="AJ5" i="28" s="1"/>
  <c r="AJ181" i="28" s="1"/>
  <c r="AK183" i="28" s="1"/>
  <c r="O53" i="28"/>
  <c r="K48" i="28"/>
  <c r="AQ48" i="28" s="1"/>
  <c r="AN6" i="28"/>
  <c r="AN5" i="28" s="1"/>
  <c r="AN181" i="28" s="1"/>
  <c r="T53" i="28"/>
  <c r="T48" i="28" s="1"/>
  <c r="T6" i="28" s="1"/>
  <c r="P48" i="28"/>
  <c r="P6" i="28" s="1"/>
  <c r="P5" i="28" s="1"/>
  <c r="N49" i="23"/>
  <c r="N7" i="23" s="1"/>
  <c r="N6" i="23" s="1"/>
  <c r="N182" i="23" s="1"/>
  <c r="P50" i="25"/>
  <c r="P8" i="25" s="1"/>
  <c r="P7" i="25" s="1"/>
  <c r="AH38" i="10"/>
  <c r="AG32" i="27"/>
  <c r="AH54" i="10"/>
  <c r="AB54" i="10"/>
  <c r="V54" i="10"/>
  <c r="AH32" i="27"/>
  <c r="CR35" i="10"/>
  <c r="CR34" i="10"/>
  <c r="W74" i="10"/>
  <c r="AC74" i="10"/>
  <c r="CR33" i="10"/>
  <c r="CI41" i="10"/>
  <c r="CJ41" i="10" s="1"/>
  <c r="AG38" i="27"/>
  <c r="AH38" i="27"/>
  <c r="AJ74" i="10"/>
  <c r="CI43" i="10"/>
  <c r="CJ43" i="10" s="1"/>
  <c r="M9" i="30"/>
  <c r="P9" i="30" s="1"/>
  <c r="S9" i="30" s="1"/>
  <c r="V9" i="30" s="1"/>
  <c r="J8" i="30"/>
  <c r="M8" i="30" s="1"/>
  <c r="P8" i="30" s="1"/>
  <c r="S8" i="30" s="1"/>
  <c r="V8" i="30" s="1"/>
  <c r="AI49" i="10"/>
  <c r="AJ54" i="10"/>
  <c r="CL54" i="10" s="1"/>
  <c r="V72" i="11"/>
  <c r="Z7" i="23"/>
  <c r="Z6" i="23" s="1"/>
  <c r="Z182" i="23" s="1"/>
  <c r="AL54" i="10"/>
  <c r="CM54" i="10" s="1"/>
  <c r="AH32" i="10"/>
  <c r="AI73" i="10"/>
  <c r="O49" i="27"/>
  <c r="K50" i="38"/>
  <c r="L49" i="10"/>
  <c r="AH45" i="27"/>
  <c r="M54" i="27"/>
  <c r="AG54" i="27"/>
  <c r="AG49" i="27" s="1"/>
  <c r="AH54" i="27"/>
  <c r="AH49" i="27" s="1"/>
  <c r="AS49" i="10"/>
  <c r="AS7" i="10" s="1"/>
  <c r="AS6" i="10" s="1"/>
  <c r="AS186" i="10" s="1"/>
  <c r="K49" i="27"/>
  <c r="K32" i="27"/>
  <c r="AE49" i="27"/>
  <c r="X41" i="6"/>
  <c r="Y41" i="6"/>
  <c r="W53" i="11"/>
  <c r="F5" i="12" s="1"/>
  <c r="F36" i="12" s="1"/>
  <c r="D7" i="13"/>
  <c r="V48" i="11"/>
  <c r="W54" i="11"/>
  <c r="W73" i="6"/>
  <c r="N73" i="6"/>
  <c r="L5" i="6"/>
  <c r="K5" i="6"/>
  <c r="X5" i="6"/>
  <c r="O73" i="6"/>
  <c r="M73" i="6"/>
  <c r="K41" i="6"/>
  <c r="L41" i="6"/>
  <c r="P41" i="6"/>
  <c r="O35" i="1"/>
  <c r="O34" i="1"/>
  <c r="O32" i="1"/>
  <c r="O31" i="1"/>
  <c r="O20" i="1"/>
  <c r="J11" i="19"/>
  <c r="O15" i="1"/>
  <c r="Z13" i="9"/>
  <c r="P6" i="9"/>
  <c r="P5" i="9" s="1"/>
  <c r="P79" i="9" s="1"/>
  <c r="O6" i="9"/>
  <c r="O5" i="9" s="1"/>
  <c r="O79" i="9" s="1"/>
  <c r="Y76" i="9"/>
  <c r="Y75" i="9" s="1"/>
  <c r="M75" i="9"/>
  <c r="L75" i="9"/>
  <c r="X75" i="9"/>
  <c r="Y73" i="9"/>
  <c r="Y72" i="9" s="1"/>
  <c r="M72" i="9"/>
  <c r="L72" i="9"/>
  <c r="X72" i="9"/>
  <c r="AR141" i="2" s="1"/>
  <c r="Y69" i="9"/>
  <c r="Y68" i="9" s="1"/>
  <c r="Q69" i="9"/>
  <c r="M69" i="9"/>
  <c r="M68" i="9" s="1"/>
  <c r="L69" i="9"/>
  <c r="L68" i="9" s="1"/>
  <c r="X68" i="9"/>
  <c r="Y66" i="9"/>
  <c r="Q66" i="9"/>
  <c r="Z66" i="9" s="1"/>
  <c r="M66" i="9"/>
  <c r="L66" i="9"/>
  <c r="L63" i="9" s="1"/>
  <c r="Y64" i="9"/>
  <c r="Y63" i="9" s="1"/>
  <c r="X63" i="9"/>
  <c r="Y58" i="9"/>
  <c r="Q58" i="9"/>
  <c r="M58" i="9"/>
  <c r="L58" i="9"/>
  <c r="Y55" i="9"/>
  <c r="Y54" i="9" s="1"/>
  <c r="Q54" i="9"/>
  <c r="M54" i="9"/>
  <c r="L54" i="9"/>
  <c r="X54" i="9"/>
  <c r="Y52" i="9"/>
  <c r="Q52" i="9"/>
  <c r="Z52" i="9" s="1"/>
  <c r="M52" i="9"/>
  <c r="L52" i="9"/>
  <c r="Y50" i="9"/>
  <c r="Z50" i="9"/>
  <c r="Y48" i="9"/>
  <c r="Q48" i="9"/>
  <c r="M48" i="9"/>
  <c r="L48" i="9"/>
  <c r="X47" i="9"/>
  <c r="Y44" i="9"/>
  <c r="Q44" i="9"/>
  <c r="Z44" i="9" s="1"/>
  <c r="M44" i="9"/>
  <c r="L44" i="9"/>
  <c r="Y42" i="9"/>
  <c r="Q42" i="9"/>
  <c r="Z42" i="9" s="1"/>
  <c r="M42" i="9"/>
  <c r="L42" i="9"/>
  <c r="Y40" i="9"/>
  <c r="Q40" i="9"/>
  <c r="Z40" i="9" s="1"/>
  <c r="M40" i="9"/>
  <c r="L40" i="9"/>
  <c r="Y38" i="9"/>
  <c r="Q38" i="9"/>
  <c r="M38" i="9"/>
  <c r="L38" i="9"/>
  <c r="X37" i="9"/>
  <c r="Y35" i="9"/>
  <c r="Q35" i="9"/>
  <c r="Z35" i="9" s="1"/>
  <c r="M35" i="9"/>
  <c r="L35" i="9"/>
  <c r="Y33" i="9"/>
  <c r="Q33" i="9"/>
  <c r="Z33" i="9" s="1"/>
  <c r="M33" i="9"/>
  <c r="L33" i="9"/>
  <c r="Y29" i="9"/>
  <c r="Z29" i="9"/>
  <c r="Y27" i="9"/>
  <c r="Y25" i="9"/>
  <c r="Z25" i="9"/>
  <c r="Y23" i="9"/>
  <c r="Y16" i="9"/>
  <c r="Y13" i="9"/>
  <c r="Y7" i="9"/>
  <c r="X6" i="9"/>
  <c r="AG7" i="27" l="1"/>
  <c r="AG6" i="27" s="1"/>
  <c r="W54" i="10"/>
  <c r="AC54" i="10"/>
  <c r="Q54" i="10"/>
  <c r="X54" i="10"/>
  <c r="AD54" i="10"/>
  <c r="R54" i="10"/>
  <c r="CQ74" i="10"/>
  <c r="L47" i="9"/>
  <c r="AH49" i="10"/>
  <c r="AH7" i="10" s="1"/>
  <c r="AH6" i="10" s="1"/>
  <c r="J31" i="19"/>
  <c r="Z16" i="9"/>
  <c r="Z6" i="9"/>
  <c r="AH7" i="27"/>
  <c r="AH6" i="27" s="1"/>
  <c r="X73" i="6"/>
  <c r="X71" i="9"/>
  <c r="Y47" i="9"/>
  <c r="Y46" i="9" s="1"/>
  <c r="E7" i="13"/>
  <c r="Y37" i="9"/>
  <c r="M37" i="9"/>
  <c r="P15" i="1"/>
  <c r="P35" i="1"/>
  <c r="M75" i="6"/>
  <c r="P161" i="10"/>
  <c r="P160" i="10" s="1"/>
  <c r="J161" i="10"/>
  <c r="K161" i="10"/>
  <c r="E161" i="10"/>
  <c r="Y71" i="9"/>
  <c r="X46" i="9"/>
  <c r="L71" i="9"/>
  <c r="M47" i="9"/>
  <c r="M71" i="9"/>
  <c r="L46" i="9"/>
  <c r="Z58" i="9"/>
  <c r="P20" i="1"/>
  <c r="P30" i="1"/>
  <c r="P31" i="1"/>
  <c r="P32" i="1"/>
  <c r="P34" i="1"/>
  <c r="L6" i="9"/>
  <c r="Z38" i="9"/>
  <c r="Z37" i="9" s="1"/>
  <c r="Q37" i="9"/>
  <c r="L37" i="9"/>
  <c r="Z73" i="9"/>
  <c r="Z72" i="9" s="1"/>
  <c r="Q72" i="9"/>
  <c r="Z76" i="9"/>
  <c r="Z75" i="9" s="1"/>
  <c r="Q75" i="9"/>
  <c r="N6" i="9"/>
  <c r="N5" i="9" s="1"/>
  <c r="N79" i="9" s="1"/>
  <c r="Q6" i="9"/>
  <c r="Z48" i="9"/>
  <c r="Z47" i="9" s="1"/>
  <c r="Q47" i="9"/>
  <c r="Z55" i="9"/>
  <c r="Z64" i="9"/>
  <c r="Z63" i="9" s="1"/>
  <c r="Q63" i="9"/>
  <c r="Z69" i="9"/>
  <c r="Z68" i="9" s="1"/>
  <c r="Q68" i="9"/>
  <c r="M63" i="9"/>
  <c r="M6" i="9"/>
  <c r="X5" i="9"/>
  <c r="Y6" i="9"/>
  <c r="Y69" i="8"/>
  <c r="Y68" i="8" s="1"/>
  <c r="M68" i="8"/>
  <c r="L68" i="8"/>
  <c r="X68" i="8"/>
  <c r="Y66" i="8"/>
  <c r="Y65" i="8" s="1"/>
  <c r="M65" i="8"/>
  <c r="L65" i="8"/>
  <c r="X65" i="8"/>
  <c r="Y62" i="8"/>
  <c r="Q62" i="8"/>
  <c r="M62" i="8"/>
  <c r="M61" i="8" s="1"/>
  <c r="L62" i="8"/>
  <c r="L61" i="8" s="1"/>
  <c r="Y61" i="8"/>
  <c r="X61" i="8"/>
  <c r="Y59" i="8"/>
  <c r="Q59" i="8"/>
  <c r="Z59" i="8" s="1"/>
  <c r="M59" i="8"/>
  <c r="L59" i="8"/>
  <c r="Y57" i="8"/>
  <c r="Y56" i="8" s="1"/>
  <c r="Q57" i="8"/>
  <c r="M57" i="8"/>
  <c r="L57" i="8"/>
  <c r="L56" i="8" s="1"/>
  <c r="X56" i="8"/>
  <c r="Y52" i="8"/>
  <c r="Z52" i="8"/>
  <c r="Y50" i="8"/>
  <c r="Q50" i="8"/>
  <c r="M50" i="8"/>
  <c r="L50" i="8"/>
  <c r="L49" i="8" s="1"/>
  <c r="X49" i="8"/>
  <c r="Y47" i="8"/>
  <c r="Z47" i="8"/>
  <c r="Y45" i="8"/>
  <c r="Z45" i="8"/>
  <c r="Y43" i="8"/>
  <c r="Q43" i="8"/>
  <c r="M43" i="8"/>
  <c r="M42" i="8" s="1"/>
  <c r="L43" i="8"/>
  <c r="X42" i="8"/>
  <c r="Y39" i="8"/>
  <c r="Q39" i="8"/>
  <c r="Z39" i="8" s="1"/>
  <c r="M39" i="8"/>
  <c r="L39" i="8"/>
  <c r="L38" i="8"/>
  <c r="L89" i="2" s="1"/>
  <c r="K87" i="28" s="1"/>
  <c r="Y37" i="8"/>
  <c r="Q37" i="8"/>
  <c r="Z37" i="8" s="1"/>
  <c r="M37" i="8"/>
  <c r="Y35" i="8"/>
  <c r="Q35" i="8"/>
  <c r="Z35" i="8" s="1"/>
  <c r="P35" i="8"/>
  <c r="P32" i="8" s="1"/>
  <c r="O35" i="8"/>
  <c r="O32" i="8" s="1"/>
  <c r="N35" i="8"/>
  <c r="N32" i="8" s="1"/>
  <c r="M35" i="8"/>
  <c r="L35" i="8"/>
  <c r="Y33" i="8"/>
  <c r="Q33" i="8"/>
  <c r="M33" i="8"/>
  <c r="L33" i="8"/>
  <c r="X32" i="8"/>
  <c r="L31" i="8"/>
  <c r="L70" i="2" s="1"/>
  <c r="K68" i="28" s="1"/>
  <c r="Y30" i="8"/>
  <c r="Q30" i="8"/>
  <c r="Z30" i="8" s="1"/>
  <c r="M30" i="8"/>
  <c r="L66" i="2"/>
  <c r="K64" i="28" s="1"/>
  <c r="Y28" i="8"/>
  <c r="Q28" i="8"/>
  <c r="Z28" i="8" s="1"/>
  <c r="M28" i="8"/>
  <c r="Y24" i="8"/>
  <c r="Z24" i="8"/>
  <c r="Y22" i="8"/>
  <c r="Q22" i="8"/>
  <c r="Z22" i="8" s="1"/>
  <c r="P22" i="8"/>
  <c r="O22" i="8"/>
  <c r="N22" i="8"/>
  <c r="M22" i="8"/>
  <c r="L22" i="8"/>
  <c r="Y20" i="8"/>
  <c r="Q20" i="8"/>
  <c r="Z20" i="8" s="1"/>
  <c r="P20" i="8"/>
  <c r="O20" i="8"/>
  <c r="M20" i="8"/>
  <c r="L20" i="8"/>
  <c r="L19" i="8"/>
  <c r="Y18" i="8"/>
  <c r="Q18" i="8"/>
  <c r="Z18" i="8" s="1"/>
  <c r="P18" i="8"/>
  <c r="O18" i="8"/>
  <c r="N18" i="8"/>
  <c r="M18" i="8"/>
  <c r="Y16" i="8"/>
  <c r="Q16" i="8"/>
  <c r="Z16" i="8" s="1"/>
  <c r="N16" i="8"/>
  <c r="M16" i="8"/>
  <c r="L16" i="8"/>
  <c r="Y14" i="8"/>
  <c r="Q14" i="8"/>
  <c r="Z14" i="8" s="1"/>
  <c r="Y7" i="8"/>
  <c r="Q7" i="8"/>
  <c r="Z7" i="8" s="1"/>
  <c r="L7" i="8"/>
  <c r="X6" i="8"/>
  <c r="O64" i="28" l="1"/>
  <c r="O60" i="28" s="1"/>
  <c r="K60" i="28"/>
  <c r="O68" i="28"/>
  <c r="O65" i="28" s="1"/>
  <c r="K65" i="28"/>
  <c r="O87" i="28"/>
  <c r="O84" i="28" s="1"/>
  <c r="K84" i="28"/>
  <c r="J160" i="10"/>
  <c r="CI161" i="10"/>
  <c r="K66" i="25"/>
  <c r="K62" i="25" s="1"/>
  <c r="N66" i="2"/>
  <c r="N62" i="2" s="1"/>
  <c r="K69" i="23"/>
  <c r="K66" i="23" s="1"/>
  <c r="K69" i="24"/>
  <c r="K66" i="24" s="1"/>
  <c r="K70" i="25"/>
  <c r="K67" i="25" s="1"/>
  <c r="N70" i="2"/>
  <c r="N67" i="2" s="1"/>
  <c r="K89" i="25"/>
  <c r="K86" i="25" s="1"/>
  <c r="N89" i="2"/>
  <c r="N86" i="2" s="1"/>
  <c r="CQ54" i="10"/>
  <c r="K65" i="23"/>
  <c r="K61" i="23" s="1"/>
  <c r="K65" i="24"/>
  <c r="K61" i="24" s="1"/>
  <c r="K88" i="23"/>
  <c r="K85" i="23" s="1"/>
  <c r="K88" i="24"/>
  <c r="K85" i="24" s="1"/>
  <c r="M49" i="8"/>
  <c r="N18" i="1"/>
  <c r="E160" i="10"/>
  <c r="E159" i="10" s="1"/>
  <c r="K160" i="10"/>
  <c r="K159" i="10" s="1"/>
  <c r="AI65" i="10"/>
  <c r="AJ65" i="10" s="1"/>
  <c r="J66" i="38"/>
  <c r="AI69" i="10"/>
  <c r="J70" i="38"/>
  <c r="AI88" i="10"/>
  <c r="J89" i="38"/>
  <c r="Q160" i="10"/>
  <c r="Q159" i="10" s="1"/>
  <c r="Z5" i="9"/>
  <c r="V68" i="11"/>
  <c r="K69" i="27"/>
  <c r="K88" i="27"/>
  <c r="V64" i="11"/>
  <c r="E25" i="12" s="1"/>
  <c r="K65" i="27"/>
  <c r="M5" i="9"/>
  <c r="L64" i="8"/>
  <c r="Y49" i="8"/>
  <c r="Y5" i="9"/>
  <c r="Y79" i="9" s="1"/>
  <c r="X79" i="9"/>
  <c r="E172" i="10"/>
  <c r="K172" i="10"/>
  <c r="V87" i="11"/>
  <c r="E13" i="12" s="1"/>
  <c r="J159" i="10"/>
  <c r="P159" i="10"/>
  <c r="X64" i="8"/>
  <c r="L42" i="8"/>
  <c r="L41" i="8" s="1"/>
  <c r="L37" i="8"/>
  <c r="L32" i="8" s="1"/>
  <c r="X5" i="8"/>
  <c r="Z54" i="9"/>
  <c r="Z46" i="9" s="1"/>
  <c r="Q5" i="9"/>
  <c r="L30" i="8"/>
  <c r="M46" i="9"/>
  <c r="Y42" i="8"/>
  <c r="X41" i="8"/>
  <c r="M56" i="8"/>
  <c r="P6" i="8"/>
  <c r="P5" i="8" s="1"/>
  <c r="P72" i="8" s="1"/>
  <c r="L28" i="8"/>
  <c r="N6" i="8"/>
  <c r="N5" i="8" s="1"/>
  <c r="N72" i="8" s="1"/>
  <c r="L18" i="8"/>
  <c r="L49" i="2"/>
  <c r="K47" i="28" s="1"/>
  <c r="P21" i="1"/>
  <c r="P19" i="1"/>
  <c r="Y64" i="8"/>
  <c r="O6" i="8"/>
  <c r="O5" i="8" s="1"/>
  <c r="O72" i="8" s="1"/>
  <c r="M64" i="8"/>
  <c r="L5" i="9"/>
  <c r="L79" i="9" s="1"/>
  <c r="Z6" i="8"/>
  <c r="Q6" i="8"/>
  <c r="M6" i="8"/>
  <c r="Q46" i="9"/>
  <c r="Z71" i="9"/>
  <c r="Y6" i="8"/>
  <c r="Y32" i="8"/>
  <c r="Q71" i="9"/>
  <c r="M32" i="8"/>
  <c r="Z33" i="8"/>
  <c r="Z32" i="8" s="1"/>
  <c r="Q32" i="8"/>
  <c r="Z43" i="8"/>
  <c r="Z42" i="8" s="1"/>
  <c r="Q42" i="8"/>
  <c r="Z50" i="8"/>
  <c r="Z49" i="8" s="1"/>
  <c r="Q49" i="8"/>
  <c r="Z57" i="8"/>
  <c r="Z56" i="8" s="1"/>
  <c r="Q56" i="8"/>
  <c r="Z62" i="8"/>
  <c r="Z61" i="8" s="1"/>
  <c r="Q61" i="8"/>
  <c r="Z66" i="8"/>
  <c r="Z65" i="8" s="1"/>
  <c r="Q65" i="8"/>
  <c r="Z69" i="8"/>
  <c r="Z68" i="8" s="1"/>
  <c r="Q68" i="8"/>
  <c r="X75" i="7"/>
  <c r="X74" i="7" s="1"/>
  <c r="L74" i="7"/>
  <c r="K74" i="7"/>
  <c r="W74" i="7"/>
  <c r="X71" i="7"/>
  <c r="L71" i="7"/>
  <c r="K71" i="7"/>
  <c r="W71" i="7"/>
  <c r="X68" i="7"/>
  <c r="X67" i="7" s="1"/>
  <c r="P68" i="7"/>
  <c r="L68" i="7"/>
  <c r="L67" i="7" s="1"/>
  <c r="K68" i="7"/>
  <c r="K67" i="7" s="1"/>
  <c r="W67" i="7"/>
  <c r="X63" i="7"/>
  <c r="X62" i="7" s="1"/>
  <c r="P63" i="7"/>
  <c r="L63" i="7"/>
  <c r="L62" i="7" s="1"/>
  <c r="K63" i="7"/>
  <c r="W62" i="7"/>
  <c r="X58" i="7"/>
  <c r="P58" i="7"/>
  <c r="Y58" i="7" s="1"/>
  <c r="L58" i="7"/>
  <c r="K58" i="7"/>
  <c r="X53" i="7"/>
  <c r="P52" i="7"/>
  <c r="L52" i="7"/>
  <c r="K52" i="7"/>
  <c r="W52" i="7"/>
  <c r="X50" i="7"/>
  <c r="P50" i="7"/>
  <c r="Y50" i="7" s="1"/>
  <c r="L50" i="7"/>
  <c r="K50" i="7"/>
  <c r="X48" i="7"/>
  <c r="P48" i="7"/>
  <c r="Y48" i="7" s="1"/>
  <c r="L48" i="7"/>
  <c r="K48" i="7"/>
  <c r="X46" i="7"/>
  <c r="X45" i="7" s="1"/>
  <c r="P46" i="7"/>
  <c r="L46" i="7"/>
  <c r="K46" i="7"/>
  <c r="X41" i="7"/>
  <c r="Y41" i="7"/>
  <c r="X39" i="7"/>
  <c r="P39" i="7"/>
  <c r="Y39" i="7" s="1"/>
  <c r="L39" i="7"/>
  <c r="K39" i="7"/>
  <c r="X34" i="7"/>
  <c r="O31" i="7"/>
  <c r="N31" i="7"/>
  <c r="M31" i="7"/>
  <c r="X32" i="7"/>
  <c r="P32" i="7"/>
  <c r="L32" i="7"/>
  <c r="K32" i="7"/>
  <c r="W31" i="7"/>
  <c r="X29" i="7"/>
  <c r="P29" i="7"/>
  <c r="Y29" i="7" s="1"/>
  <c r="L29" i="7"/>
  <c r="K29" i="7"/>
  <c r="X27" i="7"/>
  <c r="P27" i="7"/>
  <c r="Y27" i="7" s="1"/>
  <c r="L27" i="7"/>
  <c r="K27" i="7"/>
  <c r="X23" i="7"/>
  <c r="Y23" i="7"/>
  <c r="X21" i="7"/>
  <c r="P21" i="7"/>
  <c r="Y21" i="7" s="1"/>
  <c r="O21" i="7"/>
  <c r="N21" i="7"/>
  <c r="M21" i="7"/>
  <c r="L21" i="7"/>
  <c r="K21" i="7"/>
  <c r="X19" i="7"/>
  <c r="P19" i="7"/>
  <c r="Y19" i="7" s="1"/>
  <c r="O19" i="7"/>
  <c r="N19" i="7"/>
  <c r="L19" i="7"/>
  <c r="K19" i="7"/>
  <c r="X17" i="7"/>
  <c r="P17" i="7"/>
  <c r="O17" i="7"/>
  <c r="N17" i="7"/>
  <c r="M17" i="7"/>
  <c r="L17" i="7"/>
  <c r="K17" i="7"/>
  <c r="X15" i="7"/>
  <c r="P15" i="7"/>
  <c r="Y15" i="7" s="1"/>
  <c r="M15" i="7"/>
  <c r="L15" i="7"/>
  <c r="K15" i="7"/>
  <c r="X12" i="7"/>
  <c r="Y12" i="7"/>
  <c r="X7" i="7"/>
  <c r="P7" i="7"/>
  <c r="Y7" i="7" s="1"/>
  <c r="L7" i="7"/>
  <c r="K7" i="7"/>
  <c r="W6" i="7"/>
  <c r="O47" i="28" l="1"/>
  <c r="O44" i="28" s="1"/>
  <c r="K44" i="28"/>
  <c r="V65" i="11"/>
  <c r="E30" i="12"/>
  <c r="AJ88" i="10"/>
  <c r="W88" i="10" s="1"/>
  <c r="CJ88" i="10"/>
  <c r="M65" i="27"/>
  <c r="M61" i="27" s="1"/>
  <c r="N65" i="27"/>
  <c r="N61" i="27" s="1"/>
  <c r="M88" i="27"/>
  <c r="M85" i="27" s="1"/>
  <c r="N88" i="27"/>
  <c r="N85" i="27" s="1"/>
  <c r="M69" i="27"/>
  <c r="M66" i="27" s="1"/>
  <c r="N69" i="27"/>
  <c r="N66" i="27" s="1"/>
  <c r="K45" i="7"/>
  <c r="CI54" i="10"/>
  <c r="CR54" i="10"/>
  <c r="M41" i="8"/>
  <c r="AC65" i="10"/>
  <c r="J49" i="38"/>
  <c r="K48" i="23"/>
  <c r="K45" i="23" s="1"/>
  <c r="K49" i="25"/>
  <c r="K46" i="25" s="1"/>
  <c r="K8" i="25" s="1"/>
  <c r="K48" i="24"/>
  <c r="K45" i="24" s="1"/>
  <c r="AI66" i="10"/>
  <c r="AJ69" i="10"/>
  <c r="AI85" i="10"/>
  <c r="AI61" i="10"/>
  <c r="AI48" i="10"/>
  <c r="N49" i="2"/>
  <c r="N46" i="2" s="1"/>
  <c r="V60" i="11"/>
  <c r="V47" i="11"/>
  <c r="E21" i="12" s="1"/>
  <c r="K48" i="27"/>
  <c r="N48" i="27" s="1"/>
  <c r="N45" i="27" s="1"/>
  <c r="L45" i="7"/>
  <c r="M79" i="9"/>
  <c r="Y41" i="8"/>
  <c r="P45" i="7"/>
  <c r="X52" i="7"/>
  <c r="X44" i="7" s="1"/>
  <c r="X72" i="8"/>
  <c r="V84" i="11"/>
  <c r="L31" i="7"/>
  <c r="W5" i="7"/>
  <c r="X70" i="7"/>
  <c r="L70" i="7"/>
  <c r="K62" i="7"/>
  <c r="X6" i="7"/>
  <c r="W44" i="7"/>
  <c r="Y5" i="8"/>
  <c r="L6" i="8"/>
  <c r="L5" i="8" s="1"/>
  <c r="L72" i="8" s="1"/>
  <c r="Q5" i="8"/>
  <c r="M6" i="7"/>
  <c r="M5" i="7" s="1"/>
  <c r="M78" i="7" s="1"/>
  <c r="Z79" i="9"/>
  <c r="W70" i="7"/>
  <c r="K70" i="7"/>
  <c r="Z5" i="8"/>
  <c r="Q79" i="9"/>
  <c r="M5" i="8"/>
  <c r="Q41" i="8"/>
  <c r="N6" i="7"/>
  <c r="N5" i="7" s="1"/>
  <c r="N78" i="7" s="1"/>
  <c r="K31" i="7"/>
  <c r="Y32" i="7"/>
  <c r="Y31" i="7" s="1"/>
  <c r="P31" i="7"/>
  <c r="L6" i="7"/>
  <c r="X31" i="7"/>
  <c r="Y46" i="7"/>
  <c r="Y45" i="7" s="1"/>
  <c r="Y53" i="7"/>
  <c r="Y52" i="7" s="1"/>
  <c r="Y63" i="7"/>
  <c r="Y62" i="7" s="1"/>
  <c r="P62" i="7"/>
  <c r="Y68" i="7"/>
  <c r="Y67" i="7" s="1"/>
  <c r="P67" i="7"/>
  <c r="Y71" i="7"/>
  <c r="P71" i="7"/>
  <c r="Y75" i="7"/>
  <c r="Y74" i="7" s="1"/>
  <c r="P74" i="7"/>
  <c r="O6" i="7"/>
  <c r="O5" i="7" s="1"/>
  <c r="O78" i="7" s="1"/>
  <c r="K6" i="7"/>
  <c r="Y17" i="7"/>
  <c r="Y6" i="7" s="1"/>
  <c r="P6" i="7"/>
  <c r="Q64" i="8"/>
  <c r="Z64" i="8"/>
  <c r="Z41" i="8"/>
  <c r="D19" i="1"/>
  <c r="L56" i="2"/>
  <c r="L35" i="3"/>
  <c r="K6" i="28" l="1"/>
  <c r="J56" i="38"/>
  <c r="AQ54" i="28"/>
  <c r="Q88" i="10"/>
  <c r="CJ54" i="10"/>
  <c r="CQ69" i="10"/>
  <c r="M72" i="8"/>
  <c r="K7" i="23"/>
  <c r="AJ48" i="10"/>
  <c r="CL48" i="10" s="1"/>
  <c r="AI45" i="10"/>
  <c r="AI7" i="10" s="1"/>
  <c r="M48" i="27"/>
  <c r="M45" i="27" s="1"/>
  <c r="V44" i="11"/>
  <c r="K55" i="27"/>
  <c r="L44" i="7"/>
  <c r="Y72" i="8"/>
  <c r="L5" i="7"/>
  <c r="X5" i="7"/>
  <c r="X78" i="7" s="1"/>
  <c r="P5" i="7"/>
  <c r="K44" i="7"/>
  <c r="W78" i="7"/>
  <c r="Q72" i="8"/>
  <c r="L34" i="3"/>
  <c r="L94" i="2"/>
  <c r="P55" i="10"/>
  <c r="AB55" i="10"/>
  <c r="J55" i="10"/>
  <c r="V55" i="10"/>
  <c r="K5" i="7"/>
  <c r="Z72" i="8"/>
  <c r="P70" i="7"/>
  <c r="P44" i="7"/>
  <c r="Y70" i="7"/>
  <c r="Y44" i="7"/>
  <c r="Y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Z29" i="3" s="1"/>
  <c r="P29" i="3"/>
  <c r="O29" i="3"/>
  <c r="N29" i="3"/>
  <c r="M29" i="3"/>
  <c r="L29" i="3"/>
  <c r="Q13" i="3"/>
  <c r="P13" i="3"/>
  <c r="P11" i="3" s="1"/>
  <c r="O13" i="3"/>
  <c r="O11" i="3" s="1"/>
  <c r="N13" i="3"/>
  <c r="M13" i="3"/>
  <c r="L13" i="3"/>
  <c r="CP48" i="10" l="1"/>
  <c r="CQ48" i="10" s="1"/>
  <c r="CI48" i="10" s="1"/>
  <c r="CJ48" i="10" s="1"/>
  <c r="L92" i="2"/>
  <c r="K92" i="28"/>
  <c r="K90" i="28" s="1"/>
  <c r="N26" i="3"/>
  <c r="AB78" i="10"/>
  <c r="V81" i="10"/>
  <c r="V78" i="10" s="1"/>
  <c r="J94" i="38"/>
  <c r="K93" i="23"/>
  <c r="K91" i="23" s="1"/>
  <c r="K94" i="25"/>
  <c r="K93" i="24"/>
  <c r="O17" i="1"/>
  <c r="AI93" i="10"/>
  <c r="AI91" i="10" s="1"/>
  <c r="C7" i="19"/>
  <c r="C40" i="19" s="1"/>
  <c r="D40" i="19" s="1"/>
  <c r="E40" i="19" s="1"/>
  <c r="F40" i="19" s="1"/>
  <c r="K45" i="10"/>
  <c r="G17" i="1" s="1"/>
  <c r="D49" i="19"/>
  <c r="E49" i="19" s="1"/>
  <c r="F49" i="19" s="1"/>
  <c r="C16" i="30"/>
  <c r="E16" i="30" s="1"/>
  <c r="W45" i="10"/>
  <c r="K17" i="1" s="1"/>
  <c r="K93" i="27"/>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E10" i="12" s="1"/>
  <c r="P45" i="10"/>
  <c r="H17" i="1" s="1"/>
  <c r="J45" i="10"/>
  <c r="F17" i="1" s="1"/>
  <c r="C45" i="10"/>
  <c r="C17" i="1" s="1"/>
  <c r="N17" i="1"/>
  <c r="J66" i="10"/>
  <c r="V66" i="10"/>
  <c r="J92" i="38"/>
  <c r="P24" i="1"/>
  <c r="P22" i="1"/>
  <c r="P27" i="1"/>
  <c r="P78" i="7"/>
  <c r="O19" i="1"/>
  <c r="C19" i="1"/>
  <c r="Y78" i="7"/>
  <c r="V45" i="10"/>
  <c r="J17" i="1" s="1"/>
  <c r="D66" i="10"/>
  <c r="P66" i="10"/>
  <c r="AB66" i="10"/>
  <c r="AC66" i="10"/>
  <c r="M22" i="1" s="1"/>
  <c r="O21" i="1"/>
  <c r="O22" i="1"/>
  <c r="O25" i="1"/>
  <c r="C81" i="10"/>
  <c r="C78" i="10" s="1"/>
  <c r="E81" i="10"/>
  <c r="AJ81" i="10"/>
  <c r="W78" i="10" s="1"/>
  <c r="Q22" i="3"/>
  <c r="Z22" i="3" s="1"/>
  <c r="P22" i="3"/>
  <c r="O22" i="3"/>
  <c r="N22" i="3"/>
  <c r="M22" i="3"/>
  <c r="L22" i="3"/>
  <c r="L6" i="3" s="1"/>
  <c r="Z7" i="3"/>
  <c r="Z11" i="3"/>
  <c r="Z9" i="3"/>
  <c r="Z74" i="3"/>
  <c r="Z73" i="3" s="1"/>
  <c r="Z71" i="3"/>
  <c r="Z70" i="3" s="1"/>
  <c r="Z66" i="3"/>
  <c r="Z65" i="3" s="1"/>
  <c r="Z63" i="3"/>
  <c r="Z60" i="3" s="1"/>
  <c r="Z51" i="3"/>
  <c r="Z46" i="3"/>
  <c r="Z43" i="3"/>
  <c r="Z41" i="3"/>
  <c r="Z39" i="3"/>
  <c r="Z34" i="3"/>
  <c r="Z32" i="3"/>
  <c r="Z13" i="3"/>
  <c r="Z17" i="3"/>
  <c r="Z27" i="3"/>
  <c r="Q24" i="3"/>
  <c r="Z24" i="3" s="1"/>
  <c r="P24" i="3"/>
  <c r="O24" i="3"/>
  <c r="N24" i="3"/>
  <c r="M24" i="3"/>
  <c r="AB45" i="10" l="1"/>
  <c r="L17" i="1" s="1"/>
  <c r="R17" i="1" s="1"/>
  <c r="T17" i="1" s="1"/>
  <c r="AQ90" i="28"/>
  <c r="K71" i="28"/>
  <c r="Q17" i="1"/>
  <c r="S17" i="1" s="1"/>
  <c r="R19" i="1"/>
  <c r="T19" i="1" s="1"/>
  <c r="K91" i="24"/>
  <c r="K72" i="24" s="1"/>
  <c r="K92" i="25"/>
  <c r="K73" i="25" s="1"/>
  <c r="K7" i="25" s="1"/>
  <c r="M6" i="3"/>
  <c r="M5" i="3" s="1"/>
  <c r="M76" i="3" s="1"/>
  <c r="N6" i="3"/>
  <c r="N5" i="3" s="1"/>
  <c r="O6" i="3"/>
  <c r="O5" i="3" s="1"/>
  <c r="O76" i="3" s="1"/>
  <c r="P6" i="3"/>
  <c r="P5" i="3" s="1"/>
  <c r="P76" i="3" s="1"/>
  <c r="K72" i="23"/>
  <c r="K6" i="23" s="1"/>
  <c r="Q6" i="3"/>
  <c r="Q5" i="3" s="1"/>
  <c r="Q76" i="3" s="1"/>
  <c r="L5" i="3"/>
  <c r="AI72" i="10"/>
  <c r="AI6" i="10" s="1"/>
  <c r="AJ93" i="10"/>
  <c r="AJ91" i="10" s="1"/>
  <c r="I7" i="19"/>
  <c r="C7" i="30"/>
  <c r="E7" i="30" s="1"/>
  <c r="F7" i="30"/>
  <c r="H7" i="30" s="1"/>
  <c r="D41" i="19"/>
  <c r="F8" i="30" s="1"/>
  <c r="H8" i="30" s="1"/>
  <c r="C8" i="30"/>
  <c r="E8" i="30" s="1"/>
  <c r="F16" i="30"/>
  <c r="H16" i="30" s="1"/>
  <c r="K91" i="27"/>
  <c r="G40" i="19"/>
  <c r="L7" i="30"/>
  <c r="N7" i="30" s="1"/>
  <c r="G49" i="19"/>
  <c r="L16" i="30"/>
  <c r="N16" i="30" s="1"/>
  <c r="I49" i="19"/>
  <c r="U16" i="30" s="1"/>
  <c r="L22" i="1"/>
  <c r="H22" i="1"/>
  <c r="I10" i="19"/>
  <c r="K10" i="19" s="1"/>
  <c r="L10" i="19" s="1"/>
  <c r="D22" i="1"/>
  <c r="C13" i="19"/>
  <c r="C46" i="19" s="1"/>
  <c r="J22" i="1"/>
  <c r="V90" i="11"/>
  <c r="N22" i="1"/>
  <c r="F22" i="1"/>
  <c r="I8" i="19"/>
  <c r="K8" i="19" s="1"/>
  <c r="L8" i="19" s="1"/>
  <c r="K55" i="10"/>
  <c r="G19" i="1" s="1"/>
  <c r="W55" i="10"/>
  <c r="K19" i="1" s="1"/>
  <c r="AC55" i="10"/>
  <c r="M19" i="1" s="1"/>
  <c r="E55" i="10"/>
  <c r="E19" i="1" s="1"/>
  <c r="Q55" i="10"/>
  <c r="I19" i="1" s="1"/>
  <c r="Z69" i="3"/>
  <c r="Z45" i="3"/>
  <c r="Z38" i="3"/>
  <c r="Z6" i="3"/>
  <c r="Z26" i="3"/>
  <c r="W66" i="10"/>
  <c r="K22" i="1" s="1"/>
  <c r="K66" i="10"/>
  <c r="G22" i="1" s="1"/>
  <c r="C66" i="10"/>
  <c r="C22" i="1" s="1"/>
  <c r="Q66" i="10"/>
  <c r="I22" i="1" s="1"/>
  <c r="E66" i="10"/>
  <c r="E22" i="1" s="1"/>
  <c r="AC170" i="10"/>
  <c r="CJ170" i="10" s="1"/>
  <c r="AC161" i="10"/>
  <c r="AC160" i="10" s="1"/>
  <c r="AB160" i="10"/>
  <c r="W160" i="10"/>
  <c r="V160" i="10"/>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P113" i="10"/>
  <c r="K113" i="10"/>
  <c r="G32" i="1" s="1"/>
  <c r="J113" i="10"/>
  <c r="E113" i="10"/>
  <c r="E32" i="1" s="1"/>
  <c r="D113" i="10"/>
  <c r="C113" i="10"/>
  <c r="C32" i="1" s="1"/>
  <c r="E107" i="10"/>
  <c r="E31" i="1" s="1"/>
  <c r="D107" i="10"/>
  <c r="C107" i="10"/>
  <c r="C31" i="1" s="1"/>
  <c r="P29" i="1"/>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Q8" i="10"/>
  <c r="I14" i="1" s="1"/>
  <c r="C8" i="10"/>
  <c r="C14" i="1" s="1"/>
  <c r="X172" i="2"/>
  <c r="U172" i="2"/>
  <c r="R172" i="2"/>
  <c r="O172" i="2"/>
  <c r="L172" i="2"/>
  <c r="X170" i="2"/>
  <c r="U170" i="2"/>
  <c r="R170" i="2"/>
  <c r="AA160" i="27"/>
  <c r="W160" i="27"/>
  <c r="S160" i="27"/>
  <c r="O160" i="27"/>
  <c r="AA154" i="2"/>
  <c r="O160" i="38" s="1"/>
  <c r="X154" i="2"/>
  <c r="U154" i="2"/>
  <c r="R154" i="2"/>
  <c r="O154" i="2"/>
  <c r="L154" i="2"/>
  <c r="AQ152" i="28" s="1"/>
  <c r="AA148" i="2"/>
  <c r="O154" i="38" s="1"/>
  <c r="X148" i="2"/>
  <c r="U148" i="2"/>
  <c r="R148" i="2"/>
  <c r="O148" i="2"/>
  <c r="L148" i="2"/>
  <c r="AQ146" i="28" s="1"/>
  <c r="O120" i="38"/>
  <c r="J120" i="38"/>
  <c r="AA114" i="2"/>
  <c r="O114" i="38" s="1"/>
  <c r="X114" i="2"/>
  <c r="U114" i="2"/>
  <c r="R114" i="2"/>
  <c r="O114" i="2"/>
  <c r="L114" i="2"/>
  <c r="AA102" i="2"/>
  <c r="O102" i="38" s="1"/>
  <c r="X102" i="2"/>
  <c r="U102" i="2"/>
  <c r="O102" i="2"/>
  <c r="O92" i="38"/>
  <c r="AA86" i="2"/>
  <c r="X86" i="2"/>
  <c r="AA85" i="27" s="1"/>
  <c r="U86" i="2"/>
  <c r="W85" i="27" s="1"/>
  <c r="R86" i="2"/>
  <c r="S85" i="27" s="1"/>
  <c r="O86" i="2"/>
  <c r="O85" i="27" s="1"/>
  <c r="L86" i="2"/>
  <c r="AQ84" i="28" s="1"/>
  <c r="O79" i="38"/>
  <c r="J79" i="38"/>
  <c r="AA74" i="2"/>
  <c r="O74" i="38" s="1"/>
  <c r="X74" i="2"/>
  <c r="U74" i="2"/>
  <c r="R74" i="2"/>
  <c r="O74" i="2"/>
  <c r="L74" i="2"/>
  <c r="AA67" i="2"/>
  <c r="O67" i="38" s="1"/>
  <c r="X67" i="2"/>
  <c r="U67" i="2"/>
  <c r="R67" i="2"/>
  <c r="O67" i="2"/>
  <c r="L67" i="2"/>
  <c r="AA62" i="2"/>
  <c r="O62" i="38" s="1"/>
  <c r="X62" i="2"/>
  <c r="U62" i="2"/>
  <c r="R62" i="2"/>
  <c r="O62" i="2"/>
  <c r="L62" i="2"/>
  <c r="AA58" i="2"/>
  <c r="O58" i="38" s="1"/>
  <c r="X58" i="2"/>
  <c r="U58" i="2"/>
  <c r="R58" i="2"/>
  <c r="O58" i="2"/>
  <c r="L58" i="2"/>
  <c r="AS56" i="2"/>
  <c r="AA38" i="27"/>
  <c r="W38" i="27"/>
  <c r="AA46" i="2"/>
  <c r="O46" i="38" s="1"/>
  <c r="X46" i="2"/>
  <c r="U46" i="2"/>
  <c r="R46" i="2"/>
  <c r="O46" i="2"/>
  <c r="L46" i="2"/>
  <c r="S38" i="27"/>
  <c r="O38" i="27"/>
  <c r="AR172" i="2"/>
  <c r="AR170" i="2"/>
  <c r="AR169" i="2" s="1"/>
  <c r="AR161" i="2"/>
  <c r="AR160" i="2" s="1"/>
  <c r="AR154" i="2"/>
  <c r="AR148" i="2"/>
  <c r="AR135" i="2"/>
  <c r="AR121" i="2"/>
  <c r="AR114" i="2"/>
  <c r="AS108" i="2"/>
  <c r="AR102" i="2"/>
  <c r="AR92" i="2"/>
  <c r="AR86" i="2"/>
  <c r="AR79" i="2"/>
  <c r="AR74" i="2"/>
  <c r="AS50" i="2"/>
  <c r="AS33" i="2"/>
  <c r="AQ169" i="2"/>
  <c r="AR108" i="2"/>
  <c r="AQ73" i="2"/>
  <c r="AR67" i="2"/>
  <c r="AR62" i="2"/>
  <c r="AR58" i="2"/>
  <c r="AR56" i="2"/>
  <c r="AR50" i="2"/>
  <c r="AR39" i="2"/>
  <c r="AR9" i="2"/>
  <c r="Y74" i="3"/>
  <c r="Y73" i="3" s="1"/>
  <c r="Y71" i="3"/>
  <c r="Y70" i="3" s="1"/>
  <c r="Y66" i="3"/>
  <c r="Y65" i="3" s="1"/>
  <c r="Y63" i="3"/>
  <c r="Y60" i="3" s="1"/>
  <c r="Y51" i="3"/>
  <c r="Y46" i="3"/>
  <c r="Y43" i="3"/>
  <c r="Y41" i="3"/>
  <c r="Y39" i="3"/>
  <c r="Y34" i="3"/>
  <c r="Y32" i="3"/>
  <c r="Y29" i="3"/>
  <c r="Y27" i="3"/>
  <c r="Y24" i="3"/>
  <c r="Y22" i="3"/>
  <c r="Y17" i="3"/>
  <c r="Y13" i="3"/>
  <c r="Y11" i="3"/>
  <c r="Y9" i="3"/>
  <c r="Y7" i="3"/>
  <c r="X45" i="3"/>
  <c r="X38" i="3"/>
  <c r="X26" i="3"/>
  <c r="X6" i="3"/>
  <c r="J67" i="38" l="1"/>
  <c r="AQ65" i="28"/>
  <c r="J114" i="38"/>
  <c r="AQ112" i="28"/>
  <c r="J62" i="38"/>
  <c r="AQ60" i="28"/>
  <c r="J74" i="38"/>
  <c r="AQ72" i="28"/>
  <c r="K5" i="28"/>
  <c r="J46" i="38"/>
  <c r="AQ44" i="28"/>
  <c r="J58" i="38"/>
  <c r="AQ56" i="28"/>
  <c r="J178" i="38"/>
  <c r="AQ170" i="28"/>
  <c r="J160" i="38"/>
  <c r="O153" i="28"/>
  <c r="O152" i="28" s="1"/>
  <c r="J154" i="38"/>
  <c r="O147" i="28"/>
  <c r="O146" i="28" s="1"/>
  <c r="O145" i="28" s="1"/>
  <c r="Q18" i="1"/>
  <c r="S18" i="1" s="1"/>
  <c r="Q21" i="1"/>
  <c r="S21" i="1" s="1"/>
  <c r="Q26" i="1"/>
  <c r="S26" i="1" s="1"/>
  <c r="Q19" i="1"/>
  <c r="S19" i="1" s="1"/>
  <c r="Q24" i="1"/>
  <c r="S24" i="1" s="1"/>
  <c r="Q39" i="1"/>
  <c r="S39" i="1" s="1"/>
  <c r="Q22" i="1"/>
  <c r="S22" i="1" s="1"/>
  <c r="R22" i="1"/>
  <c r="T22" i="1" s="1"/>
  <c r="Q25" i="1"/>
  <c r="S25" i="1" s="1"/>
  <c r="E41" i="19"/>
  <c r="F41" i="19" s="1"/>
  <c r="G41" i="19" s="1"/>
  <c r="W93" i="10"/>
  <c r="W91" i="10" s="1"/>
  <c r="K27" i="1" s="1"/>
  <c r="O86" i="38"/>
  <c r="AE85" i="27"/>
  <c r="J86" i="38"/>
  <c r="K85" i="27"/>
  <c r="J49" i="10"/>
  <c r="F18" i="1" s="1"/>
  <c r="CI50" i="10"/>
  <c r="CJ50" i="10" s="1"/>
  <c r="CI9" i="10"/>
  <c r="CJ9" i="10" s="1"/>
  <c r="J107" i="10"/>
  <c r="F31" i="1" s="1"/>
  <c r="O27" i="1"/>
  <c r="S61" i="27"/>
  <c r="L62" i="38"/>
  <c r="AA66" i="27"/>
  <c r="N67" i="38"/>
  <c r="N79" i="38"/>
  <c r="O91" i="27"/>
  <c r="K92" i="38"/>
  <c r="O119" i="27"/>
  <c r="R119" i="27" s="1"/>
  <c r="R99" i="27" s="1"/>
  <c r="K120" i="38"/>
  <c r="W147" i="27"/>
  <c r="M154" i="38"/>
  <c r="S45" i="27"/>
  <c r="L46" i="38"/>
  <c r="O57" i="27"/>
  <c r="K58" i="38"/>
  <c r="W61" i="27"/>
  <c r="M62" i="38"/>
  <c r="O66" i="27"/>
  <c r="K67" i="38"/>
  <c r="W73" i="27"/>
  <c r="M74" i="38"/>
  <c r="M86" i="38"/>
  <c r="O101" i="27"/>
  <c r="K102" i="38"/>
  <c r="AA113" i="27"/>
  <c r="N114" i="38"/>
  <c r="S119" i="27"/>
  <c r="V119" i="27" s="1"/>
  <c r="V99" i="27" s="1"/>
  <c r="L120" i="38"/>
  <c r="AA147" i="27"/>
  <c r="N154" i="38"/>
  <c r="S169" i="27"/>
  <c r="L176" i="38"/>
  <c r="O171" i="27"/>
  <c r="K178" i="38"/>
  <c r="W45" i="27"/>
  <c r="M46" i="38"/>
  <c r="S57" i="27"/>
  <c r="L58" i="38"/>
  <c r="AA61" i="27"/>
  <c r="N62" i="38"/>
  <c r="S66" i="27"/>
  <c r="L67" i="38"/>
  <c r="AA73" i="27"/>
  <c r="N74" i="38"/>
  <c r="L79" i="38"/>
  <c r="N86" i="38"/>
  <c r="W91" i="27"/>
  <c r="M92" i="38"/>
  <c r="W101" i="27"/>
  <c r="M102" i="38"/>
  <c r="O113" i="27"/>
  <c r="K114" i="38"/>
  <c r="W119" i="27"/>
  <c r="M120" i="38"/>
  <c r="O147" i="27"/>
  <c r="K154" i="38"/>
  <c r="W153" i="27"/>
  <c r="M160" i="38"/>
  <c r="W169" i="27"/>
  <c r="M176" i="38"/>
  <c r="S171" i="27"/>
  <c r="L178" i="38"/>
  <c r="O45" i="27"/>
  <c r="K46" i="38"/>
  <c r="AA57" i="27"/>
  <c r="N58" i="38"/>
  <c r="S73" i="27"/>
  <c r="L74" i="38"/>
  <c r="L86" i="38"/>
  <c r="W113" i="27"/>
  <c r="M114" i="38"/>
  <c r="O153" i="27"/>
  <c r="K160" i="38"/>
  <c r="AA171" i="27"/>
  <c r="N178" i="38"/>
  <c r="K79" i="38"/>
  <c r="S91" i="27"/>
  <c r="L92" i="38"/>
  <c r="S153" i="27"/>
  <c r="L160" i="38"/>
  <c r="D160" i="10"/>
  <c r="C27" i="19" s="1"/>
  <c r="AA45" i="27"/>
  <c r="N46" i="38"/>
  <c r="W57" i="27"/>
  <c r="M58" i="38"/>
  <c r="O61" i="27"/>
  <c r="K62" i="38"/>
  <c r="W66" i="27"/>
  <c r="M67" i="38"/>
  <c r="O73" i="27"/>
  <c r="K74" i="38"/>
  <c r="M79" i="38"/>
  <c r="K86" i="38"/>
  <c r="AA91" i="27"/>
  <c r="N92" i="38"/>
  <c r="AA101" i="27"/>
  <c r="N102" i="38"/>
  <c r="S113" i="27"/>
  <c r="L114" i="38"/>
  <c r="AA119" i="27"/>
  <c r="AD119" i="27" s="1"/>
  <c r="AD99" i="27" s="1"/>
  <c r="AD182" i="27" s="1"/>
  <c r="N120" i="38"/>
  <c r="S147" i="27"/>
  <c r="L154" i="38"/>
  <c r="AA153" i="27"/>
  <c r="N160" i="38"/>
  <c r="AA169" i="27"/>
  <c r="N176" i="38"/>
  <c r="W171" i="27"/>
  <c r="M178" i="38"/>
  <c r="AC38" i="10"/>
  <c r="M16" i="1" s="1"/>
  <c r="K38" i="10"/>
  <c r="G16" i="1" s="1"/>
  <c r="P38" i="10"/>
  <c r="H16" i="1" s="1"/>
  <c r="AB38" i="10"/>
  <c r="L16" i="1" s="1"/>
  <c r="V38" i="10"/>
  <c r="J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E61" i="27"/>
  <c r="D12" i="13"/>
  <c r="E12" i="13" s="1"/>
  <c r="AE73" i="27"/>
  <c r="K119" i="27"/>
  <c r="N119" i="27" s="1"/>
  <c r="K153" i="27"/>
  <c r="R169" i="2"/>
  <c r="D46" i="19"/>
  <c r="F13" i="30" s="1"/>
  <c r="H13" i="30" s="1"/>
  <c r="C13" i="30"/>
  <c r="E13" i="30" s="1"/>
  <c r="AE45" i="27"/>
  <c r="K57" i="27"/>
  <c r="K66" i="27"/>
  <c r="AE91" i="27"/>
  <c r="D17" i="13"/>
  <c r="E17" i="13" s="1"/>
  <c r="AE101" i="27"/>
  <c r="P102" i="25"/>
  <c r="P101" i="25" s="1"/>
  <c r="P100" i="25" s="1"/>
  <c r="P183" i="25" s="1"/>
  <c r="AE119" i="27"/>
  <c r="AH119" i="27" s="1"/>
  <c r="AH99" i="27" s="1"/>
  <c r="AH182" i="27" s="1"/>
  <c r="D23" i="13"/>
  <c r="E23" i="13" s="1"/>
  <c r="AE153" i="27"/>
  <c r="U160" i="2"/>
  <c r="U169" i="2"/>
  <c r="D44" i="19"/>
  <c r="E44" i="19" s="1"/>
  <c r="F44" i="19" s="1"/>
  <c r="C11" i="30"/>
  <c r="E11" i="30" s="1"/>
  <c r="K45" i="27"/>
  <c r="R160" i="2"/>
  <c r="D9" i="13"/>
  <c r="E9" i="13" s="1"/>
  <c r="AE57" i="27"/>
  <c r="D11" i="13"/>
  <c r="E11" i="13" s="1"/>
  <c r="AE66" i="27"/>
  <c r="L102" i="25"/>
  <c r="L101" i="25" s="1"/>
  <c r="L100" i="25" s="1"/>
  <c r="L183" i="25" s="1"/>
  <c r="K147" i="27"/>
  <c r="L160" i="2"/>
  <c r="K160" i="27"/>
  <c r="X160" i="2"/>
  <c r="X169" i="2"/>
  <c r="N175" i="38" s="1"/>
  <c r="K38" i="27"/>
  <c r="O102" i="25"/>
  <c r="O101" i="25" s="1"/>
  <c r="O100" i="25" s="1"/>
  <c r="O183" i="25" s="1"/>
  <c r="D4" i="13"/>
  <c r="E4" i="13" s="1"/>
  <c r="AE38" i="27"/>
  <c r="K61" i="27"/>
  <c r="K73" i="27"/>
  <c r="N102" i="25"/>
  <c r="N101" i="25" s="1"/>
  <c r="N100" i="25" s="1"/>
  <c r="N183" i="25" s="1"/>
  <c r="D22" i="13"/>
  <c r="E22" i="13" s="1"/>
  <c r="AE147" i="27"/>
  <c r="AE160" i="27"/>
  <c r="K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K113" i="27"/>
  <c r="D19" i="13"/>
  <c r="E19" i="13" s="1"/>
  <c r="AE113" i="27"/>
  <c r="E134" i="10"/>
  <c r="E35" i="1" s="1"/>
  <c r="I41" i="19"/>
  <c r="U8" i="30" s="1"/>
  <c r="I43" i="19"/>
  <c r="U10" i="30" s="1"/>
  <c r="AA160" i="2"/>
  <c r="O166"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I13" i="19"/>
  <c r="K13" i="19" s="1"/>
  <c r="L13" i="19" s="1"/>
  <c r="D21" i="1"/>
  <c r="C12" i="19"/>
  <c r="C45" i="19" s="1"/>
  <c r="H21" i="1"/>
  <c r="L21" i="1"/>
  <c r="F32" i="1"/>
  <c r="N32" i="1"/>
  <c r="N34" i="1"/>
  <c r="N35" i="1"/>
  <c r="F24" i="1"/>
  <c r="D24" i="1"/>
  <c r="C14" i="19"/>
  <c r="C47" i="19" s="1"/>
  <c r="H24" i="1"/>
  <c r="L24" i="1"/>
  <c r="D26" i="1"/>
  <c r="C17" i="19"/>
  <c r="C50" i="19" s="1"/>
  <c r="H26" i="1"/>
  <c r="L26" i="1"/>
  <c r="D30" i="1"/>
  <c r="C52" i="19"/>
  <c r="J26" i="1"/>
  <c r="F30" i="1"/>
  <c r="N30" i="1"/>
  <c r="F21" i="1"/>
  <c r="J21" i="1"/>
  <c r="N21" i="1"/>
  <c r="D31" i="1"/>
  <c r="C53" i="19"/>
  <c r="D32" i="1"/>
  <c r="C54" i="19"/>
  <c r="C21" i="30" s="1"/>
  <c r="E21" i="30" s="1"/>
  <c r="H32" i="1"/>
  <c r="L18" i="1"/>
  <c r="D49" i="10"/>
  <c r="N16" i="1"/>
  <c r="L39" i="1"/>
  <c r="J39" i="1"/>
  <c r="H39" i="1"/>
  <c r="F39" i="1"/>
  <c r="I25" i="19"/>
  <c r="K25" i="19" s="1"/>
  <c r="L25" i="19" s="1"/>
  <c r="F27" i="1"/>
  <c r="D27" i="1"/>
  <c r="C18" i="19"/>
  <c r="C51" i="19" s="1"/>
  <c r="L27" i="1"/>
  <c r="H27" i="1"/>
  <c r="I11" i="19"/>
  <c r="K11" i="19" s="1"/>
  <c r="H18" i="1"/>
  <c r="J18" i="1"/>
  <c r="N27" i="1"/>
  <c r="AS62" i="2"/>
  <c r="W60" i="11"/>
  <c r="AS39" i="2"/>
  <c r="AS46" i="2"/>
  <c r="W44" i="11"/>
  <c r="AS58" i="2"/>
  <c r="W56" i="11"/>
  <c r="AS67" i="2"/>
  <c r="W65" i="11"/>
  <c r="AS79" i="2"/>
  <c r="O23" i="1"/>
  <c r="G27" i="1"/>
  <c r="K8" i="10"/>
  <c r="G14" i="1" s="1"/>
  <c r="C27" i="1"/>
  <c r="E27" i="1"/>
  <c r="K134" i="10"/>
  <c r="G35" i="1" s="1"/>
  <c r="C38" i="10"/>
  <c r="C16" i="1" s="1"/>
  <c r="E38" i="10"/>
  <c r="E16" i="1" s="1"/>
  <c r="F20" i="1"/>
  <c r="J20" i="1"/>
  <c r="N20" i="1"/>
  <c r="D20" i="1"/>
  <c r="H20" i="1"/>
  <c r="L20" i="1"/>
  <c r="L147" i="2"/>
  <c r="AQ145" i="28" s="1"/>
  <c r="U101" i="2"/>
  <c r="AA147" i="2"/>
  <c r="AA101" i="2"/>
  <c r="O101" i="38" s="1"/>
  <c r="X101" i="2"/>
  <c r="AC72" i="10"/>
  <c r="M23" i="1" s="1"/>
  <c r="W8" i="10"/>
  <c r="K14"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V8" i="10"/>
  <c r="AB8" i="10"/>
  <c r="X69" i="3"/>
  <c r="D100" i="10"/>
  <c r="D29" i="1" s="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Z37" i="3"/>
  <c r="X37" i="3"/>
  <c r="X5" i="3"/>
  <c r="Z5" i="3"/>
  <c r="U147" i="2"/>
  <c r="R147" i="2"/>
  <c r="X147" i="2"/>
  <c r="O8" i="2"/>
  <c r="AA8" i="2"/>
  <c r="O8" i="38" s="1"/>
  <c r="R8" i="2"/>
  <c r="X8" i="2"/>
  <c r="U8" i="2"/>
  <c r="AR33" i="2"/>
  <c r="AR46" i="2"/>
  <c r="AS135" i="2"/>
  <c r="AS154" i="2"/>
  <c r="AS121" i="2"/>
  <c r="AS148" i="2"/>
  <c r="AS161" i="2"/>
  <c r="AS160" i="2" s="1"/>
  <c r="AS74" i="2"/>
  <c r="AS92" i="2"/>
  <c r="AS114" i="2"/>
  <c r="AS86" i="2"/>
  <c r="AS102" i="2"/>
  <c r="AQ172" i="2"/>
  <c r="AQ168" i="2" s="1"/>
  <c r="AR168" i="2"/>
  <c r="AQ160" i="2"/>
  <c r="AR120" i="2"/>
  <c r="AQ120" i="2"/>
  <c r="AQ101" i="2"/>
  <c r="AR101" i="2"/>
  <c r="AR73" i="2"/>
  <c r="AQ8" i="2"/>
  <c r="AQ7" i="2" s="1"/>
  <c r="Y69" i="3"/>
  <c r="Y45" i="3"/>
  <c r="Y38" i="3"/>
  <c r="Y26" i="3"/>
  <c r="Y6" i="3"/>
  <c r="J166" i="38" l="1"/>
  <c r="AQ158" i="28"/>
  <c r="AQ71" i="28"/>
  <c r="R24" i="1"/>
  <c r="T24" i="1" s="1"/>
  <c r="R21" i="1"/>
  <c r="T21" i="1" s="1"/>
  <c r="Q41" i="1"/>
  <c r="S41" i="1" s="1"/>
  <c r="R38" i="1"/>
  <c r="T38" i="1" s="1"/>
  <c r="R39" i="1"/>
  <c r="T39" i="1" s="1"/>
  <c r="R26" i="1"/>
  <c r="T26" i="1" s="1"/>
  <c r="Q40" i="1"/>
  <c r="S40" i="1" s="1"/>
  <c r="Q35" i="1"/>
  <c r="S35" i="1" s="1"/>
  <c r="Q38" i="1"/>
  <c r="S38" i="1" s="1"/>
  <c r="R20" i="1"/>
  <c r="T20" i="1" s="1"/>
  <c r="R25" i="1"/>
  <c r="T25" i="1" s="1"/>
  <c r="J100" i="10"/>
  <c r="F29" i="1" s="1"/>
  <c r="L8" i="30"/>
  <c r="N8" i="30" s="1"/>
  <c r="W119" i="10"/>
  <c r="K33" i="1" s="1"/>
  <c r="Q91" i="10"/>
  <c r="I27" i="1" s="1"/>
  <c r="Q27" i="1" s="1"/>
  <c r="S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53" i="38"/>
  <c r="AS141" i="2"/>
  <c r="J153" i="38"/>
  <c r="H34" i="1"/>
  <c r="D41" i="1"/>
  <c r="R41" i="1" s="1"/>
  <c r="T41" i="1" s="1"/>
  <c r="C60" i="19"/>
  <c r="I27" i="19"/>
  <c r="W7" i="27"/>
  <c r="M8" i="38"/>
  <c r="O7" i="27"/>
  <c r="K8" i="38"/>
  <c r="W146" i="27"/>
  <c r="M153" i="38"/>
  <c r="S168" i="27"/>
  <c r="L175" i="38"/>
  <c r="AA7" i="27"/>
  <c r="N8" i="38"/>
  <c r="O100" i="27"/>
  <c r="K101" i="38"/>
  <c r="O72" i="27"/>
  <c r="K73" i="38"/>
  <c r="C6" i="19"/>
  <c r="C39" i="19" s="1"/>
  <c r="C6" i="30" s="1"/>
  <c r="E6" i="30" s="1"/>
  <c r="D16" i="1"/>
  <c r="R16" i="1" s="1"/>
  <c r="T16" i="1" s="1"/>
  <c r="W168" i="27"/>
  <c r="M175" i="38"/>
  <c r="S146" i="27"/>
  <c r="L153" i="38"/>
  <c r="AA72" i="27"/>
  <c r="N73" i="38"/>
  <c r="O159" i="27"/>
  <c r="K166" i="38"/>
  <c r="W100" i="27"/>
  <c r="M101" i="38"/>
  <c r="AA159" i="27"/>
  <c r="N166" i="38"/>
  <c r="D159" i="10"/>
  <c r="D40" i="1" s="1"/>
  <c r="R40" i="1" s="1"/>
  <c r="T40" i="1" s="1"/>
  <c r="D34" i="1"/>
  <c r="W72" i="27"/>
  <c r="M73" i="38"/>
  <c r="O146" i="27"/>
  <c r="K153" i="38"/>
  <c r="AA100" i="27"/>
  <c r="N101" i="38"/>
  <c r="S159" i="27"/>
  <c r="L166" i="38"/>
  <c r="S7" i="27"/>
  <c r="L8" i="38"/>
  <c r="AA146" i="27"/>
  <c r="N153" i="38"/>
  <c r="R168" i="2"/>
  <c r="S72" i="27"/>
  <c r="L73" i="38"/>
  <c r="J35" i="1"/>
  <c r="R35" i="1" s="1"/>
  <c r="T35" i="1" s="1"/>
  <c r="W159" i="27"/>
  <c r="M166" i="38"/>
  <c r="U168" i="2"/>
  <c r="F34" i="1"/>
  <c r="Y7" i="30"/>
  <c r="AA7" i="30" s="1"/>
  <c r="X168" i="2"/>
  <c r="AA168" i="27"/>
  <c r="C57" i="19"/>
  <c r="C24" i="30" s="1"/>
  <c r="E24" i="30" s="1"/>
  <c r="F11" i="30"/>
  <c r="H11" i="30" s="1"/>
  <c r="J34" i="1"/>
  <c r="E46" i="19"/>
  <c r="F46" i="19" s="1"/>
  <c r="G46" i="19" s="1"/>
  <c r="D59" i="19"/>
  <c r="E59" i="19" s="1"/>
  <c r="F59" i="19" s="1"/>
  <c r="C26" i="30"/>
  <c r="E26" i="30" s="1"/>
  <c r="L34" i="1"/>
  <c r="E58" i="19"/>
  <c r="F58" i="19" s="1"/>
  <c r="G58" i="19" s="1"/>
  <c r="K72" i="27"/>
  <c r="AE7" i="27"/>
  <c r="K146" i="27"/>
  <c r="D50" i="19"/>
  <c r="E50" i="19" s="1"/>
  <c r="F50" i="19" s="1"/>
  <c r="C17" i="30"/>
  <c r="E17" i="30" s="1"/>
  <c r="D47" i="19"/>
  <c r="E47" i="19" s="1"/>
  <c r="F47" i="19" s="1"/>
  <c r="C14" i="30"/>
  <c r="E14" i="30" s="1"/>
  <c r="D45" i="19"/>
  <c r="F12" i="30" s="1"/>
  <c r="H12" i="30" s="1"/>
  <c r="C12" i="30"/>
  <c r="E12" i="30" s="1"/>
  <c r="D62" i="19"/>
  <c r="F29" i="30" s="1"/>
  <c r="H29" i="30" s="1"/>
  <c r="C29" i="30"/>
  <c r="E29" i="30" s="1"/>
  <c r="AE159" i="27"/>
  <c r="K159" i="27"/>
  <c r="W72" i="11"/>
  <c r="AE72" i="27"/>
  <c r="AE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E100" i="27"/>
  <c r="X76" i="3"/>
  <c r="Z76" i="3"/>
  <c r="W72" i="10"/>
  <c r="K23" i="1" s="1"/>
  <c r="D172" i="10"/>
  <c r="D45" i="1" s="1"/>
  <c r="D54" i="19"/>
  <c r="D46" i="1"/>
  <c r="D37" i="19"/>
  <c r="I44" i="19"/>
  <c r="U11" i="30" s="1"/>
  <c r="I46" i="19"/>
  <c r="U13" i="30" s="1"/>
  <c r="I58" i="19"/>
  <c r="U25" i="30" s="1"/>
  <c r="V72" i="10"/>
  <c r="J23" i="1" s="1"/>
  <c r="P72" i="10"/>
  <c r="D72" i="10"/>
  <c r="D23" i="1" s="1"/>
  <c r="AB72" i="10"/>
  <c r="L23" i="1" s="1"/>
  <c r="J72" i="10"/>
  <c r="F23" i="1" s="1"/>
  <c r="N23" i="1"/>
  <c r="N14" i="1"/>
  <c r="AS8" i="2"/>
  <c r="L14" i="1"/>
  <c r="J14" i="1"/>
  <c r="I15" i="19"/>
  <c r="K15" i="19" s="1"/>
  <c r="L15" i="19" s="1"/>
  <c r="I19" i="19"/>
  <c r="K19" i="19" s="1"/>
  <c r="L19" i="19" s="1"/>
  <c r="I14" i="19"/>
  <c r="K14" i="19" s="1"/>
  <c r="L14" i="19" s="1"/>
  <c r="I17" i="19"/>
  <c r="K17" i="19" s="1"/>
  <c r="L17" i="19" s="1"/>
  <c r="I12" i="19"/>
  <c r="K12" i="19" s="1"/>
  <c r="L12" i="19" s="1"/>
  <c r="D18" i="1"/>
  <c r="R18" i="1" s="1"/>
  <c r="T18" i="1" s="1"/>
  <c r="C9" i="19"/>
  <c r="C5" i="19"/>
  <c r="C38" i="19" s="1"/>
  <c r="I26" i="19"/>
  <c r="K26" i="19" s="1"/>
  <c r="L26" i="19" s="1"/>
  <c r="J27" i="1"/>
  <c r="R27" i="1" s="1"/>
  <c r="T27" i="1" s="1"/>
  <c r="K72" i="10"/>
  <c r="G23" i="1" s="1"/>
  <c r="C72" i="10"/>
  <c r="C23" i="1" s="1"/>
  <c r="E72" i="10"/>
  <c r="E23" i="1" s="1"/>
  <c r="I34" i="1"/>
  <c r="U7" i="2"/>
  <c r="U100" i="2"/>
  <c r="Q7" i="10"/>
  <c r="I13" i="1" s="1"/>
  <c r="X7" i="2"/>
  <c r="P28" i="1"/>
  <c r="AA100" i="2"/>
  <c r="O100" i="38" s="1"/>
  <c r="R7" i="2"/>
  <c r="K7" i="10"/>
  <c r="X100" i="2"/>
  <c r="AA7" i="2"/>
  <c r="O100" i="2"/>
  <c r="O7" i="2"/>
  <c r="K15" i="1"/>
  <c r="C7" i="10"/>
  <c r="C13" i="1" s="1"/>
  <c r="AB7" i="10"/>
  <c r="L15" i="1"/>
  <c r="M15" i="1"/>
  <c r="N15" i="1"/>
  <c r="V7" i="10"/>
  <c r="J15" i="1"/>
  <c r="P13" i="1"/>
  <c r="O12" i="1"/>
  <c r="O13" i="1"/>
  <c r="E7" i="10"/>
  <c r="E14" i="1"/>
  <c r="Q14" i="1" s="1"/>
  <c r="J7" i="10"/>
  <c r="F14" i="1"/>
  <c r="P7" i="10"/>
  <c r="H14" i="1"/>
  <c r="D7" i="10"/>
  <c r="D14" i="1"/>
  <c r="AR8" i="2"/>
  <c r="AR7" i="2" s="1"/>
  <c r="AS147" i="2"/>
  <c r="AS101" i="2"/>
  <c r="AS120" i="2"/>
  <c r="AS73" i="2"/>
  <c r="AR100" i="2"/>
  <c r="AQ100" i="2"/>
  <c r="Y37" i="3"/>
  <c r="Y5" i="3"/>
  <c r="K27" i="19" l="1"/>
  <c r="L27" i="19" s="1"/>
  <c r="R37" i="1"/>
  <c r="T37" i="1" s="1"/>
  <c r="Q15" i="1"/>
  <c r="S15" i="1" s="1"/>
  <c r="Q33" i="1"/>
  <c r="S33" i="1" s="1"/>
  <c r="R15" i="1"/>
  <c r="T15" i="1" s="1"/>
  <c r="R33" i="1"/>
  <c r="T33" i="1" s="1"/>
  <c r="Q37" i="1"/>
  <c r="S37" i="1" s="1"/>
  <c r="R34" i="1"/>
  <c r="T34" i="1" s="1"/>
  <c r="R14" i="1"/>
  <c r="Q34" i="1"/>
  <c r="S34" i="1" s="1"/>
  <c r="Q72" i="10"/>
  <c r="I23" i="1" s="1"/>
  <c r="Q23" i="1" s="1"/>
  <c r="S23" i="1" s="1"/>
  <c r="D55" i="19"/>
  <c r="F22" i="30" s="1"/>
  <c r="H22" i="30" s="1"/>
  <c r="Y76" i="3"/>
  <c r="J99" i="10"/>
  <c r="F28" i="1" s="1"/>
  <c r="I60" i="19"/>
  <c r="U27" i="30" s="1"/>
  <c r="W27" i="30" s="1"/>
  <c r="I6" i="19"/>
  <c r="K6" i="19" s="1"/>
  <c r="L6" i="19" s="1"/>
  <c r="D39" i="19"/>
  <c r="E39" i="19" s="1"/>
  <c r="F39" i="19" s="1"/>
  <c r="L6" i="30" s="1"/>
  <c r="N6" i="30" s="1"/>
  <c r="L13" i="30"/>
  <c r="N13" i="30" s="1"/>
  <c r="AA6" i="27"/>
  <c r="N7" i="38"/>
  <c r="W6" i="27"/>
  <c r="M7" i="38"/>
  <c r="S6" i="27"/>
  <c r="L7" i="38"/>
  <c r="S167" i="27"/>
  <c r="L174" i="38"/>
  <c r="D99" i="10"/>
  <c r="D28" i="1" s="1"/>
  <c r="O6" i="27"/>
  <c r="K7" i="38"/>
  <c r="AU6" i="10"/>
  <c r="O7" i="38"/>
  <c r="W99" i="27"/>
  <c r="M100" i="38"/>
  <c r="AA167" i="27"/>
  <c r="N174" i="38"/>
  <c r="O99" i="27"/>
  <c r="K100" i="38"/>
  <c r="AA99" i="27"/>
  <c r="N100" i="38"/>
  <c r="W167" i="27"/>
  <c r="M174" i="38"/>
  <c r="D60" i="19"/>
  <c r="C27" i="30"/>
  <c r="E27" i="30" s="1"/>
  <c r="D57" i="19"/>
  <c r="F24" i="30" s="1"/>
  <c r="H24" i="30" s="1"/>
  <c r="E62" i="19"/>
  <c r="F62" i="19" s="1"/>
  <c r="L29" i="30" s="1"/>
  <c r="N29" i="30" s="1"/>
  <c r="I24" i="19"/>
  <c r="K24" i="19" s="1"/>
  <c r="L24" i="19" s="1"/>
  <c r="L25" i="30"/>
  <c r="N25" i="30" s="1"/>
  <c r="F14" i="30"/>
  <c r="H14" i="30" s="1"/>
  <c r="E51" i="19"/>
  <c r="F51" i="19" s="1"/>
  <c r="G51" i="19" s="1"/>
  <c r="F26" i="30"/>
  <c r="H26" i="30" s="1"/>
  <c r="E45" i="19"/>
  <c r="F45" i="19" s="1"/>
  <c r="G45" i="19" s="1"/>
  <c r="AE6" i="27"/>
  <c r="F17" i="30"/>
  <c r="H17" i="30" s="1"/>
  <c r="O99" i="24"/>
  <c r="N99"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E37" i="19"/>
  <c r="F37" i="19" s="1"/>
  <c r="F4" i="30"/>
  <c r="H4" i="30" s="1"/>
  <c r="G50" i="19"/>
  <c r="L17" i="30"/>
  <c r="N17" i="30" s="1"/>
  <c r="G48" i="19"/>
  <c r="L15" i="30"/>
  <c r="N15" i="30" s="1"/>
  <c r="E52" i="19"/>
  <c r="F52" i="19" s="1"/>
  <c r="F19" i="30"/>
  <c r="H19" i="30" s="1"/>
  <c r="E53" i="19"/>
  <c r="F53" i="19" s="1"/>
  <c r="F20" i="30"/>
  <c r="H20" i="30" s="1"/>
  <c r="L99" i="24"/>
  <c r="W100" i="11"/>
  <c r="AE99" i="27"/>
  <c r="P99" i="24"/>
  <c r="E54" i="19"/>
  <c r="F54" i="19" s="1"/>
  <c r="F21" i="30"/>
  <c r="H21" i="30" s="1"/>
  <c r="H23" i="1"/>
  <c r="R23" i="1" s="1"/>
  <c r="T23" i="1" s="1"/>
  <c r="I22" i="19"/>
  <c r="AS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3" i="2"/>
  <c r="X183" i="2"/>
  <c r="AE183" i="28" s="1"/>
  <c r="G13" i="1"/>
  <c r="C6" i="10"/>
  <c r="C12" i="1" s="1"/>
  <c r="V6" i="10"/>
  <c r="J12" i="1" s="1"/>
  <c r="J13" i="1"/>
  <c r="N12" i="1"/>
  <c r="N13" i="1"/>
  <c r="AB6" i="10"/>
  <c r="L12" i="1" s="1"/>
  <c r="L13" i="1"/>
  <c r="P6" i="10"/>
  <c r="H12" i="1" s="1"/>
  <c r="H13" i="1"/>
  <c r="J6" i="10"/>
  <c r="F12" i="1" s="1"/>
  <c r="F13" i="1"/>
  <c r="E6" i="10"/>
  <c r="E12" i="1" s="1"/>
  <c r="E13" i="1"/>
  <c r="D6" i="10"/>
  <c r="D12" i="1" s="1"/>
  <c r="D13" i="1"/>
  <c r="AS100" i="2"/>
  <c r="N39" i="3"/>
  <c r="N38" i="3" s="1"/>
  <c r="N37" i="3" s="1"/>
  <c r="N76" i="3" s="1"/>
  <c r="R102" i="2"/>
  <c r="L40" i="3"/>
  <c r="G39" i="19" l="1"/>
  <c r="O6" i="30" s="1"/>
  <c r="Q6" i="30" s="1"/>
  <c r="R13" i="1"/>
  <c r="Q6" i="10"/>
  <c r="I12" i="1" s="1"/>
  <c r="E55" i="19"/>
  <c r="F55" i="19" s="1"/>
  <c r="F23" i="30"/>
  <c r="H23" i="30" s="1"/>
  <c r="Y27" i="30"/>
  <c r="AA27" i="30" s="1"/>
  <c r="F6" i="30"/>
  <c r="H6" i="30" s="1"/>
  <c r="AA182" i="27"/>
  <c r="I39" i="19"/>
  <c r="U6" i="30" s="1"/>
  <c r="E57" i="19"/>
  <c r="F57" i="19" s="1"/>
  <c r="L24" i="30" s="1"/>
  <c r="N24" i="30" s="1"/>
  <c r="W182" i="27"/>
  <c r="S101" i="27"/>
  <c r="L102" i="38"/>
  <c r="E60" i="19"/>
  <c r="F60" i="19" s="1"/>
  <c r="F27" i="30"/>
  <c r="H27" i="30" s="1"/>
  <c r="G62" i="19"/>
  <c r="I29" i="30" s="1"/>
  <c r="K29" i="30" s="1"/>
  <c r="I57" i="19"/>
  <c r="U24" i="30" s="1"/>
  <c r="W24" i="30" s="1"/>
  <c r="L12" i="30"/>
  <c r="N12" i="30" s="1"/>
  <c r="I55" i="19"/>
  <c r="K22" i="19"/>
  <c r="L22" i="19" s="1"/>
  <c r="L18" i="30"/>
  <c r="N18" i="30" s="1"/>
  <c r="F5" i="30"/>
  <c r="H5" i="30" s="1"/>
  <c r="M102" i="25"/>
  <c r="M101" i="25" s="1"/>
  <c r="M100" i="25" s="1"/>
  <c r="M183"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K103" i="28" s="1"/>
  <c r="R101" i="2"/>
  <c r="O103" i="28" l="1"/>
  <c r="O100" i="28" s="1"/>
  <c r="O99" i="28" s="1"/>
  <c r="O98" i="28" s="1"/>
  <c r="K100" i="28"/>
  <c r="W183" i="27"/>
  <c r="AB183" i="27"/>
  <c r="Y182" i="2" s="1"/>
  <c r="Z182" i="2" s="1"/>
  <c r="AA183" i="27"/>
  <c r="K105" i="25"/>
  <c r="N105" i="2"/>
  <c r="N102" i="2" s="1"/>
  <c r="I6" i="30"/>
  <c r="K6" i="30" s="1"/>
  <c r="U22" i="30"/>
  <c r="Y22" i="30" s="1"/>
  <c r="AA22" i="30" s="1"/>
  <c r="U23" i="30"/>
  <c r="L22" i="30"/>
  <c r="N22" i="30" s="1"/>
  <c r="L23" i="30"/>
  <c r="N23" i="30" s="1"/>
  <c r="G55" i="19"/>
  <c r="K104" i="23"/>
  <c r="K101" i="23" s="1"/>
  <c r="K104" i="24"/>
  <c r="K101" i="24" s="1"/>
  <c r="K100" i="24" s="1"/>
  <c r="K99" i="24" s="1"/>
  <c r="Y24" i="30"/>
  <c r="AA24" i="30" s="1"/>
  <c r="G57" i="19"/>
  <c r="H57" i="19" s="1"/>
  <c r="R24" i="30" s="1"/>
  <c r="T24" i="30" s="1"/>
  <c r="H62" i="19"/>
  <c r="R29" i="30" s="1"/>
  <c r="T29" i="30" s="1"/>
  <c r="O29" i="30"/>
  <c r="Q29" i="30" s="1"/>
  <c r="AI104" i="10"/>
  <c r="CK104" i="10" s="1"/>
  <c r="J105" i="38"/>
  <c r="G60" i="19"/>
  <c r="L27" i="30"/>
  <c r="N27" i="30" s="1"/>
  <c r="S100" i="27"/>
  <c r="L101" i="38"/>
  <c r="F9" i="30"/>
  <c r="H9" i="30" s="1"/>
  <c r="K104" i="27"/>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E14" i="12" s="1"/>
  <c r="L102" i="2"/>
  <c r="J102" i="38" s="1"/>
  <c r="R100" i="2"/>
  <c r="AQ100" i="28" l="1"/>
  <c r="K99" i="28"/>
  <c r="M104" i="27"/>
  <c r="M101" i="27" s="1"/>
  <c r="M100" i="27" s="1"/>
  <c r="M99" i="27" s="1"/>
  <c r="N104" i="27"/>
  <c r="N101" i="27" s="1"/>
  <c r="N100" i="27" s="1"/>
  <c r="N99" i="27" s="1"/>
  <c r="Q104" i="10"/>
  <c r="W104" i="10"/>
  <c r="K100" i="23"/>
  <c r="W22" i="30"/>
  <c r="I22" i="30"/>
  <c r="K22" i="30" s="1"/>
  <c r="O23" i="30"/>
  <c r="Q23" i="30" s="1"/>
  <c r="I23" i="30"/>
  <c r="K23" i="30" s="1"/>
  <c r="O22" i="30"/>
  <c r="Q22" i="30" s="1"/>
  <c r="H55" i="19"/>
  <c r="I24" i="30"/>
  <c r="K24" i="30" s="1"/>
  <c r="O24" i="30"/>
  <c r="Q24" i="30" s="1"/>
  <c r="AI101" i="10"/>
  <c r="AI100" i="10" s="1"/>
  <c r="AI99" i="10" s="1"/>
  <c r="AI186" i="10" s="1"/>
  <c r="AC104" i="10"/>
  <c r="AC101" i="10" s="1"/>
  <c r="S99" i="27"/>
  <c r="S182" i="27" s="1"/>
  <c r="L100" i="38"/>
  <c r="I27" i="30"/>
  <c r="K27" i="30" s="1"/>
  <c r="O27" i="30"/>
  <c r="Q27" i="30" s="1"/>
  <c r="H60" i="19"/>
  <c r="R27" i="30" s="1"/>
  <c r="T27" i="30" s="1"/>
  <c r="L101" i="2"/>
  <c r="L100" i="2" s="1"/>
  <c r="J100" i="38" s="1"/>
  <c r="K101" i="27"/>
  <c r="K102" i="25"/>
  <c r="K101" i="25" s="1"/>
  <c r="K100" i="25" s="1"/>
  <c r="K183" i="25" s="1"/>
  <c r="H42" i="19"/>
  <c r="R9" i="30" s="1"/>
  <c r="T9" i="30" s="1"/>
  <c r="O9" i="30"/>
  <c r="Q9" i="30" s="1"/>
  <c r="I9" i="30"/>
  <c r="K9" i="30" s="1"/>
  <c r="W5" i="30"/>
  <c r="Y5" i="30"/>
  <c r="AA5" i="30" s="1"/>
  <c r="J38" i="19"/>
  <c r="M99" i="24"/>
  <c r="V100" i="11"/>
  <c r="R183" i="2"/>
  <c r="C101" i="10"/>
  <c r="E101" i="10"/>
  <c r="Y67" i="6"/>
  <c r="Y66" i="6" s="1"/>
  <c r="Y65" i="6" s="1"/>
  <c r="K98" i="28" l="1"/>
  <c r="AQ98" i="28" s="1"/>
  <c r="AQ99" i="28"/>
  <c r="S183" i="27"/>
  <c r="E36" i="12"/>
  <c r="R22" i="30"/>
  <c r="T22" i="30" s="1"/>
  <c r="R23" i="30"/>
  <c r="T23" i="30" s="1"/>
  <c r="J101" i="38"/>
  <c r="K100" i="27"/>
  <c r="K99" i="27"/>
  <c r="P169" i="10"/>
  <c r="J169" i="10"/>
  <c r="L67" i="6"/>
  <c r="L66" i="6" s="1"/>
  <c r="L65" i="6" s="1"/>
  <c r="L73" i="6" s="1"/>
  <c r="O170" i="2"/>
  <c r="E100" i="10"/>
  <c r="E30" i="1"/>
  <c r="C100" i="10"/>
  <c r="C30" i="1"/>
  <c r="M30" i="1"/>
  <c r="O30" i="1"/>
  <c r="AA170" i="2"/>
  <c r="O176" i="38" s="1"/>
  <c r="H31" i="19"/>
  <c r="D169" i="10"/>
  <c r="V169" i="10"/>
  <c r="F31" i="19" s="1"/>
  <c r="AB169" i="10"/>
  <c r="G31" i="19" s="1"/>
  <c r="P66" i="6"/>
  <c r="P65" i="6" s="1"/>
  <c r="O169" i="27" l="1"/>
  <c r="K176" i="38"/>
  <c r="AE169" i="27"/>
  <c r="AA169" i="2"/>
  <c r="O175" i="38" s="1"/>
  <c r="D25" i="13"/>
  <c r="D168" i="10"/>
  <c r="D167" i="10" s="1"/>
  <c r="C28" i="19"/>
  <c r="J168" i="10"/>
  <c r="P168" i="10"/>
  <c r="AS170" i="2"/>
  <c r="AS169" i="2" s="1"/>
  <c r="K67" i="6"/>
  <c r="K66" i="6" s="1"/>
  <c r="K65" i="6" s="1"/>
  <c r="K73" i="6" s="1"/>
  <c r="O169" i="2"/>
  <c r="H44" i="1"/>
  <c r="AB168" i="10"/>
  <c r="L44" i="1"/>
  <c r="P44" i="1"/>
  <c r="N44" i="1"/>
  <c r="O28" i="1"/>
  <c r="O29" i="1"/>
  <c r="C99" i="10"/>
  <c r="C28" i="1" s="1"/>
  <c r="C29" i="1"/>
  <c r="E99" i="10"/>
  <c r="E28" i="1" s="1"/>
  <c r="E29" i="1"/>
  <c r="F44" i="1"/>
  <c r="V168" i="10"/>
  <c r="J44" i="1"/>
  <c r="R44" i="1" l="1"/>
  <c r="T44" i="1" s="1"/>
  <c r="O168" i="27"/>
  <c r="K175" i="38"/>
  <c r="AE168" i="27"/>
  <c r="E25" i="13"/>
  <c r="C31" i="19"/>
  <c r="C61" i="19"/>
  <c r="C28" i="30" s="1"/>
  <c r="E28" i="30" s="1"/>
  <c r="D43" i="1"/>
  <c r="D31" i="19"/>
  <c r="I28" i="19"/>
  <c r="K28" i="19" s="1"/>
  <c r="E31" i="19"/>
  <c r="L170" i="2"/>
  <c r="AQ168" i="28" s="1"/>
  <c r="O168" i="2"/>
  <c r="D186" i="10"/>
  <c r="D50" i="1" s="1"/>
  <c r="D42" i="1"/>
  <c r="J43" i="1"/>
  <c r="F43" i="1"/>
  <c r="N43" i="1"/>
  <c r="P43" i="1"/>
  <c r="L43" i="1"/>
  <c r="H43" i="1"/>
  <c r="J176" i="38" l="1"/>
  <c r="O169" i="28"/>
  <c r="O168" i="28" s="1"/>
  <c r="O167" i="28" s="1"/>
  <c r="O166" i="28" s="1"/>
  <c r="R43" i="1"/>
  <c r="T43" i="1" s="1"/>
  <c r="O167" i="27"/>
  <c r="O182" i="27" s="1"/>
  <c r="K174" i="38"/>
  <c r="L28" i="19"/>
  <c r="L31" i="19" s="1"/>
  <c r="K31" i="19"/>
  <c r="L169" i="2"/>
  <c r="K169" i="27"/>
  <c r="I61" i="19"/>
  <c r="D61" i="19"/>
  <c r="F28" i="30" s="1"/>
  <c r="H28" i="30" s="1"/>
  <c r="C64" i="19"/>
  <c r="I31" i="19"/>
  <c r="E169" i="10"/>
  <c r="E168" i="10" s="1"/>
  <c r="E167" i="10" s="1"/>
  <c r="Q169" i="10"/>
  <c r="Q168" i="10" s="1"/>
  <c r="K169" i="10"/>
  <c r="K168" i="10" s="1"/>
  <c r="K167" i="10" s="1"/>
  <c r="W169" i="10"/>
  <c r="AC169" i="10"/>
  <c r="C169" i="10"/>
  <c r="C168" i="10" s="1"/>
  <c r="O183" i="2"/>
  <c r="P50" i="1"/>
  <c r="P42" i="1"/>
  <c r="N42" i="1"/>
  <c r="O183" i="27" l="1"/>
  <c r="J175" i="38"/>
  <c r="AQ167" i="28"/>
  <c r="L168" i="2"/>
  <c r="K168" i="27"/>
  <c r="I64" i="19"/>
  <c r="U28" i="30"/>
  <c r="E61" i="19"/>
  <c r="F61" i="19" s="1"/>
  <c r="D64" i="19"/>
  <c r="AC168" i="10"/>
  <c r="M44" i="1"/>
  <c r="I44" i="1"/>
  <c r="W168" i="10"/>
  <c r="K44" i="1"/>
  <c r="C167" i="10"/>
  <c r="C43" i="1"/>
  <c r="G44" i="1"/>
  <c r="E44" i="1"/>
  <c r="O44" i="1"/>
  <c r="J174" i="38" l="1"/>
  <c r="AQ166" i="28"/>
  <c r="Q44" i="1"/>
  <c r="S44" i="1" s="1"/>
  <c r="K167" i="27"/>
  <c r="Y28" i="30"/>
  <c r="AA28" i="30" s="1"/>
  <c r="W28" i="30"/>
  <c r="G61" i="19"/>
  <c r="L28" i="30"/>
  <c r="N28" i="30" s="1"/>
  <c r="F64" i="19"/>
  <c r="E64" i="19"/>
  <c r="G64" i="19"/>
  <c r="E43" i="1"/>
  <c r="C186" i="10"/>
  <c r="C50" i="1" s="1"/>
  <c r="C42" i="1"/>
  <c r="I43" i="1"/>
  <c r="O43" i="1"/>
  <c r="G43" i="1"/>
  <c r="K43" i="1"/>
  <c r="AC167" i="10"/>
  <c r="M43" i="1"/>
  <c r="Q43" i="1" l="1"/>
  <c r="S43" i="1" s="1"/>
  <c r="H61" i="19"/>
  <c r="O28" i="30"/>
  <c r="Q28" i="30" s="1"/>
  <c r="I28" i="30"/>
  <c r="K28" i="30" s="1"/>
  <c r="O50" i="1"/>
  <c r="O42" i="1"/>
  <c r="M42" i="1"/>
  <c r="G42" i="1"/>
  <c r="E186" i="10"/>
  <c r="E50" i="1" s="1"/>
  <c r="E42" i="1"/>
  <c r="Y7" i="6"/>
  <c r="Y6" i="6" s="1"/>
  <c r="Y5" i="6" s="1"/>
  <c r="Y73" i="6" s="1"/>
  <c r="P6" i="6"/>
  <c r="P5" i="6" s="1"/>
  <c r="P73" i="6" s="1"/>
  <c r="L101" i="21"/>
  <c r="AD49" i="28"/>
  <c r="Y50" i="27"/>
  <c r="R28" i="30" l="1"/>
  <c r="T28" i="30" s="1"/>
  <c r="H64" i="19"/>
  <c r="L181" i="28" l="1"/>
  <c r="O49" i="28"/>
  <c r="AA181" i="28" l="1"/>
  <c r="D115" i="27"/>
  <c r="C114" i="11"/>
  <c r="B115" i="10"/>
  <c r="D116" i="25"/>
  <c r="D114" i="28"/>
  <c r="D115" i="23"/>
  <c r="D115" i="24"/>
  <c r="D116" i="20"/>
  <c r="D115" i="26"/>
  <c r="M52" i="2"/>
  <c r="N52" i="2" s="1"/>
  <c r="N50" i="2" s="1"/>
  <c r="N51" i="27"/>
  <c r="N49" i="27" s="1"/>
  <c r="N7" i="27" s="1"/>
  <c r="O50" i="28"/>
  <c r="O48" i="28" s="1"/>
  <c r="O6" i="28" s="1"/>
  <c r="L49" i="27"/>
  <c r="M51" i="27"/>
  <c r="M49" i="27" s="1"/>
  <c r="M7" i="27" s="1"/>
  <c r="Y51" i="27"/>
  <c r="Y49" i="27" s="1"/>
  <c r="Y7" i="27" s="1"/>
  <c r="Y6" i="27" s="1"/>
  <c r="AD50" i="28" l="1"/>
  <c r="AD48" i="28" s="1"/>
  <c r="AD6" i="28" s="1"/>
  <c r="AD5" i="28" s="1"/>
  <c r="Z51" i="27"/>
  <c r="Z49" i="27" s="1"/>
  <c r="Z7" i="27" s="1"/>
  <c r="Z6" i="27" s="1"/>
  <c r="Z182" i="27" s="1"/>
  <c r="L7" i="27"/>
  <c r="V52" i="2"/>
  <c r="M50" i="2"/>
  <c r="X49" i="27"/>
  <c r="X7" i="27" l="1"/>
  <c r="W52" i="2"/>
  <c r="W50" i="2" s="1"/>
  <c r="V50" i="2"/>
  <c r="X6" i="27" l="1"/>
  <c r="X182" i="27" l="1"/>
  <c r="X183" i="27" s="1"/>
  <c r="V182" i="2" s="1"/>
  <c r="W182" i="2" l="1"/>
  <c r="W173" i="2" s="1"/>
  <c r="V173" i="2"/>
  <c r="AD181" i="28"/>
  <c r="Z181" i="28"/>
  <c r="Z183" i="28" l="1"/>
  <c r="AA183" i="28"/>
  <c r="B142" i="38"/>
  <c r="B144" i="38"/>
  <c r="B146" i="38"/>
  <c r="B141" i="38"/>
  <c r="B143" i="38"/>
  <c r="B145" i="38"/>
  <c r="K119" i="23" l="1"/>
  <c r="K99" i="23" s="1"/>
  <c r="K182" i="23" s="1"/>
  <c r="AC57" i="10"/>
  <c r="AC7" i="10" s="1"/>
  <c r="M13" i="1" s="1"/>
  <c r="M20" i="1" l="1"/>
  <c r="Q20" i="1" s="1"/>
  <c r="S20" i="1" s="1"/>
  <c r="AC6" i="10"/>
  <c r="M12" i="1" l="1"/>
  <c r="O179" i="38"/>
  <c r="AE172" i="27"/>
  <c r="D26" i="13"/>
  <c r="D27" i="13" s="1"/>
  <c r="AA172" i="2"/>
  <c r="AE171" i="27" s="1"/>
  <c r="AS173" i="2"/>
  <c r="AS172" i="2" s="1"/>
  <c r="AS168" i="2" s="1"/>
  <c r="AA168" i="2" l="1"/>
  <c r="AE167" i="27" s="1"/>
  <c r="AE182" i="27" s="1"/>
  <c r="E26" i="13"/>
  <c r="O178" i="38"/>
  <c r="AF183" i="27" l="1"/>
  <c r="AD182" i="2" s="1"/>
  <c r="AE182" i="2" s="1"/>
  <c r="O174" i="38"/>
  <c r="AA183" i="2"/>
  <c r="J173" i="10"/>
  <c r="F46" i="1" s="1"/>
  <c r="AL183" i="2" l="1"/>
  <c r="AJ183" i="28"/>
  <c r="AE183" i="27"/>
  <c r="AT179" i="10"/>
  <c r="J172" i="10"/>
  <c r="P173" i="10"/>
  <c r="V179" i="10"/>
  <c r="AB179" i="10" l="1"/>
  <c r="W179" i="10" s="1"/>
  <c r="CN179" i="10"/>
  <c r="V173" i="10"/>
  <c r="Q179" i="10"/>
  <c r="F45" i="1"/>
  <c r="J167" i="10"/>
  <c r="H46" i="1"/>
  <c r="P172" i="10"/>
  <c r="CR179" i="10" l="1"/>
  <c r="CI179" i="10"/>
  <c r="J186" i="10"/>
  <c r="F50" i="1" s="1"/>
  <c r="F42" i="1"/>
  <c r="CQ179" i="10"/>
  <c r="Q173" i="10"/>
  <c r="P167" i="10"/>
  <c r="H45" i="1"/>
  <c r="J46" i="1"/>
  <c r="V172" i="10"/>
  <c r="V167" i="10" l="1"/>
  <c r="J45" i="1"/>
  <c r="Q172" i="10"/>
  <c r="I46" i="1"/>
  <c r="H42" i="1"/>
  <c r="Q167" i="10" l="1"/>
  <c r="I45" i="1"/>
  <c r="J42" i="1"/>
  <c r="I42" i="1" l="1"/>
  <c r="CT42" i="10"/>
  <c r="CU42" i="10" s="1"/>
  <c r="W38" i="10"/>
  <c r="W7" i="10" s="1"/>
  <c r="W6" i="10" s="1"/>
  <c r="K16" i="1" l="1"/>
  <c r="Q16" i="1" s="1"/>
  <c r="S16" i="1" s="1"/>
  <c r="K12" i="1"/>
  <c r="K13" i="1"/>
  <c r="Q13" i="1" s="1"/>
  <c r="AK106" i="2"/>
  <c r="DC106" i="20" s="1"/>
  <c r="BQ106" i="20" l="1"/>
  <c r="AX106" i="20"/>
  <c r="AX102" i="20" s="1"/>
  <c r="Y106" i="20"/>
  <c r="Y102" i="20" s="1"/>
  <c r="E27" i="21" s="1"/>
  <c r="E80" i="21" s="1"/>
  <c r="AS106" i="20"/>
  <c r="AS102" i="20" s="1"/>
  <c r="AU106" i="20"/>
  <c r="AU102" i="20" s="1"/>
  <c r="AW106" i="20"/>
  <c r="AW102" i="20" s="1"/>
  <c r="AV106" i="20"/>
  <c r="AV102" i="20" s="1"/>
  <c r="AA106" i="20"/>
  <c r="AA102" i="20" s="1"/>
  <c r="G27" i="21" s="1"/>
  <c r="CH105" i="10"/>
  <c r="Z105" i="10" s="1"/>
  <c r="AE106" i="20"/>
  <c r="AE102" i="20" s="1"/>
  <c r="K27" i="21" s="1"/>
  <c r="BS106" i="20"/>
  <c r="K105" i="10"/>
  <c r="K101" i="10" s="1"/>
  <c r="AT106" i="20"/>
  <c r="AT102" i="20" s="1"/>
  <c r="AY106" i="20"/>
  <c r="AY102" i="20" s="1"/>
  <c r="R105" i="26"/>
  <c r="T105" i="26" s="1"/>
  <c r="CM106" i="20"/>
  <c r="BO106" i="20"/>
  <c r="BR106" i="20"/>
  <c r="CI106" i="20"/>
  <c r="BN106" i="20"/>
  <c r="DF106" i="20"/>
  <c r="O105" i="10"/>
  <c r="O101" i="10" s="1"/>
  <c r="DE106" i="20"/>
  <c r="CG106" i="20"/>
  <c r="DA106" i="20"/>
  <c r="AB106" i="20"/>
  <c r="AB102" i="20" s="1"/>
  <c r="H27" i="21" s="1"/>
  <c r="N105" i="10"/>
  <c r="N101" i="10" s="1"/>
  <c r="Z106" i="20"/>
  <c r="Z102" i="20" s="1"/>
  <c r="F27" i="21" s="1"/>
  <c r="CJ106" i="20"/>
  <c r="CK106" i="20"/>
  <c r="BP106" i="20"/>
  <c r="CL106" i="20"/>
  <c r="BM106" i="20"/>
  <c r="AD106" i="20"/>
  <c r="AD102" i="20" s="1"/>
  <c r="J27" i="21" s="1"/>
  <c r="AC106" i="20"/>
  <c r="AC102" i="20" s="1"/>
  <c r="I27" i="21" s="1"/>
  <c r="CH106" i="20"/>
  <c r="DG106" i="20"/>
  <c r="DD106" i="20"/>
  <c r="DB106" i="20"/>
  <c r="P105" i="10" l="1"/>
  <c r="L105" i="10"/>
  <c r="L101" i="10" s="1"/>
  <c r="U105" i="10"/>
  <c r="F80" i="21"/>
  <c r="G80" i="21" s="1"/>
  <c r="H80" i="21" s="1"/>
  <c r="I80" i="21" s="1"/>
  <c r="J80" i="21" s="1"/>
  <c r="K80" i="21" s="1"/>
  <c r="T105" i="10"/>
  <c r="AA105" i="10"/>
  <c r="CK105" i="10"/>
  <c r="Q105" i="10" s="1"/>
  <c r="Q101" i="10" s="1"/>
  <c r="I30" i="1" s="1"/>
  <c r="L27" i="21"/>
  <c r="L80" i="21" s="1"/>
  <c r="CM105" i="10"/>
  <c r="S105" i="10" s="1"/>
  <c r="CL105" i="10"/>
  <c r="R105" i="10" s="1"/>
  <c r="M105" i="10"/>
  <c r="M101" i="10" s="1"/>
  <c r="CN105" i="10"/>
  <c r="V105" i="10" s="1"/>
  <c r="V101" i="10" s="1"/>
  <c r="J30" i="1" s="1"/>
  <c r="O111" i="10"/>
  <c r="O107" i="10" s="1"/>
  <c r="O100" i="10" s="1"/>
  <c r="O99" i="10" s="1"/>
  <c r="N111" i="10"/>
  <c r="N107" i="10" s="1"/>
  <c r="N100" i="10" s="1"/>
  <c r="N99" i="10" s="1"/>
  <c r="M111" i="10"/>
  <c r="M107" i="10" s="1"/>
  <c r="L111" i="10"/>
  <c r="L107" i="10" s="1"/>
  <c r="L100" i="10" s="1"/>
  <c r="L99" i="10" s="1"/>
  <c r="K111" i="10"/>
  <c r="K107" i="10" s="1"/>
  <c r="G31" i="1" s="1"/>
  <c r="P111" i="10"/>
  <c r="W105" i="10"/>
  <c r="W101" i="10" s="1"/>
  <c r="K30" i="1" s="1"/>
  <c r="G30" i="1"/>
  <c r="P101" i="10"/>
  <c r="Y105" i="10" l="1"/>
  <c r="M100" i="10"/>
  <c r="M99" i="10" s="1"/>
  <c r="AB105" i="10"/>
  <c r="AB101" i="10" s="1"/>
  <c r="L30" i="1" s="1"/>
  <c r="X105" i="10"/>
  <c r="P107" i="10"/>
  <c r="H31" i="1" s="1"/>
  <c r="K100" i="10"/>
  <c r="G29" i="1" s="1"/>
  <c r="H30" i="1"/>
  <c r="Q30" i="1"/>
  <c r="S30" i="1" s="1"/>
  <c r="R30" i="1" l="1"/>
  <c r="T30" i="1" s="1"/>
  <c r="CI105" i="10"/>
  <c r="P100" i="10"/>
  <c r="H29" i="1" s="1"/>
  <c r="K99" i="10"/>
  <c r="G28" i="1" s="1"/>
  <c r="P99" i="10" l="1"/>
  <c r="H28" i="1" s="1"/>
  <c r="K186" i="10"/>
  <c r="G50" i="1" s="1"/>
  <c r="AK109" i="2"/>
  <c r="P186" i="10" l="1"/>
  <c r="H50" i="1" s="1"/>
  <c r="CK109" i="20"/>
  <c r="CH108" i="10"/>
  <c r="Y109" i="20"/>
  <c r="AC109" i="20"/>
  <c r="AS109" i="20"/>
  <c r="BM109" i="20"/>
  <c r="DA109" i="20"/>
  <c r="DF109" i="20"/>
  <c r="BR109" i="20"/>
  <c r="DG109" i="20"/>
  <c r="R108" i="26"/>
  <c r="AX109" i="20"/>
  <c r="AV109" i="20"/>
  <c r="CM109" i="20"/>
  <c r="CI109" i="20"/>
  <c r="CJ109" i="20"/>
  <c r="BS109" i="20"/>
  <c r="BO109" i="20"/>
  <c r="BP109" i="20"/>
  <c r="AU109" i="20"/>
  <c r="AW109" i="20"/>
  <c r="AB109" i="20"/>
  <c r="AE109" i="20"/>
  <c r="BQ109" i="20"/>
  <c r="CL109" i="20"/>
  <c r="DE109" i="20"/>
  <c r="CG109" i="20"/>
  <c r="DD109" i="20"/>
  <c r="AD109" i="20"/>
  <c r="AT109" i="20"/>
  <c r="Z109" i="20"/>
  <c r="AA109" i="20"/>
  <c r="AY109" i="20"/>
  <c r="BN109" i="20"/>
  <c r="DC109" i="20"/>
  <c r="DB109" i="20"/>
  <c r="CH109" i="20"/>
  <c r="AK110" i="2"/>
  <c r="CH109" i="10" s="1"/>
  <c r="AE109" i="10" s="1"/>
  <c r="T108" i="26" l="1"/>
  <c r="N81" i="41"/>
  <c r="T109" i="10"/>
  <c r="AG109" i="10"/>
  <c r="AD109" i="10"/>
  <c r="AH109" i="10"/>
  <c r="AF109" i="10"/>
  <c r="AC109" i="10"/>
  <c r="Z109" i="10"/>
  <c r="CL109" i="10"/>
  <c r="CM109" i="10"/>
  <c r="CK109" i="10"/>
  <c r="CN109" i="10"/>
  <c r="AA109" i="10"/>
  <c r="U109" i="10"/>
  <c r="CL108" i="10"/>
  <c r="CM108" i="10"/>
  <c r="CK108" i="10"/>
  <c r="CN108" i="10"/>
  <c r="AG108" i="10"/>
  <c r="AH108" i="10"/>
  <c r="AA108" i="10"/>
  <c r="AC108" i="10"/>
  <c r="Z108" i="10"/>
  <c r="AF108" i="10"/>
  <c r="AD108" i="10"/>
  <c r="AE108" i="10"/>
  <c r="CJ110" i="20"/>
  <c r="CM110" i="20"/>
  <c r="CK110" i="20"/>
  <c r="BM110" i="20"/>
  <c r="DE110" i="20"/>
  <c r="R109" i="26"/>
  <c r="T109" i="26" s="1"/>
  <c r="AC110" i="20"/>
  <c r="Z110" i="20"/>
  <c r="Y110" i="20"/>
  <c r="BO110" i="20"/>
  <c r="CL110" i="20"/>
  <c r="DD110" i="20"/>
  <c r="DG110" i="20"/>
  <c r="BQ110" i="20"/>
  <c r="AY110" i="20"/>
  <c r="AV110" i="20"/>
  <c r="AT110" i="20"/>
  <c r="AD110" i="20"/>
  <c r="AS110" i="20"/>
  <c r="AW110" i="20"/>
  <c r="CH110" i="20"/>
  <c r="BS110" i="20"/>
  <c r="CG110" i="20"/>
  <c r="DB110" i="20"/>
  <c r="DA110" i="20"/>
  <c r="AX110" i="20"/>
  <c r="AA110" i="20"/>
  <c r="AU110" i="20"/>
  <c r="DF110" i="20"/>
  <c r="BN110" i="20"/>
  <c r="DC110" i="20"/>
  <c r="CI110" i="20"/>
  <c r="BR110" i="20"/>
  <c r="BP110" i="20"/>
  <c r="AE110" i="20"/>
  <c r="AB110" i="20"/>
  <c r="AH107" i="10" l="1"/>
  <c r="N31" i="1" s="1"/>
  <c r="W108" i="10"/>
  <c r="Q108" i="10"/>
  <c r="X109" i="10"/>
  <c r="R109" i="10"/>
  <c r="CR108" i="10"/>
  <c r="Y108" i="10"/>
  <c r="S108" i="10"/>
  <c r="AB109" i="10"/>
  <c r="V109" i="10"/>
  <c r="X108" i="10"/>
  <c r="R108" i="10"/>
  <c r="W109" i="10"/>
  <c r="Q109" i="10"/>
  <c r="V108" i="10"/>
  <c r="AB108" i="10"/>
  <c r="Y109" i="10"/>
  <c r="S109" i="10"/>
  <c r="CR109" i="10"/>
  <c r="AC107" i="10"/>
  <c r="CI109" i="10" l="1"/>
  <c r="CI108" i="10"/>
  <c r="AH100" i="10"/>
  <c r="AB107" i="10"/>
  <c r="L31" i="1" s="1"/>
  <c r="W107" i="10"/>
  <c r="K31" i="1" s="1"/>
  <c r="M31" i="1"/>
  <c r="AC100" i="10"/>
  <c r="AK112" i="2"/>
  <c r="AH99" i="10" l="1"/>
  <c r="N29" i="1"/>
  <c r="AC99" i="10"/>
  <c r="M29" i="1"/>
  <c r="DB112" i="20"/>
  <c r="CH111" i="10"/>
  <c r="Y112" i="20"/>
  <c r="AB112" i="20"/>
  <c r="AA112" i="20"/>
  <c r="Z112" i="20"/>
  <c r="BM112" i="20"/>
  <c r="BR112" i="20"/>
  <c r="DD112" i="20"/>
  <c r="DC112" i="20"/>
  <c r="CG112" i="20"/>
  <c r="AU112" i="20"/>
  <c r="AS112" i="20"/>
  <c r="AW112" i="20"/>
  <c r="AE112" i="20"/>
  <c r="AC112" i="20"/>
  <c r="DE112" i="20"/>
  <c r="DF112" i="20"/>
  <c r="CI112" i="20"/>
  <c r="BO112" i="20"/>
  <c r="DG112" i="20"/>
  <c r="AV112" i="20"/>
  <c r="R111" i="26"/>
  <c r="T111" i="26" s="1"/>
  <c r="AY112" i="20"/>
  <c r="AT112" i="20"/>
  <c r="BN112" i="20"/>
  <c r="CL112" i="20"/>
  <c r="DA112" i="20"/>
  <c r="CH112" i="20"/>
  <c r="BQ112" i="20"/>
  <c r="AD112" i="20"/>
  <c r="AX112" i="20"/>
  <c r="CM112" i="20"/>
  <c r="BS112" i="20"/>
  <c r="CJ112" i="20"/>
  <c r="CK112" i="20"/>
  <c r="BP112" i="20"/>
  <c r="T112" i="10"/>
  <c r="U112" i="10"/>
  <c r="DF113" i="20"/>
  <c r="AH186" i="10" l="1"/>
  <c r="N50" i="1" s="1"/>
  <c r="N28" i="1"/>
  <c r="CL111" i="10"/>
  <c r="R111" i="10" s="1"/>
  <c r="CM111" i="10"/>
  <c r="CK111" i="10"/>
  <c r="Q111" i="10" s="1"/>
  <c r="Q107" i="10" s="1"/>
  <c r="I31" i="1" s="1"/>
  <c r="Q31" i="1" s="1"/>
  <c r="S31" i="1" s="1"/>
  <c r="CN111" i="10"/>
  <c r="V111" i="10" s="1"/>
  <c r="U111" i="10"/>
  <c r="T111" i="10"/>
  <c r="M28" i="1"/>
  <c r="AC186" i="10"/>
  <c r="M50" i="1" s="1"/>
  <c r="AX113" i="20"/>
  <c r="AX108" i="20" s="1"/>
  <c r="AV113" i="20"/>
  <c r="AV108" i="20" s="1"/>
  <c r="BN113" i="20"/>
  <c r="DA113" i="20"/>
  <c r="DE113" i="20"/>
  <c r="DD113" i="20"/>
  <c r="CI113" i="20"/>
  <c r="CL113" i="20"/>
  <c r="R112" i="26"/>
  <c r="T112" i="26" s="1"/>
  <c r="BO113" i="20"/>
  <c r="CJ113" i="20"/>
  <c r="BR113" i="20"/>
  <c r="BQ113" i="20"/>
  <c r="BP113" i="20"/>
  <c r="AC113" i="20"/>
  <c r="AC108" i="20" s="1"/>
  <c r="I28" i="21" s="1"/>
  <c r="Y113" i="20"/>
  <c r="Y108" i="20" s="1"/>
  <c r="E28" i="21" s="1"/>
  <c r="AB113" i="20"/>
  <c r="AB108" i="20" s="1"/>
  <c r="H28" i="21" s="1"/>
  <c r="AW113" i="20"/>
  <c r="AW108" i="20" s="1"/>
  <c r="AU113" i="20"/>
  <c r="AU108" i="20" s="1"/>
  <c r="Z113" i="20"/>
  <c r="Z108" i="20" s="1"/>
  <c r="F28" i="21" s="1"/>
  <c r="BS113" i="20"/>
  <c r="CH113" i="20"/>
  <c r="BM113" i="20"/>
  <c r="DC113" i="20"/>
  <c r="CK113" i="20"/>
  <c r="AS113" i="20"/>
  <c r="AS108" i="20" s="1"/>
  <c r="AT113" i="20"/>
  <c r="AT108" i="20" s="1"/>
  <c r="AD113" i="20"/>
  <c r="AD108" i="20" s="1"/>
  <c r="J28" i="21" s="1"/>
  <c r="AA113" i="20"/>
  <c r="AA108" i="20" s="1"/>
  <c r="G28" i="21" s="1"/>
  <c r="AY113" i="20"/>
  <c r="AY108" i="20" s="1"/>
  <c r="AE113" i="20"/>
  <c r="AE108" i="20" s="1"/>
  <c r="K28" i="21" s="1"/>
  <c r="DB113" i="20"/>
  <c r="DG113" i="20"/>
  <c r="CG113" i="20"/>
  <c r="CM113" i="20"/>
  <c r="E81" i="21" l="1"/>
  <c r="F81" i="21" s="1"/>
  <c r="G81" i="21" s="1"/>
  <c r="H81" i="21" s="1"/>
  <c r="I81" i="21" s="1"/>
  <c r="J81" i="21" s="1"/>
  <c r="K81" i="21" s="1"/>
  <c r="L28" i="21"/>
  <c r="L81" i="21" s="1"/>
  <c r="CI111" i="10"/>
  <c r="V107" i="10"/>
  <c r="J31" i="1" s="1"/>
  <c r="R31" i="1" s="1"/>
  <c r="T31" i="1" s="1"/>
  <c r="S111" i="10"/>
  <c r="CR111" i="10"/>
  <c r="AK115" i="2"/>
  <c r="DB115" i="20" l="1"/>
  <c r="CH114" i="10"/>
  <c r="AU115" i="20"/>
  <c r="AU114" i="20" s="1"/>
  <c r="G9" i="21" s="1"/>
  <c r="AW115" i="20"/>
  <c r="AW114" i="20" s="1"/>
  <c r="I9" i="21" s="1"/>
  <c r="BR115" i="20"/>
  <c r="BR114" i="20" s="1"/>
  <c r="J29" i="21" s="1"/>
  <c r="R114" i="26"/>
  <c r="T114" i="26" s="1"/>
  <c r="BQ115" i="20"/>
  <c r="BQ114" i="20" s="1"/>
  <c r="I29" i="21" s="1"/>
  <c r="AT115" i="20"/>
  <c r="AT114" i="20" s="1"/>
  <c r="F9" i="21" s="1"/>
  <c r="AD115" i="20"/>
  <c r="AD114" i="20" s="1"/>
  <c r="J26" i="21" s="1"/>
  <c r="CI115" i="20"/>
  <c r="CI114" i="20" s="1"/>
  <c r="G49" i="21" s="1"/>
  <c r="DC115" i="20"/>
  <c r="DF115" i="20"/>
  <c r="BO115" i="20"/>
  <c r="BO114" i="20" s="1"/>
  <c r="G29" i="21" s="1"/>
  <c r="BN115" i="20"/>
  <c r="BN114" i="20" s="1"/>
  <c r="F29" i="21" s="1"/>
  <c r="Z115" i="20"/>
  <c r="Z114" i="20" s="1"/>
  <c r="F26" i="21" s="1"/>
  <c r="DE115" i="20"/>
  <c r="DA115" i="20"/>
  <c r="AV115" i="20"/>
  <c r="AV114" i="20" s="1"/>
  <c r="H9" i="21" s="1"/>
  <c r="Y115" i="20"/>
  <c r="Y114" i="20" s="1"/>
  <c r="E26" i="21" s="1"/>
  <c r="CK115" i="20"/>
  <c r="CK114" i="20" s="1"/>
  <c r="I49" i="21" s="1"/>
  <c r="CJ115" i="20"/>
  <c r="CJ114" i="20" s="1"/>
  <c r="H49" i="21" s="1"/>
  <c r="AY115" i="20"/>
  <c r="AY114" i="20" s="1"/>
  <c r="K9" i="21" s="1"/>
  <c r="AA115" i="20"/>
  <c r="AA114" i="20" s="1"/>
  <c r="G26" i="21" s="1"/>
  <c r="BP115" i="20"/>
  <c r="BP114" i="20" s="1"/>
  <c r="H29" i="21" s="1"/>
  <c r="BS115" i="20"/>
  <c r="BS114" i="20" s="1"/>
  <c r="K29" i="21" s="1"/>
  <c r="DD115" i="20"/>
  <c r="DG115" i="20"/>
  <c r="AS115" i="20"/>
  <c r="AS114" i="20" s="1"/>
  <c r="E9" i="21" s="1"/>
  <c r="BM115" i="20"/>
  <c r="BM114" i="20" s="1"/>
  <c r="E29" i="21" s="1"/>
  <c r="CG115" i="20"/>
  <c r="CG114" i="20" s="1"/>
  <c r="E49" i="21" s="1"/>
  <c r="AB115" i="20"/>
  <c r="AB114" i="20" s="1"/>
  <c r="H26" i="21" s="1"/>
  <c r="CH115" i="20"/>
  <c r="CH114" i="20" s="1"/>
  <c r="F49" i="21" s="1"/>
  <c r="AX115" i="20"/>
  <c r="AX114" i="20" s="1"/>
  <c r="J9" i="21" s="1"/>
  <c r="AC115" i="20"/>
  <c r="AC114" i="20" s="1"/>
  <c r="I26" i="21" s="1"/>
  <c r="CL115" i="20"/>
  <c r="CL114" i="20" s="1"/>
  <c r="J49" i="21" s="1"/>
  <c r="AE115" i="20"/>
  <c r="AE114" i="20" s="1"/>
  <c r="K26" i="21" s="1"/>
  <c r="CM115" i="20"/>
  <c r="CM114" i="20" s="1"/>
  <c r="K49" i="21" s="1"/>
  <c r="E79" i="21" l="1"/>
  <c r="F79" i="21" s="1"/>
  <c r="G79" i="21" s="1"/>
  <c r="H79" i="21" s="1"/>
  <c r="I79" i="21" s="1"/>
  <c r="J79" i="21" s="1"/>
  <c r="K79" i="21" s="1"/>
  <c r="L26" i="21"/>
  <c r="L79" i="21" s="1"/>
  <c r="E62" i="21"/>
  <c r="F62" i="21" s="1"/>
  <c r="G62" i="21" s="1"/>
  <c r="H62" i="21" s="1"/>
  <c r="I62" i="21" s="1"/>
  <c r="J62" i="21" s="1"/>
  <c r="K62" i="21" s="1"/>
  <c r="L9" i="21"/>
  <c r="L62" i="21" s="1"/>
  <c r="E102" i="21"/>
  <c r="F102" i="21" s="1"/>
  <c r="G102" i="21" s="1"/>
  <c r="H102" i="21" s="1"/>
  <c r="I102" i="21" s="1"/>
  <c r="J102" i="21" s="1"/>
  <c r="K102" i="21" s="1"/>
  <c r="L49" i="21"/>
  <c r="L102" i="21" s="1"/>
  <c r="E82" i="21"/>
  <c r="F82" i="21" s="1"/>
  <c r="G82" i="21" s="1"/>
  <c r="H82" i="21" s="1"/>
  <c r="I82" i="21" s="1"/>
  <c r="J82" i="21" s="1"/>
  <c r="K82" i="21" s="1"/>
  <c r="L29" i="21"/>
  <c r="L82" i="21" s="1"/>
  <c r="CM114" i="10"/>
  <c r="Y114" i="10" s="1"/>
  <c r="CL114" i="10"/>
  <c r="R114" i="10" s="1"/>
  <c r="CK114" i="10"/>
  <c r="Q114" i="10" s="1"/>
  <c r="Q113" i="10" s="1"/>
  <c r="CN114" i="10"/>
  <c r="V114" i="10" s="1"/>
  <c r="Z114" i="10"/>
  <c r="T114" i="10"/>
  <c r="U114" i="10"/>
  <c r="AA114" i="10"/>
  <c r="W114" i="10" l="1"/>
  <c r="W113" i="10" s="1"/>
  <c r="V113" i="10"/>
  <c r="I32" i="1"/>
  <c r="Q100" i="10"/>
  <c r="CR114" i="10"/>
  <c r="S114" i="10"/>
  <c r="X114" i="10"/>
  <c r="AB114" i="10"/>
  <c r="AB113" i="10" s="1"/>
  <c r="I29" i="1" l="1"/>
  <c r="Q99" i="10"/>
  <c r="W100" i="10"/>
  <c r="K32" i="1"/>
  <c r="Q32" i="1" s="1"/>
  <c r="S32" i="1" s="1"/>
  <c r="L32" i="1"/>
  <c r="AB100" i="10"/>
  <c r="J32" i="1"/>
  <c r="V100" i="10"/>
  <c r="CI114" i="10"/>
  <c r="X173" i="10"/>
  <c r="X172" i="10" s="1"/>
  <c r="AB173" i="10"/>
  <c r="AV183" i="10" s="1"/>
  <c r="CR182" i="10"/>
  <c r="CQ182" i="10"/>
  <c r="R32" i="1" l="1"/>
  <c r="T32" i="1" s="1"/>
  <c r="J29" i="1"/>
  <c r="V99" i="10"/>
  <c r="AB99" i="10"/>
  <c r="L28" i="1" s="1"/>
  <c r="L29" i="1"/>
  <c r="W99" i="10"/>
  <c r="K28" i="1" s="1"/>
  <c r="K29" i="1"/>
  <c r="Q29" i="1" s="1"/>
  <c r="S29" i="1" s="1"/>
  <c r="Q186" i="10"/>
  <c r="I50" i="1" s="1"/>
  <c r="I28" i="1"/>
  <c r="L46" i="1"/>
  <c r="R46" i="1" s="1"/>
  <c r="T46" i="1" s="1"/>
  <c r="W173" i="10"/>
  <c r="AB172" i="10"/>
  <c r="Q28" i="1" l="1"/>
  <c r="S28" i="1" s="1"/>
  <c r="R29" i="1"/>
  <c r="T29" i="1" s="1"/>
  <c r="J28" i="1"/>
  <c r="R28" i="1" s="1"/>
  <c r="T28" i="1" s="1"/>
  <c r="V186" i="10"/>
  <c r="J50" i="1" s="1"/>
  <c r="L45" i="1"/>
  <c r="R45" i="1" s="1"/>
  <c r="T45" i="1" s="1"/>
  <c r="AB167" i="10"/>
  <c r="K46" i="1"/>
  <c r="Q46" i="1" s="1"/>
  <c r="S46" i="1" s="1"/>
  <c r="W172" i="10"/>
  <c r="W167" i="10" l="1"/>
  <c r="K45" i="1"/>
  <c r="Q45" i="1" s="1"/>
  <c r="S45" i="1" s="1"/>
  <c r="L42" i="1"/>
  <c r="R42" i="1" s="1"/>
  <c r="T42" i="1" s="1"/>
  <c r="AB186" i="10"/>
  <c r="L50" i="1" s="1"/>
  <c r="R50" i="1" s="1"/>
  <c r="T50" i="1" s="1"/>
  <c r="W186" i="10" l="1"/>
  <c r="K50" i="1" s="1"/>
  <c r="Q50" i="1" s="1"/>
  <c r="S50" i="1" s="1"/>
  <c r="K42" i="1"/>
  <c r="Q42" i="1" s="1"/>
  <c r="S42" i="1" s="1"/>
  <c r="P33" i="20"/>
  <c r="O33" i="20"/>
  <c r="N33" i="20"/>
  <c r="S33" i="20"/>
  <c r="R33" i="20"/>
  <c r="Q33" i="20"/>
  <c r="T33" i="20"/>
  <c r="U33" i="20" l="1"/>
  <c r="F46" i="32"/>
  <c r="G46" i="32" s="1"/>
  <c r="H46" i="32" s="1"/>
  <c r="I46" i="32" s="1"/>
  <c r="J46" i="32" s="1"/>
  <c r="K46" i="32" s="1"/>
  <c r="L46" i="32" s="1"/>
  <c r="T8" i="27"/>
  <c r="U10" i="27"/>
  <c r="U8" i="27" s="1"/>
  <c r="U7" i="27" s="1"/>
  <c r="U6" i="27" s="1"/>
  <c r="V10" i="27"/>
  <c r="V8" i="27" s="1"/>
  <c r="V7" i="27" s="1"/>
  <c r="V6" i="27" s="1"/>
  <c r="V182" i="27" s="1"/>
  <c r="S11" i="2"/>
  <c r="T11" i="2" s="1"/>
  <c r="T9" i="2" s="1"/>
  <c r="Y9" i="28"/>
  <c r="Y7" i="28" s="1"/>
  <c r="Y6" i="28" s="1"/>
  <c r="Y5" i="28" s="1"/>
  <c r="S9" i="2" l="1"/>
  <c r="T7" i="27"/>
  <c r="T6" i="27" l="1"/>
  <c r="L8" i="2"/>
  <c r="AQ6" i="28" s="1"/>
  <c r="V7" i="11"/>
  <c r="K8" i="27"/>
  <c r="T182" i="27" l="1"/>
  <c r="T183" i="27" s="1"/>
  <c r="S182" i="2" s="1"/>
  <c r="J8" i="38"/>
  <c r="L7" i="2"/>
  <c r="AQ5" i="28" s="1"/>
  <c r="K7" i="27"/>
  <c r="T182" i="2" l="1"/>
  <c r="T173" i="2" s="1"/>
  <c r="S173" i="2"/>
  <c r="U181" i="28"/>
  <c r="Y181" i="28"/>
  <c r="J7" i="38"/>
  <c r="L183" i="2"/>
  <c r="K6" i="27"/>
  <c r="K182" i="27" s="1"/>
  <c r="P94" i="2"/>
  <c r="Q94" i="2" s="1"/>
  <c r="Q92" i="2" s="1"/>
  <c r="N93" i="27"/>
  <c r="N91" i="27" s="1"/>
  <c r="P93" i="23"/>
  <c r="M93" i="23" s="1"/>
  <c r="M91" i="23" s="1"/>
  <c r="M94" i="2"/>
  <c r="N94" i="2" s="1"/>
  <c r="N92" i="2" s="1"/>
  <c r="Q93" i="27"/>
  <c r="Q91" i="27" s="1"/>
  <c r="T92" i="28"/>
  <c r="T90" i="28" s="1"/>
  <c r="T71" i="28" s="1"/>
  <c r="T5" i="28" s="1"/>
  <c r="O92" i="28"/>
  <c r="M93" i="27"/>
  <c r="M91" i="27" s="1"/>
  <c r="P91" i="27"/>
  <c r="L91" i="27"/>
  <c r="O90" i="28" l="1"/>
  <c r="O71" i="28" s="1"/>
  <c r="O5" i="28" s="1"/>
  <c r="K183" i="27"/>
  <c r="U183" i="28"/>
  <c r="V183" i="28"/>
  <c r="P91" i="23"/>
  <c r="M92" i="2"/>
  <c r="P92" i="2"/>
  <c r="R93" i="27"/>
  <c r="R91" i="27" s="1"/>
  <c r="K181" i="28" l="1"/>
  <c r="O181" i="28"/>
  <c r="T181" i="28"/>
  <c r="P181" i="28"/>
  <c r="P183" i="28" l="1"/>
  <c r="Q183" i="28"/>
  <c r="K183" i="28"/>
  <c r="L183" i="28"/>
  <c r="U33" i="24"/>
  <c r="K33" i="24"/>
  <c r="K32" i="24" s="1"/>
  <c r="K7" i="24" s="1"/>
  <c r="K6" i="24" s="1"/>
  <c r="K181" i="24" s="1"/>
  <c r="P33" i="24"/>
  <c r="P32" i="24" s="1"/>
  <c r="P7" i="24" s="1"/>
  <c r="P6" i="24" s="1"/>
  <c r="P181" i="24" s="1"/>
  <c r="L33" i="24"/>
  <c r="L32" i="24" s="1"/>
  <c r="L7" i="24" s="1"/>
  <c r="L6" i="24" s="1"/>
  <c r="L181" i="24" s="1"/>
  <c r="O33" i="24"/>
  <c r="O32" i="24" s="1"/>
  <c r="O7" i="24" s="1"/>
  <c r="O6" i="24" s="1"/>
  <c r="O181" i="24" s="1"/>
  <c r="N33" i="24"/>
  <c r="N32" i="24" s="1"/>
  <c r="N7" i="24" s="1"/>
  <c r="N6" i="24" s="1"/>
  <c r="N181" i="24" s="1"/>
  <c r="M33" i="24"/>
  <c r="M32" i="24" s="1"/>
  <c r="M7" i="24" s="1"/>
  <c r="M6" i="24" s="1"/>
  <c r="M181" i="24" s="1"/>
  <c r="W81" i="20"/>
  <c r="M82" i="27"/>
  <c r="N82" i="27"/>
  <c r="W83" i="20"/>
  <c r="M81" i="2"/>
  <c r="N81" i="2"/>
  <c r="M83" i="2"/>
  <c r="M79" i="2" s="1"/>
  <c r="M80" i="27"/>
  <c r="M78" i="27"/>
  <c r="M72" i="27" s="1"/>
  <c r="M6" i="27" s="1"/>
  <c r="M182" i="27" s="1"/>
  <c r="L78" i="27"/>
  <c r="L72" i="27" s="1"/>
  <c r="L6" i="27" s="1"/>
  <c r="L182" i="27" s="1"/>
  <c r="L183" i="27" s="1"/>
  <c r="M182" i="2" s="1"/>
  <c r="P82" i="27"/>
  <c r="P82" i="23" s="1"/>
  <c r="M82" i="23" s="1"/>
  <c r="P83" i="2"/>
  <c r="Q83" i="2"/>
  <c r="P80" i="27"/>
  <c r="P81" i="2" s="1"/>
  <c r="N80" i="27"/>
  <c r="N78" i="27"/>
  <c r="N72" i="27" s="1"/>
  <c r="N6" i="27" s="1"/>
  <c r="N182" i="27" s="1"/>
  <c r="Q81" i="2" l="1"/>
  <c r="Q79" i="2" s="1"/>
  <c r="P79" i="2"/>
  <c r="M173" i="2"/>
  <c r="N182" i="2"/>
  <c r="N173" i="2" s="1"/>
  <c r="R82" i="27"/>
  <c r="Q80" i="27"/>
  <c r="P80" i="23"/>
  <c r="Q82" i="27"/>
  <c r="P78" i="27"/>
  <c r="P72" i="27" s="1"/>
  <c r="P6" i="27" s="1"/>
  <c r="P182" i="27" s="1"/>
  <c r="P183" i="27" s="1"/>
  <c r="P182" i="2" s="1"/>
  <c r="R80" i="27"/>
  <c r="R78" i="27" s="1"/>
  <c r="R72" i="27" s="1"/>
  <c r="R6" i="27" s="1"/>
  <c r="R182" i="27" s="1"/>
  <c r="N83" i="2"/>
  <c r="N79" i="2" s="1"/>
  <c r="P78" i="23" l="1"/>
  <c r="P72" i="23" s="1"/>
  <c r="M80" i="23"/>
  <c r="M78" i="23" s="1"/>
  <c r="M72" i="23" s="1"/>
  <c r="Q78" i="27"/>
  <c r="Q72" i="27" s="1"/>
  <c r="Q6" i="27" s="1"/>
  <c r="P173" i="2"/>
  <c r="Q182" i="2"/>
  <c r="Q173" i="2" s="1"/>
</calcChain>
</file>

<file path=xl/sharedStrings.xml><?xml version="1.0" encoding="utf-8"?>
<sst xmlns="http://schemas.openxmlformats.org/spreadsheetml/2006/main" count="20353" uniqueCount="3579">
  <si>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</si>
  <si>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</si>
  <si>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</si>
  <si>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</si>
  <si>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</si>
  <si>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</si>
  <si>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</si>
  <si>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</si>
  <si>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</si>
  <si>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</si>
  <si>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</si>
  <si>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</si>
  <si>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</si>
  <si>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</si>
  <si>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</si>
  <si>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</si>
  <si>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</si>
  <si>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</si>
  <si>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</si>
  <si>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</si>
  <si>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</si>
  <si>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</si>
  <si>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</si>
  <si>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</si>
  <si>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</si>
  <si>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</si>
  <si>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</si>
  <si>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</si>
  <si>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</si>
  <si>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</si>
  <si>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</si>
  <si>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</si>
  <si>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</si>
  <si>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</si>
  <si>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</si>
  <si>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</si>
  <si>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</si>
  <si>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</si>
  <si>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</si>
  <si>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</si>
  <si>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</si>
  <si>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</si>
  <si>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</si>
  <si>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</si>
  <si>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</si>
  <si>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</si>
  <si>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</si>
  <si>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</si>
  <si>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</si>
  <si>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</si>
  <si>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</si>
  <si>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</si>
  <si>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</si>
  <si>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</si>
  <si>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</si>
  <si>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</si>
  <si>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</si>
  <si>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</si>
  <si>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</si>
  <si>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</si>
  <si>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</si>
  <si>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</si>
  <si>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</si>
  <si>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</si>
  <si>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</si>
  <si>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</si>
  <si>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</si>
  <si>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</si>
  <si>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</si>
  <si>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</si>
  <si>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</si>
  <si>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</si>
  <si>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</si>
  <si>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</si>
  <si>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</si>
  <si>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</si>
  <si>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</si>
  <si>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</si>
  <si>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</si>
  <si>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</si>
  <si>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</si>
  <si>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</si>
  <si>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</si>
  <si>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</si>
  <si>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</si>
  <si>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</si>
  <si>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</si>
  <si>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</si>
  <si>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</si>
  <si>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</si>
  <si>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</si>
  <si>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</si>
  <si>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</si>
  <si>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</si>
  <si>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</si>
  <si>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</si>
  <si>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</si>
  <si>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</si>
  <si>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</si>
  <si>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</si>
  <si>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</si>
  <si>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</si>
  <si>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</si>
  <si>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</si>
  <si>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</si>
  <si>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</si>
  <si>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</si>
  <si>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</si>
  <si>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</si>
  <si>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</si>
  <si>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</si>
  <si>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</si>
  <si>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</si>
  <si>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</si>
  <si>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</si>
  <si>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</si>
  <si>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</si>
  <si>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</si>
  <si>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</si>
  <si>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</si>
  <si>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</si>
  <si>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</si>
  <si>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</si>
  <si>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</si>
  <si>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</si>
  <si>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</si>
  <si>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</si>
  <si>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</si>
  <si>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</si>
  <si>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</si>
  <si>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</si>
  <si>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</si>
  <si>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</si>
  <si>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</si>
  <si>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</si>
  <si>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</si>
  <si>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</si>
  <si>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</si>
  <si>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</si>
  <si>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</si>
  <si>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</si>
  <si>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</si>
  <si>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</si>
  <si>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</si>
  <si>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</si>
  <si>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</si>
  <si>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</si>
  <si>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</si>
  <si>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</si>
  <si>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</si>
  <si>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</si>
  <si>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</si>
  <si>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</si>
  <si>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</si>
  <si>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</si>
  <si>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</si>
  <si>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</si>
  <si>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</si>
  <si>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</si>
  <si>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</si>
  <si>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</si>
  <si>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</si>
  <si>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</si>
  <si>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</si>
  <si>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</si>
  <si>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</si>
  <si>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</si>
  <si>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</si>
  <si>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</si>
  <si>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</si>
  <si>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</si>
  <si>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</si>
  <si>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</si>
  <si>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</si>
  <si>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</si>
  <si>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</si>
  <si>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</si>
  <si>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</si>
  <si>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</si>
  <si>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</si>
  <si>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</si>
  <si>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</si>
  <si>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</si>
  <si>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</si>
  <si>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</si>
  <si>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regionas</t>
  </si>
  <si>
    <t>Eismo saugos priemonių diegimas Alytaus rajone</t>
  </si>
  <si>
    <t>Alytaus rajono bendrojo ugdymo įstaigų aprūpinimas gamtos, technologijų, menų ir kitų mokslų laboratorijų įranga</t>
  </si>
  <si>
    <t>Alytaus r. ikimokyklinio ir priešmokyklinio ugdymo prieinamumo didinimas įkuriant ir atnaujinant edukacines erdves</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</si>
  <si>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</si>
  <si>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</si>
  <si>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</si>
  <si>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</si>
  <si>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</si>
  <si>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</si>
  <si>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</si>
  <si>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</si>
  <si>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</si>
  <si>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</si>
  <si>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</si>
  <si>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</si>
  <si>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</si>
  <si>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</si>
  <si>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</si>
  <si>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</si>
  <si>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</si>
  <si>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</si>
  <si>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</si>
  <si>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</si>
  <si>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</si>
  <si>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</si>
  <si>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</si>
  <si>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</si>
  <si>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</si>
  <si>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</si>
  <si>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</si>
  <si>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</si>
  <si>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</si>
  <si>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</si>
  <si>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</si>
  <si>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</si>
  <si>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</si>
  <si>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3.1.2.1.3</t>
  </si>
  <si>
    <t>2.1.1.1.3</t>
  </si>
  <si>
    <t>2.1.1.2.5</t>
  </si>
  <si>
    <t>2.1.1.3.3</t>
  </si>
  <si>
    <t>1.1.1.2.4</t>
  </si>
  <si>
    <t>1.1.1.2.5</t>
  </si>
  <si>
    <t>UAB "Druskininkų vandenys"</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</si>
  <si>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</si>
  <si>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</si>
  <si>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</si>
  <si>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</si>
  <si>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</si>
  <si>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</si>
  <si>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</si>
  <si>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</si>
  <si>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</si>
  <si>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</si>
  <si>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</si>
  <si>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</si>
  <si>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</si>
  <si>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</si>
  <si>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</si>
  <si>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</si>
  <si>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</si>
  <si>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</si>
  <si>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</si>
  <si>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</si>
  <si>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</si>
  <si>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</si>
  <si>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</si>
  <si>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</si>
  <si>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</si>
  <si>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</si>
  <si>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</si>
  <si>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</si>
  <si>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</si>
  <si>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</si>
  <si>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</si>
  <si>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</si>
  <si>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</si>
  <si>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</si>
  <si>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</si>
  <si>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</si>
  <si>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</si>
  <si>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</si>
  <si>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</si>
  <si>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</si>
  <si>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</si>
  <si>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</si>
  <si>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 xml:space="preserve">Varėnos miesto Dainų slėnio infrastruktūros atnaujinimas ir pritaikymas visuomenės poreikiams </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</si>
  <si>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</si>
  <si>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</si>
  <si>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</si>
  <si>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</si>
  <si>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</si>
  <si>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</si>
  <si>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</si>
  <si>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</si>
  <si>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</si>
  <si>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</si>
  <si>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</si>
  <si>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</si>
  <si>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</si>
  <si>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</si>
  <si>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</si>
  <si>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</si>
  <si>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</si>
  <si>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</si>
  <si>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</si>
  <si>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</si>
  <si>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</si>
  <si>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</si>
  <si>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</si>
  <si>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</si>
  <si>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</si>
  <si>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</si>
  <si>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</si>
  <si>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</si>
  <si>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SĮ „Simno komunalininkas“</t>
  </si>
  <si>
    <t>Lazdijų miesto kompleksinė infrastruktūros plėtra, III etapas</t>
  </si>
  <si>
    <t>Motiejaus  Gustaičio  memorialinio  namo  kompleksinis sutvarkymas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</si>
  <si>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</si>
  <si>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</si>
  <si>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</si>
  <si>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</si>
  <si>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</si>
  <si>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</si>
  <si>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Kraštovaizdžio formavimas ir tvarkymas Varėnos r. savivaldybėje (II etapas)</t>
  </si>
  <si>
    <t>Komunalinių atliekų tvarkymo sistemos plėtra Alytaus regione</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</si>
  <si>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</si>
  <si>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</si>
  <si>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</si>
  <si>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</si>
  <si>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</si>
  <si>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</si>
  <si>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</si>
  <si>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</si>
  <si>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</si>
  <si>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</si>
  <si>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</si>
  <si>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Varėnos miesto J. Basanavičiaus, Savanorių ir M. K. Čiurlionio gatvių rekonstrukcija</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</si>
  <si>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</si>
  <si>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</si>
  <si>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</si>
  <si>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</si>
  <si>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</si>
  <si>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</si>
  <si>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</si>
  <si>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</si>
  <si>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</si>
  <si>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</si>
  <si>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</si>
  <si>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</si>
  <si>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</si>
  <si>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</si>
  <si>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</si>
  <si>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</si>
  <si>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</si>
  <si>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</si>
  <si>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</si>
  <si>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</si>
  <si>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</si>
  <si>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</si>
  <si>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</si>
  <si>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</si>
  <si>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</si>
  <si>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</si>
  <si>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</si>
  <si>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</si>
  <si>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Viešųjų pastatų energinio efektyvumo didinimas</t>
  </si>
  <si>
    <t>Kultūros paveldo objektų sutvarkymas ir pritaikymas</t>
  </si>
  <si>
    <t>Viešojo transporto priemonių įsigijimas</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</si>
  <si>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</si>
  <si>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</si>
  <si>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</si>
  <si>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</si>
  <si>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</si>
  <si>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</si>
  <si>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</si>
  <si>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</si>
  <si>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</si>
  <si>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Kitos viešosios infrastruktūros modernizavimas (pastatai ir statiniai): sveikatinimo ir sporto objektai</t>
  </si>
  <si>
    <t>Sveikatos paslaugų plėtra (ne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</si>
  <si>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</si>
  <si>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</si>
  <si>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</si>
  <si>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</si>
  <si>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</si>
  <si>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</si>
  <si>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</si>
  <si>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</si>
  <si>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</si>
  <si>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</si>
  <si>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</si>
  <si>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</si>
  <si>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</si>
  <si>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</si>
  <si>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</si>
  <si>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</si>
  <si>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</si>
  <si>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</si>
  <si>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</si>
  <si>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</si>
  <si>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Dviračių ir pėsčiųjų tako, esančio šalia Ratnyčios upelio, Druskininkų mieste, rekonstrukcija</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</si>
  <si>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</si>
  <si>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</si>
  <si>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</si>
  <si>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</si>
  <si>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</si>
  <si>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</si>
  <si>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</si>
  <si>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</si>
  <si>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</si>
  <si>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</si>
  <si>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Varėnos moksleivių kūrybos centro pastato J. Basanavičiaus g. 38, Varėnoje, modernizavimas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</si>
  <si>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</si>
  <si>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</si>
  <si>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</si>
  <si>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</si>
  <si>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</si>
  <si>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</si>
  <si>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</si>
  <si>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</si>
  <si>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</si>
  <si>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</si>
  <si>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</si>
  <si>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</si>
  <si>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</si>
  <si>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</si>
  <si>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</si>
  <si>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</si>
  <si>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</si>
  <si>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</si>
  <si>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</si>
  <si>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</si>
  <si>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</si>
  <si>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</si>
  <si>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</si>
  <si>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</si>
  <si>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</si>
  <si>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</si>
  <si>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</si>
  <si>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</si>
  <si>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</si>
  <si>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</si>
  <si>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</si>
  <si>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</si>
  <si>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</si>
  <si>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</si>
  <si>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</si>
  <si>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</si>
  <si>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</si>
  <si>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</si>
  <si>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</si>
  <si>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</si>
  <si>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</si>
  <si>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</si>
  <si>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</si>
  <si>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</si>
  <si>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</si>
  <si>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</si>
  <si>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</si>
  <si>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</si>
  <si>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</si>
  <si>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</si>
  <si>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</si>
  <si>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</si>
  <si>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</si>
  <si>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</si>
  <si>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</si>
  <si>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</si>
  <si>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</si>
  <si>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</si>
  <si>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</si>
  <si>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</si>
  <si>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</si>
  <si>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</si>
  <si>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</si>
  <si>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</si>
  <si>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</si>
  <si>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</si>
  <si>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</si>
  <si>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</si>
  <si>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</si>
  <si>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</si>
  <si>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</si>
  <si>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</si>
  <si>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</si>
  <si>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</si>
  <si>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</si>
  <si>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</si>
  <si>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</si>
  <si>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</si>
  <si>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</si>
  <si>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</si>
  <si>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</si>
  <si>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</si>
  <si>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</si>
  <si>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</si>
  <si>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</si>
  <si>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</si>
  <si>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</si>
  <si>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</si>
  <si>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</si>
  <si>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</si>
  <si>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</si>
  <si>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</si>
  <si>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</si>
  <si>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</si>
  <si>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</si>
  <si>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</si>
  <si>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</si>
  <si>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</si>
  <si>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</si>
  <si>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</si>
  <si>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</si>
  <si>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</si>
  <si>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</si>
  <si>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</si>
  <si>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</si>
  <si>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</si>
  <si>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</si>
  <si>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</si>
  <si>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</si>
  <si>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</si>
  <si>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</si>
  <si>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</si>
  <si>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</si>
  <si>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</si>
  <si>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</si>
  <si>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</si>
  <si>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</si>
  <si>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</si>
  <si>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</si>
  <si>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</si>
  <si>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</si>
  <si>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</si>
  <si>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</si>
  <si>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</si>
  <si>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</si>
  <si>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</si>
  <si>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</si>
  <si>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</si>
  <si>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</si>
  <si>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</si>
  <si>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</si>
  <si>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</si>
  <si>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</si>
  <si>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</si>
  <si>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</si>
  <si>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</si>
  <si>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</si>
  <si>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</si>
  <si>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</si>
  <si>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</si>
  <si>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</si>
  <si>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</si>
  <si>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</si>
  <si>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</si>
  <si>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</si>
  <si>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</si>
  <si>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</si>
  <si>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</si>
  <si>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</si>
  <si>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</si>
  <si>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</si>
  <si>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</si>
  <si>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</si>
  <si>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</si>
  <si>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</si>
  <si>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</si>
  <si>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</si>
  <si>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</si>
  <si>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</si>
  <si>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</si>
  <si>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</si>
  <si>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</si>
  <si>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</si>
  <si>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</si>
  <si>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</si>
  <si>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</si>
  <si>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</si>
  <si>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</si>
  <si>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</si>
  <si>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</si>
  <si>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</si>
  <si>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</si>
  <si>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</si>
  <si>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</si>
  <si>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</si>
  <si>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</si>
  <si>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</si>
  <si>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</si>
  <si>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</si>
  <si>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</si>
  <si>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</si>
  <si>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</si>
  <si>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</si>
  <si>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</si>
  <si>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</si>
  <si>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</si>
  <si>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</si>
  <si>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</si>
  <si>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</si>
  <si>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</si>
  <si>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</si>
  <si>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</si>
  <si>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</si>
  <si>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</si>
  <si>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</si>
  <si>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</si>
  <si>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</si>
  <si>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</si>
  <si>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</si>
  <si>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</si>
  <si>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</si>
  <si>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</si>
  <si>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</si>
  <si>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</si>
  <si>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</si>
  <si>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</si>
  <si>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</si>
  <si>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</si>
  <si>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</si>
  <si>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</si>
  <si>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</si>
  <si>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</si>
  <si>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</si>
  <si>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</si>
  <si>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</si>
  <si>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</si>
  <si>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</si>
  <si>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</si>
  <si>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</si>
  <si>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</si>
  <si>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</si>
  <si>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</si>
  <si>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</si>
  <si>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</si>
  <si>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</si>
  <si>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</si>
  <si>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</si>
  <si>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</si>
  <si>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</si>
  <si>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</si>
  <si>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</si>
  <si>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</si>
  <si>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</si>
  <si>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</si>
  <si>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</si>
  <si>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</si>
  <si>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</si>
  <si>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</si>
  <si>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</si>
  <si>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</si>
  <si>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</si>
  <si>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</si>
  <si>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Ekologiškų transporto priemonių įsigijimas  Lazdijų rajono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</si>
  <si>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</si>
  <si>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</si>
  <si>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</si>
  <si>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</si>
  <si>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</si>
  <si>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</si>
  <si>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</si>
  <si>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„Turizmo trasų ir maršrutų informacinės infrastruktūros plėtra  Lazdijų, Varėnos rajonų ir Druskininkų savivaldybėse II etapas“</t>
  </si>
  <si>
    <t>Druskininkų kultūros centro lauko scenos, Vilniaus al. 24, Druskininkai, modernizavimas ir pritaikymas kultūros  poreikiams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</si>
  <si>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</si>
  <si>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</si>
  <si>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</si>
  <si>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</si>
  <si>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</si>
  <si>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</si>
  <si>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</si>
  <si>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</si>
  <si>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</si>
  <si>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</si>
  <si>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</si>
  <si>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</si>
  <si>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</si>
  <si>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</si>
  <si>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</si>
  <si>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</si>
  <si>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</si>
  <si>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</si>
  <si>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</si>
  <si>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</si>
  <si>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</si>
  <si>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</si>
  <si>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</si>
  <si>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</si>
  <si>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</si>
  <si>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</si>
  <si>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</si>
  <si>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</si>
  <si>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</si>
  <si>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</si>
  <si>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</si>
  <si>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</si>
  <si>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</si>
  <si>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</si>
  <si>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</si>
  <si>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</si>
  <si>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</si>
  <si>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</si>
  <si>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</si>
  <si>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</si>
  <si>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</si>
  <si>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</si>
  <si>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</si>
  <si>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</si>
  <si>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</si>
  <si>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</si>
  <si>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</si>
  <si>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</si>
  <si>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</si>
  <si>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 (metais)</t>
  </si>
  <si>
    <t>Vėlavimas )</t>
  </si>
  <si>
    <t>(menesiais)</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</si>
  <si>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</si>
  <si>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</si>
  <si>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</si>
  <si>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</si>
  <si>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</si>
  <si>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</si>
  <si>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</si>
  <si>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</si>
  <si>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</si>
  <si>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</si>
  <si>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</si>
  <si>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</si>
  <si>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</si>
  <si>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</si>
  <si>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</si>
  <si>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</si>
  <si>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</si>
  <si>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</si>
  <si>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</si>
  <si>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</si>
  <si>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</si>
  <si>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</si>
  <si>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</si>
  <si>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</si>
  <si>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</si>
  <si>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</si>
  <si>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</si>
  <si>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</si>
  <si>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</si>
  <si>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</si>
  <si>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</si>
  <si>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</si>
  <si>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</si>
  <si>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</si>
  <si>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</si>
  <si>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</si>
  <si>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</si>
  <si>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</si>
  <si>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</si>
  <si>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</si>
  <si>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</si>
  <si>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</si>
  <si>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</si>
  <si>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</si>
  <si>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</si>
  <si>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</si>
  <si>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</si>
  <si>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</si>
  <si>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</si>
  <si>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</si>
  <si>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</si>
  <si>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</si>
  <si>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</si>
  <si>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9 lentelė. Baigti projektai pagal pagrindinę veiklų grupę (kaupiamuoju būdu, nuo plano įgyvendinimo pradžios).</t>
  </si>
  <si>
    <t>Projektų, kuriems veiklų grupė priskirta kaip pagrindinė, panaudotas finansavimas (iš viso)</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</si>
  <si>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</si>
  <si>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</si>
  <si>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</si>
  <si>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</si>
  <si>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</si>
  <si>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</si>
  <si>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</si>
  <si>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</si>
  <si>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</si>
  <si>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</si>
  <si>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</si>
  <si>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</si>
  <si>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</si>
  <si>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</si>
  <si>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</si>
  <si>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</si>
  <si>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</si>
  <si>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</si>
  <si>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</si>
  <si>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</si>
  <si>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Alytaus lopšelio-darželio " Girinukas" ugdymo aplinkos modernizavimas</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</si>
  <si>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</si>
  <si>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</si>
  <si>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</si>
  <si>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</si>
  <si>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</si>
  <si>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</si>
  <si>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</si>
  <si>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</si>
  <si>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</si>
  <si>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</si>
  <si>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</si>
  <si>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</si>
  <si>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</si>
  <si>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</si>
  <si>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</si>
  <si>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</si>
  <si>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</si>
  <si>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</si>
  <si>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</si>
  <si>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</si>
  <si>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</si>
  <si>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</si>
  <si>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</si>
  <si>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</si>
  <si>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</si>
  <si>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</si>
  <si>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</si>
  <si>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</si>
  <si>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</si>
  <si>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</si>
  <si>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</si>
  <si>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 xml:space="preserve">Nenaudojamų teritorijų Varėnos mieste sutvarkymas ir pritaikymas verslui </t>
  </si>
  <si>
    <t>1.1.1.3.6</t>
  </si>
  <si>
    <t xml:space="preserve">Teritorijų prie daugiabučių gyvenamųjų pastatų Varėnos mieste sutvarkymas ir pritaikymas visuomenės poreikiams  </t>
  </si>
  <si>
    <t>2.1.4.1.6</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</si>
  <si>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</si>
  <si>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</si>
  <si>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</si>
  <si>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</si>
  <si>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</si>
  <si>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</si>
  <si>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</si>
  <si>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sutartis(V)</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</si>
  <si>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</si>
  <si>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</si>
  <si>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</si>
  <si>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</si>
  <si>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</si>
  <si>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</si>
  <si>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</si>
  <si>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</si>
  <si>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</si>
  <si>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</si>
  <si>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</si>
  <si>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</si>
  <si>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</si>
  <si>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</si>
  <si>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</si>
  <si>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</si>
  <si>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</si>
  <si>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</si>
  <si>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</si>
  <si>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</si>
  <si>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</si>
  <si>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</si>
  <si>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</si>
  <si>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</si>
  <si>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</si>
  <si>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</si>
  <si>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</si>
  <si>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</si>
  <si>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</si>
  <si>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</si>
  <si>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</si>
  <si>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</si>
  <si>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</si>
  <si>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</si>
  <si>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</si>
  <si>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</si>
  <si>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</si>
  <si>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</si>
  <si>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</si>
  <si>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</si>
  <si>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</si>
  <si>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</si>
  <si>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</si>
  <si>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</si>
  <si>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</si>
  <si>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</si>
  <si>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</si>
  <si>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</si>
  <si>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</si>
  <si>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</si>
  <si>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</si>
  <si>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</si>
  <si>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</si>
  <si>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</si>
  <si>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</si>
  <si>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</si>
  <si>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</si>
  <si>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</si>
  <si>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</si>
  <si>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</si>
  <si>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</si>
  <si>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</si>
  <si>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</si>
  <si>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</si>
  <si>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</si>
  <si>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</si>
  <si>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</si>
  <si>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</si>
  <si>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</si>
  <si>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</si>
  <si>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</si>
  <si>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</si>
  <si>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</si>
  <si>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</si>
  <si>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</si>
  <si>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</si>
  <si>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</si>
  <si>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</si>
  <si>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</si>
  <si>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</si>
  <si>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</si>
  <si>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</si>
  <si>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</si>
  <si>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</si>
  <si>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</si>
  <si>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</si>
  <si>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</si>
  <si>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</si>
  <si>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</si>
  <si>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</si>
  <si>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</si>
  <si>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</si>
  <si>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</si>
  <si>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</si>
  <si>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</si>
  <si>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[7; 14] gerai</t>
  </si>
  <si>
    <t>[0; 7) patenkinamai</t>
  </si>
  <si>
    <t>3.1.1-r-1</t>
  </si>
  <si>
    <t>Uždavinys. Kraštovaizdžio apsauga, planavimas ir tvarkymas</t>
  </si>
  <si>
    <t>Teritorijų, kuriose įgyvendintos kraštovaizdžio formavimo priemonės, plotas (ha)</t>
  </si>
  <si>
    <t>3.1.2-r-1</t>
  </si>
  <si>
    <t>Uždavinys. Sumažinti sąvartynuose šalinamų komunalinių atliekų kiekį</t>
  </si>
  <si>
    <t>Sąvartynuose šalinamų komunalinių atliekų dalis (proc.)</t>
  </si>
  <si>
    <t>[45; 35] gerai</t>
  </si>
  <si>
    <t>[55; 45) patenkinamai</t>
  </si>
  <si>
    <t>&gt; 55 blogai</t>
  </si>
  <si>
    <t>3  lentelė. Efekto ir rezultato vertinimo kriterijų pasiekimo grafikas.</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</si>
  <si>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</si>
  <si>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</si>
  <si>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</si>
  <si>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</si>
  <si>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</si>
  <si>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</si>
  <si>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</si>
  <si>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</si>
  <si>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</si>
  <si>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</si>
  <si>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</si>
  <si>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</si>
  <si>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</si>
  <si>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</si>
  <si>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</si>
  <si>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</si>
  <si>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</si>
  <si>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</si>
  <si>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</si>
  <si>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</si>
  <si>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</si>
  <si>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</si>
  <si>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</si>
  <si>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</si>
  <si>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</si>
  <si>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</si>
  <si>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</si>
  <si>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</si>
  <si>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</si>
  <si>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</si>
  <si>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</si>
  <si>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</si>
  <si>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</si>
  <si>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</si>
  <si>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</si>
  <si>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</si>
  <si>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</si>
  <si>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</si>
  <si>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</si>
  <si>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</si>
  <si>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</si>
  <si>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</si>
  <si>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</si>
  <si>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</si>
  <si>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</si>
  <si>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</si>
  <si>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</si>
  <si>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</si>
  <si>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</si>
  <si>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</si>
  <si>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</si>
  <si>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</si>
  <si>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</si>
  <si>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</si>
  <si>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</si>
  <si>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</si>
  <si>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</si>
  <si>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</si>
  <si>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</si>
  <si>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</si>
  <si>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</si>
  <si>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</si>
  <si>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</si>
  <si>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</si>
  <si>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</si>
  <si>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</si>
  <si>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b = 12</t>
  </si>
  <si>
    <t>c = 13</t>
  </si>
  <si>
    <t>b = 11</t>
  </si>
  <si>
    <t>b = 10</t>
  </si>
  <si>
    <t>a = 8</t>
  </si>
  <si>
    <t>b = 9</t>
  </si>
  <si>
    <t>c = 10</t>
  </si>
  <si>
    <t>a = 6</t>
  </si>
  <si>
    <t>c = 8</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</si>
  <si>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</si>
  <si>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</si>
  <si>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</si>
  <si>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</si>
  <si>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</si>
  <si>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</si>
  <si>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</si>
  <si>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</si>
  <si>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</si>
  <si>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</si>
  <si>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</si>
  <si>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</si>
  <si>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</si>
  <si>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</si>
  <si>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</si>
  <si>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</si>
  <si>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</si>
  <si>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</si>
  <si>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</si>
  <si>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</si>
  <si>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</si>
  <si>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</si>
  <si>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</si>
  <si>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</si>
  <si>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</si>
  <si>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</si>
  <si>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</si>
  <si>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</si>
  <si>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</si>
  <si>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</si>
  <si>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</si>
  <si>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2.1.1-r-2</t>
  </si>
  <si>
    <t>c = 19</t>
  </si>
  <si>
    <t>b = 25</t>
  </si>
  <si>
    <t>c = 28</t>
  </si>
  <si>
    <t>b = 32</t>
  </si>
  <si>
    <t>a = 19</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</si>
  <si>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</si>
  <si>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</si>
  <si>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</si>
  <si>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</si>
  <si>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</si>
  <si>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</si>
  <si>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</si>
  <si>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</si>
  <si>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</si>
  <si>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</si>
  <si>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</si>
  <si>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</si>
  <si>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</si>
  <si>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</si>
  <si>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</si>
  <si>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</si>
  <si>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</si>
  <si>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</si>
  <si>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</si>
  <si>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</si>
  <si>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</si>
  <si>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</si>
  <si>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</si>
  <si>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</si>
  <si>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</si>
  <si>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</si>
  <si>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</si>
  <si>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</si>
  <si>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</si>
  <si>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</si>
  <si>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</si>
  <si>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</si>
  <si>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</si>
  <si>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</si>
  <si>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</si>
  <si>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</si>
  <si>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</si>
  <si>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</si>
  <si>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</si>
  <si>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</si>
  <si>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</si>
  <si>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</si>
  <si>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</si>
  <si>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</si>
  <si>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</si>
  <si>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</si>
  <si>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</si>
  <si>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</si>
  <si>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</si>
  <si>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</si>
  <si>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</si>
  <si>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</si>
  <si>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</si>
  <si>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</si>
  <si>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</si>
  <si>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</si>
  <si>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</si>
  <si>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</si>
  <si>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</si>
  <si>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</si>
  <si>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</si>
  <si>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</si>
  <si>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</si>
  <si>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</si>
  <si>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</si>
  <si>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</si>
  <si>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</si>
  <si>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</si>
  <si>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</si>
  <si>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</si>
  <si>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</si>
  <si>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</si>
  <si>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</si>
  <si>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</si>
  <si>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</si>
  <si>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</si>
  <si>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</si>
  <si>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</si>
  <si>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</si>
  <si>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</si>
  <si>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</si>
  <si>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</si>
  <si>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</si>
  <si>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</si>
  <si>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</si>
  <si>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</si>
  <si>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</si>
  <si>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</si>
  <si>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</si>
  <si>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</si>
  <si>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</si>
  <si>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</si>
  <si>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</si>
  <si>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</si>
  <si>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</si>
  <si>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</si>
  <si>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</si>
  <si>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</si>
  <si>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</si>
  <si>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</si>
  <si>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</si>
  <si>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</si>
  <si>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</si>
  <si>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</si>
  <si>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</si>
  <si>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</si>
  <si>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</si>
  <si>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</si>
  <si>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</si>
  <si>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</si>
  <si>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</si>
  <si>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t>–</t>
  </si>
  <si>
    <r>
      <t xml:space="preserve">Įvertinimas </t>
    </r>
    <r>
      <rPr>
        <i/>
        <sz val="11"/>
        <color rgb="FF000000"/>
        <rFont val="Times New Roman"/>
        <family val="1"/>
        <charset val="186"/>
      </rPr>
      <t>(labai gerai, gerai, patenkinamai, blogai)</t>
    </r>
  </si>
  <si>
    <t>Pritrauktos papildomos materialinės investicijos į tikslines teritorijas, (tūkst. EUR)</t>
  </si>
  <si>
    <r>
      <t>–</t>
    </r>
    <r>
      <rPr>
        <b/>
        <sz val="12"/>
        <color rgb="FF000000"/>
        <rFont val="Times New Roman"/>
        <family val="1"/>
        <charset val="186"/>
      </rPr>
      <t> </t>
    </r>
  </si>
  <si>
    <t> -</t>
  </si>
  <si>
    <r>
      <t>labai gerai</t>
    </r>
    <r>
      <rPr>
        <b/>
        <sz val="12"/>
        <color rgb="FF000000"/>
        <rFont val="Times New Roman"/>
        <family val="1"/>
        <charset val="186"/>
      </rPr>
      <t> </t>
    </r>
  </si>
  <si>
    <t>Tikslinių grupių asmenys, gavę tiesioginės naudos iš investicijų į socialinių paslaugų infrastruktūrą (skaičius)</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</si>
  <si>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</si>
  <si>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</si>
  <si>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</si>
  <si>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</si>
  <si>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</si>
  <si>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</si>
  <si>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</si>
  <si>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</si>
  <si>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</si>
  <si>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</si>
  <si>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</si>
  <si>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</si>
  <si>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</si>
  <si>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</si>
  <si>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</si>
  <si>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</si>
  <si>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</si>
  <si>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</si>
  <si>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</si>
  <si>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</si>
  <si>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</si>
  <si>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</si>
  <si>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</si>
  <si>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</si>
  <si>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</si>
  <si>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</si>
  <si>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</si>
  <si>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</si>
  <si>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</si>
  <si>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</si>
  <si>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</si>
  <si>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</si>
  <si>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</si>
  <si>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</si>
  <si>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</si>
  <si>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</si>
  <si>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</si>
  <si>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</si>
  <si>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</si>
  <si>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</si>
  <si>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</si>
  <si>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</si>
  <si>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</si>
  <si>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</si>
  <si>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</si>
  <si>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</si>
  <si>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</si>
  <si>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</si>
  <si>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</si>
  <si>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</si>
  <si>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</si>
  <si>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</si>
  <si>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Priemonių gerinančių ambulatorinių sveikatos priežiūros paslaugų prieinamumą tuberkulioze sergantiems asmenims, Alytaus rajone įgyvendinimas</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</si>
  <si>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</si>
  <si>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</si>
  <si>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</si>
  <si>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</si>
  <si>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</si>
  <si>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</si>
  <si>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</si>
  <si>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</si>
  <si>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</si>
  <si>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</si>
  <si>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</si>
  <si>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</si>
  <si>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</si>
  <si>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 xml:space="preserve">Paslaugų tuberkulioze sergantiems asmenims gerinimas Lazdijų rajono savivaldybėje </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</si>
  <si>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</si>
  <si>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</si>
  <si>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</si>
  <si>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</si>
  <si>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</si>
  <si>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</si>
  <si>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</si>
  <si>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</si>
  <si>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</si>
  <si>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</si>
  <si>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</si>
  <si>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</si>
  <si>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</si>
  <si>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</si>
  <si>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</si>
  <si>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</si>
  <si>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</si>
  <si>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</si>
  <si>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</si>
  <si>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</si>
  <si>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</si>
  <si>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</si>
  <si>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</si>
  <si>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</si>
  <si>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</si>
  <si>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</si>
  <si>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</si>
  <si>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</si>
  <si>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</si>
  <si>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</si>
  <si>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</si>
  <si>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</si>
  <si>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</si>
  <si>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</si>
  <si>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</si>
  <si>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</si>
  <si>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</si>
  <si>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</si>
  <si>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Vėlavimas</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</si>
  <si>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</si>
  <si>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</si>
  <si>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</si>
  <si>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</si>
  <si>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</si>
  <si>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</si>
  <si>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</si>
  <si>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</si>
  <si>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</si>
  <si>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</si>
  <si>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</si>
  <si>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</si>
  <si>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</si>
  <si>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</si>
  <si>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</si>
  <si>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</si>
  <si>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</si>
  <si>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</si>
  <si>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</si>
  <si>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</si>
  <si>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</si>
  <si>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</si>
  <si>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</si>
  <si>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</si>
  <si>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</si>
  <si>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</si>
  <si>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</si>
  <si>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</si>
  <si>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</si>
  <si>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</si>
  <si>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</si>
  <si>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</si>
  <si>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</si>
  <si>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</si>
  <si>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</si>
  <si>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</si>
  <si>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</si>
  <si>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</si>
  <si>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</si>
  <si>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</si>
  <si>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</si>
  <si>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</si>
  <si>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</si>
  <si>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</si>
  <si>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R01-0014-060700-1154</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</si>
  <si>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</si>
  <si>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</si>
  <si>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</si>
  <si>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</si>
  <si>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</si>
  <si>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</si>
  <si>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</si>
  <si>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</si>
  <si>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</si>
  <si>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</si>
  <si>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</si>
  <si>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</si>
  <si>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</si>
  <si>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</si>
  <si>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</si>
  <si>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</si>
  <si>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</si>
  <si>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</si>
  <si>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</si>
  <si>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</si>
  <si>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</si>
  <si>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</si>
  <si>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</si>
  <si>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</si>
  <si>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</si>
  <si>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</si>
  <si>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</si>
  <si>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</si>
  <si>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</si>
  <si>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</si>
  <si>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</si>
  <si>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</si>
  <si>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</si>
  <si>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</si>
  <si>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</si>
  <si>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</si>
  <si>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</si>
  <si>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</si>
  <si>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</si>
  <si>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</si>
  <si>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</si>
  <si>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</si>
  <si>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</si>
  <si>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</si>
  <si>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</si>
  <si>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</si>
  <si>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</si>
  <si>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</si>
  <si>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</si>
  <si>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</si>
  <si>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</si>
  <si>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</si>
  <si>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</si>
  <si>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</si>
  <si>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</si>
  <si>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</si>
  <si>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</si>
  <si>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</si>
  <si>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</si>
  <si>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</si>
  <si>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</si>
  <si>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</si>
  <si>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</si>
  <si>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</si>
  <si>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</si>
  <si>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</si>
  <si>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</si>
  <si>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</si>
  <si>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</si>
  <si>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</si>
  <si>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</si>
  <si>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</si>
  <si>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</si>
  <si>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</si>
  <si>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</si>
  <si>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</si>
  <si>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</si>
  <si>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</si>
  <si>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</si>
  <si>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</si>
  <si>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</si>
  <si>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</si>
  <si>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</si>
  <si>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</si>
  <si>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</si>
  <si>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</si>
  <si>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</si>
  <si>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</si>
  <si>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</si>
  <si>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</si>
  <si>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</si>
  <si>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</si>
  <si>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</si>
  <si>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</si>
  <si>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</si>
  <si>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</si>
  <si>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</si>
  <si>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</si>
  <si>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</si>
  <si>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</si>
  <si>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</si>
  <si>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</si>
  <si>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</si>
  <si>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</si>
  <si>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</si>
  <si>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</si>
  <si>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</si>
  <si>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</si>
  <si>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</si>
  <si>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</si>
  <si>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</si>
  <si>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</si>
  <si>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</si>
  <si>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</si>
  <si>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</si>
  <si>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</si>
  <si>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</si>
  <si>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</si>
  <si>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</si>
  <si>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</si>
  <si>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</si>
  <si>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</si>
  <si>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</si>
  <si>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</si>
  <si>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</si>
  <si>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</si>
  <si>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</si>
  <si>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 xml:space="preserve">Alytaus poliklinikos teikiamų pirminės sveikatos priežiūros paslaugų prieinamumo didinimas ir kokybės gerinimas </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</si>
  <si>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</si>
  <si>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</si>
  <si>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</si>
  <si>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</si>
  <si>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</si>
  <si>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</si>
  <si>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</si>
  <si>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</si>
  <si>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</si>
  <si>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</si>
  <si>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</si>
  <si>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</si>
  <si>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Sveikatos priežiūros paslaugų gerinimas "UAB "Disolis"</t>
  </si>
  <si>
    <t>UAB „Disolis“</t>
  </si>
  <si>
    <t>VšĮ Druskininkų pirminės sveikatos priežiūros centras</t>
  </si>
  <si>
    <t>UAB „Druskininkų šeimos klinika“</t>
  </si>
  <si>
    <t>I. S. Kavaliauskienės įmonės teikiamų pirminės ambulatorinės asmens sveikatos priežiūros paslaugų kokybės ir prieinamumo gerinimas.</t>
  </si>
  <si>
    <t>Irenos Stanislavos Kavaliauskienės įmonė</t>
  </si>
  <si>
    <t>UAB „Rasos Ambrazaitienės šeimos gydytojo kabinetas“</t>
  </si>
  <si>
    <t xml:space="preserve">Pirminės asmens sveikatos priežiūros veiklos efektyvumo didinimas Lazdijų rajono savivaldybėje </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</si>
  <si>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</si>
  <si>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</si>
  <si>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</si>
  <si>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</si>
  <si>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</si>
  <si>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</si>
  <si>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</si>
  <si>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</si>
  <si>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</si>
  <si>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</si>
  <si>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</si>
  <si>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</si>
  <si>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Pirminės ambulatorinės asmens sveikatos priežiūros efektyvumo didinimas R.Ambrazaitienės ir L. Puzinovienės šeimos gydytojų kabinetuose</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</si>
  <si>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</si>
  <si>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</si>
  <si>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</si>
  <si>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</si>
  <si>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</si>
  <si>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</si>
  <si>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</si>
  <si>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</si>
  <si>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</si>
  <si>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</si>
  <si>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</si>
  <si>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</si>
  <si>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</si>
  <si>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</si>
  <si>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</si>
  <si>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</si>
  <si>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</si>
  <si>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</si>
  <si>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</si>
  <si>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</si>
  <si>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</si>
  <si>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</si>
  <si>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</si>
  <si>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</si>
  <si>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</si>
  <si>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</si>
  <si>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</si>
  <si>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</si>
  <si>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</si>
  <si>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</si>
  <si>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</si>
  <si>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</si>
  <si>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</si>
  <si>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</si>
  <si>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</si>
  <si>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</si>
  <si>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</si>
  <si>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</si>
  <si>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</si>
  <si>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</si>
  <si>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</si>
  <si>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</si>
  <si>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</si>
  <si>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</si>
  <si>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</si>
  <si>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</si>
  <si>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</si>
  <si>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</si>
  <si>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</si>
  <si>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</si>
  <si>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</si>
  <si>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</si>
  <si>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</si>
  <si>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</si>
  <si>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</si>
  <si>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</si>
  <si>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</si>
  <si>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</si>
  <si>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</si>
  <si>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</si>
  <si>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</si>
  <si>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</si>
  <si>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</si>
  <si>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</si>
  <si>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</si>
  <si>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</si>
  <si>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</si>
  <si>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</si>
  <si>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</si>
  <si>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</si>
  <si>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</si>
  <si>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</si>
  <si>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</si>
  <si>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</si>
  <si>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</si>
  <si>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</si>
  <si>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</si>
  <si>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</si>
  <si>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</si>
  <si>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</si>
  <si>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</si>
  <si>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</si>
  <si>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</si>
  <si>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</si>
  <si>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</si>
  <si>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</si>
  <si>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</si>
  <si>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</si>
  <si>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</si>
  <si>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</si>
  <si>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</si>
  <si>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</si>
  <si>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</si>
  <si>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</si>
  <si>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</si>
  <si>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</si>
  <si>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</si>
  <si>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</si>
  <si>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</si>
  <si>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</si>
  <si>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</si>
  <si>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</si>
  <si>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</si>
  <si>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</si>
  <si>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</si>
  <si>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</si>
  <si>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</si>
  <si>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</si>
  <si>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</si>
  <si>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</si>
  <si>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</si>
  <si>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</si>
  <si>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</si>
  <si>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</si>
  <si>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</si>
  <si>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</si>
  <si>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</si>
  <si>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</si>
  <si>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</si>
  <si>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</si>
  <si>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</si>
  <si>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</si>
  <si>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</si>
  <si>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</si>
  <si>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</si>
  <si>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</si>
  <si>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</si>
  <si>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</si>
  <si>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</si>
  <si>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</si>
  <si>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</si>
  <si>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</si>
  <si>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</si>
  <si>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</si>
  <si>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</si>
  <si>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</si>
  <si>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</si>
  <si>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</si>
  <si>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</si>
  <si>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</si>
  <si>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</si>
  <si>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</si>
  <si>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</si>
  <si>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</si>
  <si>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viso</t>
  </si>
  <si>
    <t>06.2.1-TID-R-511-11-0006</t>
  </si>
  <si>
    <t>06.2.1-TID-R-511-11-0004</t>
  </si>
  <si>
    <t>04.5.1-TID-R-516-11-0005</t>
  </si>
  <si>
    <t>05.4.1-CPVA-R-302-11-0001</t>
  </si>
  <si>
    <t>05.4.1-CPVA-R-302-11-0002</t>
  </si>
  <si>
    <t>05.4.1-CPVA-R-302-11-0004</t>
  </si>
  <si>
    <t>05.4.1-CPVA-R-302-11-0005</t>
  </si>
  <si>
    <t>05.4.1-CPVA-R-302-11-0003</t>
  </si>
  <si>
    <t>07.1.1-CPVA-R-905-11-0004</t>
  </si>
  <si>
    <t>08.2.1-CPVA-R-908-11-0002</t>
  </si>
  <si>
    <t>08.2.1-CPVA-R-908-11-0003</t>
  </si>
  <si>
    <t>08.2.1-CPVA-R-908-11-0004</t>
  </si>
  <si>
    <t>08.4.2-ESFA-R-630-11-0001</t>
  </si>
  <si>
    <t>08.4.2-ESFA-R-630-11-0002</t>
  </si>
  <si>
    <t>08.4.2-ESFA-R-630-11-0003</t>
  </si>
  <si>
    <t>08.4.2-ESFA-R-630-11-0004</t>
  </si>
  <si>
    <t>08.4.2-ESFA-R-630-11-0005</t>
  </si>
  <si>
    <t>08.4.2-ESFA-R-615-11-0001</t>
  </si>
  <si>
    <t>08.4.2-ESFA-R-615-11-0002</t>
  </si>
  <si>
    <t>08.4.2-ESFA-R-615-11-0003</t>
  </si>
  <si>
    <t>08.4.2-ESFA-R-615-11-0004</t>
  </si>
  <si>
    <t>10.1.3-ESFA-R-920-11-0005</t>
  </si>
  <si>
    <t>10.1.3-ESFA-R-920-11-0006</t>
  </si>
  <si>
    <t>10.1.3-ESFA-R-920-11-0007</t>
  </si>
  <si>
    <t>05.5.1-APVA-R-019-11-0006</t>
  </si>
  <si>
    <r>
      <t>5.2.</t>
    </r>
    <r>
      <rPr>
        <b/>
        <sz val="7"/>
        <rFont val="Times New Roman"/>
        <family val="1"/>
        <charset val="186"/>
      </rPr>
      <t xml:space="preserve">    </t>
    </r>
    <r>
      <rPr>
        <b/>
        <sz val="12"/>
        <rFont val="Times New Roman"/>
        <family val="1"/>
        <charset val="186"/>
      </rPr>
      <t>VERTINIMO KRITERIJŲ REIKŠMIŲ APSKAIČIAVIMO METODAI, DALYVAUJANČIOS INSTITUCIJOS IR DUOMENŲ ŠALTINIAI</t>
    </r>
  </si>
  <si>
    <r>
      <t>Antriniai šaltiniai:</t>
    </r>
    <r>
      <rPr>
        <sz val="12"/>
        <rFont val="Times New Roman"/>
        <family val="1"/>
        <charset val="186"/>
      </rPr>
      <t xml:space="preserve"> metinės veiksmų programos įgyvendinimo ataskaitos, </t>
    </r>
  </si>
  <si>
    <r>
      <rPr>
        <b/>
        <sz val="12"/>
        <rFont val="Times New Roman"/>
        <family val="1"/>
        <charset val="186"/>
      </rPr>
      <t>Pirminiai šaltiniai:</t>
    </r>
    <r>
      <rPr>
        <sz val="12"/>
        <rFont val="Times New Roman"/>
        <family val="1"/>
        <charset val="186"/>
      </rPr>
      <t xml:space="preserve">
Higienos instituto Sveikatos informacijos centro tvarkomi Lietuvos sveikatos statistikos duomenys."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</si>
  <si>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Pirminiai šaltiniai</t>
    </r>
    <r>
      <rPr>
        <sz val="12"/>
        <rFont val="Times New Roman"/>
        <family val="1"/>
        <charset val="186"/>
      </rPr>
      <t>: pažyma apie per metus socialines paslaugas gavusius asmenis ir įstaigoje (įstaigos padalinyje) dirbusius darbuotojus.</t>
    </r>
  </si>
  <si>
    <r>
      <t>Antriniai šaltiniai:</t>
    </r>
    <r>
      <rPr>
        <sz val="12"/>
        <rFont val="Times New Roman"/>
        <family val="1"/>
        <charset val="186"/>
      </rPr>
      <t xml:space="preserve"> ataskaitos po projekto finansavimo pabaigos</t>
    </r>
  </si>
  <si>
    <r>
      <t>Pirminiai šaltiniai</t>
    </r>
    <r>
      <rPr>
        <sz val="12"/>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</si>
  <si>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rFont val="Times New Roman"/>
        <family val="1"/>
        <charset val="186"/>
      </rPr>
      <t>:</t>
    </r>
  </si>
  <si>
    <r>
      <rPr>
        <b/>
        <sz val="12"/>
        <rFont val="Times New Roman"/>
        <family val="1"/>
        <charset val="186"/>
      </rPr>
      <t>Pirminiai šaltiniai:</t>
    </r>
    <r>
      <rPr>
        <sz val="12"/>
        <rFont val="Times New Roman"/>
        <family val="1"/>
        <charset val="186"/>
      </rPr>
      <t xml:space="preserve">
Alytaus regiono atliekų tvarkymo centro metinė veiklos ataskaita
http://www.aratc.lt/aratc-veiklos-ataskaitos/metiniai-pranesimai "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</si>
  <si>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5.3.</t>
    </r>
    <r>
      <rPr>
        <b/>
        <sz val="7"/>
        <rFont val="Times New Roman"/>
        <family val="1"/>
        <charset val="186"/>
      </rPr>
      <t xml:space="preserve">                               </t>
    </r>
    <r>
      <rPr>
        <b/>
        <sz val="12"/>
        <rFont val="Times New Roman"/>
        <family val="1"/>
        <charset val="186"/>
      </rPr>
      <t>VISUOMENĖS INFORMAVIMO APIE PLANO ĮGYVENDINIMĄ PRIEMONĖS</t>
    </r>
  </si>
  <si>
    <t>08.4.2-ESFA-R-615-11-0005</t>
  </si>
  <si>
    <r>
      <t>a</t>
    </r>
    <r>
      <rPr>
        <sz val="11"/>
        <color rgb="FF000000"/>
        <rFont val="Times New Roman"/>
        <family val="1"/>
        <charset val="186"/>
      </rPr>
      <t xml:space="preserve"> </t>
    </r>
    <r>
      <rPr>
        <sz val="12"/>
        <color rgb="FF000000"/>
        <rFont val="Times New Roman"/>
        <family val="1"/>
        <charset val="186"/>
      </rPr>
      <t xml:space="preserve">&gt; [a;+∞)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</si>
  <si>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(a; b) </t>
    </r>
    <r>
      <rPr>
        <sz val="11"/>
        <color rgb="FF000000"/>
        <rFont val="Times New Roman"/>
        <family val="1"/>
        <charset val="186"/>
      </rPr>
      <t>– gerai</t>
    </r>
  </si>
  <si>
    <r>
      <t>c</t>
    </r>
    <r>
      <rPr>
        <sz val="12"/>
        <color rgb="FF000000"/>
        <rFont val="Times New Roman"/>
        <family val="1"/>
        <charset val="186"/>
      </rPr>
      <t>[b; c]  patenkinamai</t>
    </r>
  </si>
  <si>
    <t>[c;- ∞) - blogai</t>
  </si>
  <si>
    <t>a &gt; [a;+∞) – labai gerai
b (a; b) – gerai
c[b; c]  patenkinamai
[c;- ∞) - blogai</t>
  </si>
  <si>
    <t>a &gt; [a;-∞) – labai gerai
b (a; b) – gerai
c[b; c]  patenkinamai
[c;+∞) - blogai</t>
  </si>
  <si>
    <t>a = 12
b = 7
c = 0</t>
  </si>
  <si>
    <t>a = 19
b = 11
c =  6</t>
  </si>
  <si>
    <t>a = 38 
b = 25
c = 13</t>
  </si>
  <si>
    <t>a = 51
b = 32
c = 19</t>
  </si>
  <si>
    <t>a = 62
b = 47
c = 28</t>
  </si>
  <si>
    <t xml:space="preserve">Investicijas gavusiose įstaigose esančios vietos socialinių paslaugų gavėjams (Skaičius) </t>
  </si>
  <si>
    <t>a = 10
b = 5
c = 0</t>
  </si>
  <si>
    <t>a = 15
b = 9
c = 5</t>
  </si>
  <si>
    <t xml:space="preserve">a = 30
b = 20
c = 10  </t>
  </si>
  <si>
    <t xml:space="preserve">a = 47
b = 35
c = 25   </t>
  </si>
  <si>
    <t xml:space="preserve">a = 40
b = 25
c = 15   </t>
  </si>
  <si>
    <t>a = 3.9
b = 2
c=1</t>
  </si>
  <si>
    <t>a = 6
b = 4
c = 3.9</t>
  </si>
  <si>
    <t>a = 8
b = 6
c = 4</t>
  </si>
  <si>
    <t>a = 10
b = 8
c = 6</t>
  </si>
  <si>
    <t>a = 12
b = 10
c = 8</t>
  </si>
  <si>
    <t>a = 14
b = 12
c = 8</t>
  </si>
  <si>
    <t>Panaudota 
2017</t>
  </si>
  <si>
    <t>Panaudota
 2018</t>
  </si>
  <si>
    <t>Panaudota 
2018</t>
  </si>
  <si>
    <t>08.1.3-CPVA-R-609-11-0001</t>
  </si>
  <si>
    <t>06.2.1-TID-R-511-11-0008</t>
  </si>
  <si>
    <t>06.2.1-TID-R-511-11-0007</t>
  </si>
  <si>
    <t>04.5.1-TID-R-518-11-0001</t>
  </si>
  <si>
    <t>04.5.1-TID-R-518-11-0002</t>
  </si>
  <si>
    <t>ES lėšos
sąrašas</t>
  </si>
  <si>
    <t>Kitos viešosios lėšos
sąrašas</t>
  </si>
  <si>
    <t>Privačios lėšos
sąrašas</t>
  </si>
  <si>
    <t>Valstybės biudžetas
sąrašas</t>
  </si>
  <si>
    <t>Savivaldybės biudžetas
sąrašas</t>
  </si>
  <si>
    <t>Iš viso:
sąrašas</t>
  </si>
  <si>
    <t>Iš viso:
sutartis</t>
  </si>
  <si>
    <t>Savivaldybės biudžetas
sutartis</t>
  </si>
  <si>
    <t>Valstybės biudžetas
sutartis</t>
  </si>
  <si>
    <t>Privačios lėšos
sutartis</t>
  </si>
  <si>
    <t>Kitos viešosios lėšos
sutartis</t>
  </si>
  <si>
    <t>ES lėšos
sutartis</t>
  </si>
  <si>
    <t>R01-0014-060750-1152</t>
  </si>
  <si>
    <t>pasirinktos</t>
  </si>
  <si>
    <t>AMV</t>
  </si>
  <si>
    <t>EMV</t>
  </si>
  <si>
    <t>KMV</t>
  </si>
  <si>
    <t>SADMV</t>
  </si>
  <si>
    <t>SMV</t>
  </si>
  <si>
    <t>SAMV</t>
  </si>
  <si>
    <t>ŠMMV</t>
  </si>
  <si>
    <t>ŪMV</t>
  </si>
  <si>
    <t>VRMV</t>
  </si>
  <si>
    <t>ŽŪMV</t>
  </si>
  <si>
    <t>–V</t>
  </si>
  <si>
    <t>00</t>
  </si>
  <si>
    <t>01</t>
  </si>
  <si>
    <t>Aukštojo mokslo įstaigų modernizavimas</t>
  </si>
  <si>
    <t>Viešoji tyrimų ir inovacijų infrastruktūra</t>
  </si>
  <si>
    <t>02</t>
  </si>
  <si>
    <t>Profesinio ar suaugusiųjų mokymo įstaigų modernizavimas</t>
  </si>
  <si>
    <t>Viešosios infrastruktūros (išskyrus pastatus) energinio efektyvumo didinimas</t>
  </si>
  <si>
    <t>03</t>
  </si>
  <si>
    <t>Kompleksinių paveldo objektų sutvarkymas ir pritaikymas</t>
  </si>
  <si>
    <t>Gyvenamųjų namų energinio efektyvumo didinimas</t>
  </si>
  <si>
    <t>04</t>
  </si>
  <si>
    <t>Kita (nepriskirta kitoms grupėms) viešoji infrastruktūra ar paslaugos</t>
  </si>
  <si>
    <t>Viešosios turizmo paslaugos</t>
  </si>
  <si>
    <t>Valstybinės reikšmės keliai ir gatvės (statyba)</t>
  </si>
  <si>
    <t>05</t>
  </si>
  <si>
    <t>Privačių juridinių asmenų ir juridinio asmens statuso neturinčių organizacijų gamybos srities projektai</t>
  </si>
  <si>
    <t>Valstybinės reikšmės keliai ir gatvės (rekonstrukcija)</t>
  </si>
  <si>
    <t>06</t>
  </si>
  <si>
    <t>Privačių juridinių asmenų ir juridinio asmens statuso neturinčių organizacijų paslaugų srities projektai</t>
  </si>
  <si>
    <t>Gamtos paveldo objektų sutvarkymas ir pritaikymas</t>
  </si>
  <si>
    <t>07</t>
  </si>
  <si>
    <t>Daugiarūšio transporto plėtra</t>
  </si>
  <si>
    <t>08</t>
  </si>
  <si>
    <t>Oro uostų ir aerodromų infrastruktūra</t>
  </si>
  <si>
    <t>09</t>
  </si>
  <si>
    <t>Regioninė ir vietinė vandens transporto infrastruktūra</t>
  </si>
  <si>
    <t>10</t>
  </si>
  <si>
    <t>11</t>
  </si>
  <si>
    <t>Kitos viešosios infrastruktūros modernizavimas (konversija): pramoninių, buvusių karinių, inžinerinių ir pan. objektų ir teritorijų konversija</t>
  </si>
  <si>
    <t>12</t>
  </si>
  <si>
    <t>13</t>
  </si>
  <si>
    <t>14</t>
  </si>
  <si>
    <t>Oro kokybės gerinimas (gatvių valymo technikos įsigijimas, technologijų diegimas)</t>
  </si>
  <si>
    <t>15</t>
  </si>
  <si>
    <t>16</t>
  </si>
  <si>
    <t>Natura 2000 teritorijų tvarkymas ir pritaikymas</t>
  </si>
  <si>
    <t>17</t>
  </si>
  <si>
    <t>Užterštų teritorijų išvalymas</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</si>
  <si>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</si>
  <si>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</si>
  <si>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</si>
  <si>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</si>
  <si>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</si>
  <si>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</si>
  <si>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</si>
  <si>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</si>
  <si>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</si>
  <si>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</si>
  <si>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</si>
  <si>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</si>
  <si>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</si>
  <si>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</si>
  <si>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</si>
  <si>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</si>
  <si>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</si>
  <si>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</si>
  <si>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</si>
  <si>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</si>
  <si>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</si>
  <si>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</si>
  <si>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</si>
  <si>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</si>
  <si>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</si>
  <si>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</si>
  <si>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</si>
  <si>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</si>
  <si>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</si>
  <si>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48</t>
  </si>
  <si>
    <t>49</t>
  </si>
  <si>
    <t>50</t>
  </si>
  <si>
    <t>51</t>
  </si>
  <si>
    <t>52</t>
  </si>
  <si>
    <t>Min_veikla</t>
  </si>
  <si>
    <t>R01-5516-190000-1234</t>
  </si>
  <si>
    <t>R01-0019-283800-3217</t>
  </si>
  <si>
    <t>Projektų, kuriems veiklų grupė priskirta kaip pagrindinė, lėšų poreikis, EUR (ES parama)</t>
  </si>
  <si>
    <t>R01-0014-070650-1153</t>
  </si>
  <si>
    <t>R01-9908-290000-1123</t>
  </si>
  <si>
    <t>R01-0014-060750-1155</t>
  </si>
  <si>
    <t>Teikiamų paslaugų procesų tobulinimas ir asmenų aptarnavimo kokybės gerinimas Alytaus m. sav. administracijoje ir jai pavaldžiose įstaigose. II etapas</t>
  </si>
  <si>
    <t>Teikiamų paslaugų procesų tobulinimas ir asmenų aptarnavimo kokybės gerinimas Alytaus m. sav. administracijoje ir jai pavaldžiose įstaigose. I etapas</t>
  </si>
  <si>
    <t>Regionų plėtros planų rengimo</t>
  </si>
  <si>
    <t>metodikos</t>
  </si>
  <si>
    <t>6 priedas</t>
  </si>
  <si>
    <t xml:space="preserve">PLANO ĮGYVENDINIMO STEBĖSENOS DUOMENŲ SUVESTINĖ </t>
  </si>
  <si>
    <r>
      <t xml:space="preserve">Paskutinio duomenų atnaujinimo data: </t>
    </r>
    <r>
      <rPr>
        <b/>
        <i/>
        <sz val="12"/>
        <color theme="1"/>
        <rFont val="Times New Roman"/>
        <family val="1"/>
        <charset val="186"/>
      </rPr>
      <t>METAI, MĖNUO, DIENA</t>
    </r>
  </si>
  <si>
    <t>2 lentelė. Pagrindinių projektų įgyvendinimo etapų terminai – projektų įtraukimas į regiono arba valstybės projektų sąrašus*.</t>
  </si>
  <si>
    <t>* Pildoma projektams, kuriuos buvo numatyta įtraukti į regiono arba valstybės projektų sąrašus iki einamojo ketvirčio pabaigos.</t>
  </si>
  <si>
    <t>**R – regiono projektas, V – valstybės projektas, KT – projektas, atrinktas kitu atrankos būdu.</t>
  </si>
  <si>
    <t>*** ITI – projektas, įgyvendinamas pagal integruotą teritorijos (-ų) vystymo programą, RSP – regioninės svarbos projektas.</t>
  </si>
  <si>
    <t xml:space="preserve">**** 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</si>
  <si>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Unikalus numeris****</t>
  </si>
  <si>
    <t>Pareiškėjas / projekto vykdytojas</t>
  </si>
  <si>
    <t>R/V/KT**</t>
  </si>
  <si>
    <t>ITI, RSP***</t>
  </si>
  <si>
    <t>Vėlavimas (mėnesiais)</t>
  </si>
  <si>
    <t>Faktiškai įvykdyta (metai, mėnuo)</t>
  </si>
  <si>
    <t>Planuota (metai, mėnuo)</t>
  </si>
  <si>
    <t>,</t>
  </si>
  <si>
    <t>Unikalus numeris</t>
  </si>
  <si>
    <t>Lėšų poreikis ir finansavimo šaltiniai (Eur)</t>
  </si>
  <si>
    <t>Kita tarptautinė finansinė parama</t>
  </si>
  <si>
    <t>* Pildoma projektams, kuriuos buvo numatyta užbaigti iki einamųjų metų pabaigos</t>
  </si>
  <si>
    <t>R/V/KT</t>
  </si>
  <si>
    <t>ITI, RSP</t>
  </si>
  <si>
    <t>*Pildoma projektams, kurių finansavimo sutartis buvo numatyta sudaryti iki einamojo ketvirčio pabaigos.</t>
  </si>
  <si>
    <t>** Pagal sudarytas projektų finansavimo sutartis.</t>
  </si>
  <si>
    <t>* Pildoma projektams, kurių finansavimo sutartis buvo numatyta sudaryti iki einamojo ketvirčio pabaigos.</t>
  </si>
  <si>
    <t>Panaudota</t>
  </si>
  <si>
    <t>* Pildoma projektams, kurių paraiškas buvo numatyta pateikti įgyvendinančiajai institucijai iki einamojo ketvirčio pabaigos.</t>
  </si>
  <si>
    <r>
      <t>*</t>
    </r>
    <r>
      <rPr>
        <sz val="12"/>
        <color theme="1"/>
        <rFont val="Times New Roman"/>
        <family val="1"/>
        <charset val="186"/>
      </rPr>
      <t xml:space="preserve"> Pildoma projektams, kurių finansavimo sutartis buvo numatyta sudaryti iki einamojo ketvirčio pabaigos.</t>
    </r>
  </si>
  <si>
    <t>8 lentelė. Lėšų paskirstymas pagal Veiksmų programos įgyvendinimo plano priemones ir Kaimo plėtros programos priemones (tūkst. Eur) (sudarytos projektų finansavimo sutartys, kaupiamuoju būdu).</t>
  </si>
  <si>
    <t xml:space="preserve">  10 lentelė. Pasiektos produkto ir rezultato vertinimo kriterijų reikšmės kaupiamuoju būdu (nuo plano įgyvendinimo pradžios).</t>
  </si>
  <si>
    <t xml:space="preserve">Pagrindinė veiklų grupė </t>
  </si>
  <si>
    <t xml:space="preserve">Projekto pavadinimas </t>
  </si>
  <si>
    <t>VP arba KPP priemonė (Nr.)</t>
  </si>
  <si>
    <t>ES lėšos RPP</t>
  </si>
  <si>
    <t>ES lėšos RPS</t>
  </si>
  <si>
    <t>ES lėšos sutartis</t>
  </si>
  <si>
    <t>Alytaus r. sav.</t>
  </si>
  <si>
    <t>Alytaus m. sav.</t>
  </si>
  <si>
    <t>Lazdijų r. sav.</t>
  </si>
  <si>
    <t>ES lėšos išmokėta</t>
  </si>
  <si>
    <t>Kodas (VI)</t>
  </si>
  <si>
    <t>Kodas (VII)</t>
  </si>
  <si>
    <t>Produkto vertinimo kriterijus (VI)</t>
  </si>
  <si>
    <t>Siekiama reikšmė (VI)</t>
  </si>
  <si>
    <t>Siekiama reikšmė sutartis (VI)</t>
  </si>
  <si>
    <t>Siekiama reikšmė sutartis (VII)</t>
  </si>
  <si>
    <t>skirtumas (sutartis-planas) sutartis(VII)</t>
  </si>
  <si>
    <t>P.B.218</t>
  </si>
  <si>
    <t>Papildomi gyventojai, kuriems teikiamos pagerintos vandens tiekimo paslaugos</t>
  </si>
  <si>
    <t>P.B.219</t>
  </si>
  <si>
    <t>Papildomi gyventojai, kuriems teikiamos pagerintos nuotekų tvarkymo paslaugos</t>
  </si>
  <si>
    <t>Siekiama reikšmė  (VII)</t>
  </si>
  <si>
    <t xml:space="preserve">nepasirašyta sutartis - papildomas finansavimas </t>
  </si>
  <si>
    <t>Įgyvendinimo
 teritorija</t>
  </si>
  <si>
    <t>Projekto pavadinimas</t>
  </si>
  <si>
    <t>Pareiškėjo ar vykdytojo pavadinimas</t>
  </si>
  <si>
    <t>PP įvrtinimo data</t>
  </si>
  <si>
    <t>PP PVI numeris</t>
  </si>
  <si>
    <t>Apmokėta / grąžinta skirto finansavimo iš ES fondo lėšų suma</t>
  </si>
  <si>
    <t>Deklaruota skirto finansavimo suma iš ES fondo lėšų</t>
  </si>
  <si>
    <t>Įsisavintų lėšų dalis, (%)</t>
  </si>
  <si>
    <t>Galutinės ataskaitos būsena</t>
  </si>
  <si>
    <t>Projekto etapas (įgyvendinamas, baigtas)</t>
  </si>
  <si>
    <t>Pastabos/paaiškinimai</t>
  </si>
  <si>
    <t>Probleminis projektas</t>
  </si>
  <si>
    <t>Baigtas įgyvendinti</t>
  </si>
  <si>
    <t xml:space="preserve">  </t>
  </si>
  <si>
    <t>Priemonės kodas</t>
  </si>
  <si>
    <t>51PVI/6-7</t>
  </si>
  <si>
    <t>51PVI/6-8</t>
  </si>
  <si>
    <t>51PVI/6-9</t>
  </si>
  <si>
    <t>51PVI/6-10</t>
  </si>
  <si>
    <t>51PVI/6-11</t>
  </si>
  <si>
    <t>51PVI/6-12</t>
  </si>
  <si>
    <t>51PVI/6-13</t>
  </si>
  <si>
    <t>51PVI/6-14</t>
  </si>
  <si>
    <t>51PVI/6-15</t>
  </si>
  <si>
    <t>51PVI/6-16</t>
  </si>
  <si>
    <t>51PVI/6-17</t>
  </si>
  <si>
    <t>51PVI/6-18</t>
  </si>
  <si>
    <t>51PVI/6-19</t>
  </si>
  <si>
    <t>51PVI/6-21</t>
  </si>
  <si>
    <t>51PVI/6-22</t>
  </si>
  <si>
    <t>51PVI/6-23</t>
  </si>
  <si>
    <t>51PVI/6-24</t>
  </si>
  <si>
    <t>51PVI/6-25</t>
  </si>
  <si>
    <t>51PVI/6-27</t>
  </si>
  <si>
    <t>51PVI/6-28</t>
  </si>
  <si>
    <t>51PVI/6-29</t>
  </si>
  <si>
    <t>51PVI/6-30</t>
  </si>
  <si>
    <t>51PVI/6-31</t>
  </si>
  <si>
    <t>51/PVI/6-48</t>
  </si>
  <si>
    <t>51PVI/6-63</t>
  </si>
  <si>
    <t>51PVI/6-62</t>
  </si>
  <si>
    <t>51PVI/6-2</t>
  </si>
  <si>
    <t xml:space="preserve"> 51PVI/6-32</t>
  </si>
  <si>
    <t xml:space="preserve">51PVI/6-13 </t>
  </si>
  <si>
    <t>51PVI/6-40</t>
  </si>
  <si>
    <t>51PVI/6-39</t>
  </si>
  <si>
    <t>ES lėšos išmokėta nuo RPS lėšų proc.</t>
  </si>
  <si>
    <t>ES lėšos išmokėta nuo RPP lėšų proc.</t>
  </si>
  <si>
    <t xml:space="preserve"> 51PVI/6-6 </t>
  </si>
  <si>
    <t xml:space="preserve">51PVI/6-9 </t>
  </si>
  <si>
    <t xml:space="preserve"> 51PVI/6-12</t>
  </si>
  <si>
    <t>51/PVI/6-15</t>
  </si>
  <si>
    <t>51PVI/6-32</t>
  </si>
  <si>
    <t>51PVI/6-33</t>
  </si>
  <si>
    <t>51PVI/6-4</t>
  </si>
  <si>
    <t>51PVI/6-5</t>
  </si>
  <si>
    <t>51PVI/6-1</t>
  </si>
  <si>
    <t>51PVI/6-6</t>
  </si>
  <si>
    <t>51PVI/6-42</t>
  </si>
  <si>
    <t>51PVI/6-45</t>
  </si>
  <si>
    <t>51PVI/6-61</t>
  </si>
  <si>
    <t>51PVI/6-34</t>
  </si>
  <si>
    <t>51PVI/6-35</t>
  </si>
  <si>
    <t xml:space="preserve">51PVI/6-44 </t>
  </si>
  <si>
    <t>51PVI/6-41</t>
  </si>
  <si>
    <t>51PVI/6-44</t>
  </si>
  <si>
    <t>51PV/6-37</t>
  </si>
  <si>
    <t>51PVI/6-43</t>
  </si>
  <si>
    <t>51PV/6-35</t>
  </si>
  <si>
    <t xml:space="preserve"> 51PV/6-36</t>
  </si>
  <si>
    <t>51PV/6-38</t>
  </si>
  <si>
    <t>51PV/6-42</t>
  </si>
  <si>
    <t>51PVI/6-37</t>
  </si>
  <si>
    <t>51PVI/6-38</t>
  </si>
  <si>
    <t>51PVI/6-36</t>
  </si>
  <si>
    <t>51PVI/6-52</t>
  </si>
  <si>
    <t>51PVI/6-49</t>
  </si>
  <si>
    <t>51PVI/6-54</t>
  </si>
  <si>
    <t>51PVI/6-56</t>
  </si>
  <si>
    <t>51PVI/6-58</t>
  </si>
  <si>
    <t>51PVI/6-20</t>
  </si>
  <si>
    <t>51PVI/6-26</t>
  </si>
  <si>
    <t>51PVI/6-3</t>
  </si>
  <si>
    <t xml:space="preserve">51PVI/6-28 </t>
  </si>
  <si>
    <t xml:space="preserve">51PVI/6-25 </t>
  </si>
  <si>
    <t>51PVI/6-46</t>
  </si>
  <si>
    <t xml:space="preserve">51PVI/6-2 </t>
  </si>
  <si>
    <t>51PVI/6-51</t>
  </si>
  <si>
    <t>51PVI/6-53</t>
  </si>
  <si>
    <t>51PVI/6-57</t>
  </si>
  <si>
    <t>51PVI/6-60</t>
  </si>
  <si>
    <t>51PVI/6-59</t>
  </si>
  <si>
    <t>51VI/6-22</t>
  </si>
  <si>
    <t>51VI/6-17</t>
  </si>
  <si>
    <t>51VI/6-23</t>
  </si>
  <si>
    <t>51VI/6-33</t>
  </si>
  <si>
    <t>51PVI/38</t>
  </si>
  <si>
    <t>Projekto trukmė mėn.</t>
  </si>
  <si>
    <t>Sutartyje nustatyta projekto veiklų pabaigos data</t>
  </si>
  <si>
    <t>Įgyvendinimas</t>
  </si>
  <si>
    <t>Ramunė Vyšniauskaitė</t>
  </si>
  <si>
    <t>Egidijus Maculevičius</t>
  </si>
  <si>
    <t>Vytautas Jotautas</t>
  </si>
  <si>
    <t>Gintarė Jociunskaitė</t>
  </si>
  <si>
    <t>Už projektą atsakingas asmuo vardas, pavardė</t>
  </si>
  <si>
    <t>Irena Eimanavičienė</t>
  </si>
  <si>
    <t>Algirdas Kazanavičius</t>
  </si>
  <si>
    <t>Leonas Mackevičius</t>
  </si>
  <si>
    <t>Eremita Salickienė</t>
  </si>
  <si>
    <t>Eimantas Kirkliauskas</t>
  </si>
  <si>
    <t>Vidas Jakimavičius</t>
  </si>
  <si>
    <t>Justinas Šmulkštys</t>
  </si>
  <si>
    <t>Juozas Kalėda</t>
  </si>
  <si>
    <t>Indrė Adomynienė</t>
  </si>
  <si>
    <t>Jurgita Rudienė</t>
  </si>
  <si>
    <t>Ingrida Leskevičienė</t>
  </si>
  <si>
    <t>Dalia Balevičiūtė</t>
  </si>
  <si>
    <t>Mantas Sabaliauskas
Lazdijų rajono savivaldybės administracijos Architektūros ir aplinkosaugos skyriaus vyr. Specialistas</t>
  </si>
  <si>
    <t>Andrius Karlonas</t>
  </si>
  <si>
    <t>Eglė Čapkovskienė</t>
  </si>
  <si>
    <t>Regina Vasiliauskienė</t>
  </si>
  <si>
    <t>Ineta Dimšienė</t>
  </si>
  <si>
    <t>Virginijus Blažauskas</t>
  </si>
  <si>
    <t>Reda Kubiliūtė</t>
  </si>
  <si>
    <t>Vilmantas Pajada</t>
  </si>
  <si>
    <t>Algirdas Svirskas</t>
  </si>
  <si>
    <t>Rasa Nenartavičienė</t>
  </si>
  <si>
    <t>Paraiškos vertinimas</t>
  </si>
  <si>
    <t>Vaiva Žagunienė</t>
  </si>
  <si>
    <t>Danutė Mazaliauskienė</t>
  </si>
  <si>
    <t>Lina Janulevičienė
VšĮ Kapčiamiesčio globos namai Direktorė</t>
  </si>
  <si>
    <t xml:space="preserve">Dalia Burlinskienė
</t>
  </si>
  <si>
    <t>Ramunė Petuškaitė</t>
  </si>
  <si>
    <t>Irena Stanislava Kavaliauskienė</t>
  </si>
  <si>
    <t>Marius Jasaitis</t>
  </si>
  <si>
    <t>Gediminas Sargelis
Medicinos projektų vadovas</t>
  </si>
  <si>
    <t>Jūratė Patackaitė</t>
  </si>
  <si>
    <t>Giedrė Banienė
Direktorė</t>
  </si>
  <si>
    <t>Lina Džiaukštienė</t>
  </si>
  <si>
    <t>Eglė Matienė
Viešoji įstaiga Druskininkų pirminės sveikatos priežiūros centras
Direktoriaus pavaduotoja medicinai</t>
  </si>
  <si>
    <t>Irma Lukminienė</t>
  </si>
  <si>
    <t>Albinas Čelkonas</t>
  </si>
  <si>
    <t>Ramutė Kunigiškienė
Lazdijų rajono savivaldybės visuomenės sveikatos biuras
Direktorė</t>
  </si>
  <si>
    <t>Povilas Jagelavičius
Druskininkų savivaldybės visuomenės sveikatos biuras
 Visuomenės sveikatos specialistas</t>
  </si>
  <si>
    <t>Dalia Kitavičienė
Alytaus rajono savivaldybės visuomenės sveikatos biuras
Direktorė</t>
  </si>
  <si>
    <t>Astutė Žmuidinavičienė
Varėnos rajono savivaldybės visuomenės sveikatos biuras
Direktorė</t>
  </si>
  <si>
    <t>Asta Zablackienė</t>
  </si>
  <si>
    <t>Vaida Mikelionienė</t>
  </si>
  <si>
    <t>Dalius Mockevičius</t>
  </si>
  <si>
    <t>Kristina Kamičaitytė</t>
  </si>
  <si>
    <t>Darius Liaukevičius
Viešoji įstaiga Lazdijų sporto centras
Direktorius</t>
  </si>
  <si>
    <t>Marius Urvikis</t>
  </si>
  <si>
    <t>Žydrūnas Rutkauskas</t>
  </si>
  <si>
    <t xml:space="preserve">Nurodyti filtro parametrai: </t>
  </si>
  <si>
    <t>Projekto kodas:</t>
  </si>
  <si>
    <t>Projekto išlaidų suma pagal sutartį</t>
  </si>
  <si>
    <t>Bendra MP / G informacija</t>
  </si>
  <si>
    <t>Mokėjimai / grąžinimai</t>
  </si>
  <si>
    <t>Skiriamas finansavimas</t>
  </si>
  <si>
    <t>Pareiškėjo ir partnerio (-ių) lėšos</t>
  </si>
  <si>
    <t>Iš (į) valstybės iždo sąskaitos (ą) išmokėtas / grąžintas finansavimas, iš jų:</t>
  </si>
  <si>
    <t>Pripažinta deklaruotina EK suma, iš jų:</t>
  </si>
  <si>
    <t>Deklaruotina EK suma, atsižvelgus į pajamas (su institucijos koregavimo veiksmais), iš jų:</t>
  </si>
  <si>
    <t>Deklaruota EK suma pagal projektą (su institucijos koregavimo veiksmais), iš jų:</t>
  </si>
  <si>
    <t>TvI išimtos sumos išlaidų deklaracijose</t>
  </si>
  <si>
    <t>Pagal fiksuotuosius įkainius deklaruota EK suma</t>
  </si>
  <si>
    <t>Pagal fiksuotąsias sumas deklaruota EK suma</t>
  </si>
  <si>
    <t>Pagal fiksuotąsias normas deklaruota EK suma</t>
  </si>
  <si>
    <t>Į sąskaitas EK įtraukta suma pagal projektą (su institucijos koregavimo veiksmais), iš jų:</t>
  </si>
  <si>
    <t>Viešosios lėšos</t>
  </si>
  <si>
    <t>Įvertinta avanso</t>
  </si>
  <si>
    <t xml:space="preserve">Mokėjimo prašymo </t>
  </si>
  <si>
    <t>Pripažinta deklaruotina EK skiriamo finansavimo suma, iš jų:</t>
  </si>
  <si>
    <t>Pripažinta deklaruotina EK pareiškėjo ir partnerio (-ių) lėšų suma, iš jų:</t>
  </si>
  <si>
    <t>Deklaruotina EK skiriamo finansavimo suma, iš jų:</t>
  </si>
  <si>
    <t>Deklaruotina EK pareiškėjo ir partnerio (-ių) lėšų suma, atsižvelgus į pajamas, iš jų:</t>
  </si>
  <si>
    <t>Deklaruota EK skiriamo finansavimo suma, iš jų:</t>
  </si>
  <si>
    <t>Deklaruota EK pareiškėjo ir partnerio (-ių) lėšų suma, iš jų:</t>
  </si>
  <si>
    <t> Skiriamo finansavimo suma, iš jų:</t>
  </si>
  <si>
    <t>Pareiškėjo ir partnerio (-ių) lėšų suma, iš jų:</t>
  </si>
  <si>
    <t>Priemonė </t>
  </si>
  <si>
    <t xml:space="preserve">Projekto </t>
  </si>
  <si>
    <t xml:space="preserve">Projekto vykdytojo kodas ir </t>
  </si>
  <si>
    <t>Projekto būsena</t>
  </si>
  <si>
    <t xml:space="preserve">Projekto išlaidų </t>
  </si>
  <si>
    <t>ES fondų lėšos</t>
  </si>
  <si>
    <t xml:space="preserve">LR valstybės biudžeto </t>
  </si>
  <si>
    <t>Išmokama viešųjų išlaidų suma</t>
  </si>
  <si>
    <t>Viešosios lėšos:</t>
  </si>
  <si>
    <t>Deklaravimo EK data</t>
  </si>
  <si>
    <t xml:space="preserve">Deklaravimo EK </t>
  </si>
  <si>
    <t>pavadinimas</t>
  </si>
  <si>
    <t>suma pagal sutartį</t>
  </si>
  <si>
    <t>lėšos iš skiriamo finansavimo (BF)</t>
  </si>
  <si>
    <t>LR valstybės biudžeto lėšos</t>
  </si>
  <si>
    <t>Savivaldybės biudžeto lėšos</t>
  </si>
  <si>
    <t>Kiti viešųjų lėšų šaltiniai</t>
  </si>
  <si>
    <t>gavimo data</t>
  </si>
  <si>
    <t>tipas </t>
  </si>
  <si>
    <t>Iš viso: </t>
  </si>
  <si>
    <t>LR valstybės biudžeto lėšos iš skiriamo finansavimo (BF)</t>
  </si>
  <si>
    <t>Pripažinimo deklaruotinomis EK data</t>
  </si>
  <si>
    <t>LR VB lėšos</t>
  </si>
  <si>
    <t>LR VB lėšos, atsižvelgus į pajamas</t>
  </si>
  <si>
    <t>Savivaldybės biudžeto lėšos, atsižvelgus į pajamas</t>
  </si>
  <si>
    <t>Kiti viešųjų lėšų šaltiniai, atsižvelgus į pajamas</t>
  </si>
  <si>
    <t>data</t>
  </si>
  <si>
    <t>Sąskaitų EK pateikimo data</t>
  </si>
  <si>
    <t>Iš jų viešųjų išlaidų suma</t>
  </si>
  <si>
    <t>1</t>
  </si>
  <si>
    <t>5</t>
  </si>
  <si>
    <t>9</t>
  </si>
  <si>
    <t>15=13-14</t>
  </si>
  <si>
    <t>16=17+21+22+23</t>
  </si>
  <si>
    <t>17=18+19</t>
  </si>
  <si>
    <t>20=21+22+23+24</t>
  </si>
  <si>
    <t>27=28+29</t>
  </si>
  <si>
    <t>36=37+38</t>
  </si>
  <si>
    <t>40=42+45</t>
  </si>
  <si>
    <t>41=42+46+47+48</t>
  </si>
  <si>
    <t>42=43+44</t>
  </si>
  <si>
    <t>45=46+47+48+49</t>
  </si>
  <si>
    <t>57=59+62</t>
  </si>
  <si>
    <t>58=59+63+64+65</t>
  </si>
  <si>
    <t>59=60+61</t>
  </si>
  <si>
    <t>60</t>
  </si>
  <si>
    <t>61</t>
  </si>
  <si>
    <t>62=63+64+65+66</t>
  </si>
  <si>
    <t>63</t>
  </si>
  <si>
    <t>64</t>
  </si>
  <si>
    <t>65</t>
  </si>
  <si>
    <t>66</t>
  </si>
  <si>
    <t>67</t>
  </si>
  <si>
    <t>68=70+73</t>
  </si>
  <si>
    <t>69=70+74+75+76</t>
  </si>
  <si>
    <t>70=71+72</t>
  </si>
  <si>
    <t>71</t>
  </si>
  <si>
    <t>72</t>
  </si>
  <si>
    <t>73=74+75+76+77</t>
  </si>
  <si>
    <t>74</t>
  </si>
  <si>
    <t>75</t>
  </si>
  <si>
    <t>76</t>
  </si>
  <si>
    <t>77</t>
  </si>
  <si>
    <t>78</t>
  </si>
  <si>
    <t>79</t>
  </si>
  <si>
    <t>80</t>
  </si>
  <si>
    <t>81</t>
  </si>
  <si>
    <t>82</t>
  </si>
  <si>
    <t>83</t>
  </si>
  <si>
    <t>84</t>
  </si>
  <si>
    <t>85</t>
  </si>
  <si>
    <t>86</t>
  </si>
  <si>
    <t>87</t>
  </si>
  <si>
    <t>88</t>
  </si>
  <si>
    <t>89</t>
  </si>
  <si>
    <t>90</t>
  </si>
  <si>
    <t>91=93+96</t>
  </si>
  <si>
    <t>92=93+97+98+99</t>
  </si>
  <si>
    <t>93=94+95</t>
  </si>
  <si>
    <t>94</t>
  </si>
  <si>
    <t>95</t>
  </si>
  <si>
    <t>96=97+98+99+100</t>
  </si>
  <si>
    <t>97</t>
  </si>
  <si>
    <t>98</t>
  </si>
  <si>
    <t>99</t>
  </si>
  <si>
    <t>100</t>
  </si>
  <si>
    <t>430</t>
  </si>
  <si>
    <t>188773873, Varėnos rajono savivaldybės administracija</t>
  </si>
  <si>
    <t>Įgyvendinama sutartis</t>
  </si>
  <si>
    <t>Tarpinis mokėjimas</t>
  </si>
  <si>
    <t>MP002</t>
  </si>
  <si>
    <t>MPD3</t>
  </si>
  <si>
    <t>431</t>
  </si>
  <si>
    <t>MP003</t>
  </si>
  <si>
    <t>MPD2</t>
  </si>
  <si>
    <t>437</t>
  </si>
  <si>
    <t>188714992, Lazdijų rajono savivaldybės administracija</t>
  </si>
  <si>
    <t>438</t>
  </si>
  <si>
    <t>LR valstybės biudžeto lėšos iš 
skiriamo finansavimo (BF) </t>
  </si>
  <si>
    <t>188706935, Alytaus miesto savivaldybės administracija</t>
  </si>
  <si>
    <t>6</t>
  </si>
  <si>
    <t>MP001</t>
  </si>
  <si>
    <t>7</t>
  </si>
  <si>
    <t>8</t>
  </si>
  <si>
    <t>Dviračių ir pėsčiųjų takų plėtra Lazdijų miesto Turistų gatvėje iki sodų bendrijos „Baltasis" Lazdijų seniūnijoje</t>
  </si>
  <si>
    <t>188718528, Alytaus rajono savivaldybės administracija</t>
  </si>
  <si>
    <t>149566841, Uždaroji akcinė bendrovė "Dzūkijos vandenys"</t>
  </si>
  <si>
    <t>MP004</t>
  </si>
  <si>
    <t>MP005</t>
  </si>
  <si>
    <t>MP006</t>
  </si>
  <si>
    <t>MP008</t>
  </si>
  <si>
    <t>MP009</t>
  </si>
  <si>
    <t>MP010</t>
  </si>
  <si>
    <t>Komunalinių atliekų tvarkymo infrastruktūros plėtra Alytaus regione</t>
  </si>
  <si>
    <t>250135860, UAB Alytaus regiono atliekų tvarkymo centras</t>
  </si>
  <si>
    <t>184626819, Uždaroji akcinė bendrovė "Varėnos vandenys"</t>
  </si>
  <si>
    <t>MP007</t>
  </si>
  <si>
    <t>53</t>
  </si>
  <si>
    <t>54</t>
  </si>
  <si>
    <t>55</t>
  </si>
  <si>
    <t>56</t>
  </si>
  <si>
    <t>57</t>
  </si>
  <si>
    <t>58</t>
  </si>
  <si>
    <t>59</t>
  </si>
  <si>
    <t>Avansas</t>
  </si>
  <si>
    <t>62</t>
  </si>
  <si>
    <t>68</t>
  </si>
  <si>
    <t>69</t>
  </si>
  <si>
    <t>70</t>
  </si>
  <si>
    <t>301500997, UAB "Druskininkų vandenys"</t>
  </si>
  <si>
    <t>73</t>
  </si>
  <si>
    <t>165171377, Uždaroji akcinė bendrovė "Lazdijų vanduo"</t>
  </si>
  <si>
    <t>153720195, Alytaus rajono savivaldybės įmonė "Simno komunalininkas"</t>
  </si>
  <si>
    <t>91</t>
  </si>
  <si>
    <t>92</t>
  </si>
  <si>
    <t>93</t>
  </si>
  <si>
    <t>Turizmo trasų ir maršrutų informacinės infrastruktūros plėtra Lazdijų, Varėnos rajonų ir Druskininkų savivaldybėse</t>
  </si>
  <si>
    <t>96</t>
  </si>
  <si>
    <t>188776264, Druskininkų savivaldybės administracija</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</si>
  <si>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</si>
  <si>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</si>
  <si>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</si>
  <si>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</si>
  <si>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</si>
  <si>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</si>
  <si>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</si>
  <si>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</si>
  <si>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</si>
  <si>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</si>
  <si>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</si>
  <si>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</si>
  <si>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</si>
  <si>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</si>
  <si>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</si>
  <si>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</si>
  <si>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</si>
  <si>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</si>
  <si>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</si>
  <si>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</si>
  <si>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</si>
  <si>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</si>
  <si>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</si>
  <si>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</si>
  <si>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</si>
  <si>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</si>
  <si>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Baigtas</t>
  </si>
  <si>
    <t>127</t>
  </si>
  <si>
    <t>128</t>
  </si>
  <si>
    <t>129</t>
  </si>
  <si>
    <t>130</t>
  </si>
  <si>
    <t>131</t>
  </si>
  <si>
    <t>132</t>
  </si>
  <si>
    <t>133</t>
  </si>
  <si>
    <t>Galutinis mokėjimas</t>
  </si>
  <si>
    <t>134</t>
  </si>
  <si>
    <t>135</t>
  </si>
  <si>
    <t>136</t>
  </si>
  <si>
    <t>137</t>
  </si>
  <si>
    <t>138</t>
  </si>
  <si>
    <t>139</t>
  </si>
  <si>
    <t>Perspektyvinės gatvės nuo Pramonės g. iki Naujosios g. Alytuje įrengimas</t>
  </si>
  <si>
    <t>140</t>
  </si>
  <si>
    <t>141</t>
  </si>
  <si>
    <t>142</t>
  </si>
  <si>
    <t>143</t>
  </si>
  <si>
    <t>144</t>
  </si>
  <si>
    <t>145</t>
  </si>
  <si>
    <t>146</t>
  </si>
  <si>
    <t>Varėnos miesto J. Basanavičiaus, Savanorių, M. K. Čiurlionio gatvių rekonstrukcija</t>
  </si>
  <si>
    <t>147</t>
  </si>
  <si>
    <t>148</t>
  </si>
  <si>
    <t>149</t>
  </si>
  <si>
    <t>150</t>
  </si>
  <si>
    <t>151</t>
  </si>
  <si>
    <t>152</t>
  </si>
  <si>
    <t>153</t>
  </si>
  <si>
    <t>154</t>
  </si>
  <si>
    <t>155</t>
  </si>
  <si>
    <t>156</t>
  </si>
  <si>
    <t>G01</t>
  </si>
  <si>
    <t>Grąžinimas</t>
  </si>
  <si>
    <t>157</t>
  </si>
  <si>
    <t>GD01</t>
  </si>
  <si>
    <t>158</t>
  </si>
  <si>
    <t>G02</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</si>
  <si>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</si>
  <si>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</si>
  <si>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</si>
  <si>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</si>
  <si>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</si>
  <si>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</si>
  <si>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</si>
  <si>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</si>
  <si>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</si>
  <si>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</si>
  <si>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</si>
  <si>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</si>
  <si>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</si>
  <si>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</si>
  <si>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</si>
  <si>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</si>
  <si>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</si>
  <si>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</si>
  <si>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</si>
  <si>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</si>
  <si>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</si>
  <si>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</si>
  <si>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</si>
  <si>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</si>
  <si>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</si>
  <si>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</si>
  <si>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</si>
  <si>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</si>
  <si>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</si>
  <si>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</si>
  <si>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</si>
  <si>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</si>
  <si>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</si>
  <si>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</si>
  <si>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</si>
  <si>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</si>
  <si>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</si>
  <si>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</si>
  <si>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</si>
  <si>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</si>
  <si>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</si>
  <si>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</si>
  <si>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</si>
  <si>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</si>
  <si>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</si>
  <si>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</si>
  <si>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</si>
  <si>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</si>
  <si>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</si>
  <si>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</si>
  <si>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</si>
  <si>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</si>
  <si>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</si>
  <si>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VšĮ Alytaus kultūros ir komunikacijos centro pastato Alytuje, Pramonės g. 1 B, rekonstravimas</t>
  </si>
  <si>
    <t>212</t>
  </si>
  <si>
    <t>213</t>
  </si>
  <si>
    <t>214</t>
  </si>
  <si>
    <t>215</t>
  </si>
  <si>
    <t>216</t>
  </si>
  <si>
    <t>217</t>
  </si>
  <si>
    <t>218</t>
  </si>
  <si>
    <t>219</t>
  </si>
  <si>
    <t>220</t>
  </si>
  <si>
    <t>221</t>
  </si>
  <si>
    <t>222</t>
  </si>
  <si>
    <t>223</t>
  </si>
  <si>
    <t>Druskininkų kultūros centro lauko scenos, Vilniaus al. 24, Druskininkai, modernizavimas ir pritaikymas kultūros poreikiams</t>
  </si>
  <si>
    <t>224</t>
  </si>
  <si>
    <t>225</t>
  </si>
  <si>
    <t>226</t>
  </si>
  <si>
    <t>227</t>
  </si>
  <si>
    <t>228</t>
  </si>
  <si>
    <t>229</t>
  </si>
  <si>
    <t>230</t>
  </si>
  <si>
    <t>231</t>
  </si>
  <si>
    <t>232</t>
  </si>
  <si>
    <t>233</t>
  </si>
  <si>
    <t>234</t>
  </si>
  <si>
    <t>235</t>
  </si>
  <si>
    <t>236</t>
  </si>
  <si>
    <t>237</t>
  </si>
  <si>
    <t>238</t>
  </si>
  <si>
    <t>08.1.1-CPVA-R-407</t>
  </si>
  <si>
    <t>239</t>
  </si>
  <si>
    <t>240</t>
  </si>
  <si>
    <t>241</t>
  </si>
  <si>
    <t>242</t>
  </si>
  <si>
    <t>243</t>
  </si>
  <si>
    <t>244</t>
  </si>
  <si>
    <t>245</t>
  </si>
  <si>
    <t>246</t>
  </si>
  <si>
    <t>190878283, VšĮ Kapčiamiesčio globos namai</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</si>
  <si>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</si>
  <si>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</si>
  <si>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</si>
  <si>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</si>
  <si>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</si>
  <si>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</si>
  <si>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</si>
  <si>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</si>
  <si>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</si>
  <si>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</si>
  <si>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</si>
  <si>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</si>
  <si>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</si>
  <si>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</si>
  <si>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</si>
  <si>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</si>
  <si>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</si>
  <si>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</si>
  <si>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</si>
  <si>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</si>
  <si>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</si>
  <si>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</si>
  <si>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</si>
  <si>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</si>
  <si>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08.1.2-CPVA-R-408</t>
  </si>
  <si>
    <t>271</t>
  </si>
  <si>
    <t>272</t>
  </si>
  <si>
    <t>273</t>
  </si>
  <si>
    <t>274</t>
  </si>
  <si>
    <t>275</t>
  </si>
  <si>
    <t>276</t>
  </si>
  <si>
    <t>277</t>
  </si>
  <si>
    <t>278</t>
  </si>
  <si>
    <t>279</t>
  </si>
  <si>
    <t>280</t>
  </si>
  <si>
    <t>MP011</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</si>
  <si>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</si>
  <si>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</si>
  <si>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</si>
  <si>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</si>
  <si>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</si>
  <si>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</si>
  <si>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</si>
  <si>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</si>
  <si>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</si>
  <si>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</si>
  <si>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</si>
  <si>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</si>
  <si>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</si>
  <si>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</si>
  <si>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</si>
  <si>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</si>
  <si>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</si>
  <si>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</si>
  <si>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</si>
  <si>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</si>
  <si>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</si>
  <si>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</si>
  <si>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</si>
  <si>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</si>
  <si>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</si>
  <si>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</si>
  <si>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</si>
  <si>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</si>
  <si>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</si>
  <si>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</si>
  <si>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</si>
  <si>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</si>
  <si>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MP012</t>
  </si>
  <si>
    <t>313</t>
  </si>
  <si>
    <t>MP013</t>
  </si>
  <si>
    <t>314</t>
  </si>
  <si>
    <t>MP014</t>
  </si>
  <si>
    <t>315</t>
  </si>
  <si>
    <t>MP015</t>
  </si>
  <si>
    <t>316</t>
  </si>
  <si>
    <t>317</t>
  </si>
  <si>
    <t>318</t>
  </si>
  <si>
    <t>08.2.1-CPVA-R-908</t>
  </si>
  <si>
    <t>319</t>
  </si>
  <si>
    <t>320</t>
  </si>
  <si>
    <t>321</t>
  </si>
  <si>
    <t>322</t>
  </si>
  <si>
    <t>323</t>
  </si>
  <si>
    <t>324</t>
  </si>
  <si>
    <t>325</t>
  </si>
  <si>
    <t>326</t>
  </si>
  <si>
    <t>08.4.1-ESFA-V-416</t>
  </si>
  <si>
    <t>327</t>
  </si>
  <si>
    <t>08.4.1-ESFA-V-416-11-0001</t>
  </si>
  <si>
    <t>Kompleksinių paslaugų šeimai teikimas Kalvarijos savivaldybėje</t>
  </si>
  <si>
    <t>188751268, Kalvarijos savivaldybės administracija</t>
  </si>
  <si>
    <t>328</t>
  </si>
  <si>
    <t>329</t>
  </si>
  <si>
    <t>330</t>
  </si>
  <si>
    <t>331</t>
  </si>
  <si>
    <t>332</t>
  </si>
  <si>
    <t>333</t>
  </si>
  <si>
    <t>334</t>
  </si>
  <si>
    <t>08.4.1-ESFA-V-416-11-0002</t>
  </si>
  <si>
    <t>Kauno bendruomeniniai šeimos namai</t>
  </si>
  <si>
    <t>188764867, Kauno miesto savivaldybės administracija</t>
  </si>
  <si>
    <t>335</t>
  </si>
  <si>
    <t>336</t>
  </si>
  <si>
    <t>337</t>
  </si>
  <si>
    <t>338</t>
  </si>
  <si>
    <t>339</t>
  </si>
  <si>
    <t>340</t>
  </si>
  <si>
    <t>341</t>
  </si>
  <si>
    <t>342</t>
  </si>
  <si>
    <t>343</t>
  </si>
  <si>
    <t>Mažais žingsneliais - sveikos gyvensenos link</t>
  </si>
  <si>
    <t>344</t>
  </si>
  <si>
    <t>345</t>
  </si>
  <si>
    <t>301592593, Lazdijų rajono savivaldybės visuomenės sveikatos biuras</t>
  </si>
  <si>
    <t>346</t>
  </si>
  <si>
    <t>347</t>
  </si>
  <si>
    <t>303259363, Druskininkų savivaldybės visuomenės sveikatos biuras</t>
  </si>
  <si>
    <t>348</t>
  </si>
  <si>
    <t>349</t>
  </si>
  <si>
    <t>Sveikos gyvensenos skatinimas Alytaus rajono savivaldybėje</t>
  </si>
  <si>
    <t>301785539, Alytaus rajono savivaldybės visuomenės sveikatos biuras</t>
  </si>
  <si>
    <t>350</t>
  </si>
  <si>
    <t>351</t>
  </si>
  <si>
    <t>352</t>
  </si>
  <si>
    <t>353</t>
  </si>
  <si>
    <t>08.6.1-ESFA-V-911</t>
  </si>
  <si>
    <t>354</t>
  </si>
  <si>
    <t>08.6.1-ESFA-V-911-11-0001</t>
  </si>
  <si>
    <t>Į pagalbą jaunam verslui Švenčionių mieste</t>
  </si>
  <si>
    <t>300529750, VšĮ "Regiono plėtros projektai"</t>
  </si>
  <si>
    <t>355</t>
  </si>
  <si>
    <t>356</t>
  </si>
  <si>
    <t>08.6.1-ESFA-V-911-11-0002</t>
  </si>
  <si>
    <t>Senyvo amžiaus žmonių socialinių įgūdžių ugdymas pasitelkiant informacines technologijas</t>
  </si>
  <si>
    <t>300044836, Švenčionių rajono švietimo pagalbos tarnyba</t>
  </si>
  <si>
    <t>357</t>
  </si>
  <si>
    <t>358</t>
  </si>
  <si>
    <t>08.6.1-ESFA-V-911-11-0003</t>
  </si>
  <si>
    <t>Jauno verslo subjektų didinimas Švenčionių mieste</t>
  </si>
  <si>
    <t>359</t>
  </si>
  <si>
    <t>360</t>
  </si>
  <si>
    <t>08.6.1-ESFA-V-911-11-0004</t>
  </si>
  <si>
    <t>„Sportas - sveikata“</t>
  </si>
  <si>
    <t>178995676, Jėgos sporto šakų klubas "Grifas"</t>
  </si>
  <si>
    <t>361</t>
  </si>
  <si>
    <t>362</t>
  </si>
  <si>
    <t>08.6.1-ESFA-V-911-11-0005</t>
  </si>
  <si>
    <t>Jauno verslo plėtra Švenčionių mieste</t>
  </si>
  <si>
    <t>178866090, Uždaroji akcinė bendrovė "Darėjas"</t>
  </si>
  <si>
    <t>363</t>
  </si>
  <si>
    <t>364</t>
  </si>
  <si>
    <t>08.6.1-ESFA-V-911-11-0008</t>
  </si>
  <si>
    <t>,,GYVENU KITAIP“</t>
  </si>
  <si>
    <t>303212602, Švenčionių socialinių paslaugų centras</t>
  </si>
  <si>
    <t>365</t>
  </si>
  <si>
    <t>366</t>
  </si>
  <si>
    <t>08.6.1-ESFA-V-911-11-0009</t>
  </si>
  <si>
    <t>Jauno verslo subjektų stiprinimas Švenčionių mieste</t>
  </si>
  <si>
    <t>278860590, K. Savicko įmonė "Keseda"</t>
  </si>
  <si>
    <t>367</t>
  </si>
  <si>
    <t>368</t>
  </si>
  <si>
    <t>369</t>
  </si>
  <si>
    <t>370</t>
  </si>
  <si>
    <t>371</t>
  </si>
  <si>
    <t>372</t>
  </si>
  <si>
    <t>Alytaus lopšelio-darželio „Girinukas“ ugdymo aplinkos modernizavimas</t>
  </si>
  <si>
    <t>373</t>
  </si>
  <si>
    <t>374</t>
  </si>
  <si>
    <t>375</t>
  </si>
  <si>
    <t>376</t>
  </si>
  <si>
    <t>377</t>
  </si>
  <si>
    <t>378</t>
  </si>
  <si>
    <t>379</t>
  </si>
  <si>
    <t>380</t>
  </si>
  <si>
    <t>09.1.3-CPVA-R-705-11-0006</t>
  </si>
  <si>
    <t>Druskininkų sav. Viečiūnų progimnazijos ikimokyklinio ugdymo skyriaus "Linelis" ugdymo prieinamumo didinimas</t>
  </si>
  <si>
    <t>381</t>
  </si>
  <si>
    <t>382</t>
  </si>
  <si>
    <t>383</t>
  </si>
  <si>
    <t>09.1.3-CPVA-R-724-11-0001</t>
  </si>
  <si>
    <t>384</t>
  </si>
  <si>
    <t>385</t>
  </si>
  <si>
    <t>386</t>
  </si>
  <si>
    <t>387</t>
  </si>
  <si>
    <t>09.1.3-CPVA-R-724-11-0002</t>
  </si>
  <si>
    <t>388</t>
  </si>
  <si>
    <t>389</t>
  </si>
  <si>
    <t>390</t>
  </si>
  <si>
    <t>391</t>
  </si>
  <si>
    <t>392</t>
  </si>
  <si>
    <t>393</t>
  </si>
  <si>
    <t>394</t>
  </si>
  <si>
    <t>395</t>
  </si>
  <si>
    <t>396</t>
  </si>
  <si>
    <t>397</t>
  </si>
  <si>
    <t>398</t>
  </si>
  <si>
    <t>399</t>
  </si>
  <si>
    <t>09.1.3-CPVA-R-725</t>
  </si>
  <si>
    <t>400</t>
  </si>
  <si>
    <t>190613858, Viešoji įstaiga Lazdijų sporto centras</t>
  </si>
  <si>
    <t>401</t>
  </si>
  <si>
    <t>402</t>
  </si>
  <si>
    <t>403</t>
  </si>
  <si>
    <t>404</t>
  </si>
  <si>
    <t>405</t>
  </si>
  <si>
    <t>406</t>
  </si>
  <si>
    <t>407</t>
  </si>
  <si>
    <t>408</t>
  </si>
  <si>
    <t>409</t>
  </si>
  <si>
    <t>410</t>
  </si>
  <si>
    <t>411</t>
  </si>
  <si>
    <t>412</t>
  </si>
  <si>
    <t>413</t>
  </si>
  <si>
    <t>414</t>
  </si>
  <si>
    <t>Varėnos moksleivių kūrybos centro pastato J.Basanavičiaus g. 38, Varėnoje, modernizavimas</t>
  </si>
  <si>
    <t>415</t>
  </si>
  <si>
    <t>416</t>
  </si>
  <si>
    <t>417</t>
  </si>
  <si>
    <t>418</t>
  </si>
  <si>
    <t>Alytaus muzikos mokyklos pastato modernizavimo ir ugdymo aplinkos gerinimas</t>
  </si>
  <si>
    <t>419</t>
  </si>
  <si>
    <t>420</t>
  </si>
  <si>
    <t>421</t>
  </si>
  <si>
    <t>422</t>
  </si>
  <si>
    <t>423</t>
  </si>
  <si>
    <t>424</t>
  </si>
  <si>
    <t>425</t>
  </si>
  <si>
    <t>426</t>
  </si>
  <si>
    <t>427</t>
  </si>
  <si>
    <t>428</t>
  </si>
  <si>
    <t>429</t>
  </si>
  <si>
    <t>432</t>
  </si>
  <si>
    <t>433</t>
  </si>
  <si>
    <t>434</t>
  </si>
  <si>
    <t>435</t>
  </si>
  <si>
    <t>436</t>
  </si>
  <si>
    <t>439</t>
  </si>
  <si>
    <t>440</t>
  </si>
  <si>
    <t>441</t>
  </si>
  <si>
    <t>442</t>
  </si>
  <si>
    <t>443</t>
  </si>
  <si>
    <t>444</t>
  </si>
  <si>
    <r>
      <t xml:space="preserve">Mokėjimų ataskaita (suformuota </t>
    </r>
    <r>
      <rPr>
        <b/>
        <sz val="14"/>
        <color indexed="9"/>
        <rFont val="Arial"/>
        <family val="2"/>
        <charset val="186"/>
      </rPr>
      <t>2018-10-24 09:57:37</t>
    </r>
    <r>
      <rPr>
        <b/>
        <sz val="14"/>
        <color indexed="9"/>
        <rFont val="Arial"/>
        <family val="2"/>
        <charset val="186"/>
      </rPr>
      <t>)</t>
    </r>
  </si>
  <si>
    <t>-11-</t>
  </si>
  <si>
    <t>Bendra informacija</t>
  </si>
  <si>
    <t>Sąskaitų EK suma atsižvelgiant į TvI ir išimtas sumas</t>
  </si>
  <si>
    <t>Prioritetas</t>
  </si>
  <si>
    <t>Investicinis prioritetas </t>
  </si>
  <si>
    <t>Uždavinys</t>
  </si>
  <si>
    <t>Tarpinė institucija</t>
  </si>
  <si>
    <t>Įgyvendinančioji institucija</t>
  </si>
  <si>
    <t>Fondas</t>
  </si>
  <si>
    <t>Lėšų išmokėjimo iš iždo  projekto vykdytojui / lėšų susigrąžinimo data</t>
  </si>
  <si>
    <t>Mokėjimo prašymo / grąžintinų lėšų Nr.</t>
  </si>
  <si>
    <t>MPD / grąžinimo numeris</t>
  </si>
  <si>
    <t xml:space="preserve">Grąžintinų lėšų tipas </t>
  </si>
  <si>
    <t xml:space="preserve">Patvirtintų apmokėtų MPD /grąžintų išlaidų suma </t>
  </si>
  <si>
    <t>FM(ĮI), kai deklaruojamos finansinių priemonių išlaidos, išimtos sumos</t>
  </si>
  <si>
    <t>TVI išimtos sumos metinėse sąskaitose</t>
  </si>
  <si>
    <t>Metinės sąskaitos EK</t>
  </si>
  <si>
    <t>Apmokėtos išlaidos, kurioms taikomi apribojimai</t>
  </si>
  <si>
    <t>Pripažinta deklaruotina EK viešųjų išlaidų suma</t>
  </si>
  <si>
    <t>Nustatytos finansinių priemonių tinkamos finansuoti išlaidos (išmokėtos sumos arba, kai suteiktos garantijos, suma, dėl kurios prisiimti įsipareigojimai)</t>
  </si>
  <si>
    <t xml:space="preserve">Nustatyta finansinių priemonių tinkamų finansuoti viešųjų išlaidų suma (išmokėtos sumos arba, kai suteiktos garantijos, suma, dėl kurios prisiimti įsipareigojimai) </t>
  </si>
  <si>
    <t>Nedeklaruotos EK FM(ĮI) išimtos sumos</t>
  </si>
  <si>
    <t>Sąskaitų pateikimo EK data</t>
  </si>
  <si>
    <t xml:space="preserve">Deklaruotina EK suma, atsižvelgus į pajamas  </t>
  </si>
  <si>
    <t>Deklaruotina EK viešųjų išlaidų  suma, atsižvelgus į pajamas</t>
  </si>
  <si>
    <t xml:space="preserve">Deklaruota EK suma </t>
  </si>
  <si>
    <t xml:space="preserve">Deklaruota EK viešųjų išlaidų suma  </t>
  </si>
  <si>
    <t>Pajamos, susijusios su deklaruotinomis ir (arba) deklaruotomis EK išlaidomis</t>
  </si>
  <si>
    <t>Nedeklaruotos TvI išėmimų sumos</t>
  </si>
  <si>
    <t>Į sąskaitas EK įtraukta suma</t>
  </si>
  <si>
    <t xml:space="preserve">Į sąskaitas EK įtraukta viešųjų išlaidų suma   </t>
  </si>
  <si>
    <t>Deklaruota EK viešųjų išlaidų suma</t>
  </si>
  <si>
    <t>Pagal sutartį numatytos</t>
  </si>
  <si>
    <t>Pripažinta deklaruotina EK suma</t>
  </si>
  <si>
    <t xml:space="preserve">Sąskaitų Europos Komisijai, kuriose įtrauktas projekto galutinis MP, pateikimo data </t>
  </si>
  <si>
    <t>Ataskaitiniai metai</t>
  </si>
  <si>
    <t>Apmokėta kryžminio finansavimo suma</t>
  </si>
  <si>
    <t>Išmokėta suma ne programos teritorijoje, bet ES</t>
  </si>
  <si>
    <t>Išmokėta suma už ES ribų </t>
  </si>
  <si>
    <t>Apmokėta nepiniginio įnašo suma</t>
  </si>
  <si>
    <t>Apmokėta žemės įsigyjimo išlaidų suma</t>
  </si>
  <si>
    <t>gauti grynosios pajamos</t>
  </si>
  <si>
    <t>2</t>
  </si>
  <si>
    <t>3</t>
  </si>
  <si>
    <t>4</t>
  </si>
  <si>
    <t>104=91+102</t>
  </si>
  <si>
    <t>105=92+103</t>
  </si>
  <si>
    <t>04.5</t>
  </si>
  <si>
    <t>04.5.1</t>
  </si>
  <si>
    <t>SM</t>
  </si>
  <si>
    <t>CPVA (TID)</t>
  </si>
  <si>
    <t>ERPF</t>
  </si>
  <si>
    <t>05.1</t>
  </si>
  <si>
    <t>05.1.1</t>
  </si>
  <si>
    <t>AM</t>
  </si>
  <si>
    <t>APVA</t>
  </si>
  <si>
    <t>SaF</t>
  </si>
  <si>
    <t>05.2</t>
  </si>
  <si>
    <t>05.2.1</t>
  </si>
  <si>
    <t>05.3</t>
  </si>
  <si>
    <t>05.3.2</t>
  </si>
  <si>
    <t>05.4</t>
  </si>
  <si>
    <t>05.4.1</t>
  </si>
  <si>
    <t>ŪM</t>
  </si>
  <si>
    <t>LVPA</t>
  </si>
  <si>
    <t>KM</t>
  </si>
  <si>
    <t>CPVA</t>
  </si>
  <si>
    <t>05.5</t>
  </si>
  <si>
    <t>05.5.1</t>
  </si>
  <si>
    <t>06.2</t>
  </si>
  <si>
    <t>06.2.1</t>
  </si>
  <si>
    <t>07.1</t>
  </si>
  <si>
    <t>07.1.1</t>
  </si>
  <si>
    <t>VRM</t>
  </si>
  <si>
    <t>08.1</t>
  </si>
  <si>
    <t>08.1.1</t>
  </si>
  <si>
    <t>SADM</t>
  </si>
  <si>
    <t>08.1.2</t>
  </si>
  <si>
    <t>08.2</t>
  </si>
  <si>
    <t>08.2.1</t>
  </si>
  <si>
    <t>08.4</t>
  </si>
  <si>
    <t>08.4.1</t>
  </si>
  <si>
    <t>ESFA</t>
  </si>
  <si>
    <t>ESF</t>
  </si>
  <si>
    <t>08.4.2</t>
  </si>
  <si>
    <t>SAM</t>
  </si>
  <si>
    <t>08.6</t>
  </si>
  <si>
    <t>08.6.1</t>
  </si>
  <si>
    <t>08.6.1-ESFA-V-911-11-0010</t>
  </si>
  <si>
    <t>"Su mumis pasaulis gražesnis"</t>
  </si>
  <si>
    <t>09.1</t>
  </si>
  <si>
    <t>09.1.3</t>
  </si>
  <si>
    <t>ŠMM</t>
  </si>
  <si>
    <t>10.1</t>
  </si>
  <si>
    <t>10.1.3</t>
  </si>
  <si>
    <t>445</t>
  </si>
  <si>
    <t>446</t>
  </si>
  <si>
    <t>447</t>
  </si>
  <si>
    <t>Planuojamų pripažinti deklaruotinomis EK išlaidų suma</t>
  </si>
  <si>
    <t xml:space="preserve">Projekto biudžete numatyta viešųjųišlaidų suma  </t>
  </si>
  <si>
    <r>
      <t xml:space="preserve">Projektų sutarties duomenų ataskaita (suformuota </t>
    </r>
    <r>
      <rPr>
        <b/>
        <sz val="14"/>
        <color indexed="9"/>
        <rFont val="Arial"/>
        <family val="2"/>
        <charset val="186"/>
      </rPr>
      <t>2018-10-24 12:26:55</t>
    </r>
    <r>
      <rPr>
        <b/>
        <sz val="14"/>
        <color indexed="9"/>
        <rFont val="Arial"/>
        <family val="2"/>
        <charset val="186"/>
      </rPr>
      <t>)</t>
    </r>
  </si>
  <si>
    <t>ESF bendrieji produkto rodikliai</t>
  </si>
  <si>
    <t>Finansavimo šaltinio kodas</t>
  </si>
  <si>
    <t>Finansavimo forma</t>
  </si>
  <si>
    <t>Projekto vykdytojo kontaktinė informacija</t>
  </si>
  <si>
    <t>Vertinimai</t>
  </si>
  <si>
    <t>Projekto išlaidos pagal biudžetą</t>
  </si>
  <si>
    <t>Projekto išlaidų finansavimo šaltiniai</t>
  </si>
  <si>
    <t>Papildomi reikalavimai po projekto finansavimo pabaigos </t>
  </si>
  <si>
    <t>Papildomos  sąlygos, taikomos projekto įgyvendinimo metu</t>
  </si>
  <si>
    <t>Tinkamumo vertinimas</t>
  </si>
  <si>
    <t>Naudos ir kokybės vertinimas</t>
  </si>
  <si>
    <t>Sprendimas dėl finansavimo</t>
  </si>
  <si>
    <t>Nustatyta vertinimo metu</t>
  </si>
  <si>
    <t>Projektui skirtos finansavimo lėšos</t>
  </si>
  <si>
    <t xml:space="preserve">Teikiama </t>
  </si>
  <si>
    <t xml:space="preserve">Teikiama de </t>
  </si>
  <si>
    <t xml:space="preserve">Projekto veiklose </t>
  </si>
  <si>
    <t xml:space="preserve">Patikra </t>
  </si>
  <si>
    <t xml:space="preserve">Viešos - privačios </t>
  </si>
  <si>
    <t xml:space="preserve">ESF tarptautinis </t>
  </si>
  <si>
    <t xml:space="preserve">Projektas prisideda prie Baltijos jūros </t>
  </si>
  <si>
    <t xml:space="preserve">Taikomi </t>
  </si>
  <si>
    <t xml:space="preserve">Didelės </t>
  </si>
  <si>
    <t xml:space="preserve">Strateginio plano </t>
  </si>
  <si>
    <t xml:space="preserve">3. Naudojantis finansinėmis </t>
  </si>
  <si>
    <t xml:space="preserve">4. Naudojantis </t>
  </si>
  <si>
    <t xml:space="preserve">5. Naudojantis </t>
  </si>
  <si>
    <t xml:space="preserve">6. Naudojantis finansinėmis priemonėmis teikiama </t>
  </si>
  <si>
    <t xml:space="preserve">Teritorinės paramos </t>
  </si>
  <si>
    <t xml:space="preserve">Vietovės </t>
  </si>
  <si>
    <t xml:space="preserve">Projekto vykdytojo </t>
  </si>
  <si>
    <t xml:space="preserve">Užsienio </t>
  </si>
  <si>
    <t xml:space="preserve">Apskritis, </t>
  </si>
  <si>
    <t xml:space="preserve">Savivaldybė, </t>
  </si>
  <si>
    <t xml:space="preserve">Projekto įgyvendinimo </t>
  </si>
  <si>
    <t>Projektas ar jo dalis įgyvendinamas</t>
  </si>
  <si>
    <t xml:space="preserve">Projektas ar jo dalis </t>
  </si>
  <si>
    <t xml:space="preserve">Projekto finansavimo lėšų suma, skiriama </t>
  </si>
  <si>
    <t xml:space="preserve">Projekto veiklų </t>
  </si>
  <si>
    <t xml:space="preserve">Ataskaitos po projekto </t>
  </si>
  <si>
    <t xml:space="preserve">Su projekto įgyvendinimu </t>
  </si>
  <si>
    <t xml:space="preserve">Didžiausias </t>
  </si>
  <si>
    <t xml:space="preserve">Galutinio </t>
  </si>
  <si>
    <t xml:space="preserve">Fiksuotoji projekto išlaidų </t>
  </si>
  <si>
    <t>Fiksuotieji projekto išlaidų</t>
  </si>
  <si>
    <t>Fiksuotosios projekto išlaidų</t>
  </si>
  <si>
    <t>Informacija apie</t>
  </si>
  <si>
    <t xml:space="preserve">Projekto išlaidų pagal sutartį </t>
  </si>
  <si>
    <t xml:space="preserve">Projekto biudžete numatyta </t>
  </si>
  <si>
    <t>Didžiausia galima projekto tinkamų finansuoti išlaidų suma</t>
  </si>
  <si>
    <t>Tinkamos deklaruoti EK</t>
  </si>
  <si>
    <t>Iš jų </t>
  </si>
  <si>
    <t>Iš jų</t>
  </si>
  <si>
    <t xml:space="preserve"> išlaidos </t>
  </si>
  <si>
    <t>Investicinis prioritetas</t>
  </si>
  <si>
    <t>Priemonės pavadinimas</t>
  </si>
  <si>
    <t>Paraiškos pateikimo ĮI data</t>
  </si>
  <si>
    <t>Sutarties įsigaliojimo data</t>
  </si>
  <si>
    <t>Projekto aprašymas</t>
  </si>
  <si>
    <t>Trišalė sutartis (požymis)</t>
  </si>
  <si>
    <t>Projekto trukmė (mėn.)</t>
  </si>
  <si>
    <t>valstybės pagalba (požymis)</t>
  </si>
  <si>
    <t>minimis pagalba (požymis)</t>
  </si>
  <si>
    <t>dalyvauja projekto dalyviai (požymis)</t>
  </si>
  <si>
    <t>neatliekama (požymis)</t>
  </si>
  <si>
    <t>Projektas (ITI) (požymis)</t>
  </si>
  <si>
    <t>partnerystės programa (požymis)</t>
  </si>
  <si>
    <t>projektas (požymis)</t>
  </si>
  <si>
    <t>regiono strategijos įgyvendinimo (požymis)</t>
  </si>
  <si>
    <t>Projektas, kuris visiškai arba iš dalies įgyvendinamas socialinių partnerių ar NVO (požymis)</t>
  </si>
  <si>
    <t>Projektas, skirtas tvariam moterų dalyvavimui ir pažangai darbo rinkoje (požymis)</t>
  </si>
  <si>
    <t>apdovanojimai (požymis)</t>
  </si>
  <si>
    <t>kryžminis finansavimas  (TAIP/NE)</t>
  </si>
  <si>
    <t>apimties projektas (požymis)</t>
  </si>
  <si>
    <t>CCI kodas</t>
  </si>
  <si>
    <t>programos priemonės kodas</t>
  </si>
  <si>
    <t>Funkcinė klasifikacija</t>
  </si>
  <si>
    <t>Ekonominė klasifikacija</t>
  </si>
  <si>
    <t xml:space="preserve">
ES</t>
  </si>
  <si>
    <t xml:space="preserve">
VB</t>
  </si>
  <si>
    <t>Prioriteinių sričių grupė</t>
  </si>
  <si>
    <t>Prioritetinės srities kodas</t>
  </si>
  <si>
    <t xml:space="preserve">
1. Negrąžinamoji subsidija</t>
  </si>
  <si>
    <t xml:space="preserve">
2. Grąžinamoji subsidija</t>
  </si>
  <si>
    <t>priemonėmis teikiama parama: rizikos ir nuosavas kapitalas arba lygiavertė priemonė</t>
  </si>
  <si>
    <t>finansinėmis priemonėmis teikiama parama: paskola arba lygiavertė priemonė</t>
  </si>
  <si>
    <t>finansinėmis priemonėmis teikiama parama: garantija arba lygiavertė priemonė</t>
  </si>
  <si>
    <t>parama: palūkanų subsidija, garantinio mokesčio subsidija, techninė parama arba lygiavertė priemonė</t>
  </si>
  <si>
    <r>
      <t xml:space="preserve"> 
</t>
    </r>
    <r>
      <rPr>
        <b/>
        <sz val="8"/>
        <color indexed="8"/>
        <rFont val="Arial"/>
        <family val="2"/>
        <charset val="186"/>
      </rPr>
      <t>7. Apdovanojimas</t>
    </r>
  </si>
  <si>
    <t>Teritorijos tipo kodas</t>
  </si>
  <si>
    <t>paskirstymo priemonės kodas</t>
  </si>
  <si>
    <t>Teminio tikslo kodas</t>
  </si>
  <si>
    <t>ESF antrinės temos kodas</t>
  </si>
  <si>
    <t>Ekonominės veiklos kodas</t>
  </si>
  <si>
    <t>(apskrities) kodas</t>
  </si>
  <si>
    <t>Projekto vykdytojo pavadinimas</t>
  </si>
  <si>
    <t>juridinio asmens kodas</t>
  </si>
  <si>
    <t>subjektas (požymis)</t>
  </si>
  <si>
    <t>Teisinė forma</t>
  </si>
  <si>
    <t>Juridinio asmens tipas</t>
  </si>
  <si>
    <t xml:space="preserve">
Adresas</t>
  </si>
  <si>
    <t xml:space="preserve">
Telefono numeris</t>
  </si>
  <si>
    <t xml:space="preserve">
El. pašto adresas</t>
  </si>
  <si>
    <t>partnerių skaičius</t>
  </si>
  <si>
    <t>kuriai tenka didžioji dalis lėšų</t>
  </si>
  <si>
    <t>teritorija pagal Eurostat skirstymą</t>
  </si>
  <si>
    <t xml:space="preserve"> kitoje ES valstybėje narėje (požymis)</t>
  </si>
  <si>
    <t>įgyvendinamas už ES teritorijos ribų (požymis)</t>
  </si>
  <si>
    <t>veikloms, įgyvendinamoms ne programos teritorijoje, eurais</t>
  </si>
  <si>
    <t>įgyvendinimo pradžios data</t>
  </si>
  <si>
    <t>įgyvendinimo pabaigos data</t>
  </si>
  <si>
    <t>finansavimo pabaigos teikimas (požymis)</t>
  </si>
  <si>
    <t>susijusių dokumentų saugojimas</t>
  </si>
  <si>
    <t>Kredito įstaigos pavadinimas</t>
  </si>
  <si>
    <t>Projekto sąskaita</t>
  </si>
  <si>
    <t>galimas avanso dydis (proc.)</t>
  </si>
  <si>
    <t>galimas avanso dydis (suma)</t>
  </si>
  <si>
    <t>mokėjimo prašymo pateikimo data</t>
  </si>
  <si>
    <t>finansavimo pabaiga</t>
  </si>
  <si>
    <t>pateikimo periodiškumas (dienomis)</t>
  </si>
  <si>
    <t>norma (taikoma/netaikoma)</t>
  </si>
  <si>
    <t xml:space="preserve"> vieneto įkainiai (taikoma/netaikoma)</t>
  </si>
  <si>
    <t xml:space="preserve"> sumos (taikoma/netaikoma)</t>
  </si>
  <si>
    <t xml:space="preserve"> projekto generuojamas pajamas</t>
  </si>
  <si>
    <t>suma (iš viso) 100=101+102+103+104+105+106+107</t>
  </si>
  <si>
    <t>1 biudžeto kategorija</t>
  </si>
  <si>
    <t>2 biudžeto kategorija</t>
  </si>
  <si>
    <t>3 biudžeto kategorija</t>
  </si>
  <si>
    <t>4 biudžeto kategorija</t>
  </si>
  <si>
    <t>5 biudžeto kategorija</t>
  </si>
  <si>
    <t>6 biudžeto kategorija</t>
  </si>
  <si>
    <t>7 biudžeto kategorija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</si>
  <si>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</si>
  <si>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</si>
  <si>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</si>
  <si>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</si>
  <si>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</si>
  <si>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</si>
  <si>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</si>
  <si>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</si>
  <si>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</si>
  <si>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</si>
  <si>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</si>
  <si>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</si>
  <si>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 xml:space="preserve">
Iš jų apskaičiuotos numatomos gauti grynosios pajamos</t>
  </si>
  <si>
    <t>PVM tinkamumas finansuoti</t>
  </si>
  <si>
    <t>Didžiausia galima kompensuoti suma, eurais</t>
  </si>
  <si>
    <t xml:space="preserve">
Papildomi reikalavimai (Taip / Ne)</t>
  </si>
  <si>
    <t xml:space="preserve">
Įvykdymo terminas </t>
  </si>
  <si>
    <t xml:space="preserve">
Papildomos sąlygos (Taip / Ne)</t>
  </si>
  <si>
    <t>Bendra projekto vertė</t>
  </si>
  <si>
    <t>Iš viso (83=84+86)</t>
  </si>
  <si>
    <t>Prašomos </t>
  </si>
  <si>
    <t>% (85= 84/83*100,00)</t>
  </si>
  <si>
    <t>Pareiškėjo </t>
  </si>
  <si>
    <t>% (87=  100,00-85)</t>
  </si>
  <si>
    <t>% (89= 88/83*100,00)</t>
  </si>
  <si>
    <t>Sprendimas  TAIP/ NE</t>
  </si>
  <si>
    <t>Vertinimo informacijos data</t>
  </si>
  <si>
    <t>Vertinimo metu suteiktų balų skaičius </t>
  </si>
  <si>
    <t>Iš viso - iki (95=96+97)</t>
  </si>
  <si>
    <t>ES fondų</t>
  </si>
  <si>
    <t>Valstybės biudžeto</t>
  </si>
  <si>
    <t>01.1</t>
  </si>
  <si>
    <t>01.1.1</t>
  </si>
  <si>
    <t>01.1.1-CPVA-V-701</t>
  </si>
  <si>
    <t>Mokslinių tyrimų, eksperimentinės plėtros ir inovacijų infrastruktūros plėtra ir integracija į europines infrastruktūras</t>
  </si>
  <si>
    <t>01.1.1-CPVA-V-701-11-0001</t>
  </si>
  <si>
    <t>Nacionalinės ir tarptautinės prieigos didelio intensyvumo ir plataus bangų ruožo ultratrumpųjų lazerinių impulsų mokslinių tyrimų infrastruktūra</t>
  </si>
  <si>
    <t>Projektu siekiama sudaryti sąlygas kurti tarptautiniu mastu aukštos pridėtinės vertės mokslo rezultatus ir teikti aukšto mokslinio lygio paslaugas tiriant ultratrumpųjų šviesos impulsų generavimą plačiame bangų ruože bei jų taikymą spinduliuotės ir medžiagos sąveikos, netiesinės optikos ir parametrinių reiškinių, ultrasparčiųjų procesų tyrimuose bei lazerinėje nano- ir mikrotechnologijoje. Nacionalinės ir tarptautinės prieigos didelio intensyvumo ir plataus bangų ruožo ultratrumpųjų lazerinių impulsų mokslinių tyrimų infrastruktūra apjungia VU LTC ir FTMC LTS padalinius, kuriuose sėkmingai plėtojamos tiek fundamentinės, tiek taikomosios ultratrumpųjų impulsų lazerių kūrimo ir taikymo mokslinės tematikos. Pasaulinės lazerinių technologijų vystymosi tendencijos diktuoja naujus poreikius lazerinių technologijų mokslui, tačiau dalies pažangių lazerinių technologijų taikymas dėl jų sudėtingumo ir kainos yra galimas tik didelėse nacionalinėse ir tarptautinėse laboratorijose. Lietuvos lazerių sektoriaus atstovams svarbi ELI-DC, kuri apjungia tris baigiamas pastatyti ir įrengti labai didelės vertės specializuotas ELI MTI, esančias Čekijoje, Vengrijoje ir Rumunijoje. ELI tikslas - nauji fundamentalūs tyrimai ekstremalaus intensyvumo šviesai sąveikaujant su medžiaga, aukštų temperatūrų plazmos fizika, elektronų ir jonų greitinimas šviesos laukais, atosekundinių impulsų generavimas ir kiti didelio intensyvumo šviesos taikymai. Dalyvavimas ELI yra itin svarbus Lietuvos lazerių sektoriui, suteiksiantis galimybę įsilieti į su priešakinėmis žiniomis ir technologijomis dirbančią tarptautinę mokslininkų bendruomenę, įtakoti kuriamų centrų ir juose taikomų technologijų plėtrą Lietuvos mokslininkams naudinga kryptimi. Projekto įgyvendinimo metu bus įsigyta įranga, skirta VU LTC bei FTMC LTS mokslinėms laboratorijoms. Taip pat atlikti FTMC laboratorijos patalpų modernizavimo darbai. Be kita ko, projekto įgyvendinimo metu bus siekiama įsijungti į tarptautinę ELI infrastruktūrą.</t>
  </si>
  <si>
    <t>Ne</t>
  </si>
  <si>
    <t>Atliekama</t>
  </si>
  <si>
    <t>120010205010000</t>
  </si>
  <si>
    <t>09.08.01.02</t>
  </si>
  <si>
    <t>2. 9. 2. 2. 1.02</t>
  </si>
  <si>
    <t>1. 3.2.7. 1</t>
  </si>
  <si>
    <t>1. 2.2.7. 1</t>
  </si>
  <si>
    <t>8 Vidaus potencialo plėtojimas – Moksliniai tyrimai, technologinė plėtra ir inovacijos</t>
  </si>
  <si>
    <t>058 Mokslinių tyrimų ir inovacijų infrastruktūra (vieša)</t>
  </si>
  <si>
    <t>07 Netaikoma</t>
  </si>
  <si>
    <t>01 Mokslinių tyrimų, technologinės plėtros ir inovacijų skatinimas</t>
  </si>
  <si>
    <t>19 Švietimas</t>
  </si>
  <si>
    <t>LT00A Vilniaus apskritis</t>
  </si>
  <si>
    <t>Vilniaus universitetas</t>
  </si>
  <si>
    <t>211950810</t>
  </si>
  <si>
    <t>Viešoji įstaiga</t>
  </si>
  <si>
    <t>Viešasis juridinis asmuo</t>
  </si>
  <si>
    <t>Universiteto 3, LT-10105, Vilnius</t>
  </si>
  <si>
    <t>(8 5) 268 7000</t>
  </si>
  <si>
    <t>projektai@cr.vu.lt</t>
  </si>
  <si>
    <t>Vilniaus apskritis</t>
  </si>
  <si>
    <t>Vilniaus miesto</t>
  </si>
  <si>
    <t>Teikiama</t>
  </si>
  <si>
    <t>Swedbank</t>
  </si>
  <si>
    <t>LT987300010155033974</t>
  </si>
  <si>
    <t>Taikoma</t>
  </si>
  <si>
    <t>Netaikoma</t>
  </si>
  <si>
    <t>2.2. Įgyvendinant projektą gaunama pajamų ir jos yra įrtintos iš anksto</t>
  </si>
  <si>
    <t>Taip</t>
  </si>
  <si>
    <t>mišrus PVM, kurį galima kompensuoti iš valstybės biudžeto finansų ministro nustatyta tvarka</t>
  </si>
  <si>
    <t>2026-12-31</t>
  </si>
  <si>
    <t>Projektu siekiama pagerinti dviratininkų ir pėsčiųjų susisiekimo sąlygas Alytaus mieste, padidinti gyventojų mobilumą ir prisidėti prie aplinkos taršos mažinimo, skatinti darnų judumą ir plėtoti aplinkai draugiško transporto patrauklumą. Projekto įgyvendinimo metu planuojama Pramonės gatvėje įrengti 0.75 km ilgio ir 3 m pločio dviračių, pėsčiųjų taką su reikalinga infrastruktūra, kuris bus numatomo įrengti dviračių, pėsčiųjų tako tinklo Alytuje dalis. Dviračių susisiekimo tinklas planuojamas ir tiesiamas vadovaujantis funkcionalumo, saugaus eismo ir ekologiškumo principais, kaip vientisa, savarankiška, jungianti gyvenamąsias, paslaugų ir darbo vietas, susisiekimo sistema.</t>
  </si>
  <si>
    <t>010090101010000</t>
  </si>
  <si>
    <t>04.05.01.02</t>
  </si>
  <si>
    <t>2. 9. 2. 2. 1.01</t>
  </si>
  <si>
    <t>5 Pagrindinių paslaugų teikimo infrastruktūra ir susijusios investicijos – Darnusis transportas</t>
  </si>
  <si>
    <t>043 Netaršaus miesto transporto infrastruktūra ir skatinimas (įskaitant įrangą ir transporto priemones</t>
  </si>
  <si>
    <t>01 Didmiesčio gyvenamoji vietovė</t>
  </si>
  <si>
    <t>03 Integruotosios teritorinės investicijos: kita</t>
  </si>
  <si>
    <t>04 Perėjimo prie mažai anglies dioksido į aplinką išskiriančių technologijų ekonomikos visuose sektoriuose rėmimas</t>
  </si>
  <si>
    <t>08 Statyba</t>
  </si>
  <si>
    <t>LT001 Alytaus apskritis</t>
  </si>
  <si>
    <t>188706935</t>
  </si>
  <si>
    <t>Biudžetinė įstaiga</t>
  </si>
  <si>
    <t>Rotušės a. 4, 62504, Alytus</t>
  </si>
  <si>
    <t>8 315 55 111</t>
  </si>
  <si>
    <t>info@alytus.lt</t>
  </si>
  <si>
    <t>0</t>
  </si>
  <si>
    <t>Alytaus apskritis</t>
  </si>
  <si>
    <t>Alytaus miesto</t>
  </si>
  <si>
    <t>AB Šiaulių bankas</t>
  </si>
  <si>
    <t>LT517181200002130494</t>
  </si>
  <si>
    <t>2.1. Įgyvendinant projektą pajamų negaunama</t>
  </si>
  <si>
    <t>tinkamos finansuoti išlaidos</t>
  </si>
  <si>
    <t>Projektu „Dviračių ir pėsčiųjų takų plėtra Lazdijų miesto Turistų gatvėje iki sodų bendrijos „Baltasis“ siekiama įrengti dviračių ir pėsčiųjų takus. Dviračių take turi būti užtikrinamas saugus eismas, vengiama sąlyčio su intensyvaus automobilių eismo keliais ir gatvėmis, užtikrinama, jog dviračių takas tampa neatsiejama kraštovaizdžio dalimi. Įrengiant taką numatoma, jog infrastruktūros parametrai atitiks minimalius pėstiesiems ir dviratininkams reikalingus gabaritus. Tiesiamas pėsčiųjų ir dviračių takas pagal paskirtį priskiriamas susisiekimo takams, užtikrinami šie reikalavimai: įrengiama 1158 metrų pėsčiųjų ir dviračių takų šalia Turistų gatvės.  Dviračių takas nuo važiuojamosios dalies atskiriamas atitvaru, įrengiami bordiūrai, užtikrinama, kad į pėsčiųjų ir dviračio taką neišsikiša objektai, galintys tapti kliūtimi dviratininkams. Įrengiamas apie dalies tako apšvietimas.</t>
  </si>
  <si>
    <t>188714992</t>
  </si>
  <si>
    <t>Vilniaus 1, 67106, Lazdijai</t>
  </si>
  <si>
    <t>8 318 66 108</t>
  </si>
  <si>
    <t>info@lazdijai.lt</t>
  </si>
  <si>
    <t>Lazdijų raj.</t>
  </si>
  <si>
    <t>Luminor Bank AB</t>
  </si>
  <si>
    <t>LT484010042200171657</t>
  </si>
  <si>
    <t>Didėjantis gyventojų aktyvumas ir sveiko gyvenimo būdo propagavimas augina ir tam būtinos infrastruktūros poreikį. Varėna yra pakankamai nedidelis miestas, kuriame gyventojai daugelį vietų gali pasiekti pėsčiomis ar dviračiu. Varėnos rajone taip pat gausu turizmui patrauklių objektų, ežerai, etnografiniai kaimai, Čepkelių rezervatas, lankytinos vietos. Šios priežastys labiausiai lemia pėsčiųjų ir dviračių takų plėtrą mieste ir rajone. Dviračiai galėtų tapti puikia alternatyva automobiliams, tačiau dviračių takų nepakanka, o ir esami yra labai nesaugūs eismo požiūriu. Varėnos miesto ir Senosios Varėnos kaimo dviračių infrastruktūros plėtros specialiajame plane yra numatyta pakankamai didelė miesto pėsčiųjų ir dviračių takų plėtra. Projekto metu numatoma įrengti dviračių ir pėsčiųjų taką Varėnos miesto J. Basanavičiaus gatvės atkarpoje nuo Perlojos g. iki Trumposios g., bei dviračių taką Varėnos miesto Žiedo gatvėje.</t>
  </si>
  <si>
    <t>188773873</t>
  </si>
  <si>
    <t>Vytauto 12, 65184, Varėna</t>
  </si>
  <si>
    <t>(8 310)  32 005</t>
  </si>
  <si>
    <t>direktorius@varena.lt</t>
  </si>
  <si>
    <t>Varėnos raj.</t>
  </si>
  <si>
    <t>AB "Šiaulių bankas"</t>
  </si>
  <si>
    <t>LT207181200002130664</t>
  </si>
  <si>
    <t>Alytaus rajono savivaldybės administracija siekia įgyvendinti projektą „Pėsčiųjų ir dviračių takų plėtra Simno seniūnijoje“. Projekto tikslas – išplėtotas ir užtikrintas saugus dviratininkų ir pėsčiųjų susisiekimas Simno mieste.
Projekto įgyvendinimo vieta numatyta atsižvelgiant į šiuo metu esančias pavojingiausias vietas Alytaus rajono savivaldybėje, taip pat siekiant pagerinti dviratininkų ir pėsčiųjų susisiekimo sąlygas bei sudaryti sąlygas aplinkos taršos mažėjimui. Įgyvendinant projektą planuojama įrengti 804 m ilgio pėsčiųjų ir dviračių taką, einantį šalia gyvenamųjų namų kvartalo nuo Melioratorių gatvės. Įrengtas takas tiesiogiai prisidės prie projekto tikslo siekimo:  pagerės susisiekimas Simno mieste, padidės gyventojų užimtumas bei sumažės socialinė atskirtis – gyventojai galės nevaržomai ir saugiai judėti dviračių ir pėsčiųjų taku, atitinkančiu reikalavimus. 
Projekto įgyvendinimas turės įtakos pagrindinėms tikslinėms grupėms – Alytaus rajono Simno miesto bei visos Simno seniūnijos gyventojams.</t>
  </si>
  <si>
    <t>188718528</t>
  </si>
  <si>
    <t>Pulko 21, 62135, Alytus</t>
  </si>
  <si>
    <t>(8 315) 55 530</t>
  </si>
  <si>
    <t>info@arsa.lt</t>
  </si>
  <si>
    <t>Alytaus raj.</t>
  </si>
  <si>
    <t>"Swedbank", AB</t>
  </si>
  <si>
    <t>LT787300010152991611</t>
  </si>
  <si>
    <t>„PAVIRŠINIŲ NUOTEKŲ SISTEMŲ TVARKYMAS“</t>
  </si>
  <si>
    <t>UAB „Dzūkijos vandenys“ planuoja įgyvendinti investicinį projektą „Paviršinių nuotekų sistemų tvarkymas Alytaus mieste“.
Projekto tikslas – sumažinti užtvindymo paviršinėmis nuotekomis riziką ir jos neigiamą poveikį aplinkai bei ekonomikai Alytaus mieste. Numatomas įgyvendinti projektas bus skirtas paviršinių nuotekų valymo įrenginių statybai ir paviršinių nuotekų tinklų rekonstrukcijai. Tai leis ženkliai pagerinti įmonės vykdomą paviršinių nuotekų tvarkymo veiklą. Į projekto apimtį įtrauktos veiklos, kurios nebuvo finansuotos iš kitų šaltinių, įgyvendinant kitus projektus ir kurios tiesiogiai prisidės prie projekto uždavinių įgyvendinimo. Veiklos, nesusijusios su suformuotais projekto uždaviniais, į projekto apimtį neįeina. Projekto įgyvendinimo vieta – Alytaus miestas. Projekto tikslui pasiekti suformuotas konkretus uždavinys – atnaujinti ir išplėsti paviršinių nuotekų tvarkymo infrastruktūrą Alytaus mieste.</t>
  </si>
  <si>
    <t>010310401030000</t>
  </si>
  <si>
    <t>05.02.01.01</t>
  </si>
  <si>
    <t>2. 9. 2. 2. 1.03</t>
  </si>
  <si>
    <t>3 Pagrindinių paslaugų teikimo infrastruktūra ir susijusios investicijos – Aplinkosaugos infrastruktūra</t>
  </si>
  <si>
    <t>022 Nuotekų tvarkymas</t>
  </si>
  <si>
    <t>05 Prisitaikymo prie klimato kaitos, rizikos prevencijos ir administravimo skatinimas</t>
  </si>
  <si>
    <t>11 Vandens tiekimas, nuotekų ir atliekų tvarkymas ir valymas</t>
  </si>
  <si>
    <t>Uždaroji akcinė bendrovė "Dzūkijos vandenys"</t>
  </si>
  <si>
    <t>149566841</t>
  </si>
  <si>
    <t>Uždaroji akcinė bendrovė</t>
  </si>
  <si>
    <t>Pulko 75, 62135, Alytus</t>
  </si>
  <si>
    <t>8-315-73470</t>
  </si>
  <si>
    <t>dzukvand@vandenys.lt</t>
  </si>
  <si>
    <t>SWEDBANK</t>
  </si>
  <si>
    <t>LT357300010134991901</t>
  </si>
  <si>
    <t>netinkamos finansuoti išlaidos</t>
  </si>
  <si>
    <t>„KOMUNALINIŲ ATLIEKŲ TVARKYMO INFRASTRUKTŪROS PLĖTRA“</t>
  </si>
  <si>
    <t>Esamos konteinerių stovėjimo vietos Alytaus regiono savivaldybėse neatitinka Kokybės reikalavimuose konteinerinėms aikštelėms nustatytų reikalavimų, trūksta konteinerių pagal atliekų rūšis.
VATP nustatytas reikalavimas iki 2019 m. organizuoti atskirą maisto atliekų surinkimą, o Alytaus regiono plėtros plane, Alytaus atliekų tvarkymo regiono, minėtų savivaldybių atliekų tvarkymo planuose 2014-2020 m. – iki 2017 m. pab., tačiau šių atliekų surinkimas dabar neorganizuotas nei iš daugiabučių namų, nei iš individualių valdų. Nesilaikoma reikalavimo atskirai rinkti tekstilės atliekas.
Pagal patvirtintą didelių gabaritų atliekų surinkimo (toliau – didelių gabaritų) aikštelių schemą Alytaus regione trūksta 2 didelių gabaritų aikštelių, o esama Druskininkuose jau 2015 m. viršijo planinius pajėgumus.
Projektu siekiama Alytaus regiono savivaldybėse išplėtoti komunalinių atliekų rūšiuojamojo atliekų surinkimo infrastruktūrą, atsižvelgiant į daugiabučių, individualių valdų gyventojų ir ūkio subjektų (projekto tikslinės grupės) poreikius. 
Planuojamos įgyvendinti veiklos:
• konteinerinių aikštelių įrengimas ir konteinerių įsigijimas;
• didelių gabaritų atliekų surinkimo naujų aikštelių įrengimas (Lazdijų r. ir Varėnos r.) ir atnaujinimas (Druskininkuose);
• biologinių atliekų konteinerių individualioms valdoms plėtra.
Projektu bus: 
1) įrengtos 308 konteinerinės aikštelės (84 antžeminės, 224 pusiau požeminės) su rūšiuojamajam atliekų surinkimui skirtais konteineriais: 134 aikštelės Alytaus mieste, 42 - Alytaus r., 78 - Druskininkuose,  23 - Lazdijų r., 31 - Varėnos r.;
2) įrengtos 2 didelių gabaritų aikštelės (Lazdijų ir Varėnos r.) ir praplėsta esama Druskininkų aikštelė;
3) įsigyti 4289 atskiro maisto atliekų surinkimo prie individualių valdų konteineriai.
1 konteinerinėje aikštelėje standartinis konteinerių paketas - mišrių, stiklo, popieriaus ir kartono, plastiko bei maisto atliekų (arba žaliųjų, jei prie kapinių) konteineriai. 1 tekstilės konteineris/ 10-čiai aikštelių.</t>
  </si>
  <si>
    <t>010310401040000</t>
  </si>
  <si>
    <t>05.01.01.01</t>
  </si>
  <si>
    <t>017 Buitinių atliekų tvarkymas (įskaitant atliekų mažinimo, rūšiavimo ir perdirbimo priemones)</t>
  </si>
  <si>
    <t>06 Aplinkos išsaugojimas bei apsauga ir išteklių  veiksmingumo skatinimas</t>
  </si>
  <si>
    <t>UAB Alytaus regiono atliekų tvarkymo centras</t>
  </si>
  <si>
    <t>250135860</t>
  </si>
  <si>
    <t>Privatus juridinis asmuo</t>
  </si>
  <si>
    <t>Vilniaus 31, LT-62112, Alytus</t>
  </si>
  <si>
    <t>+370  315 72 843</t>
  </si>
  <si>
    <t>info@alytausratc.lt</t>
  </si>
  <si>
    <t>Swedbank, AB</t>
  </si>
  <si>
    <t>LT187300010156412620</t>
  </si>
  <si>
    <t>„GERIAMOJO VANDENS TIEKIMO IR NUOTEKŲ TVARKYMO SISTEMŲ RENOVAVIMAS IR PLĖTRA, ĮMONIŲ VALDYMO TOBULINIMAS“</t>
  </si>
  <si>
    <t>UAB “Varėnos vandenys” teikia vandens tiekimo, nuotekų šalinimo ir valymo paslaugas Varėnos mieste bei rajone. Nuotekos šalinamos senais, prastos kokybės vamzdžiais, dažnos avarijos. Vandentiekio tinklų, kaip ir nuotekų sistemos būklė yra blogos kokybės. Dalis tinklų įrengti privačiuose sklypuose, todėl apsunkinamas jų eksploatavimas ir priežiūra. Vandentiekio tinklai pakloti nesilaikant tinklų klojimo normų, žiemą dažnai užšąla. Tiek nuotekų, tiek vandentiekio tinklai pakloti tuo metu, kai nuotekų kiekiai buvo žymiai didesni, todėl dabartinių vamzdžių skersmenys neatitinka šiandieninių kiekių. Didelę tinklų dalį sudaro didesnio kaip 200 mm diametro vamzdynai, todėl esant mažam nuotekų kiekiui, mažėja nuotekų greitis, tinkluose kaupiasi sąnašos. Taip pat dalis rajono gyventojų negali naudotis geriamojo vandens tiekimo ir nuotekų tvarkymo paslaugomis, kadangi nepakankamai išplėtota tinklų infrastruktūra. Siekiant padidinti geriamojo vandens tiekimo ir nuotekų tvarkymo paslaugų prieinamumą bei pagerinti šių paslaugų kokybę Varėnos rajone, būtina išplėsti ir renovuoti vandens tiekimo ir nuotekų tinklus, įrengti nuotekų valymo įrenginius. Šiuo tikslu numatoma įgyvendinti investicinį projektą, kurio metu vykdoma nuotekų ir geriamojo vandens tinklų rekonstrukcija ir statyba Varėnos, Matuizų bei Merkinės gyvenvietėse, rekonstruojami ir statomi nuotekų valymo įrenginiai Matuizų ir Puodžių gyvenvietėse. Įgyvendinus projektą bus užtikrintas tinkamas vandentvarkos paslaugų teikimas optimaliomis sąlygomis. Atlikus esamų tinklų rekonstrukciją bus (1) padidintas tinklų efektyvumas ir mažinamos eksploatacinės sąnaudos; (2) sumažinamas avarijų skaičius; (3) gerinama vandens kokybė ir užtikrinamas paslaugos tiekimo patikimumas; (4) atstatoma nusidėvėjusi infrastruktūra; (5) mažinama infiltracija/eksfiltracija. Projekto daliniam finansavimui prašoma Europos Sąjungos struktūrinių fondų paramos.</t>
  </si>
  <si>
    <t>010310401020000</t>
  </si>
  <si>
    <t>03 Kaimo gyvenamoji vietovė</t>
  </si>
  <si>
    <t>Uždaroji akcinė bendrovė "Varėnos vandenys"</t>
  </si>
  <si>
    <t>184626819</t>
  </si>
  <si>
    <t>Žalioji g. 26, 65210, Varėna</t>
  </si>
  <si>
    <t>8 310 31663</t>
  </si>
  <si>
    <t>info@varenosvandenys.lt</t>
  </si>
  <si>
    <t>AB "Swedbank" bankas</t>
  </si>
  <si>
    <t>LT617300010129197817</t>
  </si>
  <si>
    <t>UAB „Dzūkijos vandenys“ planuoja įgyvendinti investicinį projektą „Geriamojo vandens ir nuotekų tvarkymo sistemų renovavimas Alytaus mieste“.
Projekto tikslas ir uždaviniai: didinti vandens tiekimo ir nuotekų tvarkymo paslaugų kokybę ir sistemos efektyvumą (atitinka Veiksmų programos 5 prioriteto „Aplinkosauga, gamtos išteklių darnus naudojimas ir prisitaikymas prie klimato kaitos“ 5.3.2 konkretų uždavinį).
Projektu siekiama padidinti vandens tiekimo ir nuotekų tvarkymo sistemos efektyvumą, Alytaus miesto gyventojams užtikrinti kokybiškų geriamojo vandens tiekimo ir nuotekų tvarkymo paslaugų teikimą.
Projektą sudarys dvi veiklos:
• Alytaus m. vandentiekio ir nuotekų tinklų rekonstrukcija; 
• Antros vandentiekio stoties, Putinų g. 82, Alytuje, rekonstrukcija.</t>
  </si>
  <si>
    <t>06.03.01.01</t>
  </si>
  <si>
    <t>020 Aprūpinimas žmonėms vartoti skirtu vandeniu (išgavimo, apdorojimo, laikymo ir skirstymo infrastruktūra)</t>
  </si>
  <si>
    <t>(8 315) 73470</t>
  </si>
  <si>
    <t>LT737300010116590414</t>
  </si>
  <si>
    <t>Projekto tikslas:
suteikti galimybes Druskininkų miesto bei Neravų kaimo gyventojams prisijungti prie centralizuotos vandens tiekimo ir nuotekų tvarkymo sistemos bei gauti kokybiškas vandens tiekimo ir nuotekų tvarkymo paslaugas Druskininkų savivaldybėje.
Projekto veiklos: 
Naujų vandens tiekimo ir nuotekų tvarkymo tinklų tiesimas Baltašiškės ir Pakrantės gatvėse Druskininkų mieste; 
Naujų vandens tiekimo ir nuotekų tvarkymo tinklų tiesimas Dainavos 1-osios, Dainavos 2-osios g. ir kt. sodininkų bendrijoje „Dainava“ Neravų kaime Druskininkų savivaldybėje; 
Nuotekų tvarkymo tinklų rekonstrukcija Pušų, Gojaus ir Sodžiaus g. Neravų kaime Druskininkų savivaldybėje; 
Vandens tiekimo tinklų rekonstrukcija nuo Druskininkų miesto III-osios vandenvietės iki Druskininkų miesto. 
Projekto rezultatai:
- prie nuotekų tinklų prijungtų gyventojų skaičius – 419;
- prie vandentiekio tinklų prijungtų gyventojų skaičius – 422;
- naujai nutiestų nuotekų tinklų ilgis, km – 6,171;
- naujai nutiestų vandentiekio tinklų ilgis, km – 6,061;
- rekonstruotų nuotekų tinklų ilgis, km – 2,68;
- rekonstruotų vandentiekio tinklų ilgis, km – 0,514.</t>
  </si>
  <si>
    <t>02 Miesto gyvenamoji vietovė</t>
  </si>
  <si>
    <t>301500997</t>
  </si>
  <si>
    <t>M. K. Čiurlionio g. 115, LT-66151, Druskininkai</t>
  </si>
  <si>
    <t>(8 313) 52415</t>
  </si>
  <si>
    <t>info@drusvand.lt</t>
  </si>
  <si>
    <t>Druskininkų</t>
  </si>
  <si>
    <t>AB SWEDBANK</t>
  </si>
  <si>
    <t>LT637300010119189903</t>
  </si>
  <si>
    <t>Projekto „Geriamojo vandens tiekimo ir nuotekų tvarkymo sistemų renovavimas ir plėtra Lazdijų rajono savivaldybėje“ rengimo metu buvo nustatyta pagrindinė problema – nepakankamas vandens tiekimo ir nuotekų tvarkymo paslaugų prieinamumas Lazdijų rajono savivaldybėje. Remiantis Lazdijų r. Seirijų seniūnijos pateiktais duomenimis Seirijų miestelyje 2016 m. pradžioje gyveno 810 gyventojų ir veikė 15 juridinių asmenų. UAB „Lazdijų vanduo“ Seirijuose teikia tik nuotekų išvežimo paslaugas, eksploatuoja turimus geriamojo vandens gręžinius. Nuotekos vežamos iš gyventojų, turinčių individualius geriamojo vandens gręžinius taip pat naudojančius kastinių šulinių vandenį. Vandenį Seirijų miestelyje numatoma tiekti iš Aušros g. vandenvietėje esančių vandens gerinimo įrenginių. Tiekiamo vandens kokybė užtikrina NH24:2003 higienos normose geliamus reikalavimus todėl yra tinkamas centralizuotam vandens tiekimui. Vandenvietę administruojanti įmonė yra UAB “Lazdijų vanduo“. Projekto įgyvendinimo metu planuojama nutiesti naujus vandens tiekimo bei nuotekų tinklus bei pastatyti nuotekų valymo įrenginius. Numatoma projekto įgyvendinimo trukmė – 26 mėn</t>
  </si>
  <si>
    <t>Uždaroji akcinė bendrovė "Lazdijų vanduo"</t>
  </si>
  <si>
    <t>165171377</t>
  </si>
  <si>
    <t>Gėlyno g. 21, 67129, Lazdijai</t>
  </si>
  <si>
    <t>8 318 51703</t>
  </si>
  <si>
    <t>lazdijai@lazdijuvanduo.lt</t>
  </si>
  <si>
    <t>LT557181200027467695</t>
  </si>
  <si>
    <t>Šiuo metu pagal paskirtį Alytaus rajone eksploatuojami vandens tiekimo ir nuotekų šalinimo tinklai yra pasenę, nusidėvėję, per juos patiriami didesni nuostoliai tiek įmonei, tiek gyventojams, gamtai. Inicijuojamas projektas „Vandens tiekimo ir nuotekų tvarkymo infrastruktūros plėtra Alytaus rajone (Krokialaukyje)“ planuojamas kompleksiškai įgyvendinti Alytaus rajono savivaldybėje, Krokialaukio miestelyje, tiesiant naujus vandens tiekimo bei nuotekų valymo tinklus, statant nuotekų valymo bei rekostruojant vandens  gerinimo įrenginius. 
Vandens tiekimo ir nuotekų tvarkymo infrastruktūra yra neatsiejama gyvenamosios aplinkos dalis, leidžianti užtikrinti sveiką ir gerą gyvenimo kokybę, todėl šios infrastruktūros egzistavimas yra būtinas tiek Alytaus rajono savivaldybei, tiek kiekvieno atskiro miesto ar kaimo gyventojams. Įgyvendinus šį projektą bus išspręsta esminė problema – užtikrintas vandens tiekimo ir nuotekų šalinimo paslaugų prieinamumas miestelio gyventojams, pagerinta tiekiamo geriamojo vandens kokybė, sumažinta tarša aplinkai. Įgyvendinus projektą, kuris numatytas Alytaus rajono infrastruktūros plėtros plane, bus prisidedama prie Alytaus regiono plėtros plano, bei Vandens tiekimo ir nuotekų tvarkymo strategijos, bus įrengta nauja vandens tiekimo ir nuotekų tvarkymo infrastruktūra, gyventojams bus suteikta galimybė prisijungti prie naujai įrengtų tinklų, bus suteiktos kokybiškos vandens tiekimo ir nuotekų tvarkymo paslaugas.</t>
  </si>
  <si>
    <t>Alytaus rajono savivaldybės įmonė "Simno komunalininkas"</t>
  </si>
  <si>
    <t>153720195</t>
  </si>
  <si>
    <t>Savivaldybės įmonė</t>
  </si>
  <si>
    <t>Vytauto g. 28, 64305, Simnas, Alytaus r. savivaldybė</t>
  </si>
  <si>
    <t>(8 315) 60 758</t>
  </si>
  <si>
    <t>info@simnokomun.lt</t>
  </si>
  <si>
    <t>AB Swedbankas</t>
  </si>
  <si>
    <t>LT807300010154056732</t>
  </si>
  <si>
    <t>Šiuo metu Lazdijų ir Varėnos rajonų bei Druskininkų savivaldybių esama turizmo informacinė infrastruktūra yra netolygi ir nepakankamai išvystyta bei neužtikrina čia besilankančių turistų ir lankytojų kompleksinio informavimo apie regione teikiamas turizmo paslaugas poreikio. Savivaldybėse nepakanka viešai prieinamos informacijos apie lankytinus gamtos bei kultūros objektus, neužtikrinamas patogus nuorodų į lankytinus objektus krypties ar vietos žymėjimas, informacija nepritaikyta užsienio šalių turistams ir lankytojams, taip pat žmonėms su specialiaisiais poreikiais.Įgyvendinant projektą numatoma įrengti turizmo ženklinimo infrastruktūrą šių trijų savivaldybių teritorijose, užtikrinant turistų bei lankytojų informuotumą apie savivaldybes jungiančias turizmo trasas ir maršrutus bei juose esančias lankytinas vietas. Projekto metu numatoma įrengti  informacinius stendus bei lentas apie atskirus kultūros ar gamtos objektus, savivaldybes jungiančius dviračių ir kitus maršrutus, taip pat įrengti vandens trasų objektus žyminčius ženklus, informacines rodykles, bei kelio ženklus, nukreipiančius ar žyminčius lankytinus objektus.Taip pat planuojama įrengti interaktyvius informacinius turizmo stendus, kurie bus pritaikyti ir žmonėms su specialiaisiais poreikiais. Skatinant atvykstamąjį turizmą, ypač iš kaimyninių valstybių, turizmo informacija bus pateikiama ir užsienio kalbomis. Projekto įgyvendinimas prisidės prie turizmo objektų bei paslaugų šiame regione informacijos sklaidos, užtikrins turistų bei lankytojų informuotumą apie Lazdijų ir Varėnos rajonų bei Druskininkų savivaldybių lankytinas vietas ir objektus, turizmo maršrutus ir trasas, prisidės ne tik prie regiono, bet ir Lietuvos, kaip turistinės valstybės, žinomumo ir jos įvaizdžio gerinimo.</t>
  </si>
  <si>
    <t>010050108100000</t>
  </si>
  <si>
    <t>04.07.03.01</t>
  </si>
  <si>
    <t>11 Vidaus potencialo plėtojimas – Aplinka</t>
  </si>
  <si>
    <t>093 Viešųjų turizmo paslaugų plėtojimas ir populiarinimas</t>
  </si>
  <si>
    <t>24 Kitos nenurodytos paslaugos</t>
  </si>
  <si>
    <t>(8 318) 66 108</t>
  </si>
  <si>
    <t>AB DNB bankas</t>
  </si>
  <si>
    <t>LT284010042200194715</t>
  </si>
  <si>
    <t>2.4. Netaikoma</t>
  </si>
  <si>
    <t>Projekto įgyvendinimo metu numatoma turizmo informacinės infrastruktūros plėtra Alytaus regione: dviračių pėsčiųjų tako „Alytus - Varėna“, jungiančio Alytaus miesto, Alytaus rajono ir Varėnos rajono savivaldybes, ženklinimas bei autoturizmo maršruto, jungiančio Alytaus miesto, Alytaus rajono, Varėnos rajono, Druskininkų ir Lazdijų rajono savivaldybes, ženklinimas. Projekto rezultatas - įrengiant turizmo ženklinimo infrastruktūrą, užtikrinti turistų bei lankytojų informuotumą apie turizmo maršrutuose ir turizmo trsasose esančias lankytinas vietas.</t>
  </si>
  <si>
    <t>Rotušės a. 4, LT-62504, Alytus</t>
  </si>
  <si>
    <t>(8 315) 55136</t>
  </si>
  <si>
    <t>LT687181200002130479</t>
  </si>
  <si>
    <t>Motiejaus Gustaičio memorialinio namo kompleksinis sutvarkymas</t>
  </si>
  <si>
    <t>Pagrindinė problema, kuriai spręsti inicijuotas šis projektas, labai prasta Motiejaus Gustaičio memorialinio namo būklė, muziejus neprieinamas bendruomenei ir tokiu būdu netenkina visuomenės socialinių, ekonominių, kultūrinių ir edukacinių poreikių. Šiame pastate yra likę ir netinkamomis sąlygomis (pastatas nešildomas) laikomi vertingi muziejiniai eksponatai. 
Pagrindinei projekto problematikai spręsti planuojama atlikti Motiejaus Gustaičio memorialinio namo tvarkybos ir rekonstrukcijos darbus, įsigyti kultūrinei, muziejinei ir edukacinei veiklai reikalingus baldus bei įrangą, įrengti ekspozicijas.
Atnaujinus muziejaus pastatą, bus išsaugotos pastato vertingosios savybės, pastatas bus pritaikytas muziejinei, kultūrinei ir edukacinei veiklai, organizuojami edukaciniai renginiai jaunimui ir senjorams.</t>
  </si>
  <si>
    <t>010080402060000</t>
  </si>
  <si>
    <t>08.02.01.08</t>
  </si>
  <si>
    <t>094 Viešųjų kultūros ir paveldo vertybių apsauga, plėtojimas ir populiarinimas</t>
  </si>
  <si>
    <t>23 Menas, pramogos, kūrybos sektorius ir poilsis</t>
  </si>
  <si>
    <t>(8 318) 66100</t>
  </si>
  <si>
    <t>Luminor Bank, AB</t>
  </si>
  <si>
    <t>LT204010042200112894</t>
  </si>
  <si>
    <t>2025-05-31</t>
  </si>
  <si>
    <t>Projektu siekiama padidinti Druskininkų miesto muziejaus teikiamų kultūros paslaugų kokybę, prieinamumą ir susidomėjimą iki šiol tik fragmentiškai naudotu, muziejaus reikmėms ir lankytojų kultūriniams bei edukaciniams poreikiams nepritaikytu kultūros paveldo objektu - Mažąja dailės galerija. 
Šias problemas planuojama išspręsti, kompleksiškai sutvarkant kultūros paveldo objektą - Mažąją dailės galeriją, M. K. Čiurlionio g. 37, Druskininkai,  ir pritaikant ją Druskininkų savivaldybės bendruomenės bei kurorto svečių kultūros ir edukaciniams poreikiams. Projekto metu bus atliktas kapitalinis pastato remontas ir įsigyta šiuolaikinius technologinius bei kokybės reikalavimus atitinkanti įranga ir baldai.
Projekto rezultatas – kompleksiškai sutvarkytas ir Druskininkų sav. gyventojų bei kurorto svečių kultūros, edukaciniams poreikiams pritaikytas kultūros paveldo objektas - Mažoji dailės galerija. Bus išsaugotos bei atskleistos vertingosios kultūros paveldo objekto savybės, sudarytos prielaidos Druskininkų miesto muziejaus lankytojų srautų didinimui, kuriamos naujos, plėtojamos  ir tobulinamos esamos veiklos, padidės istorinių, kultūros bei meno vertybių prieinamumas, gyventojų susidomėjimas kultūros paveldu, bus prisidedama prie tautinio tapatumo puoselėjimo ir išsaugojimo. Aktualizavus kultūros paveldo objektą ir pradėjus teikti kokybiškesnes kultūros paslaugas, planuojamas  lankytojų skaičiaus padidėjimas kultūros paveldo objekte (3500 lankytojų per metus).</t>
  </si>
  <si>
    <t>188776264</t>
  </si>
  <si>
    <t>Vilniaus al. 18, 66119, Druskininkai</t>
  </si>
  <si>
    <t>(8-313) 51 233</t>
  </si>
  <si>
    <t>info@druskininkai.lt</t>
  </si>
  <si>
    <t>„Swedbank“ AB</t>
  </si>
  <si>
    <t>LT427300010131162021</t>
  </si>
  <si>
    <t>2024-12-31</t>
  </si>
  <si>
    <t>Buvusios sinagogos pastato Kauno g. 9 Alytuje rekonstravimas ir aplinkinės teritorijos sutvarkymas</t>
  </si>
  <si>
    <t>Projekto „Buvusios sinagogos pastato Kauno g. 9 Alytuje rekonstravimas ir aplinkinės teritorijos sutvarkymas“ tikslas - padidinti kultūros paveldo objekto, buvusios sinagogos pastato, žinomumą ir pritaikyti jį lankymui, sukuriant kokybiškas kultūros paslaugas bei skatinant lankytojų srautus.
Įgyvendinus projekto veiklas, t. y. atlikus kapitalinį remontą, įsigijus būtiną įrangą ir baldus, bus sutvarkytas, įrengtas ir pritaikytas lankymui kultūros paveldo objektas, teikiamos kokybiškos kultūrinės paslaugos. Buvusioje sinagogoje projektu numatyta įrengti Alytaus kraštotyros muziejaus padalinį - Vizualiųjų menų centrą, kuriame Alytaus menininkams atsirastų tinkamos patalpos parodų organizavimui, jaunimas turėtų pakankamai erdvės edukacijoms ir saviraiškai. Išlaikant sinagogos autentiką būtų įkurta ekspozicija, skirta žydų istorijai įamžinti. Tikimasi, kad įvairius kultūrinius poreikius čia galės patenkinti menininkai, vaikai, jaunimas, darbingo amžiaus gyventojai, senjorai, asmenys su negalia.  Atsižvelgiant į tai, vertinama, kad bus tenkinami Lietuvos ir užsienio turistų, moksleivių, studentų, senjorų kultūriniai poreikiai. Numatomas apsilankymų paveldo objekte skaičiaus - 2 966 lankytojų per metus.</t>
  </si>
  <si>
    <t>(8 315)  55 102</t>
  </si>
  <si>
    <t>alytus@alytus.lt</t>
  </si>
  <si>
    <t>LT907181200002130471</t>
  </si>
  <si>
    <t>Siekiant pagerinti Vinco Krėvės-Mickevičiaus memorialinio muziejaus teikiamų kultūros paslaugų kokybę, projekto įgyvendinimo metu numatoma atlikti pagrindinio muziejaus pastato remontą, įsigyti edukacijai reikalingą įrangą. 
Įgyvendinus projektą, akivaizdžiai pagerės statinio techninė būklė. Atkūrus pastato frontono ir kitus puošybos elementus,  bus atskleistos vertingosios kultūros paveldo objekto savybės, kas padidins muziejaus unikalumą. Įsigijus naują įrangą, bus praplėsta kultūros paslaugų įvairovė, pagerės teikiamų kultūros paslaugų kokybė, bus sudarytos palankesnės sąlygos padidinti muziejaus lankytojų srautus.</t>
  </si>
  <si>
    <t>Vytauto g. 12, 65184, Varėna</t>
  </si>
  <si>
    <t>(8 310) 32 001</t>
  </si>
  <si>
    <t>info@varena.lt</t>
  </si>
  <si>
    <t>LT287181200002130714</t>
  </si>
  <si>
    <t>2025-08-31</t>
  </si>
  <si>
    <t>„KRAŠTOVAIZDŽIO APSAUGA“</t>
  </si>
  <si>
    <t>Pagrindinis projekto „Bešeimininkių apleistų pastatų ir įrenginių tvarkymas Alytaus rajono savivaldybės teritorijoje“ tikslas – pagerinti Alytaus rajono įvaizdį likviduojant apleistus pastatus ir kitus aplinką žalojančius objektus, kurie darko teritorijos, kuri yra lankoma vietinių gyventojų, pravažiuojama turistų, kraštovaizdį, kelia grėsmę žmonių sveikatai ir gyvybei.</t>
  </si>
  <si>
    <t>010320301040000</t>
  </si>
  <si>
    <t>05.04.01.01</t>
  </si>
  <si>
    <t>2. 9. 2. 1. 1.01</t>
  </si>
  <si>
    <t>085 Biologinės įvairovės apsauga ir didinimas, gamtos apsauga ir žalioji infrastruktūra</t>
  </si>
  <si>
    <t>22 Su aplinka ir klimato kaita susijusi veikla</t>
  </si>
  <si>
    <t>Pulko 21, LT-62135, Alytus</t>
  </si>
  <si>
    <t>Neteikiama</t>
  </si>
  <si>
    <t>Akcinė bendrovė Šiaulių bankas</t>
  </si>
  <si>
    <t>LT767181200002130820</t>
  </si>
  <si>
    <t>Siekiant  pagerinti kraštovaizdžio būklę Varėnos rajono savivaldybėje, inicijuojamas projektas, kurio metu planuojama nugriauti apleistus pastatus urbanizuotose teritorijose ir sutvarkyti kasybos darbais pažeistas žemes saugomose teritorijose. Preliminariai numatoma nugriauti:
• Pastatą-fermą, Samanų g.78, Urkionių k., Matuizų sen., unikalus Nr. 4400-2915-3871;
• Pastatą-fermą, Gandrų g.11, Pilvingių k., Merkinės sen., unikalus Nr. 4400-2676-6056;
• Pastatą-karvidę, Gandrų g.13, Pilvingių k., Merkinės sen., unikalus Nr. 4400-2304-7990;
• Pastatą-garažą, Gandrų g.15, Pilvingių k., Merkinės sen., unikalus Nr. 4400-2915-3706;
• Pastatą-kombainų garažą, Gandrų g. 19, Pilvingių k., Merkinės sen., unikalus Nr. 4400-2304-8066;
• Pastatą-karvidę, Mokyklos g.1A, Žilinų k., Jakėnų sen., unikalus Nr. 4400-2915-3793;
• Pastatą-veršidę, Mokyklos g., Žilinų k., Jakėnų sen., unikalus Nr. 4400-3858-9474;
• Pastatą – sandėlį, Mokyklos g., Žilinų k., Jakėnų sen., unikalus Nr. 4400-3858-9536;
• Pastatą-daržinę, Mokyklos g., Žilinų k., Jakėnų sen., unikalus Nr. 4400-3858-9647;
• Pastatą-karvidę, Dvaro g., Kareivonių k., Jakėnų sen., unikalus Nr. 4400-3858-9680;
• Pastatą-veršidę, Dvaro g., Kareivonių k., Jakėnų sen., unikalus Nr. 4400-3859-2734;
• Pastatą-veršidę, Miško g., Dainavos k., Vydenių sen., unikalus Nr. 4400-3859-0546;
• Pastatą-sandėlį, Liepų g.1D, Gudžių k., Varėnos sen., unikalus Nr. 4400-2916-5408;
• Pastatą-kiaulidę, Valkos g., Vydenių k., Vydenių sen., unikalus Nr. 4400-3859-4086.
Preliminariai numatomos sutvarkyti žemės (planuojamos sutvarkyti pažeistos žemės yra saugomosiose teritorijose):
• Panaros k., Merkinės sen.;
• Naujalių g., Marcinkonių k., Marcinkonių sen.;
• Gaidžių g., Marcinkonių k., Marcinkonių sen.
Likvidavus apleistus pastatus bei sutvarkius kasybos darbais pažeistas žemes, bus atstatyta ir sutvarkyta Varėnos rajono kraštovaizdžio natūrali būklė bei padidintas kraštovaizdžio vizualinis estetinis potencialas.</t>
  </si>
  <si>
    <t>(8 310) 51 200</t>
  </si>
  <si>
    <t>Šiaulių bankas</t>
  </si>
  <si>
    <t>LT467181200002130293</t>
  </si>
  <si>
    <t>Projekto „Kraštovaizdžio formavimas Lazdijų rajono savivaldybėje“  tikslas – pagerinti kraštovaizdžio būklę ir padidinti vizualinį estetinį potencialą Lazdijų mieste ir rajone, sutvarkant apleistas ir užterštas teritorijas.
Projektu siekiama pagerinti Lazdijų miesto ir rajono kraštovaizdžio būklę, stiprinti ir palaikyti kraštovaizdžio ekologinę pusiausvyrą, atkurti pažeistas teritorijas ir padidinti kraštovaizdžio vizualinį estetinį potencialą. Projekto įgyvendinimo metu planuojama tvarkymo darbus atlikti Raišupio upelio migraciniame koridoriuje.  Nugriauti 12 bešeimininkių pastatų ir sutvarkyti pasienio teritoriją prie esančio krašto kelio 135.
Įvertinus teritorijos ekologinę būklę, želdinių kokybę, identifikavus kraštovaizdžio vertybes bus numatyti sprendimai, padėsiantys išsaugoti ekosistemas ir joje esančią biologinę įvairovę,  gerinti želdinių būklę. Siekiant teritoriją pritaikyti kraštovaizdžio pažinimui, bus numatomas minimalus kiekis infrastruktūrinių objektų, sudarančių sąlygas visuomenei stebėti, pažinti ir suprasti vietovės vertybes. Teritorijos tvarkymo projekto rengimo metu bus vykdomos visuomenės informavimo, konsultavimosi, įtraukimo, švietimo veiklos, numatytos visuomenės dalyvavimo kraštovaizdžio formavime programoje.</t>
  </si>
  <si>
    <t>AB DnB banke, banko kodas 40100</t>
  </si>
  <si>
    <t>LT674010042200060056</t>
  </si>
  <si>
    <t>Projektu bus siekiama išsaugoti per laiką susiformavusią vieną iš svarbiausių Alytaus miesto siluetą formuojančių zonų – Nemuno pakrančių savitumą, Sveikatos taką — žaliąjį miesto „stuburą“ ir suteikiant prioritetą vertikalių erdvių formavimui želdiniais, miesto erdvinio raiškumo išsaugojimui bei subalansuotai sugretinti su miesto urbanistiniu siluetu, kurį charakterizuoja pastatai, sudarysiantys miesto silueto formą. Rengiant bendrojo plano keitimą, siūloma numatyti intensyvias urbanistines priemones, urbanistinių elementų dominavimą. Numatyti vertikalias urbanistines dominantes, aukštuminių pastatų koncepciją, orentyrinių erdvių suformavimą užtikrinant miesto kraštovaizdžio ekologinę pusiausvyrą ir stabilumą. Projekto metu bus atliekama Alytaus miesto bendrojo plano, zonuojant gamtinio karkaso saugomo kraštovaizdžio erdvinę teritorinę struktūrą, nustatant tvarkymo ir naudojimo reglamentus ir kraštovaizdžio estetinės vertės kūrimo principus korektūra. Įgyvendinus projektą bus pakoreguota kraštovaizdžio ir gamtinio karkaso formavimo aspektais Alytaus miesto bendrojo plano dalis.</t>
  </si>
  <si>
    <t>LT617181200002130508</t>
  </si>
  <si>
    <t>Projekto problema -  kraštovaizdį darkantys ir pavojų keliantys apleisti bešeimininkiai pastatai ir įrenginiai Druskininkų savivaldybėje. Projektu siekiama prisidėti prie kraštovaizdžio arealų (teritorijų) būklės gerinimo stiprinant ir palaikant kraštovaizdžio ekologinę pusiausvyrą, didinant kraštovaizdžio vizualinį estetinį potencialą. Šis tikslas bus pasiektas likviduojant kraštovaizdį darkančius bešeimininkius apleistus statinius ir įrenginius Druskininkų savivaldybės teritorijoje. Įgyvendinant projektą bus likviduota 12 nenaudojamų apleistų statinių ir įrenginių, esančių Leipalingio seniūnijoje, kurie darko kraštovaizdį, blogina vietovės įvaizdį, mažina jos investicinį patrauklumą bei  kelia pavojų žmonių sveikatai ir net gyvybei.
Projektas prisidės prie kraštovaizdžio ekologinės būklės ir vizualinio potencialo gerinimo, estetinės vertės padidėjimo, pagerės gyvenamosios aplinkos kokybė, išnyks keliamas pavojus žmonių sveikatai ir (ar) gyvybei, padidės vietovės socialinis ir investicinis patrauklumas, bus sudarytos sąlygos darniai plėtrai, rekreacijos, pažintinio turizmo vystymui. Bus patenkinti ekonominiai, socialiniai, ekologinius ir estetiniai gyventojų poreikiai.</t>
  </si>
  <si>
    <t>8 313 51233</t>
  </si>
  <si>
    <t>AB Swedbank,  banko kodas 73000</t>
  </si>
  <si>
    <t>LT557300010130110113</t>
  </si>
  <si>
    <t>Pagrindinis projekto „Bešeimininkių apleistų pastatų ir įrenginių tvarkymas Alytaus rajono savivaldybėje (II etapas)“ tikslas – pagerinti kraštovaizdžio būklę Alytaus rajono savivaldybėje, didinant kraštovaizdžio vizualinį estetinį potencialą, likviduojant statinius, darkančius teritoriją, lankomą vietinių gyventojų, pravažiuojamą turistų, keliančią grėsmę žmonių sveikatai ir gyvybei.</t>
  </si>
  <si>
    <t>LT417300010152991501</t>
  </si>
  <si>
    <t>Projektu siekiama plėtoti susisiekimą vietinės reikšmės keliais Alytaus mieste. Projekto veikla: nutiesti perspektyvinę gatvę su asfalto danga nuo Pramonės g. iki Naujosios g. Alytaus mieste. Atkarpos tiesimo metu numatoma įrengti gatvės dangą su šaligatviais, taip pat įrengti atkarpos apšvietimo tinklus, rekonstruoti vandentiekio ir nuotekų tinklus, rekonstruoti elektros ir žinybinius tinklus, rekonstruoti ryšių ir signalizacijos linijų tinklus, įrengti geležinkelio pervažos signalizacijos įrenginius. Įgyvendinus projektą bus pasiekti rezultatai: naujai nutiestas kelias: įrengta perspektyvinė gatvė, 1 vnt. (0,715 km); sugaištas kelionės automobilių keliais (išskyrus TEN-T kelius) laikas - 0,0076 mln. val.</t>
  </si>
  <si>
    <t>4 Pagrindinių paslaugų teikimo infrastruktūra ir susijusios investicijos – Transporto infrastruktūra</t>
  </si>
  <si>
    <t>034 Rekonstruotas ar pagerintas kitas kelias (greitkelis, nacionalinis, regioninis ar vietos kelias)</t>
  </si>
  <si>
    <t>07 Tvaraus transporto skatinimas ir silpnųjų vietų pagrindinėse tinklo infrastruktūros dalyse šalinimas</t>
  </si>
  <si>
    <t>LT787181200002130493</t>
  </si>
  <si>
    <t>Varėnos miesto J. Basanavičiaus g. bei Savanorių ir M. K. Čiurlionio gatvių sankryžoje eismas organizuojamas nepakankamai efektyviai (sąlyginai didesnės kelionės laiko ir transporto eksploatacinių kaštų sąnaudos, nei galėtų būti) ir nepakankamai saugiai. Pagrindinė to priežastis netinkama infrastruktūra: susidėvėjusi ar iki galo nepritaikyta/neišvystyta infrastruktūra.
Siekdama spręsti minėtas problemas, Varėnos miesto savivaldybės administracija inicijavo projektą „Varėnos miesto J. Basanavičiaus, Savanorių, M. K. Čiurlionio gatvių rekonstrukcija“, kurio metu siekiama modernizuoti vienas pagrindinių, centrinėje dalyje esančių miesto gatvių. Planuojamas J. Basanavičiaus g. važiuojamosios dalies būklės gerinimas, šaligatvių ir dviračių takų modernizavimas, apšvietimo sistemos modernizavimas, Savanorių ir M. K. Čiurlionio žiedinės sankryžos įrengimas, kitų eismo saugumo priemonių diegimas.</t>
  </si>
  <si>
    <t>LT927181200002130338</t>
  </si>
  <si>
    <t>Lazdijų miesto Seinų ir Lazdijos gatvių bei vietinės reikšmės kelio nuo Janonio g. iki Lazdijų hipodromo rekonstravimas</t>
  </si>
  <si>
    <t>Esama susisiekimo infrastruktūra Lazdijų mieste ir susijusiose teritorijose nuolat atnaujinama, tačiau dalis jos yra pasenusi ir neatitinka šiuolaikinių reikalavimų. Dėl susidėvėjusių Seinų g. važiuojamosios ir pėsčiųjų takų dangų, Lazdijos g. bei vietinės reikšmės kelio nuo Janonio g. iki Lazdijų hipodromo žvyro dangos, važiuojantys automobiliais patiria dideles kelionės laiko bei kelių transporto priemonių eksploatacines sąnaudas, pėsčiųjų ir kitų eismo dalyvių eismas nesaugus, teršiamas oras. Projekto tikslas - padidinti Lazdijų miesto ir su juo susietos teritorijos gyventojų judumą. Šiam tikslui pasiekti bus vykdomas Lazdijų miesto ir su juo susietos teritorijos susisiekimo sistemos gerinimas vystant kelių jungtis. Projekto įgyvendinimo metu numatoma apie 1,66 km ilgio Seinų gatvėje įrengti reikalavimus atitinkančią dangos konstrukciją, rekonstruoti bei įrengti pėsčiųjų, pėsčiųjų-dviračių takus, apšvietimą, įrengti kelio ženklus su šviesą atspindinčia plėvele, kelio atitvarus, rekonstruoti sankryžas užtikrinant neįgaliųjų poreikius bei įrengti kitas eismo saugos priemones; apie 0,30 km ilgio Lazdijos gatvėje įrengti asfalto dangą, pėsčiųjų taką, apšvietimą; apie 0,23 km ilgio reikšmės kelyje nuo Janonio gatvės iki hipodromo įrengti asfalto dangą. Projektas skirtas spręsti šias Lazdijų rajono savivaldybės  problemas: sumažinti kelionės laiką, kelių transporto priemonių eksploatacines sąnaudas, oro taršą dulkėmis, pagerinti eismo sąlygas keliaujantiems automobiliais, pėstiesiems ir dviratininkams.</t>
  </si>
  <si>
    <t>LT464010042200103405</t>
  </si>
  <si>
    <t>Eismo saugos priemonių diegimas Alytaus rajono savivaldybėje</t>
  </si>
  <si>
    <t>Projekto tikslas – išplėtotas ir užtikrintas saugus susisiekimas Alytaus rajono savivaldybėje. Projekto įgyvendinimo vieta numatyta identifikavus pavojingiausias vietas Alytaus rajono savivaldybės vietinės reikšmės keliuose ir gyvenvietėse. Šiuo metu Alytaus rajone nėra užtikrinamas saugus pėsčiųjų, dviračių judėjimas – judriose ir intensyviai naudojamose gyvenviečių gatvėse nėra įrengtų saugių pėstiesiems ir dviračiams skirtų takų. Projekto įgyvendinimo metu Alytaus rajono savivaldybės Pivašiūnų kaime ir Daugų mieste bus diegiamos eismo saugą didinančios priemonės: 1) šaligatvio (apie 780 m) Ežero g., Pivašiūnuose, įrengimas; 2) dviračių ir pėsčiųjų tako (apie 760 m) ir apsauginių tvorelių Daugų g., Dauguose, įrengimas.</t>
  </si>
  <si>
    <t>LT127181200002130808</t>
  </si>
  <si>
    <t>Siekiant padidinti Varėnos miesto centrinės dalies viešosios erdvės bei gyvenamosios aplinkos patrauklumą, prisidėti prie palankių sąlygų paslaugų sektoriui skatinimo, inicijuojamas projektas kurio metu:
1. Vasario 16-osios pėsčiųjų gatvės viešoji erdvė - sutvarkyta gatvės danga, įrengiant pėsčiųjų takus, dviračių taką (nuo Vasario 16-osios gatvės pradžios ties Vytauto g. iki Aušros g ir Varėnos parko), įrengtas upelis-fontanas, atviras informacinis paviljonas su interaktyvia skelbimų lenta ir stacionariomis laikinosios prekybos vietomis (Vasario 16-osios gatvės pradžioje ties Vytauto gatve), rekonstruota automobilių stovėjimo aikštelė (šalia Aušros g. 15), įrengtas apšvietimas, mažosios architektūros elementai (šiukšliadėžės, suoliukai, dviračių stovai, gėlinės, informacinis stulpelis, geriamojo vandens fontanėlis), sutvarkyti želdiniai;
2. Teritorija už Vasario 16-osios gatvę ribojančių gyvenamųjų namų -  įrengiama automobilių stovėjimo aikštelė miesto  poreikiams (už Vasario 16-osios g. 8 ir 10 numeriu pažymėtų namų kiemų), teritorijoje už Vasario 16-osios g. namų Nr. 4,6,8,10 rekonstruojami esami pėsčiųjų takai ir privažiavimo kelias į kiemą, įrengiami nauji pėsčiųjų takai, vaikų žaidimo aikštelė, buitinių atliekų konteinerių aikštelės vieta, mažosios architektūros elementai (suoleliai, šiukšliadėžės), teritorijos apšvietimas, tvarkomi želdiniai. Teritorijoje už Vasario 16-osios g. namų Nr. 13 ir 15  įrengiama automobilių stovėjimo aikštelė, privažiavimas nuo Aušros g. iki aikštelės, atnaujinami ir įrengiami nauji pėsčiųjų takai, apšvietimas, mažosios architektūros elementai (suoliukai, šiukšliadėžės), tvarkomi želdiniai.
Tikimasi, kad atnaujinta viešoji erdvė miesto centrinėje dalyje pagerins Vasarios 16-osios ir Aušros gatvių ir jų prieigų gyvenamąją aplinką, patraukli nauja erdvė pagerins miesto įvaizdį, paskatins renginių organizavimą,  bendruomenių iniciatyvas, padidins gyventojų užimtumą bei prisidės prie palankesnių sąlygų verslo kūrimuisi ir plėtrai.</t>
  </si>
  <si>
    <t>030030102030000</t>
  </si>
  <si>
    <t>03.06.01.01</t>
  </si>
  <si>
    <t>7 Socialinė, sveikatos priežiūros ir švietimo infrastruktūra ir susijusios investicijos</t>
  </si>
  <si>
    <t>055 Kita socialinė infrastruktūra, kuria prisidedama prie regioninės ir vietos plėtros</t>
  </si>
  <si>
    <t>08 Užimtumo skatinimas ir darbo jėgos judumo rėmimas</t>
  </si>
  <si>
    <t>LT117181200002130244</t>
  </si>
  <si>
    <t>Varėnos miesto centrinės dalies viešoji infrastruktūra yra labai prastos būklės, susidėvėjusi, neatitinka šiuolaikinių reikalavimų, nesudarytos sąlygos  verslo subjektams plėtoti verslą bei kurti potencialias darbo vietas.
Siekiant padidinti Varėnos miesto parko viešosios erdvės bei jo prieigų gyvenamosios aplinkos patrauklumą, prisidėti prie palankių sąlygų paslaugų sektoriui skatinimo, projekto įgyvendinimo metu bus įrengti nauji pėsčiųjų - dviračių takai, atnaujintas parko apšvietimas, įrengta vaizdo stebėjimo sistema, mažosios architektūros elementai (suoliukai, šiukšliadėžės, dviračių stovai, gėlinės, lauko šachmatų stalas,  lauko stalo teniso stalas, iškylautojų stalai, informaciniai stulpeliai, vaikų žaidimo aikštelės, lauko treniruokliai), pastatyta lauko scena renginiams, sutvarkyti želdiniai, pastatytas viešasis tualetas.
Tikimasi, kad atnaujinta viešoji erdvė miesto parke pagerins jo prieigų gyvenamąją aplinką, patraukli nauja erdvė pagerins miesto įvaizdį, paskatins renginių organizavimą,  bendruomenių iniciatyvas, padidins gyventojų užimtumą bei prisidės prie palankesnių sąlygų verslo kūrimuisi ir plėtrai.</t>
  </si>
  <si>
    <t>AB „Šiaulių bankas“</t>
  </si>
  <si>
    <t>LT227181200002130337</t>
  </si>
  <si>
    <t>Projektu siekiama padidinti Varėnos miesto Karloniškės ežero prieigų viešųjų erdvių ir gyvenamosios aplinkos patrauklumą, vietos gyventojų aktyvumą šioje miesto zonoje, prisidėti prie palankių sąlygų paslaugų sektoriui skatinimo. Projekto įgyvendinimo metu bus įrengti pėsčiųjų takai, suformuota erdvė lauko renginių organizavimui su amfiteatrinėmis sėdimomis vietomis žiūrovams, tiltelis su apšvietimu per ežerą, 2 sporto aikštelės (teniso ir rankinio/futbolo), teritorijos apšvietimas, vaizdo stebėjimo sistema, mažosios architektūros elementai (suoliukai ir šiukšliadėžės), 2 vaikų žaidimo aikštelės, sutvarkyti želdiniai.
Tikimasi, kad atnaujinta viešoji erdvė Karloniškės ežero prieigose pagerins gyvenamąją aplinką, patraukli nauja erdvė pagerins miesto įvaizdį, paskatins renginių organizavimą,  bendruomenių iniciatyvas, padidins gyventojų užimtumą bei prisidės prie palankesnių sąlygų verslo kūrimuisi ir plėtrai.</t>
  </si>
  <si>
    <t>LT637181200002130375</t>
  </si>
  <si>
    <t>2025-02-28</t>
  </si>
  <si>
    <t>Varėnos miesto Dainų slėnio infrastruktūros atnaujinimas ir pritaikymas visuomenės poreikiams</t>
  </si>
  <si>
    <t>Esminė projekto problema yra viešosios Varėnos miesto laisvalaikio ir poilsio zonos, atitinkančios įvairius miesto bendruomenės poreikius, trūkumas ir esamos infrastruktūros nepakankamas pritaikymas gyventojų užimtumo bei palankių sąlygų paslaugų sektoriui skatinimui. Siekiant spręsti problemą inicijuojamas projektas, kurio metu Dainų slėnyje bus įrengta nauja aikštės danga ir pagrindas scenai, žiūrovų suolai, atraminė sienutė, aikštelė prekyvietei ir vieta biotualetams, mažosios architektūros elementai, sutvarkyti želdynai, įrengti elektros tinklai, lauko apšvietimas. Taip pat projekto įgyvendinimo metu bus įrengtos 2 automobilių parkavimo aikštelės. Tikimasi, kad atnaujinta viešoji erdvė Varėnos miesto Dainų slėnyje pagerins gyvenamąją aplinką, patraukli nauja erdvė pagerins miesto įvaizdį, paskatins renginių organizavimą,  bendruomenių iniciatyvas, padidins gyventojų užimtumą bei prisidės prie palankesnių sąlygų verslo kūrimuisi ir plėtrai.</t>
  </si>
  <si>
    <t>LT867181200002130737</t>
  </si>
  <si>
    <t>Pereinamojo laikotarpio tikslinių teritorijų vystymas. II</t>
  </si>
  <si>
    <t>Projekto „Amatų centro „Menų kalvė“ Druskininkuose įkūrimas“ metu planuojama sutvarkyti apleistą buvusios pirties pastatą, esantį adresu M.K. Čiurlionio g. 27, LT-66164 Druskininkai, jį pritaikant amatų, kultūros ir edukacinei veiklai. Atlikus pastato sutvarkymą bus  įrengtos  patalpos, kuriose galės veikti tapybos, tekstilės, keramikos, medžio drožybos, vitražo, kalvystės, vytelių pynimo, karpinių, akmentašystės, juvelyrikos dirbtuvės, galerija ir kitos ekspozicijų erdvės. Pastate bus įrengtos  būtinos (higienos, administracinės ir bendro naudojimo) patalpos, patalpose bus įrengti reikalingi baldai.
Amatų centras sudarys sąlygas tautodailininkams, menininkams bei amatininkams susiburti po vienu stogu, kurti, organizuoti parodas ir pristatyti savo amatą visuomenei, vykdyti edukacines programas. Įgyvendinus projektą didės Druskininkų kurorte teikiamų laisvalaikio paslaugų spektras: amatininkai net tik rengtų parodas ir plenerus, bet ir pristatytų savo amatą visuomenei, vykdytų edukacines programas. Amatų centre būtų rengiamos edukacinės amatų programos vaikams ir jaunimui, organizuojamos parodos ir renginiai, pažintinės amato demonstravimo programos. 
Įrengus amatų centrą "Menų kalvė", didės Druskininkų kurorte teikiamų paslaugų įvairumas, bus sukurtos papildomos darbo vietos bei sudarytos sąlygos plėtoti smulkųjį ir vidutinį verslą.</t>
  </si>
  <si>
    <t>"Swedbank" AB</t>
  </si>
  <si>
    <t>LT987300010129483107</t>
  </si>
  <si>
    <t>Projektu siekiama atnaujinti Lazdijų miesto viešųjų erdvių infrastruktūrą, jungiančią atskiras miesto dalis, ir pagerinti gyvenamąją aplinką tarp daugiabučių gyvenamųjų namų, sutvarkant šaligatvius, kiemų apšvietimą, pėsčiųjų takus, vaikų žaidimo aikšteles, įvažiavimus į automobilių stovėjimo aikšteles ir automobilių stovėjimo aikšteles, įrengti lauko treniruoklių zonas. Sutvarkytos 3 skirtingos erdvės prie daugiabučių namų Lazdijų mieste ir pagerintas jų pasiekiamumas, padidins gyvenamosios aplinkos patrauklumą Lazdijų mieste bei prisidės prie palankių sąlygų sudarymo verslo plėtrai ir kūrimui ar (ir) paslaugų sektoriaus vystymuisi. Įgyvendinus projektą padidės Lazdijų miesto gyvenamosios aplinkos patrauklumas gyventojams ir verslininkams bei pagerės sąlygos verslo plėtrai ir kūrimui.</t>
  </si>
  <si>
    <t>LT294010051001909028</t>
  </si>
  <si>
    <t>Šiuo metu Varėnos rajono savivaldybės viešojoje bibliotekoje yra nepakankamai tinkamos sąlygos gyventojų tobulėjimui, turiningam laisvalaikiui, mokslo ir profesinių žinių siekimui, o Varėnos kultūros centre taip pat jaučiama profesionalaus meno sklaidos stoka, kultūros centro patalpos „nedraugiškos“ tikslinių grupių poreikiams ir paslaugos nepakankamai prieinamos visiems norintiems. Projekto įgyvendinimo metu planuojama atnaujinti Varėnos rajono savivaldybės viešosios bibliotekos pastato vidaus patalpas (paprastasis remontas), aprūpinti veiklai būtinais baldais bei įranga. Taip pat Varėnos kultūros centras bus aprūpintas mobilia apšvietimo, garso ir kita įranga bei baldais, kas leis padidinti renginių skaičių,  perkeliant juos į lauką ir taip pritraukiant daugiau žiūrovų. Moderni scenos ir kita įranga leis pritraukti daugiau profesionalaus meno renginių, padidinti mėgėjų meno kolektyvų skaičių. 
Tikimasi, kad modernizuota, šiuolaikinės visuomenės poreikius atitinkanti kultūros infrastruktūra prisidės prie aukštesnės kokybės kultūros paslaugų sukūrimo, skatins papildomus lankytojų (apsilankymų) srautus, bei taip bus didindamas Varėnos miesto patrauklumas investicijoms ir verslo plėtrai.</t>
  </si>
  <si>
    <t>020070102020000</t>
  </si>
  <si>
    <t>LT197181200002130294</t>
  </si>
  <si>
    <t>Projektu sprendžiama problema – kokybiškų kultūros srities paslaugų trūkumas ir naujų kultūros paslaugų ir jų prieinamumo neužtikrinimas dėl blogos VšĮ Alytaus kultūros ir komunikacijos centro (toliau – AKKC), esančio Pramonės g. 1B,  didžiosios žiūrovų salės ir scenos bei inžinerinių sistemų būklės.
Įgyvendinus projektą bus modernizuotas kultūros infrastruktūros objektas – Alytaus kultūros ir komunikacijos centro didžioji salė. Numatoma atlikti didžiosios salės kapitalinio remonto darbus, sutvarkyti inžinerines sistemas, įsigyti šiuolaikinę įrangą (LED ekraną, pritaikytą šiuolaikinių renginių organizavimui) ir baldus (kėdes). Planuojama, kad dėl projekto lėšomis sutvarkytos infrastruktūros AKKC per metus papildomai pritrauks naujų lankytojų, pagerės ir prasiplės kultūros centro teikiamos paslaugos.
Sutvarkytoje kultūros centro didžiojoje salėje numatoma organizuoti koncertus, teatrus, meno kolektyvų pasirodymus ir kitas kultūrines veiklas.</t>
  </si>
  <si>
    <t>13 Tvaraus ir kokybiško užimtumo skatinimas ir darbo jėgos judumo rėmimas</t>
  </si>
  <si>
    <t>LT417181200002130480</t>
  </si>
  <si>
    <t>Šiuo metu kultūros paslaugų prieinamumas ir kokybė Druskininkų savivaldybėje nėra pakankama. Šią problemą planuojama spręsti modernizuojant Druskininkų savivaldybės kultūros infrastruktūrą ir pritaikant ją kultūros poreikiams. Projekto metu numatyta atlikti Druskininkų kultūros lauko scenos ir pagalbinių patalpų, esančių adresu Vilniaus al. 24, Druskininkai, remontą, įrengti keltuvą neįgaliesiems bei įsigyti šiuolaikinius technologinius bei kokybės reikalavimus atitinkančią įrangą ir baldus. Įgyvendinus projektą bus sukurtos didesnės galimybės vietos gyventojų meninei saviraiškai, kultūros paslaugos atitiks vartotojų poreikius. Naujos kokybės renginiai (mėgėjų meno kolektyvų, profesionalios, pramoginės muzikos koncertai, spektakliai, parodos, konkursai, festivaliai, edukaciniai renginiai) įtrauks didesnę visuomenės dalį į kultūrinį gyvenimą, erdvė taps patrauklesnė viešųjų kultūros renginių organizavimui ir skatins vietos bendruomenę bei miesto svečius burtis turiningam laisvalaikio praleidimui.</t>
  </si>
  <si>
    <t>AB "Swedbank"</t>
  </si>
  <si>
    <t>LT127300010002224535</t>
  </si>
  <si>
    <t>Šiuo metu Laisvės kovų muziejus yra įsikūręs Vytauto g. 11, Lazdijuose. Dabartiniame muziejaus pastate veikia nuolatinė ekspozicija, vykdomos tęstinės edukacinės programos ir renginiai. Tačiau esamas pastatas yra prastos techninės būklės, priimti vis didėjančius lankytojų srautus darosi sudėtinga ir nepatogu, nėra galimybių  muziejaus lankytojams įdomiu ir patraukliu būdu pateikti eksponatus, bei organizuoti įvairesnes edukacines, lavinamąsias bei kultūrines veiklas. Siekiant padidinti muziejinės, kultūrinės veiklos prieinamumą, nuspręsta atlikti pastato, esančio Vytauto g. 18, Lazdijuose rekonstrukcijos darbus (bus atlikta pastato I ir II aukšto rekonstrukcija ir įrengtos ekspozicijos lankytojams su modernia vaizdo, garso, kompiuterine bei ekspozicijų įranga, ir baldais, įrengtas priimamasis lankytojams, daugiafunkcinė konferencijų salė) ir į rekonstruotą pastatą perkelti dabartinio Laisvės kovų muziejaus ekspozicijas. Tikimasi, kad atsinaujinęs muziejus paskatins muziejuje apsilankyti ne tik pastovius muziejaus lankytojus, tačiau ir  istorija mažiau besidominčius lankytojus, kurie sudalyvavę edukacinėse programose, aplankę muziejaus ekspozicijas norės čia sugrįžti ir išsamiau pasidomėti Lazdijų krašto ir Lietuvos istorija.</t>
  </si>
  <si>
    <t>Vilniaus g. 1, 67106, Lazdijai</t>
  </si>
  <si>
    <t>(8 318) 66110</t>
  </si>
  <si>
    <t>LT164010042200200654</t>
  </si>
  <si>
    <t>Socialinių paslaugų infrastruktūros plėtra</t>
  </si>
  <si>
    <t>Projektu siekiama padidinti vietų skaičių savarankiško gyvenimo namuose Druskininkų savivaldybėje. Planuojama šalia 2015 m. įrengtų ir jau veikiančių savarankiško gyvenimo namų, esančių Melioratorių g. 6, Leipalingyje papildomai įrengti naujas, tą pačią funkciją atliksiančias patalpas – keturių butų savarankiško gyvenimo namus, Dzūkų g. 17, Leipalingyje. Projekto tikslas – gerinti socialinių paslaugų prieinamumą Druskininkų savivaldybėje, plėtojant socialinių paslaugų infrastruktūrą bendruomenėje vienišiems, savimi negalintiems pasirūpinti senyvo amžiaus ir neįgaliems asmenims bei sudaryti sąlygas šiems asmenims gauti jų poreikius atitinkančias socialines paslaugas.</t>
  </si>
  <si>
    <t>030030102010000</t>
  </si>
  <si>
    <t>10.07.01.01</t>
  </si>
  <si>
    <t>09 Socialinės įtraukties skatinimas ir kova su skurdu bei diskriminacija</t>
  </si>
  <si>
    <t>21 Socialinis darbas, bendruomenė, socialinės ir asmeninės paslaugos</t>
  </si>
  <si>
    <t>(8 313) 51233</t>
  </si>
  <si>
    <t>AB Swedbank</t>
  </si>
  <si>
    <t>Siekdama gerinti socialinių paslaugų kokybę, plėtoti socialinių paslaugų infrastruktūrą bendruomenėje senyvo amžiaus asmenims, Varėnos rajono savivaldybė modernizuos Varėnos globos namus, kuriuose socialinės globos paslaugas gauna 25 asmenys, ir padidins paslaugų gavėjų skaičių iki 40 asmenų per metus. Planuojama veikiančius Varėnos globos namus perkelti į pastatą, esantį adresu Z. Voronecko g. 2, Varėnoje. Projekto įgyvendinimo metu senyvo amžiaus asmenims bus pritaikyti sanitariniai mazgai, o perplanavus patalpas bus įrengti du keturviečiai, trys triviečiai, vienuolika dviviečių ir vienas vienvietis kambarys, mini virtuvėlė gyventojams, užimtumo kambariai, holas bei kitos patalpos. Projekto lėšomis planuojama įsigyti ir trūkstamus baldus bei įrangą. Tikimasi, kad modernizavus Varėnos globos namus bus teikiamos aukštos kokybės socialinės globos paslaugos.</t>
  </si>
  <si>
    <t>831032001</t>
  </si>
  <si>
    <t>LT737181200002130292</t>
  </si>
  <si>
    <t>Pagrindinė projekto problema - nepakankamas stacionarių socialinių paslaugų prieinamumas Lazdijų rajono gyventojams bei esamos infrastruktūros kokybės trūkumas, didinantis skirtumus tarp socialinių paslaugų kokybės ir prieinamumo regionuose.
Projekto tikslas - gerinti socialinių paslaugų prieinamumą Lazdijų rajono savivaldybėje, siekiant mažinti regioninius skirtumus, modernizuojant ir plėtojant socialinių paslaugų infrastruktūrą senyvo amžiaus asmenims . Projekto įgyvendinimo metu numatoma modernizuoti veikiančius VšĮ Kapčiamiesčio globos namus senyvo amžiaus asmenims, siekiant gerinti įstaigos infrastruktūrą, maksimaliai pritaikant ją šių asmenų poreikiams
Tikslui pasiekti Projekto metu numatoma atlikti VšĮ Kapčiamiesčio globos namų pastato (unik. Nr. 5995-5005-3017, Kranto g. 5, Kapčiamiesčio mstl.) I a. rekonstrukciją ir įrengti bei pritaikyti paslaugų teikimui II aukšto patalpas. Taip pat, socialinių paslaugų teikimui numatoma įsigyti 1kompl. baldų, 1 kompl. slaugos įrangos.</t>
  </si>
  <si>
    <t>190878283</t>
  </si>
  <si>
    <t>Vytauto 11, LT-67313, Kapčiamiestis, Lazdijų r. sav.</t>
  </si>
  <si>
    <t>8 610 72 149</t>
  </si>
  <si>
    <t>gerumonamai@gmail.com</t>
  </si>
  <si>
    <t>LT127300010129462830</t>
  </si>
  <si>
    <t>Projekto įgyvendinimo metu bus atlikta dalies pastato, esančio Margio g. 12/ Vytauto g. 20, Alytaus mieste, kapitalinis remontas įsteigiant Alytaus rajono savivaldybės Miroslavo globos namų padalinį - psichosocialinės pagalbos centrą, įsigyti baldai ir įranga. Pagrindinis projekto rezultatas – įsteigtas psichosocialinės pagalbos centras socialinės rizikos asmenims, siekiant pagerinti socialinių paslaugų prieinamumo bendruomenėje gerinimą Alytaus rajone, siekiant mažinti regioninius skirtumus, modernizuojant ir plėtojant socialinių paslaugų infrastruktūrą socialinės rizikos asmenims.</t>
  </si>
  <si>
    <t>8 315 55 530</t>
  </si>
  <si>
    <t>LT827181200002130809</t>
  </si>
  <si>
    <t>Projektu siekiama prisidėti prie Alytaus miesto savivaldybės socialinių paslaugų plėtros. Projekto įgyvendinimo metu bus atliktas patalpų Ulonų g. 14B, Alytuje, kapitalinis remontas ir įkurti savarankiško gyvenimo namai 20 socialinės rizikos asmenų bei jų suaugusiems šeimos nariams. 
Įgyvendinus projektą, pagerės socialinės rizikos asmenų ir jų šeimos narių integracija į visuomenę ir darbo rinką, kadangi bus teikiamos socialinės paslaugos skirtos savarankiškumo skatinimui, buitinių-socialinių įgūdžių lavinimui, gyvenimo kokybės gerinimui.</t>
  </si>
  <si>
    <t>(8 315) 55 102</t>
  </si>
  <si>
    <t>LT077181200002130510</t>
  </si>
  <si>
    <t>Projektu siekiama prisidėti prie Varėnos rajono savivaldybės socialinio būsto fondo plėtros. Projekto įgyvendinimo metu bus įsigyti 28 vnt. socialinių būstų Varėnos rajono savivaldybėje. Projekto įgyvendinimo metu 10 socialinių būstų numatoma aprūpinti būtina įranga, t. y. elektrinėmis arba dujinėmis viryklėmis (su orkaitėmis). Tikimasi, kad įgyvendinus projektą, bus padidintas Varėnos rajono savivaldybės socialinio būsto fondas bei socialinio būsto prieinamumas pažeidžiamiausioms gyventojų grupėms, pagerės minėtų asmenų gyvenimo kokybė, integracija į darbo rinką.</t>
  </si>
  <si>
    <t>020080207020000</t>
  </si>
  <si>
    <t>10.06.01.01</t>
  </si>
  <si>
    <t>054 Būsto infrastruktūra</t>
  </si>
  <si>
    <t>AB Šiaulų bankas</t>
  </si>
  <si>
    <t>LT497181200002130045</t>
  </si>
  <si>
    <t>Projektu siekiama prisidėti prie Alytaus miesto savivaldybės socialinio būsto fondo plėtros ir padidinti Alytaus miesto savivaldybės socialinio būsto fondą ir savivaldybės socialinio būsto prieinamumą asmenims ir šeimoms, turintiems teisę į socialinio būsto nuomą. Projekto įgyvendinimo metu pirkimo būdu bus įsigyta 35 vnt. socialinių būstų, iš kurių 3 būstai bus pritaikyti neįgaliųjų poreikiams. Tikimasi, kad įgyvendinus projektą padidės galimybės apsirūpinti būstu šeimoms ir asmenims, turintiems teisę į socialinį būstą, pagerės minėtų asmenų gyvenimo kokybė, integracija į darbo rinką.</t>
  </si>
  <si>
    <t>LT407181200002130498</t>
  </si>
  <si>
    <t>Druskininkų savivaldybės administracijos įgyvendinamo projekto tikslas yra padidinti savivaldybės socialinio būsto fondo prieinamumą socialiai pažeidžaimiems Druskininkų savivaldybės gyventojams
Projekto uždavinys - teikiamų paslaugų prieinamumo didinimas, siekiant patenkinti asmenų ir šeimų, turinčių teisę į paramą būstui išsinuomoti Druskininkų savivaldybėje, poreikius. 
Projekto veikla - butų, atitinkančių statybos techniniuose reglamentuose numatomus normatyvus bei reikalavimus bei turinčių kuo aukštesnę energetinio efektyvumo klasę, pirkimas.
Projektu siekiama praplėsti Druskininkų savivaldybės socialinio būsto fondą. Projekto įgyvendinimo metu bus nupirkti 25 socialiniai būstai, iš jų 15 vnt - 1 kambario, 10 vnt. - 2 kambarių būtai. Tikimasi, kad įgyvendinus projektą socialiai pažeidžiamiems Druskininkų savivaldybės gyventojams padidės galimybės apsirūpinti būstu, pagerės gyvenimo kokybė bei integracijos į darbo rinką galimybės.</t>
  </si>
  <si>
    <t>18 Viešasis administravimas</t>
  </si>
  <si>
    <t>8 313 51 233</t>
  </si>
  <si>
    <t>Projektu siekiama prisidėti prie Lazdijų rajono savivaldybės socialinio būsto fondo plėtros. Projekto įgyvendinimo metu bus rekonstruotas esamas pastatas ir įrengti 7 vnt. socialinių būstų, bei pirkimo būdu  įsigyta 5 vnt. socialinių būstų. Būstai neįgaliesiems pritaikomi nebus. Visi būstai bus aprūpinta elektrinėmis viryklėmis. Įgyvendinus projektą padidės galimybės apsirūpinti būstu šeimoms ir asmenims, turintiems teisę į socialinį būstą, pagerės minėtų asmenų gyvenimo kokybė, integracija į darbo rinką.</t>
  </si>
  <si>
    <t>LT084010042200213117</t>
  </si>
  <si>
    <t>Projekto tikslas – padidinti Alytaus rajono savivaldybės socialinio būsto fondą, siekiant išplėsti galimybes apsirūpinti būstu asmenims ir šeimoms, turintiems teisę į socialinio būsto nuomą.Projekto įgyvendinimo metu numatoma įrengti 6 naujus socialinius būstus Alyvų g. 4, Venciūnų k. Alovės sen. Alytaus r. atliekant kapitalinį pastato remontą. Visi būstai bus aprūpinti elektrinėmis viryklėmis su orkaitėmis. Vienas butas bus pritaikomas žmonėms su judėjimo negalia.</t>
  </si>
  <si>
    <t>sekretore@arsa.lt</t>
  </si>
  <si>
    <t>LT667181200002130806</t>
  </si>
  <si>
    <t>Esama Senosios Varėnos kaimo infrastruktūra nesudaro prielaidų aktyviai bendruomenės veiklai, gyventojų užimtumui, kokybiškam laisvalaikio praleidimui bei verslo plėtrai. Siekiant prisidėti prie gyvenimo kokybės ir aplinkos gerinimo, projekto metu Senosios Varėnos kaime bus modernizuotos dvi viešosios erdvės – teritorija prie A. Ryliškio pagrindinės mokyklos ir Varėnės upės pakrantė, rekonstruotos Stadiono ir A. Ryliškio (nuo Vytauto g. iki Tilto g.) gatvių atkarpos. Tikimasi, kad įgyvendinus projektą padidės modernizuotų objektų patrauklumas, pagerės gyvenimo kokybė, bendruomeninės laisvalaikio, rekreacijos sąlygos, bus sudarytos sąlygos kurtis prekybai, įvairioms paslaugoms (smulkiam verslui), padidės vietos gyventojų saugumas.</t>
  </si>
  <si>
    <t>030030102040000</t>
  </si>
  <si>
    <t>04 Kiti integraciniai tvarios kaimo plėtros metodai</t>
  </si>
  <si>
    <t>LT237181200002130416</t>
  </si>
  <si>
    <t>2025-06-30</t>
  </si>
  <si>
    <t>Esama Matuizų kaimo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Matuizų kaime bus atnaujintas kultūros paskirties pastatas ir dalis administracinės paskirties pastato (toliau – Pastatas), teritorija prie Pastato, pritaikant tiek Pastatą, tiek aplinką bendruomenės reikmėms. Taip pat bus modernizuota gyvenamoji aplinka prie daugiabučių namų (Kalno g. 13, 15, 17, 19, 21, 23, 27, 29). Tikimasi, kad įgyvendinus projektą padidės atnaujintų objektų patrauklumas, pagerės gyvenimo kokybė, bendruomenės laisvalaikis, bus sudarytos sąlygos kurtis prekybai, įvairioms paslaugoms (smulkiam verslui), padidės vietos gyventojų saugumas.</t>
  </si>
  <si>
    <t>LT827181200002130712</t>
  </si>
  <si>
    <t>Siekiant sumažinti gyvenamosios aplinkos kokybės netolygumus Leipalingio miestelyje ir paskatinant socialinę ir ekonominę plėtrą, numatyta kompleksiškai atnaujinti viešąsias erdves Leipalingyje, pritaikant bendruomenės poreikiams.
Projekto investicijomis bus sutvarkytas Alėjos g. 26 esantis universalus sporto aikštynas įrengiant futbolo aikštę, bėgimo takus ir lauko treniruoklių aikštelę, atnaujintos Dzūkų, Sodų, Druskininkų, Kapų ir Veisiejų gatvių atkarpų ir šaligatvių dangos, įrengtas lauko tualetas šalia turgavietės, Leipalingio viešosiose erdvėse bus įrengti mažosios architektūros elementai ir pasodinti medžiai. 
Tiesioginę naudą iš numatomo įgyvendinti investicijų projekto gaus Leipalingio miestelio gyventojai ir svečiai bei miestelyje veikiantys ūkio subjektai. Šių tikslinių grupių poreikis – gyventi bei veikti patrauklioje, išplėtotoje bei efektyviai funkcionuojančioje Leipalingio miestelio aplinkoje. Projektas didins Leipalingio gyvenamosios aplinkos kokybę bei bus naudingas ekonominiam sektoriui.</t>
  </si>
  <si>
    <t>8 313 52 676</t>
  </si>
  <si>
    <t>LT287300010129595820</t>
  </si>
  <si>
    <t>Esama Viečiūnų miestelio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Viečiūnų miestelyje bus sutvarkyta Verpėjų gatvės atkarpa, įrengiant naują pėsčiųjų - dviračių taką, bus atnaujintas Viečiūnų progimnazijos stadionas, įrengiant universalų sporto aikštyną Viečiūnų miestelio bendruomenei, taip pat bus praplėsta daugiabučių gyvenamųjų namų kiemų bei viešojo naudojimo erdvių apšvietimo infrastuktūra. Tikimasi, kad įgyvendinus projektą padidės atnaujintų objektų patrauklumas, pagerės gyvenimo kokybė, bendruomenės laisvalaikis, bus sudarytos sąlygos kurtis prekybai, įvairioms paslaugoms (smulkiam verslui), padidės vietos gyventojų saugumas.</t>
  </si>
  <si>
    <t>8 313 55355</t>
  </si>
  <si>
    <t>LT067300010129482726</t>
  </si>
  <si>
    <t>2025-04-30</t>
  </si>
  <si>
    <t>"Kompleksinės paslaugos šeimai"</t>
  </si>
  <si>
    <t>Projekto tikslas - plėtoti paslaugas šeimai Kalvarijos savivaldybėje ir padidinti bendruomenėje teikiamų paslaugų prieinamumą ir kokybę. Kalvarijos socialinių paslaugų centre įsikurs Bendruomeniniai šeimos namai, užtikrinantys "vieno langelio" principą, organizuos ir koordinuos paslaugų šeimai teikimą, identifikuos pagalbos reikalingas šeimas, individualiai konsultuos asmenis ir teiks informaciją apie savivaldybėje teikiamas paslaugas, bendradarbiaus su projekto partneriu, nukreips asmenis į tikslines grupes ir į individualias specialisto konsultacijas, organizuos informacines iniciatyvas. Religinė bendrija Vilkaviškio vyskupijos "Caritas" organizuos veiklas, kuriose dalyvaus ne mažiau nei 98 asmenys. Psichologas ir socialinis darbuotojas teiks individualias psichosocialines paslaugas ne mažiau nei 83 asmenims. Psichologo konsultacijos bus teikiamos asmenims, išgyvenantiems krizę ar patyrusiems traumuojančius emocinius išgyvenimus ir jų šeimos nariams, artimiesiems. Individualios socialinio darbuotojo konsultacijos asmenims(šeimoms) bus teikiamos siekiant sudaryti sąlygas tapti aktyvesniais bendruomenės nariais save realizuojant visomis galimomis priemonėmis ir būdais. Asmenys (šeimos) turės galimybę dalyvauti grupinėse psichologo konsultacijose skirtingose grupėse. Bus ugdomi savęs pažinimo, bendravimo ir kiti įgūdžiai, skatinama socialinė integracija. Konsultacijose bus nagrinėjama 10 įvairiausių temų. 90 asmenų bus organizuojami grupiniai koučingo užsiėmimai, kurių metu remdamasis savo įžvalgomis, padedant koučingo specialistui,  klientai modeliuos būsimus veiksmus, kurie pritaikomi praktikoje, bus skatinami - augti, tobulėti, stiprinti šeimą, santykius, bendravimą su vaikais. Projekto partneris vykdys šeimos įgūdžių ugdymo ir sociokultūrines paslaugas. 98 asmenys turės galimybę savo problemas spręsti, atsakymus rasti šeimos klubų, stovyklų metu. Bus sudarytos tėvystės įgūdžių ugdymo grupės. Bus teikiamos vaikų priežiūros ir pavežėjimo paslaugos.</t>
  </si>
  <si>
    <t>030030201030000</t>
  </si>
  <si>
    <t>10.09.01.01</t>
  </si>
  <si>
    <t>14 Socialinės įtraukties skatinimas, kova su skurdu ir visų rūšių diskriminacija</t>
  </si>
  <si>
    <t>112 Galimybių naudotis įperkamomis, tvariomis ir aukštos kokybės paslaugomis, įskaitant sveikatos priežiūrą ir visuotinės svarbos socialines paslaugas, didinimas</t>
  </si>
  <si>
    <t>08 Netaikoma</t>
  </si>
  <si>
    <t>LT004 Marijampolės apskritis</t>
  </si>
  <si>
    <t>Kalvarijos savivaldybės administracija</t>
  </si>
  <si>
    <t>188751268</t>
  </si>
  <si>
    <t>Laisvės g. 2, 69214, Kalvarija</t>
  </si>
  <si>
    <t>8343 34107</t>
  </si>
  <si>
    <t>karolis.babeckas@kalvarija.lt</t>
  </si>
  <si>
    <t>Marijampolės apskritis</t>
  </si>
  <si>
    <t>Kalvarijos</t>
  </si>
  <si>
    <t>LT897300010093071797</t>
  </si>
  <si>
    <t>Projekto „Kauno bendruomeniniai šeimos namai“ tikslas – sudaryti sąlygas Kaune gyvenančioms šeimoms gauti kompleksiškai teikiamas socialines-psichologines paslaugas, siekiant įgalinti šeimą įveikti iškilusias krizes bei derinti šeimos ir darbo įsipareigojimus. 
Projektą vykdo Kauno miesto savivaldybė, kartu su projekto partneriais –VšĮ Psichologinės paramos ir konsultavimo centru; VšĮ „A/C Patria“; Asociacija Kauno apskrities moterų krizių centru; VšĮ „Moters pagalba moteriai“; Motinos ir vaiko labdaros/paramos fondu „Aušta“; VšĮ Kauno apskrities vyrų krizių centru; labdaros/paramos fondu „Algojimas“; religine bendrija Kauno arkivyskupijos šeimos centru.Šios organizacijos yra sukaupę reikalingą patirtį ir turi reikiamus specialistus, bei paslaugų teikimui reikalingą materialinę bazę. Partneriai apima visas potencialias klientų grupes, kurioms būtų teikiamos kompleksinės paslaugos: šeimos, vaikai (skirtingos amžiaus grupių), paaugliai, suaugusieji, asmenys esantys krizėje, moterys, vyrai, asmenys turintys priklausomybių. 
Organizacija, atsakinga už „Bendruomeninių šeimos namų“ organizavimą ir koordinavimą – „VšĮ Psichologinės paramos ir konsultavimo centras“. Paslaugų teikimo organizavimas „vieno langelio principu“ vyks vykdant pirminį šeimos esamos situacijos įvertinimą bei „atvejo lydėjimą“.
Tikslinė grupė: Kauno mieste gyvenančios šeimos. Viso programoje dalyvaus 1600 asmenų. Programa apims visas Kauno seniūnijas. 
Programos įgyvendinimo metu planuojamos vykdyti veiklos: kokybiškų paslaugų šeimai organizavimas ir koordinavimas; kompleksinių paslaugų šeimai teikimas: pozityvios tėvystės mokymai; psichosocialinė pagalba – pagalba asmenims, išgyvenantiems krizę ar patyrusiems traumuojančius emocinius išgyvenimus ir jų šeimoms, artimiesiems, apimanti socialinę, psichologinę, psichoterapinę pagalbą, taip pat pagalbą įveikiant priklausomybes; šeimos įgūdžių ugdymo ir sociokultūrinės paslaugos; mediacijos paslaugos; vaikų priežiūros bei pavežėjimo paslaugos.</t>
  </si>
  <si>
    <t>LT002 Kauno apskritis</t>
  </si>
  <si>
    <t>Kauno miesto savivaldybės administracija</t>
  </si>
  <si>
    <t>188764867</t>
  </si>
  <si>
    <t>Laisvės al. 96, 44251, Kaunas</t>
  </si>
  <si>
    <t>(8 37) 42 26 31</t>
  </si>
  <si>
    <t>info@kaunas.lt</t>
  </si>
  <si>
    <t>Kauno apskritis</t>
  </si>
  <si>
    <t>Kauno miesto</t>
  </si>
  <si>
    <t>LT364010051004049886</t>
  </si>
  <si>
    <t>Projektu siekiama prisidėti prie priemonės "Sveikos gyvensenos skatinimas regioniniu lygiu" įgyvendinimo. Projekto įgyvendinimo metu bus įrengta lauko treniruoklių salė, įsigytas reikalingos mokymo priemonės, suorganizuoti ir pravesti informaciniai ir šviečiamieji renginiai, mokymai, seminarai sergamumo ir pirmalaikio mirtingumo nuo kraujotakos sistemos ligų, teraumų ir nelaimingų atsitikimų profilaktikos ir onkologinių ligų profilaktikos ir kontrolės temoatika, vykdomi fizinio aktyvumo užsiėmimai , formuojamos sveikos gyvensenos vertybinės nuostatos. Tikimasi, kad įgyvendinus projektč, bus teikiamos įvairesnės ir kokybiškesnės visuomenės sveikatos paslaugos, padidės Alytaus miesto gyventojų sveikatos raštingumo lygis, bus suformuotos jų sveikos gyvensenos vertybinės nuostatos.</t>
  </si>
  <si>
    <t>010100101150000</t>
  </si>
  <si>
    <t>07.06.01.02</t>
  </si>
  <si>
    <t>20 Žmonių sveikatos priežiūra</t>
  </si>
  <si>
    <t>8 315 55 102</t>
  </si>
  <si>
    <t>Šiaulių bankas, AB</t>
  </si>
  <si>
    <t>LT097181200002130474</t>
  </si>
  <si>
    <t>Projekto „Sveikos gyvensenos skatinimas Lazdijų rajono savivaldybėje“ tikslas – padidinti Lazdijų rajono savivaldybėje tikslinių grupių asmenų sveikatos raštingumo lygį bei suformuoti pozityvius jų sveikatos elgsenos pokyčius. Šiam tikslui pasiekti bus įgyvendinamos sveikatos ugdymo priemonės, susijusios su šiomis veiklomis: traumų ir nelaimingų atsitikimų profilaktikos priemonių įgyvendinimas; sergamumo ir pirmalaikio mirtingumo nuo kraujotakos sistemos ligų mažinimo priemonių įgyvendinimas; onkologinių ligų profilaktikos priemonių įgyvendinimas; vaikų sveikatos stiprinimo, ligų profilaktikos bei efektyvaus gydymo užtikrinimo priemonių įgyvendinimas; sveiko senėjimo užtikrinimo priemonių įgyvendinimas. Planuojama rodiklio reikšmė – tikslinių grupių asmenys, kurie dalyvavo informavimo, švietimo ir mokymo renginiuose bei sveikatos raštingumą didinančiose veiklose – 1697. Pasiekus projekto tikslą ir įgyvendinus uždavinius, Lazdijų rajono savivaldybėje tikslinių grupių asmenys pasieks aukštesnį sveikatos raštingumo lygį, kuris padės susiformuoti pozityviems jų sveikatos elgsenos pokyčiams.</t>
  </si>
  <si>
    <t>301592593</t>
  </si>
  <si>
    <t>Vilniaus 1, LT-67106, Lazdijai</t>
  </si>
  <si>
    <t>(8 318) 52 075</t>
  </si>
  <si>
    <t>vsbiuras@lazdijai.lt</t>
  </si>
  <si>
    <t>LUMINOR bankas</t>
  </si>
  <si>
    <t>LT684010042200186817</t>
  </si>
  <si>
    <t>Projekto pavadinimas: ,,Sveika bendruomenė – stipri visuomenė“.
Pareiškėjas - Druskininkų savivaldybės visuomenės sveikatos biuras.
Projekto tikslas - suformuoti Druskininkų savivaldybės vaikų sveikos gyvensenos įgūdžius ir vertybines nuostatas. 
Projekto tikslinė grupė – vaikai iki 18 metų. Veiklos bus orientuotas į atskiros amžiaus grupės pagrindines sveikatos problemas ir tai leis pagerinti esamą situaciją. 
Pirmoji veiklų grupė skirta 3-7 m. darželinukams. Darželinukai bus mokomi taisyklingos laikysenos, mankštos, gerinama jų psichinė sveikata, formuojamas pykčio ir emocijų valdymas.
Antrojo veiklų grupė skirta 8-12 m. vaikams. Vaikams bus organizuojamos vasaros stovyklos, kurių metu vaikai bus skatinami būti fiziškai aktyviais. Sporto šakų specialistai vaikus mokins gatvės šokio, slidinėjimo, riedučių sporto ir važinėjimo ,,trikke“ dviračiais. Po vasaros stovyklų vaikai pasirinks pamėgtą sporto būrelį ir jį lankys toliau. 
Trečiosios grupės dalyviai – 13-17 metų mokiniai. Interaktyvių, mokomųjų priemonių metu vaikai bus skatinami vengti ir atsisakyti žalingų įpročių, kibernetinių priklausomybių. Atsižvelgiant į amžiaus grupę, bus organizuojamos paskaitos lytiškumo temomis.
Projekto trukmė: 36 mėnesiai.
Viso projekto vertė: 198997,18 Eur.</t>
  </si>
  <si>
    <t>303259363</t>
  </si>
  <si>
    <t>Veisiejų 17, 66144, Druskininkai</t>
  </si>
  <si>
    <t>(8 313) 55391</t>
  </si>
  <si>
    <t>vsb@druskininkai.lt</t>
  </si>
  <si>
    <t>LT567300010143210042</t>
  </si>
  <si>
    <t>Daugiamečiai Alytaus rajono savivaldybės visuomenės sveikatos stebėsenos duomenys rodo, kad mirtingumas dėl išorinių mirties priežasčių (skendimai, autoįvykiai, kritimai, savižudybės ir t. t.) jau ne vienerius metus užima trečią vietą mirtingumo priežasčių struktūroje. Viena iš labiausiai nerimą kelianti netyčinių mirtingumo dėl išorinių mirties priežasčių – atsitiktinis paskendimas. Mirtys dėl kraujotakos sistemos ligų užima trečią vietą.
Siekiant mažinti sveikatos netolygumus ir gerinti savivaldybės gyventojų sveikatos rodiklius Alytaus rajone būtina didinti visuomenės sveikatos raštingumo lygį, gyventojų atsakomybę už jų pačių sveikatą ir jos išsaugojimą bei formuoti pozityvius jų sveikatos elgsenos pokyčius, pasitelkiant įvairias sveikatos ugdymo priemones. Projekto metu Alytaus rajono visuomenės sveikatos biuras vykdys įvairias visuomenę šviečiančias ir sveiką gyvenseną skatinančias veiklas  visiems Alytaus rajono gyventojams: Alytaus rajono savivaldybės visuomenės sveikatos biuro infrastruktūros pritaikymas kokybiškam klientų aptarnavimui investuojant į patalpų remontą  ir transporto priemonės įsigijimą; priemonių, mažinančių žmonių abejingumą nelaimės ištiktiems, įgyvendinimas ir žinių apie pirmosios pagalbos teikimą bei profesionalios pagalbos prieinamumą skleidimas; priemonių, skatinančių sveiką gyvenseną ir sveikatos stirpinimą, įgyvendinimas . Projekto metu bus pagerinta Alytaus rajono visuomenės sveikatos biuro teikiamų sveikatos priežiūros paslaugų kokybė bei paslaugų prieinamumas tikslinėms gyventojų grupėms - vaikams ir visiems Alytaus rajono gyventojams. Įgyvendinus projektą bus padidintas tikslinių grupių asmenų sveikatos raštingumo lygis bei suformuoti pozityvūs jų sveikatos elgsenos pokyčiai.</t>
  </si>
  <si>
    <t>301785539</t>
  </si>
  <si>
    <t>Naujoji g. 48, LT-62381, Alytus</t>
  </si>
  <si>
    <t>(8-315) 214 38</t>
  </si>
  <si>
    <t>info@alytausrajonovsb.lt</t>
  </si>
  <si>
    <t>Swedbank AB</t>
  </si>
  <si>
    <t>LT417300010129470262</t>
  </si>
  <si>
    <t>Varėnos r. savivaldybė patenka tarp tikslinių teritorijų savivaldybių, kuriuose būtina mažinti sveikatos netolygumus, kurie yra susiję su kraujotakos sistemos ligomis, piktybiniais navikais bei mirtingumu dėl išorinių priežasčių ir nukritimų. Žemos Varėnos r. savivaldybės visuomenės sveikatos rodiklių reikšmės parodo, kad gyventojams trūksta įgūdžių ir žinių apie sveiką gyvenimo būdą ir sveikatos ugdymą: traumų profilaktiką (pirmosios pagalbos suteikimą), sveiką mitybą, priklausomybes sukeliančių medžiagų vartojimo žalą, fizinio aktyvumo naudą organizmui ir pan. Šių žinių stoka parodo žemą gyventojų sveikatos raštingumo lygį. Projekto tikslas - padidinti Varėnos r. gyventojų sveikatos raštingumo lygį ugdant jų gebėjimus gauti ir suprasti informaciją bei ja naudotis siekiant stiprinti ir palaikyti gerą sveikatą. Projektu siekiama kompleksinio sveikatos raštingumo ugdymo, todėl planuojami kompleksiniai informaciniai, šviečiamieji renginiai ir stovyklos, fizinio aktyvumo skatinimo renginiai, mobilūs sveikatinimo renginiai arčiau tikslinės grupės, pirmosios pagalbos teikimo, streso valdymo, sveiko maisto gaminimo, onkologinių ligų profilaktikos seminarai ir mokymai, vaikų kuriamų sveikatinimo projektų konkursai ir kt. O taip  pat VSB infrastruktūros modernizavimas, investuojant į patalpų remontą, transporto priemonės įsigijimą, siekiant užtikrinti teikiamų paslaugų kokybę. Projekto tikslinė grupė – Varėnos rajono gyventojai: vyresnio amžiaus asmenys, vaikai, neįgalieji bei asmenys, patenkantys į konkrečias problemines rajono sveikatos rodiklių sritis. Siektinas projekto rezultatas - 1697 tikslinės grupės asm., sudalyvavę projekto veiklose, bei modernizuotas VSB.</t>
  </si>
  <si>
    <t>301792918</t>
  </si>
  <si>
    <t>Parko 8, 65192, Varėna</t>
  </si>
  <si>
    <t>(8 3) 105 2839</t>
  </si>
  <si>
    <t>sveikatos.biuras@varena.lt</t>
  </si>
  <si>
    <t>LT817181200002130730</t>
  </si>
  <si>
    <t>“Priemonių, gerinančių ambulatorinių asmens sveikatos priežiūros paslaugų prieinamumą tuberkulioze sergantiems pacientams, įgyvendinimas”</t>
  </si>
  <si>
    <t>PASLAUGŲ TUBERKULIOZE SERGANTIEMS ASMENIMS GERINIMAS LAZDIJŲ RAJONO SAVIVALDYBĖJE</t>
  </si>
  <si>
    <t>Projekto „Paslaugų tuberkulioze sergantiems asmenims gerinimas Lazdijų rajono savivaldybėje“ tikslas - mažinti Lazdijų rajono savivaldybės gyventojų sergamumą ir mirtingumą nuo tuberkuliozės, išvengti atsparių vaistams TB mikobakterijų atsiradimo ir plitimo. Šiam tikslui pasiekti bus vykdoma priemonių, gerinančių ambulatorinių asmens sveikatos priežiūros paslaugų teikimo prieinamumą tuberkulioze sergantiems pacientams, įgyvendinimo veikla. Lazdijų rajono savivaldybė įsteigė DOTS kabinetą VšĮ Lazdijų savivaldybės pirminės sveikatos priežiūros centro, kuris yra projekto partneris, patalpose. Planuojama rodiklio reikšmė – tuberkulioze sergantys pacientai, kuriems buvo suteiktos socialinės paramos priemonės (maisto talonų dalijimas) tuberkuliozės ambulatorinio gydymo metu – 42. Pasiekus projekto tikslą ir įgyvendinus uždavinius, Lazdijų rajono savivaldybėje sumažės gyventojų sergamumas ir mirtingumas nuo tuberkuliozės, bus išvengta atsparių vaistams tuberkuliozės mikobakterijų atsiradimo ir plitimo. Projekto vertė – 15 224 Eur, prašomas ES fondų ir valstybės biudžeto finansavimas – 14 082 Eur.</t>
  </si>
  <si>
    <t>Neatliekama</t>
  </si>
  <si>
    <t>Vilniaus g. Nr. 1, 67106, Lazdijai</t>
  </si>
  <si>
    <t>LT524010042200078077</t>
  </si>
  <si>
    <t>Projekto tikslas yra sumažinti Druskininkų gyventojų sergamumą ir mirtingumą nuo tuberkuliozės, išvengti atsparių vaistams tuberkuliozės mikobakterijų atsiradimo ir plitimo. Šiam tikslui pasiekti bus įgyvendinamos priemonės, gerinančios ambulatorinių asmens sveikatos priežiūros paslaugų teikimo prieinamumą tuberkulioze sergantiems pacientams. Sergamumas tuberkulioze neretai yra susijęs su socialinėmis problemomis, todėl pacientų skatinimui kiekvieną dieną atvykti į DOTS kabinetą ir išgerti vaistų reikalingos motyvacijos  priemonės, siekiant, jog pacientai nenutrauktų gydymo ir būtų pasiekti teigiami rezultatai. Projekto metu numatoma įsigyti maisto talonus, kurie kartą per savaitę bus duodami pacientams, nustatytu periodiškumu nepertraukiamai atvykstantiems išgerti vaistų tiesiogiai stebimo trumpo gydymo kurso metu, kompensuojamos kelionės išlaidos. Projekto veiklų įgyvendinimas sudarys prielaidas efektyviam tuberkuliozės gydymui, Lietuvos gyventojų sergamumo ir mirtingumo nuo tuberkuliozės mažinimui bei leis išvengti atsparių vaistams tuberkuliozės mikobakterijų atsiradimo ir plitimo.</t>
  </si>
  <si>
    <t>Viešoji įstaiga Druskininkų pirminės sveikatos priežiūros centras</t>
  </si>
  <si>
    <t>152114846</t>
  </si>
  <si>
    <t>M. K. Čiurlionio g. 82, 66144, Druskininkai</t>
  </si>
  <si>
    <t>8 313 53702</t>
  </si>
  <si>
    <t>info@druskininkupspc.lt</t>
  </si>
  <si>
    <t>LT724010040900438155</t>
  </si>
  <si>
    <t>Projekto „Ambulatorinių sveikatos priežiūros paslaugų prieinamumo gerinimas tuberkulioze sergantiems asmenims Varėnos rajono savivaldybėje“ tikslas - mažinti Varėnos rajono gyventojų sergamumą ir mirtingumą nuo tuberkuliozės, išvengti atsparių vaistams tuberkuliozės mikobakterijų atsiradimo ir plitimo. Šiam tikslui pasiekti bus vykdoma priemonių, gerinančių ambulatorinių asmens sveikatos priežiūros paslaugų teikimo prieinamumą tuberkulioze sergantiems pacientams, įgyvendinimo veikla. Varėnos rajono savivaldybė kartu su projekto partneriu VšĮ Varėnos pirminės sveikatos priežiūros centru įsteigė DOTS kabinetą. Pacientams, kurie atvyks į Savivaldybės DOTS kabinetą išgerti jiems gydytojo pulmonologo priskirtų vaistų, kiekvieną savaitę bus skirtas maisto talonas maisto produktams, kas skatins pacientus laiku išgerti visus priskirtus vaistus. Taip pat projekto metu bus finansuojamos vykdančiojo personalo nuvykimas pas tuberkulioze sergančius asmenis, kuriems paskirtas DOTS gydymas, transporto išlaidos. Todėl tikėtina, kad pacientas, kuris reguliariai lankysis DOTS kabinete arba bus lankomas personalo, pasveiks. Planuojama rodiklio reikšmė – tuberkulioze sergantys pacientai, kuriems buvo suteiktos socialinės paramos priemonės (maisto talonų dalijimas) tuberkuliozės ambulatorinio gydymo metu – 43. Įgyvendinus projekto tikslą ir uždavinį, bus pasiektas rezultatas: sumažinti sveikatos netolygumai, pagerintas sveikatos priežiūros paslaugų teikimo prieinamumas tuberkulioze sergantiems pacientams. Tikimasi, kad įgyvendinus projektą Varėnos rajono savivaldybėje sumažės gyventojų sergamumas ir mirtingumas nuo tuberkuliozės, bus išvengta atsparių vaistams tuberkuliozės mikobakterijų atsiradimo ir plitimo. Projekto vertė – 15 679 Eur, prašomas ES fondų ir valstybės biudžeto finansavimas – 14 503 Eur.</t>
  </si>
  <si>
    <t>8 310 32 001</t>
  </si>
  <si>
    <t>LT597181200002130738</t>
  </si>
  <si>
    <t>Priemonių, gerinančių ambulatorinių sveikatos priežiūros paslaugų prieinamumą tuberkulioze sergantiems asmenims, Alytaus rajone, įgyvendinimas</t>
  </si>
  <si>
    <t>Ruošiama sutartis</t>
  </si>
  <si>
    <t>Projekto „Priemonių, gerinančių ambulatorinių sveikatos priežiūros paslaugų prieinamumą tuberkulioze sergantiems asmenims, Alytaus rajone, įgyvendinimas“ tikslas - padidinti priemonių, gerinančių ambulatorinių sveikatos priežiūros paslaugų prieinamumą tuberkulioze sergantiems asmenims, Alytaus rajone taip siekiant sumažinti savivaldybės gyventojų sergamumą ir mirtingumą nuo tuberkuliozės bei išvengti atsparių vaistams tuberkuliozė formų. Šiam tikslui pasiekti bus vykdoma priemonių, gerinančių ambulatorinių asmens sveikatos priežiūros paslaugų teikimo prieinamumą tuberkulioze sergantiems pacientams, įgyvendinimo veikla. VšĮ Alytaus rajono savivaldybės pirminės sveikatos priežiūros centras steigs DOTS kabinetą  pastato adresu Naujoji g. 48 Alytuje patalpose. Planuojama rodiklio reikšmė – tuberkulioze sergantys pacientai, kuriems buvo suteiktos socialinės paramos priemonės (maisto talonų dalijimas) tuberkuliozės ambulatorinio gydymo metu – 34. Pasiekus projekto tikslą ir įgyvendinus uždavinius, Alytaus rajono savivaldybėje sumažės gyventojų sergamumas ir mirtingumas nuo tuberkuliozės, bus išvengta atsparių vaistams tuberkuliozės mikobakterijų atsiradimo ir plitimo. Projekto vertė – 10453,00 Eur, prašomas ES fondų ir valstybės biudžeto finansavimas – 9664,25 Eur.</t>
  </si>
  <si>
    <t>Viešoji įstaiga Alytaus rajono savivaldybės pirminės sveikatos priežiūros centras</t>
  </si>
  <si>
    <t>193107218</t>
  </si>
  <si>
    <t>Naujoji g. 48, 62381, Alytus</t>
  </si>
  <si>
    <t>+370 315 71412</t>
  </si>
  <si>
    <t>alytus@pspc.lt</t>
  </si>
  <si>
    <t>LT157300010156685826</t>
  </si>
  <si>
    <t>Projektu siekiama prisidėti prie priemonės "Priemonių, gerinančių ambulatorinių sveikatos priežiūros paslaugų prieinamumą tuberkulioze sergantiems asmenims, įgyvendinimas" įgyvendinimo. Projekto įgyvendinimo metu Alytaus miesto gyventojams sergantiems tuberkulioze bus teikiamos socialinės paramos priemonės (maisto talonai ir kelionės į ir iš DOTS kabinetą  atvykimo išlaidų kompensavimas) ambulatorinio gydymosi metu. Tikimasi, kad įgyvendinus projektą DOTS kabinete bus teikiamos įvairesnės bei kokybiškesnės asmens sveikatos priežiūros paslaugos, mažės sergamumas tuberkulioze, bus teikiamas ne tik medikamentinis gydymas, bet ir socialinė parama besigydantiems asmenims nuo tuberkuliozės.</t>
  </si>
  <si>
    <t>Šiaulių bankas AB</t>
  </si>
  <si>
    <t>LT797181200002130475</t>
  </si>
  <si>
    <t>Vietos plėtros strategijų įgyvendimas</t>
  </si>
  <si>
    <t>Švenčionių rajone verslo ūkio subjektų skaičius, tenkantis 1.000-iui gyventojų yra mažiausias tarp Vilniaus apskrities savivaldybių:  verslo ūkio subjektų skaičius rajone tenkantis 1.000-iui gyventojų sudarė 40 proc. šalies ir 30 proc. Vilniaus apskrities rodiklio.
Projekto tikslas – skatinti verslo plėtrą Švenčionių mieste ir  pagerinti gyventojų įsidarbinimo galimybes. Projekto tikslui pasiekti keliamas uždavinys – teikti pagalbą verslo pradžiai Švenčionių mieste. Uždavinio įgyvendinimui numatomos veiklos:
1.  mokymai aktualiais klausimais jauno verslo subjektams;
2.  jauno verslo subjektų konsultavimas;
3. verslo pradžiai reikalingų priemonių suteikimas naudoti jauno verslo subjektams.
Bus suorganizuotos 6 mokymų sesijos po 2 dienas skirtos asmeninių ir verslumo gebėjimų ugdymui;
suteikta 700 valandų konsultacijų (metodinė pagalba mokesčių ir teisės klausimais, finansavimo šaltinių paieška, licencijavimas, atitiktis priešgaisrinės ir darbo saugos, sanitariniams ir kt. reikalams, klientų paieška);
šešiems jauno verslo subjektams suteiktos priemonės verslo pradžiai.</t>
  </si>
  <si>
    <t>030030102020000</t>
  </si>
  <si>
    <t>2. 9. 2. 1. 1.03</t>
  </si>
  <si>
    <t>114 Bendruomenės inicijuotos vietos plėtros strategijos</t>
  </si>
  <si>
    <t>06 Bendruomenės inicijuotos vietos plėtros iniciatyvos</t>
  </si>
  <si>
    <t>VšĮ "Regiono plėtros projektai"</t>
  </si>
  <si>
    <t>300529750</t>
  </si>
  <si>
    <t>Strūnaičio 66A, LT18127, Švenčionys</t>
  </si>
  <si>
    <t>+37061042645</t>
  </si>
  <si>
    <t>regionoprojektai@gmail.com</t>
  </si>
  <si>
    <t>Švenčionių raj.</t>
  </si>
  <si>
    <t>Ignalinos kredito unija</t>
  </si>
  <si>
    <t>LT345014400014003300</t>
  </si>
  <si>
    <t>Projekto tikslas - didinti Švenčionių miesto senyvo amžiaus žmonių socialinę integraciją į vietos bendruomenę.
Šiam tikslui siekti numatomas uždavinys - ugdyti ir palaikyti Švenčionių miesto senyvo amžiaus žmonių socialinius įgūdžius, įgalinant naudotis internetiniais informacijos ištekliais ir elektroninėje erdvėje teikiamomis paslaugomis.
Šio uždavinio įgyvendinimui numatomos veiklos: savanorių mokymai; socialinių paslaugų teikimas Švenčionių miesto senyvo amžiaus gyventojams.
Projektą vykdys Švenčionių rajono švietimo pagalbos tarnyba kartu su partneriu Lietuvos pensininkų sąjungos „Bočiai“ Švenčionių bendrija.</t>
  </si>
  <si>
    <t>Švenčionių rajono švietimo pagalbos tarnyba</t>
  </si>
  <si>
    <t>300044836</t>
  </si>
  <si>
    <t>Sodų 30, 18126, Švenčionys</t>
  </si>
  <si>
    <t>(8 387) 51 404</t>
  </si>
  <si>
    <t>sc.svencionys@gmail.com</t>
  </si>
  <si>
    <t>Luminor bank AB</t>
  </si>
  <si>
    <t>LT804010051004335438</t>
  </si>
  <si>
    <t>Projektas skirtas verslo plėtros Švenčionių mieste skatinimui. 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kurti verslą Švenčionių mieste siekiant pagerinti gyventojų įsidarbinimo galimybes. Šiam tikslui pasiekti keliamas uždavinys – didinti savarankiškai veiklą vykdančių gyventojų ir mažų ir vidutinių įmonių (toliau – MVĮ)  skaičių Švenčionių mieste.  Uždavinio įgyvendinimui numatomos veiklos: 
- asmeninių ir verslumo įgūdžių mokymų teikimas Švenčionių miesto gyventojams;
- Švenčionių miesto gyventojų konsultavimas verslo steigimo klausimais.  
Suplanuota organizuoti 4 temų mokymus po 2 dienas asmeninių ir verslumo gebėjimų ugdymui;  suteikti 400 valandų konsultacijų (pagalba išsirenkant tinkamiausią verslo formą, veiklos viešinimo,  tiekėjų ir klientų paieškos būdų ir metodų klausimais, metodinė pagalba mokestiniais ir teisiniais klausimais, išorinių finansavimo šaltinių paieška ir paraiškų pildymas, licencijavimas, atitiktis priešgaisrinės ir darbo saugos, sanitariniams ir kt. reikalams).  
Tikslinė grupė - darbingi gyventojai: 
• kurie yra ekonomiškai neaktyvūs asmenys ar bedarbiai;  
•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Planuojamas įtraukti dalyvių skaičius – 11 (vienuolika).</t>
  </si>
  <si>
    <t>(8 6) 1042645</t>
  </si>
  <si>
    <t>LT075014400014003301</t>
  </si>
  <si>
    <t>Šis projektas prisidės prie sporto klubo teikiamų sociokultūrinių paslaugų jauniems miesto gyventojams, patiriantiems socialinę atskirtį, prie jų gyvenimo kokybės gerinimo bei atskirties mažinimo. 
Projekto tikslas: Pagerinti sporto klubo „Grifas“ teikiamas sociokultūrines paslaugas siekiant padidinti socialinę atskirtį patiriančių socialiai pažeidžiamų gyventojų integraciją į visuomenę.
Šiam tikslui pasiekti numatomi uždaviniai:
1 Uždavinys. Sudaryti sąlygas realizuoti savo sugebėjimus ir pomėgius, dalyvaujant užimtumo veiklose.  Suplanuota sporto treniruočių organizavimas socialinę atskirtį patiriančių jaunų žmonių grupei.
2 Uždavinys. Vykdyti socialinę atskirtį patiriančių jaunų žmonių sveikos gyvensenos ir aktyvaus laisvalaikio propagavimo veiklą.  Suplanuotos šios veiklos:
a) Sporto reabilitacinės stovyklos organizavimas;
b) Sveikos gyvensenos ir psichologų paskaitų ir konsultacijų ciklas;
c) Projekto dalyvių baseino lankymas. 
Tikslinė grupė:  tiesiogiai į veiklas planuojama įtraukti 20 dalyvių, Švenčionių miesto gyventojų, patiriančių socialinę atskirtį.</t>
  </si>
  <si>
    <t>Jėgos sporto šakų klubas "Grifas"</t>
  </si>
  <si>
    <t>178995676</t>
  </si>
  <si>
    <t>Asociacija</t>
  </si>
  <si>
    <t>Sodų 28, LT18123, Švenčionys</t>
  </si>
  <si>
    <t>8 686 18247</t>
  </si>
  <si>
    <t>donka@dtiltas.lt</t>
  </si>
  <si>
    <t>LT907300010156111691</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</si>
  <si>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Projekto poreikis yra nulemtas atsižvelgiant į sudėtingą verslo kūrimo ir plėtros situaciją Švenčionyse.
Projekto tikslas–skatinti jauno verslo plėtrą Švenčionių mieste siekiant pagerinti gyventojų įsidarbinimo galimybes. Projekto tikslui pasiekti keliamas uždavinys – teikti pagalbą verslo steigimo bei vystymo klausimais Švenčionių mieste.  Uždavinio įgyvendinimui numatomos veiklos:
-mokymų aktualiais klausimais teikimas projekto dalyviams;
-projekto dalyvių konsultavimas ir mentorystė.
Projekto tikslinė grupė yra darbingi gyventojai:
-kurie yra ekonomiškai neaktyvūs asmenys ar bedarbiai;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Į projekto veiklas bus įtraukti 7 asmenys.
Siekiami rezultatai:
-suorganizuotos 4 mokymų sesijos po 2 dienas;
-suteikta 446 valandų konsultacijų.
Poveikis:
7 projekto tikslinės grupės atstovai gaus tikslinius mokymus ir konsultacijas verslo pradžiai. Įvairūs tyrimai ir praktika rodo, kad dažnas jauno verslo subjekto likimas – bankrotas ar užsidarymas. Tai nutinka dėl nepasirengimo vykdyti verslą, nepatyrimo, specifinių žinių ir įgūdžių trūkumo, investicijų trūkumo. Šis projektas minimizuos įvardintas nesėkmės priežastis, kadangi numatoma kompleksinė parama: ekspertų ir verslininkų mokymai ir konsultacijos padidins dalyvių verslumo gebėjimus, verslo stabilumą, leis pasirinkti tinkamiausią verslo formą, efektyviai susidoroti su reikalavimų (teisiniai, mokestiniai ir pan.) našta.</t>
  </si>
  <si>
    <t>Uždaroji akcinė bendrovė "Darėjas"</t>
  </si>
  <si>
    <t>178866090</t>
  </si>
  <si>
    <t>Gedimino g. 10-1, 18124, Švenčionys</t>
  </si>
  <si>
    <t>868635211</t>
  </si>
  <si>
    <t>darejas72@gmail.com</t>
  </si>
  <si>
    <t>LT364010051004342438</t>
  </si>
  <si>
    <t>08.6.1-ESFA-V-911-11-0006</t>
  </si>
  <si>
    <t>Ebru tapyba - pozityvios socializacijos menas vaikams iš socialinės rizikos šeimų</t>
  </si>
  <si>
    <t>Projekto tikslas – mažinti vaikų iš socialinės rizikos šeimų atskirtį, užtikrinti įgytų įgūdžių, žinių naudojimą bei plėtojimą projektui pasibaigus.
         Šio tikslo siekimui numatomas uždavinys - gerinti Švenčionių rajono vaikų iš socialinės rizikos šeimų socialinius įgūdžius, socialinės integracijos į visuomenę sąlygas.
         Šio uždavinio įgyvendinimui numatomos veiklos: 
         ebru edukaciniai užsiėmimai;
         savanorių mokymai;
         ebru technika sukurtų darbų paroda;
         projekto veiklų viešinimas.
 Projektą vykdys  projekto vadovas, projekto partneriai, finansininkas ir savanoriai. Siekiami rezultatai – edukacinių užsiėmimų metu dalyvaus 45 vaikai (po 15 vaikų iš trijų ugdymo įstaigų), bus priimti 3 savanoriai (iš kiekvienos ugdymo įstaigos po 1 savanorį).</t>
  </si>
  <si>
    <t>Sodų g. 30, 18126, Švenčionys, Švenčionių r.</t>
  </si>
  <si>
    <t>8387 51404</t>
  </si>
  <si>
    <t>Projektas bus įgyvendinamas kartu su VŠĮ Vilniaus ir Alytaus regionų aklųjų centru  , į veiklas siekiant įtraukti ir silpnai matančiuosius vaikus.
Projekto tikslas: spręsti socialinės atskirties problemą Švenčionių mieste, siekiant padidinti bendruomenės socialinę integraciją, pagerinti socialinių paslaugų teikimą Švenčionių mieste. Šio tikslo įgyvendinimui numatomas uždavinys: patobulinti socialinių įgūdžių ugdymo ir palaikymo paslaugų kokybę. 
 Šio uždavinio įgyvendinimui numatomos veikla:
1. pagerintų paslaugų teikimas: mokymų organizavimas ir naujų būrelių „Pamatyk pasaulį per kiną“ ir „Pagauk vėją“ įdiegimas.
Projekto metu bus organizuojami mokymai, įsigytos priemonės,  teikiamos pagerintos socialinių įgūdžių ugdymo ir palaikymo paslaugos. 
Tikslinė grupė: tiesiogiai į veiklas planuojame įtraukti 21 vaiką iš nepasiturinčių šeimų, kurioms teikiama socialinė parama. Būrelio „Pamatyk pasaulį per kiną“- tikslinė grupė - 10 vaikų (8-15 m.), būrelio „Pagauk vėją“ - tislinė grupė - 11 (6 -14 m.) vaikų. Projekte dirbs du savanoriai.
Poveikis: įgyvendinus projektą sumažės socialinė atskirtis,  21 vaikas įsitrauks į kultūrines ir socialines veiklas, taps aktyvesniais bendruomenės nariais, patobulins savo įgūdžius. Projekte dirbs savanoriai, iš jų vaikai gaus žinių ir patirties ne tik susijusių su vykdoma veikla, bet ir apie savanorio darbą, kaip  panaudoti savo sugebėjimus ir patirtį, įgauti naujų įgūdžių, susirasti draugų bei pakeisti socialinį gyvenimą.</t>
  </si>
  <si>
    <t>Švenčionių socialinių paslaugų centras</t>
  </si>
  <si>
    <t>303212602</t>
  </si>
  <si>
    <t>Stoties  g. 16, LT-18123, Švenčionys</t>
  </si>
  <si>
    <t>(8 387) 51744</t>
  </si>
  <si>
    <t>centras@svencioniuspc.lt</t>
  </si>
  <si>
    <t>LT324010051001864257</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</si>
  <si>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verslo plėtrą Švenčionių mieste siekiant pagerinti gyventojų įsidarbinimo galimybes. Projekte numatomos veiklos:
- mokymų aktualiais klausimais teikimas jauno verslo subjektams;
- konsultavimas ir mentorystė jauno verslo subjektams;
- verslo pradžiai reikalingų priemonių suteikimas naudoti jauno verslo subjektams.
Tikslinė grupė: jauno verslo subjektai - juridiniai asmenys (atstovai ir darbuotojai) arba fiziniai asmenys dirbantys savarankiškai, kurių veiklos vykdymo vieta Švenčionių miestas. Planuojamas įtraukti dalyvių skaičius – 6 (šeši).
Siekiami rezultatai:
- suorganizuotos 6 mokymų sesijos po 2 dienas skirtos asmeninių ir verslumo gebėjimų ugdymui;
- suteikta 1334 valandų konsultacijų (pagalba randant tiekėjus ir klientus, metodinė pagalba mokestiniais ir teisiniais klausimais, išorinių finansavimo šaltinių paieška, licencijavimas, atitiktis priešgaisrinės ir darbo saugos, sanitariniams ir kt. reikalams);
- jauno verslo subjektams suteiktos priemonės verslo pradžiai.
Poveikis:  6 jauno verslo subjektai gaus tikslinius mokymus ir konsultacijas, priemones verslo pradžiai. Ekspertų ir verslininkų mokymai ir konsultacijos padidins dalyvių asmeninius ir verslumo gebėjimus, užtikrins verslo stabilumą, leis efektyviai susidoroti su reikalavimų (teisiniai, mokestiniai ir pan.) našta. Priemonės verslo pradžiai padės „įsivažiuoti“ kol verslo subjektai galės įsigyti savų priemonių.</t>
  </si>
  <si>
    <t>K. Savicko įmonė "Keseda"</t>
  </si>
  <si>
    <t>278860590</t>
  </si>
  <si>
    <t>Individuali įmonė</t>
  </si>
  <si>
    <t>Naujoji 23, 18124, Švenčionys</t>
  </si>
  <si>
    <t>+37068895555</t>
  </si>
  <si>
    <t>keseda@gmail.com</t>
  </si>
  <si>
    <t>LT427300010138667590</t>
  </si>
  <si>
    <t>Projekto tikslas yra: Padidinti pagyvenusių ir neįgalių žmonių socialinę integraciją į visuomenę. 
Šiam tikslui pasiekti numatomas uždavinys: Gerinti teikiamas sociokultūrines paslaugas Švenčionių socialinių paslaugų centre.
Projekto įgyvendinimo metu bus vykdoma pagyvenusių ir neįgalių žmonių užimtumo, edukacinė pažintinė ir kultūrinė veikla, organizuojami savanorių mokymai, įgyta įranga, teikiamos pagerintos sociokultūrinės paslaugos.
Projekto veiklose dalyvaus 20 neįgaliųjų ir senyvo amžiaus asmenų, kurie sustiprins tarpusavio ryšius, užmegs naujas pažintis, pasijus lygiaverčiais, reikalingais, pripažintais ir svarbiais.
Apmokytas savanoris padės projekto dalyviams bendrauti ir spręsti socialines, dvasines problemas, organizuos jų užimtumą ir laisvalaikį.
Projekto veiklos bus viešinamos vietinėje spaudoje ir Facebook socialiniame tinkle, internetinėje svetainėjė. 
Projektą vykdys Švenčionių socialinių paslaugų centras kartu su Švenčionių rajono neįgaliųjų draugija. Tai puiki galimybė įtraukti visuomenines organizacijas į bendrą socialinių paslaugų sistemą, kaip lygiaverčius partnerius.</t>
  </si>
  <si>
    <t>Stoties 16, 18123, Švenčionys</t>
  </si>
  <si>
    <t>(8~387)51 744</t>
  </si>
  <si>
    <t>LT374010051001864264</t>
  </si>
  <si>
    <t>08.6.1-ESFA-V-911-11-0011</t>
  </si>
  <si>
    <t>Jaunimo užimtumo skatinimo iniciatyva Švenčionių mieste</t>
  </si>
  <si>
    <t>Švenčionių rajono savivaldybeje pastebimas MI mažėjimas, o ryšium su tuo yra nedarbas Švenčionių mieste. Gyventojų rajone ne tik mažėja, bet ir sparčiai senėja. Mažėjant dirbančiųjų skaičiui, didėja bedarbystė, o įsidarbinti arba pradėti savo verslą dažnai trukdo trūkstama kompetencija.
Projektu sprendžiama problema yra nedarbo Švenčionių mieste mažinimo problema. Įgyvendinant projektą, bus padedama įgyti darbo įgūdžių jauniems specialistams, turintiems kvalifikaciją, taip pat suteikti trūkstamų žinių žmonėms, ieškantiems darbo, bei kuriantiems verslą. Šio projekto tikslas, įgyvendinant vietos plėtros strategiją, pagerinti Švenčionių bendruomenės narių padėtį darbo rinkoje, socialinę integraciją, suteikiant rinkoje paklausius darbo įgūdžius. 
Atsirenkant dalyvius bus orientuojamasi į jaunus žmones iki 29 metų, kuriems reikalingos buhalterinės apskaitos žinios.</t>
  </si>
  <si>
    <t>Uždaroji akcinė bendrovė "Aktyvios idėjos"</t>
  </si>
  <si>
    <t>178851430</t>
  </si>
  <si>
    <t>Vilniaus 4 - 1, 18123, Švenčionys</t>
  </si>
  <si>
    <t>+37061241340</t>
  </si>
  <si>
    <t>aktyvios.idejos@gmail.com</t>
  </si>
  <si>
    <t>LT205014400014002873</t>
  </si>
  <si>
    <t>Projekto tikslinės grupės –  (ikimokyklinio amžiaus vaikų, lopšelio-darželio personalo) poreikiai yra susiję su kokybiškų  paslaugų gavimu/teikimu, šiuolaikinės  ugdymo aplinkos ir erdvių, skatinančių kūrybiškumą, kūrimu.  Siekiant patenkinti tikslinės grupės poreikius planuojama atlikti Alytaus lopšelio-darželio „Girinukas“ patalpų (3 grupių) atnaujinimo darbus ir įsigyti modernias ugdymo priemones.
Planuojamo įgyvendinti projekto tikslas -  pagerinti Alytaus lopšelio-darželio „Girinukas“ teikiamų paslaugų kokybę, modernizuojant ugdymo patalpas ir įsigyjant vaikų kūrybiškumą ir savireguliaciją skatinančias priemones.</t>
  </si>
  <si>
    <t>110010301040000</t>
  </si>
  <si>
    <t>09.08.01.01</t>
  </si>
  <si>
    <t>052 Ikimokyklinio ugdymo ir priežiūros infrastruktūra</t>
  </si>
  <si>
    <t>10 Investicijos į švietimą, gebėjimus ir mokymąsi visą gyvenimą</t>
  </si>
  <si>
    <t>AB Šiaulių bankas Alytaus KAC</t>
  </si>
  <si>
    <t>LT347181200002130509</t>
  </si>
  <si>
    <t>2024-10-30</t>
  </si>
  <si>
    <t>Šio projekto tikslas –  didinti ikimokyklinio ir priešmokyklinio ugdymo įstaigų tinklo veiklos efektyvumą Lazdijų rajone. Projekto metu pagal tipinį projektą LD 01 bus atnaujinamos esamos ikimokyklinės ugdymo grupės patalpos ir modernizuojamos šiuo metu nenaudojamos vaikų ugdymo grupės patalpos, joms abiems priskiriamų erdvių patalpos (pagrindinė erdvė, kurioje vyksta vaikų ugdymas, priėmimo–nusirengimo erdvė, vaikų poilsiui/miegui skirta erdvė, tualetas, prausykla, grupės virtuvėlė ir kitos, grupės vaikams ir joje dirbančiam personalui skirtos erdvės), kurios bus pritaikomos kokybiškai vykdyti ikimokyklinio ir/ar priešmokyklinio ugdymo programas.</t>
  </si>
  <si>
    <t>8 318 66108</t>
  </si>
  <si>
    <t>LT594010042200273115</t>
  </si>
  <si>
    <t>Pagrindinė Varėnos "Pasakos" vaikų lopšelio-darželio problema – pasenusi, šiuolaikinių standartų ir poreikių neatitinkanti infrastruktūra, neišnaudojamos esamos patalpos, tinkamų priemonių trūkumas. Šios problemos neleidžia įstaigos darbuotojams suteikti tinkamų sąlygų vaikų ugdymui bei padidinti vietų skaičių lopšelyje-darželyje. Projekto tikslas - prisidėti prie neformalaus ugdymo įstaigų tinklo veiklos efektyvumo didinimo Varėnos rajone.
Projekto metu bus modernizuotos trys grupės Varėnos „Pasakos“ vaikų lopšelyje-darželyje, esančiame adresu Dzūkų g. 11, Varėna , t. y. neišnaudojamose lopšelio-darželio patalpose bus sukurtos 35 ikimokyklinio ir priešmokyklinio ugdymo vietos (atnaujintos dvi grupės ir šalia jų esančios erdvės) bei atnaujinta priešmokyklinio ugdymo grupė. Atnaujintoms ugdymo grupėms bus nupirkti nauji baldai, būtini ugdymo veikloms teikti.
Projektu siekiama padidinti ikimokyklinio ir priešmokyklinio ugdymo Varėnos rajone aprėptį bei pagerinti ikimokyklinio ir priešmokyklinio ugdymo paslaugų kokybę. Modernizavus Varėnos „Pasakos“ vaikų lopšelio-darželio pastatą ir padidės vietų skaičių ugdymo įstaigoje ir vaikams bus sudarytos kokybiškos ugdymo sąlygos.</t>
  </si>
  <si>
    <t>LT937181200002130417</t>
  </si>
  <si>
    <t>2025-03-31</t>
  </si>
  <si>
    <t>Projekto pavadinimas Alytaus r. ikimokyklinio ir priešmokyklinio ugdymo prieinamumo didinimas, įkuriant ir atnaujinant edukacines erdves</t>
  </si>
  <si>
    <t>Projekto metu bus modernizuoti Alytaus r. Simno, Butrimonių ir Miroslavo gimnazijų ikimokykliniai skyriai, sukurta 60 naujų vietų, įsigyti būtini baldai ir edukacinės priemonės.
Įgyvendinus projektą, bus atnaujintos 6 ugdymo įstaigų grupės, iš kurių 3 grupės kuriamos naujai (po vieną grupę kiekvienoje iš planuojamų atnaujinti įstaigų), sutvarkyta lauko teritorija.
Projektu siekiama padidinti ikimokyklinio ir priešmokyklinio ugdymo prieinamumą bei pagerinti  ikimokyklinio ir priešmokyklinio ugdymo paslaugų kokybę Alytaus rajone. Modernizavus grupes padidės vietų skaičius ugdymo įstaigose bei vaikams bus sukurtos kokybiškos ugdymo paslaugos.</t>
  </si>
  <si>
    <t>Pulko g. 21, 62135, Alytus</t>
  </si>
  <si>
    <t>LT617181200002130799</t>
  </si>
  <si>
    <t>2025-07-31</t>
  </si>
  <si>
    <t>Projekto tikslas – pagerinti ugdymo(si) kokybę Druskininkų sav. Viečiūnų progimnazijos ikimokyklinio ugdymo skyriuje "Linelis".
Projekto investicijos numatytos į Druskininkų sav. Viečiūnų progimnazijos ikimokyklinio ugdymo skyriaus „Linelis“ infrastruktūros modernizavimą vidaus patalpose, t.y. planuojama atnaujinti 3 (tris) vaikų ugdymo grupes, aprūpinant priemonėmis, skatinančiomis vaikų kūrybiškumą ir savireguliaciją. Kadangi pastaraisiais metais vaikų, lankančių šią įstaigą daugėja, planuojama vietoje esančio metodinio kabineto įsteigti 1 (vieną) naują vaikų ugdymo grupę.</t>
  </si>
  <si>
    <t>AB bankas Swedbank</t>
  </si>
  <si>
    <t>LT927300010130110029</t>
  </si>
  <si>
    <t>Projekto tikslas - didinti Lazdijų rajono savivaldybės bendrojo ugdymo įstaigų tinklo veiklos efektyvumą, kuriant mokyklose modernias kūrybiškumą skatinančias edukacines erdves. Projekto įgyvendinimo metu veiklos bus vykdomos trijose Lazdijų rajono savivaldybės gimnazijose:
1. Lazdijų Motiejaus Gustaičio gimnazijoje bus suremontuota ir modernizuota gamtos mokslų laboratorija, įrengiant dvi atskirtas erdves, turinčias tarpusavio jungtis - teorinę klasę ir praktikos laboratoriją su išskirtinių bandymų įranga ir įdiegta 3D klasės įranga su gamtos mokslams pritaikyta programine įranga;
2. Lazdijų r. Veisiejų Sigito Gedos gimnazijoje bus suremontuota ir modernizuota gamtos mokslų laboratorija, įrengiant tris atskirtas erdves, turinčias tarpusavio jungtis - teorinę klasę, praktikos laboratoriją ir bandymų paruošimo patalpą. Laboratorijoje bus įdiegta 3D klasės įranga su gamtos mokslams pritaikyta programine įranga;
3. Lazdijų r. Seirijų Antano Žmuidzinavičiaus gimnazijoje bus suremontuota ir modernizuota sporto salė, persirengimo kambariai, sanitarinės patalpos bei dušai).</t>
  </si>
  <si>
    <t>110010301050000</t>
  </si>
  <si>
    <t>051 Mokykliniam ugdymui (pradiniam ir bendrajam viduriniam išsilavinimui) skirta švietimo infrastruktūra</t>
  </si>
  <si>
    <t>LT444010042200090055</t>
  </si>
  <si>
    <t>Alytaus Dzūkijos pagrindinei mokyklai keliamas uždavinys – padėti kiekvienam mokiniui, atsižvelgiant į jo gebėjimus, ugdymosi poreikius ir interesus bei tėvų (globėjų, rūpintojų) lūkesčius, išsiugdyti bendrąsias kompetencijas – mokėjimo mokytis, komunikavimo, pažinimo, socialinę pilietinę, iniciatyvumo ir kūrybingumo, asmeninę ir kultūrinę, kurios ypač reikšmingos asmens brandai, rengimuisi tolesniam mokymuisi ir profesinei karjerai, gyvenimui žinių visuomenėje.
Mokykla siekia sudaryti sąlygas mokinių grupiniam ir individualiam, teoriniam ir praktiniam, aktyviam, taip pat tinkliniam ar globaliam mokymuisi. 
Tačiau keičiasi ugdymo programos, mokymosi formos, mokymo proceso organizavimo būdai ir metodai, diegiamos naujos informacinės technologijos, o mokyklos erdvių ir mokymosi aplinkos modernizavimas sparčiai atsilieka. Tikslinės grupės Alytaus Dzūkijos pagrindinės mokyklos mokinių poreikiai yra susiję su kokybiškų švietimo paslaugų gavimu, šiuolaikinės mokymosi aplinkos ir erdvių, skatinančių kūrybiškumą, kūrimu.
Todėl siekiant patenkinti mokinių poreikius ir plėtoti inkliuzinį ugdymą, projekto metu numatyta atnaujinti klases, įkurti modernias, kūrybiškumą skatinančias edukacines erdves, įsigyti reikiamą įrangą ir baldus.</t>
  </si>
  <si>
    <t>LT837181200002130500</t>
  </si>
  <si>
    <t>09.1.3-CPVA-R-724-11-0003</t>
  </si>
  <si>
    <t>Siekiant didinti bendrojo ir neformalaus ugdymo įstaigų tinklo veiklos efektyvumą, projekto metu planuojama iškelti veikiantį Varėnos r. Merkinės Vinco Krėvės gimnazijos Ikimokyklinio ir priešmokyklinio ugdymo skyrių iš buvusios Varėnos r. Merkinės pagrindinės mokyklos patalpų į Varėnos r. Merkinės Vinco Krėvės gimnazijos mokomojo korpuso pastato laisvas patalpas, adresu Seinų g.10, Merkinė, unikalus Nr. 4400-0729-2202. Gimnazijos pastato, kuriame būtų įrengtos ikimokyklinio ir priešmokyklinio ugdymo grupės, būklė prasta, patalpos neremontuotos, infrastruktūra neatitinka higienos normų. Projekto metu planuojama atlikti Gimnazijos pastato, unikalus Nr. 4400-0729-2202, remontą, atnaujinti baldus ir įrangą, įrengti lauke vaikų žaidimo aikštelę. Įgyvendinus projektą bus sukurtos funkcionalios, lengvai pertvarkomos, modernios bei kūrybiškumą skatinančios edukacinės erdvės ikimokyklinio ir priešmokyklinio ugdymo vaikams laisvose Gimnazijos mokomojo korpuso patalpose bei patobulinta vaikų ugdymo kokybė.</t>
  </si>
  <si>
    <t>LT147181200002130384</t>
  </si>
  <si>
    <t>Siekiant sukurti modernias kūrybiškumą skatinančias erdves ir pagerinti ugdymo(si) kokybę Druskininkų „Atgimimo“ mokykloje, numatyta atnaujinti dalį pastato, esančio M. K. Čiurlionio g. 92 Druskininkuose, patalpų, kuriose nuo 1969 metų nebuvo atliktas remontas ir kurios neatitinka šiuolaikinio ugdymo reikalavimų. Projekto investicijos numatytos į bendrojo ugdymo mokyklos mokomojo II korpuso II aukšto modernių kūrybiškumą skatinančių edukacinių erdvių kūrimą, atnaujinant ir įrengiant informacinių technologijų kabinetus. Projekto rezultatas - atnaujinta bendrojo ugdymo mokykla, kurioje sukurtos modernios kūrybiškumą skatinančios erdvės. Projekto tikslinė grupė - mokiniai, kurie naudosis sukurta / atnaujinta infrastruktūra. Projektas prisidės prie darnaus vystymosi principų įgyvendinimo, pritaikant universalaus dizaino principus.</t>
  </si>
  <si>
    <t>„Swedbank” AB</t>
  </si>
  <si>
    <t>LT957300010120121497</t>
  </si>
  <si>
    <t>Projekto „Alytaus rajono bendrojo ugdymo įstaigų aprūpinimas gamtos, technologijų, menų ir kitų mokslų laboratorijų įranga“ tikslas - bendrojo ugdymo įstaigų veiklos efektyvumo didinimas ir modernių mokymosi erdvių kūrimas Alytaus rajono savivaldybėje. Projekto įgyvendinimo metu veiklos vykdomos Alytaus rajono Simno ir Butrimonių gimnazijose. Numatoma atlikti esamos laboratorijos remonto darbus (elektros instaliacijos, vėdinimo įrengimo) bei įrengti naujas ir modernias patalpas chemijos, fizikos laboratorijai; įsigyti naujus ir saugos reikalavimus atitinkančius laboratorinius baldus; įsigyti įrangą, mokymosi priemones, skirtas gamtos, chemijos ir fizikos mokomiesiems dalykams).</t>
  </si>
  <si>
    <t>AB „Swedbank“</t>
  </si>
  <si>
    <t>LT647300010152991572</t>
  </si>
  <si>
    <t>VšĮ „Lazdijų sporto centras“ siekia įgyvendinti projektą „Neformaliojo švietimo įstaigų Lazdijų rajono savivaldybėje infrastruktūros tobulinimas“. Projekto tikslas: neformaliojo vaikų švietimo aplinkos gerinimas ir infrastruktūros tobulinimas Lazdijų rajono savivaldybėje. 
Projekto įgyvendinimo metu bus atliktas pastato antro aukšto kapitalinis remontas (viso apie 488,94 m2), po kurio antrajame aukšte bus įrengtos 3 sporto salės 2 sporto šakoms (aerobinei gimnastikai ir kūno rengybai) ir įsigyta trūkstama sporto įranga (viso apie 31 vnt.). Projekto įgyvendinimas turės įtakos pagrindinėms tikslinėms grupėms – VšĮ „Lazdijų sporto centras“ mokiniams, lankytojams  ir visiems kitiems Lazdijų miesto ir apylinkių gyventojams bei prisidės prie universalaus dizaino principo įgyvendinimo.</t>
  </si>
  <si>
    <t>110010304030000</t>
  </si>
  <si>
    <t>Viešoji įstaiga Lazdijų sporto centras</t>
  </si>
  <si>
    <t>190613858</t>
  </si>
  <si>
    <t>Dzūkų g. 4, LT-67125, Lazdijai</t>
  </si>
  <si>
    <t>8 318 51998</t>
  </si>
  <si>
    <t>sportas@lazdijai.lt</t>
  </si>
  <si>
    <t>LT134010042200010006</t>
  </si>
  <si>
    <t>2024-07-25</t>
  </si>
  <si>
    <t>Problema yra nepakankamas neformalaus švietimo ugdymo paslaugų prieinamumas Druskininkų M. K. Čirulionio meno mokykloje. Projekto tikslas - pagerinti mokykloje vykdomų neformaliojo švietimo veiklų kokybę ir padidinti jų prieinamumą. Projekto metu bus suremontuotas mokyklos pastatas, atnaujintas vitražas kaip meninė ir vertinga edukacinė priemonė, bus įsigyti muzikos instrumentai, įranga bei baldai būtini ugdymo veikloms teikti.
Rezultatas – atnaujintos mokyklos erdvės pritaikytos 3 krypčių neformaliojo vaikų švietimo programų įgyvendinimui, projekto rezultatais galės pasinaudoti ne mažiau kaip 380 mokinių lankančių mokyklą.
Projektas prisideda prie darnaus vystymosi principų, nenumatyti neigiamą poveikį lyčių lygybei ir nediskriminavimo principams turintys apribojimai, įgyvendinami universalaus dizaino principai.</t>
  </si>
  <si>
    <t>LT127300010130109917</t>
  </si>
  <si>
    <t>2023-02-28</t>
  </si>
  <si>
    <t>Pagrindinė projekto problema – nepakankama Varėnos moksleivių kūrybos centro (toliau - Centro) teikiamų neformaliojo ugdymo paslaugų kokybė. Pagrindinės problemos priežastys yra susijusios su nepakankama infrastruktūra: prasta Centro pastato būkle ir įrangos bei baldų trūkumu. Inicijuojamu projektu bus modernizuotas Centro pastatas, o pats Centras aprūpintas tinkamai ir kokybiškai neformaliojo švietimo veiklai reikalinga įranga bei baldais. Taip siekiama sudaryti tinkamas, higienos normas atitinkančias ir kokybiškesnes veiklos prasme sąlygas Centre besimokantiems moksleiviams, taip pat pritraukti naujų lankytojų, taip didinant Varėnos rajono moksleivių užimtumą ir naudingą laiko praleidimą užklasinėje veikloje. Projektu bus patobulinta neformaliojo švietimo infrastruktūra Varėnoje.</t>
  </si>
  <si>
    <t>LT907181200002130374</t>
  </si>
  <si>
    <t>Vaikų lankančių švietimo įstaigas Alytaus mieste kasmet mažėja, tačiau jų poreikis ir įsitraukimas į neformaliojo švietimo veiklas išlieka stabilus, dėl to atsiranda poreikis užtikrinti teikiamų paslaugų kokybę ir kurti naujas veiklas, didinant pasiūlos galimybes. Alytaus muzikos mokykla teikia neformaliojo vaikų švietimo paslaugas, tačiau jos teikiamos nesutvarkytoje ir tam nepritaikytoje infrastruktūroje. Projekto metu bus suremontuota dalis mokyklos patalpų, atnaujinta šildymo sistema, elektros apšvietimas, elektroniniai ryšiai, vidaus vandentiekis ir nuotekos, įsigyta kompiuterinė įranga, baldai, muzikos instrumentai. Sutvarkius infrastruktūrą bus pagerintos bei išplėstos neformaliojo švietimo veiklos, vykdomos papildomos, neformaliojo vaikų švietimo veiklos: etnokultūrinis ugdymas (dainavimas, solfedis, šokamieji žaidimai, ritmika, kanklės) ir muzikinis teatras (sceninis judesys, choras, šokis, vaidyba).</t>
  </si>
  <si>
    <t>8 315 55111</t>
  </si>
  <si>
    <t>LT087181200002130492</t>
  </si>
  <si>
    <t>2024-11-30</t>
  </si>
  <si>
    <t>Projekto metu įgyvendinamomis veiklomis bei sukuriama infrastruktūra numatoma padidinti bendrojo ugdymo ir neformaliojo švietimo įstaigų tinklo efektyvumą. Projekto tikslas - didinti neformalaus švietimo paslaugų prieinamumą Alytaus rajone. Alytaus r. meno ir sporto mokykla siekdama projekto tikslo, numato rekonstruoti mokslo paskirties pastatą Vytauto g.44, Nemunaičio miestelyje, Alytaus raj. sav. ir pritaikyti stovykloms organizuoti.  Taip pat projekto įgyvendinimo metu, siekiant didinti mokyklos teikiamų paslaugų prieinamumą sutvarkoma sporto salė Dauguose. Projekto rezultatai - 384 vaikai, gaunantys aukštesnės kokybės neformalaus švietimo paslaugas, modernizuota viena neformalaus švietimo paslaugas teikianti įstaiga.</t>
  </si>
  <si>
    <t>LT287181200002130811</t>
  </si>
  <si>
    <t>Paslaugų ir asmenų aptarnavimo kokybės gerinimas savivaldybėse</t>
  </si>
  <si>
    <t>Projekto „Paslaugų teikimo ir asmenų aptarnavimo kokybės gerinimas Varėnos rajono savivaldybėje“ tikslas – gerinti asmenų aptarnavimo Varėnos rajono savivaldybės viešojo valdymo institucijose kokybę ir didinti teikiamų paslaugų prieinamumą visuomenei.
Projektas yra orientuotas į pasauline gerojo viešojo valdymo praktika pagrįstus Lietuvos Respublikos strateginiuose dokumentuose numatytus viešųjų paslaugų teikimo sistemos tobulinimo tikslus ir priemones.
Projekto veiklos pasirinktos ir suplanuotos visapusiškai įvertinus dabartinės viešųjų paslaugų teikimo ir organizavimo sistemos būklę ir jos tobulinimo sąlygas Savivaldybėje: demografines ir geografines rajono charakteristikas, esminius paslaugų paklausos aspektus, nepakankamą paslaugų prieinamumą kaimiškosiose gyvenamosiose vietovėse, vidinių (Savivaldybės administracijos) ir tarpinstitucinių (su pavaldžiomis įstaigomis) procesų optimizavimo ir automatizavimo poreikį, veiklos ir procesų atitiktį norminiams dokumentams bei normatyviniams visuomenės poreikius atitinkančio gyventojų aptarnavimo principams.
Projektu numatyta tobulinti ir plėsti konsultavimosi su paslaugų vartotojais mechanizmą, parengti Piliečių (paslaugų) chartiją, įtvirtinti dialogo su paslaugų vartotojais metu nustatytus teikiamų paslaugų ir asmenų aptarnavimo kokybės standartus. Įgyvendinant projektą didelė reikšmė bus teikiama asmenų aptarnavimo vieno langelio principu funkcionalumo užtikrinimui ir nuolatinio paslaugų kokybės, stebėsenos ir vertinimo sistemos sukūrimui, išplečiant vartotojų galimybes reikšti poreikius ir reikalavimus dėl teikiamų paslaugų. Siekiant padidinti paslaugų prieinamumą kaimiškosiose rajono gyvenvietėse, bus užtikrinamas bibliotekos, svarbiausių administracinių ir gretutinių paslaugų teikimas nuo seniūnijų centrų nutolosių gyvenviečių bendruomenėms, naudojant pagal nustatytą grafiką kursuosiančią paslaugų teikimui pritaikytą transporto priemonę.</t>
  </si>
  <si>
    <t>16 Valdžios institucijų ir suinteresuotųjų subjektų institucinių gebėjimų stiprinimas ir veiksmingas viešasis administravimas</t>
  </si>
  <si>
    <t>119 Investavimas į institucinius gebėjimus ir viešojo administravimo subjektų bei viešųjų paslaugų veiksmingumą nacionaliniu, regioniniu ir vietos lygmenimis siekiant reformų, geresnio reglamentavimo ir gero valdymo</t>
  </si>
  <si>
    <t>11 Institucinių pajėgumų stiprinimas ir veiksmingas viešasis administravimas</t>
  </si>
  <si>
    <t>LT777181200002130414</t>
  </si>
  <si>
    <t>Savivaldybėms įstatymais yra pavesta užtikrinti jų teritorijose nuolat gyvenančių asmenų, susietų bendrais viešaisiais interesais ir poreikiais, teisių ir laisvių įgyvendinimą. Projektu siekiama spręsti šias problemas: neužtikrintas „vieno langelio“ paslaugų pasiekiamumas nuo savivaldybės nutolusioms gyvenvietėms; nepakankama darbuotojų kompetencija; veiklos organizavimo procedūrų trūkumai; dokumentų valdymo sistemos neprieinamumas savivaldybei pavaldžioms švietimo įstaigoms. 
Teikiamo projekto tikslas - Vadovaujantis LEAN metodologija gerinti savivaldybių viešojo valdymo institucijų teikiamas paslaugas bei didinti asmenų aptarnavimo kokybę. Projekto įgyvendinimo metu bus vykdomas savivaldybės viešojo valdymo institucijų veiklos organizavimo procedūrų, susijusių su paslaugų teikimu ir asmenų aptarnavimu, tobulinimas LEAN metodologijos pagalba, įskaitant „vieno langelio principo“ paslaugas, savivaldybių viešojo valdymo institucijų darbuotojų kvalifikacijos kėlimas, asmenų aptarnavimo kokybės tyrimas. Projekto įgyvendinimo metu bus pakelta savivaldybės ir viešojo valdymo institucijų darbuotojų kvalifikacija, darbuotojai galės efektyviau ir greičiau atlikti savo darbą. Dėl patobulintų procedūrų padidės jų darbo kokybė, teikiamų paslaugų efektyvumas.</t>
  </si>
  <si>
    <t>LUMINOR Bank AB</t>
  </si>
  <si>
    <t>LT754010042200112098</t>
  </si>
  <si>
    <t>Viešojo valdymo institucijos nėra pakankamai aktyvios tobulinant visuomenei teikiamas paslaugas, trūksta kompleksiškų, tarpusavyje gerai koordinuotų veiksmų, kuriais viešajame valdyme butų siekiama visuomenės poreikius atitinkančios paslaugų kokybės. Kol kas šalyje nenustatyti minimalūs paslaugų kokybės standartai, paslaugos teikiamos neatsižvelgiant į tai, kur ir kaip visuomenei būtų patogiau jas gauti, vis dar stebimas nepakankamas asmenų aptarnavimo lygis. Ši problema vyrauja ir Alytaus rajono savivaldybės administracijoje – nepakankama teikiamų paslaugų ir asmenų aptarnavimo kokybė kultūros paslaugų sektoriuje, paslaugų teikiamų Kultūros centre bei 11 skyrių, esančių rajono seniūnijose.
Projekto įgyvendinimo metu numatyta optimizuoti vietos savivaldos institucijų vidaus procesus, įdiegiant pažangiausias kokybės vadybos sistemas, parengti ir kultūros paslaugas teikiančių įstaigų/skyrių veikloje naudoti susitarimus su gyventojais dėl įstaigose/skyriuose teikiamų paslaugų kokybės standartų bei sustiprinti darbuotojų kompetencijas, reikalingas pagerinti paslaugų ir asmenų aptarnavimo kokybei.
Įgyvendinant projektą bus gerinama Alytaus rajono savivaldybės administracijos veikla, jos struktūrinių padalinių – Kultūros centro ir seniūnijų skyrių, susijusių su paslaugų ir asmenų aptarnavimu jas teikiant, kurios teikia gyventojams tokias pačias viešąsias kultūros paslaugas, teikiamų paslaugų ir asmenų aptarnavimo kokybė.</t>
  </si>
  <si>
    <t>LT627300010152991608</t>
  </si>
  <si>
    <t>Projekto "Paslaugų teikimo ir asmenų aptarnavimo kokybės gerinimas Druskininkų savivaldybėje" tikslas -  padidinti asmenų pasitenkinimą Druskininkų savivaldybės teikiamomis paslaugomis, pagerinant savivaldybės vidinius procesus, paslaugų ir asmenų aptarnavimo kokybę. 
Siekiant užtikrinti Savivaldybės administracijos vykdomų funkcijų ir teikiamų administracinių  paslaugų kokybę, kokybišką viešųjų paslaugų administravimą, veiklos skaidrumą ir viešumą, asmenų pasitenkinimo teikiamomis paslaugomis didėjimą, į Savivaldybės administraciją besikreipiančių asmenų administracinės naštos mažinimą, o taip pat pagerinti turizmo informacijos paslaugų teikimo kokybę kurorto svečiams, projekto metu planuojama optimizuoti veiklos procesus Druskininkų savivaldybės administracijoje ir Druskininkų turizmo ir verslo informacijos centre. Siekiant tobulinti viešąsias paslaugas, efektyviau jas teikti ir taip didinti paslaugų vartotojų pasitenkinimą, svarbu pasinaudoti pažangių ir inovatyvių ES šalių savivaldos institucijų patirtimi. Veiklos metu planuojami pasidalinimo gerąja patirtimi vizitai mažiausiai į dvi pažangias Europos Sąjungos šalių savivaldybes. Planuojamos projekto veiklos:  Paslaugų ir asmenų aptarnavimo kokybės įvertinimas; Veiklos procesų optimizavimas Druskininkų savivaldybės administracijoje ir Druskininkų turizmo ir verslo informacijos centre; „Vieno langelio“ principo įgyvendinimas gerinant asmenų aptarnavimo kokybę.
Projekto nauda – optimizuoti įstaigų veiklos procesai, pagreitintas paslaugų teikimas, sumažinti procesų ir jų rezultatų svyravimai, sustiprintos darbuotojų kompetencijos, pagerinta asmenų aptarnavimo kokybė.</t>
  </si>
  <si>
    <t>LT707300010135430681</t>
  </si>
  <si>
    <t>Projektu sprendžiama esminė problema, su kuria AMSA susiduria teikdama viešąsias paslaugas: nepakankamas informacijos pateikimo aiškumas ir kokybė (tvarka, formos, laikas, būdai), nepakankama paslaugų įvairovė ir kokybė, nepakankamas problemos sprendimo (atsakymo) operatyvumas socialinės paramos, švietimo ir administracijos teikiamų paslaugų srityse. 
Projekto tikslas - Padidinti asmenų pasitenkinimą Alytaus miesto savivaldybės administracijos ir jos viešojo valdymo institucijų teikiamomis paslaugomis ir asmenų aptarnavimo kokybe.
Projekto tikslinė grupė – Alytaus miesto savivaldybės gyventojai. 
Projekto tikslui pasiekti numatomi šie uždaviniai:
1. Įvertinti ir patobulinti savivaldybės administracinių paslaugų teikimo bei organizavimo procesus.
2. Įvertinti ir patobulinti socialinių paslaugų teikimo ir organizavimo procesus.
3. Įvertinti ir patobulinti vaikų priėmimo į švietimo įstaigas organizavimo procesus.
Projekto veiklos: Savivaldybės ir jos įstaigų teikiamų paslaugų optimizavimas taikant LEAN metodus; darbuotojų kompetencijų stiprinimas; socialinių paslaugų teikimo piliečių chartijos parengimas; įrangos ir baldų įsigijimas.
Projekto rezultatas: Padidėjęs asmenų pasitenkinimas Alytaus miesto savivaldybės administracijos ir jos viešojo valdymo institucijų teikiamomis paslaugomis ir asmenų aptarnavimo kokybe.
Bendra projekto vertė - 215.693,16 Eur su PVM.</t>
  </si>
  <si>
    <t>8 315)  55 102</t>
  </si>
  <si>
    <t>LT477181200002130469</t>
  </si>
  <si>
    <t>Atrinktų projektų ataskaita</t>
  </si>
  <si>
    <t xml:space="preserve">Nurodyti filtro parametrai:   </t>
  </si>
  <si>
    <t>Projekto informacija</t>
  </si>
  <si>
    <t>Vykdytojo informacija</t>
  </si>
  <si>
    <t>Paraiškos data</t>
  </si>
  <si>
    <t>Projekto išlaidų
suma</t>
  </si>
  <si>
    <t>Finansavimas</t>
  </si>
  <si>
    <t>Projekto baigimo data</t>
  </si>
  <si>
    <t>Paraiškos
įregistravimo data</t>
  </si>
  <si>
    <t>Sutarties
įregistravimo data</t>
  </si>
  <si>
    <t>Atsakingas darbuotojas 1</t>
  </si>
  <si>
    <t>Atsakingas darbuotojas 2</t>
  </si>
  <si>
    <t>Etapas</t>
  </si>
  <si>
    <t>Būsena</t>
  </si>
  <si>
    <t>Daiva Bagdevičienė</t>
  </si>
  <si>
    <t>Daina Cicėnaitė</t>
  </si>
  <si>
    <t>Auksė Šuliauskaitė</t>
  </si>
  <si>
    <t>Živilė Petkevičienė</t>
  </si>
  <si>
    <t>Dalia Šerėnienė</t>
  </si>
  <si>
    <t>Renata Bielskienė</t>
  </si>
  <si>
    <t>Tautvydas Umbražūnas</t>
  </si>
  <si>
    <t>Renata Jasienė</t>
  </si>
  <si>
    <t>Liudmila Tichonova</t>
  </si>
  <si>
    <t>Daiva Gelumbeckienė</t>
  </si>
  <si>
    <t>Rūta Carik</t>
  </si>
  <si>
    <t>Asta Gabijūnienė</t>
  </si>
  <si>
    <t>Neringa Pukanasienė</t>
  </si>
  <si>
    <t>Renata Kačkutė</t>
  </si>
  <si>
    <t>Skaistė Nemaniūtė</t>
  </si>
  <si>
    <t>Vita Jancevičienė</t>
  </si>
  <si>
    <t>Jurga Čekanauskienė</t>
  </si>
  <si>
    <t>Indrė Grigutienė</t>
  </si>
  <si>
    <t>Loreta Balčytytė</t>
  </si>
  <si>
    <t>Inga Januševičienė</t>
  </si>
  <si>
    <t>Irma Ščerbakovienė</t>
  </si>
  <si>
    <t>Svetlana Navadunskė</t>
  </si>
  <si>
    <t>Jolita Šniokienė</t>
  </si>
  <si>
    <t>Jūratė Veličkienė</t>
  </si>
  <si>
    <t>Giedrė Šlepikienė</t>
  </si>
  <si>
    <t>Greta Kazakevičiūtė</t>
  </si>
  <si>
    <t>Aistė Nargėlienė</t>
  </si>
  <si>
    <t>Donata Liubinienė</t>
  </si>
  <si>
    <t>Rūta Cukuraitė</t>
  </si>
  <si>
    <t>Aurelija Pincevičienė</t>
  </si>
  <si>
    <t>Laura Augulytė</t>
  </si>
  <si>
    <t>Vilija Gečienė</t>
  </si>
  <si>
    <t>Raimonda Butkevičienė</t>
  </si>
  <si>
    <t>Donatas Michalkevičius</t>
  </si>
  <si>
    <t>Karolis Skeberdis</t>
  </si>
  <si>
    <t>Inga Kmitienė</t>
  </si>
  <si>
    <t>Andrius Kupetauskas</t>
  </si>
  <si>
    <t>Giedrius Uogelė</t>
  </si>
  <si>
    <t>Ligita Stanulevičiūtė</t>
  </si>
  <si>
    <t>Agnė Naruševičiūtė</t>
  </si>
  <si>
    <t>Danutė Kaluginienė</t>
  </si>
  <si>
    <t>Birutė Majauskienė</t>
  </si>
  <si>
    <t>Aistė Vasiliauskienė</t>
  </si>
  <si>
    <t>Agnė Kaulakienė</t>
  </si>
  <si>
    <t>Rimantas Gruodis</t>
  </si>
  <si>
    <t>Šarūnė Biržytė</t>
  </si>
  <si>
    <t>Eglė Stančikaitė</t>
  </si>
  <si>
    <t>Asta Aleksandravičienė</t>
  </si>
  <si>
    <t>06.2.1-TID-R-511-11-0003</t>
  </si>
  <si>
    <t>„Švenčionėlių gatvės dalies rekonstravimas Švenčionių m. Švenčionių raj. sav.“</t>
  </si>
  <si>
    <t>Nesudaryta sutartis</t>
  </si>
  <si>
    <t>Anuliuota paraiška</t>
  </si>
  <si>
    <t>188766722</t>
  </si>
  <si>
    <t>Švenčionių rajono savivaldybės administracija</t>
  </si>
  <si>
    <t>Sandra Maleronkaitė</t>
  </si>
  <si>
    <t>Ieva Dulevičienė</t>
  </si>
  <si>
    <t>10.1.3-ESFA-R-920-11-0002</t>
  </si>
  <si>
    <t>Paslaugų ir asmenų aptarnavimo kokybės gerinimas Ignalinos rajono savivaldybėje</t>
  </si>
  <si>
    <t>288768350</t>
  </si>
  <si>
    <t>Ignalinos rajono savivaldybės administracija</t>
  </si>
  <si>
    <t>04.5.1-TID-R-516-11-0003</t>
  </si>
  <si>
    <t>Lazdijų rajono savvaldybės administracija</t>
  </si>
  <si>
    <t>Monika Raudonienė</t>
  </si>
  <si>
    <t>Vilija Jakštienė</t>
  </si>
  <si>
    <t>Daiva Bazevičiūtė</t>
  </si>
  <si>
    <t>Svetlana Ofverstrom</t>
  </si>
  <si>
    <t>Atsiėmė paraišką</t>
  </si>
  <si>
    <t>Indrė Šuolienė</t>
  </si>
  <si>
    <t>Algimantas Kartočius</t>
  </si>
  <si>
    <t>Eugenija Babič</t>
  </si>
  <si>
    <t>Vaida Pilkavičienė</t>
  </si>
  <si>
    <t>10.1.3-ESFA-R-920-11-0004</t>
  </si>
  <si>
    <t>Paslaugų ir asmenų aptarnavimo kokybės gerinimas Marijampolės savivaldybėje</t>
  </si>
  <si>
    <t>188769113</t>
  </si>
  <si>
    <t>Marijampolės savivaldybės administracija</t>
  </si>
  <si>
    <t>Rita Kablienė</t>
  </si>
  <si>
    <t>Laura Namajuškienė</t>
  </si>
  <si>
    <t>06.2.1-TID-R-511-11-0005</t>
  </si>
  <si>
    <t>Dalia Justinavičiūtė</t>
  </si>
  <si>
    <t>Rasa Ramansevičiūtė</t>
  </si>
  <si>
    <t>Odeta Vaitkuvienė</t>
  </si>
  <si>
    <t>Diana Griniūtė</t>
  </si>
  <si>
    <t>Kristina Gecevičiūtė</t>
  </si>
  <si>
    <t>Laura Uždavinytė</t>
  </si>
  <si>
    <t>Daiva Jakubauskienė</t>
  </si>
  <si>
    <t>Oksana Mažeikaitė</t>
  </si>
  <si>
    <t>Kurnėnų Lauryno Radziukyno mokyklos pritaikymas kultūrinėms ir turistinėms veikloms</t>
  </si>
  <si>
    <t>Pateikta paraiška</t>
  </si>
  <si>
    <t>Jolita Lukštaitė</t>
  </si>
  <si>
    <t>Kęstutis Salickas</t>
  </si>
  <si>
    <t>Dalia Martusevičienė</t>
  </si>
  <si>
    <t>Milda Jačionytė</t>
  </si>
  <si>
    <t>Asta Druskienė</t>
  </si>
  <si>
    <t>Albertas Šarkovskis</t>
  </si>
  <si>
    <t>Jurgita Jurkynienė</t>
  </si>
  <si>
    <t>Dalia Širvinskė</t>
  </si>
  <si>
    <t>05.4.1-CPVA-R-302-11-0006</t>
  </si>
  <si>
    <t>Pranciška Gudžinskaitė</t>
  </si>
  <si>
    <t>Aušra Briedienė</t>
  </si>
  <si>
    <t>Algirdas Augulis</t>
  </si>
  <si>
    <t>Rožytė Valiulienė</t>
  </si>
  <si>
    <t>08.6.1-ESFA-V-911-11-0007</t>
  </si>
  <si>
    <t>Žinau!</t>
  </si>
  <si>
    <t>Alina Lupeikienė</t>
  </si>
  <si>
    <t>Jolanta Baniulienė</t>
  </si>
  <si>
    <t>Živilė Naujokienė</t>
  </si>
  <si>
    <t>Indrė Beliūnė</t>
  </si>
  <si>
    <t>Vaidas Šablinskas</t>
  </si>
  <si>
    <t>Vilma Andrikonienė</t>
  </si>
  <si>
    <t>Vilma Liubartienė</t>
  </si>
  <si>
    <t>Justina Kaušylaitė</t>
  </si>
  <si>
    <t>Alicija Gasperovičienė</t>
  </si>
  <si>
    <t>Arnas Arlauskas</t>
  </si>
  <si>
    <t>Vaida Adamkevičiūtė</t>
  </si>
  <si>
    <t>Saugaus eismo priemonių diegimas Alytaus mieste</t>
  </si>
  <si>
    <t>Patvirtinta paraiška</t>
  </si>
  <si>
    <t>Jurgita Vitė</t>
  </si>
  <si>
    <t>Ekologiškų transporto priemonių įsigijimas Lazdijų rajono savivaldybėje</t>
  </si>
  <si>
    <t>Eologiškų transporto priemonių įsigijimas Druskininkų savivaldybėje</t>
  </si>
  <si>
    <t>Ieva Ivickienė</t>
  </si>
  <si>
    <t>05.4.1-CPVA-R-302-11-0007</t>
  </si>
  <si>
    <t>I. S. Kavaliauskienės įmonės teikiamų pirminės ambulatorinės asmens sveikatos priežiūros paslaugų kokybės ir prieinamumo gerinimas</t>
  </si>
  <si>
    <t>152149612</t>
  </si>
  <si>
    <t>Irenos Stanislavos Kavaliauskienės įmonė</t>
  </si>
  <si>
    <t>Ieva Jociūtė</t>
  </si>
  <si>
    <t>07.1.1-CPVA-R-905-11-0005</t>
  </si>
  <si>
    <t>Nenaudojamų teritorijų Varėnos mieste sutvarkymas ir pritaikymas verslui</t>
  </si>
  <si>
    <t>Mantas Miliauskas</t>
  </si>
  <si>
    <t>08.1.3-CPVA-R-609-11-0002</t>
  </si>
  <si>
    <t>Alytaus poliklinikos teikiamų pirminės sveikatos priežiūros paslaugų prieinamumo didinimas ir kokybės gerinimas</t>
  </si>
  <si>
    <t>190272218</t>
  </si>
  <si>
    <t>VšĮ Alytaus poliklinika</t>
  </si>
  <si>
    <t>Rita Matonienė</t>
  </si>
  <si>
    <t>08.1.3-CPVA-R-609-11-0003</t>
  </si>
  <si>
    <t>302560470</t>
  </si>
  <si>
    <t>UAB "MediCA klinika"</t>
  </si>
  <si>
    <t>Eglė Platūkytė</t>
  </si>
  <si>
    <t>07.1.1-CPVA-R-905-11-0006</t>
  </si>
  <si>
    <t>Teritorijų prie daugiabučių gyvenamųjų pastatų Varėnos mieste sutvarkymas ir pritaikymas visuomenės poreikiams</t>
  </si>
  <si>
    <t>08.1.3-CPVA-R-609-11-0004</t>
  </si>
  <si>
    <t>150066452</t>
  </si>
  <si>
    <t>VšĮ Alytaus miesto savivaldybės pirminės sveikatos priežiūros centras</t>
  </si>
  <si>
    <t>08.1.3-CPVA-R-609-11-0005</t>
  </si>
  <si>
    <t>170792371</t>
  </si>
  <si>
    <t>UAB „Pagalba ligoniui“</t>
  </si>
  <si>
    <t xml:space="preserve">„Kaimo gyvenamųjų vietovių atnaujinimas“ </t>
  </si>
  <si>
    <t>PARAMA INVESTICIJOMS Į VISŲ RŪŠIŲ MAŽOS APIMTIES INFRASTRUKTŪRĄ</t>
  </si>
  <si>
    <t xml:space="preserve"> „Miestų kompleksinė plėtra“ </t>
  </si>
  <si>
    <t xml:space="preserve">„Pereinamojo laikotarpio tikslinių teritorijų vystymas. II“ </t>
  </si>
  <si>
    <t>„Vietinio susisiekimo viešojo transporto priemonių parko atnaujinimas“</t>
  </si>
  <si>
    <t>„Darnaus judumo priemonių diegimas“</t>
  </si>
  <si>
    <t xml:space="preserve">„Pėsčiųjų ir dviračių takų rekonstrukcija ir plėtra“ </t>
  </si>
  <si>
    <t>„Vietinių kelių vystymas“</t>
  </si>
  <si>
    <t xml:space="preserve">„Neformaliojo švietimo infrastruktūros tobulinimas“ </t>
  </si>
  <si>
    <t>Pirminės asmens sveikatos priežiūros veiklos efektyvumo didinimas</t>
  </si>
  <si>
    <t>Sutartyje nustatyta projekto veiklų įgyvendinimo pradžia</t>
  </si>
  <si>
    <t>Parama plane</t>
  </si>
  <si>
    <t>Parama sutartis</t>
  </si>
  <si>
    <t>ES sutartis</t>
  </si>
  <si>
    <t>VB sutartis</t>
  </si>
  <si>
    <t>SB sutartis minimalus</t>
  </si>
  <si>
    <t>RPP ES lėšų  skirtumas nuo skirtų, Eur</t>
  </si>
  <si>
    <t xml:space="preserve"> RPP numatoma projekto veiklų įgyvendinimo pabaiga</t>
  </si>
  <si>
    <t>Sutartyje nustatyta sutarties pasirašymo data</t>
  </si>
  <si>
    <t>RPS ES lėšų  skirtumas nuo sutarčių , Eur</t>
  </si>
  <si>
    <t>Finansavimo intensyvumas (sutarties ES dalis), (%)</t>
  </si>
  <si>
    <t>Projekto RPS ES lėšų  skirtumas nuo sutarties , Eur</t>
  </si>
  <si>
    <t>Projekto ES lėšų suma RPS, Eur</t>
  </si>
  <si>
    <t xml:space="preserve">Projekto sutartyje numatytos ES lėšos </t>
  </si>
  <si>
    <t>Apmokėta / grąžinta skirto finansavimo iš ES fondo lėšų suma (RPP ketv)</t>
  </si>
  <si>
    <t>skirtumas (sutartis-planas) sutartis (III)</t>
  </si>
  <si>
    <t>skirtumas (sutartis-planas) sutartis (II)</t>
  </si>
  <si>
    <t>skirtumas (sutartis-planas) sutartis (IV)</t>
  </si>
  <si>
    <t>skirtumas (sutartis-planas) sutartis (VI)</t>
  </si>
  <si>
    <t>(Alytaus regiono plėtros tarybos 2018 m. lapkričio   d. sprendimo Nr. 51/6S–  redakcija)</t>
  </si>
  <si>
    <t xml:space="preserve">Parengė: 
Vidas Raštikis
2018-11-12
</t>
  </si>
  <si>
    <t>(Alytaus regiono plėtros tarybos 2018 m. lapkričio 21 d. sprendimo Nr. 51/6S-41 redakcija)</t>
  </si>
  <si>
    <t>2015 m. spalio 26 d. sprendimu Nr. 51/6S-34</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</si>
</sst>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0"/>
    <numFmt numFmtId="165" formatCode="yyyy/mm/dd;@"/>
    <numFmt numFmtId="166" formatCode="yyyy/mm"/>
    <numFmt numFmtId="167" formatCode="0.0"/>
    <numFmt numFmtId="168" formatCode="yyyy"/>
    <numFmt numFmtId="169" formatCode="[$-10427]#,##0.00"/>
    <numFmt numFmtId="170" formatCode="#,##0.0000"/>
    <numFmt numFmtId="171" formatCode="[$-10427]yyyy\-mm\-dd"/>
    <numFmt numFmtId="172" formatCode="yyyy&quot;-&quot;mm&quot;-&quot;dd"/>
    <numFmt numFmtId="173" formatCode="[$-10409]#,##0.00"/>
    <numFmt numFmtId="174" formatCode="[$-10409]yyyy\-mm\-dd"/>
  </numFmts>
  <fonts count="115" x14ac:knownFonts="1">
    <font>
      <sz val="11"/>
      <color theme="1"/>
      <name val="Calibri"/>
      <family val="2"/>
      <charset val="186"/>
      <scheme val="minor"/>
    </font>
    <font>
      <sz val="9"/>
      <name val="Times New Roman"/>
      <family val="1"/>
    </font>
    <font>
      <sz val="10"/>
      <name val="Times New Roman"/>
      <family val="1"/>
    </font>
    <font>
      <sz val="11"/>
      <color rgb="FF00B050"/>
      <name val="Calibri"/>
      <family val="2"/>
      <charset val="186"/>
      <scheme val="minor"/>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color rgb="FF00B050"/>
      <name val="Times New Roman"/>
      <family val="1"/>
      <charset val="186"/>
    </font>
    <font>
      <sz val="12"/>
      <name val="Calibri"/>
      <family val="2"/>
      <scheme val="minor"/>
    </font>
    <font>
      <u/>
      <sz val="12"/>
      <name val="Times New Roman"/>
      <family val="1"/>
      <charset val="186"/>
    </font>
    <font>
      <i/>
      <sz val="12"/>
      <name val="Times New Roman"/>
      <family val="1"/>
      <charset val="186"/>
    </font>
    <font>
      <sz val="9"/>
      <color rgb="FFFF0000"/>
      <name val="Times New Roman"/>
      <family val="1"/>
    </font>
    <font>
      <b/>
      <sz val="12"/>
      <color rgb="FF00B050"/>
      <name val="Times New Roman"/>
      <family val="1"/>
      <charset val="186"/>
    </font>
    <font>
      <b/>
      <sz val="11"/>
      <color rgb="FF00B050"/>
      <name val="Times New Roman"/>
      <family val="1"/>
    </font>
    <font>
      <b/>
      <sz val="12"/>
      <color rgb="FF00B050"/>
      <name val="Times New Roman"/>
      <family val="1"/>
    </font>
    <font>
      <b/>
      <i/>
      <sz val="12"/>
      <color theme="1"/>
      <name val="Times New Roman"/>
      <family val="1"/>
      <charset val="186"/>
    </font>
    <font>
      <sz val="10"/>
      <color rgb="FFFF0000"/>
      <name val="Times New Roman"/>
      <family val="1"/>
    </font>
    <font>
      <sz val="7"/>
      <color rgb="FFFF0000"/>
      <name val="Times New Roman"/>
      <family val="1"/>
    </font>
    <font>
      <b/>
      <sz val="10"/>
      <color rgb="FFFF0000"/>
      <name val="Times New Roman"/>
      <family val="1"/>
    </font>
    <font>
      <sz val="8"/>
      <color rgb="FFFF0000"/>
      <name val="Times New Roman"/>
      <family val="1"/>
    </font>
    <font>
      <sz val="8"/>
      <color rgb="FFFF0000"/>
      <name val="Times New Roman"/>
      <family val="1"/>
      <charset val="186"/>
    </font>
    <font>
      <sz val="8"/>
      <color rgb="FF00B050"/>
      <name val="Times New Roman"/>
      <family val="1"/>
    </font>
    <font>
      <sz val="8"/>
      <color rgb="FF00B050"/>
      <name val="Times New Roman"/>
      <family val="1"/>
      <charset val="186"/>
    </font>
    <font>
      <sz val="11"/>
      <color rgb="FF000000"/>
      <name val="Calibri"/>
      <family val="2"/>
      <scheme val="minor"/>
    </font>
    <font>
      <b/>
      <sz val="9"/>
      <color rgb="FF000000"/>
      <name val="Times New Roman"/>
      <family val="1"/>
      <charset val="186"/>
    </font>
    <font>
      <sz val="9"/>
      <color rgb="FF000000"/>
      <name val="Times New Roman"/>
      <family val="1"/>
      <charset val="186"/>
    </font>
    <font>
      <b/>
      <sz val="14"/>
      <color indexed="9"/>
      <name val="Arial"/>
      <family val="2"/>
      <charset val="186"/>
    </font>
    <font>
      <b/>
      <sz val="10"/>
      <color indexed="9"/>
      <name val="Arial"/>
      <family val="2"/>
      <charset val="186"/>
    </font>
    <font>
      <b/>
      <sz val="10"/>
      <color indexed="8"/>
      <name val="Arial"/>
      <family val="2"/>
      <charset val="186"/>
    </font>
    <font>
      <b/>
      <sz val="8"/>
      <color indexed="9"/>
      <name val="Arial"/>
      <family val="2"/>
      <charset val="186"/>
    </font>
    <font>
      <b/>
      <sz val="8"/>
      <color indexed="8"/>
      <name val="Arial"/>
      <family val="2"/>
      <charset val="186"/>
    </font>
    <font>
      <sz val="8"/>
      <color indexed="8"/>
      <name val="Arial"/>
      <family val="2"/>
      <charset val="186"/>
    </font>
    <font>
      <b/>
      <sz val="8"/>
      <name val="Arial"/>
      <family val="2"/>
      <charset val="186"/>
    </font>
    <font>
      <sz val="10"/>
      <color indexed="8"/>
      <name val="Arial"/>
      <family val="2"/>
      <charset val="186"/>
    </font>
    <font>
      <b/>
      <sz val="14"/>
      <name val="Arial"/>
      <family val="2"/>
      <charset val="186"/>
    </font>
    <font>
      <sz val="14"/>
      <name val="Calibri"/>
      <family val="2"/>
      <charset val="186"/>
      <scheme val="minor"/>
    </font>
    <font>
      <b/>
      <sz val="9"/>
      <color indexed="9"/>
      <name val="Arial"/>
      <family val="2"/>
      <charset val="186"/>
    </font>
    <font>
      <sz val="11"/>
      <color rgb="FFFF0000"/>
      <name val="Calibri"/>
      <family val="2"/>
      <charset val="186"/>
      <scheme val="minor"/>
    </font>
    <font>
      <b/>
      <sz val="14"/>
      <color rgb="FF00B050"/>
      <name val="Times New Roman"/>
      <family val="1"/>
    </font>
    <font>
      <b/>
      <sz val="14"/>
      <color rgb="FF00B050"/>
      <name val="Times New Roman"/>
      <family val="1"/>
      <charset val="186"/>
    </font>
    <font>
      <sz val="12"/>
      <color rgb="FFFF0000"/>
      <name val="Times New Roman"/>
      <family val="1"/>
      <charset val="186"/>
    </font>
  </fonts>
  <fills count="35">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D3D3D3"/>
        <bgColor rgb="FFD3D3D3"/>
      </patternFill>
    </fill>
    <fill>
      <patternFill patternType="solid">
        <fgColor indexed="10"/>
        <bgColor indexed="0"/>
      </patternFill>
    </fill>
    <fill>
      <patternFill patternType="solid">
        <fgColor theme="0" tint="-0.14999847407452621"/>
        <bgColor indexed="0"/>
      </patternFill>
    </fill>
    <fill>
      <patternFill patternType="solid">
        <fgColor indexed="11"/>
        <bgColor indexed="0"/>
      </patternFill>
    </fill>
    <fill>
      <patternFill patternType="solid">
        <fgColor rgb="FFFFFF00"/>
        <bgColor indexed="0"/>
      </patternFill>
    </fill>
    <fill>
      <patternFill patternType="solid">
        <fgColor rgb="FFFF3300"/>
        <bgColor indexed="0"/>
      </patternFill>
    </fill>
    <fill>
      <patternFill patternType="solid">
        <fgColor rgb="FFFF3300"/>
        <bgColor indexed="64"/>
      </patternFill>
    </fill>
    <fill>
      <patternFill patternType="solid">
        <fgColor theme="8" tint="0.39997558519241921"/>
        <bgColor indexed="0"/>
      </patternFill>
    </fill>
    <fill>
      <patternFill patternType="solid">
        <fgColor theme="8" tint="0.39997558519241921"/>
        <bgColor indexed="64"/>
      </patternFill>
    </fill>
    <fill>
      <patternFill patternType="solid">
        <fgColor theme="8" tint="0.59999389629810485"/>
        <bgColor indexed="0"/>
      </patternFill>
    </fill>
    <fill>
      <patternFill patternType="solid">
        <fgColor theme="8" tint="0.59999389629810485"/>
        <bgColor indexed="64"/>
      </patternFill>
    </fill>
    <fill>
      <patternFill patternType="solid">
        <fgColor theme="0" tint="-4.9989318521683403E-2"/>
        <bgColor indexed="0"/>
      </patternFill>
    </fill>
  </fills>
  <borders count="192">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thick">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64"/>
      </left>
      <right style="thin">
        <color indexed="8"/>
      </right>
      <top/>
      <bottom/>
      <diagonal/>
    </border>
    <border>
      <left/>
      <right/>
      <top/>
      <bottom style="thin">
        <color indexed="8"/>
      </bottom>
      <diagonal/>
    </border>
    <border>
      <left style="thin">
        <color indexed="8"/>
      </left>
      <right style="thin">
        <color indexed="8"/>
      </right>
      <top style="thin">
        <color indexed="64"/>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bottom style="thin">
        <color indexed="8"/>
      </bottom>
      <diagonal/>
    </border>
    <border>
      <left style="medium">
        <color indexed="64"/>
      </left>
      <right style="thin">
        <color indexed="8"/>
      </right>
      <top style="medium">
        <color indexed="64"/>
      </top>
      <bottom style="medium">
        <color indexed="64"/>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thin">
        <color indexed="8"/>
      </left>
      <right style="medium">
        <color indexed="64"/>
      </right>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medium">
        <color indexed="64"/>
      </top>
      <bottom/>
      <diagonal/>
    </border>
    <border>
      <left style="thin">
        <color indexed="8"/>
      </left>
      <right style="thin">
        <color indexed="8"/>
      </right>
      <top style="thin">
        <color indexed="8"/>
      </top>
      <bottom style="thin">
        <color indexed="10"/>
      </bottom>
      <diagonal/>
    </border>
    <border>
      <left style="thin">
        <color indexed="8"/>
      </left>
      <right style="thin">
        <color indexed="8"/>
      </right>
      <top/>
      <bottom style="thin">
        <color indexed="10"/>
      </bottom>
      <diagonal/>
    </border>
    <border>
      <left/>
      <right style="thin">
        <color indexed="8"/>
      </right>
      <top style="thin">
        <color indexed="8"/>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10"/>
      </right>
      <top style="thin">
        <color indexed="10"/>
      </top>
      <bottom style="thin">
        <color indexed="10"/>
      </bottom>
      <diagonal/>
    </border>
    <border>
      <left style="thin">
        <color indexed="8"/>
      </left>
      <right style="thin">
        <color indexed="10"/>
      </right>
      <top style="thin">
        <color indexed="8"/>
      </top>
      <bottom style="thin">
        <color indexed="8"/>
      </bottom>
      <diagonal/>
    </border>
    <border>
      <left/>
      <right style="thin">
        <color indexed="10"/>
      </right>
      <top style="thin">
        <color indexed="8"/>
      </top>
      <bottom style="thin">
        <color indexed="8"/>
      </bottom>
      <diagonal/>
    </border>
    <border>
      <left style="thin">
        <color indexed="8"/>
      </left>
      <right style="thin">
        <color indexed="8"/>
      </right>
      <top style="thin">
        <color indexed="10"/>
      </top>
      <bottom style="thin">
        <color indexed="8"/>
      </bottom>
      <diagonal/>
    </border>
    <border>
      <left/>
      <right style="thin">
        <color indexed="8"/>
      </right>
      <top style="thin">
        <color indexed="10"/>
      </top>
      <bottom style="thin">
        <color indexed="8"/>
      </bottom>
      <diagonal/>
    </border>
    <border>
      <left style="thin">
        <color indexed="8"/>
      </left>
      <right style="thin">
        <color indexed="10"/>
      </right>
      <top style="thin">
        <color indexed="8"/>
      </top>
      <bottom style="thin">
        <color indexed="10"/>
      </bottom>
      <diagonal/>
    </border>
    <border>
      <left style="thin">
        <color indexed="8"/>
      </left>
      <right style="thin">
        <color indexed="10"/>
      </right>
      <top/>
      <bottom style="thin">
        <color indexed="10"/>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3">
    <xf numFmtId="0" fontId="0" fillId="0" borderId="0"/>
    <xf numFmtId="0" fontId="23" fillId="0" borderId="0"/>
    <xf numFmtId="0" fontId="97" fillId="0" borderId="0"/>
  </cellStyleXfs>
  <cellXfs count="2225">
    <xf numFmtId="0" fontId="0" fillId="0" borderId="0" xfId="0"/>
    <xf numFmtId="0" fontId="0" fillId="0" borderId="0" xfId="0" applyFill="1"/>
    <xf numFmtId="0" fontId="1" fillId="0" borderId="15" xfId="0" applyFont="1" applyBorder="1" applyAlignment="1">
      <alignment horizontal="center" vertical="center" wrapText="1"/>
    </xf>
    <xf numFmtId="3" fontId="2" fillId="0" borderId="6" xfId="0" applyNumberFormat="1" applyFont="1" applyBorder="1" applyAlignment="1">
      <alignment horizontal="center" vertical="center" wrapText="1"/>
    </xf>
    <xf numFmtId="4" fontId="1" fillId="12" borderId="7" xfId="0" applyNumberFormat="1" applyFont="1" applyFill="1" applyBorder="1" applyAlignment="1">
      <alignment horizontal="center" vertical="center" wrapText="1"/>
    </xf>
    <xf numFmtId="3" fontId="0" fillId="0" borderId="0" xfId="0" applyNumberFormat="1"/>
    <xf numFmtId="3" fontId="1" fillId="0" borderId="19" xfId="0" applyNumberFormat="1" applyFont="1" applyBorder="1" applyAlignment="1">
      <alignment horizontal="center" vertical="center" wrapText="1"/>
    </xf>
    <xf numFmtId="0" fontId="1" fillId="0" borderId="5" xfId="0" applyFont="1" applyBorder="1" applyAlignment="1">
      <alignment vertical="top" wrapText="1"/>
    </xf>
    <xf numFmtId="0" fontId="1" fillId="0" borderId="15" xfId="0" applyFont="1" applyBorder="1" applyAlignment="1">
      <alignment vertical="top" wrapText="1"/>
    </xf>
    <xf numFmtId="0" fontId="1" fillId="0" borderId="19" xfId="0" applyFont="1" applyBorder="1" applyAlignment="1">
      <alignment vertical="top" wrapText="1"/>
    </xf>
    <xf numFmtId="0" fontId="1" fillId="0" borderId="27" xfId="0" applyFont="1" applyBorder="1" applyAlignment="1">
      <alignment vertical="top" wrapText="1"/>
    </xf>
    <xf numFmtId="0" fontId="2" fillId="0" borderId="6" xfId="0" applyFont="1" applyBorder="1" applyAlignment="1">
      <alignment horizontal="center" vertical="center" wrapText="1"/>
    </xf>
    <xf numFmtId="0" fontId="1" fillId="0" borderId="19" xfId="0" applyFont="1" applyBorder="1" applyAlignment="1">
      <alignment horizontal="center" vertical="center" wrapText="1"/>
    </xf>
    <xf numFmtId="3" fontId="1" fillId="0" borderId="15" xfId="0" applyNumberFormat="1" applyFont="1" applyBorder="1" applyAlignment="1">
      <alignment horizontal="center" vertical="center" wrapText="1"/>
    </xf>
    <xf numFmtId="0" fontId="1" fillId="0" borderId="6" xfId="0" applyFont="1" applyBorder="1" applyAlignment="1">
      <alignment vertical="top" wrapText="1"/>
    </xf>
    <xf numFmtId="0" fontId="1" fillId="0" borderId="6" xfId="0" applyFont="1" applyBorder="1" applyAlignment="1">
      <alignment horizontal="center" vertical="center" wrapText="1"/>
    </xf>
    <xf numFmtId="0" fontId="2" fillId="0" borderId="6" xfId="0" applyFont="1" applyBorder="1" applyAlignment="1">
      <alignment vertical="top" wrapText="1"/>
    </xf>
    <xf numFmtId="3" fontId="1" fillId="0" borderId="6" xfId="0" applyNumberFormat="1" applyFont="1" applyBorder="1" applyAlignment="1">
      <alignment horizontal="center" vertical="center" wrapText="1"/>
    </xf>
    <xf numFmtId="0" fontId="1" fillId="0" borderId="19" xfId="0" applyFont="1" applyFill="1" applyBorder="1" applyAlignment="1">
      <alignment vertical="top" wrapText="1"/>
    </xf>
    <xf numFmtId="0" fontId="2" fillId="0" borderId="5" xfId="0" applyFont="1" applyBorder="1" applyAlignment="1">
      <alignment vertical="top" wrapText="1"/>
    </xf>
    <xf numFmtId="3" fontId="1" fillId="0" borderId="15" xfId="0" applyNumberFormat="1" applyFont="1" applyFill="1" applyBorder="1" applyAlignment="1">
      <alignment horizontal="center" vertical="center" wrapText="1"/>
    </xf>
    <xf numFmtId="0" fontId="2" fillId="0" borderId="19" xfId="0" applyFont="1" applyBorder="1" applyAlignment="1">
      <alignment vertical="top" wrapText="1"/>
    </xf>
    <xf numFmtId="0" fontId="2" fillId="0" borderId="19" xfId="0" applyFont="1" applyFill="1" applyBorder="1" applyAlignment="1">
      <alignment vertical="top" wrapText="1"/>
    </xf>
    <xf numFmtId="0" fontId="8" fillId="0" borderId="34" xfId="0" applyFont="1" applyBorder="1"/>
    <xf numFmtId="1" fontId="7" fillId="0" borderId="15" xfId="0" applyNumberFormat="1" applyFont="1" applyBorder="1" applyAlignment="1">
      <alignment horizontal="center" wrapText="1"/>
    </xf>
    <xf numFmtId="0" fontId="8" fillId="0" borderId="0" xfId="0" applyFont="1"/>
    <xf numFmtId="0" fontId="9" fillId="0" borderId="0" xfId="0" applyFont="1"/>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0" fillId="0" borderId="6" xfId="0" applyFont="1" applyBorder="1" applyAlignment="1">
      <alignment horizontal="center" vertical="top" wrapText="1"/>
    </xf>
    <xf numFmtId="0" fontId="4" fillId="0" borderId="7" xfId="0" applyFon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6" xfId="0"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0" borderId="18"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23"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4" fontId="1" fillId="0" borderId="29" xfId="0" applyNumberFormat="1" applyFont="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0" fontId="11" fillId="0" borderId="22" xfId="0" applyFont="1" applyBorder="1" applyAlignment="1">
      <alignment vertical="top" wrapText="1"/>
    </xf>
    <xf numFmtId="0" fontId="11" fillId="0" borderId="9" xfId="0" applyFont="1" applyBorder="1" applyAlignment="1">
      <alignment vertical="top" wrapText="1"/>
    </xf>
    <xf numFmtId="0" fontId="11" fillId="0" borderId="9" xfId="0" applyFont="1" applyBorder="1" applyAlignment="1">
      <alignment horizontal="center" vertical="center" wrapText="1"/>
    </xf>
    <xf numFmtId="3" fontId="11" fillId="0" borderId="9"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0" fontId="5" fillId="0" borderId="0" xfId="0" applyFont="1"/>
    <xf numFmtId="0" fontId="2" fillId="0" borderId="7" xfId="0" applyFont="1" applyBorder="1" applyAlignment="1">
      <alignment vertical="top" wrapText="1"/>
    </xf>
    <xf numFmtId="4" fontId="1" fillId="0" borderId="19" xfId="0" applyNumberFormat="1" applyFont="1" applyBorder="1" applyAlignment="1">
      <alignment horizontal="center" vertical="center" wrapText="1"/>
    </xf>
    <xf numFmtId="4" fontId="1" fillId="0" borderId="7" xfId="0" applyNumberFormat="1" applyFont="1" applyFill="1" applyBorder="1" applyAlignment="1">
      <alignment horizontal="center" vertical="center" wrapText="1"/>
    </xf>
    <xf numFmtId="0" fontId="5" fillId="0" borderId="0" xfId="0" applyFont="1" applyFill="1"/>
    <xf numFmtId="0" fontId="1" fillId="0" borderId="7" xfId="0" applyFont="1" applyBorder="1" applyAlignment="1">
      <alignment vertical="top" wrapText="1"/>
    </xf>
    <xf numFmtId="0" fontId="1" fillId="0" borderId="5" xfId="0" applyFont="1" applyFill="1" applyBorder="1" applyAlignment="1">
      <alignment vertical="top" wrapText="1"/>
    </xf>
    <xf numFmtId="0" fontId="2" fillId="0" borderId="22"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wrapText="1"/>
    </xf>
    <xf numFmtId="0" fontId="1" fillId="0" borderId="10" xfId="0" applyFont="1" applyBorder="1" applyAlignment="1">
      <alignment vertical="top" wrapText="1"/>
    </xf>
    <xf numFmtId="4" fontId="5" fillId="0" borderId="0" xfId="0" applyNumberFormat="1" applyFont="1"/>
    <xf numFmtId="4" fontId="4" fillId="0" borderId="23"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5" fillId="0" borderId="15" xfId="0" applyFont="1" applyBorder="1" applyAlignment="1">
      <alignment vertical="top" wrapText="1"/>
    </xf>
    <xf numFmtId="3" fontId="2" fillId="0" borderId="9" xfId="0" applyNumberFormat="1" applyFont="1" applyBorder="1" applyAlignment="1">
      <alignment horizontal="center" vertical="center" wrapText="1"/>
    </xf>
    <xf numFmtId="3" fontId="8" fillId="0" borderId="0" xfId="0" applyNumberFormat="1" applyFont="1"/>
    <xf numFmtId="3" fontId="5" fillId="0" borderId="0" xfId="0" applyNumberFormat="1" applyFont="1"/>
    <xf numFmtId="3" fontId="17" fillId="10" borderId="6" xfId="0" applyNumberFormat="1" applyFont="1" applyFill="1" applyBorder="1" applyAlignment="1">
      <alignment horizontal="center" vertical="center" wrapText="1"/>
    </xf>
    <xf numFmtId="3" fontId="7" fillId="0" borderId="6" xfId="0" applyNumberFormat="1" applyFont="1" applyBorder="1" applyAlignment="1">
      <alignment horizontal="center" wrapText="1"/>
    </xf>
    <xf numFmtId="3" fontId="20" fillId="0" borderId="27"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3" fontId="7" fillId="0" borderId="6" xfId="0" applyNumberFormat="1" applyFont="1" applyFill="1" applyBorder="1" applyAlignment="1">
      <alignment horizontal="center" vertical="center" wrapText="1"/>
    </xf>
    <xf numFmtId="0" fontId="20" fillId="0" borderId="19" xfId="0" applyFont="1" applyBorder="1" applyAlignment="1">
      <alignment horizontal="center" vertical="center" wrapText="1"/>
    </xf>
    <xf numFmtId="0" fontId="16" fillId="0" borderId="27" xfId="0" applyFont="1" applyBorder="1" applyAlignment="1">
      <alignment vertical="center" wrapText="1"/>
    </xf>
    <xf numFmtId="3" fontId="20" fillId="5" borderId="27" xfId="0" applyNumberFormat="1" applyFont="1" applyFill="1" applyBorder="1" applyAlignment="1">
      <alignment horizontal="center" vertical="center" wrapText="1"/>
    </xf>
    <xf numFmtId="3" fontId="21"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3" fontId="20" fillId="12" borderId="27" xfId="0" applyNumberFormat="1" applyFont="1" applyFill="1" applyBorder="1" applyAlignment="1">
      <alignment horizontal="center" vertical="center" wrapText="1"/>
    </xf>
    <xf numFmtId="2" fontId="0" fillId="0" borderId="0" xfId="0" applyNumberFormat="1"/>
    <xf numFmtId="3" fontId="20" fillId="5" borderId="19" xfId="0" applyNumberFormat="1" applyFont="1" applyFill="1" applyBorder="1" applyAlignment="1">
      <alignment horizontal="center" vertical="center" wrapText="1"/>
    </xf>
    <xf numFmtId="3" fontId="7" fillId="0" borderId="6" xfId="0" applyNumberFormat="1" applyFont="1" applyBorder="1" applyAlignment="1">
      <alignment horizontal="center"/>
    </xf>
    <xf numFmtId="3" fontId="7" fillId="0" borderId="6" xfId="0" applyNumberFormat="1" applyFont="1" applyBorder="1" applyAlignment="1">
      <alignment horizontal="center" vertical="center" wrapText="1"/>
    </xf>
    <xf numFmtId="0" fontId="15" fillId="0" borderId="19" xfId="0" applyFont="1" applyBorder="1" applyAlignment="1">
      <alignment vertical="top" wrapText="1"/>
    </xf>
    <xf numFmtId="0" fontId="15" fillId="0" borderId="15" xfId="0" applyFont="1" applyBorder="1" applyAlignment="1">
      <alignment vertical="top" wrapText="1"/>
    </xf>
    <xf numFmtId="0" fontId="15" fillId="0" borderId="19" xfId="0" applyFont="1" applyBorder="1" applyAlignment="1">
      <alignment horizontal="center" vertical="center" wrapText="1"/>
    </xf>
    <xf numFmtId="3" fontId="15"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24" fillId="5" borderId="6" xfId="0"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13" fillId="0" borderId="41" xfId="0" applyFont="1" applyBorder="1" applyAlignment="1">
      <alignment horizontal="center" vertical="center" wrapText="1"/>
    </xf>
    <xf numFmtId="3" fontId="22" fillId="0" borderId="6" xfId="0" applyNumberFormat="1" applyFont="1" applyFill="1" applyBorder="1" applyAlignment="1">
      <alignment horizontal="center" vertical="center" wrapText="1"/>
    </xf>
    <xf numFmtId="0" fontId="26" fillId="0" borderId="0" xfId="0" applyFont="1" applyFill="1" applyAlignment="1">
      <alignment horizontal="center" vertical="center"/>
    </xf>
    <xf numFmtId="3" fontId="26" fillId="0" borderId="0" xfId="0" applyNumberFormat="1" applyFont="1" applyFill="1" applyAlignment="1">
      <alignment horizontal="center" vertical="center"/>
    </xf>
    <xf numFmtId="164" fontId="26" fillId="0" borderId="0" xfId="0" applyNumberFormat="1" applyFont="1" applyFill="1" applyAlignment="1">
      <alignment horizontal="center" vertical="center"/>
    </xf>
    <xf numFmtId="0" fontId="20" fillId="0" borderId="0" xfId="0" applyFont="1"/>
    <xf numFmtId="0" fontId="28" fillId="0" borderId="10" xfId="0"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10" xfId="0" applyFont="1" applyFill="1" applyBorder="1" applyAlignment="1">
      <alignment horizontal="center" vertical="center" wrapText="1"/>
    </xf>
    <xf numFmtId="3" fontId="28" fillId="0" borderId="10" xfId="0" applyNumberFormat="1" applyFont="1" applyFill="1" applyBorder="1" applyAlignment="1">
      <alignment horizontal="center" vertical="center" wrapText="1"/>
    </xf>
    <xf numFmtId="0" fontId="28" fillId="0" borderId="10" xfId="0" applyFont="1" applyFill="1" applyBorder="1" applyAlignment="1">
      <alignment horizontal="left" vertical="center" wrapText="1"/>
    </xf>
    <xf numFmtId="0" fontId="28" fillId="0" borderId="10" xfId="0" applyFont="1" applyFill="1" applyBorder="1" applyAlignment="1">
      <alignment horizontal="justify" vertical="center" wrapText="1"/>
    </xf>
    <xf numFmtId="3" fontId="7" fillId="8" borderId="6" xfId="0" applyNumberFormat="1" applyFont="1" applyFill="1" applyBorder="1" applyAlignment="1">
      <alignment horizontal="center" wrapText="1"/>
    </xf>
    <xf numFmtId="3" fontId="7" fillId="8" borderId="7" xfId="0" applyNumberFormat="1" applyFont="1" applyFill="1" applyBorder="1" applyAlignment="1">
      <alignment horizontal="center"/>
    </xf>
    <xf numFmtId="3" fontId="7" fillId="0" borderId="7" xfId="0" applyNumberFormat="1" applyFont="1" applyFill="1" applyBorder="1" applyAlignment="1">
      <alignment horizontal="center"/>
    </xf>
    <xf numFmtId="3" fontId="7" fillId="0" borderId="7" xfId="0" applyNumberFormat="1" applyFont="1" applyBorder="1" applyAlignment="1">
      <alignment horizontal="center"/>
    </xf>
    <xf numFmtId="3" fontId="10" fillId="3" borderId="7" xfId="0" applyNumberFormat="1" applyFont="1" applyFill="1" applyBorder="1" applyAlignment="1">
      <alignment horizontal="center"/>
    </xf>
    <xf numFmtId="0" fontId="2" fillId="0" borderId="15" xfId="0" applyFont="1" applyFill="1" applyBorder="1" applyAlignment="1">
      <alignment vertical="top" wrapText="1"/>
    </xf>
    <xf numFmtId="0" fontId="8" fillId="0" borderId="0" xfId="0" applyFont="1" applyAlignment="1">
      <alignment wrapText="1"/>
    </xf>
    <xf numFmtId="0" fontId="6" fillId="0" borderId="2" xfId="0" applyFont="1" applyBorder="1" applyAlignment="1">
      <alignment wrapText="1"/>
    </xf>
    <xf numFmtId="0" fontId="12" fillId="0" borderId="6" xfId="0" applyFont="1" applyBorder="1" applyAlignment="1">
      <alignment wrapText="1"/>
    </xf>
    <xf numFmtId="0" fontId="6" fillId="0" borderId="6" xfId="0" applyFont="1" applyBorder="1" applyAlignment="1">
      <alignment wrapText="1"/>
    </xf>
    <xf numFmtId="0" fontId="12" fillId="2" borderId="6" xfId="0" applyFont="1" applyFill="1" applyBorder="1" applyAlignment="1">
      <alignment wrapText="1"/>
    </xf>
    <xf numFmtId="0" fontId="12" fillId="3" borderId="6" xfId="0" applyFont="1" applyFill="1" applyBorder="1" applyAlignment="1">
      <alignment wrapText="1"/>
    </xf>
    <xf numFmtId="0" fontId="2" fillId="5" borderId="6" xfId="0" applyFont="1" applyFill="1" applyBorder="1" applyAlignment="1">
      <alignment wrapText="1"/>
    </xf>
    <xf numFmtId="0" fontId="13" fillId="0" borderId="49" xfId="0" applyFont="1" applyBorder="1" applyAlignment="1">
      <alignment horizontal="left" vertical="center" wrapText="1"/>
    </xf>
    <xf numFmtId="0" fontId="13" fillId="0" borderId="41" xfId="0" applyFont="1" applyBorder="1" applyAlignment="1">
      <alignment horizontal="left" vertical="center" wrapText="1"/>
    </xf>
    <xf numFmtId="0" fontId="1" fillId="0" borderId="39" xfId="0" applyFont="1" applyBorder="1" applyAlignment="1">
      <alignment horizontal="center" vertical="top" wrapText="1"/>
    </xf>
    <xf numFmtId="0" fontId="1" fillId="0" borderId="40" xfId="0" applyFont="1" applyBorder="1" applyAlignment="1">
      <alignment horizontal="center" vertical="top" wrapText="1"/>
    </xf>
    <xf numFmtId="0" fontId="14" fillId="0" borderId="19" xfId="0" applyFont="1" applyFill="1" applyBorder="1" applyAlignment="1">
      <alignment wrapText="1"/>
    </xf>
    <xf numFmtId="0" fontId="6" fillId="0" borderId="9" xfId="0" applyFont="1" applyBorder="1" applyAlignment="1">
      <alignment wrapText="1"/>
    </xf>
    <xf numFmtId="0" fontId="1" fillId="0" borderId="19" xfId="0" applyFont="1" applyFill="1" applyBorder="1" applyAlignment="1">
      <alignment horizontal="left" vertical="center" wrapText="1"/>
    </xf>
    <xf numFmtId="0" fontId="8" fillId="0" borderId="0" xfId="0" applyFont="1" applyFill="1"/>
    <xf numFmtId="0" fontId="6" fillId="0" borderId="1" xfId="0" applyFont="1" applyFill="1" applyBorder="1" applyAlignment="1">
      <alignment wrapText="1"/>
    </xf>
    <xf numFmtId="0" fontId="12" fillId="0" borderId="5" xfId="0" applyFont="1" applyFill="1" applyBorder="1"/>
    <xf numFmtId="0" fontId="6" fillId="0" borderId="5" xfId="0" applyFont="1" applyFill="1" applyBorder="1"/>
    <xf numFmtId="0" fontId="12" fillId="0" borderId="5" xfId="0" applyFont="1" applyFill="1" applyBorder="1" applyAlignment="1">
      <alignment horizontal="center"/>
    </xf>
    <xf numFmtId="0" fontId="6" fillId="0" borderId="8" xfId="0" applyFont="1" applyFill="1" applyBorder="1"/>
    <xf numFmtId="3" fontId="29" fillId="6" borderId="6" xfId="0" applyNumberFormat="1"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0" borderId="0" xfId="0" applyFont="1" applyFill="1"/>
    <xf numFmtId="0" fontId="35" fillId="0" borderId="15" xfId="0" applyFont="1" applyFill="1" applyBorder="1" applyAlignment="1">
      <alignment horizontal="center" vertical="center" wrapText="1"/>
    </xf>
    <xf numFmtId="0" fontId="28" fillId="0" borderId="27" xfId="0" applyFont="1" applyFill="1" applyBorder="1" applyAlignment="1">
      <alignment vertical="top" wrapText="1"/>
    </xf>
    <xf numFmtId="0" fontId="28" fillId="0" borderId="6" xfId="0" applyFont="1" applyFill="1" applyBorder="1" applyAlignment="1">
      <alignment vertical="top" wrapText="1"/>
    </xf>
    <xf numFmtId="3" fontId="29" fillId="0" borderId="6" xfId="0" applyNumberFormat="1" applyFont="1" applyFill="1" applyBorder="1" applyAlignment="1">
      <alignment horizontal="center" wrapText="1"/>
    </xf>
    <xf numFmtId="3" fontId="29" fillId="0" borderId="6" xfId="0" applyNumberFormat="1" applyFont="1" applyFill="1" applyBorder="1" applyAlignment="1">
      <alignment horizontal="center" vertical="center" wrapText="1"/>
    </xf>
    <xf numFmtId="0" fontId="28" fillId="0" borderId="31" xfId="0" applyFont="1" applyFill="1" applyBorder="1" applyAlignment="1">
      <alignment vertical="top" wrapText="1"/>
    </xf>
    <xf numFmtId="0" fontId="28" fillId="0" borderId="24" xfId="0" applyFont="1" applyFill="1" applyBorder="1" applyAlignment="1">
      <alignment vertical="top" wrapText="1"/>
    </xf>
    <xf numFmtId="0" fontId="28" fillId="0" borderId="19" xfId="0" applyFont="1" applyFill="1" applyBorder="1" applyAlignment="1">
      <alignment horizontal="left" vertical="center" wrapText="1"/>
    </xf>
    <xf numFmtId="0" fontId="28" fillId="0" borderId="19" xfId="0" applyFont="1" applyFill="1" applyBorder="1" applyAlignment="1">
      <alignment vertical="top" wrapText="1"/>
    </xf>
    <xf numFmtId="0" fontId="28" fillId="0" borderId="19" xfId="0" applyFont="1" applyFill="1" applyBorder="1" applyAlignment="1">
      <alignment vertical="top"/>
    </xf>
    <xf numFmtId="0" fontId="28" fillId="0" borderId="15" xfId="0" applyFont="1" applyFill="1" applyBorder="1" applyAlignment="1">
      <alignment vertical="top" wrapText="1"/>
    </xf>
    <xf numFmtId="0" fontId="28" fillId="0" borderId="19" xfId="0" applyFont="1" applyFill="1" applyBorder="1" applyAlignment="1">
      <alignment horizontal="center" wrapText="1"/>
    </xf>
    <xf numFmtId="0" fontId="2" fillId="0" borderId="19" xfId="0" applyFont="1" applyBorder="1" applyAlignment="1">
      <alignment horizontal="center" vertical="center" wrapText="1"/>
    </xf>
    <xf numFmtId="0" fontId="26" fillId="0" borderId="0" xfId="0" applyFont="1"/>
    <xf numFmtId="16" fontId="29" fillId="7" borderId="5" xfId="0" applyNumberFormat="1" applyFont="1" applyFill="1" applyBorder="1" applyAlignment="1">
      <alignment horizontal="center" vertical="center" wrapText="1"/>
    </xf>
    <xf numFmtId="0" fontId="29" fillId="7" borderId="6" xfId="0"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1" fillId="0" borderId="27" xfId="0" applyFont="1" applyBorder="1" applyAlignment="1">
      <alignment horizontal="left" vertical="center" wrapText="1"/>
    </xf>
    <xf numFmtId="3" fontId="34" fillId="7" borderId="6"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14" fontId="40" fillId="6" borderId="5" xfId="0" applyNumberFormat="1" applyFont="1" applyFill="1" applyBorder="1" applyAlignment="1">
      <alignment horizontal="center" vertical="center" wrapText="1"/>
    </xf>
    <xf numFmtId="16" fontId="41" fillId="7" borderId="5" xfId="0" applyNumberFormat="1" applyFont="1" applyFill="1" applyBorder="1" applyAlignment="1">
      <alignment horizontal="center" vertical="center" wrapText="1"/>
    </xf>
    <xf numFmtId="3" fontId="41" fillId="7" borderId="6" xfId="0" applyNumberFormat="1" applyFont="1" applyFill="1" applyBorder="1" applyAlignment="1">
      <alignment horizontal="center" vertical="center" wrapText="1"/>
    </xf>
    <xf numFmtId="16" fontId="34" fillId="7" borderId="5" xfId="0" applyNumberFormat="1" applyFont="1" applyFill="1" applyBorder="1" applyAlignment="1">
      <alignment horizontal="center" vertical="center" wrapText="1"/>
    </xf>
    <xf numFmtId="0" fontId="35" fillId="7" borderId="6"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14" xfId="0" applyFont="1" applyFill="1" applyBorder="1" applyAlignment="1">
      <alignment horizontal="center" vertical="center" wrapText="1"/>
    </xf>
    <xf numFmtId="1" fontId="5" fillId="0" borderId="0" xfId="0" applyNumberFormat="1" applyFont="1"/>
    <xf numFmtId="1" fontId="4" fillId="0" borderId="7" xfId="0" applyNumberFormat="1" applyFont="1" applyBorder="1" applyAlignment="1">
      <alignment horizontal="center" vertical="top" wrapText="1"/>
    </xf>
    <xf numFmtId="1" fontId="2" fillId="0" borderId="7" xfId="0" applyNumberFormat="1" applyFont="1" applyBorder="1" applyAlignment="1">
      <alignment vertical="top" wrapText="1"/>
    </xf>
    <xf numFmtId="1" fontId="1"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1" fontId="28" fillId="6" borderId="6" xfId="0" applyNumberFormat="1" applyFont="1" applyFill="1" applyBorder="1" applyAlignment="1">
      <alignment horizontal="center" vertical="center" wrapText="1"/>
    </xf>
    <xf numFmtId="1" fontId="29" fillId="7" borderId="6" xfId="0" applyNumberFormat="1" applyFont="1" applyFill="1" applyBorder="1" applyAlignment="1">
      <alignment horizontal="center" vertical="center" wrapText="1"/>
    </xf>
    <xf numFmtId="0" fontId="26" fillId="0" borderId="0" xfId="0" applyFont="1" applyFill="1"/>
    <xf numFmtId="0" fontId="28" fillId="0" borderId="5" xfId="0" applyFont="1" applyFill="1" applyBorder="1" applyAlignment="1">
      <alignment horizontal="center" vertical="center" wrapText="1"/>
    </xf>
    <xf numFmtId="0" fontId="28" fillId="0" borderId="19" xfId="0" applyFont="1" applyFill="1" applyBorder="1" applyAlignment="1">
      <alignment horizontal="center" vertical="center" wrapText="1"/>
    </xf>
    <xf numFmtId="14" fontId="2" fillId="0" borderId="19"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3" fontId="29" fillId="5" borderId="27" xfId="0" applyNumberFormat="1" applyFont="1" applyFill="1" applyBorder="1" applyAlignment="1">
      <alignment horizontal="center" vertical="center" wrapText="1"/>
    </xf>
    <xf numFmtId="1" fontId="8" fillId="0" borderId="0" xfId="0" applyNumberFormat="1" applyFont="1"/>
    <xf numFmtId="1" fontId="11" fillId="0" borderId="7" xfId="0" applyNumberFormat="1" applyFont="1" applyBorder="1" applyAlignment="1">
      <alignment vertical="top" wrapText="1"/>
    </xf>
    <xf numFmtId="1" fontId="1" fillId="0" borderId="19" xfId="0" applyNumberFormat="1" applyFont="1" applyBorder="1" applyAlignment="1">
      <alignment horizontal="center" vertical="center" wrapText="1"/>
    </xf>
    <xf numFmtId="0" fontId="18" fillId="0" borderId="66" xfId="0" applyFont="1" applyBorder="1" applyAlignment="1">
      <alignment wrapText="1"/>
    </xf>
    <xf numFmtId="0" fontId="18" fillId="0" borderId="34" xfId="0" applyFont="1" applyBorder="1" applyAlignment="1">
      <alignment wrapText="1"/>
    </xf>
    <xf numFmtId="0" fontId="53" fillId="0" borderId="66" xfId="0" applyFont="1" applyBorder="1" applyAlignment="1">
      <alignment wrapText="1"/>
    </xf>
    <xf numFmtId="0" fontId="53" fillId="0" borderId="34" xfId="0" applyFont="1" applyBorder="1" applyAlignment="1">
      <alignment wrapText="1"/>
    </xf>
    <xf numFmtId="0" fontId="53" fillId="0" borderId="67" xfId="0" applyFont="1" applyBorder="1" applyAlignment="1">
      <alignment wrapText="1"/>
    </xf>
    <xf numFmtId="0" fontId="18" fillId="0" borderId="69" xfId="0" applyFont="1" applyBorder="1" applyAlignment="1">
      <alignment wrapText="1"/>
    </xf>
    <xf numFmtId="0" fontId="18" fillId="0" borderId="72" xfId="0" applyFont="1" applyBorder="1" applyAlignment="1">
      <alignment wrapText="1"/>
    </xf>
    <xf numFmtId="0" fontId="18" fillId="0" borderId="36" xfId="0" applyFont="1" applyBorder="1" applyAlignment="1">
      <alignment wrapText="1"/>
    </xf>
    <xf numFmtId="0" fontId="53" fillId="7" borderId="34" xfId="0" applyFont="1" applyFill="1" applyBorder="1" applyAlignment="1">
      <alignment wrapText="1"/>
    </xf>
    <xf numFmtId="0" fontId="53" fillId="7" borderId="67" xfId="0" applyFont="1" applyFill="1" applyBorder="1" applyAlignment="1">
      <alignment wrapText="1"/>
    </xf>
    <xf numFmtId="0" fontId="53" fillId="6" borderId="34" xfId="0" applyFont="1" applyFill="1" applyBorder="1" applyAlignment="1">
      <alignment wrapText="1"/>
    </xf>
    <xf numFmtId="0" fontId="53" fillId="6" borderId="67" xfId="0" applyFont="1" applyFill="1" applyBorder="1" applyAlignment="1">
      <alignment wrapText="1"/>
    </xf>
    <xf numFmtId="0" fontId="53" fillId="0" borderId="67" xfId="0" applyFont="1" applyBorder="1" applyAlignment="1">
      <alignment horizontal="center" vertical="center" wrapText="1"/>
    </xf>
    <xf numFmtId="0" fontId="53" fillId="0" borderId="69" xfId="0" applyFont="1" applyBorder="1" applyAlignment="1">
      <alignment wrapText="1"/>
    </xf>
    <xf numFmtId="3" fontId="53" fillId="0" borderId="75" xfId="0" quotePrefix="1" applyNumberFormat="1" applyFont="1" applyBorder="1" applyAlignment="1">
      <alignment horizontal="center" vertical="center" wrapText="1"/>
    </xf>
    <xf numFmtId="3" fontId="53" fillId="0" borderId="56" xfId="0" quotePrefix="1" applyNumberFormat="1" applyFont="1" applyBorder="1" applyAlignment="1">
      <alignment horizontal="center" vertical="center" wrapText="1"/>
    </xf>
    <xf numFmtId="3" fontId="53" fillId="0" borderId="76" xfId="0" quotePrefix="1" applyNumberFormat="1" applyFont="1" applyBorder="1" applyAlignment="1">
      <alignment horizontal="center" vertical="center" wrapText="1"/>
    </xf>
    <xf numFmtId="0" fontId="18" fillId="0" borderId="79" xfId="0" applyFont="1" applyBorder="1" applyAlignment="1">
      <alignment wrapText="1"/>
    </xf>
    <xf numFmtId="0" fontId="39" fillId="0" borderId="42" xfId="0" applyFont="1" applyBorder="1" applyAlignment="1">
      <alignment horizontal="center" wrapText="1"/>
    </xf>
    <xf numFmtId="0" fontId="52" fillId="0" borderId="66"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69"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53" xfId="0" applyFont="1" applyBorder="1" applyAlignment="1">
      <alignment horizontal="center" vertical="center" wrapText="1"/>
    </xf>
    <xf numFmtId="0" fontId="52" fillId="0" borderId="54" xfId="0" applyFont="1" applyBorder="1" applyAlignment="1">
      <alignment horizontal="center" vertical="center" wrapText="1"/>
    </xf>
    <xf numFmtId="0" fontId="53" fillId="7" borderId="78" xfId="0" applyFont="1" applyFill="1" applyBorder="1" applyAlignment="1">
      <alignment wrapText="1"/>
    </xf>
    <xf numFmtId="0" fontId="53" fillId="6" borderId="77" xfId="0" applyFont="1" applyFill="1" applyBorder="1" applyAlignment="1">
      <alignment wrapText="1"/>
    </xf>
    <xf numFmtId="0" fontId="18" fillId="0" borderId="80" xfId="0" applyFont="1" applyBorder="1" applyAlignment="1">
      <alignment wrapText="1"/>
    </xf>
    <xf numFmtId="0" fontId="18" fillId="0" borderId="0" xfId="0" applyFont="1" applyBorder="1" applyAlignment="1">
      <alignment wrapText="1"/>
    </xf>
    <xf numFmtId="0" fontId="39" fillId="0" borderId="32" xfId="0" applyFont="1" applyBorder="1" applyAlignment="1">
      <alignment horizontal="center" wrapText="1"/>
    </xf>
    <xf numFmtId="0" fontId="39" fillId="0" borderId="81" xfId="0" applyFont="1" applyBorder="1" applyAlignment="1">
      <alignment horizontal="center" wrapText="1"/>
    </xf>
    <xf numFmtId="0" fontId="52" fillId="0" borderId="82" xfId="0" applyFont="1" applyBorder="1" applyAlignment="1">
      <alignment horizontal="center" vertical="center" wrapText="1"/>
    </xf>
    <xf numFmtId="0" fontId="52" fillId="0" borderId="83" xfId="0" applyFont="1" applyBorder="1" applyAlignment="1">
      <alignment horizontal="center" vertical="center" wrapText="1"/>
    </xf>
    <xf numFmtId="0" fontId="52" fillId="0" borderId="46" xfId="0" applyFont="1" applyBorder="1" applyAlignment="1">
      <alignment horizontal="center" vertical="center" wrapText="1"/>
    </xf>
    <xf numFmtId="14" fontId="53" fillId="0" borderId="55" xfId="0" applyNumberFormat="1" applyFont="1" applyBorder="1" applyAlignment="1">
      <alignment horizontal="center" vertical="center" wrapText="1"/>
    </xf>
    <xf numFmtId="14" fontId="53" fillId="0" borderId="34" xfId="0" applyNumberFormat="1" applyFont="1" applyBorder="1" applyAlignment="1">
      <alignment wrapText="1"/>
    </xf>
    <xf numFmtId="14" fontId="53" fillId="0" borderId="34" xfId="0" applyNumberFormat="1" applyFont="1" applyBorder="1" applyAlignment="1">
      <alignment horizontal="center" vertical="center" wrapText="1"/>
    </xf>
    <xf numFmtId="0" fontId="53" fillId="0" borderId="34" xfId="0" applyFont="1" applyBorder="1" applyAlignment="1">
      <alignment horizontal="center" vertical="center" wrapText="1"/>
    </xf>
    <xf numFmtId="3" fontId="53" fillId="0" borderId="72" xfId="0" quotePrefix="1" applyNumberFormat="1" applyFont="1" applyBorder="1" applyAlignment="1">
      <alignment horizontal="center" vertical="center" wrapText="1"/>
    </xf>
    <xf numFmtId="3" fontId="53" fillId="0" borderId="36" xfId="0" quotePrefix="1" applyNumberFormat="1" applyFont="1" applyBorder="1" applyAlignment="1">
      <alignment horizontal="center" vertical="center" wrapText="1"/>
    </xf>
    <xf numFmtId="3" fontId="53" fillId="0" borderId="73" xfId="0" quotePrefix="1" applyNumberFormat="1" applyFont="1" applyBorder="1" applyAlignment="1">
      <alignment horizontal="center" vertical="center" wrapText="1"/>
    </xf>
    <xf numFmtId="3" fontId="20" fillId="6" borderId="74" xfId="0" quotePrefix="1" applyNumberFormat="1" applyFont="1" applyFill="1" applyBorder="1" applyAlignment="1">
      <alignment horizontal="center" vertical="center" wrapText="1"/>
    </xf>
    <xf numFmtId="3" fontId="54" fillId="7" borderId="70" xfId="0" quotePrefix="1" applyNumberFormat="1" applyFont="1" applyFill="1" applyBorder="1" applyAlignment="1">
      <alignment horizontal="center" vertical="center" wrapText="1"/>
    </xf>
    <xf numFmtId="3" fontId="54" fillId="7" borderId="34" xfId="0" quotePrefix="1" applyNumberFormat="1" applyFont="1" applyFill="1" applyBorder="1" applyAlignment="1">
      <alignment horizontal="center" vertical="center" wrapText="1"/>
    </xf>
    <xf numFmtId="3" fontId="54" fillId="7" borderId="71" xfId="0" quotePrefix="1" applyNumberFormat="1" applyFont="1" applyFill="1" applyBorder="1" applyAlignment="1">
      <alignment horizontal="center" vertical="center" wrapText="1"/>
    </xf>
    <xf numFmtId="0" fontId="53" fillId="6" borderId="55" xfId="0" applyFont="1" applyFill="1" applyBorder="1" applyAlignment="1">
      <alignment wrapText="1"/>
    </xf>
    <xf numFmtId="3" fontId="53" fillId="0" borderId="84" xfId="0" quotePrefix="1" applyNumberFormat="1" applyFont="1" applyBorder="1" applyAlignment="1">
      <alignment horizontal="center" vertical="center" wrapText="1"/>
    </xf>
    <xf numFmtId="3" fontId="53" fillId="0" borderId="85" xfId="0" quotePrefix="1" applyNumberFormat="1" applyFont="1" applyBorder="1" applyAlignment="1">
      <alignment horizontal="center" vertical="center" wrapText="1"/>
    </xf>
    <xf numFmtId="3" fontId="53" fillId="0" borderId="86" xfId="0" quotePrefix="1" applyNumberFormat="1" applyFont="1" applyBorder="1" applyAlignment="1">
      <alignment horizontal="center" vertical="center" wrapText="1"/>
    </xf>
    <xf numFmtId="3" fontId="20" fillId="6" borderId="42" xfId="0" quotePrefix="1" applyNumberFormat="1" applyFont="1" applyFill="1" applyBorder="1" applyAlignment="1">
      <alignment horizontal="center" vertical="center" wrapText="1"/>
    </xf>
    <xf numFmtId="3" fontId="20" fillId="6" borderId="53" xfId="0" quotePrefix="1" applyNumberFormat="1" applyFont="1" applyFill="1" applyBorder="1" applyAlignment="1">
      <alignment horizontal="center" vertical="center" wrapText="1"/>
    </xf>
    <xf numFmtId="3" fontId="20" fillId="6" borderId="54" xfId="0" quotePrefix="1" applyNumberFormat="1" applyFont="1" applyFill="1" applyBorder="1" applyAlignment="1">
      <alignment horizontal="center" vertical="center" wrapText="1"/>
    </xf>
    <xf numFmtId="0" fontId="53" fillId="0" borderId="68" xfId="0" applyFont="1" applyBorder="1" applyAlignment="1">
      <alignment horizontal="center" vertical="center" wrapText="1"/>
    </xf>
    <xf numFmtId="0" fontId="53" fillId="0" borderId="34" xfId="0" applyFont="1" applyBorder="1" applyAlignment="1">
      <alignment vertical="center" wrapText="1"/>
    </xf>
    <xf numFmtId="14" fontId="53" fillId="0" borderId="34" xfId="0" applyNumberFormat="1" applyFont="1" applyBorder="1" applyAlignment="1">
      <alignment vertical="center" wrapText="1"/>
    </xf>
    <xf numFmtId="14" fontId="53" fillId="0" borderId="87" xfId="0" applyNumberFormat="1" applyFont="1" applyBorder="1" applyAlignment="1">
      <alignment horizontal="center" vertical="center" wrapText="1"/>
    </xf>
    <xf numFmtId="0" fontId="53" fillId="0" borderId="88" xfId="0" applyFont="1" applyBorder="1" applyAlignment="1">
      <alignment horizontal="center" vertical="center" wrapText="1"/>
    </xf>
    <xf numFmtId="0" fontId="53" fillId="6" borderId="13" xfId="0" applyFont="1" applyFill="1" applyBorder="1" applyAlignment="1">
      <alignment wrapText="1"/>
    </xf>
    <xf numFmtId="0" fontId="53" fillId="6" borderId="53" xfId="0" applyFont="1" applyFill="1" applyBorder="1" applyAlignment="1">
      <alignment wrapText="1"/>
    </xf>
    <xf numFmtId="0" fontId="53" fillId="6" borderId="89" xfId="0" applyFont="1" applyFill="1" applyBorder="1" applyAlignment="1">
      <alignment wrapText="1"/>
    </xf>
    <xf numFmtId="0" fontId="53" fillId="6" borderId="54" xfId="0" applyFont="1" applyFill="1" applyBorder="1" applyAlignment="1">
      <alignment wrapText="1"/>
    </xf>
    <xf numFmtId="0" fontId="53" fillId="0" borderId="36" xfId="0" applyFont="1" applyBorder="1" applyAlignment="1">
      <alignment wrapText="1"/>
    </xf>
    <xf numFmtId="0" fontId="53" fillId="0" borderId="82" xfId="0" applyFont="1" applyBorder="1" applyAlignment="1">
      <alignment wrapText="1"/>
    </xf>
    <xf numFmtId="0" fontId="52" fillId="13" borderId="55" xfId="0" applyFont="1" applyFill="1" applyBorder="1" applyAlignment="1">
      <alignment horizontal="center" vertical="center" wrapText="1"/>
    </xf>
    <xf numFmtId="0" fontId="18" fillId="13" borderId="55" xfId="0" applyFont="1" applyFill="1" applyBorder="1" applyAlignment="1">
      <alignment wrapText="1"/>
    </xf>
    <xf numFmtId="0" fontId="18" fillId="13" borderId="0" xfId="0" applyFont="1" applyFill="1" applyBorder="1" applyAlignment="1">
      <alignment wrapText="1"/>
    </xf>
    <xf numFmtId="16" fontId="41" fillId="13" borderId="23" xfId="0" applyNumberFormat="1" applyFont="1" applyFill="1" applyBorder="1" applyAlignment="1">
      <alignment horizontal="center" vertical="center" wrapText="1"/>
    </xf>
    <xf numFmtId="14" fontId="40" fillId="13" borderId="23" xfId="0" applyNumberFormat="1" applyFont="1" applyFill="1" applyBorder="1" applyAlignment="1">
      <alignment horizontal="center" vertical="center" wrapText="1"/>
    </xf>
    <xf numFmtId="0" fontId="53" fillId="13" borderId="55" xfId="0" applyFont="1" applyFill="1" applyBorder="1" applyAlignment="1">
      <alignment wrapText="1"/>
    </xf>
    <xf numFmtId="0" fontId="1" fillId="0" borderId="6" xfId="0" applyFont="1" applyBorder="1" applyAlignment="1">
      <alignment horizontal="left" vertical="center" wrapText="1"/>
    </xf>
    <xf numFmtId="0" fontId="52" fillId="0" borderId="19" xfId="0" applyFont="1" applyBorder="1" applyAlignment="1">
      <alignment horizontal="center" vertical="center" wrapText="1"/>
    </xf>
    <xf numFmtId="0" fontId="45" fillId="0" borderId="0" xfId="0" applyFont="1"/>
    <xf numFmtId="0" fontId="39" fillId="0" borderId="91" xfId="0" applyFont="1" applyBorder="1" applyAlignment="1">
      <alignment wrapText="1"/>
    </xf>
    <xf numFmtId="0" fontId="39" fillId="0" borderId="59" xfId="0" applyFont="1" applyBorder="1" applyAlignment="1">
      <alignment wrapText="1"/>
    </xf>
    <xf numFmtId="0" fontId="43" fillId="0" borderId="0" xfId="0" applyFont="1"/>
    <xf numFmtId="0" fontId="53" fillId="0" borderId="34" xfId="0" applyFont="1" applyBorder="1" applyAlignment="1">
      <alignment horizontal="left" wrapText="1"/>
    </xf>
    <xf numFmtId="0" fontId="0" fillId="13" borderId="0" xfId="0" applyFill="1"/>
    <xf numFmtId="4" fontId="0" fillId="0" borderId="0" xfId="0" applyNumberFormat="1"/>
    <xf numFmtId="1" fontId="53" fillId="0" borderId="67" xfId="0" applyNumberFormat="1" applyFont="1" applyBorder="1" applyAlignment="1">
      <alignment horizontal="center" vertical="center" wrapText="1"/>
    </xf>
    <xf numFmtId="0" fontId="53" fillId="0" borderId="96" xfId="0" applyFont="1" applyBorder="1" applyAlignment="1">
      <alignment wrapText="1"/>
    </xf>
    <xf numFmtId="0" fontId="53" fillId="0" borderId="35" xfId="0" applyFont="1" applyBorder="1" applyAlignment="1">
      <alignment wrapText="1"/>
    </xf>
    <xf numFmtId="0" fontId="53" fillId="0" borderId="97" xfId="0" applyFont="1" applyBorder="1" applyAlignment="1">
      <alignment wrapText="1"/>
    </xf>
    <xf numFmtId="14" fontId="40" fillId="6" borderId="19" xfId="0" applyNumberFormat="1" applyFont="1" applyFill="1" applyBorder="1" applyAlignment="1">
      <alignment horizontal="center" vertical="center" wrapText="1"/>
    </xf>
    <xf numFmtId="14" fontId="53" fillId="10" borderId="34" xfId="0" applyNumberFormat="1" applyFont="1" applyFill="1" applyBorder="1" applyAlignment="1">
      <alignment horizontal="center" vertical="center" wrapText="1"/>
    </xf>
    <xf numFmtId="14" fontId="53" fillId="10" borderId="34" xfId="0" applyNumberFormat="1" applyFont="1" applyFill="1" applyBorder="1" applyAlignment="1">
      <alignment vertical="center" wrapText="1"/>
    </xf>
    <xf numFmtId="14" fontId="53" fillId="10" borderId="55" xfId="0" applyNumberFormat="1" applyFont="1" applyFill="1" applyBorder="1" applyAlignment="1">
      <alignment horizontal="center" vertical="center" wrapText="1"/>
    </xf>
    <xf numFmtId="14" fontId="53" fillId="10" borderId="35" xfId="0" applyNumberFormat="1" applyFont="1" applyFill="1" applyBorder="1" applyAlignment="1">
      <alignment vertical="center" wrapText="1"/>
    </xf>
    <xf numFmtId="3" fontId="54" fillId="13" borderId="42" xfId="0" quotePrefix="1" applyNumberFormat="1" applyFont="1" applyFill="1" applyBorder="1" applyAlignment="1">
      <alignment horizontal="center" vertical="center" wrapText="1"/>
    </xf>
    <xf numFmtId="3" fontId="20" fillId="6" borderId="19" xfId="0" quotePrefix="1" applyNumberFormat="1" applyFont="1" applyFill="1" applyBorder="1" applyAlignment="1">
      <alignment horizontal="center" vertical="center" wrapText="1"/>
    </xf>
    <xf numFmtId="0" fontId="51" fillId="0" borderId="0" xfId="0" applyFont="1" applyAlignment="1">
      <alignment wrapText="1"/>
    </xf>
    <xf numFmtId="0" fontId="0" fillId="0" borderId="0" xfId="0" applyAlignment="1"/>
    <xf numFmtId="0" fontId="18" fillId="0" borderId="15" xfId="0" applyFont="1" applyBorder="1" applyAlignment="1">
      <alignment wrapText="1"/>
    </xf>
    <xf numFmtId="0" fontId="53" fillId="0" borderId="82" xfId="0" applyFont="1" applyBorder="1" applyAlignment="1">
      <alignment horizontal="center" vertical="center" wrapText="1"/>
    </xf>
    <xf numFmtId="14" fontId="53" fillId="10" borderId="36" xfId="0" applyNumberFormat="1" applyFont="1" applyFill="1" applyBorder="1" applyAlignment="1">
      <alignment horizontal="center" vertical="center" wrapText="1"/>
    </xf>
    <xf numFmtId="0" fontId="53" fillId="0" borderId="79" xfId="0" applyFont="1" applyBorder="1" applyAlignment="1">
      <alignment wrapText="1"/>
    </xf>
    <xf numFmtId="0" fontId="21" fillId="5" borderId="44" xfId="0" applyFont="1" applyFill="1" applyBorder="1" applyAlignment="1">
      <alignment horizontal="center" vertical="center" wrapText="1"/>
    </xf>
    <xf numFmtId="0" fontId="25" fillId="13" borderId="45" xfId="0"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5" borderId="49" xfId="0" applyFont="1" applyFill="1" applyBorder="1" applyAlignment="1">
      <alignment horizontal="left" vertical="center" wrapText="1"/>
    </xf>
    <xf numFmtId="0" fontId="2" fillId="5" borderId="5" xfId="0" applyFont="1" applyFill="1" applyBorder="1" applyAlignment="1">
      <alignment horizontal="center"/>
    </xf>
    <xf numFmtId="0" fontId="12" fillId="6" borderId="5" xfId="0" applyFont="1" applyFill="1" applyBorder="1" applyAlignment="1">
      <alignment horizontal="center"/>
    </xf>
    <xf numFmtId="0" fontId="12" fillId="9" borderId="5" xfId="0" applyFont="1" applyFill="1" applyBorder="1" applyAlignment="1">
      <alignment horizontal="center"/>
    </xf>
    <xf numFmtId="0" fontId="12" fillId="9" borderId="6" xfId="0" applyFont="1" applyFill="1" applyBorder="1" applyAlignment="1">
      <alignment wrapText="1"/>
    </xf>
    <xf numFmtId="3" fontId="7" fillId="13" borderId="6" xfId="0" applyNumberFormat="1" applyFont="1" applyFill="1" applyBorder="1" applyAlignment="1">
      <alignment horizontal="center" vertical="center" wrapText="1"/>
    </xf>
    <xf numFmtId="3" fontId="7" fillId="13" borderId="6" xfId="0" applyNumberFormat="1" applyFont="1" applyFill="1" applyBorder="1" applyAlignment="1">
      <alignment horizontal="center" wrapText="1"/>
    </xf>
    <xf numFmtId="3" fontId="22" fillId="13" borderId="6" xfId="0" applyNumberFormat="1" applyFont="1" applyFill="1" applyBorder="1" applyAlignment="1">
      <alignment horizontal="center" vertical="center" wrapText="1"/>
    </xf>
    <xf numFmtId="3" fontId="1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wrapText="1"/>
    </xf>
    <xf numFmtId="1" fontId="22" fillId="13" borderId="6" xfId="0" applyNumberFormat="1" applyFont="1" applyFill="1" applyBorder="1" applyAlignment="1">
      <alignment horizontal="center" vertical="center" wrapText="1"/>
    </xf>
    <xf numFmtId="1" fontId="17" fillId="13" borderId="6" xfId="0" applyNumberFormat="1" applyFont="1" applyFill="1" applyBorder="1" applyAlignment="1">
      <alignment horizontal="center" vertical="center" wrapText="1"/>
    </xf>
    <xf numFmtId="0" fontId="52" fillId="13" borderId="57" xfId="0" applyFont="1" applyFill="1" applyBorder="1" applyAlignment="1">
      <alignment horizontal="center" vertical="center" wrapText="1"/>
    </xf>
    <xf numFmtId="0" fontId="18" fillId="0" borderId="42" xfId="0" applyFont="1" applyBorder="1" applyAlignment="1">
      <alignment wrapText="1"/>
    </xf>
    <xf numFmtId="0" fontId="18" fillId="13" borderId="57" xfId="0" applyFont="1" applyFill="1" applyBorder="1" applyAlignment="1">
      <alignment wrapText="1"/>
    </xf>
    <xf numFmtId="0" fontId="18" fillId="0" borderId="53" xfId="0" applyFont="1" applyBorder="1" applyAlignment="1">
      <alignment wrapText="1"/>
    </xf>
    <xf numFmtId="0" fontId="18" fillId="0" borderId="54" xfId="0" applyFont="1" applyBorder="1" applyAlignment="1">
      <alignment wrapText="1"/>
    </xf>
    <xf numFmtId="0" fontId="18" fillId="0" borderId="13" xfId="0" applyFont="1" applyBorder="1" applyAlignment="1">
      <alignment wrapText="1"/>
    </xf>
    <xf numFmtId="0" fontId="18" fillId="13" borderId="14" xfId="0" applyFont="1" applyFill="1" applyBorder="1" applyAlignment="1">
      <alignment wrapText="1"/>
    </xf>
    <xf numFmtId="0" fontId="18" fillId="0" borderId="14" xfId="0" applyFont="1" applyBorder="1" applyAlignment="1">
      <alignment wrapText="1"/>
    </xf>
    <xf numFmtId="0" fontId="18" fillId="0" borderId="93" xfId="0" applyFont="1" applyBorder="1" applyAlignment="1">
      <alignment wrapText="1"/>
    </xf>
    <xf numFmtId="0" fontId="18" fillId="0" borderId="103" xfId="0" applyFont="1" applyBorder="1" applyAlignment="1">
      <alignment wrapText="1"/>
    </xf>
    <xf numFmtId="0" fontId="18" fillId="0" borderId="104" xfId="0" applyFont="1" applyBorder="1" applyAlignment="1">
      <alignment wrapText="1"/>
    </xf>
    <xf numFmtId="0" fontId="53" fillId="6" borderId="78" xfId="0" applyFont="1" applyFill="1" applyBorder="1" applyAlignment="1">
      <alignment wrapText="1"/>
    </xf>
    <xf numFmtId="0" fontId="53" fillId="6" borderId="36" xfId="0" applyFont="1" applyFill="1" applyBorder="1" applyAlignment="1">
      <alignment wrapText="1"/>
    </xf>
    <xf numFmtId="0" fontId="53" fillId="6" borderId="82" xfId="0" applyFont="1" applyFill="1" applyBorder="1" applyAlignment="1">
      <alignment wrapText="1"/>
    </xf>
    <xf numFmtId="1" fontId="7" fillId="0" borderId="6" xfId="0" applyNumberFormat="1" applyFont="1" applyBorder="1" applyAlignment="1">
      <alignment horizontal="center" wrapText="1"/>
    </xf>
    <xf numFmtId="1" fontId="22" fillId="0" borderId="6" xfId="0"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0" fontId="53" fillId="13" borderId="59" xfId="0" applyFont="1" applyFill="1" applyBorder="1" applyAlignment="1">
      <alignment wrapText="1"/>
    </xf>
    <xf numFmtId="3" fontId="54" fillId="13" borderId="100" xfId="0" quotePrefix="1" applyNumberFormat="1" applyFont="1" applyFill="1" applyBorder="1" applyAlignment="1">
      <alignment horizontal="center" vertical="center" wrapText="1"/>
    </xf>
    <xf numFmtId="0" fontId="53" fillId="13" borderId="34" xfId="0" applyFont="1" applyFill="1" applyBorder="1" applyAlignment="1">
      <alignment wrapText="1"/>
    </xf>
    <xf numFmtId="0" fontId="14" fillId="0" borderId="23" xfId="0" applyFont="1" applyFill="1" applyBorder="1" applyAlignment="1">
      <alignment horizontal="center" vertical="center" wrapText="1"/>
    </xf>
    <xf numFmtId="14" fontId="2" fillId="0" borderId="19"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4" fontId="47" fillId="0" borderId="15" xfId="0" applyNumberFormat="1" applyFont="1" applyFill="1" applyBorder="1" applyAlignment="1">
      <alignment horizontal="center" vertical="center" wrapText="1"/>
    </xf>
    <xf numFmtId="0" fontId="47" fillId="0" borderId="15"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4" fontId="28" fillId="0" borderId="10" xfId="0" applyNumberFormat="1" applyFont="1" applyFill="1" applyBorder="1" applyAlignment="1">
      <alignment horizontal="center" vertical="center" wrapText="1"/>
    </xf>
    <xf numFmtId="0" fontId="24" fillId="16" borderId="5"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8" xfId="0" applyFont="1" applyFill="1" applyBorder="1" applyAlignment="1">
      <alignment vertical="top" wrapText="1"/>
    </xf>
    <xf numFmtId="0" fontId="2" fillId="16" borderId="25" xfId="0" applyFont="1" applyFill="1" applyBorder="1" applyAlignment="1">
      <alignment vertical="top" wrapText="1"/>
    </xf>
    <xf numFmtId="0" fontId="2" fillId="16" borderId="19" xfId="0" applyFont="1" applyFill="1" applyBorder="1" applyAlignment="1">
      <alignment horizontal="center" vertical="center" wrapText="1"/>
    </xf>
    <xf numFmtId="0" fontId="2" fillId="16" borderId="37" xfId="0" applyFont="1" applyFill="1" applyBorder="1" applyAlignment="1">
      <alignment vertical="top" wrapText="1"/>
    </xf>
    <xf numFmtId="0" fontId="2" fillId="16" borderId="19" xfId="0" applyFont="1" applyFill="1" applyBorder="1" applyAlignment="1">
      <alignment vertical="top" wrapText="1"/>
    </xf>
    <xf numFmtId="0" fontId="2" fillId="16" borderId="32" xfId="0" applyFont="1" applyFill="1" applyBorder="1" applyAlignment="1">
      <alignment vertical="top" wrapText="1"/>
    </xf>
    <xf numFmtId="0" fontId="24" fillId="16" borderId="6" xfId="0" applyFont="1" applyFill="1" applyBorder="1" applyAlignment="1">
      <alignment horizontal="center" vertical="center" wrapText="1"/>
    </xf>
    <xf numFmtId="0" fontId="24" fillId="16" borderId="19"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12" fillId="16" borderId="5" xfId="0" applyFont="1" applyFill="1" applyBorder="1" applyAlignment="1">
      <alignment horizontal="center" vertical="center" wrapText="1"/>
    </xf>
    <xf numFmtId="3" fontId="27" fillId="16" borderId="6" xfId="0" applyNumberFormat="1" applyFont="1" applyFill="1" applyBorder="1" applyAlignment="1">
      <alignment horizontal="center" vertical="center" wrapText="1"/>
    </xf>
    <xf numFmtId="0" fontId="27" fillId="16" borderId="19"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24" fillId="16" borderId="13"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107"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19" xfId="0" applyFont="1" applyFill="1" applyBorder="1" applyAlignment="1">
      <alignment horizontal="left" vertical="center" wrapText="1"/>
    </xf>
    <xf numFmtId="3" fontId="2" fillId="0" borderId="6"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Fill="1" applyBorder="1" applyAlignment="1">
      <alignment horizontal="center" vertical="center" wrapText="1"/>
    </xf>
    <xf numFmtId="165" fontId="2" fillId="0" borderId="19"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Border="1" applyAlignment="1">
      <alignment horizontal="center" vertical="center" wrapText="1"/>
    </xf>
    <xf numFmtId="0" fontId="2" fillId="13" borderId="19"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 fillId="0" borderId="6" xfId="0" applyFont="1" applyFill="1" applyBorder="1" applyAlignment="1">
      <alignment horizontal="left" vertical="center" wrapText="1"/>
    </xf>
    <xf numFmtId="0" fontId="27" fillId="16" borderId="13" xfId="0" applyFont="1" applyFill="1" applyBorder="1" applyAlignment="1">
      <alignment horizontal="center" vertical="center" wrapText="1"/>
    </xf>
    <xf numFmtId="0" fontId="28" fillId="0" borderId="29" xfId="0" applyFont="1" applyBorder="1" applyAlignment="1">
      <alignment horizontal="center" vertical="center" wrapText="1"/>
    </xf>
    <xf numFmtId="0" fontId="28" fillId="0" borderId="29" xfId="0" applyFont="1" applyBorder="1" applyAlignment="1">
      <alignment vertical="center" wrapText="1"/>
    </xf>
    <xf numFmtId="0" fontId="13" fillId="0" borderId="0" xfId="0" applyFont="1" applyFill="1" applyBorder="1" applyAlignment="1">
      <alignment horizontal="center" vertical="center" wrapText="1"/>
    </xf>
    <xf numFmtId="14" fontId="14" fillId="0" borderId="19" xfId="0" applyNumberFormat="1" applyFont="1" applyBorder="1" applyAlignment="1">
      <alignment horizontal="center" vertical="center" wrapText="1"/>
    </xf>
    <xf numFmtId="0" fontId="28" fillId="0" borderId="0" xfId="0" applyFont="1" applyBorder="1" applyAlignment="1">
      <alignment vertical="center" wrapText="1"/>
    </xf>
    <xf numFmtId="1" fontId="7" fillId="0" borderId="14" xfId="0" applyNumberFormat="1" applyFont="1" applyBorder="1" applyAlignment="1">
      <alignment horizontal="center"/>
    </xf>
    <xf numFmtId="1" fontId="7" fillId="0" borderId="6" xfId="0" applyNumberFormat="1" applyFont="1" applyFill="1" applyBorder="1" applyAlignment="1">
      <alignment horizontal="center" vertical="center" wrapText="1"/>
    </xf>
    <xf numFmtId="1" fontId="7"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xf>
    <xf numFmtId="3" fontId="7" fillId="0" borderId="7" xfId="0" applyNumberFormat="1" applyFont="1" applyBorder="1" applyAlignment="1">
      <alignment horizontal="center" vertical="center"/>
    </xf>
    <xf numFmtId="3" fontId="4" fillId="0" borderId="0" xfId="0" applyNumberFormat="1" applyFont="1" applyBorder="1" applyAlignment="1">
      <alignment horizontal="center" vertical="center" wrapText="1"/>
    </xf>
    <xf numFmtId="4" fontId="4" fillId="0" borderId="0" xfId="0" applyNumberFormat="1" applyFont="1" applyBorder="1" applyAlignment="1">
      <alignment horizontal="center" vertical="center" wrapText="1"/>
    </xf>
    <xf numFmtId="0" fontId="53" fillId="0" borderId="34" xfId="0" applyFont="1" applyFill="1" applyBorder="1" applyAlignment="1">
      <alignment wrapText="1"/>
    </xf>
    <xf numFmtId="0" fontId="2" fillId="0" borderId="23" xfId="0" applyFont="1" applyBorder="1" applyAlignment="1">
      <alignment horizontal="center" vertical="center" wrapText="1"/>
    </xf>
    <xf numFmtId="3" fontId="1" fillId="7" borderId="6" xfId="0" applyNumberFormat="1" applyFont="1" applyFill="1" applyBorder="1" applyAlignment="1">
      <alignment horizontal="center" vertical="center" wrapText="1"/>
    </xf>
    <xf numFmtId="3" fontId="1" fillId="7" borderId="27"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3" fontId="1" fillId="6" borderId="6" xfId="0" applyNumberFormat="1" applyFont="1" applyFill="1" applyBorder="1" applyAlignment="1">
      <alignment horizontal="center" vertical="center" wrapText="1"/>
    </xf>
    <xf numFmtId="1" fontId="1" fillId="6" borderId="6" xfId="0" applyNumberFormat="1" applyFont="1" applyFill="1" applyBorder="1" applyAlignment="1">
      <alignment horizontal="center" vertical="center" wrapText="1"/>
    </xf>
    <xf numFmtId="166" fontId="14" fillId="0" borderId="19" xfId="0" applyNumberFormat="1" applyFont="1" applyFill="1" applyBorder="1" applyAlignment="1">
      <alignment horizontal="center" vertical="center" wrapText="1"/>
    </xf>
    <xf numFmtId="3" fontId="1" fillId="0" borderId="34" xfId="0" applyNumberFormat="1" applyFont="1" applyFill="1" applyBorder="1" applyAlignment="1">
      <alignment horizontal="center" vertical="center" wrapText="1"/>
    </xf>
    <xf numFmtId="1" fontId="14" fillId="0" borderId="19"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4" fontId="1" fillId="0" borderId="19" xfId="0" applyNumberFormat="1" applyFont="1" applyFill="1" applyBorder="1" applyAlignment="1">
      <alignment horizontal="center" vertical="center" wrapText="1"/>
    </xf>
    <xf numFmtId="4" fontId="24" fillId="0" borderId="7" xfId="0" applyNumberFormat="1" applyFont="1" applyFill="1" applyBorder="1" applyAlignment="1">
      <alignment horizontal="center" vertical="center" wrapText="1"/>
    </xf>
    <xf numFmtId="4" fontId="1" fillId="0" borderId="27" xfId="0" applyNumberFormat="1" applyFont="1" applyFill="1" applyBorder="1" applyAlignment="1">
      <alignment horizontal="center" vertical="center" wrapText="1"/>
    </xf>
    <xf numFmtId="4" fontId="1" fillId="0" borderId="23" xfId="0" applyNumberFormat="1" applyFont="1" applyFill="1" applyBorder="1" applyAlignment="1">
      <alignment horizontal="center" vertical="center" wrapText="1"/>
    </xf>
    <xf numFmtId="4" fontId="1" fillId="11" borderId="7" xfId="0" applyNumberFormat="1" applyFont="1" applyFill="1" applyBorder="1" applyAlignment="1">
      <alignment horizontal="center" vertical="center" wrapText="1"/>
    </xf>
    <xf numFmtId="0" fontId="18" fillId="0" borderId="91" xfId="0" applyFont="1" applyBorder="1" applyAlignment="1">
      <alignment wrapText="1"/>
    </xf>
    <xf numFmtId="0" fontId="18" fillId="13" borderId="59" xfId="0" applyFont="1" applyFill="1" applyBorder="1" applyAlignment="1">
      <alignment wrapText="1"/>
    </xf>
    <xf numFmtId="0" fontId="52" fillId="0" borderId="107" xfId="0" applyFont="1" applyBorder="1" applyAlignment="1">
      <alignment horizontal="center" vertical="center" wrapText="1"/>
    </xf>
    <xf numFmtId="0" fontId="52" fillId="13" borderId="23" xfId="0" applyFont="1" applyFill="1" applyBorder="1" applyAlignment="1">
      <alignment horizontal="center" vertical="center" wrapText="1"/>
    </xf>
    <xf numFmtId="0" fontId="52" fillId="0" borderId="99" xfId="0" applyFont="1" applyBorder="1" applyAlignment="1">
      <alignment horizontal="center" vertical="center" wrapText="1"/>
    </xf>
    <xf numFmtId="0" fontId="53" fillId="0" borderId="91" xfId="0" applyFont="1" applyBorder="1" applyAlignment="1">
      <alignment wrapText="1"/>
    </xf>
    <xf numFmtId="0" fontId="24" fillId="16" borderId="14" xfId="0" applyFont="1" applyFill="1" applyBorder="1" applyAlignment="1">
      <alignment horizontal="center" vertical="center" wrapText="1"/>
    </xf>
    <xf numFmtId="0" fontId="53" fillId="0" borderId="75" xfId="0" applyFont="1" applyBorder="1" applyAlignment="1">
      <alignment wrapText="1"/>
    </xf>
    <xf numFmtId="0" fontId="53" fillId="0" borderId="56" xfId="0" applyFont="1" applyBorder="1" applyAlignment="1">
      <alignment wrapText="1"/>
    </xf>
    <xf numFmtId="0" fontId="53" fillId="0" borderId="70" xfId="0" applyFont="1" applyBorder="1" applyAlignment="1">
      <alignment wrapText="1"/>
    </xf>
    <xf numFmtId="0" fontId="53" fillId="0" borderId="98" xfId="0" applyFont="1" applyBorder="1" applyAlignment="1">
      <alignment wrapText="1"/>
    </xf>
    <xf numFmtId="0" fontId="53" fillId="0" borderId="111" xfId="0" applyFont="1" applyBorder="1" applyAlignment="1">
      <alignment wrapText="1"/>
    </xf>
    <xf numFmtId="0" fontId="53" fillId="0" borderId="56" xfId="0" applyFont="1" applyBorder="1" applyAlignment="1">
      <alignment horizontal="center" vertical="center" wrapText="1"/>
    </xf>
    <xf numFmtId="0" fontId="53" fillId="0" borderId="111" xfId="0" applyFont="1" applyBorder="1" applyAlignment="1">
      <alignment horizontal="center" vertical="center" wrapText="1"/>
    </xf>
    <xf numFmtId="0" fontId="52" fillId="0" borderId="13" xfId="0" applyFont="1" applyBorder="1" applyAlignment="1">
      <alignment horizontal="center" vertical="center" wrapText="1"/>
    </xf>
    <xf numFmtId="3" fontId="39" fillId="16" borderId="19" xfId="0" quotePrefix="1" applyNumberFormat="1" applyFont="1" applyFill="1" applyBorder="1" applyAlignment="1">
      <alignment horizontal="center" vertical="center" wrapText="1"/>
    </xf>
    <xf numFmtId="3" fontId="39" fillId="16" borderId="14" xfId="0" applyNumberFormat="1" applyFont="1" applyFill="1" applyBorder="1" applyAlignment="1">
      <alignment horizontal="center" vertical="center" wrapText="1"/>
    </xf>
    <xf numFmtId="3" fontId="39" fillId="16" borderId="19" xfId="0" applyNumberFormat="1" applyFont="1" applyFill="1" applyBorder="1" applyAlignment="1">
      <alignment horizontal="center" vertical="center" wrapText="1"/>
    </xf>
    <xf numFmtId="0" fontId="53" fillId="13" borderId="35" xfId="0" applyFont="1" applyFill="1" applyBorder="1" applyAlignment="1">
      <alignment wrapText="1"/>
    </xf>
    <xf numFmtId="0" fontId="53" fillId="0" borderId="35" xfId="0" applyFont="1" applyBorder="1" applyAlignment="1">
      <alignment horizontal="center" vertical="center" wrapText="1"/>
    </xf>
    <xf numFmtId="0" fontId="53" fillId="13" borderId="36" xfId="0" applyFont="1" applyFill="1" applyBorder="1" applyAlignment="1">
      <alignment wrapText="1"/>
    </xf>
    <xf numFmtId="14" fontId="53" fillId="0" borderId="36" xfId="0" applyNumberFormat="1" applyFont="1" applyBorder="1" applyAlignment="1">
      <alignment horizontal="center" vertical="center" wrapText="1"/>
    </xf>
    <xf numFmtId="0" fontId="53" fillId="0" borderId="36" xfId="0" applyFont="1" applyBorder="1" applyAlignment="1">
      <alignment horizontal="center" vertical="center" wrapText="1"/>
    </xf>
    <xf numFmtId="0" fontId="53" fillId="7" borderId="82" xfId="0" applyFont="1" applyFill="1" applyBorder="1" applyAlignment="1">
      <alignment wrapText="1"/>
    </xf>
    <xf numFmtId="3" fontId="41" fillId="7" borderId="15" xfId="0" applyNumberFormat="1" applyFont="1" applyFill="1" applyBorder="1" applyAlignment="1">
      <alignment horizontal="center" vertical="center" wrapText="1"/>
    </xf>
    <xf numFmtId="0" fontId="53" fillId="6" borderId="57" xfId="0" applyFont="1" applyFill="1" applyBorder="1" applyAlignment="1">
      <alignment wrapText="1"/>
    </xf>
    <xf numFmtId="0" fontId="53" fillId="6" borderId="18" xfId="0" applyFont="1" applyFill="1" applyBorder="1" applyAlignment="1">
      <alignment wrapText="1"/>
    </xf>
    <xf numFmtId="0" fontId="53" fillId="6" borderId="19" xfId="0" applyFont="1" applyFill="1" applyBorder="1" applyAlignment="1">
      <alignment wrapText="1"/>
    </xf>
    <xf numFmtId="0" fontId="53" fillId="6" borderId="46" xfId="0" applyFont="1" applyFill="1" applyBorder="1" applyAlignment="1">
      <alignment wrapText="1"/>
    </xf>
    <xf numFmtId="0" fontId="53" fillId="6" borderId="106" xfId="0" applyFont="1" applyFill="1" applyBorder="1" applyAlignment="1">
      <alignment wrapText="1"/>
    </xf>
    <xf numFmtId="14" fontId="41" fillId="7" borderId="19" xfId="0" applyNumberFormat="1" applyFont="1" applyFill="1" applyBorder="1" applyAlignment="1">
      <alignment horizontal="center" vertical="center" wrapText="1"/>
    </xf>
    <xf numFmtId="0" fontId="60" fillId="7" borderId="57" xfId="0" applyFont="1" applyFill="1" applyBorder="1" applyAlignment="1">
      <alignment wrapText="1"/>
    </xf>
    <xf numFmtId="3" fontId="61" fillId="7" borderId="19" xfId="0" quotePrefix="1" applyNumberFormat="1" applyFont="1" applyFill="1" applyBorder="1" applyAlignment="1">
      <alignment horizontal="center" vertical="center" wrapText="1"/>
    </xf>
    <xf numFmtId="0" fontId="52" fillId="15" borderId="23" xfId="0" applyFont="1" applyFill="1" applyBorder="1" applyAlignment="1">
      <alignment horizontal="center" vertical="center" wrapText="1"/>
    </xf>
    <xf numFmtId="0" fontId="53" fillId="15" borderId="34" xfId="0" applyFont="1" applyFill="1" applyBorder="1" applyAlignment="1">
      <alignment horizontal="center" vertical="center" wrapText="1"/>
    </xf>
    <xf numFmtId="0" fontId="53" fillId="15" borderId="34" xfId="0" applyFont="1" applyFill="1" applyBorder="1" applyAlignment="1">
      <alignment wrapText="1"/>
    </xf>
    <xf numFmtId="0" fontId="53" fillId="15" borderId="36" xfId="0" applyFont="1" applyFill="1" applyBorder="1" applyAlignment="1">
      <alignment wrapText="1"/>
    </xf>
    <xf numFmtId="0" fontId="53" fillId="15" borderId="36" xfId="0" applyFont="1" applyFill="1" applyBorder="1" applyAlignment="1">
      <alignment horizontal="center" vertical="center" wrapText="1"/>
    </xf>
    <xf numFmtId="0" fontId="13" fillId="15" borderId="34" xfId="0" applyFont="1" applyFill="1" applyBorder="1" applyAlignment="1">
      <alignment wrapText="1"/>
    </xf>
    <xf numFmtId="0" fontId="13" fillId="15" borderId="34" xfId="0" applyFont="1" applyFill="1" applyBorder="1" applyAlignment="1">
      <alignment horizontal="center" vertical="center" wrapText="1"/>
    </xf>
    <xf numFmtId="0" fontId="13" fillId="13" borderId="34" xfId="0" applyFont="1" applyFill="1" applyBorder="1" applyAlignment="1">
      <alignment wrapText="1"/>
    </xf>
    <xf numFmtId="0" fontId="53" fillId="0" borderId="34" xfId="0" applyFont="1" applyFill="1" applyBorder="1" applyAlignment="1">
      <alignment horizontal="center" vertical="center" wrapText="1"/>
    </xf>
    <xf numFmtId="0" fontId="53" fillId="6" borderId="59" xfId="0" applyFont="1" applyFill="1" applyBorder="1" applyAlignment="1">
      <alignment wrapText="1"/>
    </xf>
    <xf numFmtId="0" fontId="53" fillId="0" borderId="34" xfId="0" applyFont="1" applyFill="1" applyBorder="1" applyAlignment="1">
      <alignment vertical="center" wrapText="1"/>
    </xf>
    <xf numFmtId="0" fontId="53" fillId="7" borderId="36" xfId="0" applyFont="1" applyFill="1" applyBorder="1" applyAlignment="1">
      <alignment wrapText="1"/>
    </xf>
    <xf numFmtId="0" fontId="53" fillId="6" borderId="105" xfId="0" applyFont="1" applyFill="1" applyBorder="1" applyAlignment="1">
      <alignment wrapText="1"/>
    </xf>
    <xf numFmtId="0" fontId="53" fillId="6" borderId="112" xfId="0" applyFont="1" applyFill="1" applyBorder="1" applyAlignment="1">
      <alignment wrapText="1"/>
    </xf>
    <xf numFmtId="0" fontId="13" fillId="0" borderId="34" xfId="0" applyFont="1" applyFill="1" applyBorder="1" applyAlignment="1">
      <alignment wrapText="1"/>
    </xf>
    <xf numFmtId="0" fontId="13" fillId="0" borderId="34" xfId="0" applyFont="1" applyFill="1" applyBorder="1" applyAlignment="1">
      <alignment horizontal="center" vertical="center" wrapText="1"/>
    </xf>
    <xf numFmtId="0" fontId="53" fillId="6" borderId="97" xfId="0" applyFont="1" applyFill="1" applyBorder="1" applyAlignment="1">
      <alignment wrapText="1"/>
    </xf>
    <xf numFmtId="0" fontId="53" fillId="0" borderId="35" xfId="0" applyFont="1" applyFill="1" applyBorder="1" applyAlignment="1">
      <alignment wrapText="1"/>
    </xf>
    <xf numFmtId="0" fontId="53" fillId="0" borderId="35" xfId="0" applyFont="1" applyFill="1" applyBorder="1" applyAlignment="1">
      <alignment horizontal="center" vertical="center" wrapText="1"/>
    </xf>
    <xf numFmtId="0" fontId="53" fillId="6" borderId="58" xfId="0" applyFont="1" applyFill="1" applyBorder="1" applyAlignment="1">
      <alignment wrapText="1"/>
    </xf>
    <xf numFmtId="0" fontId="53" fillId="15" borderId="35" xfId="0" applyFont="1" applyFill="1" applyBorder="1" applyAlignment="1">
      <alignment horizontal="center" vertical="center" wrapText="1"/>
    </xf>
    <xf numFmtId="0" fontId="53" fillId="15" borderId="35" xfId="0" applyFont="1" applyFill="1" applyBorder="1" applyAlignment="1">
      <alignment wrapText="1"/>
    </xf>
    <xf numFmtId="0" fontId="13" fillId="15" borderId="36" xfId="0" applyFont="1" applyFill="1" applyBorder="1" applyAlignment="1">
      <alignment wrapText="1"/>
    </xf>
    <xf numFmtId="0" fontId="13" fillId="13" borderId="36" xfId="0" applyFont="1" applyFill="1" applyBorder="1" applyAlignment="1">
      <alignment wrapText="1"/>
    </xf>
    <xf numFmtId="0" fontId="13" fillId="15" borderId="36" xfId="0" applyFont="1" applyFill="1" applyBorder="1" applyAlignment="1">
      <alignment horizontal="center" vertical="center" wrapText="1"/>
    </xf>
    <xf numFmtId="0" fontId="13" fillId="15" borderId="35" xfId="0" applyFont="1" applyFill="1" applyBorder="1" applyAlignment="1">
      <alignment wrapText="1"/>
    </xf>
    <xf numFmtId="0" fontId="13" fillId="13" borderId="35" xfId="0" applyFont="1" applyFill="1" applyBorder="1" applyAlignment="1">
      <alignment wrapText="1"/>
    </xf>
    <xf numFmtId="0" fontId="13" fillId="15" borderId="35" xfId="0" applyFont="1" applyFill="1" applyBorder="1" applyAlignment="1">
      <alignment horizontal="center" vertical="center" wrapText="1"/>
    </xf>
    <xf numFmtId="14" fontId="41" fillId="7" borderId="26" xfId="0" applyNumberFormat="1" applyFont="1" applyFill="1" applyBorder="1" applyAlignment="1">
      <alignment horizontal="center" vertical="center" wrapText="1"/>
    </xf>
    <xf numFmtId="3" fontId="61" fillId="7" borderId="26" xfId="0" quotePrefix="1" applyNumberFormat="1" applyFont="1" applyFill="1" applyBorder="1" applyAlignment="1">
      <alignment horizontal="center" vertical="center" wrapText="1"/>
    </xf>
    <xf numFmtId="167" fontId="53" fillId="0" borderId="36" xfId="0" applyNumberFormat="1" applyFont="1" applyBorder="1" applyAlignment="1">
      <alignment horizontal="center" vertical="center" wrapText="1"/>
    </xf>
    <xf numFmtId="0" fontId="53" fillId="0" borderId="34" xfId="0" applyFont="1" applyFill="1" applyBorder="1" applyAlignment="1">
      <alignment horizontal="left" wrapText="1"/>
    </xf>
    <xf numFmtId="14" fontId="40" fillId="6" borderId="27" xfId="0" applyNumberFormat="1" applyFont="1" applyFill="1" applyBorder="1" applyAlignment="1">
      <alignment horizontal="center" vertical="center" wrapText="1"/>
    </xf>
    <xf numFmtId="14" fontId="41" fillId="7" borderId="31" xfId="0" applyNumberFormat="1" applyFont="1" applyFill="1" applyBorder="1" applyAlignment="1">
      <alignment horizontal="center" vertical="center" wrapText="1"/>
    </xf>
    <xf numFmtId="3" fontId="61" fillId="7" borderId="31" xfId="0" quotePrefix="1" applyNumberFormat="1" applyFont="1" applyFill="1" applyBorder="1" applyAlignment="1">
      <alignment horizontal="center" vertical="center" wrapText="1"/>
    </xf>
    <xf numFmtId="3" fontId="54" fillId="0" borderId="100" xfId="0" quotePrefix="1" applyNumberFormat="1" applyFont="1" applyFill="1" applyBorder="1" applyAlignment="1">
      <alignment horizontal="center" vertical="center" wrapText="1"/>
    </xf>
    <xf numFmtId="0" fontId="62" fillId="0" borderId="118" xfId="0" applyFont="1" applyBorder="1" applyAlignment="1">
      <alignment horizontal="justify" vertical="center" wrapText="1"/>
    </xf>
    <xf numFmtId="0" fontId="55" fillId="0" borderId="118" xfId="0" applyFont="1" applyBorder="1" applyAlignment="1">
      <alignment horizontal="justify" vertical="center" wrapText="1"/>
    </xf>
    <xf numFmtId="0" fontId="64" fillId="0" borderId="23" xfId="0" applyFont="1" applyBorder="1" applyAlignment="1">
      <alignment horizontal="left" vertical="center" wrapText="1"/>
    </xf>
    <xf numFmtId="0" fontId="64" fillId="0" borderId="27" xfId="0" applyFont="1" applyBorder="1" applyAlignment="1">
      <alignment horizontal="left" vertical="center" wrapText="1"/>
    </xf>
    <xf numFmtId="0" fontId="64" fillId="0" borderId="6" xfId="0" applyFont="1" applyBorder="1" applyAlignment="1">
      <alignment horizontal="left" vertical="center" wrapText="1"/>
    </xf>
    <xf numFmtId="0" fontId="30" fillId="0" borderId="114" xfId="0" applyFont="1" applyBorder="1" applyAlignment="1">
      <alignment horizontal="center" vertical="center" wrapText="1"/>
    </xf>
    <xf numFmtId="0" fontId="62" fillId="0" borderId="113" xfId="0" applyFont="1" applyBorder="1" applyAlignment="1">
      <alignment horizontal="justify" vertical="center" wrapText="1"/>
    </xf>
    <xf numFmtId="0" fontId="55" fillId="0" borderId="6" xfId="0" applyFont="1" applyBorder="1" applyAlignment="1">
      <alignment horizontal="center" vertical="center" wrapText="1"/>
    </xf>
    <xf numFmtId="0" fontId="65"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63" fillId="0" borderId="115" xfId="0" applyFont="1" applyBorder="1" applyAlignment="1">
      <alignment horizontal="justify" vertical="center" wrapText="1"/>
    </xf>
    <xf numFmtId="0" fontId="30" fillId="0" borderId="23" xfId="0" applyFont="1" applyBorder="1" applyAlignment="1">
      <alignment horizontal="center" vertical="center" wrapText="1"/>
    </xf>
    <xf numFmtId="0" fontId="30" fillId="0" borderId="27" xfId="0" applyFont="1" applyBorder="1" applyAlignment="1">
      <alignment horizontal="center" vertical="center" wrapText="1"/>
    </xf>
    <xf numFmtId="0" fontId="55" fillId="0" borderId="0" xfId="0" applyFont="1" applyAlignment="1">
      <alignment horizontal="center" vertical="center" wrapText="1"/>
    </xf>
    <xf numFmtId="0" fontId="55" fillId="0" borderId="24" xfId="0" applyFont="1" applyBorder="1" applyAlignment="1">
      <alignment horizontal="center" vertical="center" wrapText="1"/>
    </xf>
    <xf numFmtId="0" fontId="55" fillId="0" borderId="31" xfId="0" applyFont="1" applyBorder="1" applyAlignment="1">
      <alignment horizontal="center" vertical="center" wrapText="1"/>
    </xf>
    <xf numFmtId="0" fontId="64" fillId="0" borderId="27" xfId="0" applyFont="1" applyBorder="1" applyAlignment="1">
      <alignment horizontal="center" vertical="center" wrapText="1"/>
    </xf>
    <xf numFmtId="0" fontId="30" fillId="0" borderId="120" xfId="0" applyFont="1" applyBorder="1" applyAlignment="1">
      <alignment horizontal="center" vertical="center" wrapText="1"/>
    </xf>
    <xf numFmtId="0" fontId="63" fillId="0" borderId="121" xfId="0" applyFont="1" applyBorder="1" applyAlignment="1">
      <alignment horizontal="justify" vertical="center" wrapText="1"/>
    </xf>
    <xf numFmtId="0" fontId="65" fillId="0" borderId="23" xfId="0" applyFont="1" applyBorder="1" applyAlignment="1">
      <alignment horizontal="center" vertical="center" wrapText="1"/>
    </xf>
    <xf numFmtId="0" fontId="65" fillId="0" borderId="27" xfId="0" applyFont="1" applyBorder="1" applyAlignment="1">
      <alignment horizontal="center" vertical="center" wrapText="1"/>
    </xf>
    <xf numFmtId="0" fontId="62" fillId="0" borderId="6" xfId="0" applyFont="1" applyBorder="1" applyAlignment="1">
      <alignment horizontal="justify" vertical="center" wrapText="1"/>
    </xf>
    <xf numFmtId="0" fontId="63" fillId="0" borderId="6" xfId="0" applyFont="1" applyBorder="1" applyAlignment="1">
      <alignment horizontal="justify" vertical="center" wrapText="1"/>
    </xf>
    <xf numFmtId="0" fontId="55" fillId="0" borderId="122" xfId="0" applyFont="1" applyBorder="1" applyAlignment="1">
      <alignment horizontal="center" vertical="center" wrapText="1"/>
    </xf>
    <xf numFmtId="0" fontId="64" fillId="0" borderId="120" xfId="0" applyFont="1" applyBorder="1" applyAlignment="1">
      <alignment horizontal="left" vertical="center" wrapText="1"/>
    </xf>
    <xf numFmtId="0" fontId="33" fillId="0" borderId="23" xfId="0" applyFont="1" applyBorder="1" applyAlignment="1">
      <alignment horizontal="center" vertical="center" wrapText="1"/>
    </xf>
    <xf numFmtId="0" fontId="33" fillId="0" borderId="27" xfId="0" applyFont="1" applyBorder="1" applyAlignment="1">
      <alignment horizontal="center" vertical="center" wrapText="1"/>
    </xf>
    <xf numFmtId="0" fontId="62" fillId="0" borderId="115" xfId="0" applyFont="1" applyBorder="1" applyAlignment="1">
      <alignment horizontal="justify" vertical="center" wrapText="1"/>
    </xf>
    <xf numFmtId="0" fontId="52" fillId="0" borderId="127" xfId="0" applyFont="1" applyBorder="1" applyAlignment="1">
      <alignment horizontal="center" vertical="center" wrapText="1"/>
    </xf>
    <xf numFmtId="0" fontId="39" fillId="0" borderId="46" xfId="0" applyFont="1" applyBorder="1" applyAlignment="1">
      <alignment horizontal="center" wrapText="1"/>
    </xf>
    <xf numFmtId="0" fontId="39" fillId="0" borderId="99" xfId="0" applyFont="1" applyBorder="1" applyAlignment="1">
      <alignment horizontal="center" wrapText="1"/>
    </xf>
    <xf numFmtId="0" fontId="53" fillId="0" borderId="128" xfId="0" applyFont="1" applyBorder="1" applyAlignment="1">
      <alignment wrapText="1"/>
    </xf>
    <xf numFmtId="1" fontId="40" fillId="6" borderId="19" xfId="0" applyNumberFormat="1"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1" fillId="0" borderId="27" xfId="0" applyFont="1" applyFill="1" applyBorder="1" applyAlignment="1">
      <alignment horizontal="left" vertical="center" wrapText="1"/>
    </xf>
    <xf numFmtId="4" fontId="1" fillId="0" borderId="29" xfId="0" applyNumberFormat="1" applyFont="1" applyFill="1" applyBorder="1" applyAlignment="1">
      <alignment horizontal="center" vertical="center" wrapText="1"/>
    </xf>
    <xf numFmtId="14" fontId="14" fillId="13" borderId="19" xfId="0" applyNumberFormat="1" applyFont="1" applyFill="1" applyBorder="1" applyAlignment="1">
      <alignment horizontal="center" vertical="center" wrapText="1"/>
    </xf>
    <xf numFmtId="165" fontId="14" fillId="0" borderId="19" xfId="0" applyNumberFormat="1" applyFont="1" applyBorder="1" applyAlignment="1">
      <alignment horizontal="center" vertical="center" wrapText="1"/>
    </xf>
    <xf numFmtId="0" fontId="24" fillId="16" borderId="23" xfId="0" applyFont="1" applyFill="1" applyBorder="1" applyAlignment="1">
      <alignment horizontal="center" vertical="center" wrapText="1"/>
    </xf>
    <xf numFmtId="3" fontId="52" fillId="16" borderId="42" xfId="0" quotePrefix="1" applyNumberFormat="1" applyFont="1" applyFill="1" applyBorder="1" applyAlignment="1">
      <alignment horizontal="center" vertical="center" wrapText="1"/>
    </xf>
    <xf numFmtId="3" fontId="52" fillId="16" borderId="19" xfId="0" quotePrefix="1" applyNumberFormat="1" applyFont="1" applyFill="1" applyBorder="1" applyAlignment="1">
      <alignment horizontal="center" vertical="center" wrapText="1"/>
    </xf>
    <xf numFmtId="0" fontId="53" fillId="16" borderId="77" xfId="0" applyFont="1" applyFill="1" applyBorder="1" applyAlignment="1">
      <alignment wrapText="1"/>
    </xf>
    <xf numFmtId="0" fontId="53" fillId="16" borderId="69" xfId="0" applyFont="1" applyFill="1" applyBorder="1" applyAlignment="1">
      <alignment wrapText="1"/>
    </xf>
    <xf numFmtId="0" fontId="53" fillId="16" borderId="67" xfId="0" applyFont="1" applyFill="1" applyBorder="1" applyAlignment="1">
      <alignment wrapText="1"/>
    </xf>
    <xf numFmtId="14" fontId="1" fillId="0" borderId="6" xfId="0" applyNumberFormat="1" applyFont="1" applyBorder="1" applyAlignment="1">
      <alignment horizontal="center" vertical="center" wrapText="1"/>
    </xf>
    <xf numFmtId="3" fontId="7" fillId="0" borderId="6" xfId="0" applyNumberFormat="1" applyFont="1" applyFill="1" applyBorder="1" applyAlignment="1">
      <alignment horizontal="center" vertical="center"/>
    </xf>
    <xf numFmtId="3" fontId="7" fillId="8" borderId="23" xfId="0" applyNumberFormat="1" applyFont="1" applyFill="1" applyBorder="1" applyAlignment="1">
      <alignment horizontal="center"/>
    </xf>
    <xf numFmtId="3" fontId="7" fillId="0" borderId="23" xfId="0" applyNumberFormat="1" applyFont="1" applyBorder="1" applyAlignment="1">
      <alignment horizontal="center" vertical="center"/>
    </xf>
    <xf numFmtId="3" fontId="7" fillId="0" borderId="23" xfId="0" applyNumberFormat="1" applyFont="1" applyBorder="1" applyAlignment="1">
      <alignment horizontal="center"/>
    </xf>
    <xf numFmtId="3" fontId="10" fillId="3" borderId="0" xfId="0" applyNumberFormat="1" applyFont="1" applyFill="1" applyBorder="1" applyAlignment="1">
      <alignment horizontal="center"/>
    </xf>
    <xf numFmtId="14" fontId="5" fillId="0" borderId="34" xfId="0" applyNumberFormat="1" applyFont="1" applyBorder="1"/>
    <xf numFmtId="0" fontId="29" fillId="0" borderId="0" xfId="0" applyFont="1"/>
    <xf numFmtId="3" fontId="7" fillId="17" borderId="6" xfId="0" applyNumberFormat="1" applyFont="1" applyFill="1" applyBorder="1" applyAlignment="1">
      <alignment horizontal="center" vertical="center" wrapText="1"/>
    </xf>
    <xf numFmtId="0" fontId="28" fillId="0" borderId="41" xfId="0" applyFont="1" applyFill="1" applyBorder="1" applyAlignment="1">
      <alignment horizontal="center" vertical="center"/>
    </xf>
    <xf numFmtId="0" fontId="29" fillId="0" borderId="0" xfId="0" applyFont="1" applyFill="1"/>
    <xf numFmtId="0" fontId="34" fillId="0" borderId="19"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71" fillId="16" borderId="5" xfId="0" applyFont="1" applyFill="1" applyBorder="1" applyAlignment="1">
      <alignment horizontal="center" vertical="center" wrapText="1"/>
    </xf>
    <xf numFmtId="0" fontId="70" fillId="0" borderId="34" xfId="0" applyFont="1" applyBorder="1" applyAlignment="1">
      <alignment wrapText="1"/>
    </xf>
    <xf numFmtId="0" fontId="70" fillId="0" borderId="66" xfId="0" applyFont="1" applyBorder="1" applyAlignment="1">
      <alignment wrapText="1"/>
    </xf>
    <xf numFmtId="0" fontId="70" fillId="13" borderId="55" xfId="0" applyFont="1" applyFill="1" applyBorder="1" applyAlignment="1">
      <alignment wrapText="1"/>
    </xf>
    <xf numFmtId="0" fontId="70" fillId="0" borderId="69" xfId="0" applyFont="1" applyBorder="1" applyAlignment="1">
      <alignment wrapText="1"/>
    </xf>
    <xf numFmtId="3" fontId="70" fillId="0" borderId="75" xfId="0" quotePrefix="1" applyNumberFormat="1" applyFont="1" applyBorder="1" applyAlignment="1">
      <alignment horizontal="center" vertical="center" wrapText="1"/>
    </xf>
    <xf numFmtId="3" fontId="70" fillId="0" borderId="56" xfId="0" quotePrefix="1" applyNumberFormat="1" applyFont="1" applyBorder="1" applyAlignment="1">
      <alignment horizontal="center" vertical="center" wrapText="1"/>
    </xf>
    <xf numFmtId="3" fontId="70" fillId="0" borderId="76" xfId="0" quotePrefix="1" applyNumberFormat="1" applyFont="1" applyBorder="1" applyAlignment="1">
      <alignment horizontal="center" vertical="center" wrapText="1"/>
    </xf>
    <xf numFmtId="14" fontId="70" fillId="0" borderId="55" xfId="0" applyNumberFormat="1" applyFont="1" applyBorder="1" applyAlignment="1">
      <alignment horizontal="center" vertical="center" wrapText="1"/>
    </xf>
    <xf numFmtId="0" fontId="70" fillId="0" borderId="67" xfId="0" applyFont="1" applyBorder="1" applyAlignment="1">
      <alignment horizontal="center" vertical="center" wrapText="1"/>
    </xf>
    <xf numFmtId="1" fontId="70" fillId="0" borderId="67" xfId="0" applyNumberFormat="1" applyFont="1" applyBorder="1" applyAlignment="1">
      <alignment horizontal="center" vertical="center" wrapText="1"/>
    </xf>
    <xf numFmtId="0" fontId="71" fillId="16" borderId="23" xfId="0" applyFont="1" applyFill="1" applyBorder="1" applyAlignment="1">
      <alignment horizontal="center" vertical="center" wrapText="1"/>
    </xf>
    <xf numFmtId="3" fontId="72" fillId="16" borderId="42" xfId="0" quotePrefix="1" applyNumberFormat="1" applyFont="1" applyFill="1" applyBorder="1" applyAlignment="1">
      <alignment horizontal="center" vertical="center" wrapText="1"/>
    </xf>
    <xf numFmtId="3" fontId="72" fillId="16" borderId="19" xfId="0" quotePrefix="1" applyNumberFormat="1" applyFont="1" applyFill="1" applyBorder="1" applyAlignment="1">
      <alignment horizontal="center" vertical="center" wrapText="1"/>
    </xf>
    <xf numFmtId="0" fontId="70" fillId="16" borderId="77" xfId="0" applyFont="1" applyFill="1" applyBorder="1" applyAlignment="1">
      <alignment wrapText="1"/>
    </xf>
    <xf numFmtId="0" fontId="70" fillId="16" borderId="69" xfId="0" applyFont="1" applyFill="1" applyBorder="1" applyAlignment="1">
      <alignment wrapText="1"/>
    </xf>
    <xf numFmtId="0" fontId="70" fillId="16" borderId="67" xfId="0" applyFont="1" applyFill="1" applyBorder="1" applyAlignment="1">
      <alignment wrapText="1"/>
    </xf>
    <xf numFmtId="1" fontId="53" fillId="0" borderId="88" xfId="0" applyNumberFormat="1" applyFont="1" applyBorder="1" applyAlignment="1">
      <alignment horizontal="center" vertical="center" wrapText="1"/>
    </xf>
    <xf numFmtId="14" fontId="70" fillId="0" borderId="59" xfId="0" applyNumberFormat="1" applyFont="1" applyBorder="1" applyAlignment="1">
      <alignment horizontal="center" vertical="center" wrapText="1"/>
    </xf>
    <xf numFmtId="0" fontId="70" fillId="0" borderId="36" xfId="0" applyFont="1" applyBorder="1" applyAlignment="1">
      <alignment wrapText="1"/>
    </xf>
    <xf numFmtId="0" fontId="70" fillId="0" borderId="82" xfId="0" applyFont="1" applyBorder="1" applyAlignment="1">
      <alignment horizontal="center" vertical="center" wrapText="1"/>
    </xf>
    <xf numFmtId="1" fontId="70" fillId="0" borderId="82" xfId="0" applyNumberFormat="1" applyFont="1" applyBorder="1" applyAlignment="1">
      <alignment horizontal="center" vertical="center" wrapText="1"/>
    </xf>
    <xf numFmtId="0" fontId="53" fillId="16" borderId="13" xfId="0" applyFont="1" applyFill="1" applyBorder="1" applyAlignment="1">
      <alignment wrapText="1"/>
    </xf>
    <xf numFmtId="0" fontId="53" fillId="16" borderId="58" xfId="0" applyFont="1" applyFill="1" applyBorder="1" applyAlignment="1">
      <alignment wrapText="1"/>
    </xf>
    <xf numFmtId="0" fontId="53" fillId="16" borderId="89" xfId="0" applyFont="1" applyFill="1" applyBorder="1" applyAlignment="1">
      <alignment wrapText="1"/>
    </xf>
    <xf numFmtId="0" fontId="53" fillId="16" borderId="54" xfId="0" applyFont="1" applyFill="1" applyBorder="1" applyAlignment="1">
      <alignment wrapText="1"/>
    </xf>
    <xf numFmtId="0" fontId="18" fillId="10" borderId="19"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75" fillId="0" borderId="14" xfId="0" applyFont="1" applyFill="1" applyBorder="1" applyAlignment="1">
      <alignment horizontal="center" vertical="center" wrapText="1"/>
    </xf>
    <xf numFmtId="0" fontId="75" fillId="0" borderId="13" xfId="0" applyFont="1" applyFill="1" applyBorder="1" applyAlignment="1">
      <alignment horizontal="center" vertical="center" wrapText="1"/>
    </xf>
    <xf numFmtId="0" fontId="75" fillId="0" borderId="19" xfId="0" applyFont="1" applyFill="1" applyBorder="1" applyAlignment="1">
      <alignment horizontal="center" vertical="center" wrapText="1"/>
    </xf>
    <xf numFmtId="0" fontId="74" fillId="0" borderId="46" xfId="0" applyFont="1" applyFill="1" applyBorder="1" applyAlignment="1">
      <alignment horizontal="center" vertical="center" wrapText="1"/>
    </xf>
    <xf numFmtId="0" fontId="74" fillId="0" borderId="19" xfId="0" applyFont="1" applyFill="1" applyBorder="1" applyAlignment="1">
      <alignment horizontal="center" vertical="center" wrapText="1"/>
    </xf>
    <xf numFmtId="0" fontId="74" fillId="0" borderId="27" xfId="0" applyFont="1" applyFill="1" applyBorder="1" applyAlignment="1">
      <alignment horizontal="center" vertical="center" wrapText="1"/>
    </xf>
    <xf numFmtId="14" fontId="69" fillId="0" borderId="19" xfId="0" applyNumberFormat="1" applyFont="1" applyBorder="1" applyAlignment="1">
      <alignment horizontal="center" vertical="center" wrapText="1"/>
    </xf>
    <xf numFmtId="3" fontId="7" fillId="13" borderId="23" xfId="0" applyNumberFormat="1" applyFont="1" applyFill="1" applyBorder="1" applyAlignment="1">
      <alignment horizontal="center" vertical="center" wrapText="1"/>
    </xf>
    <xf numFmtId="3" fontId="7" fillId="13" borderId="24" xfId="0" applyNumberFormat="1" applyFont="1" applyFill="1" applyBorder="1" applyAlignment="1">
      <alignment horizontal="center" vertical="center" wrapText="1"/>
    </xf>
    <xf numFmtId="168" fontId="53" fillId="0" borderId="34" xfId="0" applyNumberFormat="1" applyFont="1" applyBorder="1" applyAlignment="1">
      <alignment horizontal="center" vertical="center" wrapText="1"/>
    </xf>
    <xf numFmtId="3" fontId="2" fillId="0" borderId="19" xfId="0" applyNumberFormat="1" applyFont="1" applyFill="1" applyBorder="1" applyAlignment="1">
      <alignment horizontal="center" vertical="center" wrapText="1"/>
    </xf>
    <xf numFmtId="0" fontId="76" fillId="0" borderId="14" xfId="0" applyFont="1" applyFill="1" applyBorder="1" applyAlignment="1">
      <alignment horizontal="center" vertical="center" wrapText="1"/>
    </xf>
    <xf numFmtId="14" fontId="77" fillId="0" borderId="5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9" xfId="0" applyFont="1" applyBorder="1" applyAlignment="1">
      <alignment horizontal="center"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 fillId="0" borderId="7" xfId="0" applyFont="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vertical="top" wrapText="1"/>
    </xf>
    <xf numFmtId="0" fontId="2" fillId="7" borderId="6" xfId="0" applyFont="1" applyFill="1" applyBorder="1" applyAlignment="1">
      <alignment vertical="top" wrapText="1"/>
    </xf>
    <xf numFmtId="0" fontId="2" fillId="7" borderId="19" xfId="0" applyFont="1" applyFill="1" applyBorder="1" applyAlignment="1">
      <alignment vertical="top" wrapText="1"/>
    </xf>
    <xf numFmtId="0" fontId="2" fillId="6" borderId="6" xfId="0" applyFont="1" applyFill="1" applyBorder="1" applyAlignment="1">
      <alignment horizontal="center" vertical="center" wrapText="1"/>
    </xf>
    <xf numFmtId="0" fontId="2" fillId="6" borderId="7" xfId="0" applyFont="1" applyFill="1" applyBorder="1" applyAlignment="1">
      <alignment vertical="top" wrapText="1"/>
    </xf>
    <xf numFmtId="0" fontId="2" fillId="6" borderId="6" xfId="0" applyFont="1" applyFill="1" applyBorder="1" applyAlignment="1">
      <alignment vertical="top" wrapText="1"/>
    </xf>
    <xf numFmtId="0" fontId="2" fillId="6" borderId="19" xfId="0" applyFont="1" applyFill="1" applyBorder="1" applyAlignment="1">
      <alignment vertical="top" wrapText="1"/>
    </xf>
    <xf numFmtId="0" fontId="2" fillId="16" borderId="24" xfId="0" applyFont="1" applyFill="1" applyBorder="1" applyAlignment="1">
      <alignment horizontal="center" vertical="center" wrapText="1"/>
    </xf>
    <xf numFmtId="0" fontId="2" fillId="16" borderId="29" xfId="0" applyFont="1" applyFill="1" applyBorder="1" applyAlignment="1">
      <alignment vertical="top" wrapText="1"/>
    </xf>
    <xf numFmtId="0" fontId="2" fillId="16" borderId="24" xfId="0" applyFont="1" applyFill="1" applyBorder="1" applyAlignment="1">
      <alignment vertical="top" wrapText="1"/>
    </xf>
    <xf numFmtId="0" fontId="2" fillId="5" borderId="19" xfId="0" applyFont="1" applyFill="1" applyBorder="1" applyAlignment="1">
      <alignment vertical="top" wrapText="1"/>
    </xf>
    <xf numFmtId="3" fontId="2" fillId="5" borderId="6"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3" fontId="2" fillId="13" borderId="19"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13" fillId="0" borderId="19" xfId="0" applyFont="1" applyBorder="1" applyAlignment="1">
      <alignment horizontal="center" vertical="center" wrapText="1"/>
    </xf>
    <xf numFmtId="0" fontId="2" fillId="13" borderId="13"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top" wrapText="1"/>
    </xf>
    <xf numFmtId="0" fontId="2" fillId="16" borderId="6" xfId="0" applyFont="1" applyFill="1" applyBorder="1" applyAlignment="1">
      <alignment vertical="top" wrapText="1"/>
    </xf>
    <xf numFmtId="0" fontId="2" fillId="5" borderId="27" xfId="0"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0" fontId="12" fillId="16" borderId="19" xfId="0" applyFont="1" applyFill="1" applyBorder="1" applyAlignment="1">
      <alignment horizontal="left" vertical="center" wrapText="1"/>
    </xf>
    <xf numFmtId="0" fontId="2" fillId="16" borderId="45" xfId="0" applyFont="1" applyFill="1" applyBorder="1" applyAlignment="1">
      <alignment horizontal="center" vertical="center" wrapText="1"/>
    </xf>
    <xf numFmtId="0" fontId="2" fillId="16" borderId="44" xfId="0" applyFont="1" applyFill="1" applyBorder="1" applyAlignment="1">
      <alignment vertical="top" wrapText="1"/>
    </xf>
    <xf numFmtId="0" fontId="2" fillId="16" borderId="45" xfId="0" applyFont="1" applyFill="1" applyBorder="1" applyAlignment="1">
      <alignment vertical="top" wrapText="1"/>
    </xf>
    <xf numFmtId="0" fontId="2" fillId="5" borderId="44" xfId="0" applyFont="1" applyFill="1" applyBorder="1" applyAlignment="1">
      <alignment vertical="top" wrapText="1"/>
    </xf>
    <xf numFmtId="0" fontId="2" fillId="6"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5" borderId="28" xfId="0" applyFont="1" applyFill="1" applyBorder="1" applyAlignment="1">
      <alignment vertical="top" wrapText="1"/>
    </xf>
    <xf numFmtId="3" fontId="2" fillId="5" borderId="30" xfId="0" applyNumberFormat="1" applyFont="1" applyFill="1" applyBorder="1" applyAlignment="1">
      <alignment horizontal="center" vertical="center" wrapText="1"/>
    </xf>
    <xf numFmtId="0" fontId="2" fillId="0" borderId="26" xfId="0" applyFont="1" applyBorder="1" applyAlignment="1">
      <alignment horizontal="left" vertical="center" wrapText="1"/>
    </xf>
    <xf numFmtId="0" fontId="2" fillId="13" borderId="26" xfId="0" applyFont="1" applyFill="1" applyBorder="1" applyAlignment="1">
      <alignment horizontal="center" vertical="center" wrapText="1"/>
    </xf>
    <xf numFmtId="3" fontId="2" fillId="13" borderId="26" xfId="0" applyNumberFormat="1" applyFont="1" applyFill="1" applyBorder="1" applyAlignment="1">
      <alignment horizontal="center" vertical="center" wrapText="1"/>
    </xf>
    <xf numFmtId="0" fontId="8" fillId="0" borderId="0" xfId="0" applyFont="1" applyBorder="1"/>
    <xf numFmtId="0" fontId="2" fillId="13" borderId="27" xfId="0" applyFont="1" applyFill="1" applyBorder="1" applyAlignment="1">
      <alignment horizontal="center" vertical="center" wrapText="1"/>
    </xf>
    <xf numFmtId="3" fontId="2" fillId="13" borderId="27" xfId="0" applyNumberFormat="1" applyFont="1" applyFill="1" applyBorder="1" applyAlignment="1">
      <alignment horizontal="center" vertical="center" wrapText="1"/>
    </xf>
    <xf numFmtId="0" fontId="4" fillId="16" borderId="5" xfId="0" applyFont="1" applyFill="1" applyBorder="1" applyAlignment="1">
      <alignment horizontal="center" vertical="center" wrapText="1"/>
    </xf>
    <xf numFmtId="0" fontId="2" fillId="5" borderId="32" xfId="0" applyFont="1" applyFill="1" applyBorder="1" applyAlignment="1">
      <alignment vertical="top" wrapText="1"/>
    </xf>
    <xf numFmtId="3" fontId="2" fillId="5" borderId="19"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0" fontId="2" fillId="7" borderId="23" xfId="0" applyFont="1" applyFill="1" applyBorder="1" applyAlignment="1">
      <alignment vertical="top" wrapText="1"/>
    </xf>
    <xf numFmtId="0" fontId="2" fillId="7" borderId="19" xfId="0" applyFont="1" applyFill="1" applyBorder="1" applyAlignment="1">
      <alignment horizontal="center" vertical="center" wrapText="1"/>
    </xf>
    <xf numFmtId="0" fontId="2" fillId="6" borderId="23" xfId="0" applyFont="1" applyFill="1" applyBorder="1" applyAlignment="1">
      <alignment vertical="top" wrapText="1"/>
    </xf>
    <xf numFmtId="0" fontId="2" fillId="6" borderId="27" xfId="0" applyFont="1" applyFill="1" applyBorder="1" applyAlignment="1">
      <alignment vertical="top" wrapText="1"/>
    </xf>
    <xf numFmtId="0" fontId="2" fillId="6" borderId="19"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5" borderId="7" xfId="0" applyFont="1" applyFill="1" applyBorder="1" applyAlignment="1">
      <alignment vertical="top" wrapText="1"/>
    </xf>
    <xf numFmtId="0" fontId="2" fillId="16" borderId="13" xfId="0" applyFont="1" applyFill="1" applyBorder="1" applyAlignment="1">
      <alignment vertical="top" wrapText="1"/>
    </xf>
    <xf numFmtId="0" fontId="2" fillId="5" borderId="13" xfId="0" applyFont="1" applyFill="1" applyBorder="1" applyAlignment="1">
      <alignment vertical="top" wrapText="1"/>
    </xf>
    <xf numFmtId="0" fontId="2" fillId="16" borderId="23" xfId="0" applyFont="1" applyFill="1" applyBorder="1" applyAlignment="1">
      <alignment vertical="top" wrapText="1"/>
    </xf>
    <xf numFmtId="0" fontId="2" fillId="5" borderId="23" xfId="0" applyFont="1" applyFill="1" applyBorder="1" applyAlignment="1">
      <alignment vertical="top" wrapText="1"/>
    </xf>
    <xf numFmtId="0" fontId="2" fillId="16" borderId="27" xfId="0" applyFont="1" applyFill="1" applyBorder="1" applyAlignment="1">
      <alignment horizontal="center" vertical="center" wrapText="1"/>
    </xf>
    <xf numFmtId="0" fontId="2" fillId="16" borderId="27" xfId="0" applyFont="1" applyFill="1" applyBorder="1" applyAlignment="1">
      <alignment vertical="top" wrapText="1"/>
    </xf>
    <xf numFmtId="0" fontId="1" fillId="7" borderId="15" xfId="0" applyFont="1" applyFill="1" applyBorder="1" applyAlignment="1">
      <alignment horizontal="center" vertical="center" wrapText="1"/>
    </xf>
    <xf numFmtId="0" fontId="1" fillId="7" borderId="18" xfId="0" applyFont="1" applyFill="1" applyBorder="1" applyAlignment="1">
      <alignment vertical="top" wrapText="1"/>
    </xf>
    <xf numFmtId="0" fontId="2" fillId="7" borderId="15" xfId="0" applyFont="1" applyFill="1" applyBorder="1" applyAlignment="1">
      <alignment vertical="top" wrapText="1"/>
    </xf>
    <xf numFmtId="0" fontId="2" fillId="7" borderId="18" xfId="0" applyFont="1" applyFill="1" applyBorder="1" applyAlignment="1">
      <alignment vertical="top" wrapText="1"/>
    </xf>
    <xf numFmtId="0" fontId="2" fillId="7" borderId="15" xfId="0" applyFont="1" applyFill="1" applyBorder="1" applyAlignment="1">
      <alignment horizontal="center" vertical="center" wrapText="1"/>
    </xf>
    <xf numFmtId="0" fontId="1" fillId="6" borderId="7" xfId="0" applyFont="1" applyFill="1" applyBorder="1" applyAlignment="1">
      <alignment vertical="top" wrapText="1"/>
    </xf>
    <xf numFmtId="0" fontId="1" fillId="16" borderId="6" xfId="0" applyFont="1" applyFill="1" applyBorder="1" applyAlignment="1">
      <alignment horizontal="center" vertical="center" wrapText="1"/>
    </xf>
    <xf numFmtId="0" fontId="1" fillId="16" borderId="7" xfId="0" applyFont="1" applyFill="1" applyBorder="1" applyAlignment="1">
      <alignment vertical="top" wrapText="1"/>
    </xf>
    <xf numFmtId="0" fontId="1" fillId="6" borderId="19" xfId="0" applyFont="1" applyFill="1" applyBorder="1" applyAlignment="1">
      <alignment horizontal="center" vertical="center" wrapText="1"/>
    </xf>
    <xf numFmtId="0" fontId="1" fillId="6" borderId="14" xfId="0" applyFont="1" applyFill="1" applyBorder="1" applyAlignment="1">
      <alignment vertical="top" wrapText="1"/>
    </xf>
    <xf numFmtId="0" fontId="2" fillId="6" borderId="14" xfId="0" applyFont="1" applyFill="1" applyBorder="1" applyAlignment="1">
      <alignment vertical="top" wrapText="1"/>
    </xf>
    <xf numFmtId="0" fontId="1" fillId="16" borderId="27" xfId="0" applyFont="1" applyFill="1" applyBorder="1" applyAlignment="1">
      <alignment horizontal="center" vertical="center" wrapText="1"/>
    </xf>
    <xf numFmtId="0" fontId="1" fillId="16" borderId="23" xfId="0" applyFont="1" applyFill="1" applyBorder="1" applyAlignment="1">
      <alignment vertical="top" wrapText="1"/>
    </xf>
    <xf numFmtId="3" fontId="2" fillId="5" borderId="27" xfId="0" applyNumberFormat="1" applyFont="1" applyFill="1" applyBorder="1" applyAlignment="1">
      <alignment horizontal="center" vertical="center" wrapText="1"/>
    </xf>
    <xf numFmtId="3" fontId="28" fillId="0" borderId="6" xfId="0" applyNumberFormat="1" applyFont="1" applyFill="1" applyBorder="1" applyAlignment="1">
      <alignment horizontal="left" wrapText="1"/>
    </xf>
    <xf numFmtId="0" fontId="25" fillId="0" borderId="0" xfId="0" applyFont="1"/>
    <xf numFmtId="0" fontId="29" fillId="0" borderId="92"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2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5" xfId="0" applyFont="1" applyBorder="1" applyAlignment="1">
      <alignment horizontal="center" vertical="center" wrapText="1"/>
    </xf>
    <xf numFmtId="0" fontId="8" fillId="0" borderId="29" xfId="0" applyFont="1" applyBorder="1" applyAlignment="1">
      <alignment vertical="center" wrapText="1"/>
    </xf>
    <xf numFmtId="0" fontId="8" fillId="0" borderId="10" xfId="0" applyFont="1" applyBorder="1" applyAlignment="1">
      <alignment vertical="center" wrapText="1"/>
    </xf>
    <xf numFmtId="168" fontId="53" fillId="0" borderId="36" xfId="0" applyNumberFormat="1" applyFont="1" applyBorder="1" applyAlignment="1">
      <alignment horizontal="center" vertical="center" wrapText="1"/>
    </xf>
    <xf numFmtId="14" fontId="53" fillId="5" borderId="55" xfId="0" applyNumberFormat="1" applyFont="1" applyFill="1" applyBorder="1" applyAlignment="1">
      <alignment horizontal="center" vertical="center" wrapText="1"/>
    </xf>
    <xf numFmtId="3" fontId="24" fillId="16" borderId="19" xfId="0" quotePrefix="1" applyNumberFormat="1" applyFont="1" applyFill="1" applyBorder="1" applyAlignment="1">
      <alignment horizontal="center" vertical="center" wrapText="1"/>
    </xf>
    <xf numFmtId="3" fontId="24" fillId="16" borderId="14" xfId="0" applyNumberFormat="1" applyFont="1" applyFill="1" applyBorder="1" applyAlignment="1">
      <alignment horizontal="center" vertical="center" wrapText="1"/>
    </xf>
    <xf numFmtId="3" fontId="24" fillId="16" borderId="19" xfId="0" applyNumberFormat="1" applyFont="1" applyFill="1" applyBorder="1" applyAlignment="1">
      <alignment horizontal="center" vertical="center" wrapText="1"/>
    </xf>
    <xf numFmtId="0" fontId="13" fillId="0" borderId="66" xfId="0" applyFont="1" applyBorder="1" applyAlignment="1">
      <alignment wrapText="1"/>
    </xf>
    <xf numFmtId="0" fontId="13" fillId="13" borderId="55" xfId="0" applyFont="1" applyFill="1" applyBorder="1" applyAlignment="1">
      <alignment wrapText="1"/>
    </xf>
    <xf numFmtId="0" fontId="13" fillId="0" borderId="34" xfId="0" applyFont="1" applyBorder="1" applyAlignment="1">
      <alignment wrapText="1"/>
    </xf>
    <xf numFmtId="0" fontId="13" fillId="0" borderId="69" xfId="0" applyFont="1" applyBorder="1" applyAlignment="1">
      <alignment wrapText="1"/>
    </xf>
    <xf numFmtId="0" fontId="13" fillId="0" borderId="67" xfId="0" applyFont="1" applyBorder="1" applyAlignment="1">
      <alignment wrapText="1"/>
    </xf>
    <xf numFmtId="2" fontId="53" fillId="0" borderId="67" xfId="0" applyNumberFormat="1" applyFont="1" applyBorder="1" applyAlignment="1">
      <alignment horizontal="center" vertical="center" wrapText="1"/>
    </xf>
    <xf numFmtId="0" fontId="13" fillId="0" borderId="34" xfId="0" applyFont="1" applyBorder="1" applyAlignment="1">
      <alignment horizontal="center" vertical="center" wrapText="1"/>
    </xf>
    <xf numFmtId="168" fontId="13" fillId="0" borderId="34" xfId="0" applyNumberFormat="1" applyFont="1" applyBorder="1" applyAlignment="1">
      <alignment horizontal="center" vertical="center" wrapText="1"/>
    </xf>
    <xf numFmtId="0" fontId="13" fillId="0" borderId="34" xfId="0" applyFont="1" applyBorder="1" applyAlignment="1">
      <alignment horizontal="left" wrapText="1"/>
    </xf>
    <xf numFmtId="0" fontId="13" fillId="0" borderId="34" xfId="0" applyFont="1" applyBorder="1" applyAlignment="1">
      <alignment horizontal="center" wrapText="1"/>
    </xf>
    <xf numFmtId="0" fontId="53" fillId="13" borderId="34" xfId="0" applyFont="1" applyFill="1" applyBorder="1" applyAlignment="1">
      <alignment horizontal="center" vertical="center" wrapText="1"/>
    </xf>
    <xf numFmtId="0" fontId="53" fillId="13" borderId="36" xfId="0" applyFont="1" applyFill="1" applyBorder="1" applyAlignment="1">
      <alignment horizontal="center" vertical="center" wrapText="1"/>
    </xf>
    <xf numFmtId="0" fontId="18" fillId="0" borderId="36" xfId="0" applyFont="1" applyFill="1" applyBorder="1" applyAlignment="1">
      <alignment wrapText="1"/>
    </xf>
    <xf numFmtId="0" fontId="13" fillId="0" borderId="34" xfId="0" applyFont="1" applyFill="1" applyBorder="1" applyAlignment="1">
      <alignment horizontal="left" wrapText="1"/>
    </xf>
    <xf numFmtId="0" fontId="53" fillId="0" borderId="35" xfId="0" applyFont="1" applyFill="1" applyBorder="1" applyAlignment="1">
      <alignment horizontal="left" wrapText="1"/>
    </xf>
    <xf numFmtId="0" fontId="13" fillId="0" borderId="36" xfId="0" applyFont="1" applyBorder="1" applyAlignment="1">
      <alignment wrapText="1"/>
    </xf>
    <xf numFmtId="0" fontId="39" fillId="0" borderId="42"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3" xfId="0" applyFont="1" applyFill="1" applyBorder="1" applyAlignment="1">
      <alignment horizontal="center" vertical="center" wrapText="1"/>
    </xf>
    <xf numFmtId="0" fontId="39" fillId="0" borderId="53" xfId="0" applyFont="1" applyBorder="1" applyAlignment="1">
      <alignment horizontal="center" vertical="center" wrapText="1"/>
    </xf>
    <xf numFmtId="0" fontId="39" fillId="0" borderId="58" xfId="0" applyFont="1" applyBorder="1" applyAlignment="1">
      <alignment horizontal="center" vertical="center" wrapText="1"/>
    </xf>
    <xf numFmtId="0" fontId="53" fillId="0" borderId="93" xfId="0" applyFont="1" applyBorder="1" applyAlignment="1">
      <alignment horizontal="center" vertical="center" wrapText="1"/>
    </xf>
    <xf numFmtId="0" fontId="53" fillId="0" borderId="94" xfId="0" applyFont="1" applyBorder="1" applyAlignment="1">
      <alignment horizontal="center" vertical="center" wrapText="1"/>
    </xf>
    <xf numFmtId="0" fontId="53" fillId="13" borderId="94" xfId="0" applyFont="1" applyFill="1" applyBorder="1" applyAlignment="1">
      <alignment horizontal="center" vertical="center" wrapText="1"/>
    </xf>
    <xf numFmtId="0" fontId="24" fillId="0" borderId="42" xfId="0" applyFont="1" applyBorder="1" applyAlignment="1">
      <alignment horizontal="center" vertical="center" wrapText="1"/>
    </xf>
    <xf numFmtId="0" fontId="24" fillId="0" borderId="91" xfId="0" applyFont="1" applyBorder="1" applyAlignment="1">
      <alignment horizontal="center" vertical="center" wrapText="1"/>
    </xf>
    <xf numFmtId="0" fontId="39" fillId="0" borderId="59"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34" xfId="0" applyFont="1" applyBorder="1" applyAlignment="1">
      <alignment horizontal="center" vertical="center" wrapText="1"/>
    </xf>
    <xf numFmtId="3" fontId="19" fillId="5" borderId="34" xfId="0" applyNumberFormat="1" applyFont="1" applyFill="1" applyBorder="1" applyAlignment="1">
      <alignment horizontal="center" vertical="center" wrapText="1"/>
    </xf>
    <xf numFmtId="3" fontId="19" fillId="0" borderId="34" xfId="0" applyNumberFormat="1" applyFont="1" applyBorder="1" applyAlignment="1">
      <alignment horizontal="center" vertical="center" wrapText="1"/>
    </xf>
    <xf numFmtId="3" fontId="19" fillId="13" borderId="34" xfId="0" applyNumberFormat="1" applyFont="1" applyFill="1" applyBorder="1" applyAlignment="1">
      <alignment horizontal="center" vertical="center" wrapText="1"/>
    </xf>
    <xf numFmtId="0" fontId="28" fillId="0" borderId="34" xfId="0" applyFont="1" applyBorder="1" applyAlignment="1">
      <alignment horizontal="center" vertical="center" wrapText="1"/>
    </xf>
    <xf numFmtId="3" fontId="26" fillId="5" borderId="34" xfId="0" applyNumberFormat="1" applyFont="1" applyFill="1" applyBorder="1" applyAlignment="1">
      <alignment horizontal="center" vertical="center" wrapText="1"/>
    </xf>
    <xf numFmtId="3" fontId="26" fillId="0" borderId="34" xfId="0" applyNumberFormat="1" applyFont="1" applyBorder="1" applyAlignment="1">
      <alignment horizontal="center" vertical="center" wrapText="1"/>
    </xf>
    <xf numFmtId="3" fontId="26" fillId="13" borderId="34" xfId="0" applyNumberFormat="1" applyFont="1" applyFill="1" applyBorder="1" applyAlignment="1">
      <alignment horizontal="center" vertical="center" wrapText="1"/>
    </xf>
    <xf numFmtId="3" fontId="19" fillId="5" borderId="36" xfId="0" applyNumberFormat="1" applyFont="1" applyFill="1" applyBorder="1" applyAlignment="1">
      <alignment horizontal="center" vertical="center" wrapText="1"/>
    </xf>
    <xf numFmtId="3" fontId="19" fillId="0" borderId="36" xfId="0" applyNumberFormat="1" applyFont="1" applyBorder="1" applyAlignment="1">
      <alignment horizontal="center" vertical="center" wrapText="1"/>
    </xf>
    <xf numFmtId="3" fontId="19" fillId="13" borderId="36" xfId="0" applyNumberFormat="1" applyFont="1" applyFill="1" applyBorder="1" applyAlignment="1">
      <alignment horizontal="center" vertical="center" wrapText="1"/>
    </xf>
    <xf numFmtId="0" fontId="21" fillId="5" borderId="40" xfId="0" applyFont="1" applyFill="1" applyBorder="1" applyAlignment="1">
      <alignment horizontal="center" vertical="center" wrapText="1"/>
    </xf>
    <xf numFmtId="0" fontId="21" fillId="0" borderId="40" xfId="0" applyFont="1" applyBorder="1" applyAlignment="1">
      <alignment horizontal="center" vertical="center" wrapText="1"/>
    </xf>
    <xf numFmtId="0" fontId="21" fillId="13" borderId="40" xfId="0" applyFont="1" applyFill="1" applyBorder="1" applyAlignment="1">
      <alignment horizontal="center" vertical="center" wrapText="1"/>
    </xf>
    <xf numFmtId="0" fontId="21" fillId="13" borderId="5" xfId="0" applyFont="1" applyFill="1" applyBorder="1" applyAlignment="1">
      <alignment horizontal="center" vertical="center" wrapText="1"/>
    </xf>
    <xf numFmtId="3" fontId="21" fillId="5" borderId="79" xfId="0" applyNumberFormat="1" applyFont="1" applyFill="1" applyBorder="1" applyAlignment="1">
      <alignment horizontal="center" vertical="center" wrapText="1"/>
    </xf>
    <xf numFmtId="3" fontId="21" fillId="5" borderId="69" xfId="0" applyNumberFormat="1" applyFont="1" applyFill="1" applyBorder="1" applyAlignment="1">
      <alignment horizontal="center" vertical="center" wrapText="1"/>
    </xf>
    <xf numFmtId="3" fontId="25" fillId="5" borderId="69" xfId="0" applyNumberFormat="1" applyFont="1" applyFill="1" applyBorder="1" applyAlignment="1">
      <alignment horizontal="center" vertical="center" wrapText="1"/>
    </xf>
    <xf numFmtId="3" fontId="21" fillId="0" borderId="131" xfId="0" applyNumberFormat="1" applyFont="1" applyBorder="1" applyAlignment="1">
      <alignment horizontal="center" vertical="center" wrapText="1"/>
    </xf>
    <xf numFmtId="3" fontId="21" fillId="0" borderId="95" xfId="0" applyNumberFormat="1" applyFont="1" applyBorder="1" applyAlignment="1">
      <alignment horizontal="center" vertical="center" wrapText="1"/>
    </xf>
    <xf numFmtId="3" fontId="25" fillId="0" borderId="95" xfId="0" applyNumberFormat="1" applyFont="1" applyBorder="1" applyAlignment="1">
      <alignment horizontal="center" vertical="center" wrapText="1"/>
    </xf>
    <xf numFmtId="3" fontId="21" fillId="0" borderId="132" xfId="0" applyNumberFormat="1" applyFont="1" applyBorder="1" applyAlignment="1">
      <alignment horizontal="center" vertical="center" wrapText="1"/>
    </xf>
    <xf numFmtId="0" fontId="47" fillId="0" borderId="34" xfId="0" applyFont="1" applyBorder="1" applyAlignment="1">
      <alignment horizontal="center" vertical="center" wrapText="1"/>
    </xf>
    <xf numFmtId="0" fontId="47" fillId="0" borderId="34" xfId="0" applyFont="1" applyBorder="1" applyAlignment="1">
      <alignment vertical="top" wrapText="1"/>
    </xf>
    <xf numFmtId="3" fontId="47" fillId="0" borderId="34" xfId="0" applyNumberFormat="1" applyFont="1" applyBorder="1" applyAlignment="1">
      <alignment horizontal="center" vertical="center" wrapText="1"/>
    </xf>
    <xf numFmtId="0" fontId="47" fillId="0" borderId="36" xfId="0" applyFont="1" applyBorder="1" applyAlignment="1">
      <alignment horizontal="center" vertical="center" wrapText="1"/>
    </xf>
    <xf numFmtId="0" fontId="47" fillId="0" borderId="36" xfId="0" applyFont="1" applyBorder="1" applyAlignment="1">
      <alignment vertical="top" wrapText="1"/>
    </xf>
    <xf numFmtId="0" fontId="29" fillId="0" borderId="19" xfId="0" applyFont="1" applyBorder="1" applyAlignment="1">
      <alignment horizontal="center" vertical="center" wrapText="1"/>
    </xf>
    <xf numFmtId="0" fontId="28" fillId="15" borderId="34" xfId="0" applyFont="1" applyFill="1" applyBorder="1" applyAlignment="1">
      <alignment horizontal="center" vertical="center" wrapText="1"/>
    </xf>
    <xf numFmtId="0" fontId="28" fillId="15" borderId="34" xfId="0" applyFont="1" applyFill="1" applyBorder="1" applyAlignment="1">
      <alignment horizontal="left" vertical="center" wrapText="1"/>
    </xf>
    <xf numFmtId="0" fontId="26" fillId="15" borderId="34"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34" xfId="0" applyFont="1" applyFill="1" applyBorder="1" applyAlignment="1">
      <alignment horizontal="left" vertical="center" wrapText="1"/>
    </xf>
    <xf numFmtId="0" fontId="26" fillId="0" borderId="34" xfId="0" applyFont="1" applyBorder="1" applyAlignment="1">
      <alignment horizontal="center" vertical="center" wrapText="1"/>
    </xf>
    <xf numFmtId="0" fontId="28" fillId="0" borderId="34" xfId="0" applyFont="1" applyBorder="1" applyAlignment="1">
      <alignment wrapText="1"/>
    </xf>
    <xf numFmtId="167" fontId="53" fillId="0" borderId="0" xfId="0" applyNumberFormat="1" applyFont="1" applyBorder="1" applyAlignment="1">
      <alignment horizontal="center" vertical="center" wrapText="1"/>
    </xf>
    <xf numFmtId="0" fontId="4" fillId="0" borderId="5" xfId="0" applyFont="1" applyBorder="1" applyAlignment="1">
      <alignment horizontal="left" vertical="center" wrapText="1"/>
    </xf>
    <xf numFmtId="16" fontId="41" fillId="7" borderId="23" xfId="0" applyNumberFormat="1" applyFont="1" applyFill="1" applyBorder="1" applyAlignment="1">
      <alignment horizontal="center" vertical="center" wrapText="1"/>
    </xf>
    <xf numFmtId="14" fontId="40" fillId="6" borderId="23" xfId="0" applyNumberFormat="1"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12" fillId="16" borderId="23" xfId="0" applyFont="1" applyFill="1" applyBorder="1" applyAlignment="1">
      <alignment horizontal="center" vertical="center" wrapText="1"/>
    </xf>
    <xf numFmtId="0" fontId="12" fillId="16" borderId="23" xfId="0" applyFont="1" applyFill="1" applyBorder="1" applyAlignment="1">
      <alignment vertical="top" wrapText="1"/>
    </xf>
    <xf numFmtId="0" fontId="12" fillId="16" borderId="13" xfId="0" applyFont="1" applyFill="1" applyBorder="1" applyAlignment="1">
      <alignment horizontal="left" vertical="center" wrapText="1"/>
    </xf>
    <xf numFmtId="14" fontId="29" fillId="6" borderId="23" xfId="0" applyNumberFormat="1" applyFont="1" applyFill="1" applyBorder="1" applyAlignment="1">
      <alignment horizontal="center" vertical="center" wrapText="1"/>
    </xf>
    <xf numFmtId="16" fontId="34" fillId="7" borderId="23" xfId="0" applyNumberFormat="1" applyFont="1" applyFill="1" applyBorder="1" applyAlignment="1">
      <alignment horizontal="center" vertical="center" wrapText="1"/>
    </xf>
    <xf numFmtId="16" fontId="29" fillId="7" borderId="23" xfId="0" applyNumberFormat="1" applyFont="1" applyFill="1" applyBorder="1" applyAlignment="1">
      <alignment horizontal="center" vertical="center" wrapText="1"/>
    </xf>
    <xf numFmtId="2" fontId="2" fillId="0" borderId="19" xfId="0" applyNumberFormat="1" applyFont="1" applyFill="1" applyBorder="1" applyAlignment="1">
      <alignment horizontal="center" vertical="center" wrapText="1"/>
    </xf>
    <xf numFmtId="4" fontId="1" fillId="0" borderId="6" xfId="0" applyNumberFormat="1" applyFont="1" applyBorder="1" applyAlignment="1">
      <alignment horizontal="center" vertical="center" wrapText="1"/>
    </xf>
    <xf numFmtId="14" fontId="14" fillId="0" borderId="19" xfId="0" applyNumberFormat="1" applyFont="1" applyFill="1" applyBorder="1" applyAlignment="1">
      <alignment horizontal="center" vertical="center" wrapText="1"/>
    </xf>
    <xf numFmtId="0" fontId="4" fillId="13" borderId="6" xfId="0" applyFont="1" applyFill="1" applyBorder="1" applyAlignment="1">
      <alignment horizontal="center" vertical="top" wrapText="1"/>
    </xf>
    <xf numFmtId="14" fontId="1" fillId="0" borderId="6" xfId="0" applyNumberFormat="1" applyFont="1" applyFill="1" applyBorder="1" applyAlignment="1">
      <alignment horizontal="center" vertical="center" wrapText="1"/>
    </xf>
    <xf numFmtId="165" fontId="14" fillId="0" borderId="19" xfId="0" applyNumberFormat="1" applyFont="1" applyFill="1" applyBorder="1" applyAlignment="1">
      <alignment horizontal="center" vertical="center" wrapText="1"/>
    </xf>
    <xf numFmtId="0" fontId="2" fillId="0" borderId="15" xfId="0" applyFont="1" applyBorder="1" applyAlignment="1">
      <alignment vertical="center" wrapText="1"/>
    </xf>
    <xf numFmtId="0" fontId="2" fillId="0" borderId="15" xfId="0" applyFont="1" applyBorder="1" applyAlignment="1">
      <alignment horizontal="center" vertical="center" wrapText="1"/>
    </xf>
    <xf numFmtId="3" fontId="2" fillId="0" borderId="7" xfId="0" applyNumberFormat="1" applyFont="1" applyBorder="1" applyAlignment="1">
      <alignment horizontal="center" vertical="center" wrapText="1"/>
    </xf>
    <xf numFmtId="14" fontId="14" fillId="0" borderId="13"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79" fillId="0" borderId="19" xfId="0" applyFont="1" applyFill="1" applyBorder="1" applyAlignment="1">
      <alignment vertical="top" wrapText="1"/>
    </xf>
    <xf numFmtId="0" fontId="79" fillId="0" borderId="15" xfId="0" applyFont="1" applyFill="1" applyBorder="1" applyAlignment="1">
      <alignment vertical="top" wrapText="1"/>
    </xf>
    <xf numFmtId="0" fontId="79" fillId="0" borderId="19" xfId="0" applyFont="1" applyFill="1" applyBorder="1" applyAlignment="1">
      <alignment horizontal="center" vertical="center" wrapText="1"/>
    </xf>
    <xf numFmtId="3" fontId="79" fillId="0" borderId="19" xfId="0" applyNumberFormat="1" applyFont="1" applyFill="1" applyBorder="1" applyAlignment="1">
      <alignment horizontal="center" vertical="center" wrapText="1"/>
    </xf>
    <xf numFmtId="3" fontId="14" fillId="0" borderId="6"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3" fontId="5" fillId="0" borderId="0" xfId="0" applyNumberFormat="1" applyFont="1" applyFill="1"/>
    <xf numFmtId="3" fontId="1" fillId="0" borderId="10" xfId="0" applyNumberFormat="1" applyFont="1" applyBorder="1" applyAlignment="1">
      <alignment horizontal="center" vertical="center" wrapText="1"/>
    </xf>
    <xf numFmtId="0" fontId="1" fillId="13" borderId="19" xfId="0" applyFont="1" applyFill="1" applyBorder="1" applyAlignment="1">
      <alignment horizontal="left" vertical="center" wrapText="1"/>
    </xf>
    <xf numFmtId="0" fontId="1" fillId="13" borderId="27" xfId="0" applyFont="1" applyFill="1" applyBorder="1" applyAlignment="1">
      <alignment horizontal="left" vertical="center" wrapText="1"/>
    </xf>
    <xf numFmtId="1" fontId="14" fillId="0" borderId="19" xfId="0" applyNumberFormat="1" applyFont="1" applyBorder="1" applyAlignment="1">
      <alignment horizontal="center" vertical="center" wrapText="1"/>
    </xf>
    <xf numFmtId="0" fontId="2" fillId="0" borderId="6" xfId="0" applyFont="1" applyBorder="1" applyAlignment="1">
      <alignment vertical="center" wrapText="1"/>
    </xf>
    <xf numFmtId="166" fontId="2" fillId="0" borderId="6" xfId="0" applyNumberFormat="1" applyFont="1" applyBorder="1" applyAlignment="1">
      <alignment horizontal="center" vertical="center" wrapText="1"/>
    </xf>
    <xf numFmtId="166" fontId="2" fillId="0" borderId="19" xfId="0" applyNumberFormat="1" applyFont="1" applyBorder="1" applyAlignment="1">
      <alignment horizontal="center" vertical="center" wrapText="1"/>
    </xf>
    <xf numFmtId="14" fontId="14" fillId="0" borderId="27" xfId="0" applyNumberFormat="1" applyFont="1" applyBorder="1" applyAlignment="1">
      <alignment horizontal="center" vertical="center" wrapText="1"/>
    </xf>
    <xf numFmtId="4" fontId="1" fillId="0" borderId="18" xfId="0" applyNumberFormat="1" applyFont="1" applyFill="1" applyBorder="1" applyAlignment="1">
      <alignment horizontal="center" vertical="center" wrapText="1"/>
    </xf>
    <xf numFmtId="4" fontId="1" fillId="0" borderId="15" xfId="0" applyNumberFormat="1" applyFont="1" applyFill="1" applyBorder="1" applyAlignment="1">
      <alignment horizontal="center" vertical="center" wrapText="1"/>
    </xf>
    <xf numFmtId="0" fontId="1" fillId="0" borderId="0" xfId="0" applyFont="1" applyFill="1"/>
    <xf numFmtId="3" fontId="2" fillId="0" borderId="15" xfId="0" applyNumberFormat="1" applyFont="1" applyBorder="1" applyAlignment="1">
      <alignment horizontal="center" vertical="center" wrapText="1"/>
    </xf>
    <xf numFmtId="0" fontId="5" fillId="0" borderId="19" xfId="0" applyFont="1" applyBorder="1" applyAlignment="1">
      <alignment vertical="top" wrapText="1"/>
    </xf>
    <xf numFmtId="0" fontId="2" fillId="0" borderId="15" xfId="0" applyFont="1" applyBorder="1" applyAlignment="1">
      <alignment vertical="top" wrapText="1"/>
    </xf>
    <xf numFmtId="0" fontId="14" fillId="0" borderId="6" xfId="0" applyFont="1" applyBorder="1" applyAlignment="1">
      <alignment vertical="center" wrapText="1"/>
    </xf>
    <xf numFmtId="4" fontId="14" fillId="0" borderId="6" xfId="0" applyNumberFormat="1" applyFont="1" applyBorder="1" applyAlignment="1">
      <alignment horizontal="center" vertical="center" wrapText="1"/>
    </xf>
    <xf numFmtId="166" fontId="14" fillId="0" borderId="6"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0" fontId="14" fillId="0" borderId="19" xfId="0" applyFont="1" applyBorder="1" applyAlignment="1">
      <alignment vertical="center" wrapText="1"/>
    </xf>
    <xf numFmtId="0" fontId="14" fillId="0" borderId="15" xfId="0" applyFont="1" applyBorder="1" applyAlignment="1">
      <alignment vertical="center" wrapText="1"/>
    </xf>
    <xf numFmtId="0" fontId="14" fillId="0" borderId="15" xfId="0" applyFont="1" applyBorder="1" applyAlignment="1">
      <alignment horizontal="center" vertical="center" wrapText="1"/>
    </xf>
    <xf numFmtId="0" fontId="75" fillId="0" borderId="15" xfId="0" applyFont="1" applyFill="1" applyBorder="1" applyAlignment="1">
      <alignment horizontal="center" vertical="center" wrapText="1"/>
    </xf>
    <xf numFmtId="0" fontId="13" fillId="0" borderId="0" xfId="0" applyFont="1" applyFill="1" applyAlignment="1">
      <alignment horizontal="center" vertical="center"/>
    </xf>
    <xf numFmtId="3" fontId="1" fillId="18" borderId="15"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47" fillId="0" borderId="6" xfId="0" applyNumberFormat="1" applyFont="1" applyBorder="1" applyAlignment="1">
      <alignment horizontal="center" vertical="center" wrapText="1"/>
    </xf>
    <xf numFmtId="3" fontId="47" fillId="8" borderId="6" xfId="0" applyNumberFormat="1" applyFont="1" applyFill="1" applyBorder="1" applyAlignment="1">
      <alignment horizontal="center" wrapText="1"/>
    </xf>
    <xf numFmtId="3" fontId="47" fillId="0" borderId="19" xfId="0" applyNumberFormat="1" applyFont="1" applyFill="1" applyBorder="1" applyAlignment="1">
      <alignment horizontal="center" vertical="center" wrapText="1"/>
    </xf>
    <xf numFmtId="3" fontId="47" fillId="0" borderId="6" xfId="0" applyNumberFormat="1" applyFont="1" applyFill="1" applyBorder="1" applyAlignment="1">
      <alignment horizontal="center"/>
    </xf>
    <xf numFmtId="3" fontId="47" fillId="0" borderId="19" xfId="0" applyNumberFormat="1" applyFont="1" applyBorder="1" applyAlignment="1">
      <alignment horizontal="center" vertical="center" wrapText="1"/>
    </xf>
    <xf numFmtId="3" fontId="47" fillId="0" borderId="6" xfId="0" applyNumberFormat="1" applyFont="1" applyBorder="1" applyAlignment="1">
      <alignment horizontal="center" vertical="center"/>
    </xf>
    <xf numFmtId="3" fontId="47" fillId="0" borderId="6" xfId="0" applyNumberFormat="1" applyFont="1" applyBorder="1" applyAlignment="1">
      <alignment horizontal="center"/>
    </xf>
    <xf numFmtId="3" fontId="47" fillId="0" borderId="6" xfId="0" applyNumberFormat="1" applyFont="1" applyFill="1" applyBorder="1" applyAlignment="1">
      <alignment horizontal="center" vertical="center"/>
    </xf>
    <xf numFmtId="3" fontId="40" fillId="3" borderId="7" xfId="0" applyNumberFormat="1" applyFont="1" applyFill="1" applyBorder="1" applyAlignment="1">
      <alignment horizontal="center"/>
    </xf>
    <xf numFmtId="3" fontId="1" fillId="10" borderId="15" xfId="0" applyNumberFormat="1" applyFont="1" applyFill="1" applyBorder="1" applyAlignment="1">
      <alignment horizontal="center" vertical="center" wrapText="1"/>
    </xf>
    <xf numFmtId="3" fontId="47" fillId="10" borderId="6" xfId="0" applyNumberFormat="1" applyFont="1" applyFill="1" applyBorder="1" applyAlignment="1">
      <alignment horizontal="center" vertical="center" wrapText="1"/>
    </xf>
    <xf numFmtId="0" fontId="13" fillId="10" borderId="49" xfId="0" applyFont="1" applyFill="1" applyBorder="1" applyAlignment="1">
      <alignment horizontal="left" vertical="center" wrapText="1"/>
    </xf>
    <xf numFmtId="3" fontId="7" fillId="6" borderId="6" xfId="0" applyNumberFormat="1" applyFont="1" applyFill="1" applyBorder="1" applyAlignment="1">
      <alignment horizontal="center" vertical="center" wrapText="1"/>
    </xf>
    <xf numFmtId="3" fontId="34" fillId="0" borderId="0" xfId="0" applyNumberFormat="1" applyFont="1" applyFill="1" applyBorder="1" applyAlignment="1">
      <alignment horizontal="center"/>
    </xf>
    <xf numFmtId="166" fontId="2" fillId="0" borderId="19" xfId="0" applyNumberFormat="1"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0" fontId="76" fillId="0" borderId="13" xfId="0" applyFont="1" applyFill="1" applyBorder="1" applyAlignment="1">
      <alignment horizontal="center" vertical="center" wrapText="1"/>
    </xf>
    <xf numFmtId="0" fontId="28" fillId="0" borderId="27"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9" fillId="0" borderId="134"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9" xfId="0" applyFont="1" applyBorder="1" applyAlignment="1">
      <alignment horizontal="center" vertical="center" wrapText="1"/>
    </xf>
    <xf numFmtId="0" fontId="8" fillId="0" borderId="7" xfId="0" applyFont="1" applyBorder="1" applyAlignment="1">
      <alignment vertical="center" wrapText="1"/>
    </xf>
    <xf numFmtId="0" fontId="28" fillId="0" borderId="6"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134" xfId="0" applyFont="1" applyBorder="1" applyAlignment="1">
      <alignment horizontal="center" vertical="center" wrapText="1"/>
    </xf>
    <xf numFmtId="0" fontId="28" fillId="0" borderId="30" xfId="0" applyFont="1" applyBorder="1" applyAlignment="1">
      <alignment horizontal="center" vertical="center" wrapText="1"/>
    </xf>
    <xf numFmtId="0" fontId="2" fillId="0" borderId="19" xfId="0" applyFont="1" applyBorder="1" applyAlignment="1">
      <alignment vertical="center" wrapText="1"/>
    </xf>
    <xf numFmtId="14" fontId="2" fillId="13" borderId="6" xfId="0" applyNumberFormat="1" applyFont="1" applyFill="1" applyBorder="1" applyAlignment="1">
      <alignment horizontal="center" vertical="center" wrapText="1"/>
    </xf>
    <xf numFmtId="14" fontId="2" fillId="0" borderId="6" xfId="0" applyNumberFormat="1" applyFont="1" applyBorder="1" applyAlignment="1">
      <alignment horizontal="center" vertical="center" wrapText="1"/>
    </xf>
    <xf numFmtId="0" fontId="40" fillId="0" borderId="0" xfId="0" applyFont="1" applyFill="1"/>
    <xf numFmtId="0" fontId="9" fillId="0" borderId="0" xfId="0" applyFont="1" applyFill="1"/>
    <xf numFmtId="0" fontId="5" fillId="0" borderId="0" xfId="0" applyFont="1" applyFill="1" applyAlignment="1">
      <alignment horizontal="center" vertical="center"/>
    </xf>
    <xf numFmtId="1" fontId="5" fillId="0" borderId="0" xfId="0" applyNumberFormat="1" applyFont="1" applyFill="1"/>
    <xf numFmtId="0" fontId="40" fillId="0" borderId="23" xfId="0" applyFont="1" applyFill="1" applyBorder="1" applyAlignment="1">
      <alignment horizontal="center" vertical="top"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27" fillId="0" borderId="4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1" fontId="4" fillId="0" borderId="19" xfId="0" applyNumberFormat="1" applyFont="1" applyFill="1" applyBorder="1" applyAlignment="1">
      <alignment horizontal="center" vertical="center" wrapText="1"/>
    </xf>
    <xf numFmtId="0" fontId="4" fillId="0" borderId="6" xfId="0" applyFont="1" applyFill="1" applyBorder="1" applyAlignment="1">
      <alignment horizontal="center" vertical="top" wrapText="1"/>
    </xf>
    <xf numFmtId="0" fontId="2" fillId="0" borderId="5" xfId="0" applyFont="1" applyFill="1" applyBorder="1" applyAlignment="1">
      <alignment vertical="top" wrapText="1"/>
    </xf>
    <xf numFmtId="0" fontId="14" fillId="0" borderId="47" xfId="0" applyFont="1" applyFill="1" applyBorder="1" applyAlignment="1">
      <alignment horizontal="center" vertical="center" wrapText="1"/>
    </xf>
    <xf numFmtId="0" fontId="2" fillId="0" borderId="6" xfId="0" applyFont="1" applyFill="1" applyBorder="1" applyAlignment="1">
      <alignment vertical="top" wrapText="1"/>
    </xf>
    <xf numFmtId="0" fontId="2" fillId="0" borderId="6" xfId="0" applyFont="1" applyFill="1" applyBorder="1" applyAlignment="1">
      <alignment horizontal="center" vertical="center" wrapText="1"/>
    </xf>
    <xf numFmtId="1" fontId="2" fillId="0" borderId="6" xfId="0" applyNumberFormat="1" applyFont="1" applyFill="1" applyBorder="1" applyAlignment="1">
      <alignment vertical="top" wrapText="1"/>
    </xf>
    <xf numFmtId="0" fontId="2" fillId="0" borderId="6" xfId="0" applyFont="1" applyFill="1" applyBorder="1" applyAlignment="1">
      <alignment horizontal="center" vertical="top" wrapText="1"/>
    </xf>
    <xf numFmtId="0" fontId="2" fillId="0" borderId="27" xfId="0" applyFont="1" applyFill="1" applyBorder="1" applyAlignment="1">
      <alignment horizontal="center" vertical="top" wrapText="1"/>
    </xf>
    <xf numFmtId="0" fontId="2" fillId="0" borderId="19" xfId="0" applyFont="1" applyFill="1" applyBorder="1" applyAlignment="1">
      <alignment horizontal="center" vertical="top" wrapText="1"/>
    </xf>
    <xf numFmtId="0" fontId="2" fillId="0" borderId="23" xfId="0" applyFont="1" applyFill="1" applyBorder="1" applyAlignment="1">
      <alignment vertical="top" wrapText="1"/>
    </xf>
    <xf numFmtId="0" fontId="2" fillId="0" borderId="23" xfId="0" applyFont="1" applyFill="1" applyBorder="1" applyAlignment="1">
      <alignment horizontal="center" vertical="center" wrapText="1"/>
    </xf>
    <xf numFmtId="16" fontId="41" fillId="0" borderId="5" xfId="0" applyNumberFormat="1" applyFont="1" applyFill="1" applyBorder="1" applyAlignment="1">
      <alignment horizontal="center" vertical="center" wrapText="1"/>
    </xf>
    <xf numFmtId="3" fontId="41" fillId="0" borderId="6" xfId="0" applyNumberFormat="1" applyFont="1" applyFill="1" applyBorder="1" applyAlignment="1">
      <alignment horizontal="center" vertical="center" wrapText="1"/>
    </xf>
    <xf numFmtId="3" fontId="1" fillId="0" borderId="19" xfId="0" applyNumberFormat="1" applyFont="1" applyFill="1" applyBorder="1" applyAlignment="1">
      <alignment horizontal="center" vertical="center" wrapText="1"/>
    </xf>
    <xf numFmtId="1" fontId="1" fillId="0" borderId="6" xfId="0" applyNumberFormat="1" applyFont="1" applyFill="1" applyBorder="1" applyAlignment="1">
      <alignment horizontal="center" vertical="center" wrapText="1"/>
    </xf>
    <xf numFmtId="3" fontId="1" fillId="0" borderId="27" xfId="0" applyNumberFormat="1" applyFont="1" applyFill="1" applyBorder="1" applyAlignment="1">
      <alignment horizontal="center" vertical="center" wrapText="1"/>
    </xf>
    <xf numFmtId="2" fontId="5" fillId="0" borderId="0" xfId="0" applyNumberFormat="1" applyFont="1" applyFill="1"/>
    <xf numFmtId="14" fontId="5" fillId="0" borderId="0" xfId="0" applyNumberFormat="1" applyFont="1" applyFill="1"/>
    <xf numFmtId="14" fontId="40" fillId="0" borderId="5" xfId="0"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27" fillId="0" borderId="6"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1" fontId="14" fillId="0" borderId="24" xfId="0" applyNumberFormat="1" applyFont="1" applyFill="1" applyBorder="1" applyAlignment="1">
      <alignment horizontal="center" vertical="center" wrapText="1"/>
    </xf>
    <xf numFmtId="3" fontId="13" fillId="0" borderId="27" xfId="0" applyNumberFormat="1" applyFont="1" applyFill="1" applyBorder="1" applyAlignment="1">
      <alignment horizontal="center" vertical="center" wrapText="1"/>
    </xf>
    <xf numFmtId="168" fontId="14" fillId="0" borderId="19" xfId="0" applyNumberFormat="1" applyFont="1" applyFill="1" applyBorder="1" applyAlignment="1">
      <alignment horizontal="center" vertical="center" wrapText="1"/>
    </xf>
    <xf numFmtId="3" fontId="1" fillId="0" borderId="23" xfId="0" applyNumberFormat="1" applyFont="1" applyFill="1" applyBorder="1" applyAlignment="1">
      <alignment horizontal="center" vertical="center" wrapText="1"/>
    </xf>
    <xf numFmtId="4" fontId="1" fillId="0" borderId="34" xfId="0" applyNumberFormat="1" applyFont="1" applyFill="1" applyBorder="1" applyAlignment="1">
      <alignment horizontal="center" vertical="center" wrapText="1"/>
    </xf>
    <xf numFmtId="14" fontId="1" fillId="0" borderId="19" xfId="0" applyNumberFormat="1" applyFont="1" applyFill="1" applyBorder="1" applyAlignment="1">
      <alignment horizontal="center" vertical="center" wrapText="1"/>
    </xf>
    <xf numFmtId="4" fontId="1" fillId="0" borderId="55" xfId="0" applyNumberFormat="1" applyFont="1" applyFill="1" applyBorder="1" applyAlignment="1">
      <alignment horizontal="center" vertical="center" wrapText="1"/>
    </xf>
    <xf numFmtId="4" fontId="1" fillId="0" borderId="36" xfId="0" quotePrefix="1" applyNumberFormat="1" applyFont="1" applyFill="1" applyBorder="1" applyAlignment="1">
      <alignment horizontal="center" vertical="center" wrapText="1"/>
    </xf>
    <xf numFmtId="3" fontId="24" fillId="0" borderId="6" xfId="0" applyNumberFormat="1" applyFont="1" applyFill="1" applyBorder="1" applyAlignment="1">
      <alignment horizontal="center" vertical="center" wrapText="1"/>
    </xf>
    <xf numFmtId="166" fontId="24"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 fontId="24" fillId="0" borderId="6"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4" fontId="13" fillId="0" borderId="7" xfId="0" applyNumberFormat="1" applyFont="1" applyFill="1" applyBorder="1" applyAlignment="1">
      <alignment horizontal="center" vertical="center" wrapText="1"/>
    </xf>
    <xf numFmtId="2" fontId="26" fillId="0" borderId="0" xfId="0" applyNumberFormat="1" applyFont="1" applyFill="1"/>
    <xf numFmtId="166" fontId="27" fillId="0" borderId="6" xfId="0" applyNumberFormat="1" applyFont="1" applyFill="1" applyBorder="1" applyAlignment="1">
      <alignment horizontal="center" vertical="center" wrapText="1"/>
    </xf>
    <xf numFmtId="0" fontId="27" fillId="0" borderId="6" xfId="0" applyFont="1" applyFill="1" applyBorder="1" applyAlignment="1">
      <alignment horizontal="center" vertical="center" wrapText="1"/>
    </xf>
    <xf numFmtId="1" fontId="27" fillId="0" borderId="6"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3" fontId="1" fillId="0" borderId="26" xfId="0" applyNumberFormat="1" applyFont="1" applyFill="1" applyBorder="1" applyAlignment="1">
      <alignment horizontal="center" vertical="center" wrapText="1"/>
    </xf>
    <xf numFmtId="166" fontId="1" fillId="0" borderId="6" xfId="0" applyNumberFormat="1" applyFont="1" applyFill="1" applyBorder="1" applyAlignment="1">
      <alignment horizontal="center" vertical="center" wrapText="1"/>
    </xf>
    <xf numFmtId="168" fontId="2" fillId="0" borderId="19" xfId="0" applyNumberFormat="1" applyFont="1" applyFill="1" applyBorder="1" applyAlignment="1">
      <alignment horizontal="center" vertical="center" wrapText="1"/>
    </xf>
    <xf numFmtId="3" fontId="14" fillId="0" borderId="0" xfId="0" applyNumberFormat="1" applyFont="1" applyFill="1"/>
    <xf numFmtId="0" fontId="2" fillId="0" borderId="24" xfId="0" applyFont="1" applyFill="1" applyBorder="1" applyAlignment="1">
      <alignment horizontal="center" vertical="center" wrapText="1"/>
    </xf>
    <xf numFmtId="16" fontId="34" fillId="0" borderId="5" xfId="0" applyNumberFormat="1" applyFont="1" applyFill="1" applyBorder="1" applyAlignment="1">
      <alignment horizontal="center" vertical="center" wrapText="1"/>
    </xf>
    <xf numFmtId="0" fontId="14" fillId="0" borderId="15" xfId="0" applyFont="1" applyFill="1" applyBorder="1" applyAlignment="1">
      <alignment horizontal="center" vertical="center" wrapText="1"/>
    </xf>
    <xf numFmtId="3" fontId="34" fillId="0" borderId="6" xfId="0" applyNumberFormat="1" applyFont="1" applyFill="1" applyBorder="1" applyAlignment="1">
      <alignment horizontal="center" vertical="center" wrapText="1"/>
    </xf>
    <xf numFmtId="166" fontId="35" fillId="0" borderId="6" xfId="0" applyNumberFormat="1" applyFont="1" applyFill="1" applyBorder="1" applyAlignment="1">
      <alignment horizontal="center" vertical="center" wrapText="1"/>
    </xf>
    <xf numFmtId="0" fontId="35" fillId="0" borderId="6" xfId="0" applyFont="1" applyFill="1" applyBorder="1" applyAlignment="1">
      <alignment horizontal="center" vertical="center" wrapText="1"/>
    </xf>
    <xf numFmtId="1" fontId="35" fillId="0" borderId="6" xfId="0" applyNumberFormat="1" applyFont="1" applyFill="1" applyBorder="1" applyAlignment="1">
      <alignment horizontal="center" vertical="center" wrapText="1"/>
    </xf>
    <xf numFmtId="166" fontId="28" fillId="0" borderId="6" xfId="0" applyNumberFormat="1" applyFont="1" applyFill="1" applyBorder="1" applyAlignment="1">
      <alignment horizontal="center" vertical="center" wrapText="1"/>
    </xf>
    <xf numFmtId="0" fontId="28" fillId="0" borderId="6" xfId="0" applyFont="1" applyFill="1" applyBorder="1" applyAlignment="1">
      <alignment horizontal="center" vertical="center" wrapText="1"/>
    </xf>
    <xf numFmtId="1" fontId="28" fillId="0" borderId="6" xfId="0" applyNumberFormat="1"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7" xfId="0" applyFont="1" applyFill="1" applyBorder="1" applyAlignment="1">
      <alignment horizontal="center" vertical="center" wrapText="1"/>
    </xf>
    <xf numFmtId="166" fontId="14" fillId="0" borderId="27" xfId="0" applyNumberFormat="1" applyFont="1" applyFill="1" applyBorder="1" applyAlignment="1">
      <alignment horizontal="center" vertical="center" wrapText="1"/>
    </xf>
    <xf numFmtId="168" fontId="14" fillId="0" borderId="27" xfId="0" applyNumberFormat="1" applyFont="1" applyFill="1" applyBorder="1" applyAlignment="1">
      <alignment horizontal="center" vertical="center" wrapText="1"/>
    </xf>
    <xf numFmtId="0" fontId="27" fillId="0" borderId="19" xfId="0" applyFont="1" applyFill="1" applyBorder="1" applyAlignment="1">
      <alignment horizontal="center" vertical="center" wrapText="1"/>
    </xf>
    <xf numFmtId="3" fontId="24" fillId="0" borderId="15" xfId="0" applyNumberFormat="1" applyFont="1" applyFill="1" applyBorder="1" applyAlignment="1">
      <alignment horizontal="center" vertical="center" wrapText="1"/>
    </xf>
    <xf numFmtId="166" fontId="24" fillId="0" borderId="19" xfId="0" applyNumberFormat="1" applyFont="1" applyFill="1" applyBorder="1" applyAlignment="1">
      <alignment horizontal="center" vertical="center" wrapText="1"/>
    </xf>
    <xf numFmtId="0" fontId="24" fillId="0" borderId="19" xfId="0" applyFont="1" applyFill="1" applyBorder="1" applyAlignment="1">
      <alignment horizontal="center" vertical="center" wrapText="1"/>
    </xf>
    <xf numFmtId="1" fontId="24" fillId="0" borderId="19" xfId="0" applyNumberFormat="1" applyFont="1" applyFill="1" applyBorder="1" applyAlignment="1">
      <alignment horizontal="center" vertical="center" wrapText="1"/>
    </xf>
    <xf numFmtId="166" fontId="29"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6" xfId="0" applyNumberFormat="1" applyFont="1" applyFill="1" applyBorder="1" applyAlignment="1">
      <alignment horizontal="center" vertical="center" wrapText="1"/>
    </xf>
    <xf numFmtId="4" fontId="4" fillId="0" borderId="19"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4" fontId="5" fillId="0" borderId="0" xfId="0" applyNumberFormat="1" applyFont="1" applyFill="1"/>
    <xf numFmtId="0" fontId="25" fillId="0" borderId="0" xfId="0" applyFont="1" applyFill="1" applyAlignment="1">
      <alignment horizontal="center" vertical="center"/>
    </xf>
    <xf numFmtId="0" fontId="29" fillId="0" borderId="0" xfId="0" applyFont="1" applyFill="1" applyAlignment="1">
      <alignment horizontal="left" vertical="center"/>
    </xf>
    <xf numFmtId="0" fontId="27" fillId="0" borderId="53" xfId="0" applyFont="1" applyFill="1" applyBorder="1" applyAlignment="1">
      <alignment horizontal="center" vertical="center" wrapText="1"/>
    </xf>
    <xf numFmtId="0" fontId="27" fillId="0" borderId="100" xfId="0" applyFont="1" applyFill="1" applyBorder="1" applyAlignment="1">
      <alignment horizontal="center" vertical="center" wrapText="1"/>
    </xf>
    <xf numFmtId="0" fontId="57" fillId="0" borderId="105" xfId="0" applyFont="1" applyFill="1" applyBorder="1" applyAlignment="1">
      <alignment horizontal="center" vertical="center" wrapText="1"/>
    </xf>
    <xf numFmtId="0" fontId="57" fillId="0" borderId="107" xfId="0" applyFont="1" applyFill="1" applyBorder="1" applyAlignment="1">
      <alignment horizontal="center" vertical="center" wrapText="1"/>
    </xf>
    <xf numFmtId="0" fontId="27" fillId="0" borderId="36" xfId="0" applyFont="1" applyFill="1" applyBorder="1" applyAlignment="1">
      <alignment horizontal="center" vertical="center" wrapText="1"/>
    </xf>
    <xf numFmtId="0" fontId="57" fillId="0" borderId="36" xfId="0" applyFont="1" applyFill="1" applyBorder="1" applyAlignment="1">
      <alignment horizontal="center" vertical="center" wrapText="1"/>
    </xf>
    <xf numFmtId="0" fontId="57" fillId="0" borderId="79" xfId="0" applyFont="1" applyFill="1" applyBorder="1" applyAlignment="1">
      <alignment horizontal="center" vertical="center" wrapText="1"/>
    </xf>
    <xf numFmtId="0" fontId="27" fillId="0" borderId="99" xfId="0" applyFont="1" applyFill="1" applyBorder="1" applyAlignment="1">
      <alignment horizontal="center" vertical="center" wrapText="1"/>
    </xf>
    <xf numFmtId="0" fontId="57" fillId="0" borderId="106"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74" fillId="0" borderId="53"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75" fillId="0" borderId="53" xfId="0" applyFont="1" applyFill="1" applyBorder="1" applyAlignment="1">
      <alignment horizontal="center" vertical="center" wrapText="1"/>
    </xf>
    <xf numFmtId="0" fontId="14" fillId="0" borderId="58" xfId="0" applyFont="1" applyFill="1" applyBorder="1" applyAlignment="1">
      <alignment horizontal="center" vertical="center" wrapText="1"/>
    </xf>
    <xf numFmtId="0" fontId="14" fillId="0" borderId="57"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74" fillId="0" borderId="57"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16" fontId="24" fillId="0" borderId="45" xfId="0" applyNumberFormat="1" applyFont="1" applyFill="1" applyBorder="1" applyAlignment="1">
      <alignment horizontal="center" vertical="center" wrapText="1"/>
    </xf>
    <xf numFmtId="0" fontId="74" fillId="0" borderId="1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75" fillId="0" borderId="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75" fillId="0" borderId="27"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53" xfId="0" applyFont="1" applyFill="1" applyBorder="1" applyAlignment="1">
      <alignment horizontal="center" vertical="center" wrapText="1"/>
    </xf>
    <xf numFmtId="3" fontId="29" fillId="0" borderId="0" xfId="0" applyNumberFormat="1" applyFont="1" applyFill="1"/>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3" fontId="26" fillId="0" borderId="0" xfId="0" applyNumberFormat="1" applyFont="1" applyFill="1"/>
    <xf numFmtId="3" fontId="26" fillId="0" borderId="0" xfId="0" applyNumberFormat="1" applyFont="1" applyFill="1" applyAlignment="1">
      <alignment wrapText="1"/>
    </xf>
    <xf numFmtId="0" fontId="46" fillId="0" borderId="1" xfId="0" applyFont="1" applyFill="1" applyBorder="1" applyAlignment="1">
      <alignment horizontal="left" wrapText="1"/>
    </xf>
    <xf numFmtId="0" fontId="46" fillId="0" borderId="5" xfId="0" applyFont="1" applyFill="1" applyBorder="1" applyAlignment="1">
      <alignment horizontal="left" wrapText="1"/>
    </xf>
    <xf numFmtId="0" fontId="34" fillId="0" borderId="6" xfId="0" applyFont="1" applyFill="1" applyBorder="1"/>
    <xf numFmtId="0" fontId="34" fillId="0" borderId="7" xfId="0" applyFont="1" applyFill="1" applyBorder="1"/>
    <xf numFmtId="0" fontId="34" fillId="0" borderId="43" xfId="0" applyFont="1" applyFill="1" applyBorder="1" applyAlignment="1">
      <alignment horizontal="left" wrapText="1"/>
    </xf>
    <xf numFmtId="0" fontId="46" fillId="0" borderId="8" xfId="0" applyFont="1" applyFill="1" applyBorder="1" applyAlignment="1">
      <alignment horizontal="left" wrapText="1"/>
    </xf>
    <xf numFmtId="3" fontId="46" fillId="0" borderId="9" xfId="0" applyNumberFormat="1" applyFont="1" applyFill="1" applyBorder="1" applyAlignment="1">
      <alignment horizontal="center"/>
    </xf>
    <xf numFmtId="3" fontId="34" fillId="0" borderId="10" xfId="0" applyNumberFormat="1" applyFont="1" applyFill="1" applyBorder="1" applyAlignment="1">
      <alignment horizontal="center"/>
    </xf>
    <xf numFmtId="3" fontId="34" fillId="0" borderId="19" xfId="0" applyNumberFormat="1" applyFont="1" applyFill="1" applyBorder="1" applyAlignment="1">
      <alignment horizontal="center"/>
    </xf>
    <xf numFmtId="0" fontId="34" fillId="0" borderId="0" xfId="0" applyFont="1" applyFill="1" applyBorder="1" applyAlignment="1">
      <alignment horizontal="left" wrapText="1"/>
    </xf>
    <xf numFmtId="0" fontId="46" fillId="0" borderId="0" xfId="0" applyFont="1" applyFill="1" applyBorder="1" applyAlignment="1">
      <alignment horizontal="left" wrapText="1"/>
    </xf>
    <xf numFmtId="3" fontId="46" fillId="0" borderId="0" xfId="0" applyNumberFormat="1" applyFont="1" applyFill="1" applyBorder="1" applyAlignment="1">
      <alignment horizontal="center"/>
    </xf>
    <xf numFmtId="0" fontId="26" fillId="0" borderId="0" xfId="0" applyFont="1" applyFill="1" applyAlignment="1">
      <alignment horizontal="left" wrapText="1"/>
    </xf>
    <xf numFmtId="0" fontId="47" fillId="0" borderId="19" xfId="0" applyFont="1" applyFill="1" applyBorder="1" applyAlignment="1">
      <alignment vertical="top" wrapText="1"/>
    </xf>
    <xf numFmtId="0" fontId="47" fillId="0" borderId="15" xfId="0" applyFont="1" applyFill="1" applyBorder="1" applyAlignment="1">
      <alignment vertical="top" wrapText="1"/>
    </xf>
    <xf numFmtId="0" fontId="47" fillId="0" borderId="27" xfId="0" applyFont="1" applyFill="1" applyBorder="1" applyAlignment="1">
      <alignment horizontal="center" vertical="center" wrapText="1"/>
    </xf>
    <xf numFmtId="0" fontId="47" fillId="0" borderId="6" xfId="0" applyFont="1" applyFill="1" applyBorder="1" applyAlignment="1">
      <alignment vertical="top" wrapText="1"/>
    </xf>
    <xf numFmtId="3" fontId="8" fillId="0" borderId="0" xfId="0" applyNumberFormat="1" applyFont="1" applyFill="1"/>
    <xf numFmtId="4" fontId="29" fillId="0" borderId="19" xfId="0" applyNumberFormat="1" applyFont="1" applyFill="1" applyBorder="1" applyAlignment="1">
      <alignment horizontal="center" vertical="center" wrapText="1"/>
    </xf>
    <xf numFmtId="4" fontId="8" fillId="0" borderId="0" xfId="0" applyNumberFormat="1" applyFont="1" applyFill="1"/>
    <xf numFmtId="0" fontId="29" fillId="0" borderId="49"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3" xfId="0" applyFont="1" applyFill="1" applyBorder="1" applyAlignment="1">
      <alignment horizontal="right" vertical="center" wrapText="1"/>
    </xf>
    <xf numFmtId="3" fontId="29" fillId="0" borderId="10" xfId="0" applyNumberFormat="1"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0" fontId="8" fillId="0" borderId="0" xfId="0" applyFont="1" applyFill="1" applyAlignment="1">
      <alignment wrapText="1"/>
    </xf>
    <xf numFmtId="0" fontId="46" fillId="0" borderId="0" xfId="0" applyFont="1" applyFill="1"/>
    <xf numFmtId="0" fontId="34" fillId="0" borderId="0" xfId="0" applyFont="1" applyFill="1" applyAlignment="1">
      <alignment horizontal="left"/>
    </xf>
    <xf numFmtId="0" fontId="34" fillId="0" borderId="0" xfId="0" applyFont="1" applyFill="1" applyAlignment="1">
      <alignment wrapText="1"/>
    </xf>
    <xf numFmtId="0" fontId="40" fillId="0" borderId="6" xfId="0" applyFont="1" applyFill="1" applyBorder="1" applyAlignment="1">
      <alignment horizontal="center"/>
    </xf>
    <xf numFmtId="0" fontId="40" fillId="0" borderId="7" xfId="0" applyFont="1" applyFill="1" applyBorder="1" applyAlignment="1">
      <alignment horizontal="center"/>
    </xf>
    <xf numFmtId="0" fontId="40" fillId="0" borderId="5" xfId="0" applyFont="1" applyFill="1" applyBorder="1" applyAlignment="1">
      <alignment horizontal="center" vertical="center"/>
    </xf>
    <xf numFmtId="0" fontId="29" fillId="0" borderId="6" xfId="0" applyFont="1" applyFill="1" applyBorder="1" applyAlignment="1">
      <alignment wrapText="1"/>
    </xf>
    <xf numFmtId="0" fontId="9" fillId="0" borderId="5" xfId="0" applyFont="1" applyFill="1" applyBorder="1" applyAlignment="1">
      <alignment horizontal="center" vertical="center"/>
    </xf>
    <xf numFmtId="0" fontId="25" fillId="0" borderId="6" xfId="0" applyFont="1" applyFill="1" applyBorder="1" applyAlignment="1">
      <alignment wrapText="1"/>
    </xf>
    <xf numFmtId="0" fontId="2" fillId="0" borderId="5" xfId="0" applyFont="1" applyFill="1" applyBorder="1" applyAlignment="1">
      <alignment horizontal="center" vertical="center"/>
    </xf>
    <xf numFmtId="0" fontId="14" fillId="0" borderId="6" xfId="0" applyFont="1" applyFill="1" applyBorder="1" applyAlignment="1">
      <alignment wrapText="1"/>
    </xf>
    <xf numFmtId="0" fontId="12" fillId="0" borderId="5" xfId="0" applyFont="1" applyFill="1" applyBorder="1" applyAlignment="1">
      <alignment horizontal="center" vertical="center"/>
    </xf>
    <xf numFmtId="0" fontId="2" fillId="0" borderId="6" xfId="0" applyFont="1" applyFill="1" applyBorder="1" applyAlignment="1">
      <alignment wrapText="1"/>
    </xf>
    <xf numFmtId="0" fontId="6" fillId="0" borderId="6" xfId="0" applyFont="1" applyFill="1" applyBorder="1" applyAlignment="1">
      <alignment wrapText="1"/>
    </xf>
    <xf numFmtId="3" fontId="40" fillId="0" borderId="6" xfId="0" applyNumberFormat="1" applyFont="1" applyFill="1" applyBorder="1"/>
    <xf numFmtId="3" fontId="40" fillId="0" borderId="7" xfId="0" applyNumberFormat="1" applyFont="1" applyFill="1" applyBorder="1"/>
    <xf numFmtId="0" fontId="6" fillId="0" borderId="9" xfId="0" applyFont="1" applyFill="1" applyBorder="1" applyAlignment="1">
      <alignment wrapText="1"/>
    </xf>
    <xf numFmtId="3" fontId="1" fillId="0" borderId="24" xfId="0" applyNumberFormat="1" applyFont="1" applyFill="1" applyBorder="1" applyAlignment="1">
      <alignment horizontal="center" vertical="center" wrapText="1"/>
    </xf>
    <xf numFmtId="14" fontId="50" fillId="0" borderId="6" xfId="0" applyNumberFormat="1" applyFont="1" applyBorder="1" applyAlignment="1">
      <alignment horizontal="center" vertical="center" wrapText="1"/>
    </xf>
    <xf numFmtId="0" fontId="49" fillId="0" borderId="19" xfId="0" applyFont="1" applyBorder="1" applyAlignment="1">
      <alignment horizontal="center" vertical="center" wrapText="1"/>
    </xf>
    <xf numFmtId="0" fontId="70" fillId="13" borderId="34" xfId="0" applyFont="1" applyFill="1" applyBorder="1" applyAlignment="1">
      <alignment wrapText="1"/>
    </xf>
    <xf numFmtId="0" fontId="2" fillId="19" borderId="47" xfId="0" applyFont="1" applyFill="1" applyBorder="1" applyAlignment="1">
      <alignment horizontal="center" vertical="center" wrapText="1"/>
    </xf>
    <xf numFmtId="3" fontId="1" fillId="19" borderId="6" xfId="0" applyNumberFormat="1" applyFont="1" applyFill="1" applyBorder="1" applyAlignment="1">
      <alignment horizontal="center" vertical="center" wrapText="1"/>
    </xf>
    <xf numFmtId="1" fontId="14" fillId="19" borderId="19" xfId="0" applyNumberFormat="1" applyFont="1" applyFill="1" applyBorder="1" applyAlignment="1">
      <alignment horizontal="center" vertical="center" wrapText="1"/>
    </xf>
    <xf numFmtId="3" fontId="1" fillId="19" borderId="23" xfId="0" applyNumberFormat="1" applyFont="1" applyFill="1" applyBorder="1" applyAlignment="1">
      <alignment horizontal="center" vertical="center" wrapText="1"/>
    </xf>
    <xf numFmtId="0" fontId="2" fillId="19" borderId="19" xfId="0" applyFont="1" applyFill="1" applyBorder="1" applyAlignment="1">
      <alignment horizontal="center" vertical="center" wrapText="1"/>
    </xf>
    <xf numFmtId="3" fontId="7" fillId="17" borderId="19" xfId="0" applyNumberFormat="1" applyFont="1" applyFill="1" applyBorder="1" applyAlignment="1">
      <alignment horizontal="center" vertical="center" wrapText="1"/>
    </xf>
    <xf numFmtId="14" fontId="29" fillId="0" borderId="138" xfId="0" applyNumberFormat="1"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6" xfId="0" applyFont="1" applyFill="1" applyBorder="1" applyAlignment="1">
      <alignment horizontal="center" vertical="center" wrapText="1"/>
    </xf>
    <xf numFmtId="14" fontId="69" fillId="0" borderId="19" xfId="0" applyNumberFormat="1" applyFont="1" applyFill="1" applyBorder="1" applyAlignment="1">
      <alignment horizontal="center" vertical="center" wrapText="1"/>
    </xf>
    <xf numFmtId="4" fontId="24" fillId="0" borderId="19" xfId="0" applyNumberFormat="1" applyFont="1" applyFill="1" applyBorder="1" applyAlignment="1">
      <alignment horizontal="center" vertical="center" wrapText="1"/>
    </xf>
    <xf numFmtId="4" fontId="24" fillId="0" borderId="27" xfId="0" applyNumberFormat="1" applyFont="1" applyFill="1" applyBorder="1" applyAlignment="1">
      <alignment horizontal="center" vertical="center" wrapText="1"/>
    </xf>
    <xf numFmtId="2" fontId="28" fillId="0" borderId="10" xfId="0" applyNumberFormat="1" applyFont="1" applyFill="1" applyBorder="1" applyAlignment="1">
      <alignment horizontal="center" vertical="center" wrapText="1"/>
    </xf>
    <xf numFmtId="3" fontId="1" fillId="0" borderId="30" xfId="0" applyNumberFormat="1" applyFont="1" applyFill="1" applyBorder="1" applyAlignment="1">
      <alignment horizontal="center" vertical="center" wrapText="1"/>
    </xf>
    <xf numFmtId="0" fontId="28" fillId="15" borderId="27" xfId="0" applyFont="1" applyFill="1" applyBorder="1" applyAlignment="1">
      <alignment vertical="top" wrapText="1"/>
    </xf>
    <xf numFmtId="0" fontId="28" fillId="15" borderId="6" xfId="0" applyFont="1" applyFill="1" applyBorder="1" applyAlignment="1">
      <alignment vertical="top" wrapText="1"/>
    </xf>
    <xf numFmtId="0" fontId="26" fillId="15" borderId="0" xfId="0" applyFont="1" applyFill="1"/>
    <xf numFmtId="14" fontId="14" fillId="13" borderId="6" xfId="0" applyNumberFormat="1" applyFont="1" applyFill="1" applyBorder="1" applyAlignment="1">
      <alignment horizontal="center" vertical="center" wrapText="1"/>
    </xf>
    <xf numFmtId="14" fontId="2" fillId="13" borderId="19" xfId="0" applyNumberFormat="1" applyFont="1" applyFill="1" applyBorder="1" applyAlignment="1">
      <alignment horizontal="center" vertical="center" wrapText="1"/>
    </xf>
    <xf numFmtId="14" fontId="1" fillId="19" borderId="6" xfId="0" applyNumberFormat="1" applyFont="1" applyFill="1" applyBorder="1" applyAlignment="1">
      <alignment horizontal="center" vertical="center" wrapText="1"/>
    </xf>
    <xf numFmtId="1" fontId="2" fillId="19" borderId="19" xfId="0" applyNumberFormat="1" applyFont="1" applyFill="1" applyBorder="1" applyAlignment="1">
      <alignment horizontal="center" vertical="center" wrapText="1"/>
    </xf>
    <xf numFmtId="0" fontId="76" fillId="0" borderId="19"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27" fillId="0" borderId="105" xfId="0" applyFont="1" applyFill="1" applyBorder="1" applyAlignment="1">
      <alignment horizontal="center" vertical="center" wrapText="1"/>
    </xf>
    <xf numFmtId="14" fontId="40" fillId="0" borderId="138" xfId="0" applyNumberFormat="1" applyFont="1" applyFill="1" applyBorder="1" applyAlignment="1">
      <alignment horizontal="center" vertical="center" wrapText="1"/>
    </xf>
    <xf numFmtId="16" fontId="41" fillId="0" borderId="138" xfId="0" applyNumberFormat="1" applyFont="1" applyFill="1" applyBorder="1" applyAlignment="1">
      <alignment horizontal="center" vertical="center" wrapText="1"/>
    </xf>
    <xf numFmtId="16" fontId="29" fillId="0" borderId="138" xfId="0" applyNumberFormat="1" applyFont="1" applyFill="1" applyBorder="1" applyAlignment="1">
      <alignment horizontal="center" vertical="center" wrapText="1"/>
    </xf>
    <xf numFmtId="0" fontId="27" fillId="0" borderId="138" xfId="0" applyFont="1" applyFill="1" applyBorder="1" applyAlignment="1">
      <alignment horizontal="center" vertical="center" wrapText="1"/>
    </xf>
    <xf numFmtId="0" fontId="2" fillId="0" borderId="31" xfId="0" applyFont="1" applyFill="1" applyBorder="1" applyAlignment="1">
      <alignment horizontal="left" vertical="center" wrapText="1"/>
    </xf>
    <xf numFmtId="3" fontId="2" fillId="0" borderId="24" xfId="0" applyNumberFormat="1"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15" xfId="0" applyFont="1" applyFill="1" applyBorder="1" applyAlignment="1">
      <alignment horizontal="left" vertical="center" wrapText="1"/>
    </xf>
    <xf numFmtId="166" fontId="2" fillId="0" borderId="6" xfId="0" applyNumberFormat="1" applyFont="1" applyFill="1" applyBorder="1" applyAlignment="1">
      <alignment horizontal="center" vertical="center" wrapText="1"/>
    </xf>
    <xf numFmtId="168" fontId="2" fillId="0" borderId="6" xfId="0" applyNumberFormat="1" applyFont="1" applyFill="1" applyBorder="1" applyAlignment="1">
      <alignment horizontal="center" vertical="center" wrapText="1"/>
    </xf>
    <xf numFmtId="0" fontId="1" fillId="0" borderId="13" xfId="0" applyFont="1" applyBorder="1" applyAlignment="1">
      <alignment horizontal="left" vertical="center" wrapText="1"/>
    </xf>
    <xf numFmtId="14" fontId="14" fillId="0" borderId="6" xfId="0" applyNumberFormat="1" applyFont="1" applyBorder="1" applyAlignment="1">
      <alignment horizontal="center" vertical="center" wrapText="1"/>
    </xf>
    <xf numFmtId="168" fontId="13" fillId="0" borderId="6" xfId="0" applyNumberFormat="1" applyFont="1" applyBorder="1" applyAlignment="1">
      <alignment horizontal="center" vertical="center" wrapText="1"/>
    </xf>
    <xf numFmtId="3" fontId="29" fillId="5" borderId="15" xfId="0" applyNumberFormat="1" applyFont="1" applyFill="1" applyBorder="1" applyAlignment="1">
      <alignment horizontal="center" vertical="center" wrapText="1"/>
    </xf>
    <xf numFmtId="3" fontId="29" fillId="21" borderId="15" xfId="0" applyNumberFormat="1" applyFont="1" applyFill="1" applyBorder="1" applyAlignment="1">
      <alignment horizontal="center" vertical="center" wrapText="1"/>
    </xf>
    <xf numFmtId="3" fontId="29" fillId="11" borderId="15" xfId="0" applyNumberFormat="1" applyFont="1" applyFill="1" applyBorder="1" applyAlignment="1">
      <alignment horizontal="center" vertical="center" wrapText="1"/>
    </xf>
    <xf numFmtId="3" fontId="29" fillId="5" borderId="6" xfId="0" applyNumberFormat="1" applyFont="1" applyFill="1" applyBorder="1" applyAlignment="1">
      <alignment horizontal="center" vertical="center" wrapText="1"/>
    </xf>
    <xf numFmtId="0" fontId="2" fillId="19" borderId="26" xfId="0" applyFont="1" applyFill="1" applyBorder="1" applyAlignment="1">
      <alignment horizontal="center" vertical="center" wrapText="1"/>
    </xf>
    <xf numFmtId="0" fontId="2" fillId="19" borderId="51" xfId="0" applyFont="1" applyFill="1" applyBorder="1" applyAlignment="1">
      <alignment horizontal="center" vertical="center" wrapText="1"/>
    </xf>
    <xf numFmtId="0" fontId="2" fillId="19" borderId="140" xfId="0" applyFont="1" applyFill="1" applyBorder="1" applyAlignment="1">
      <alignment horizontal="center" vertical="center" wrapText="1"/>
    </xf>
    <xf numFmtId="0" fontId="2" fillId="19" borderId="24"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140" xfId="0" applyFont="1" applyFill="1" applyBorder="1" applyAlignment="1">
      <alignment horizontal="center" vertical="center" wrapText="1"/>
    </xf>
    <xf numFmtId="0" fontId="28" fillId="0" borderId="25"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109" xfId="0" applyFont="1" applyBorder="1" applyAlignment="1">
      <alignment vertical="center" wrapText="1"/>
    </xf>
    <xf numFmtId="0" fontId="28" fillId="0" borderId="18" xfId="0" applyFont="1" applyBorder="1" applyAlignment="1">
      <alignment horizontal="left" vertical="center" wrapText="1"/>
    </xf>
    <xf numFmtId="0" fontId="28" fillId="0" borderId="45" xfId="0" applyFont="1" applyBorder="1" applyAlignment="1">
      <alignment horizontal="center" vertical="center" wrapText="1"/>
    </xf>
    <xf numFmtId="0" fontId="28" fillId="0" borderId="10" xfId="0" applyFont="1" applyBorder="1" applyAlignment="1">
      <alignment horizontal="left" vertical="center" wrapText="1"/>
    </xf>
    <xf numFmtId="0" fontId="28" fillId="0" borderId="109" xfId="0" applyFont="1" applyBorder="1" applyAlignment="1">
      <alignment horizontal="left" vertical="center" wrapText="1"/>
    </xf>
    <xf numFmtId="0" fontId="28" fillId="0" borderId="139" xfId="0" applyFont="1" applyBorder="1" applyAlignment="1">
      <alignment horizontal="center" vertical="center" wrapText="1"/>
    </xf>
    <xf numFmtId="0" fontId="28" fillId="0" borderId="1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109" xfId="0" applyFont="1" applyBorder="1" applyAlignment="1">
      <alignment horizontal="center" vertical="center" wrapText="1"/>
    </xf>
    <xf numFmtId="0" fontId="28" fillId="0" borderId="10" xfId="0" applyFont="1" applyBorder="1" applyAlignment="1">
      <alignment horizontal="center" vertical="top" wrapText="1"/>
    </xf>
    <xf numFmtId="0" fontId="8" fillId="0" borderId="10" xfId="0" applyFont="1" applyBorder="1" applyAlignment="1">
      <alignment vertical="top" wrapText="1"/>
    </xf>
    <xf numFmtId="0" fontId="8" fillId="0" borderId="29" xfId="0" applyFont="1" applyBorder="1" applyAlignment="1">
      <alignment vertical="top" wrapText="1"/>
    </xf>
    <xf numFmtId="0" fontId="28" fillId="0" borderId="19" xfId="0" applyFont="1" applyBorder="1" applyAlignment="1">
      <alignment horizontal="center" vertical="center" wrapText="1"/>
    </xf>
    <xf numFmtId="0" fontId="29" fillId="0" borderId="24" xfId="0" applyFont="1" applyBorder="1" applyAlignment="1">
      <alignment horizontal="center" vertical="center" wrapText="1"/>
    </xf>
    <xf numFmtId="0" fontId="28" fillId="0" borderId="9" xfId="0" applyFont="1" applyBorder="1" applyAlignment="1">
      <alignment horizontal="center" vertical="top" wrapText="1"/>
    </xf>
    <xf numFmtId="0" fontId="8" fillId="0" borderId="24" xfId="0" applyFont="1" applyBorder="1" applyAlignment="1">
      <alignment vertical="top" wrapText="1"/>
    </xf>
    <xf numFmtId="0" fontId="29" fillId="0" borderId="18" xfId="0" applyFont="1" applyBorder="1" applyAlignment="1">
      <alignment horizontal="center" vertical="center" wrapText="1"/>
    </xf>
    <xf numFmtId="0" fontId="12" fillId="0" borderId="0" xfId="0" applyFont="1" applyBorder="1" applyAlignment="1">
      <alignment horizontal="center" wrapText="1"/>
    </xf>
    <xf numFmtId="0" fontId="8" fillId="0" borderId="34" xfId="0" applyFont="1" applyBorder="1" applyAlignment="1">
      <alignment wrapText="1"/>
    </xf>
    <xf numFmtId="0" fontId="12" fillId="0" borderId="6" xfId="0" applyFont="1" applyBorder="1"/>
    <xf numFmtId="0" fontId="12" fillId="13" borderId="6" xfId="0" applyFont="1" applyFill="1" applyBorder="1" applyAlignment="1">
      <alignment wrapText="1"/>
    </xf>
    <xf numFmtId="0" fontId="12" fillId="13" borderId="6" xfId="0" applyFont="1" applyFill="1" applyBorder="1" applyAlignment="1">
      <alignment vertical="center" wrapText="1"/>
    </xf>
    <xf numFmtId="1" fontId="12" fillId="13" borderId="6" xfId="0" applyNumberFormat="1" applyFont="1" applyFill="1" applyBorder="1" applyAlignment="1">
      <alignment wrapText="1"/>
    </xf>
    <xf numFmtId="1" fontId="12" fillId="13" borderId="6" xfId="0" applyNumberFormat="1" applyFont="1" applyFill="1" applyBorder="1" applyAlignment="1">
      <alignment vertical="center" wrapText="1"/>
    </xf>
    <xf numFmtId="0" fontId="40" fillId="0" borderId="6" xfId="0" applyFont="1" applyBorder="1"/>
    <xf numFmtId="0" fontId="12" fillId="0" borderId="19" xfId="0" applyFont="1" applyBorder="1"/>
    <xf numFmtId="0" fontId="12" fillId="0" borderId="0" xfId="0" applyFont="1" applyBorder="1"/>
    <xf numFmtId="0" fontId="6" fillId="0" borderId="6" xfId="0" applyFont="1" applyBorder="1"/>
    <xf numFmtId="1" fontId="6" fillId="0" borderId="6" xfId="0" applyNumberFormat="1" applyFont="1" applyBorder="1"/>
    <xf numFmtId="0" fontId="82" fillId="0" borderId="6" xfId="0" applyFont="1" applyBorder="1"/>
    <xf numFmtId="0" fontId="6" fillId="0" borderId="23" xfId="0" applyFont="1" applyBorder="1"/>
    <xf numFmtId="0" fontId="6" fillId="0" borderId="7" xfId="0" applyFont="1" applyBorder="1"/>
    <xf numFmtId="0" fontId="6" fillId="0" borderId="0" xfId="0" applyFont="1" applyBorder="1"/>
    <xf numFmtId="3" fontId="12" fillId="2" borderId="7" xfId="0" applyNumberFormat="1" applyFont="1" applyFill="1" applyBorder="1" applyAlignment="1">
      <alignment horizontal="center" vertical="center"/>
    </xf>
    <xf numFmtId="1" fontId="12" fillId="2" borderId="7" xfId="0" applyNumberFormat="1" applyFont="1" applyFill="1" applyBorder="1" applyAlignment="1">
      <alignment horizontal="center" vertical="center"/>
    </xf>
    <xf numFmtId="3" fontId="40" fillId="2" borderId="7"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3" fontId="4"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3" fontId="40" fillId="3" borderId="7" xfId="0" applyNumberFormat="1" applyFont="1" applyFill="1" applyBorder="1" applyAlignment="1">
      <alignment horizontal="center" vertical="center"/>
    </xf>
    <xf numFmtId="3" fontId="4" fillId="3" borderId="0" xfId="0" applyNumberFormat="1" applyFont="1" applyFill="1" applyBorder="1" applyAlignment="1">
      <alignment horizontal="center" vertical="center"/>
    </xf>
    <xf numFmtId="3" fontId="7" fillId="5" borderId="6"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3" fontId="47" fillId="5" borderId="6" xfId="0" applyNumberFormat="1" applyFont="1" applyFill="1" applyBorder="1" applyAlignment="1">
      <alignment horizontal="center" vertical="center" wrapText="1"/>
    </xf>
    <xf numFmtId="1" fontId="7" fillId="0" borderId="19" xfId="0" applyNumberFormat="1" applyFont="1" applyBorder="1" applyAlignment="1">
      <alignment horizontal="center" wrapText="1"/>
    </xf>
    <xf numFmtId="1" fontId="8" fillId="0" borderId="34" xfId="0" applyNumberFormat="1" applyFont="1" applyBorder="1"/>
    <xf numFmtId="14" fontId="8" fillId="0" borderId="34" xfId="0" applyNumberFormat="1" applyFont="1" applyBorder="1"/>
    <xf numFmtId="3" fontId="8" fillId="0" borderId="34" xfId="0" applyNumberFormat="1" applyFont="1" applyBorder="1"/>
    <xf numFmtId="3" fontId="8" fillId="0" borderId="34" xfId="0" applyNumberFormat="1" applyFont="1" applyBorder="1" applyAlignment="1">
      <alignment horizontal="center" vertical="center"/>
    </xf>
    <xf numFmtId="1" fontId="7" fillId="10" borderId="19" xfId="0" applyNumberFormat="1" applyFont="1" applyFill="1" applyBorder="1" applyAlignment="1">
      <alignment horizontal="center" wrapText="1"/>
    </xf>
    <xf numFmtId="3" fontId="8" fillId="10" borderId="0" xfId="0" applyNumberFormat="1" applyFont="1" applyFill="1"/>
    <xf numFmtId="1" fontId="7" fillId="0" borderId="15" xfId="0" applyNumberFormat="1" applyFont="1" applyFill="1" applyBorder="1" applyAlignment="1">
      <alignment horizontal="center" wrapText="1"/>
    </xf>
    <xf numFmtId="3" fontId="47" fillId="8" borderId="6" xfId="0" applyNumberFormat="1" applyFont="1" applyFill="1" applyBorder="1" applyAlignment="1">
      <alignment horizontal="center" vertical="center" wrapText="1"/>
    </xf>
    <xf numFmtId="3" fontId="7" fillId="8" borderId="6" xfId="0" applyNumberFormat="1" applyFont="1" applyFill="1" applyBorder="1" applyAlignment="1">
      <alignment horizontal="center" vertical="center" wrapText="1"/>
    </xf>
    <xf numFmtId="3" fontId="7" fillId="8" borderId="7" xfId="0" applyNumberFormat="1" applyFont="1" applyFill="1" applyBorder="1" applyAlignment="1">
      <alignment horizontal="center" vertical="center"/>
    </xf>
    <xf numFmtId="3" fontId="7" fillId="8" borderId="23" xfId="0" applyNumberFormat="1" applyFont="1" applyFill="1" applyBorder="1" applyAlignment="1">
      <alignment horizontal="center" vertical="center"/>
    </xf>
    <xf numFmtId="0" fontId="8" fillId="8" borderId="0" xfId="0" applyFont="1" applyFill="1"/>
    <xf numFmtId="3" fontId="7" fillId="5" borderId="6" xfId="0" applyNumberFormat="1" applyFont="1" applyFill="1" applyBorder="1" applyAlignment="1">
      <alignment horizontal="center"/>
    </xf>
    <xf numFmtId="3" fontId="47" fillId="5" borderId="6" xfId="0" applyNumberFormat="1" applyFont="1" applyFill="1" applyBorder="1" applyAlignment="1">
      <alignment horizontal="center"/>
    </xf>
    <xf numFmtId="3" fontId="47" fillId="0" borderId="15" xfId="0" applyNumberFormat="1" applyFont="1" applyBorder="1" applyAlignment="1">
      <alignment horizontal="center" vertical="center" wrapText="1"/>
    </xf>
    <xf numFmtId="3" fontId="1" fillId="17" borderId="6" xfId="0" applyNumberFormat="1" applyFont="1" applyFill="1" applyBorder="1" applyAlignment="1">
      <alignment horizontal="center" vertical="center" wrapText="1"/>
    </xf>
    <xf numFmtId="3" fontId="1" fillId="17" borderId="15" xfId="0" applyNumberFormat="1" applyFont="1" applyFill="1" applyBorder="1" applyAlignment="1">
      <alignment horizontal="center" vertical="center" wrapText="1"/>
    </xf>
    <xf numFmtId="3" fontId="47" fillId="0" borderId="26" xfId="0" applyNumberFormat="1" applyFont="1" applyBorder="1" applyAlignment="1">
      <alignment horizontal="center" vertical="center" wrapText="1"/>
    </xf>
    <xf numFmtId="3" fontId="1" fillId="17" borderId="24" xfId="0" applyNumberFormat="1" applyFont="1" applyFill="1" applyBorder="1" applyAlignment="1">
      <alignment horizontal="center" vertical="center" wrapText="1"/>
    </xf>
    <xf numFmtId="3" fontId="1" fillId="0" borderId="26" xfId="0" applyNumberFormat="1" applyFont="1" applyBorder="1" applyAlignment="1">
      <alignment horizontal="center" vertical="center" wrapText="1"/>
    </xf>
    <xf numFmtId="3" fontId="1" fillId="17" borderId="26" xfId="0" applyNumberFormat="1" applyFont="1" applyFill="1" applyBorder="1" applyAlignment="1">
      <alignment horizontal="center" vertical="center" wrapText="1"/>
    </xf>
    <xf numFmtId="3" fontId="1" fillId="17" borderId="19" xfId="0" applyNumberFormat="1" applyFont="1" applyFill="1" applyBorder="1" applyAlignment="1">
      <alignment horizontal="center" vertical="center" wrapText="1"/>
    </xf>
    <xf numFmtId="3" fontId="7" fillId="5" borderId="6"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3" fontId="47" fillId="5" borderId="6" xfId="0" applyNumberFormat="1" applyFont="1" applyFill="1" applyBorder="1" applyAlignment="1">
      <alignment horizontal="center" vertical="center"/>
    </xf>
    <xf numFmtId="3" fontId="2" fillId="17" borderId="6" xfId="0" applyNumberFormat="1" applyFont="1" applyFill="1" applyBorder="1" applyAlignment="1">
      <alignment horizontal="center" vertical="center" wrapText="1"/>
    </xf>
    <xf numFmtId="1" fontId="7" fillId="10" borderId="15" xfId="0" applyNumberFormat="1" applyFont="1" applyFill="1" applyBorder="1" applyAlignment="1">
      <alignment horizontal="center" wrapText="1"/>
    </xf>
    <xf numFmtId="4" fontId="8" fillId="0" borderId="0" xfId="0" applyNumberFormat="1" applyFont="1"/>
    <xf numFmtId="14" fontId="8" fillId="0" borderId="0" xfId="0" applyNumberFormat="1" applyFont="1"/>
    <xf numFmtId="0" fontId="8" fillId="6" borderId="0" xfId="0" applyFont="1" applyFill="1"/>
    <xf numFmtId="1" fontId="7" fillId="0" borderId="19" xfId="0" applyNumberFormat="1" applyFont="1" applyFill="1" applyBorder="1" applyAlignment="1">
      <alignment horizontal="center" wrapText="1"/>
    </xf>
    <xf numFmtId="3" fontId="4" fillId="2" borderId="7" xfId="0" applyNumberFormat="1" applyFont="1" applyFill="1" applyBorder="1" applyAlignment="1">
      <alignment horizontal="center"/>
    </xf>
    <xf numFmtId="1" fontId="4" fillId="2" borderId="7" xfId="0" applyNumberFormat="1" applyFont="1" applyFill="1" applyBorder="1" applyAlignment="1">
      <alignment horizontal="center"/>
    </xf>
    <xf numFmtId="3" fontId="40" fillId="2" borderId="7" xfId="0" applyNumberFormat="1" applyFont="1" applyFill="1" applyBorder="1" applyAlignment="1">
      <alignment horizontal="center"/>
    </xf>
    <xf numFmtId="3" fontId="4" fillId="2" borderId="0" xfId="0" applyNumberFormat="1" applyFont="1" applyFill="1" applyBorder="1" applyAlignment="1">
      <alignment horizontal="center"/>
    </xf>
    <xf numFmtId="3" fontId="7" fillId="5" borderId="0" xfId="0" applyNumberFormat="1" applyFont="1" applyFill="1" applyBorder="1" applyAlignment="1">
      <alignment horizontal="center" vertical="center"/>
    </xf>
    <xf numFmtId="3" fontId="8" fillId="0" borderId="55" xfId="0" applyNumberFormat="1" applyFont="1" applyBorder="1"/>
    <xf numFmtId="3" fontId="10" fillId="5" borderId="6" xfId="0" applyNumberFormat="1" applyFont="1" applyFill="1" applyBorder="1" applyAlignment="1">
      <alignment horizontal="center" vertical="center"/>
    </xf>
    <xf numFmtId="1" fontId="10" fillId="5" borderId="6" xfId="0" applyNumberFormat="1" applyFont="1" applyFill="1" applyBorder="1" applyAlignment="1">
      <alignment horizontal="center" vertical="center"/>
    </xf>
    <xf numFmtId="3" fontId="40" fillId="5" borderId="6" xfId="0" applyNumberFormat="1" applyFont="1" applyFill="1" applyBorder="1" applyAlignment="1">
      <alignment horizontal="center" vertical="center"/>
    </xf>
    <xf numFmtId="0" fontId="8" fillId="0" borderId="19" xfId="0" applyFont="1" applyBorder="1"/>
    <xf numFmtId="3" fontId="8" fillId="20" borderId="34" xfId="0" applyNumberFormat="1" applyFont="1" applyFill="1" applyBorder="1"/>
    <xf numFmtId="0" fontId="8" fillId="17" borderId="34" xfId="0" applyFont="1" applyFill="1" applyBorder="1"/>
    <xf numFmtId="0" fontId="8" fillId="0" borderId="55" xfId="0" applyFont="1" applyBorder="1"/>
    <xf numFmtId="3" fontId="10" fillId="5" borderId="0" xfId="0" applyNumberFormat="1" applyFont="1" applyFill="1" applyBorder="1" applyAlignment="1">
      <alignment horizontal="center" vertical="center"/>
    </xf>
    <xf numFmtId="165" fontId="8" fillId="0" borderId="34" xfId="0" applyNumberFormat="1" applyFont="1" applyBorder="1"/>
    <xf numFmtId="1" fontId="7" fillId="10" borderId="0" xfId="0" applyNumberFormat="1" applyFont="1" applyFill="1" applyBorder="1" applyAlignment="1">
      <alignment horizontal="center" wrapText="1"/>
    </xf>
    <xf numFmtId="3" fontId="7" fillId="13" borderId="23" xfId="0" applyNumberFormat="1" applyFont="1" applyFill="1" applyBorder="1" applyAlignment="1">
      <alignment horizontal="center" wrapText="1"/>
    </xf>
    <xf numFmtId="1" fontId="7" fillId="0" borderId="0" xfId="0" applyNumberFormat="1" applyFont="1" applyBorder="1" applyAlignment="1">
      <alignment horizontal="center" wrapText="1"/>
    </xf>
    <xf numFmtId="1" fontId="7" fillId="0" borderId="0" xfId="0" applyNumberFormat="1" applyFont="1" applyBorder="1" applyAlignment="1">
      <alignment horizontal="center"/>
    </xf>
    <xf numFmtId="3" fontId="4" fillId="2" borderId="7"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3" fontId="4" fillId="2" borderId="0" xfId="0" applyNumberFormat="1" applyFont="1" applyFill="1" applyBorder="1" applyAlignment="1">
      <alignment horizontal="center" vertical="center"/>
    </xf>
    <xf numFmtId="3" fontId="10"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xf>
    <xf numFmtId="3" fontId="10" fillId="3" borderId="0" xfId="0" applyNumberFormat="1" applyFont="1" applyFill="1" applyBorder="1" applyAlignment="1">
      <alignment horizontal="center" vertical="center"/>
    </xf>
    <xf numFmtId="14" fontId="8" fillId="8" borderId="34" xfId="0" applyNumberFormat="1" applyFont="1" applyFill="1" applyBorder="1"/>
    <xf numFmtId="3" fontId="7" fillId="5" borderId="6" xfId="0" applyNumberFormat="1" applyFont="1" applyFill="1" applyBorder="1" applyAlignment="1">
      <alignment horizontal="center" wrapText="1"/>
    </xf>
    <xf numFmtId="1" fontId="7" fillId="5" borderId="6" xfId="0" applyNumberFormat="1" applyFont="1" applyFill="1" applyBorder="1" applyAlignment="1">
      <alignment horizontal="center" wrapText="1"/>
    </xf>
    <xf numFmtId="3" fontId="47" fillId="5" borderId="6" xfId="0" applyNumberFormat="1" applyFont="1" applyFill="1" applyBorder="1" applyAlignment="1">
      <alignment horizontal="center" wrapText="1"/>
    </xf>
    <xf numFmtId="3" fontId="17"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8" fillId="0" borderId="69" xfId="0" applyFont="1" applyBorder="1"/>
    <xf numFmtId="0" fontId="8" fillId="0" borderId="42" xfId="0" applyFont="1" applyBorder="1"/>
    <xf numFmtId="0" fontId="8" fillId="8" borderId="53" xfId="0" applyFont="1" applyFill="1" applyBorder="1"/>
    <xf numFmtId="0" fontId="8" fillId="0" borderId="53" xfId="0" applyFont="1" applyBorder="1"/>
    <xf numFmtId="0" fontId="8" fillId="0" borderId="54" xfId="0" applyFont="1" applyBorder="1"/>
    <xf numFmtId="0" fontId="8" fillId="0" borderId="36" xfId="0" applyFont="1" applyBorder="1"/>
    <xf numFmtId="1" fontId="7" fillId="5" borderId="6" xfId="0" applyNumberFormat="1" applyFont="1" applyFill="1" applyBorder="1" applyAlignment="1">
      <alignment horizontal="center"/>
    </xf>
    <xf numFmtId="1" fontId="10" fillId="3" borderId="7" xfId="0" applyNumberFormat="1" applyFont="1" applyFill="1" applyBorder="1" applyAlignment="1">
      <alignment horizontal="center"/>
    </xf>
    <xf numFmtId="14" fontId="8" fillId="0" borderId="34" xfId="0" applyNumberFormat="1" applyFont="1" applyBorder="1" applyAlignment="1">
      <alignment vertical="center"/>
    </xf>
    <xf numFmtId="3" fontId="8" fillId="0" borderId="0" xfId="0" applyNumberFormat="1" applyFont="1" applyAlignment="1">
      <alignment vertical="center"/>
    </xf>
    <xf numFmtId="3" fontId="7" fillId="14" borderId="6" xfId="0" applyNumberFormat="1" applyFont="1" applyFill="1" applyBorder="1" applyAlignment="1">
      <alignment horizontal="center"/>
    </xf>
    <xf numFmtId="3" fontId="22" fillId="0" borderId="6" xfId="0" applyNumberFormat="1" applyFont="1" applyBorder="1" applyAlignment="1">
      <alignment horizontal="center" vertical="center" wrapText="1"/>
    </xf>
    <xf numFmtId="1" fontId="7" fillId="0" borderId="6" xfId="0" applyNumberFormat="1" applyFont="1" applyFill="1" applyBorder="1" applyAlignment="1">
      <alignment horizontal="center" wrapText="1"/>
    </xf>
    <xf numFmtId="3" fontId="10" fillId="2" borderId="7" xfId="0" applyNumberFormat="1" applyFont="1" applyFill="1" applyBorder="1" applyAlignment="1">
      <alignment horizontal="center"/>
    </xf>
    <xf numFmtId="1" fontId="10" fillId="2" borderId="7" xfId="0" applyNumberFormat="1" applyFont="1" applyFill="1" applyBorder="1" applyAlignment="1">
      <alignment horizontal="center"/>
    </xf>
    <xf numFmtId="3" fontId="10" fillId="2" borderId="0" xfId="0" applyNumberFormat="1" applyFont="1" applyFill="1" applyBorder="1" applyAlignment="1">
      <alignment horizontal="center"/>
    </xf>
    <xf numFmtId="3" fontId="10" fillId="3" borderId="23" xfId="0" applyNumberFormat="1" applyFont="1" applyFill="1" applyBorder="1" applyAlignment="1">
      <alignment horizontal="center"/>
    </xf>
    <xf numFmtId="1" fontId="7" fillId="5" borderId="19" xfId="0" applyNumberFormat="1" applyFont="1" applyFill="1" applyBorder="1" applyAlignment="1">
      <alignment horizontal="center" wrapText="1"/>
    </xf>
    <xf numFmtId="1" fontId="7" fillId="5" borderId="15" xfId="0" applyNumberFormat="1" applyFont="1" applyFill="1" applyBorder="1" applyAlignment="1">
      <alignment horizontal="center" wrapText="1"/>
    </xf>
    <xf numFmtId="1" fontId="7" fillId="5" borderId="14" xfId="0" applyNumberFormat="1" applyFont="1" applyFill="1" applyBorder="1" applyAlignment="1">
      <alignment horizontal="center"/>
    </xf>
    <xf numFmtId="3" fontId="7" fillId="0" borderId="19" xfId="0" applyNumberFormat="1" applyFont="1" applyBorder="1" applyAlignment="1">
      <alignment horizontal="center"/>
    </xf>
    <xf numFmtId="3" fontId="7" fillId="13" borderId="15" xfId="0" applyNumberFormat="1" applyFont="1" applyFill="1" applyBorder="1" applyAlignment="1">
      <alignment horizontal="center" wrapText="1"/>
    </xf>
    <xf numFmtId="3" fontId="7" fillId="0" borderId="27" xfId="0" applyNumberFormat="1" applyFont="1" applyBorder="1" applyAlignment="1">
      <alignment horizontal="center"/>
    </xf>
    <xf numFmtId="3" fontId="8" fillId="10" borderId="34" xfId="0" applyNumberFormat="1" applyFont="1" applyFill="1" applyBorder="1"/>
    <xf numFmtId="1" fontId="7" fillId="10" borderId="30" xfId="0" applyNumberFormat="1" applyFont="1" applyFill="1" applyBorder="1" applyAlignment="1">
      <alignment horizontal="center" wrapText="1"/>
    </xf>
    <xf numFmtId="0" fontId="8" fillId="0" borderId="0" xfId="0" applyFont="1" applyBorder="1" applyAlignment="1">
      <alignment wrapText="1"/>
    </xf>
    <xf numFmtId="0" fontId="12" fillId="0" borderId="17" xfId="0" applyFont="1" applyBorder="1" applyAlignment="1">
      <alignment horizontal="center" wrapText="1"/>
    </xf>
    <xf numFmtId="0" fontId="12" fillId="0" borderId="23" xfId="0" applyFont="1" applyBorder="1" applyAlignment="1">
      <alignment horizontal="center" wrapText="1"/>
    </xf>
    <xf numFmtId="0" fontId="12" fillId="0" borderId="23" xfId="0" applyFont="1" applyBorder="1"/>
    <xf numFmtId="0" fontId="12" fillId="0" borderId="18" xfId="0" applyFont="1" applyBorder="1" applyAlignment="1">
      <alignment horizontal="center" wrapText="1"/>
    </xf>
    <xf numFmtId="0" fontId="12" fillId="0" borderId="7" xfId="0" applyFont="1" applyBorder="1"/>
    <xf numFmtId="3" fontId="2" fillId="0" borderId="9" xfId="0" applyNumberFormat="1" applyFont="1" applyBorder="1" applyAlignment="1">
      <alignment horizontal="center"/>
    </xf>
    <xf numFmtId="1" fontId="12" fillId="0" borderId="6" xfId="0" applyNumberFormat="1" applyFont="1" applyBorder="1"/>
    <xf numFmtId="3" fontId="9" fillId="0" borderId="10" xfId="0" applyNumberFormat="1" applyFont="1" applyBorder="1" applyAlignment="1">
      <alignment horizontal="center"/>
    </xf>
    <xf numFmtId="3" fontId="9" fillId="0" borderId="48" xfId="0" applyNumberFormat="1" applyFont="1" applyBorder="1" applyAlignment="1">
      <alignment horizontal="center"/>
    </xf>
    <xf numFmtId="3" fontId="2" fillId="0" borderId="48" xfId="0" applyNumberFormat="1" applyFont="1" applyBorder="1" applyAlignment="1">
      <alignment horizontal="center"/>
    </xf>
    <xf numFmtId="3" fontId="9" fillId="0" borderId="0" xfId="0" applyNumberFormat="1" applyFont="1" applyBorder="1" applyAlignment="1">
      <alignment horizontal="center"/>
    </xf>
    <xf numFmtId="1" fontId="2" fillId="0" borderId="9" xfId="0" applyNumberFormat="1" applyFont="1" applyBorder="1" applyAlignment="1">
      <alignment horizontal="center"/>
    </xf>
    <xf numFmtId="1" fontId="68" fillId="8" borderId="19" xfId="0" applyNumberFormat="1" applyFont="1" applyFill="1" applyBorder="1" applyAlignment="1">
      <alignment horizontal="center" vertical="center"/>
    </xf>
    <xf numFmtId="1" fontId="68" fillId="8" borderId="15" xfId="0" applyNumberFormat="1" applyFont="1" applyFill="1" applyBorder="1" applyAlignment="1">
      <alignment horizontal="center" vertical="center"/>
    </xf>
    <xf numFmtId="1" fontId="8" fillId="0" borderId="13" xfId="0" applyNumberFormat="1" applyFont="1" applyFill="1" applyBorder="1" applyAlignment="1">
      <alignment horizontal="center" vertical="center"/>
    </xf>
    <xf numFmtId="1" fontId="8" fillId="0" borderId="14" xfId="0" applyNumberFormat="1" applyFont="1" applyFill="1" applyBorder="1" applyAlignment="1">
      <alignment horizontal="center" vertical="center"/>
    </xf>
    <xf numFmtId="1" fontId="8" fillId="0" borderId="19" xfId="0" applyNumberFormat="1" applyFont="1" applyFill="1" applyBorder="1" applyAlignment="1">
      <alignment horizontal="center" vertical="center"/>
    </xf>
    <xf numFmtId="3" fontId="7" fillId="14" borderId="6" xfId="0" applyNumberFormat="1" applyFont="1" applyFill="1" applyBorder="1" applyAlignment="1">
      <alignment horizontal="center" vertical="center"/>
    </xf>
    <xf numFmtId="3" fontId="75" fillId="0" borderId="14" xfId="0" applyNumberFormat="1" applyFont="1" applyFill="1" applyBorder="1" applyAlignment="1">
      <alignment horizontal="center" vertical="center" wrapText="1"/>
    </xf>
    <xf numFmtId="0" fontId="51" fillId="0" borderId="0" xfId="0" applyFont="1" applyFill="1" applyAlignment="1">
      <alignment wrapText="1"/>
    </xf>
    <xf numFmtId="3" fontId="0" fillId="0" borderId="0" xfId="0" applyNumberFormat="1" applyFill="1"/>
    <xf numFmtId="0" fontId="53" fillId="13" borderId="0" xfId="0" applyFont="1" applyFill="1" applyBorder="1" applyAlignment="1">
      <alignment wrapText="1"/>
    </xf>
    <xf numFmtId="0" fontId="13" fillId="0" borderId="36" xfId="0" applyFont="1" applyBorder="1" applyAlignment="1">
      <alignment vertical="center" wrapText="1"/>
    </xf>
    <xf numFmtId="2" fontId="13" fillId="0" borderId="67" xfId="0" applyNumberFormat="1" applyFont="1" applyBorder="1" applyAlignment="1">
      <alignment horizontal="center" vertical="center" wrapText="1"/>
    </xf>
    <xf numFmtId="0" fontId="13" fillId="0" borderId="34" xfId="0" applyFont="1" applyBorder="1" applyAlignment="1">
      <alignment vertical="center" wrapText="1"/>
    </xf>
    <xf numFmtId="1" fontId="53" fillId="0" borderId="36" xfId="0" applyNumberFormat="1" applyFont="1" applyBorder="1" applyAlignment="1">
      <alignment horizontal="center" vertical="center" wrapText="1"/>
    </xf>
    <xf numFmtId="0" fontId="53" fillId="19" borderId="34" xfId="0" applyFont="1" applyFill="1" applyBorder="1" applyAlignment="1">
      <alignment wrapText="1"/>
    </xf>
    <xf numFmtId="0" fontId="53" fillId="19" borderId="35" xfId="0" applyFont="1" applyFill="1" applyBorder="1" applyAlignment="1">
      <alignment wrapText="1"/>
    </xf>
    <xf numFmtId="0" fontId="13" fillId="19" borderId="34" xfId="0" applyFont="1" applyFill="1" applyBorder="1" applyAlignment="1">
      <alignment wrapText="1"/>
    </xf>
    <xf numFmtId="0" fontId="53" fillId="0" borderId="0" xfId="0" applyFont="1" applyBorder="1" applyAlignment="1">
      <alignment horizontal="center" vertical="center" wrapText="1"/>
    </xf>
    <xf numFmtId="168" fontId="53" fillId="0" borderId="103" xfId="0" applyNumberFormat="1" applyFont="1" applyBorder="1" applyAlignment="1">
      <alignment horizontal="center" vertical="center" wrapText="1"/>
    </xf>
    <xf numFmtId="168" fontId="53" fillId="16" borderId="19" xfId="0" applyNumberFormat="1" applyFont="1" applyFill="1" applyBorder="1" applyAlignment="1">
      <alignment horizontal="center" vertical="center" wrapText="1"/>
    </xf>
    <xf numFmtId="0" fontId="8" fillId="15" borderId="0" xfId="0" applyFont="1" applyFill="1"/>
    <xf numFmtId="0" fontId="28" fillId="0" borderId="136"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137" xfId="0" applyFont="1" applyBorder="1" applyAlignment="1">
      <alignment horizontal="center" vertical="center" wrapText="1"/>
    </xf>
    <xf numFmtId="0" fontId="28" fillId="0" borderId="63"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9" fillId="0" borderId="136" xfId="0" applyFont="1" applyBorder="1" applyAlignment="1">
      <alignment horizontal="center" vertical="center" wrapText="1"/>
    </xf>
    <xf numFmtId="0" fontId="29" fillId="0" borderId="0" xfId="0" applyFont="1" applyAlignment="1">
      <alignment horizontal="left" vertical="center"/>
    </xf>
    <xf numFmtId="0" fontId="29" fillId="0" borderId="49" xfId="0" applyFont="1" applyBorder="1" applyAlignment="1">
      <alignment horizontal="center" vertical="center" wrapText="1"/>
    </xf>
    <xf numFmtId="0" fontId="29" fillId="0" borderId="33" xfId="0" applyFont="1" applyBorder="1" applyAlignment="1">
      <alignment horizontal="center" vertical="center" wrapText="1"/>
    </xf>
    <xf numFmtId="0" fontId="83" fillId="0" borderId="29" xfId="0" applyFont="1" applyBorder="1" applyAlignment="1">
      <alignment horizontal="center" vertical="center" wrapText="1"/>
    </xf>
    <xf numFmtId="0" fontId="29" fillId="0" borderId="0" xfId="0" applyFont="1" applyAlignment="1">
      <alignment horizontal="center" vertical="center"/>
    </xf>
    <xf numFmtId="0" fontId="84" fillId="0" borderId="29"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9" xfId="0" applyFont="1" applyBorder="1" applyAlignment="1">
      <alignment horizontal="left" vertical="center" wrapText="1"/>
    </xf>
    <xf numFmtId="0" fontId="28" fillId="0" borderId="0" xfId="0" applyFont="1" applyBorder="1" applyAlignment="1">
      <alignment horizontal="left" vertical="center" wrapText="1"/>
    </xf>
    <xf numFmtId="14" fontId="26" fillId="0" borderId="0" xfId="0" applyNumberFormat="1" applyFont="1" applyAlignment="1">
      <alignment horizontal="left"/>
    </xf>
    <xf numFmtId="14" fontId="26" fillId="0" borderId="0" xfId="0" applyNumberFormat="1" applyFont="1"/>
    <xf numFmtId="14" fontId="14" fillId="0" borderId="6" xfId="0" applyNumberFormat="1" applyFont="1" applyFill="1" applyBorder="1" applyAlignment="1">
      <alignment horizontal="center" vertical="center" wrapText="1"/>
    </xf>
    <xf numFmtId="4" fontId="85" fillId="0" borderId="6" xfId="0" applyNumberFormat="1" applyFont="1" applyBorder="1" applyAlignment="1">
      <alignment horizontal="center" vertical="center" wrapText="1"/>
    </xf>
    <xf numFmtId="4" fontId="50" fillId="0" borderId="6" xfId="0" applyNumberFormat="1" applyFont="1" applyBorder="1" applyAlignment="1">
      <alignment horizontal="center" vertical="center" wrapText="1"/>
    </xf>
    <xf numFmtId="4" fontId="1" fillId="0" borderId="6" xfId="0" applyNumberFormat="1" applyFont="1" applyFill="1" applyBorder="1" applyAlignment="1">
      <alignment horizontal="center" vertical="center" wrapText="1"/>
    </xf>
    <xf numFmtId="4" fontId="50" fillId="0" borderId="6" xfId="0" applyNumberFormat="1" applyFont="1" applyFill="1" applyBorder="1" applyAlignment="1">
      <alignment horizontal="center" vertical="center" wrapText="1"/>
    </xf>
    <xf numFmtId="4" fontId="2" fillId="0" borderId="6" xfId="0" applyNumberFormat="1" applyFont="1" applyFill="1" applyBorder="1" applyAlignment="1">
      <alignment horizontal="center" vertical="center" wrapText="1"/>
    </xf>
    <xf numFmtId="4" fontId="27" fillId="0" borderId="6" xfId="0" applyNumberFormat="1" applyFont="1" applyFill="1" applyBorder="1" applyAlignment="1">
      <alignment horizontal="center" vertical="center" wrapText="1"/>
    </xf>
    <xf numFmtId="4" fontId="26" fillId="0" borderId="0" xfId="0" applyNumberFormat="1" applyFont="1" applyFill="1"/>
    <xf numFmtId="4" fontId="27" fillId="16" borderId="6" xfId="0" applyNumberFormat="1" applyFont="1" applyFill="1" applyBorder="1" applyAlignment="1">
      <alignment horizontal="center" vertical="center" wrapText="1"/>
    </xf>
    <xf numFmtId="4" fontId="72" fillId="16" borderId="6" xfId="0" applyNumberFormat="1" applyFont="1" applyFill="1" applyBorder="1" applyAlignment="1">
      <alignment horizontal="center" vertical="center" wrapText="1"/>
    </xf>
    <xf numFmtId="4" fontId="14" fillId="0" borderId="6" xfId="0" applyNumberFormat="1" applyFont="1" applyFill="1" applyBorder="1" applyAlignment="1">
      <alignment horizontal="center" vertical="center" wrapText="1"/>
    </xf>
    <xf numFmtId="4" fontId="70" fillId="0" borderId="6" xfId="0" applyNumberFormat="1" applyFont="1" applyFill="1" applyBorder="1" applyAlignment="1">
      <alignment horizontal="center" vertical="center" wrapText="1"/>
    </xf>
    <xf numFmtId="4" fontId="70" fillId="0" borderId="6" xfId="0" applyNumberFormat="1" applyFont="1" applyBorder="1" applyAlignment="1">
      <alignment horizontal="center" vertical="center" wrapText="1"/>
    </xf>
    <xf numFmtId="4" fontId="13" fillId="0" borderId="6" xfId="0" applyNumberFormat="1" applyFont="1" applyFill="1" applyBorder="1" applyAlignment="1">
      <alignment horizontal="center" vertical="center" wrapText="1"/>
    </xf>
    <xf numFmtId="2" fontId="27" fillId="16" borderId="6" xfId="0" applyNumberFormat="1" applyFont="1" applyFill="1" applyBorder="1" applyAlignment="1">
      <alignment horizontal="center" vertical="center" wrapText="1"/>
    </xf>
    <xf numFmtId="2" fontId="72" fillId="16" borderId="6" xfId="0" applyNumberFormat="1" applyFont="1" applyFill="1" applyBorder="1" applyAlignment="1">
      <alignment horizontal="center" vertical="center" wrapText="1"/>
    </xf>
    <xf numFmtId="2" fontId="1" fillId="0" borderId="6" xfId="0" applyNumberFormat="1" applyFont="1" applyFill="1" applyBorder="1" applyAlignment="1">
      <alignment horizontal="center" vertical="center" wrapText="1"/>
    </xf>
    <xf numFmtId="2" fontId="50" fillId="0" borderId="6" xfId="0" applyNumberFormat="1" applyFont="1" applyFill="1" applyBorder="1" applyAlignment="1">
      <alignment horizontal="center" vertical="center" wrapText="1"/>
    </xf>
    <xf numFmtId="2" fontId="1" fillId="0" borderId="15" xfId="0" applyNumberFormat="1" applyFont="1" applyBorder="1" applyAlignment="1">
      <alignment horizontal="center" vertical="center" wrapText="1"/>
    </xf>
    <xf numFmtId="2" fontId="1" fillId="0" borderId="6" xfId="0" applyNumberFormat="1" applyFont="1" applyBorder="1" applyAlignment="1">
      <alignment horizontal="center" vertical="center" wrapText="1"/>
    </xf>
    <xf numFmtId="4" fontId="29" fillId="0" borderId="6" xfId="0" applyNumberFormat="1" applyFont="1" applyFill="1" applyBorder="1" applyAlignment="1">
      <alignment horizontal="center" vertical="center" wrapText="1"/>
    </xf>
    <xf numFmtId="4" fontId="29" fillId="6" borderId="6" xfId="0" applyNumberFormat="1" applyFont="1" applyFill="1" applyBorder="1" applyAlignment="1">
      <alignment horizontal="center" vertical="center" wrapText="1"/>
    </xf>
    <xf numFmtId="3" fontId="1" fillId="0" borderId="55" xfId="0" applyNumberFormat="1" applyFont="1" applyFill="1" applyBorder="1" applyAlignment="1">
      <alignment horizontal="center" vertical="center" wrapText="1"/>
    </xf>
    <xf numFmtId="1" fontId="27" fillId="0" borderId="27" xfId="0" applyNumberFormat="1" applyFont="1" applyFill="1" applyBorder="1" applyAlignment="1">
      <alignment horizontal="center" vertical="center" wrapText="1"/>
    </xf>
    <xf numFmtId="2" fontId="2" fillId="0" borderId="15" xfId="0" applyNumberFormat="1" applyFont="1" applyFill="1" applyBorder="1" applyAlignment="1">
      <alignment horizontal="center" vertical="center" wrapText="1"/>
    </xf>
    <xf numFmtId="2" fontId="14" fillId="0" borderId="6" xfId="0" applyNumberFormat="1" applyFont="1" applyBorder="1" applyAlignment="1">
      <alignment horizontal="center" vertical="center" wrapText="1"/>
    </xf>
    <xf numFmtId="2" fontId="29" fillId="6" borderId="6" xfId="0" applyNumberFormat="1" applyFont="1" applyFill="1" applyBorder="1" applyAlignment="1">
      <alignment horizontal="center" vertical="center" wrapText="1"/>
    </xf>
    <xf numFmtId="2" fontId="1" fillId="0" borderId="15" xfId="0" applyNumberFormat="1" applyFont="1" applyFill="1" applyBorder="1" applyAlignment="1">
      <alignment horizontal="center" vertical="center" wrapText="1"/>
    </xf>
    <xf numFmtId="4" fontId="40" fillId="6" borderId="6" xfId="0" applyNumberFormat="1" applyFont="1" applyFill="1" applyBorder="1" applyAlignment="1">
      <alignment horizontal="center" vertical="center" wrapText="1"/>
    </xf>
    <xf numFmtId="4" fontId="34" fillId="0" borderId="6" xfId="0" applyNumberFormat="1" applyFont="1" applyFill="1" applyBorder="1" applyAlignment="1">
      <alignment horizontal="center" vertical="center" wrapText="1"/>
    </xf>
    <xf numFmtId="4" fontId="34" fillId="7" borderId="6" xfId="0" applyNumberFormat="1" applyFont="1" applyFill="1" applyBorder="1" applyAlignment="1">
      <alignment horizontal="center" vertical="center" wrapText="1"/>
    </xf>
    <xf numFmtId="4" fontId="2" fillId="0" borderId="15" xfId="0" applyNumberFormat="1" applyFont="1" applyBorder="1" applyAlignment="1">
      <alignment horizontal="center" vertical="center" wrapText="1"/>
    </xf>
    <xf numFmtId="4" fontId="2" fillId="19" borderId="6" xfId="0" applyNumberFormat="1" applyFont="1" applyFill="1" applyBorder="1" applyAlignment="1">
      <alignment horizontal="center" vertical="center" wrapText="1"/>
    </xf>
    <xf numFmtId="4" fontId="2" fillId="0" borderId="19" xfId="0" applyNumberFormat="1" applyFont="1" applyFill="1" applyBorder="1" applyAlignment="1">
      <alignment horizontal="center" vertical="center" wrapText="1"/>
    </xf>
    <xf numFmtId="2" fontId="2" fillId="0" borderId="6" xfId="0" applyNumberFormat="1" applyFont="1" applyBorder="1" applyAlignment="1">
      <alignment horizontal="center" vertical="center" wrapText="1"/>
    </xf>
    <xf numFmtId="4" fontId="27" fillId="0" borderId="15" xfId="0" applyNumberFormat="1" applyFont="1" applyFill="1" applyBorder="1" applyAlignment="1">
      <alignment horizontal="center" vertical="center" wrapText="1"/>
    </xf>
    <xf numFmtId="2" fontId="50" fillId="0" borderId="6" xfId="0" applyNumberFormat="1" applyFont="1" applyBorder="1" applyAlignment="1">
      <alignment horizontal="center" vertical="center" wrapText="1"/>
    </xf>
    <xf numFmtId="2" fontId="86" fillId="6" borderId="6" xfId="0" applyNumberFormat="1" applyFont="1" applyFill="1" applyBorder="1" applyAlignment="1">
      <alignment horizontal="center" vertical="center" wrapText="1"/>
    </xf>
    <xf numFmtId="0" fontId="28" fillId="0" borderId="63" xfId="0" applyFont="1" applyBorder="1" applyAlignment="1">
      <alignment horizontal="center" vertical="center" wrapText="1"/>
    </xf>
    <xf numFmtId="0" fontId="28" fillId="0" borderId="41" xfId="0" applyFont="1" applyBorder="1" applyAlignment="1">
      <alignment horizontal="center" vertical="center" wrapText="1"/>
    </xf>
    <xf numFmtId="0" fontId="30" fillId="0" borderId="123"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124" xfId="0" applyFont="1" applyBorder="1" applyAlignment="1">
      <alignment horizontal="center" vertical="center" wrapText="1"/>
    </xf>
    <xf numFmtId="0" fontId="30" fillId="0" borderId="19" xfId="0" applyFont="1" applyBorder="1" applyAlignment="1">
      <alignment horizontal="center" vertical="center" wrapText="1"/>
    </xf>
    <xf numFmtId="0" fontId="62" fillId="0" borderId="19" xfId="0" applyFont="1" applyBorder="1" applyAlignment="1">
      <alignment horizontal="justify" vertical="center" wrapText="1"/>
    </xf>
    <xf numFmtId="0" fontId="65" fillId="0" borderId="15" xfId="0" applyFont="1" applyBorder="1" applyAlignment="1">
      <alignment horizontal="center" vertical="center" wrapText="1"/>
    </xf>
    <xf numFmtId="0" fontId="30" fillId="0" borderId="15" xfId="0" applyFont="1" applyBorder="1" applyAlignment="1">
      <alignment horizontal="center" vertical="center" wrapText="1"/>
    </xf>
    <xf numFmtId="0" fontId="65" fillId="0" borderId="19" xfId="0" applyFont="1" applyBorder="1" applyAlignment="1">
      <alignment horizontal="center" vertical="center" wrapText="1"/>
    </xf>
    <xf numFmtId="3" fontId="54" fillId="18" borderId="100" xfId="0" quotePrefix="1" applyNumberFormat="1" applyFont="1" applyFill="1" applyBorder="1" applyAlignment="1">
      <alignment horizontal="center" vertical="center" wrapText="1"/>
    </xf>
    <xf numFmtId="0" fontId="53" fillId="18" borderId="94" xfId="0" applyFont="1" applyFill="1" applyBorder="1" applyAlignment="1">
      <alignment horizontal="center" vertical="center" wrapText="1"/>
    </xf>
    <xf numFmtId="4" fontId="40" fillId="0" borderId="7" xfId="0" applyNumberFormat="1" applyFont="1" applyFill="1" applyBorder="1" applyAlignment="1">
      <alignment horizontal="center" vertical="center"/>
    </xf>
    <xf numFmtId="4" fontId="9" fillId="0" borderId="7"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4" fontId="2" fillId="15" borderId="7" xfId="0" applyNumberFormat="1" applyFont="1" applyFill="1" applyBorder="1" applyAlignment="1">
      <alignment horizontal="center" vertical="center"/>
    </xf>
    <xf numFmtId="4" fontId="7" fillId="0" borderId="7" xfId="0" applyNumberFormat="1" applyFont="1" applyFill="1" applyBorder="1" applyAlignment="1">
      <alignment horizontal="center" vertical="center"/>
    </xf>
    <xf numFmtId="4" fontId="2" fillId="0" borderId="6" xfId="0" applyNumberFormat="1" applyFont="1" applyFill="1" applyBorder="1" applyAlignment="1">
      <alignment horizontal="center" vertical="center"/>
    </xf>
    <xf numFmtId="4" fontId="40" fillId="0" borderId="10" xfId="0" applyNumberFormat="1" applyFont="1" applyFill="1" applyBorder="1" applyAlignment="1">
      <alignment horizontal="center"/>
    </xf>
    <xf numFmtId="4" fontId="2" fillId="0" borderId="23" xfId="0" applyNumberFormat="1" applyFont="1" applyFill="1" applyBorder="1" applyAlignment="1">
      <alignment horizontal="center" vertical="center" wrapText="1"/>
    </xf>
    <xf numFmtId="4" fontId="41" fillId="0" borderId="6" xfId="0" applyNumberFormat="1" applyFont="1" applyFill="1" applyBorder="1" applyAlignment="1">
      <alignment horizontal="center" vertical="center" wrapText="1"/>
    </xf>
    <xf numFmtId="4" fontId="40" fillId="0" borderId="6" xfId="0" applyNumberFormat="1" applyFont="1" applyFill="1" applyBorder="1" applyAlignment="1">
      <alignment horizontal="center" vertical="center" wrapText="1"/>
    </xf>
    <xf numFmtId="4" fontId="12" fillId="0" borderId="6" xfId="0" applyNumberFormat="1" applyFont="1" applyFill="1" applyBorder="1" applyAlignment="1">
      <alignment horizontal="center" vertical="center" wrapText="1"/>
    </xf>
    <xf numFmtId="4" fontId="27" fillId="15" borderId="6" xfId="0" applyNumberFormat="1" applyFont="1" applyFill="1" applyBorder="1" applyAlignment="1">
      <alignment horizontal="center" vertical="center" wrapText="1"/>
    </xf>
    <xf numFmtId="4" fontId="14" fillId="0" borderId="19" xfId="0" applyNumberFormat="1" applyFont="1" applyFill="1" applyBorder="1" applyAlignment="1">
      <alignment horizontal="center" vertical="center" wrapText="1"/>
    </xf>
    <xf numFmtId="4" fontId="28" fillId="0" borderId="15" xfId="0" applyNumberFormat="1" applyFont="1" applyFill="1" applyBorder="1" applyAlignment="1">
      <alignment horizontal="center" vertical="center" wrapText="1"/>
    </xf>
    <xf numFmtId="4" fontId="29" fillId="0" borderId="15" xfId="0" applyNumberFormat="1" applyFont="1" applyFill="1" applyBorder="1" applyAlignment="1">
      <alignment horizontal="center" vertical="center" wrapText="1"/>
    </xf>
    <xf numFmtId="4" fontId="28" fillId="0" borderId="6" xfId="0" applyNumberFormat="1" applyFont="1" applyFill="1" applyBorder="1" applyAlignment="1">
      <alignment horizontal="center" vertical="center" wrapText="1"/>
    </xf>
    <xf numFmtId="0" fontId="19" fillId="0" borderId="0" xfId="0" applyFont="1" applyAlignment="1"/>
    <xf numFmtId="167" fontId="13" fillId="0" borderId="36" xfId="0" applyNumberFormat="1" applyFont="1" applyBorder="1" applyAlignment="1">
      <alignment horizontal="center" vertical="center" wrapText="1"/>
    </xf>
    <xf numFmtId="0" fontId="52" fillId="0" borderId="14" xfId="0" applyFont="1" applyBorder="1" applyAlignment="1">
      <alignment horizontal="center" vertical="center" wrapText="1"/>
    </xf>
    <xf numFmtId="0" fontId="19" fillId="0" borderId="0" xfId="0" applyFont="1" applyAlignment="1"/>
    <xf numFmtId="0" fontId="52" fillId="20" borderId="14" xfId="0" applyFont="1" applyFill="1" applyBorder="1" applyAlignment="1">
      <alignment horizontal="center" vertical="center" wrapText="1"/>
    </xf>
    <xf numFmtId="0" fontId="18" fillId="20" borderId="14" xfId="0" applyFont="1" applyFill="1" applyBorder="1" applyAlignment="1">
      <alignment wrapText="1"/>
    </xf>
    <xf numFmtId="0" fontId="18" fillId="20" borderId="0" xfId="0" applyFont="1" applyFill="1" applyBorder="1" applyAlignment="1">
      <alignment wrapText="1"/>
    </xf>
    <xf numFmtId="0" fontId="52" fillId="20" borderId="58" xfId="0" applyFont="1" applyFill="1" applyBorder="1" applyAlignment="1">
      <alignment horizontal="center" vertical="center" wrapText="1"/>
    </xf>
    <xf numFmtId="0" fontId="18" fillId="20" borderId="58" xfId="0" applyFont="1" applyFill="1" applyBorder="1" applyAlignment="1">
      <alignment wrapText="1"/>
    </xf>
    <xf numFmtId="0" fontId="18" fillId="20" borderId="104" xfId="0" applyFont="1" applyFill="1" applyBorder="1" applyAlignment="1">
      <alignment wrapText="1"/>
    </xf>
    <xf numFmtId="167" fontId="53" fillId="0" borderId="103" xfId="0" applyNumberFormat="1" applyFont="1" applyBorder="1" applyAlignment="1">
      <alignment horizontal="center" vertical="center" wrapText="1"/>
    </xf>
    <xf numFmtId="0" fontId="52" fillId="0" borderId="57" xfId="0" applyFont="1" applyBorder="1" applyAlignment="1">
      <alignment horizontal="center" vertical="center" wrapText="1"/>
    </xf>
    <xf numFmtId="0" fontId="52" fillId="20" borderId="19" xfId="0" applyFont="1" applyFill="1" applyBorder="1" applyAlignment="1">
      <alignment horizontal="center" vertical="center" wrapText="1"/>
    </xf>
    <xf numFmtId="0" fontId="52" fillId="18" borderId="19" xfId="0" applyFont="1" applyFill="1" applyBorder="1" applyAlignment="1">
      <alignment horizontal="center" vertical="center" wrapText="1"/>
    </xf>
    <xf numFmtId="0" fontId="18" fillId="18" borderId="14" xfId="0" applyFont="1" applyFill="1" applyBorder="1" applyAlignment="1">
      <alignment wrapText="1"/>
    </xf>
    <xf numFmtId="0" fontId="18" fillId="18" borderId="0" xfId="0" applyFont="1" applyFill="1" applyBorder="1" applyAlignment="1">
      <alignment wrapText="1"/>
    </xf>
    <xf numFmtId="0" fontId="52" fillId="18" borderId="14" xfId="0" applyFont="1" applyFill="1" applyBorder="1" applyAlignment="1">
      <alignment horizontal="center" vertical="center" wrapText="1"/>
    </xf>
    <xf numFmtId="0" fontId="52" fillId="18" borderId="58" xfId="0" applyFont="1" applyFill="1" applyBorder="1" applyAlignment="1">
      <alignment horizontal="center" vertical="center" wrapText="1"/>
    </xf>
    <xf numFmtId="0" fontId="18" fillId="18" borderId="58" xfId="0" applyFont="1" applyFill="1" applyBorder="1" applyAlignment="1">
      <alignment wrapText="1"/>
    </xf>
    <xf numFmtId="0" fontId="18" fillId="18" borderId="104" xfId="0" applyFont="1" applyFill="1" applyBorder="1" applyAlignment="1">
      <alignment wrapText="1"/>
    </xf>
    <xf numFmtId="4" fontId="39" fillId="16" borderId="19" xfId="0" quotePrefix="1" applyNumberFormat="1" applyFont="1" applyFill="1" applyBorder="1" applyAlignment="1">
      <alignment horizontal="center" vertical="center" wrapText="1"/>
    </xf>
    <xf numFmtId="4" fontId="39" fillId="20" borderId="19" xfId="0" quotePrefix="1" applyNumberFormat="1" applyFont="1" applyFill="1" applyBorder="1" applyAlignment="1">
      <alignment horizontal="center" vertical="center" wrapText="1"/>
    </xf>
    <xf numFmtId="4" fontId="39" fillId="18" borderId="19" xfId="0" quotePrefix="1" applyNumberFormat="1" applyFont="1" applyFill="1" applyBorder="1" applyAlignment="1">
      <alignment horizontal="center" vertical="center" wrapText="1"/>
    </xf>
    <xf numFmtId="4" fontId="53" fillId="0" borderId="34" xfId="0" quotePrefix="1" applyNumberFormat="1" applyFont="1" applyBorder="1" applyAlignment="1">
      <alignment horizontal="center" vertical="center" wrapText="1"/>
    </xf>
    <xf numFmtId="4" fontId="53" fillId="20" borderId="34" xfId="0" quotePrefix="1" applyNumberFormat="1" applyFont="1" applyFill="1" applyBorder="1" applyAlignment="1">
      <alignment horizontal="center" vertical="center" wrapText="1"/>
    </xf>
    <xf numFmtId="4" fontId="53" fillId="18" borderId="34" xfId="0" quotePrefix="1" applyNumberFormat="1" applyFont="1" applyFill="1" applyBorder="1" applyAlignment="1">
      <alignment horizontal="center" vertical="center" wrapText="1"/>
    </xf>
    <xf numFmtId="14" fontId="53" fillId="0" borderId="101" xfId="0" applyNumberFormat="1" applyFont="1" applyBorder="1" applyAlignment="1">
      <alignment horizontal="center" vertical="center" wrapText="1"/>
    </xf>
    <xf numFmtId="14" fontId="53" fillId="10" borderId="69" xfId="0" applyNumberFormat="1" applyFont="1" applyFill="1" applyBorder="1" applyAlignment="1">
      <alignment vertical="center" wrapText="1"/>
    </xf>
    <xf numFmtId="14" fontId="53" fillId="0" borderId="69" xfId="0" applyNumberFormat="1" applyFont="1" applyBorder="1" applyAlignment="1">
      <alignment wrapText="1"/>
    </xf>
    <xf numFmtId="14" fontId="53" fillId="0" borderId="102"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49" fontId="0" fillId="0" borderId="0" xfId="0" applyNumberFormat="1"/>
    <xf numFmtId="4" fontId="49" fillId="0" borderId="7" xfId="0" applyNumberFormat="1" applyFont="1" applyFill="1" applyBorder="1" applyAlignment="1">
      <alignment horizontal="center" vertical="center"/>
    </xf>
    <xf numFmtId="4" fontId="87" fillId="0" borderId="7" xfId="0" applyNumberFormat="1" applyFont="1" applyFill="1" applyBorder="1" applyAlignment="1">
      <alignment horizontal="center" vertical="center"/>
    </xf>
    <xf numFmtId="4" fontId="88" fillId="0" borderId="7" xfId="0" applyNumberFormat="1" applyFont="1" applyFill="1" applyBorder="1" applyAlignment="1">
      <alignment horizontal="center" vertical="center"/>
    </xf>
    <xf numFmtId="4" fontId="86" fillId="0" borderId="6" xfId="0" applyNumberFormat="1" applyFont="1" applyFill="1" applyBorder="1" applyAlignment="1">
      <alignment horizontal="center" vertical="center" wrapText="1"/>
    </xf>
    <xf numFmtId="4" fontId="81" fillId="0" borderId="6" xfId="0" applyNumberFormat="1" applyFont="1" applyFill="1" applyBorder="1" applyAlignment="1">
      <alignment horizontal="center" vertical="center" wrapText="1"/>
    </xf>
    <xf numFmtId="168" fontId="69" fillId="0" borderId="19" xfId="0" applyNumberFormat="1" applyFont="1" applyFill="1" applyBorder="1" applyAlignment="1">
      <alignment horizontal="center" vertical="center" wrapText="1"/>
    </xf>
    <xf numFmtId="0" fontId="81" fillId="0" borderId="10"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7" fillId="0" borderId="14" xfId="0" applyFont="1" applyFill="1" applyBorder="1" applyAlignment="1">
      <alignment horizontal="center" vertical="center" wrapText="1"/>
    </xf>
    <xf numFmtId="4" fontId="29" fillId="0" borderId="6" xfId="0" applyNumberFormat="1" applyFont="1" applyFill="1" applyBorder="1" applyAlignment="1">
      <alignment horizontal="center" wrapText="1"/>
    </xf>
    <xf numFmtId="0" fontId="17" fillId="0" borderId="57"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2" fillId="0" borderId="47" xfId="0" applyFont="1" applyFill="1" applyBorder="1" applyAlignment="1">
      <alignment horizontal="center" vertical="center" wrapText="1"/>
    </xf>
    <xf numFmtId="4" fontId="27" fillId="0" borderId="19" xfId="0" applyNumberFormat="1" applyFont="1" applyFill="1" applyBorder="1" applyAlignment="1">
      <alignment horizontal="center" vertical="center" wrapText="1"/>
    </xf>
    <xf numFmtId="3" fontId="27" fillId="0" borderId="19" xfId="0" applyNumberFormat="1" applyFont="1" applyFill="1" applyBorder="1" applyAlignment="1">
      <alignment horizontal="center" vertical="center" wrapText="1"/>
    </xf>
    <xf numFmtId="0" fontId="7" fillId="0" borderId="15" xfId="0" applyFont="1" applyFill="1" applyBorder="1" applyAlignment="1">
      <alignment horizontal="center" vertical="center" wrapText="1"/>
    </xf>
    <xf numFmtId="3" fontId="81" fillId="0" borderId="10" xfId="0" applyNumberFormat="1" applyFont="1" applyFill="1" applyBorder="1" applyAlignment="1">
      <alignment horizontal="center" vertical="center" wrapText="1"/>
    </xf>
    <xf numFmtId="4" fontId="81" fillId="0" borderId="10" xfId="0" applyNumberFormat="1" applyFont="1" applyFill="1" applyBorder="1" applyAlignment="1">
      <alignment horizontal="center" vertical="center" wrapText="1"/>
    </xf>
    <xf numFmtId="0" fontId="4" fillId="0" borderId="21" xfId="0" applyFont="1" applyBorder="1" applyAlignment="1">
      <alignment horizontal="center" vertical="top" wrapText="1"/>
    </xf>
    <xf numFmtId="0" fontId="20" fillId="0" borderId="0" xfId="0" applyFont="1" applyAlignment="1"/>
    <xf numFmtId="0" fontId="28" fillId="0" borderId="0" xfId="0" applyFont="1" applyFill="1" applyAlignment="1">
      <alignment wrapText="1"/>
    </xf>
    <xf numFmtId="0" fontId="20" fillId="0" borderId="0" xfId="0" applyFont="1" applyAlignment="1">
      <alignment horizontal="center"/>
    </xf>
    <xf numFmtId="0" fontId="20" fillId="0" borderId="0" xfId="0" applyFont="1" applyAlignment="1">
      <alignment vertical="center"/>
    </xf>
    <xf numFmtId="0" fontId="18" fillId="0" borderId="0" xfId="0" applyFont="1" applyBorder="1"/>
    <xf numFmtId="0" fontId="52" fillId="0" borderId="0" xfId="0" applyFont="1" applyBorder="1" applyAlignment="1">
      <alignment vertical="center"/>
    </xf>
    <xf numFmtId="0" fontId="18" fillId="0" borderId="0" xfId="0" applyFont="1" applyAlignment="1">
      <alignment vertical="center"/>
    </xf>
    <xf numFmtId="14" fontId="20" fillId="0" borderId="0" xfId="0" applyNumberFormat="1" applyFont="1" applyAlignment="1">
      <alignment horizontal="center"/>
    </xf>
    <xf numFmtId="166" fontId="53" fillId="0" borderId="34" xfId="0" applyNumberFormat="1" applyFont="1" applyBorder="1" applyAlignment="1">
      <alignment horizontal="center" vertical="center" wrapText="1"/>
    </xf>
    <xf numFmtId="166" fontId="41" fillId="7" borderId="6" xfId="0" applyNumberFormat="1" applyFont="1" applyFill="1" applyBorder="1" applyAlignment="1">
      <alignment horizontal="center" vertical="center" wrapText="1"/>
    </xf>
    <xf numFmtId="166" fontId="53" fillId="6" borderId="13" xfId="0" applyNumberFormat="1" applyFont="1" applyFill="1" applyBorder="1" applyAlignment="1">
      <alignment wrapText="1"/>
    </xf>
    <xf numFmtId="166" fontId="53" fillId="6" borderId="19" xfId="0" applyNumberFormat="1" applyFont="1" applyFill="1" applyBorder="1" applyAlignment="1">
      <alignment wrapText="1"/>
    </xf>
    <xf numFmtId="166" fontId="39" fillId="16" borderId="14" xfId="0" applyNumberFormat="1" applyFont="1" applyFill="1" applyBorder="1" applyAlignment="1">
      <alignment horizontal="center" vertical="center" wrapText="1"/>
    </xf>
    <xf numFmtId="166" fontId="39" fillId="16" borderId="19" xfId="0" applyNumberFormat="1" applyFont="1" applyFill="1" applyBorder="1" applyAlignment="1">
      <alignment horizontal="center" vertical="center" wrapText="1"/>
    </xf>
    <xf numFmtId="166" fontId="53" fillId="0" borderId="34" xfId="0" applyNumberFormat="1" applyFont="1" applyFill="1" applyBorder="1" applyAlignment="1">
      <alignment horizontal="center" vertical="center" wrapText="1"/>
    </xf>
    <xf numFmtId="166" fontId="53" fillId="15" borderId="34" xfId="0" applyNumberFormat="1" applyFont="1" applyFill="1" applyBorder="1" applyAlignment="1">
      <alignment horizontal="center" vertical="center" wrapText="1"/>
    </xf>
    <xf numFmtId="166" fontId="53" fillId="0" borderId="34" xfId="0" applyNumberFormat="1" applyFont="1" applyFill="1" applyBorder="1" applyAlignment="1">
      <alignment vertical="center" wrapText="1"/>
    </xf>
    <xf numFmtId="166" fontId="53" fillId="0" borderId="34" xfId="0" applyNumberFormat="1" applyFont="1" applyBorder="1" applyAlignment="1">
      <alignment vertical="center" wrapText="1"/>
    </xf>
    <xf numFmtId="166" fontId="13" fillId="0" borderId="34" xfId="0" applyNumberFormat="1" applyFont="1" applyBorder="1" applyAlignment="1">
      <alignment horizontal="center" vertical="center" wrapText="1"/>
    </xf>
    <xf numFmtId="166" fontId="13" fillId="0" borderId="34" xfId="0" applyNumberFormat="1" applyFont="1" applyFill="1" applyBorder="1" applyAlignment="1">
      <alignment vertical="center" wrapText="1"/>
    </xf>
    <xf numFmtId="166" fontId="13" fillId="0" borderId="34" xfId="0" applyNumberFormat="1" applyFont="1" applyBorder="1" applyAlignment="1">
      <alignment vertical="center" wrapText="1"/>
    </xf>
    <xf numFmtId="166" fontId="53" fillId="0" borderId="35" xfId="0" applyNumberFormat="1" applyFont="1" applyBorder="1" applyAlignment="1">
      <alignment horizontal="center" vertical="center" wrapText="1"/>
    </xf>
    <xf numFmtId="166" fontId="53" fillId="0" borderId="35" xfId="0" applyNumberFormat="1" applyFont="1" applyFill="1" applyBorder="1" applyAlignment="1">
      <alignment horizontal="center" vertical="center" wrapText="1"/>
    </xf>
    <xf numFmtId="166" fontId="41" fillId="7" borderId="15" xfId="0" applyNumberFormat="1" applyFont="1" applyFill="1" applyBorder="1" applyAlignment="1">
      <alignment horizontal="center" vertical="center" wrapText="1"/>
    </xf>
    <xf numFmtId="166" fontId="24" fillId="16" borderId="14" xfId="0" applyNumberFormat="1" applyFont="1" applyFill="1" applyBorder="1" applyAlignment="1">
      <alignment horizontal="center" vertical="center" wrapText="1"/>
    </xf>
    <xf numFmtId="166" fontId="24" fillId="16" borderId="19" xfId="0" applyNumberFormat="1" applyFont="1" applyFill="1" applyBorder="1" applyAlignment="1">
      <alignment horizontal="center" vertical="center" wrapText="1"/>
    </xf>
    <xf numFmtId="0" fontId="52" fillId="0" borderId="86" xfId="0" applyFont="1" applyBorder="1" applyAlignment="1">
      <alignment horizontal="center" vertical="center" wrapText="1"/>
    </xf>
    <xf numFmtId="0" fontId="53" fillId="0" borderId="106" xfId="0" applyFont="1" applyBorder="1" applyAlignment="1">
      <alignment wrapText="1"/>
    </xf>
    <xf numFmtId="0" fontId="53" fillId="0" borderId="19" xfId="0" applyFont="1" applyBorder="1" applyAlignment="1">
      <alignment wrapText="1"/>
    </xf>
    <xf numFmtId="0" fontId="52" fillId="0" borderId="23" xfId="0" applyFont="1" applyBorder="1" applyAlignment="1">
      <alignment horizontal="center" vertical="center" wrapText="1"/>
    </xf>
    <xf numFmtId="0" fontId="18" fillId="0" borderId="59" xfId="0" applyFont="1" applyBorder="1" applyAlignment="1">
      <alignment wrapText="1"/>
    </xf>
    <xf numFmtId="0" fontId="53" fillId="0" borderId="55" xfId="0" applyFont="1" applyBorder="1" applyAlignment="1">
      <alignment wrapText="1"/>
    </xf>
    <xf numFmtId="2" fontId="53" fillId="0" borderId="88" xfId="0" applyNumberFormat="1" applyFont="1" applyBorder="1" applyAlignment="1">
      <alignment horizontal="center" vertical="center" wrapText="1"/>
    </xf>
    <xf numFmtId="166" fontId="53" fillId="0" borderId="55" xfId="0" applyNumberFormat="1" applyFont="1" applyBorder="1" applyAlignment="1">
      <alignment horizontal="center" vertical="center" wrapText="1"/>
    </xf>
    <xf numFmtId="166" fontId="53" fillId="16" borderId="55" xfId="0" applyNumberFormat="1" applyFont="1" applyFill="1" applyBorder="1" applyAlignment="1">
      <alignment horizontal="center" vertical="center" wrapText="1"/>
    </xf>
    <xf numFmtId="166" fontId="53" fillId="0" borderId="87" xfId="0" applyNumberFormat="1" applyFont="1" applyBorder="1" applyAlignment="1">
      <alignment horizontal="center" vertical="center" wrapText="1"/>
    </xf>
    <xf numFmtId="166" fontId="53" fillId="16" borderId="87" xfId="0" applyNumberFormat="1" applyFont="1" applyFill="1" applyBorder="1" applyAlignment="1">
      <alignment horizontal="center" vertical="center" wrapText="1"/>
    </xf>
    <xf numFmtId="166" fontId="53" fillId="0" borderId="56" xfId="0" applyNumberFormat="1" applyFont="1" applyBorder="1" applyAlignment="1">
      <alignment horizontal="center" vertical="center" wrapText="1"/>
    </xf>
    <xf numFmtId="166" fontId="53" fillId="16" borderId="56" xfId="0" applyNumberFormat="1" applyFont="1" applyFill="1" applyBorder="1" applyAlignment="1">
      <alignment horizontal="center" vertical="center" wrapText="1"/>
    </xf>
    <xf numFmtId="166" fontId="53" fillId="16" borderId="34" xfId="0" applyNumberFormat="1" applyFont="1" applyFill="1" applyBorder="1" applyAlignment="1">
      <alignment horizontal="center" vertical="center" wrapText="1"/>
    </xf>
    <xf numFmtId="166" fontId="53" fillId="0" borderId="111" xfId="0" applyNumberFormat="1" applyFont="1" applyBorder="1" applyAlignment="1">
      <alignment horizontal="center" vertical="center" wrapText="1"/>
    </xf>
    <xf numFmtId="166" fontId="53" fillId="0" borderId="59" xfId="0" applyNumberFormat="1" applyFont="1" applyBorder="1" applyAlignment="1">
      <alignment horizontal="center" vertical="center" wrapText="1"/>
    </xf>
    <xf numFmtId="166" fontId="53" fillId="0" borderId="36" xfId="0" applyNumberFormat="1" applyFont="1" applyBorder="1" applyAlignment="1">
      <alignment horizontal="center" vertical="center" wrapText="1"/>
    </xf>
    <xf numFmtId="166" fontId="13" fillId="0" borderId="36" xfId="0" applyNumberFormat="1" applyFont="1" applyBorder="1" applyAlignment="1">
      <alignment horizontal="center" vertical="center" wrapText="1"/>
    </xf>
    <xf numFmtId="166" fontId="13" fillId="0" borderId="55" xfId="0" applyNumberFormat="1" applyFont="1" applyBorder="1" applyAlignment="1">
      <alignment horizontal="center" vertical="center" wrapText="1"/>
    </xf>
    <xf numFmtId="166" fontId="13" fillId="16" borderId="34" xfId="0" applyNumberFormat="1" applyFont="1" applyFill="1" applyBorder="1" applyAlignment="1">
      <alignment horizontal="center" vertical="center" wrapText="1"/>
    </xf>
    <xf numFmtId="0" fontId="18" fillId="0" borderId="19" xfId="0" applyFont="1" applyBorder="1" applyAlignment="1">
      <alignment wrapText="1"/>
    </xf>
    <xf numFmtId="4" fontId="14" fillId="15" borderId="6" xfId="0" applyNumberFormat="1" applyFont="1" applyFill="1" applyBorder="1" applyAlignment="1">
      <alignment horizontal="center" vertical="center" wrapText="1"/>
    </xf>
    <xf numFmtId="4" fontId="14" fillId="15" borderId="19" xfId="0" applyNumberFormat="1" applyFont="1" applyFill="1" applyBorder="1" applyAlignment="1">
      <alignment horizontal="center" vertical="center" wrapText="1"/>
    </xf>
    <xf numFmtId="0" fontId="18" fillId="0" borderId="0" xfId="0" applyFont="1" applyAlignment="1">
      <alignment vertical="center"/>
    </xf>
    <xf numFmtId="0" fontId="52" fillId="0" borderId="13"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8" xfId="0" applyFont="1" applyBorder="1" applyAlignment="1">
      <alignment horizontal="center" vertical="center" wrapText="1"/>
    </xf>
    <xf numFmtId="0" fontId="52" fillId="0" borderId="89" xfId="0" applyFont="1" applyBorder="1" applyAlignment="1">
      <alignment horizontal="center" vertical="center" wrapText="1"/>
    </xf>
    <xf numFmtId="0" fontId="53" fillId="0" borderId="143" xfId="0" applyFont="1" applyBorder="1" applyAlignment="1">
      <alignment wrapText="1"/>
    </xf>
    <xf numFmtId="0" fontId="19" fillId="0" borderId="0" xfId="0" applyFont="1"/>
    <xf numFmtId="0" fontId="52" fillId="13" borderId="144" xfId="0" applyFont="1" applyFill="1" applyBorder="1" applyAlignment="1">
      <alignment horizontal="center" vertical="center" wrapText="1"/>
    </xf>
    <xf numFmtId="0" fontId="18" fillId="13" borderId="145" xfId="0" applyFont="1" applyFill="1" applyBorder="1" applyAlignment="1">
      <alignment wrapText="1"/>
    </xf>
    <xf numFmtId="0" fontId="39" fillId="0" borderId="53" xfId="0" applyFont="1" applyBorder="1" applyAlignment="1">
      <alignment horizontal="center" wrapText="1"/>
    </xf>
    <xf numFmtId="0" fontId="53" fillId="0" borderId="54" xfId="0" applyFont="1" applyBorder="1" applyAlignment="1">
      <alignment wrapText="1"/>
    </xf>
    <xf numFmtId="3" fontId="20" fillId="15" borderId="100" xfId="0" quotePrefix="1" applyNumberFormat="1" applyFont="1" applyFill="1" applyBorder="1" applyAlignment="1">
      <alignment horizontal="center" vertical="center" wrapText="1"/>
    </xf>
    <xf numFmtId="3" fontId="20" fillId="0" borderId="100" xfId="0" quotePrefix="1" applyNumberFormat="1" applyFont="1" applyFill="1" applyBorder="1" applyAlignment="1">
      <alignment horizontal="center" vertical="center" wrapText="1"/>
    </xf>
    <xf numFmtId="3" fontId="20" fillId="13" borderId="100" xfId="0" quotePrefix="1" applyNumberFormat="1" applyFont="1" applyFill="1" applyBorder="1" applyAlignment="1">
      <alignment horizontal="center" vertical="center" wrapText="1"/>
    </xf>
    <xf numFmtId="3" fontId="20" fillId="14" borderId="100" xfId="0" quotePrefix="1" applyNumberFormat="1" applyFont="1" applyFill="1" applyBorder="1" applyAlignment="1">
      <alignment horizontal="center" vertical="center" wrapText="1"/>
    </xf>
    <xf numFmtId="0" fontId="44" fillId="13" borderId="23" xfId="0" applyFont="1" applyFill="1" applyBorder="1"/>
    <xf numFmtId="3" fontId="20" fillId="0" borderId="27" xfId="0" quotePrefix="1" applyNumberFormat="1" applyFont="1" applyFill="1" applyBorder="1" applyAlignment="1">
      <alignment horizontal="center" vertical="center" wrapText="1"/>
    </xf>
    <xf numFmtId="3" fontId="54" fillId="14" borderId="100" xfId="0" quotePrefix="1" applyNumberFormat="1"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9" xfId="0" applyFont="1" applyBorder="1" applyAlignment="1">
      <alignment horizontal="center" vertical="center" wrapText="1"/>
    </xf>
    <xf numFmtId="0" fontId="18" fillId="0" borderId="0" xfId="0" applyFont="1"/>
    <xf numFmtId="0" fontId="19" fillId="0" borderId="0" xfId="0" applyFont="1" applyAlignment="1">
      <alignment vertical="center"/>
    </xf>
    <xf numFmtId="0" fontId="21" fillId="0" borderId="0" xfId="0" applyFont="1"/>
    <xf numFmtId="169" fontId="22" fillId="0" borderId="0" xfId="0" applyNumberFormat="1" applyFont="1" applyBorder="1" applyAlignment="1" applyProtection="1">
      <alignment horizontal="center" vertical="top" wrapText="1" readingOrder="1"/>
      <protection locked="0"/>
    </xf>
    <xf numFmtId="167" fontId="53" fillId="0" borderId="34" xfId="0" applyNumberFormat="1" applyFont="1" applyBorder="1" applyAlignment="1">
      <alignment horizontal="center" vertical="center" wrapText="1"/>
    </xf>
    <xf numFmtId="166" fontId="39" fillId="16" borderId="19" xfId="0" quotePrefix="1" applyNumberFormat="1" applyFont="1" applyFill="1" applyBorder="1" applyAlignment="1">
      <alignment horizontal="center" vertical="center" wrapText="1"/>
    </xf>
    <xf numFmtId="166" fontId="53" fillId="15" borderId="36" xfId="0" applyNumberFormat="1" applyFont="1" applyFill="1" applyBorder="1" applyAlignment="1">
      <alignment horizontal="center" vertical="center" wrapText="1"/>
    </xf>
    <xf numFmtId="166" fontId="53" fillId="15" borderId="35" xfId="0" applyNumberFormat="1" applyFont="1" applyFill="1" applyBorder="1" applyAlignment="1">
      <alignment horizontal="center" vertical="center" wrapText="1"/>
    </xf>
    <xf numFmtId="166" fontId="53" fillId="15" borderId="36" xfId="0" applyNumberFormat="1" applyFont="1" applyFill="1" applyBorder="1" applyAlignment="1">
      <alignment vertical="center" wrapText="1"/>
    </xf>
    <xf numFmtId="166" fontId="13" fillId="15" borderId="36" xfId="0" applyNumberFormat="1" applyFont="1" applyFill="1" applyBorder="1" applyAlignment="1">
      <alignment horizontal="center" vertical="center" wrapText="1"/>
    </xf>
    <xf numFmtId="166" fontId="13" fillId="15" borderId="34" xfId="0" applyNumberFormat="1" applyFont="1" applyFill="1" applyBorder="1" applyAlignment="1">
      <alignment horizontal="center" vertical="center" wrapText="1"/>
    </xf>
    <xf numFmtId="166" fontId="13" fillId="15" borderId="35" xfId="0" applyNumberFormat="1" applyFont="1" applyFill="1" applyBorder="1" applyAlignment="1">
      <alignment horizontal="center" vertical="center" wrapText="1"/>
    </xf>
    <xf numFmtId="166" fontId="61" fillId="7" borderId="19" xfId="0" quotePrefix="1" applyNumberFormat="1" applyFont="1" applyFill="1" applyBorder="1" applyAlignment="1">
      <alignment horizontal="center" vertical="center" wrapText="1"/>
    </xf>
    <xf numFmtId="166" fontId="53" fillId="6" borderId="81" xfId="0" applyNumberFormat="1" applyFont="1" applyFill="1" applyBorder="1" applyAlignment="1">
      <alignment wrapText="1"/>
    </xf>
    <xf numFmtId="166" fontId="53" fillId="6" borderId="57" xfId="0" applyNumberFormat="1" applyFont="1" applyFill="1" applyBorder="1" applyAlignment="1">
      <alignment wrapText="1"/>
    </xf>
    <xf numFmtId="166" fontId="24" fillId="16" borderId="19" xfId="0" quotePrefix="1" applyNumberFormat="1" applyFont="1" applyFill="1" applyBorder="1" applyAlignment="1">
      <alignment horizontal="center" vertical="center" wrapText="1"/>
    </xf>
    <xf numFmtId="166" fontId="13" fillId="0" borderId="34" xfId="0" applyNumberFormat="1" applyFont="1" applyFill="1" applyBorder="1" applyAlignment="1">
      <alignment horizontal="center" vertical="center" wrapText="1"/>
    </xf>
    <xf numFmtId="4" fontId="78" fillId="7" borderId="26" xfId="0" quotePrefix="1" applyNumberFormat="1" applyFont="1" applyFill="1" applyBorder="1" applyAlignment="1">
      <alignment horizontal="center" vertical="center" wrapText="1"/>
    </xf>
    <xf numFmtId="4" fontId="78" fillId="7" borderId="57" xfId="0" quotePrefix="1" applyNumberFormat="1" applyFont="1" applyFill="1" applyBorder="1" applyAlignment="1">
      <alignment horizontal="center" vertical="center" wrapText="1"/>
    </xf>
    <xf numFmtId="4" fontId="78" fillId="13" borderId="42" xfId="0" quotePrefix="1" applyNumberFormat="1" applyFont="1" applyFill="1" applyBorder="1" applyAlignment="1">
      <alignment horizontal="center" vertical="center" wrapText="1"/>
    </xf>
    <xf numFmtId="4" fontId="78" fillId="14" borderId="42" xfId="0" quotePrefix="1" applyNumberFormat="1" applyFont="1" applyFill="1" applyBorder="1" applyAlignment="1">
      <alignment horizontal="center" vertical="center" wrapText="1"/>
    </xf>
    <xf numFmtId="4" fontId="54" fillId="13" borderId="42" xfId="0" quotePrefix="1" applyNumberFormat="1" applyFont="1" applyFill="1" applyBorder="1" applyAlignment="1">
      <alignment horizontal="center" vertical="center" wrapText="1"/>
    </xf>
    <xf numFmtId="4" fontId="54" fillId="14" borderId="42" xfId="0" quotePrefix="1" applyNumberFormat="1" applyFont="1" applyFill="1" applyBorder="1" applyAlignment="1">
      <alignment horizontal="center" vertical="center" wrapText="1"/>
    </xf>
    <xf numFmtId="4" fontId="20" fillId="6" borderId="42" xfId="0" quotePrefix="1" applyNumberFormat="1" applyFont="1" applyFill="1" applyBorder="1" applyAlignment="1">
      <alignment horizontal="center" vertical="center" wrapText="1"/>
    </xf>
    <xf numFmtId="4" fontId="54" fillId="6" borderId="57" xfId="0" quotePrefix="1" applyNumberFormat="1" applyFont="1" applyFill="1" applyBorder="1" applyAlignment="1">
      <alignment horizontal="center" vertical="center" wrapText="1"/>
    </xf>
    <xf numFmtId="4" fontId="39" fillId="13" borderId="93" xfId="0" quotePrefix="1" applyNumberFormat="1" applyFont="1" applyFill="1" applyBorder="1" applyAlignment="1">
      <alignment horizontal="center" vertical="center" wrapText="1"/>
    </xf>
    <xf numFmtId="4" fontId="39" fillId="14" borderId="93" xfId="0" quotePrefix="1" applyNumberFormat="1" applyFont="1" applyFill="1" applyBorder="1" applyAlignment="1">
      <alignment horizontal="center" vertical="center" wrapText="1"/>
    </xf>
    <xf numFmtId="4" fontId="39" fillId="13" borderId="100" xfId="0" quotePrefix="1" applyNumberFormat="1" applyFont="1" applyFill="1" applyBorder="1" applyAlignment="1">
      <alignment horizontal="center" vertical="center" wrapText="1"/>
    </xf>
    <xf numFmtId="4" fontId="39" fillId="14" borderId="100" xfId="0" quotePrefix="1" applyNumberFormat="1" applyFont="1" applyFill="1" applyBorder="1" applyAlignment="1">
      <alignment horizontal="center" vertical="center" wrapText="1"/>
    </xf>
    <xf numFmtId="4" fontId="53" fillId="16" borderId="34" xfId="0" quotePrefix="1" applyNumberFormat="1" applyFont="1" applyFill="1" applyBorder="1" applyAlignment="1">
      <alignment horizontal="center" vertical="center" wrapText="1"/>
    </xf>
    <xf numFmtId="4" fontId="53" fillId="13" borderId="34" xfId="0" quotePrefix="1" applyNumberFormat="1" applyFont="1" applyFill="1" applyBorder="1" applyAlignment="1">
      <alignment horizontal="center" vertical="center" wrapText="1"/>
    </xf>
    <xf numFmtId="4" fontId="53" fillId="14" borderId="34" xfId="0" quotePrefix="1" applyNumberFormat="1" applyFont="1" applyFill="1" applyBorder="1" applyAlignment="1">
      <alignment horizontal="center" vertical="center" wrapText="1"/>
    </xf>
    <xf numFmtId="4" fontId="53" fillId="13" borderId="55" xfId="0" quotePrefix="1" applyNumberFormat="1" applyFont="1" applyFill="1" applyBorder="1" applyAlignment="1">
      <alignment horizontal="center" vertical="center" wrapText="1"/>
    </xf>
    <xf numFmtId="4" fontId="53" fillId="14" borderId="72" xfId="0" quotePrefix="1" applyNumberFormat="1" applyFont="1" applyFill="1" applyBorder="1" applyAlignment="1">
      <alignment horizontal="center" vertical="center" wrapText="1"/>
    </xf>
    <xf numFmtId="4" fontId="13" fillId="16" borderId="34" xfId="0" quotePrefix="1" applyNumberFormat="1" applyFont="1" applyFill="1" applyBorder="1" applyAlignment="1">
      <alignment horizontal="center" vertical="center" wrapText="1"/>
    </xf>
    <xf numFmtId="4" fontId="53" fillId="0" borderId="34" xfId="0" quotePrefix="1" applyNumberFormat="1" applyFont="1" applyFill="1" applyBorder="1" applyAlignment="1">
      <alignment horizontal="center" vertical="center" wrapText="1"/>
    </xf>
    <xf numFmtId="4" fontId="53" fillId="0" borderId="35" xfId="0" quotePrefix="1" applyNumberFormat="1" applyFont="1" applyBorder="1" applyAlignment="1">
      <alignment horizontal="center" vertical="center" wrapText="1"/>
    </xf>
    <xf numFmtId="4" fontId="53" fillId="0" borderId="69" xfId="0" quotePrefix="1" applyNumberFormat="1" applyFont="1" applyBorder="1" applyAlignment="1">
      <alignment horizontal="center" vertical="center" wrapText="1"/>
    </xf>
    <xf numFmtId="4" fontId="53" fillId="0" borderId="36" xfId="0" quotePrefix="1" applyNumberFormat="1" applyFont="1" applyBorder="1" applyAlignment="1">
      <alignment horizontal="center" vertical="center" wrapText="1"/>
    </xf>
    <xf numFmtId="4" fontId="39" fillId="13" borderId="70" xfId="0" quotePrefix="1" applyNumberFormat="1" applyFont="1" applyFill="1" applyBorder="1" applyAlignment="1">
      <alignment horizontal="center" vertical="center" wrapText="1"/>
    </xf>
    <xf numFmtId="4" fontId="39" fillId="14" borderId="70" xfId="0" quotePrefix="1" applyNumberFormat="1" applyFont="1" applyFill="1" applyBorder="1" applyAlignment="1">
      <alignment horizontal="center" vertical="center" wrapText="1"/>
    </xf>
    <xf numFmtId="4" fontId="53" fillId="14" borderId="78" xfId="0" quotePrefix="1" applyNumberFormat="1" applyFont="1" applyFill="1" applyBorder="1" applyAlignment="1">
      <alignment horizontal="center" vertical="center" wrapText="1"/>
    </xf>
    <xf numFmtId="4" fontId="39" fillId="13" borderId="19" xfId="0" quotePrefix="1" applyNumberFormat="1" applyFont="1" applyFill="1" applyBorder="1" applyAlignment="1">
      <alignment horizontal="center" vertical="center" wrapText="1"/>
    </xf>
    <xf numFmtId="4" fontId="39" fillId="14" borderId="19" xfId="0" quotePrefix="1" applyNumberFormat="1" applyFont="1" applyFill="1" applyBorder="1" applyAlignment="1">
      <alignment horizontal="center" vertical="center" wrapText="1"/>
    </xf>
    <xf numFmtId="4" fontId="53" fillId="13" borderId="81" xfId="0" quotePrefix="1" applyNumberFormat="1" applyFont="1" applyFill="1" applyBorder="1" applyAlignment="1">
      <alignment horizontal="center" vertical="center" wrapText="1"/>
    </xf>
    <xf numFmtId="4" fontId="39" fillId="13" borderId="42" xfId="0" quotePrefix="1" applyNumberFormat="1" applyFont="1" applyFill="1" applyBorder="1" applyAlignment="1">
      <alignment horizontal="center" vertical="center" wrapText="1"/>
    </xf>
    <xf numFmtId="4" fontId="39" fillId="14" borderId="42" xfId="0" quotePrefix="1" applyNumberFormat="1" applyFont="1" applyFill="1" applyBorder="1" applyAlignment="1">
      <alignment horizontal="center" vertical="center" wrapText="1"/>
    </xf>
    <xf numFmtId="4" fontId="20" fillId="6" borderId="57" xfId="0" quotePrefix="1" applyNumberFormat="1" applyFont="1" applyFill="1" applyBorder="1" applyAlignment="1">
      <alignment horizontal="center" vertical="center" wrapText="1"/>
    </xf>
    <xf numFmtId="4" fontId="20" fillId="13" borderId="42" xfId="0" quotePrefix="1" applyNumberFormat="1" applyFont="1" applyFill="1" applyBorder="1" applyAlignment="1">
      <alignment horizontal="center" vertical="center" wrapText="1"/>
    </xf>
    <xf numFmtId="4" fontId="20" fillId="14" borderId="42" xfId="0" quotePrefix="1" applyNumberFormat="1" applyFont="1" applyFill="1" applyBorder="1" applyAlignment="1">
      <alignment horizontal="center" vertical="center" wrapText="1"/>
    </xf>
    <xf numFmtId="4" fontId="53" fillId="13" borderId="87" xfId="0" quotePrefix="1" applyNumberFormat="1" applyFont="1" applyFill="1" applyBorder="1" applyAlignment="1">
      <alignment horizontal="center" vertical="center" wrapText="1"/>
    </xf>
    <xf numFmtId="4" fontId="39" fillId="13" borderId="55" xfId="0" quotePrefix="1" applyNumberFormat="1" applyFont="1" applyFill="1" applyBorder="1" applyAlignment="1">
      <alignment horizontal="center" vertical="center" wrapText="1"/>
    </xf>
    <xf numFmtId="4" fontId="39" fillId="14" borderId="55" xfId="0" quotePrefix="1" applyNumberFormat="1" applyFont="1" applyFill="1" applyBorder="1" applyAlignment="1">
      <alignment horizontal="center" vertical="center" wrapText="1"/>
    </xf>
    <xf numFmtId="4" fontId="54" fillId="13" borderId="75" xfId="0" quotePrefix="1" applyNumberFormat="1" applyFont="1" applyFill="1" applyBorder="1" applyAlignment="1">
      <alignment horizontal="center" vertical="center" wrapText="1"/>
    </xf>
    <xf numFmtId="4" fontId="54" fillId="14" borderId="75" xfId="0" quotePrefix="1" applyNumberFormat="1" applyFont="1" applyFill="1" applyBorder="1" applyAlignment="1">
      <alignment horizontal="center" vertical="center" wrapText="1"/>
    </xf>
    <xf numFmtId="4" fontId="20" fillId="13" borderId="98" xfId="0" quotePrefix="1" applyNumberFormat="1" applyFont="1" applyFill="1" applyBorder="1" applyAlignment="1">
      <alignment horizontal="center" vertical="center" wrapText="1"/>
    </xf>
    <xf numFmtId="4" fontId="20" fillId="14" borderId="98" xfId="0" quotePrefix="1" applyNumberFormat="1" applyFont="1" applyFill="1" applyBorder="1" applyAlignment="1">
      <alignment horizontal="center" vertical="center" wrapText="1"/>
    </xf>
    <xf numFmtId="4" fontId="53" fillId="13" borderId="59" xfId="0" quotePrefix="1" applyNumberFormat="1" applyFont="1" applyFill="1" applyBorder="1" applyAlignment="1">
      <alignment horizontal="center" vertical="center" wrapText="1"/>
    </xf>
    <xf numFmtId="4" fontId="24" fillId="16" borderId="19" xfId="0" quotePrefix="1" applyNumberFormat="1" applyFont="1" applyFill="1" applyBorder="1" applyAlignment="1">
      <alignment horizontal="center" vertical="center" wrapText="1"/>
    </xf>
    <xf numFmtId="4" fontId="24" fillId="13" borderId="93" xfId="0" quotePrefix="1" applyNumberFormat="1" applyFont="1" applyFill="1" applyBorder="1" applyAlignment="1">
      <alignment horizontal="center" vertical="center" wrapText="1"/>
    </xf>
    <xf numFmtId="4" fontId="24" fillId="14" borderId="93" xfId="0" quotePrefix="1" applyNumberFormat="1" applyFont="1" applyFill="1" applyBorder="1" applyAlignment="1">
      <alignment horizontal="center" vertical="center" wrapText="1"/>
    </xf>
    <xf numFmtId="4" fontId="24" fillId="13" borderId="19" xfId="0" quotePrefix="1" applyNumberFormat="1" applyFont="1" applyFill="1" applyBorder="1" applyAlignment="1">
      <alignment horizontal="center" vertical="center" wrapText="1"/>
    </xf>
    <xf numFmtId="4" fontId="24" fillId="14" borderId="19" xfId="0" quotePrefix="1" applyNumberFormat="1" applyFont="1" applyFill="1" applyBorder="1" applyAlignment="1">
      <alignment horizontal="center" vertical="center" wrapText="1"/>
    </xf>
    <xf numFmtId="4" fontId="13" fillId="0" borderId="34" xfId="0" quotePrefix="1" applyNumberFormat="1" applyFont="1" applyBorder="1" applyAlignment="1">
      <alignment horizontal="center" vertical="center" wrapText="1"/>
    </xf>
    <xf numFmtId="4" fontId="13" fillId="13" borderId="34" xfId="0" quotePrefix="1" applyNumberFormat="1" applyFont="1" applyFill="1" applyBorder="1" applyAlignment="1">
      <alignment horizontal="center" vertical="center" wrapText="1"/>
    </xf>
    <xf numFmtId="4" fontId="13" fillId="14" borderId="34" xfId="0" quotePrefix="1" applyNumberFormat="1" applyFont="1" applyFill="1" applyBorder="1" applyAlignment="1">
      <alignment horizontal="center" vertical="center" wrapText="1"/>
    </xf>
    <xf numFmtId="4" fontId="13" fillId="0" borderId="34" xfId="0" quotePrefix="1" applyNumberFormat="1" applyFont="1" applyFill="1" applyBorder="1" applyAlignment="1">
      <alignment horizontal="center" vertical="center" wrapText="1"/>
    </xf>
    <xf numFmtId="4" fontId="13" fillId="13" borderId="81" xfId="0" quotePrefix="1" applyNumberFormat="1" applyFont="1" applyFill="1" applyBorder="1" applyAlignment="1">
      <alignment horizontal="center" vertical="center" wrapText="1"/>
    </xf>
    <xf numFmtId="4" fontId="13" fillId="14" borderId="72" xfId="0" quotePrefix="1" applyNumberFormat="1" applyFont="1" applyFill="1" applyBorder="1" applyAlignment="1">
      <alignment horizontal="center" vertical="center" wrapText="1"/>
    </xf>
    <xf numFmtId="4" fontId="13" fillId="13" borderId="87" xfId="0" quotePrefix="1" applyNumberFormat="1" applyFont="1" applyFill="1" applyBorder="1" applyAlignment="1">
      <alignment horizontal="center" vertical="center" wrapText="1"/>
    </xf>
    <xf numFmtId="4" fontId="53" fillId="13" borderId="19" xfId="0" quotePrefix="1" applyNumberFormat="1" applyFont="1" applyFill="1" applyBorder="1" applyAlignment="1">
      <alignment horizontal="center" vertical="center" wrapText="1"/>
    </xf>
    <xf numFmtId="4" fontId="53" fillId="14" borderId="19" xfId="0" quotePrefix="1" applyNumberFormat="1" applyFont="1" applyFill="1" applyBorder="1" applyAlignment="1">
      <alignment horizontal="center" vertical="center" wrapText="1"/>
    </xf>
    <xf numFmtId="4" fontId="53" fillId="14" borderId="93" xfId="0" quotePrefix="1" applyNumberFormat="1" applyFont="1" applyFill="1" applyBorder="1" applyAlignment="1">
      <alignment horizontal="center" vertical="center" wrapText="1"/>
    </xf>
    <xf numFmtId="4" fontId="53" fillId="16" borderId="35" xfId="0" quotePrefix="1" applyNumberFormat="1" applyFont="1" applyFill="1" applyBorder="1" applyAlignment="1">
      <alignment horizontal="center" vertical="center" wrapText="1"/>
    </xf>
    <xf numFmtId="4" fontId="53" fillId="13" borderId="35" xfId="0" quotePrefix="1" applyNumberFormat="1" applyFont="1" applyFill="1" applyBorder="1" applyAlignment="1">
      <alignment horizontal="center" vertical="center" wrapText="1"/>
    </xf>
    <xf numFmtId="4" fontId="53" fillId="14" borderId="35" xfId="0" quotePrefix="1" applyNumberFormat="1" applyFont="1" applyFill="1" applyBorder="1" applyAlignment="1">
      <alignment horizontal="center" vertical="center" wrapText="1"/>
    </xf>
    <xf numFmtId="4" fontId="53" fillId="0" borderId="35" xfId="0" quotePrefix="1" applyNumberFormat="1" applyFont="1" applyFill="1" applyBorder="1" applyAlignment="1">
      <alignment horizontal="center" vertical="center" wrapText="1"/>
    </xf>
    <xf numFmtId="0" fontId="29" fillId="6" borderId="44" xfId="0" applyFont="1" applyFill="1" applyBorder="1" applyAlignment="1">
      <alignment horizontal="center" vertical="center" wrapText="1"/>
    </xf>
    <xf numFmtId="0" fontId="29" fillId="6" borderId="109" xfId="0" applyFont="1" applyFill="1" applyBorder="1" applyAlignment="1">
      <alignment horizontal="center" vertical="center" wrapText="1"/>
    </xf>
    <xf numFmtId="0" fontId="29" fillId="6" borderId="45" xfId="0" applyFont="1" applyFill="1" applyBorder="1" applyAlignment="1">
      <alignment horizontal="center" vertical="center" wrapText="1"/>
    </xf>
    <xf numFmtId="0" fontId="26" fillId="0" borderId="36" xfId="0" applyFont="1" applyBorder="1" applyAlignment="1">
      <alignment wrapText="1"/>
    </xf>
    <xf numFmtId="0" fontId="26" fillId="0" borderId="36" xfId="0" applyFont="1" applyBorder="1" applyAlignment="1">
      <alignment horizontal="center" vertical="center" wrapText="1"/>
    </xf>
    <xf numFmtId="0" fontId="26" fillId="0" borderId="34" xfId="0" applyFont="1" applyBorder="1" applyAlignment="1">
      <alignment wrapText="1"/>
    </xf>
    <xf numFmtId="3" fontId="28" fillId="0" borderId="34" xfId="0" applyNumberFormat="1" applyFont="1" applyBorder="1" applyAlignment="1">
      <alignment horizontal="center" vertical="center" wrapText="1"/>
    </xf>
    <xf numFmtId="0" fontId="29" fillId="0" borderId="34" xfId="0" applyFont="1" applyBorder="1" applyAlignment="1">
      <alignment horizontal="center" vertical="center" wrapText="1"/>
    </xf>
    <xf numFmtId="0" fontId="29" fillId="0" borderId="0" xfId="0" applyFont="1" applyAlignment="1">
      <alignment wrapText="1"/>
    </xf>
    <xf numFmtId="0" fontId="29" fillId="0" borderId="15" xfId="0" applyFont="1" applyBorder="1" applyAlignment="1">
      <alignment horizontal="center" vertical="center" wrapText="1"/>
    </xf>
    <xf numFmtId="4" fontId="61" fillId="7" borderId="26" xfId="0" quotePrefix="1" applyNumberFormat="1" applyFont="1" applyFill="1" applyBorder="1" applyAlignment="1">
      <alignment horizontal="center" vertical="center" wrapText="1"/>
    </xf>
    <xf numFmtId="4" fontId="20" fillId="18" borderId="42" xfId="0" quotePrefix="1" applyNumberFormat="1" applyFont="1" applyFill="1" applyBorder="1" applyAlignment="1">
      <alignment horizontal="center" vertical="center" wrapText="1"/>
    </xf>
    <xf numFmtId="4" fontId="53" fillId="18" borderId="36" xfId="0" quotePrefix="1" applyNumberFormat="1" applyFont="1" applyFill="1" applyBorder="1" applyAlignment="1">
      <alignment horizontal="center" vertical="center" wrapText="1"/>
    </xf>
    <xf numFmtId="4" fontId="53" fillId="13" borderId="36" xfId="0" quotePrefix="1" applyNumberFormat="1" applyFont="1" applyFill="1" applyBorder="1" applyAlignment="1">
      <alignment horizontal="center" vertical="center" wrapText="1"/>
    </xf>
    <xf numFmtId="4" fontId="53" fillId="15" borderId="34" xfId="0" quotePrefix="1" applyNumberFormat="1" applyFont="1" applyFill="1" applyBorder="1" applyAlignment="1">
      <alignment horizontal="center" vertical="center" wrapText="1"/>
    </xf>
    <xf numFmtId="4" fontId="53" fillId="13" borderId="0" xfId="0" quotePrefix="1" applyNumberFormat="1" applyFont="1" applyFill="1" applyBorder="1" applyAlignment="1">
      <alignment horizontal="center" vertical="center" wrapText="1"/>
    </xf>
    <xf numFmtId="4" fontId="20" fillId="6" borderId="100" xfId="0" quotePrefix="1" applyNumberFormat="1" applyFont="1" applyFill="1" applyBorder="1" applyAlignment="1">
      <alignment horizontal="center" vertical="center" wrapText="1"/>
    </xf>
    <xf numFmtId="4" fontId="61" fillId="7" borderId="31" xfId="0" quotePrefix="1" applyNumberFormat="1" applyFont="1" applyFill="1" applyBorder="1" applyAlignment="1">
      <alignment horizontal="center" vertical="center" wrapText="1"/>
    </xf>
    <xf numFmtId="4" fontId="13" fillId="18" borderId="34" xfId="0" quotePrefix="1" applyNumberFormat="1" applyFont="1" applyFill="1" applyBorder="1" applyAlignment="1">
      <alignment horizontal="center" vertical="center" wrapText="1"/>
    </xf>
    <xf numFmtId="10" fontId="0" fillId="0" borderId="0" xfId="0" applyNumberFormat="1"/>
    <xf numFmtId="4" fontId="54" fillId="7" borderId="72" xfId="0" quotePrefix="1" applyNumberFormat="1" applyFont="1" applyFill="1" applyBorder="1" applyAlignment="1">
      <alignment horizontal="center" vertical="center" wrapText="1"/>
    </xf>
    <xf numFmtId="4" fontId="20" fillId="6" borderId="74" xfId="0" quotePrefix="1" applyNumberFormat="1" applyFont="1" applyFill="1" applyBorder="1" applyAlignment="1">
      <alignment horizontal="center" vertical="center" wrapText="1"/>
    </xf>
    <xf numFmtId="4" fontId="20" fillId="6" borderId="93" xfId="0" quotePrefix="1" applyNumberFormat="1" applyFont="1" applyFill="1" applyBorder="1" applyAlignment="1">
      <alignment horizontal="center" vertical="center" wrapText="1"/>
    </xf>
    <xf numFmtId="4" fontId="41" fillId="7" borderId="24" xfId="0" applyNumberFormat="1" applyFont="1" applyFill="1" applyBorder="1" applyAlignment="1">
      <alignment horizontal="center" vertical="center" wrapText="1"/>
    </xf>
    <xf numFmtId="4" fontId="54" fillId="7" borderId="0" xfId="0" quotePrefix="1" applyNumberFormat="1" applyFont="1" applyFill="1" applyBorder="1" applyAlignment="1">
      <alignment horizontal="center" vertical="center" wrapText="1"/>
    </xf>
    <xf numFmtId="4" fontId="53" fillId="6" borderId="13" xfId="0" applyNumberFormat="1" applyFont="1" applyFill="1" applyBorder="1" applyAlignment="1">
      <alignment wrapText="1"/>
    </xf>
    <xf numFmtId="4" fontId="53" fillId="6" borderId="19" xfId="0" applyNumberFormat="1" applyFont="1" applyFill="1" applyBorder="1" applyAlignment="1">
      <alignment wrapText="1"/>
    </xf>
    <xf numFmtId="4" fontId="53" fillId="6" borderId="18" xfId="0" applyNumberFormat="1" applyFont="1" applyFill="1" applyBorder="1" applyAlignment="1">
      <alignment wrapText="1"/>
    </xf>
    <xf numFmtId="4" fontId="53" fillId="6" borderId="54" xfId="0" applyNumberFormat="1" applyFont="1" applyFill="1" applyBorder="1" applyAlignment="1">
      <alignment wrapText="1"/>
    </xf>
    <xf numFmtId="4" fontId="20" fillId="6" borderId="13" xfId="0" quotePrefix="1" applyNumberFormat="1" applyFont="1" applyFill="1" applyBorder="1" applyAlignment="1">
      <alignment horizontal="center" vertical="center" wrapText="1"/>
    </xf>
    <xf numFmtId="4" fontId="39" fillId="16" borderId="14" xfId="0" applyNumberFormat="1" applyFont="1" applyFill="1" applyBorder="1" applyAlignment="1">
      <alignment horizontal="center" vertical="center" wrapText="1"/>
    </xf>
    <xf numFmtId="4" fontId="39" fillId="16" borderId="19" xfId="0" applyNumberFormat="1" applyFont="1" applyFill="1" applyBorder="1" applyAlignment="1">
      <alignment horizontal="center" vertical="center" wrapText="1"/>
    </xf>
    <xf numFmtId="4" fontId="52" fillId="5" borderId="42" xfId="0" quotePrefix="1" applyNumberFormat="1" applyFont="1" applyFill="1" applyBorder="1" applyAlignment="1">
      <alignment horizontal="center" vertical="center" wrapText="1"/>
    </xf>
    <xf numFmtId="4" fontId="53" fillId="15" borderId="36" xfId="0" quotePrefix="1" applyNumberFormat="1" applyFont="1" applyFill="1" applyBorder="1" applyAlignment="1">
      <alignment horizontal="center" vertical="center" wrapText="1"/>
    </xf>
    <xf numFmtId="4" fontId="53" fillId="15" borderId="35" xfId="0" quotePrefix="1" applyNumberFormat="1" applyFont="1" applyFill="1" applyBorder="1" applyAlignment="1">
      <alignment horizontal="center" vertical="center" wrapText="1"/>
    </xf>
    <xf numFmtId="4" fontId="13" fillId="15" borderId="36" xfId="0" quotePrefix="1" applyNumberFormat="1" applyFont="1" applyFill="1" applyBorder="1" applyAlignment="1">
      <alignment horizontal="center" vertical="center" wrapText="1"/>
    </xf>
    <xf numFmtId="4" fontId="13" fillId="15" borderId="34" xfId="0" quotePrefix="1" applyNumberFormat="1" applyFont="1" applyFill="1" applyBorder="1" applyAlignment="1">
      <alignment horizontal="center" vertical="center" wrapText="1"/>
    </xf>
    <xf numFmtId="4" fontId="13" fillId="15" borderId="35" xfId="0" quotePrefix="1" applyNumberFormat="1" applyFont="1" applyFill="1" applyBorder="1" applyAlignment="1">
      <alignment horizontal="center" vertical="center" wrapText="1"/>
    </xf>
    <xf numFmtId="4" fontId="20" fillId="6" borderId="53" xfId="0" quotePrefix="1" applyNumberFormat="1" applyFont="1" applyFill="1" applyBorder="1" applyAlignment="1">
      <alignment horizontal="center" vertical="center" wrapText="1"/>
    </xf>
    <xf numFmtId="4" fontId="20" fillId="6" borderId="58" xfId="0" quotePrefix="1" applyNumberFormat="1" applyFont="1" applyFill="1" applyBorder="1" applyAlignment="1">
      <alignment horizontal="center" vertical="center" wrapText="1"/>
    </xf>
    <xf numFmtId="4" fontId="61" fillId="7" borderId="19" xfId="0" quotePrefix="1" applyNumberFormat="1" applyFont="1" applyFill="1" applyBorder="1" applyAlignment="1">
      <alignment horizontal="center" vertical="center" wrapText="1"/>
    </xf>
    <xf numFmtId="4" fontId="41" fillId="7" borderId="6" xfId="0" applyNumberFormat="1" applyFont="1" applyFill="1" applyBorder="1" applyAlignment="1">
      <alignment horizontal="center" vertical="center" wrapText="1"/>
    </xf>
    <xf numFmtId="4" fontId="54" fillId="7" borderId="102" xfId="0" quotePrefix="1" applyNumberFormat="1" applyFont="1" applyFill="1" applyBorder="1" applyAlignment="1">
      <alignment horizontal="center" vertical="center" wrapText="1"/>
    </xf>
    <xf numFmtId="4" fontId="24" fillId="16" borderId="14" xfId="0" applyNumberFormat="1" applyFont="1" applyFill="1" applyBorder="1" applyAlignment="1">
      <alignment horizontal="center" vertical="center" wrapText="1"/>
    </xf>
    <xf numFmtId="4" fontId="24" fillId="16" borderId="19" xfId="0" applyNumberFormat="1" applyFont="1" applyFill="1" applyBorder="1" applyAlignment="1">
      <alignment horizontal="center" vertical="center" wrapText="1"/>
    </xf>
    <xf numFmtId="4" fontId="27" fillId="5" borderId="42" xfId="0" quotePrefix="1" applyNumberFormat="1" applyFont="1" applyFill="1" applyBorder="1" applyAlignment="1">
      <alignment horizontal="center" vertical="center" wrapText="1"/>
    </xf>
    <xf numFmtId="4" fontId="41" fillId="7" borderId="15" xfId="0" applyNumberFormat="1" applyFont="1" applyFill="1" applyBorder="1" applyAlignment="1">
      <alignment horizontal="center" vertical="center" wrapText="1"/>
    </xf>
    <xf numFmtId="4" fontId="61" fillId="20" borderId="19" xfId="0" quotePrefix="1" applyNumberFormat="1" applyFont="1" applyFill="1" applyBorder="1" applyAlignment="1">
      <alignment horizontal="center" vertical="center" wrapText="1"/>
    </xf>
    <xf numFmtId="4" fontId="61" fillId="18" borderId="19" xfId="0" quotePrefix="1" applyNumberFormat="1" applyFont="1" applyFill="1" applyBorder="1" applyAlignment="1">
      <alignment horizontal="center" vertical="center" wrapText="1"/>
    </xf>
    <xf numFmtId="4" fontId="20" fillId="20" borderId="19" xfId="0" quotePrefix="1" applyNumberFormat="1" applyFont="1" applyFill="1" applyBorder="1" applyAlignment="1">
      <alignment horizontal="center" vertical="center" wrapText="1"/>
    </xf>
    <xf numFmtId="4" fontId="20" fillId="18" borderId="13" xfId="0" quotePrefix="1" applyNumberFormat="1" applyFont="1" applyFill="1" applyBorder="1" applyAlignment="1">
      <alignment horizontal="center" vertical="center" wrapText="1"/>
    </xf>
    <xf numFmtId="4" fontId="53" fillId="18" borderId="35" xfId="0" quotePrefix="1" applyNumberFormat="1" applyFont="1" applyFill="1" applyBorder="1" applyAlignment="1">
      <alignment horizontal="center" vertical="center" wrapText="1"/>
    </xf>
    <xf numFmtId="4" fontId="39" fillId="20" borderId="14" xfId="0" quotePrefix="1" applyNumberFormat="1" applyFont="1" applyFill="1" applyBorder="1" applyAlignment="1">
      <alignment horizontal="center" vertical="center" wrapText="1"/>
    </xf>
    <xf numFmtId="4" fontId="39" fillId="18" borderId="14" xfId="0" quotePrefix="1" applyNumberFormat="1" applyFont="1" applyFill="1" applyBorder="1" applyAlignment="1">
      <alignment horizontal="center" vertical="center" wrapText="1"/>
    </xf>
    <xf numFmtId="4" fontId="20" fillId="20" borderId="13" xfId="0" quotePrefix="1" applyNumberFormat="1" applyFont="1" applyFill="1" applyBorder="1" applyAlignment="1">
      <alignment horizontal="center" vertical="center" wrapText="1"/>
    </xf>
    <xf numFmtId="4" fontId="20" fillId="20" borderId="42" xfId="0" quotePrefix="1" applyNumberFormat="1" applyFont="1" applyFill="1" applyBorder="1" applyAlignment="1">
      <alignment horizontal="center" vertical="center" wrapText="1"/>
    </xf>
    <xf numFmtId="4" fontId="13" fillId="20" borderId="34" xfId="0" quotePrefix="1" applyNumberFormat="1" applyFont="1" applyFill="1" applyBorder="1" applyAlignment="1">
      <alignment horizontal="center" vertical="center" wrapText="1"/>
    </xf>
    <xf numFmtId="4" fontId="53" fillId="20" borderId="35" xfId="0" quotePrefix="1" applyNumberFormat="1" applyFont="1" applyFill="1" applyBorder="1" applyAlignment="1">
      <alignment horizontal="center" vertical="center" wrapText="1"/>
    </xf>
    <xf numFmtId="4" fontId="61" fillId="20" borderId="15" xfId="0" quotePrefix="1" applyNumberFormat="1" applyFont="1" applyFill="1" applyBorder="1" applyAlignment="1">
      <alignment horizontal="center" vertical="center" wrapText="1"/>
    </xf>
    <xf numFmtId="4" fontId="61" fillId="18" borderId="15" xfId="0" quotePrefix="1" applyNumberFormat="1" applyFont="1" applyFill="1" applyBorder="1" applyAlignment="1">
      <alignment horizontal="center" vertical="center" wrapText="1"/>
    </xf>
    <xf numFmtId="4" fontId="53" fillId="18" borderId="53" xfId="0" quotePrefix="1" applyNumberFormat="1" applyFont="1" applyFill="1" applyBorder="1" applyAlignment="1">
      <alignment horizontal="center" vertical="center" wrapText="1"/>
    </xf>
    <xf numFmtId="4" fontId="53" fillId="20" borderId="36" xfId="0" quotePrefix="1" applyNumberFormat="1" applyFont="1" applyFill="1" applyBorder="1" applyAlignment="1">
      <alignment horizontal="center" vertical="center" wrapText="1"/>
    </xf>
    <xf numFmtId="4" fontId="19" fillId="13" borderId="10" xfId="0" applyNumberFormat="1" applyFont="1" applyFill="1" applyBorder="1" applyAlignment="1">
      <alignment horizontal="center" vertical="center" wrapText="1"/>
    </xf>
    <xf numFmtId="4" fontId="21" fillId="5" borderId="41" xfId="0" applyNumberFormat="1" applyFont="1" applyFill="1" applyBorder="1" applyAlignment="1">
      <alignment horizontal="center" vertical="center" wrapText="1"/>
    </xf>
    <xf numFmtId="4" fontId="25" fillId="13" borderId="41" xfId="0" applyNumberFormat="1" applyFont="1" applyFill="1" applyBorder="1" applyAlignment="1">
      <alignment horizontal="center" vertical="center" wrapText="1"/>
    </xf>
    <xf numFmtId="4" fontId="19" fillId="13" borderId="33" xfId="0" applyNumberFormat="1" applyFont="1" applyFill="1" applyBorder="1" applyAlignment="1">
      <alignment horizontal="center" vertical="center" wrapText="1"/>
    </xf>
    <xf numFmtId="4" fontId="21" fillId="5" borderId="49" xfId="0" applyNumberFormat="1" applyFont="1" applyFill="1" applyBorder="1" applyAlignment="1">
      <alignment horizontal="center" vertical="center" wrapText="1"/>
    </xf>
    <xf numFmtId="4" fontId="25" fillId="13" borderId="49" xfId="0" applyNumberFormat="1" applyFont="1" applyFill="1" applyBorder="1" applyAlignment="1">
      <alignment horizontal="center" vertical="center" wrapText="1"/>
    </xf>
    <xf numFmtId="4" fontId="47" fillId="0" borderId="34" xfId="0" applyNumberFormat="1" applyFont="1" applyBorder="1" applyAlignment="1">
      <alignment horizontal="center" vertical="center" wrapText="1"/>
    </xf>
    <xf numFmtId="0" fontId="0" fillId="0" borderId="0" xfId="0" applyBorder="1" applyAlignment="1">
      <alignment horizontal="center" vertical="center" wrapText="1"/>
    </xf>
    <xf numFmtId="0" fontId="53" fillId="10" borderId="34" xfId="0" applyFont="1" applyFill="1" applyBorder="1" applyAlignment="1">
      <alignment horizontal="center" vertical="center" wrapText="1"/>
    </xf>
    <xf numFmtId="0" fontId="0" fillId="10" borderId="0" xfId="0" applyFill="1" applyAlignment="1">
      <alignment horizontal="center" vertical="center"/>
    </xf>
    <xf numFmtId="0" fontId="0" fillId="10" borderId="34" xfId="0" applyFill="1" applyBorder="1" applyAlignment="1">
      <alignment horizontal="center" vertical="center"/>
    </xf>
    <xf numFmtId="1" fontId="8" fillId="0" borderId="0" xfId="0" applyNumberFormat="1" applyFont="1" applyAlignment="1">
      <alignment horizontal="center" vertical="center"/>
    </xf>
    <xf numFmtId="0" fontId="47" fillId="0" borderId="34" xfId="0" applyFont="1" applyFill="1" applyBorder="1" applyAlignment="1">
      <alignment vertical="top" wrapText="1"/>
    </xf>
    <xf numFmtId="0" fontId="53" fillId="0" borderId="26" xfId="0" applyFont="1" applyBorder="1" applyAlignment="1">
      <alignment horizontal="center" wrapText="1"/>
    </xf>
    <xf numFmtId="0" fontId="53" fillId="0" borderId="24" xfId="0" applyFont="1" applyBorder="1" applyAlignment="1">
      <alignment horizontal="center" wrapText="1"/>
    </xf>
    <xf numFmtId="0" fontId="53" fillId="13" borderId="94" xfId="0" applyFont="1" applyFill="1" applyBorder="1" applyAlignment="1">
      <alignment horizontal="center" wrapText="1"/>
    </xf>
    <xf numFmtId="0" fontId="39" fillId="14" borderId="19" xfId="0" applyFont="1" applyFill="1" applyBorder="1" applyAlignment="1">
      <alignment horizontal="center" wrapText="1"/>
    </xf>
    <xf numFmtId="0" fontId="53" fillId="0" borderId="93" xfId="0" applyFont="1" applyBorder="1" applyAlignment="1">
      <alignment horizontal="center" wrapText="1"/>
    </xf>
    <xf numFmtId="0" fontId="53" fillId="0" borderId="94" xfId="0" applyFont="1" applyBorder="1" applyAlignment="1">
      <alignment horizontal="center" wrapText="1"/>
    </xf>
    <xf numFmtId="0" fontId="39" fillId="13" borderId="94" xfId="0" applyFont="1" applyFill="1" applyBorder="1" applyAlignment="1">
      <alignment horizontal="center" wrapText="1"/>
    </xf>
    <xf numFmtId="0" fontId="13" fillId="0" borderId="0" xfId="0" applyFont="1" applyFill="1" applyBorder="1" applyAlignment="1">
      <alignment wrapText="1"/>
    </xf>
    <xf numFmtId="0" fontId="53" fillId="0" borderId="0" xfId="0" applyFont="1" applyBorder="1" applyAlignment="1">
      <alignment wrapText="1"/>
    </xf>
    <xf numFmtId="0" fontId="13" fillId="13" borderId="0" xfId="0" applyFont="1" applyFill="1" applyBorder="1" applyAlignment="1">
      <alignment wrapText="1"/>
    </xf>
    <xf numFmtId="4" fontId="53" fillId="0" borderId="0" xfId="0" quotePrefix="1" applyNumberFormat="1" applyFont="1" applyFill="1" applyBorder="1" applyAlignment="1">
      <alignment horizontal="center" vertical="center" wrapText="1"/>
    </xf>
    <xf numFmtId="166" fontId="13" fillId="0" borderId="0" xfId="0" applyNumberFormat="1" applyFont="1" applyFill="1" applyBorder="1" applyAlignment="1">
      <alignment horizontal="center" vertical="center" wrapText="1"/>
    </xf>
    <xf numFmtId="4" fontId="39" fillId="0" borderId="0" xfId="0" quotePrefix="1" applyNumberFormat="1" applyFont="1" applyFill="1" applyBorder="1" applyAlignment="1">
      <alignment horizontal="center" vertical="center" wrapText="1"/>
    </xf>
    <xf numFmtId="4" fontId="21" fillId="0" borderId="0" xfId="0" applyNumberFormat="1" applyFont="1"/>
    <xf numFmtId="0" fontId="4" fillId="0" borderId="21" xfId="0" applyFont="1" applyBorder="1" applyAlignment="1">
      <alignment horizontal="center" vertical="top" wrapText="1"/>
    </xf>
    <xf numFmtId="0" fontId="0" fillId="0" borderId="0" xfId="0" applyAlignment="1">
      <alignment wrapText="1"/>
    </xf>
    <xf numFmtId="3" fontId="8" fillId="10" borderId="34" xfId="0" applyNumberFormat="1" applyFont="1" applyFill="1" applyBorder="1" applyAlignment="1">
      <alignment horizontal="center" vertical="center"/>
    </xf>
    <xf numFmtId="0" fontId="27" fillId="0" borderId="13" xfId="0" applyFont="1" applyFill="1" applyBorder="1" applyAlignment="1">
      <alignment horizontal="center" vertical="center" wrapText="1"/>
    </xf>
    <xf numFmtId="0" fontId="17" fillId="0" borderId="26" xfId="0" applyFont="1" applyFill="1" applyBorder="1" applyAlignment="1">
      <alignment horizontal="center" vertical="center" wrapText="1"/>
    </xf>
    <xf numFmtId="3" fontId="12" fillId="16" borderId="6" xfId="0" applyNumberFormat="1" applyFont="1" applyFill="1" applyBorder="1" applyAlignment="1">
      <alignment horizontal="center" vertical="center" wrapText="1"/>
    </xf>
    <xf numFmtId="2" fontId="12" fillId="16" borderId="6" xfId="0" applyNumberFormat="1" applyFont="1" applyFill="1" applyBorder="1" applyAlignment="1">
      <alignment horizontal="center" vertical="center" wrapText="1"/>
    </xf>
    <xf numFmtId="0" fontId="17" fillId="22" borderId="23" xfId="0" applyFont="1" applyFill="1" applyBorder="1" applyAlignment="1">
      <alignment horizontal="center" vertical="center" wrapText="1"/>
    </xf>
    <xf numFmtId="0" fontId="17" fillId="22" borderId="27" xfId="0" applyFont="1" applyFill="1" applyBorder="1" applyAlignment="1">
      <alignment horizontal="center" vertical="center" wrapText="1"/>
    </xf>
    <xf numFmtId="0" fontId="17" fillId="22" borderId="100" xfId="0" applyFont="1" applyFill="1" applyBorder="1" applyAlignment="1">
      <alignment horizontal="center" vertical="center" wrapText="1"/>
    </xf>
    <xf numFmtId="0" fontId="17" fillId="22" borderId="105" xfId="0" applyFont="1" applyFill="1" applyBorder="1" applyAlignment="1">
      <alignment horizontal="center" vertical="center" wrapText="1"/>
    </xf>
    <xf numFmtId="0" fontId="17" fillId="22" borderId="106" xfId="0" applyFont="1" applyFill="1" applyBorder="1" applyAlignment="1">
      <alignment horizontal="center" vertical="center" wrapText="1"/>
    </xf>
    <xf numFmtId="0" fontId="27" fillId="22" borderId="57" xfId="0" applyFont="1" applyFill="1" applyBorder="1" applyAlignment="1">
      <alignment horizontal="center" vertical="center" wrapText="1"/>
    </xf>
    <xf numFmtId="0" fontId="27" fillId="22" borderId="53" xfId="0" applyFont="1" applyFill="1" applyBorder="1" applyAlignment="1">
      <alignment horizontal="center" vertical="center" wrapText="1"/>
    </xf>
    <xf numFmtId="0" fontId="14" fillId="22" borderId="19"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22" borderId="19" xfId="0" applyFont="1" applyFill="1" applyBorder="1" applyAlignment="1">
      <alignment horizontal="center" vertical="center" wrapText="1"/>
    </xf>
    <xf numFmtId="4" fontId="2" fillId="22" borderId="19" xfId="0" applyNumberFormat="1" applyFont="1" applyFill="1" applyBorder="1" applyAlignment="1">
      <alignment horizontal="center" vertical="center" wrapText="1"/>
    </xf>
    <xf numFmtId="1" fontId="2" fillId="22" borderId="14" xfId="0" applyNumberFormat="1" applyFont="1" applyFill="1" applyBorder="1" applyAlignment="1">
      <alignment horizontal="center" vertical="center" wrapText="1"/>
    </xf>
    <xf numFmtId="0" fontId="27" fillId="22" borderId="19" xfId="0" applyFont="1" applyFill="1" applyBorder="1" applyAlignment="1">
      <alignment horizontal="center" vertical="center" wrapText="1"/>
    </xf>
    <xf numFmtId="0" fontId="22" fillId="22" borderId="19" xfId="0" applyFont="1" applyFill="1" applyBorder="1" applyAlignment="1">
      <alignment horizontal="center" vertical="center" wrapText="1"/>
    </xf>
    <xf numFmtId="0" fontId="14" fillId="22" borderId="57" xfId="0" applyFont="1" applyFill="1" applyBorder="1" applyAlignment="1">
      <alignment horizontal="center" vertical="center" wrapText="1"/>
    </xf>
    <xf numFmtId="0" fontId="14" fillId="22" borderId="53" xfId="0" applyFont="1" applyFill="1" applyBorder="1" applyAlignment="1">
      <alignment horizontal="center" vertical="center" wrapText="1"/>
    </xf>
    <xf numFmtId="0" fontId="2" fillId="22" borderId="15" xfId="0" applyFont="1" applyFill="1" applyBorder="1" applyAlignment="1">
      <alignment horizontal="center" vertical="center" wrapText="1"/>
    </xf>
    <xf numFmtId="0" fontId="13" fillId="22" borderId="15" xfId="0" applyFont="1" applyFill="1" applyBorder="1" applyAlignment="1">
      <alignment horizontal="center" vertical="center" wrapText="1"/>
    </xf>
    <xf numFmtId="0" fontId="13" fillId="22" borderId="14" xfId="0" applyFont="1" applyFill="1" applyBorder="1" applyAlignment="1">
      <alignment horizontal="center" vertical="center" wrapText="1"/>
    </xf>
    <xf numFmtId="16" fontId="24" fillId="22" borderId="45" xfId="0" applyNumberFormat="1" applyFont="1" applyFill="1" applyBorder="1" applyAlignment="1">
      <alignment horizontal="center" vertical="center" wrapText="1"/>
    </xf>
    <xf numFmtId="0" fontId="13" fillId="22" borderId="6" xfId="0" applyFont="1" applyFill="1" applyBorder="1" applyAlignment="1">
      <alignment horizontal="center" vertical="center" wrapText="1"/>
    </xf>
    <xf numFmtId="0" fontId="13" fillId="22" borderId="23" xfId="0" applyFont="1" applyFill="1" applyBorder="1" applyAlignment="1">
      <alignment horizontal="center" vertical="center" wrapText="1"/>
    </xf>
    <xf numFmtId="0" fontId="24" fillId="22" borderId="57" xfId="0" applyFont="1" applyFill="1" applyBorder="1" applyAlignment="1">
      <alignment horizontal="center" vertical="center" wrapText="1"/>
    </xf>
    <xf numFmtId="0" fontId="24" fillId="22" borderId="53" xfId="0" applyFont="1" applyFill="1" applyBorder="1" applyAlignment="1">
      <alignment horizontal="center" vertical="center" wrapText="1"/>
    </xf>
    <xf numFmtId="0" fontId="13" fillId="22" borderId="19" xfId="0" applyFont="1" applyFill="1" applyBorder="1" applyAlignment="1">
      <alignment horizontal="center" vertical="center" wrapText="1"/>
    </xf>
    <xf numFmtId="0" fontId="17" fillId="22" borderId="99" xfId="0" applyFont="1" applyFill="1" applyBorder="1" applyAlignment="1">
      <alignment horizontal="center" vertical="center" wrapText="1"/>
    </xf>
    <xf numFmtId="0" fontId="17" fillId="22" borderId="107" xfId="0" applyFont="1" applyFill="1" applyBorder="1" applyAlignment="1">
      <alignment horizontal="center" vertical="center" wrapText="1"/>
    </xf>
    <xf numFmtId="0" fontId="2" fillId="22" borderId="57" xfId="0"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2" fillId="22" borderId="57" xfId="0" applyFont="1" applyFill="1" applyBorder="1" applyAlignment="1">
      <alignment horizontal="center" vertical="center" wrapText="1"/>
    </xf>
    <xf numFmtId="0" fontId="27" fillId="22" borderId="15" xfId="0" applyFont="1" applyFill="1" applyBorder="1" applyAlignment="1">
      <alignment horizontal="center" vertical="center" wrapText="1"/>
    </xf>
    <xf numFmtId="4" fontId="2" fillId="22" borderId="14" xfId="0" applyNumberFormat="1" applyFont="1" applyFill="1" applyBorder="1" applyAlignment="1">
      <alignment horizontal="center" vertical="center" wrapText="1"/>
    </xf>
    <xf numFmtId="4" fontId="90" fillId="22" borderId="14" xfId="0" applyNumberFormat="1" applyFont="1" applyFill="1" applyBorder="1" applyAlignment="1">
      <alignment horizontal="center" vertical="center" wrapText="1"/>
    </xf>
    <xf numFmtId="4" fontId="90" fillId="22" borderId="19" xfId="0" applyNumberFormat="1" applyFont="1" applyFill="1" applyBorder="1" applyAlignment="1">
      <alignment horizontal="center" vertical="center" wrapText="1"/>
    </xf>
    <xf numFmtId="0" fontId="14" fillId="22" borderId="6" xfId="0" applyFont="1" applyFill="1" applyBorder="1" applyAlignment="1">
      <alignment horizontal="center" vertical="center" wrapText="1"/>
    </xf>
    <xf numFmtId="0" fontId="22" fillId="22" borderId="15" xfId="0" applyFont="1" applyFill="1" applyBorder="1" applyAlignment="1">
      <alignment horizontal="center" vertical="center" wrapText="1"/>
    </xf>
    <xf numFmtId="0" fontId="14" fillId="22" borderId="23" xfId="0" applyFont="1" applyFill="1" applyBorder="1" applyAlignment="1">
      <alignment horizontal="center" vertical="center" wrapText="1"/>
    </xf>
    <xf numFmtId="0" fontId="22" fillId="22" borderId="23" xfId="0" applyFont="1" applyFill="1" applyBorder="1" applyAlignment="1">
      <alignment horizontal="center" vertical="center" wrapText="1"/>
    </xf>
    <xf numFmtId="0" fontId="7" fillId="22" borderId="15" xfId="0" applyFont="1" applyFill="1" applyBorder="1" applyAlignment="1">
      <alignment horizontal="center" vertical="center" wrapText="1"/>
    </xf>
    <xf numFmtId="0" fontId="1" fillId="22" borderId="19" xfId="0" applyFont="1" applyFill="1" applyBorder="1" applyAlignment="1">
      <alignment horizontal="center" vertical="center" wrapText="1"/>
    </xf>
    <xf numFmtId="0" fontId="14" fillId="22" borderId="15" xfId="0" applyFont="1" applyFill="1" applyBorder="1" applyAlignment="1">
      <alignment horizontal="center" vertical="center" wrapText="1"/>
    </xf>
    <xf numFmtId="0" fontId="90" fillId="0" borderId="58" xfId="0" applyFont="1" applyFill="1" applyBorder="1" applyAlignment="1">
      <alignment horizontal="center" vertical="center" wrapText="1"/>
    </xf>
    <xf numFmtId="0" fontId="91" fillId="0" borderId="19" xfId="0" applyFont="1" applyFill="1" applyBorder="1" applyAlignment="1">
      <alignment horizontal="center" vertical="center" wrapText="1"/>
    </xf>
    <xf numFmtId="0" fontId="90" fillId="0" borderId="15" xfId="0" applyFont="1" applyFill="1" applyBorder="1" applyAlignment="1">
      <alignment horizontal="center" vertical="center" wrapText="1"/>
    </xf>
    <xf numFmtId="0" fontId="90" fillId="0" borderId="19" xfId="0" applyFont="1" applyFill="1" applyBorder="1" applyAlignment="1">
      <alignment horizontal="center" vertical="center" wrapText="1"/>
    </xf>
    <xf numFmtId="0" fontId="92" fillId="0" borderId="19" xfId="0" applyFont="1" applyFill="1" applyBorder="1" applyAlignment="1">
      <alignment horizontal="center" vertical="center" wrapText="1"/>
    </xf>
    <xf numFmtId="0" fontId="93" fillId="22" borderId="15" xfId="0" applyFont="1" applyFill="1" applyBorder="1" applyAlignment="1">
      <alignment horizontal="center" vertical="center" wrapText="1"/>
    </xf>
    <xf numFmtId="0" fontId="93" fillId="0" borderId="15" xfId="0" applyFont="1" applyFill="1" applyBorder="1" applyAlignment="1">
      <alignment horizontal="center" vertical="center" wrapText="1"/>
    </xf>
    <xf numFmtId="0" fontId="94" fillId="22" borderId="15" xfId="0" applyFont="1" applyFill="1" applyBorder="1" applyAlignment="1">
      <alignment horizontal="center" vertical="center" wrapText="1"/>
    </xf>
    <xf numFmtId="0" fontId="94" fillId="0" borderId="15" xfId="0" applyFont="1" applyFill="1" applyBorder="1" applyAlignment="1">
      <alignment horizontal="center" vertical="center" wrapText="1"/>
    </xf>
    <xf numFmtId="0" fontId="95" fillId="22" borderId="57" xfId="0" applyFont="1" applyFill="1" applyBorder="1" applyAlignment="1">
      <alignment horizontal="center" vertical="center" wrapText="1"/>
    </xf>
    <xf numFmtId="0" fontId="96" fillId="22" borderId="57" xfId="0" applyFont="1" applyFill="1" applyBorder="1" applyAlignment="1">
      <alignment horizontal="center" vertical="center" wrapText="1"/>
    </xf>
    <xf numFmtId="4" fontId="22" fillId="0" borderId="19" xfId="0" applyNumberFormat="1" applyFont="1" applyFill="1" applyBorder="1" applyAlignment="1">
      <alignment horizontal="center" vertical="center" wrapText="1"/>
    </xf>
    <xf numFmtId="4" fontId="22" fillId="22" borderId="14" xfId="0" applyNumberFormat="1" applyFont="1" applyFill="1" applyBorder="1" applyAlignment="1">
      <alignment horizontal="center" vertical="center" wrapText="1"/>
    </xf>
    <xf numFmtId="4" fontId="49" fillId="22" borderId="19" xfId="0" applyNumberFormat="1" applyFont="1" applyFill="1" applyBorder="1" applyAlignment="1">
      <alignment horizontal="center" vertical="center" wrapText="1"/>
    </xf>
    <xf numFmtId="0" fontId="49" fillId="22" borderId="19" xfId="0" applyFont="1" applyFill="1" applyBorder="1" applyAlignment="1">
      <alignment horizontal="center" vertical="center" wrapText="1"/>
    </xf>
    <xf numFmtId="0" fontId="49" fillId="22" borderId="14" xfId="0" applyFont="1" applyFill="1" applyBorder="1" applyAlignment="1">
      <alignment horizontal="center" vertical="center" wrapText="1"/>
    </xf>
    <xf numFmtId="0" fontId="14" fillId="19" borderId="47" xfId="0" applyFont="1" applyFill="1" applyBorder="1" applyAlignment="1">
      <alignment horizontal="center" vertical="center" wrapText="1"/>
    </xf>
    <xf numFmtId="0" fontId="20" fillId="0" borderId="42" xfId="0" applyFont="1" applyBorder="1" applyAlignment="1">
      <alignment horizontal="center" vertical="center" wrapText="1"/>
    </xf>
    <xf numFmtId="4" fontId="2" fillId="0" borderId="0" xfId="0" applyNumberFormat="1" applyFont="1" applyFill="1" applyBorder="1" applyAlignment="1">
      <alignment horizontal="center" vertical="center" wrapText="1"/>
    </xf>
    <xf numFmtId="0" fontId="26" fillId="0" borderId="19" xfId="0" applyFont="1" applyFill="1" applyBorder="1" applyAlignment="1">
      <alignment wrapText="1"/>
    </xf>
    <xf numFmtId="0" fontId="26" fillId="0" borderId="31" xfId="0" applyFont="1" applyFill="1" applyBorder="1" applyAlignment="1">
      <alignment wrapText="1"/>
    </xf>
    <xf numFmtId="4" fontId="26" fillId="0" borderId="19" xfId="0" applyNumberFormat="1" applyFont="1" applyFill="1" applyBorder="1" applyAlignment="1">
      <alignment horizontal="center" vertical="center" wrapText="1"/>
    </xf>
    <xf numFmtId="4" fontId="26" fillId="0" borderId="31" xfId="0" applyNumberFormat="1" applyFont="1" applyFill="1" applyBorder="1" applyAlignment="1">
      <alignment horizontal="center" vertical="center" wrapText="1"/>
    </xf>
    <xf numFmtId="4" fontId="26" fillId="0" borderId="13" xfId="0" applyNumberFormat="1" applyFont="1" applyFill="1" applyBorder="1" applyAlignment="1">
      <alignment horizontal="center" vertical="center" wrapText="1"/>
    </xf>
    <xf numFmtId="4" fontId="26" fillId="0" borderId="32" xfId="0" applyNumberFormat="1" applyFont="1" applyFill="1" applyBorder="1" applyAlignment="1">
      <alignment horizontal="center" vertical="center" wrapText="1"/>
    </xf>
    <xf numFmtId="4" fontId="26" fillId="0" borderId="46" xfId="0" applyNumberFormat="1" applyFont="1" applyFill="1" applyBorder="1" applyAlignment="1">
      <alignment horizontal="center" vertical="center" wrapText="1"/>
    </xf>
    <xf numFmtId="4" fontId="26" fillId="0" borderId="14" xfId="0" applyNumberFormat="1" applyFont="1" applyFill="1" applyBorder="1" applyAlignment="1">
      <alignment horizontal="center" vertical="center" wrapText="1"/>
    </xf>
    <xf numFmtId="0" fontId="98" fillId="23" borderId="146" xfId="2" applyNumberFormat="1" applyFont="1" applyFill="1" applyBorder="1" applyAlignment="1">
      <alignment horizontal="center" vertical="top" wrapText="1" readingOrder="1"/>
    </xf>
    <xf numFmtId="0" fontId="98" fillId="23" borderId="147" xfId="2" applyNumberFormat="1" applyFont="1" applyFill="1" applyBorder="1" applyAlignment="1">
      <alignment horizontal="center" vertical="top" wrapText="1" readingOrder="1"/>
    </xf>
    <xf numFmtId="0" fontId="13" fillId="0" borderId="0" xfId="0" applyFont="1" applyFill="1" applyBorder="1"/>
    <xf numFmtId="0" fontId="99" fillId="0" borderId="147" xfId="2" applyNumberFormat="1" applyFont="1" applyFill="1" applyBorder="1" applyAlignment="1">
      <alignment horizontal="left" vertical="top" wrapText="1" readingOrder="1"/>
    </xf>
    <xf numFmtId="4" fontId="99" fillId="0" borderId="147" xfId="2" applyNumberFormat="1" applyFont="1" applyFill="1" applyBorder="1" applyAlignment="1">
      <alignment horizontal="left" vertical="top" wrapText="1" readingOrder="1"/>
    </xf>
    <xf numFmtId="169" fontId="99" fillId="0" borderId="147" xfId="2" applyNumberFormat="1" applyFont="1" applyFill="1" applyBorder="1" applyAlignment="1">
      <alignment horizontal="left" vertical="top" wrapText="1" readingOrder="1"/>
    </xf>
    <xf numFmtId="171" fontId="99" fillId="0" borderId="147" xfId="2" applyNumberFormat="1" applyFont="1" applyFill="1" applyBorder="1" applyAlignment="1">
      <alignment horizontal="left" vertical="top" wrapText="1" readingOrder="1"/>
    </xf>
    <xf numFmtId="169" fontId="13" fillId="0" borderId="0" xfId="0" applyNumberFormat="1" applyFont="1" applyFill="1" applyBorder="1"/>
    <xf numFmtId="0" fontId="99" fillId="0" borderId="147" xfId="2" applyNumberFormat="1" applyFont="1" applyFill="1" applyBorder="1" applyAlignment="1">
      <alignment horizontal="center" vertical="center" wrapText="1" readingOrder="1"/>
    </xf>
    <xf numFmtId="4" fontId="99" fillId="0" borderId="147" xfId="2" applyNumberFormat="1" applyFont="1" applyFill="1" applyBorder="1" applyAlignment="1">
      <alignment horizontal="center" vertical="center" wrapText="1" readingOrder="1"/>
    </xf>
    <xf numFmtId="169" fontId="99" fillId="0" borderId="147" xfId="2" applyNumberFormat="1" applyFont="1" applyFill="1" applyBorder="1" applyAlignment="1">
      <alignment horizontal="center" vertical="center" wrapText="1" readingOrder="1"/>
    </xf>
    <xf numFmtId="10" fontId="99" fillId="0" borderId="147" xfId="2" applyNumberFormat="1" applyFont="1" applyFill="1" applyBorder="1" applyAlignment="1">
      <alignment horizontal="center" vertical="center" wrapText="1" readingOrder="1"/>
    </xf>
    <xf numFmtId="0" fontId="99" fillId="0" borderId="147" xfId="2" applyNumberFormat="1" applyFont="1" applyFill="1" applyBorder="1" applyAlignment="1">
      <alignment horizontal="left" vertical="center" wrapText="1" readingOrder="1"/>
    </xf>
    <xf numFmtId="171" fontId="99" fillId="0" borderId="147" xfId="2" applyNumberFormat="1" applyFont="1" applyFill="1" applyBorder="1" applyAlignment="1">
      <alignment horizontal="left" vertical="center" wrapText="1" readingOrder="1"/>
    </xf>
    <xf numFmtId="0" fontId="13" fillId="0" borderId="0" xfId="0" applyFont="1" applyFill="1" applyBorder="1" applyAlignment="1">
      <alignment vertical="center"/>
    </xf>
    <xf numFmtId="14" fontId="99" fillId="0" borderId="147" xfId="2" applyNumberFormat="1" applyFont="1" applyFill="1" applyBorder="1" applyAlignment="1">
      <alignment horizontal="center" vertical="center" wrapText="1" readingOrder="1"/>
    </xf>
    <xf numFmtId="172" fontId="22" fillId="0" borderId="147" xfId="0" applyNumberFormat="1" applyFont="1" applyBorder="1" applyAlignment="1">
      <alignment horizontal="center" vertical="center" wrapText="1"/>
    </xf>
    <xf numFmtId="10" fontId="26" fillId="0" borderId="19" xfId="0" applyNumberFormat="1" applyFont="1" applyFill="1" applyBorder="1" applyAlignment="1">
      <alignment horizontal="center" vertical="center" wrapText="1"/>
    </xf>
    <xf numFmtId="171" fontId="99" fillId="0" borderId="0" xfId="2" applyNumberFormat="1" applyFont="1" applyFill="1" applyBorder="1" applyAlignment="1">
      <alignment horizontal="left" vertical="center" wrapText="1" readingOrder="1"/>
    </xf>
    <xf numFmtId="171" fontId="99" fillId="0" borderId="147" xfId="2" applyNumberFormat="1" applyFont="1" applyFill="1" applyBorder="1" applyAlignment="1">
      <alignment horizontal="center" vertical="center" wrapText="1" readingOrder="1"/>
    </xf>
    <xf numFmtId="3" fontId="99" fillId="0" borderId="147" xfId="2" applyNumberFormat="1" applyFont="1" applyFill="1" applyBorder="1" applyAlignment="1">
      <alignment horizontal="center" vertical="center" wrapText="1" readingOrder="1"/>
    </xf>
    <xf numFmtId="0" fontId="102" fillId="0" borderId="0" xfId="0" applyFont="1" applyAlignment="1" applyProtection="1">
      <alignment vertical="top" wrapText="1" readingOrder="1"/>
      <protection locked="0"/>
    </xf>
    <xf numFmtId="0" fontId="103" fillId="24" borderId="151" xfId="0" applyFont="1" applyFill="1" applyBorder="1" applyAlignment="1" applyProtection="1">
      <alignment horizontal="center" vertical="top" wrapText="1" readingOrder="1"/>
      <protection locked="0"/>
    </xf>
    <xf numFmtId="0" fontId="104" fillId="24" borderId="148" xfId="0" applyFont="1" applyFill="1" applyBorder="1" applyAlignment="1" applyProtection="1">
      <alignment horizontal="center" vertical="top" wrapText="1" readingOrder="1"/>
      <protection locked="0"/>
    </xf>
    <xf numFmtId="0" fontId="105" fillId="26" borderId="148" xfId="0" applyFont="1" applyFill="1" applyBorder="1" applyAlignment="1" applyProtection="1">
      <alignment vertical="top" wrapText="1" readingOrder="1"/>
      <protection locked="0"/>
    </xf>
    <xf numFmtId="0" fontId="105" fillId="26" borderId="148" xfId="0" applyFont="1" applyFill="1" applyBorder="1" applyAlignment="1" applyProtection="1">
      <alignment horizontal="right" vertical="top" wrapText="1" readingOrder="1"/>
      <protection locked="0"/>
    </xf>
    <xf numFmtId="171" fontId="105" fillId="26" borderId="148" xfId="0" applyNumberFormat="1" applyFont="1" applyFill="1" applyBorder="1" applyAlignment="1" applyProtection="1">
      <alignment horizontal="center" vertical="top" wrapText="1" readingOrder="1"/>
      <protection locked="0"/>
    </xf>
    <xf numFmtId="169" fontId="105" fillId="26" borderId="148" xfId="0" applyNumberFormat="1" applyFont="1" applyFill="1" applyBorder="1" applyAlignment="1" applyProtection="1">
      <alignment horizontal="right" vertical="top" wrapText="1" readingOrder="1"/>
      <protection locked="0"/>
    </xf>
    <xf numFmtId="0" fontId="105" fillId="26" borderId="148" xfId="0" applyFont="1" applyFill="1" applyBorder="1" applyAlignment="1" applyProtection="1">
      <alignment horizontal="left" vertical="top" wrapText="1" readingOrder="1"/>
      <protection locked="0"/>
    </xf>
    <xf numFmtId="169" fontId="105" fillId="25" borderId="148" xfId="0" applyNumberFormat="1" applyFont="1" applyFill="1" applyBorder="1" applyAlignment="1" applyProtection="1">
      <alignment horizontal="right" vertical="top" wrapText="1" readingOrder="1"/>
      <protection locked="0"/>
    </xf>
    <xf numFmtId="0" fontId="105" fillId="26" borderId="148" xfId="0" applyFont="1" applyFill="1" applyBorder="1" applyAlignment="1" applyProtection="1">
      <alignment horizontal="center" vertical="top" wrapText="1" readingOrder="1"/>
      <protection locked="0"/>
    </xf>
    <xf numFmtId="0" fontId="0" fillId="0" borderId="149" xfId="0" applyBorder="1" applyAlignment="1" applyProtection="1">
      <alignment vertical="top" wrapText="1"/>
      <protection locked="0"/>
    </xf>
    <xf numFmtId="0" fontId="0" fillId="0" borderId="150" xfId="0" applyBorder="1" applyAlignment="1" applyProtection="1">
      <alignment vertical="top" wrapText="1"/>
      <protection locked="0"/>
    </xf>
    <xf numFmtId="0" fontId="24" fillId="23" borderId="147" xfId="2" applyNumberFormat="1" applyFont="1" applyFill="1" applyBorder="1" applyAlignment="1">
      <alignment horizontal="center" vertical="top" wrapText="1" readingOrder="1"/>
    </xf>
    <xf numFmtId="169" fontId="13" fillId="0" borderId="147" xfId="2" applyNumberFormat="1" applyFont="1" applyFill="1" applyBorder="1" applyAlignment="1">
      <alignment horizontal="center" vertical="center" wrapText="1" readingOrder="1"/>
    </xf>
    <xf numFmtId="169" fontId="99" fillId="0" borderId="147" xfId="2" applyNumberFormat="1" applyFont="1" applyFill="1" applyBorder="1" applyAlignment="1">
      <alignment horizontal="center" vertical="top" wrapText="1" readingOrder="1"/>
    </xf>
    <xf numFmtId="0" fontId="104" fillId="26" borderId="148" xfId="0" applyFont="1" applyFill="1" applyBorder="1" applyAlignment="1" applyProtection="1">
      <alignment vertical="top" wrapText="1" readingOrder="1"/>
      <protection locked="0"/>
    </xf>
    <xf numFmtId="169" fontId="104" fillId="26" borderId="148" xfId="0" applyNumberFormat="1" applyFont="1" applyFill="1" applyBorder="1" applyAlignment="1" applyProtection="1">
      <alignment horizontal="right" vertical="top" wrapText="1" readingOrder="1"/>
      <protection locked="0"/>
    </xf>
    <xf numFmtId="0" fontId="104" fillId="26" borderId="148" xfId="0" applyFont="1" applyFill="1" applyBorder="1" applyAlignment="1" applyProtection="1">
      <alignment horizontal="center" vertical="top" wrapText="1" readingOrder="1"/>
      <protection locked="0"/>
    </xf>
    <xf numFmtId="169" fontId="104" fillId="26" borderId="165" xfId="0" applyNumberFormat="1" applyFont="1" applyFill="1" applyBorder="1" applyAlignment="1" applyProtection="1">
      <alignment horizontal="right" vertical="top" wrapText="1" readingOrder="1"/>
      <protection locked="0"/>
    </xf>
    <xf numFmtId="0" fontId="104" fillId="26" borderId="34" xfId="0" applyFont="1" applyFill="1" applyBorder="1" applyAlignment="1" applyProtection="1">
      <alignment horizontal="center" vertical="top" wrapText="1" readingOrder="1"/>
      <protection locked="0"/>
    </xf>
    <xf numFmtId="0" fontId="105" fillId="26" borderId="150" xfId="0" applyFont="1" applyFill="1" applyBorder="1" applyAlignment="1" applyProtection="1">
      <alignment vertical="top" wrapText="1" readingOrder="1"/>
      <protection locked="0"/>
    </xf>
    <xf numFmtId="169" fontId="105" fillId="26" borderId="165" xfId="0" applyNumberFormat="1" applyFont="1" applyFill="1" applyBorder="1" applyAlignment="1" applyProtection="1">
      <alignment horizontal="right" vertical="top" wrapText="1" readingOrder="1"/>
      <protection locked="0"/>
    </xf>
    <xf numFmtId="0" fontId="105" fillId="26" borderId="34" xfId="0" applyFont="1" applyFill="1" applyBorder="1" applyAlignment="1" applyProtection="1">
      <alignment horizontal="center" vertical="top" wrapText="1" readingOrder="1"/>
      <protection locked="0"/>
    </xf>
    <xf numFmtId="171" fontId="105" fillId="26" borderId="34" xfId="0" applyNumberFormat="1" applyFont="1" applyFill="1" applyBorder="1" applyAlignment="1" applyProtection="1">
      <alignment horizontal="center" vertical="top" wrapText="1" readingOrder="1"/>
      <protection locked="0"/>
    </xf>
    <xf numFmtId="0" fontId="106" fillId="28" borderId="148" xfId="0" applyFont="1" applyFill="1" applyBorder="1" applyAlignment="1" applyProtection="1">
      <alignment horizontal="center" wrapText="1" readingOrder="1"/>
      <protection locked="0"/>
    </xf>
    <xf numFmtId="0" fontId="106" fillId="28" borderId="151" xfId="0" applyFont="1" applyFill="1" applyBorder="1" applyAlignment="1" applyProtection="1">
      <alignment horizontal="center" vertical="top" wrapText="1" readingOrder="1"/>
      <protection locked="0"/>
    </xf>
    <xf numFmtId="0" fontId="106" fillId="28" borderId="151" xfId="0" applyFont="1" applyFill="1" applyBorder="1" applyAlignment="1" applyProtection="1">
      <alignment horizontal="center" wrapText="1" readingOrder="1"/>
      <protection locked="0"/>
    </xf>
    <xf numFmtId="0" fontId="106" fillId="28" borderId="153" xfId="0" applyFont="1" applyFill="1" applyBorder="1" applyAlignment="1" applyProtection="1">
      <alignment horizontal="center" wrapText="1" readingOrder="1"/>
      <protection locked="0"/>
    </xf>
    <xf numFmtId="0" fontId="106" fillId="28" borderId="151" xfId="0" applyFont="1" applyFill="1" applyBorder="1" applyAlignment="1" applyProtection="1">
      <alignment horizontal="center" vertical="center" wrapText="1" readingOrder="1"/>
      <protection locked="0"/>
    </xf>
    <xf numFmtId="0" fontId="106" fillId="28" borderId="153" xfId="0" applyFont="1" applyFill="1" applyBorder="1" applyAlignment="1" applyProtection="1">
      <alignment horizontal="center" vertical="center" wrapText="1" readingOrder="1"/>
      <protection locked="0"/>
    </xf>
    <xf numFmtId="0" fontId="106" fillId="28" borderId="148" xfId="0" applyFont="1" applyFill="1" applyBorder="1" applyAlignment="1" applyProtection="1">
      <alignment horizontal="center" vertical="center" wrapText="1" readingOrder="1"/>
      <protection locked="0"/>
    </xf>
    <xf numFmtId="0" fontId="106" fillId="28" borderId="165" xfId="0" applyFont="1" applyFill="1" applyBorder="1" applyAlignment="1" applyProtection="1">
      <alignment horizontal="center" vertical="center" wrapText="1" readingOrder="1"/>
      <protection locked="0"/>
    </xf>
    <xf numFmtId="0" fontId="106" fillId="28" borderId="148" xfId="0" applyFont="1" applyFill="1" applyBorder="1" applyAlignment="1" applyProtection="1">
      <alignment horizontal="center" vertical="top" wrapText="1" readingOrder="1"/>
      <protection locked="0"/>
    </xf>
    <xf numFmtId="0" fontId="106" fillId="28" borderId="165" xfId="0" applyFont="1" applyFill="1" applyBorder="1" applyAlignment="1" applyProtection="1">
      <alignment horizontal="center" vertical="top" wrapText="1" readingOrder="1"/>
      <protection locked="0"/>
    </xf>
    <xf numFmtId="0" fontId="106" fillId="28" borderId="34" xfId="0" applyFont="1" applyFill="1" applyBorder="1" applyAlignment="1" applyProtection="1">
      <alignment horizontal="center" vertical="top" wrapText="1" readingOrder="1"/>
      <protection locked="0"/>
    </xf>
    <xf numFmtId="0" fontId="106" fillId="28" borderId="150" xfId="0" applyFont="1" applyFill="1" applyBorder="1" applyAlignment="1" applyProtection="1">
      <alignment horizontal="center" vertical="top" wrapText="1" readingOrder="1"/>
      <protection locked="0"/>
    </xf>
    <xf numFmtId="169" fontId="104" fillId="25" borderId="148" xfId="0" applyNumberFormat="1" applyFont="1" applyFill="1" applyBorder="1" applyAlignment="1" applyProtection="1">
      <alignment horizontal="right" vertical="top" wrapText="1" readingOrder="1"/>
      <protection locked="0"/>
    </xf>
    <xf numFmtId="0" fontId="0" fillId="6" borderId="0" xfId="0" applyFill="1"/>
    <xf numFmtId="169" fontId="104" fillId="34" borderId="148" xfId="0" applyNumberFormat="1" applyFont="1" applyFill="1" applyBorder="1" applyAlignment="1" applyProtection="1">
      <alignment horizontal="right" vertical="top" wrapText="1" readingOrder="1"/>
      <protection locked="0"/>
    </xf>
    <xf numFmtId="169" fontId="105" fillId="34" borderId="148" xfId="0" applyNumberFormat="1" applyFont="1" applyFill="1" applyBorder="1" applyAlignment="1" applyProtection="1">
      <alignment horizontal="right" vertical="top" wrapText="1" readingOrder="1"/>
      <protection locked="0"/>
    </xf>
    <xf numFmtId="0" fontId="106" fillId="28" borderId="160" xfId="0" applyFont="1" applyFill="1" applyBorder="1" applyAlignment="1" applyProtection="1">
      <alignment horizontal="center" vertical="top" wrapText="1" readingOrder="1"/>
      <protection locked="0"/>
    </xf>
    <xf numFmtId="0" fontId="106" fillId="28" borderId="160" xfId="0" applyFont="1" applyFill="1" applyBorder="1" applyAlignment="1" applyProtection="1">
      <alignment horizontal="center" wrapText="1" readingOrder="1"/>
      <protection locked="0"/>
    </xf>
    <xf numFmtId="0" fontId="106" fillId="28" borderId="160" xfId="0" applyFont="1" applyFill="1" applyBorder="1" applyAlignment="1" applyProtection="1">
      <alignment horizontal="center" vertical="center" wrapText="1" readingOrder="1"/>
      <protection locked="0"/>
    </xf>
    <xf numFmtId="0" fontId="106" fillId="28" borderId="152" xfId="0" applyFont="1" applyFill="1" applyBorder="1" applyAlignment="1" applyProtection="1">
      <alignment horizontal="center" vertical="top" wrapText="1" readingOrder="1"/>
      <protection locked="0"/>
    </xf>
    <xf numFmtId="0" fontId="106" fillId="28" borderId="152" xfId="0" applyFont="1" applyFill="1" applyBorder="1" applyAlignment="1" applyProtection="1">
      <alignment horizontal="center" wrapText="1" readingOrder="1"/>
      <protection locked="0"/>
    </xf>
    <xf numFmtId="0" fontId="106" fillId="28" borderId="152" xfId="0" applyFont="1" applyFill="1" applyBorder="1" applyAlignment="1" applyProtection="1">
      <alignment horizontal="center" vertical="center" wrapText="1" readingOrder="1"/>
      <protection locked="0"/>
    </xf>
    <xf numFmtId="169" fontId="104" fillId="26" borderId="164" xfId="0" applyNumberFormat="1" applyFont="1" applyFill="1" applyBorder="1" applyAlignment="1" applyProtection="1">
      <alignment horizontal="right" vertical="top" wrapText="1" readingOrder="1"/>
      <protection locked="0"/>
    </xf>
    <xf numFmtId="0" fontId="106" fillId="28" borderId="168" xfId="0" applyFont="1" applyFill="1" applyBorder="1" applyAlignment="1" applyProtection="1">
      <alignment horizontal="center" vertical="top" wrapText="1" readingOrder="1"/>
      <protection locked="0"/>
    </xf>
    <xf numFmtId="0" fontId="106" fillId="28" borderId="168" xfId="0" applyFont="1" applyFill="1" applyBorder="1" applyAlignment="1" applyProtection="1">
      <alignment horizontal="center" wrapText="1" readingOrder="1"/>
      <protection locked="0"/>
    </xf>
    <xf numFmtId="0" fontId="106" fillId="28" borderId="169" xfId="0" applyFont="1" applyFill="1" applyBorder="1" applyAlignment="1" applyProtection="1">
      <alignment horizontal="center" wrapText="1" readingOrder="1"/>
      <protection locked="0"/>
    </xf>
    <xf numFmtId="0" fontId="106" fillId="28" borderId="168" xfId="0" applyFont="1" applyFill="1" applyBorder="1" applyAlignment="1" applyProtection="1">
      <alignment horizontal="center" vertical="center" wrapText="1" readingOrder="1"/>
      <protection locked="0"/>
    </xf>
    <xf numFmtId="0" fontId="106" fillId="28" borderId="170" xfId="0" applyFont="1" applyFill="1" applyBorder="1" applyAlignment="1" applyProtection="1">
      <alignment horizontal="center" vertical="top" wrapText="1" readingOrder="1"/>
      <protection locked="0"/>
    </xf>
    <xf numFmtId="0" fontId="106" fillId="28" borderId="170" xfId="0" applyFont="1" applyFill="1" applyBorder="1" applyAlignment="1" applyProtection="1">
      <alignment horizontal="center" vertical="center" wrapText="1" readingOrder="1"/>
      <protection locked="0"/>
    </xf>
    <xf numFmtId="0" fontId="106" fillId="28" borderId="171" xfId="0" applyFont="1" applyFill="1" applyBorder="1" applyAlignment="1" applyProtection="1">
      <alignment horizontal="center" vertical="top" wrapText="1" readingOrder="1"/>
      <protection locked="0"/>
    </xf>
    <xf numFmtId="0" fontId="106" fillId="28" borderId="172" xfId="0" applyFont="1" applyFill="1" applyBorder="1" applyAlignment="1" applyProtection="1">
      <alignment horizontal="center" vertical="top" wrapText="1" readingOrder="1"/>
      <protection locked="0"/>
    </xf>
    <xf numFmtId="0" fontId="106" fillId="28" borderId="173" xfId="0" applyFont="1" applyFill="1" applyBorder="1" applyAlignment="1" applyProtection="1">
      <alignment horizontal="center" vertical="top" wrapText="1" readingOrder="1"/>
      <protection locked="0"/>
    </xf>
    <xf numFmtId="4" fontId="53" fillId="6" borderId="34" xfId="0" quotePrefix="1" applyNumberFormat="1" applyFont="1" applyFill="1" applyBorder="1" applyAlignment="1">
      <alignment horizontal="center" vertical="center" wrapText="1"/>
    </xf>
    <xf numFmtId="0" fontId="105" fillId="24" borderId="148" xfId="0" applyFont="1" applyFill="1" applyBorder="1" applyAlignment="1" applyProtection="1">
      <alignment vertical="top" wrapText="1" readingOrder="1"/>
      <protection locked="0"/>
    </xf>
    <xf numFmtId="0" fontId="105" fillId="24" borderId="178" xfId="0" applyFont="1" applyFill="1" applyBorder="1" applyAlignment="1" applyProtection="1">
      <alignment vertical="top" wrapText="1" readingOrder="1"/>
      <protection locked="0"/>
    </xf>
    <xf numFmtId="0" fontId="105" fillId="24" borderId="179" xfId="0" applyFont="1" applyFill="1" applyBorder="1" applyAlignment="1" applyProtection="1">
      <alignment vertical="top" wrapText="1" readingOrder="1"/>
      <protection locked="0"/>
    </xf>
    <xf numFmtId="0" fontId="105" fillId="24" borderId="151" xfId="0" applyFont="1" applyFill="1" applyBorder="1" applyAlignment="1" applyProtection="1">
      <alignment vertical="top" wrapText="1" readingOrder="1"/>
      <protection locked="0"/>
    </xf>
    <xf numFmtId="0" fontId="105" fillId="24" borderId="180" xfId="0" applyFont="1" applyFill="1" applyBorder="1" applyAlignment="1" applyProtection="1">
      <alignment vertical="top" wrapText="1" readingOrder="1"/>
      <protection locked="0"/>
    </xf>
    <xf numFmtId="0" fontId="103" fillId="24" borderId="179" xfId="0" applyFont="1" applyFill="1" applyBorder="1" applyAlignment="1" applyProtection="1">
      <alignment horizontal="center" vertical="top" wrapText="1" readingOrder="1"/>
      <protection locked="0"/>
    </xf>
    <xf numFmtId="0" fontId="103" fillId="24" borderId="178" xfId="0" applyFont="1" applyFill="1" applyBorder="1" applyAlignment="1" applyProtection="1">
      <alignment horizontal="center" vertical="top" wrapText="1" readingOrder="1"/>
      <protection locked="0"/>
    </xf>
    <xf numFmtId="0" fontId="103" fillId="24" borderId="148" xfId="0" applyFont="1" applyFill="1" applyBorder="1" applyAlignment="1" applyProtection="1">
      <alignment horizontal="center" vertical="top" wrapText="1" readingOrder="1"/>
      <protection locked="0"/>
    </xf>
    <xf numFmtId="173" fontId="105" fillId="0" borderId="148" xfId="0" applyNumberFormat="1" applyFont="1" applyBorder="1" applyAlignment="1" applyProtection="1">
      <alignment horizontal="right" vertical="top" wrapText="1" readingOrder="1"/>
      <protection locked="0"/>
    </xf>
    <xf numFmtId="0" fontId="105" fillId="0" borderId="148" xfId="0" applyFont="1" applyBorder="1" applyAlignment="1" applyProtection="1">
      <alignment horizontal="left" vertical="top" wrapText="1" readingOrder="1"/>
      <protection locked="0"/>
    </xf>
    <xf numFmtId="0" fontId="105" fillId="0" borderId="148" xfId="0" applyFont="1" applyBorder="1" applyAlignment="1" applyProtection="1">
      <alignment horizontal="center" vertical="top" wrapText="1" readingOrder="1"/>
      <protection locked="0"/>
    </xf>
    <xf numFmtId="0" fontId="105" fillId="0" borderId="148" xfId="0" applyFont="1" applyBorder="1" applyAlignment="1" applyProtection="1">
      <alignment horizontal="right" vertical="top" wrapText="1" readingOrder="1"/>
      <protection locked="0"/>
    </xf>
    <xf numFmtId="0" fontId="105" fillId="0" borderId="148" xfId="0" applyFont="1" applyBorder="1" applyAlignment="1" applyProtection="1">
      <alignment vertical="top" wrapText="1" readingOrder="1"/>
      <protection locked="0"/>
    </xf>
    <xf numFmtId="174" fontId="105" fillId="0" borderId="148" xfId="0" applyNumberFormat="1" applyFont="1" applyBorder="1" applyAlignment="1" applyProtection="1">
      <alignment horizontal="center" vertical="top" wrapText="1" readingOrder="1"/>
      <protection locked="0"/>
    </xf>
    <xf numFmtId="0" fontId="101" fillId="24" borderId="148" xfId="0" applyFont="1" applyFill="1" applyBorder="1" applyAlignment="1" applyProtection="1">
      <alignment horizontal="center" vertical="top" wrapText="1" readingOrder="1"/>
      <protection locked="0"/>
    </xf>
    <xf numFmtId="173" fontId="102" fillId="24" borderId="148" xfId="0" applyNumberFormat="1" applyFont="1" applyFill="1" applyBorder="1" applyAlignment="1" applyProtection="1">
      <alignment horizontal="right" vertical="top" wrapText="1" readingOrder="1"/>
      <protection locked="0"/>
    </xf>
    <xf numFmtId="0" fontId="107" fillId="24" borderId="148" xfId="0" applyFont="1" applyFill="1" applyBorder="1" applyAlignment="1" applyProtection="1">
      <alignment horizontal="left" vertical="top" wrapText="1" readingOrder="1"/>
      <protection locked="0"/>
    </xf>
    <xf numFmtId="0" fontId="107" fillId="0" borderId="148" xfId="0" applyFont="1" applyBorder="1" applyAlignment="1" applyProtection="1">
      <alignment horizontal="left" vertical="top" wrapText="1" readingOrder="1"/>
      <protection locked="0"/>
    </xf>
    <xf numFmtId="174" fontId="107" fillId="0" borderId="148" xfId="0" applyNumberFormat="1" applyFont="1" applyBorder="1" applyAlignment="1" applyProtection="1">
      <alignment horizontal="left" vertical="top" wrapText="1" readingOrder="1"/>
      <protection locked="0"/>
    </xf>
    <xf numFmtId="173" fontId="107" fillId="0" borderId="148" xfId="0" applyNumberFormat="1" applyFont="1" applyBorder="1" applyAlignment="1" applyProtection="1">
      <alignment horizontal="left" vertical="top" wrapText="1" readingOrder="1"/>
      <protection locked="0"/>
    </xf>
    <xf numFmtId="0" fontId="101" fillId="24" borderId="148" xfId="0" applyFont="1" applyFill="1" applyBorder="1" applyAlignment="1" applyProtection="1">
      <alignment horizontal="right" vertical="top" wrapText="1" readingOrder="1"/>
      <protection locked="0"/>
    </xf>
    <xf numFmtId="0" fontId="0" fillId="0" borderId="0" xfId="0" applyBorder="1" applyAlignment="1" applyProtection="1">
      <alignment vertical="top" wrapText="1"/>
      <protection locked="0"/>
    </xf>
    <xf numFmtId="0" fontId="26" fillId="0" borderId="19" xfId="0" applyFont="1" applyFill="1" applyBorder="1" applyAlignment="1">
      <alignment horizontal="center" vertical="center" wrapText="1"/>
    </xf>
    <xf numFmtId="10" fontId="2" fillId="0" borderId="19" xfId="0" applyNumberFormat="1" applyFont="1" applyFill="1" applyBorder="1" applyAlignment="1">
      <alignment horizontal="center" vertical="center" wrapText="1"/>
    </xf>
    <xf numFmtId="10" fontId="2" fillId="0" borderId="15" xfId="0" applyNumberFormat="1" applyFont="1" applyFill="1" applyBorder="1" applyAlignment="1">
      <alignment horizontal="center" vertical="center" wrapText="1"/>
    </xf>
    <xf numFmtId="4" fontId="99" fillId="0" borderId="0" xfId="2" applyNumberFormat="1" applyFont="1" applyFill="1" applyBorder="1" applyAlignment="1">
      <alignment horizontal="center" vertical="center" wrapText="1" readingOrder="1"/>
    </xf>
    <xf numFmtId="0" fontId="98" fillId="0" borderId="0" xfId="2" applyNumberFormat="1" applyFont="1" applyFill="1" applyBorder="1" applyAlignment="1">
      <alignment horizontal="center" vertical="top" wrapText="1" readingOrder="1"/>
    </xf>
    <xf numFmtId="0" fontId="98" fillId="23" borderId="19" xfId="2" applyNumberFormat="1" applyFont="1" applyFill="1" applyBorder="1" applyAlignment="1">
      <alignment horizontal="center" vertical="center" wrapText="1" readingOrder="1"/>
    </xf>
    <xf numFmtId="0" fontId="99" fillId="0" borderId="186" xfId="2" applyNumberFormat="1" applyFont="1" applyFill="1" applyBorder="1" applyAlignment="1">
      <alignment horizontal="left" vertical="center" wrapText="1" readingOrder="1"/>
    </xf>
    <xf numFmtId="0" fontId="99" fillId="0" borderId="187" xfId="2" applyNumberFormat="1" applyFont="1" applyFill="1" applyBorder="1" applyAlignment="1">
      <alignment horizontal="left" vertical="top" wrapText="1" readingOrder="1"/>
    </xf>
    <xf numFmtId="0" fontId="99" fillId="0" borderId="188" xfId="2" applyNumberFormat="1" applyFont="1" applyFill="1" applyBorder="1" applyAlignment="1">
      <alignment horizontal="left" vertical="top" wrapText="1" readingOrder="1"/>
    </xf>
    <xf numFmtId="4" fontId="99" fillId="0" borderId="189" xfId="2" applyNumberFormat="1" applyFont="1" applyFill="1" applyBorder="1" applyAlignment="1">
      <alignment horizontal="center" vertical="center" wrapText="1" readingOrder="1"/>
    </xf>
    <xf numFmtId="4" fontId="99" fillId="0" borderId="190" xfId="2" applyNumberFormat="1" applyFont="1" applyFill="1" applyBorder="1" applyAlignment="1">
      <alignment horizontal="center" vertical="center" wrapText="1" readingOrder="1"/>
    </xf>
    <xf numFmtId="4" fontId="99" fillId="0" borderId="191" xfId="2" applyNumberFormat="1" applyFont="1" applyFill="1" applyBorder="1" applyAlignment="1">
      <alignment horizontal="center" vertical="center" wrapText="1" readingOrder="1"/>
    </xf>
    <xf numFmtId="0" fontId="43" fillId="0" borderId="34" xfId="0" applyFont="1" applyBorder="1"/>
    <xf numFmtId="4" fontId="0" fillId="0" borderId="34" xfId="0" applyNumberFormat="1" applyBorder="1"/>
    <xf numFmtId="0" fontId="0" fillId="0" borderId="34" xfId="0" applyBorder="1"/>
    <xf numFmtId="0" fontId="0" fillId="0" borderId="34" xfId="0" applyBorder="1" applyAlignment="1">
      <alignment wrapText="1"/>
    </xf>
    <xf numFmtId="0" fontId="17" fillId="0" borderId="13" xfId="0" applyFont="1" applyFill="1" applyBorder="1" applyAlignment="1">
      <alignment horizontal="center" vertical="center" wrapText="1"/>
    </xf>
    <xf numFmtId="171" fontId="99" fillId="10" borderId="147" xfId="2" applyNumberFormat="1" applyFont="1" applyFill="1" applyBorder="1" applyAlignment="1">
      <alignment horizontal="left" vertical="center" wrapText="1" readingOrder="1"/>
    </xf>
    <xf numFmtId="171" fontId="99" fillId="10" borderId="0" xfId="2" applyNumberFormat="1" applyFont="1" applyFill="1" applyBorder="1" applyAlignment="1">
      <alignment horizontal="left" vertical="center" wrapText="1" readingOrder="1"/>
    </xf>
    <xf numFmtId="171" fontId="99" fillId="10" borderId="147" xfId="2" applyNumberFormat="1" applyFont="1" applyFill="1" applyBorder="1" applyAlignment="1">
      <alignment horizontal="center" vertical="center" wrapText="1" readingOrder="1"/>
    </xf>
    <xf numFmtId="0" fontId="99" fillId="10" borderId="147" xfId="2" applyNumberFormat="1" applyFont="1" applyFill="1" applyBorder="1" applyAlignment="1">
      <alignment horizontal="center" vertical="center" wrapText="1" readingOrder="1"/>
    </xf>
    <xf numFmtId="4" fontId="99" fillId="10" borderId="147" xfId="2" applyNumberFormat="1" applyFont="1" applyFill="1" applyBorder="1" applyAlignment="1">
      <alignment horizontal="center" vertical="center" wrapText="1" readingOrder="1"/>
    </xf>
    <xf numFmtId="169" fontId="99" fillId="10" borderId="147" xfId="2" applyNumberFormat="1" applyFont="1" applyFill="1" applyBorder="1" applyAlignment="1">
      <alignment horizontal="center" vertical="center" wrapText="1" readingOrder="1"/>
    </xf>
    <xf numFmtId="0" fontId="99" fillId="10" borderId="147" xfId="2" applyNumberFormat="1" applyFont="1" applyFill="1" applyBorder="1" applyAlignment="1">
      <alignment horizontal="left" vertical="center" wrapText="1" readingOrder="1"/>
    </xf>
    <xf numFmtId="0" fontId="99" fillId="10" borderId="147" xfId="2" applyNumberFormat="1" applyFont="1" applyFill="1" applyBorder="1" applyAlignment="1">
      <alignment horizontal="left" vertical="top" wrapText="1" readingOrder="1"/>
    </xf>
    <xf numFmtId="0" fontId="99" fillId="10" borderId="147" xfId="2" applyNumberFormat="1" applyFont="1" applyFill="1" applyBorder="1" applyAlignment="1">
      <alignment horizontal="center" vertical="top" wrapText="1" readingOrder="1"/>
    </xf>
    <xf numFmtId="0" fontId="26" fillId="0" borderId="19" xfId="0" applyFont="1" applyFill="1" applyBorder="1" applyAlignment="1">
      <alignment horizontal="center" vertical="center"/>
    </xf>
    <xf numFmtId="0" fontId="28" fillId="0" borderId="0" xfId="0" applyFont="1" applyFill="1" applyAlignment="1">
      <alignment horizontal="justify" vertical="center" wrapText="1"/>
    </xf>
    <xf numFmtId="0" fontId="4" fillId="0" borderId="21" xfId="0" applyFont="1" applyBorder="1" applyAlignment="1">
      <alignment horizontal="center" vertical="top" wrapText="1"/>
    </xf>
    <xf numFmtId="14" fontId="50" fillId="0" borderId="6" xfId="0" applyNumberFormat="1" applyFont="1" applyFill="1" applyBorder="1" applyAlignment="1">
      <alignment horizontal="center" vertical="center" wrapText="1"/>
    </xf>
    <xf numFmtId="14" fontId="70" fillId="0" borderId="6" xfId="0" applyNumberFormat="1" applyFont="1" applyBorder="1" applyAlignment="1">
      <alignment horizontal="center" vertical="center" wrapText="1"/>
    </xf>
    <xf numFmtId="14" fontId="49" fillId="0" borderId="19" xfId="0" applyNumberFormat="1" applyFont="1" applyFill="1" applyBorder="1" applyAlignment="1">
      <alignment horizontal="center" vertical="center" wrapText="1"/>
    </xf>
    <xf numFmtId="3" fontId="13" fillId="0" borderId="6" xfId="0" applyNumberFormat="1" applyFont="1" applyBorder="1" applyAlignment="1">
      <alignment horizontal="center" vertical="center" wrapText="1"/>
    </xf>
    <xf numFmtId="4" fontId="1" fillId="10" borderId="6" xfId="0" applyNumberFormat="1" applyFont="1" applyFill="1" applyBorder="1" applyAlignment="1">
      <alignment horizontal="center" vertical="center" wrapText="1"/>
    </xf>
    <xf numFmtId="14" fontId="0" fillId="0" borderId="0" xfId="0" applyNumberFormat="1" applyFill="1"/>
    <xf numFmtId="0" fontId="70" fillId="0" borderId="19" xfId="0" applyFont="1" applyFill="1" applyBorder="1" applyAlignment="1">
      <alignment horizontal="center" vertical="center" wrapText="1"/>
    </xf>
    <xf numFmtId="4" fontId="49" fillId="0" borderId="19" xfId="0" applyNumberFormat="1" applyFont="1" applyFill="1" applyBorder="1" applyAlignment="1">
      <alignment horizontal="center" vertical="center" wrapText="1"/>
    </xf>
    <xf numFmtId="4" fontId="49" fillId="22" borderId="14" xfId="0" applyNumberFormat="1" applyFont="1" applyFill="1" applyBorder="1" applyAlignment="1">
      <alignment horizontal="center" vertical="center" wrapText="1"/>
    </xf>
    <xf numFmtId="0" fontId="49" fillId="0" borderId="19" xfId="0" applyFont="1" applyFill="1" applyBorder="1" applyAlignment="1">
      <alignment horizontal="center" vertical="center" wrapText="1"/>
    </xf>
    <xf numFmtId="0" fontId="49" fillId="22" borderId="57" xfId="0" applyFont="1" applyFill="1" applyBorder="1" applyAlignment="1">
      <alignment horizontal="center" vertical="center" wrapText="1"/>
    </xf>
    <xf numFmtId="14" fontId="49" fillId="0" borderId="19" xfId="0" applyNumberFormat="1" applyFont="1" applyBorder="1" applyAlignment="1">
      <alignment horizontal="center" vertical="center" wrapText="1"/>
    </xf>
    <xf numFmtId="166" fontId="69" fillId="0" borderId="19" xfId="0" applyNumberFormat="1" applyFont="1" applyFill="1" applyBorder="1" applyAlignment="1">
      <alignment horizontal="center" vertical="center" wrapText="1"/>
    </xf>
    <xf numFmtId="4" fontId="69" fillId="0" borderId="6" xfId="0" applyNumberFormat="1" applyFont="1" applyFill="1" applyBorder="1" applyAlignment="1">
      <alignment horizontal="center" vertical="center" wrapText="1"/>
    </xf>
    <xf numFmtId="4" fontId="72" fillId="0" borderId="6" xfId="0" applyNumberFormat="1" applyFont="1" applyFill="1" applyBorder="1" applyAlignment="1">
      <alignment horizontal="center" vertical="center" wrapText="1"/>
    </xf>
    <xf numFmtId="4" fontId="88" fillId="0" borderId="6" xfId="0" applyNumberFormat="1" applyFont="1" applyFill="1" applyBorder="1" applyAlignment="1">
      <alignment horizontal="center" vertical="center" wrapText="1"/>
    </xf>
    <xf numFmtId="4" fontId="112" fillId="0" borderId="6" xfId="0" applyNumberFormat="1" applyFont="1" applyFill="1" applyBorder="1" applyAlignment="1">
      <alignment horizontal="center" vertical="center" wrapText="1"/>
    </xf>
    <xf numFmtId="4" fontId="49" fillId="0" borderId="6" xfId="0" applyNumberFormat="1" applyFont="1" applyFill="1" applyBorder="1" applyAlignment="1">
      <alignment horizontal="center" vertical="center" wrapText="1"/>
    </xf>
    <xf numFmtId="4" fontId="113" fillId="0" borderId="6" xfId="0" applyNumberFormat="1" applyFont="1" applyFill="1" applyBorder="1" applyAlignment="1">
      <alignment horizontal="center" vertical="center" wrapText="1"/>
    </xf>
    <xf numFmtId="2" fontId="69" fillId="0" borderId="6" xfId="0" applyNumberFormat="1" applyFont="1" applyBorder="1" applyAlignment="1">
      <alignment horizontal="center" vertical="center" wrapText="1"/>
    </xf>
    <xf numFmtId="4" fontId="88" fillId="0" borderId="10" xfId="0" applyNumberFormat="1" applyFont="1" applyFill="1" applyBorder="1" applyAlignment="1">
      <alignment horizontal="center"/>
    </xf>
    <xf numFmtId="170" fontId="86" fillId="0" borderId="6" xfId="0" applyNumberFormat="1" applyFont="1" applyFill="1" applyBorder="1" applyAlignment="1">
      <alignment horizontal="center" wrapText="1"/>
    </xf>
    <xf numFmtId="3" fontId="86" fillId="0" borderId="6" xfId="0" applyNumberFormat="1" applyFont="1" applyFill="1" applyBorder="1" applyAlignment="1">
      <alignment horizontal="center" wrapText="1"/>
    </xf>
    <xf numFmtId="4" fontId="86" fillId="0" borderId="6" xfId="0" applyNumberFormat="1" applyFont="1" applyFill="1" applyBorder="1" applyAlignment="1">
      <alignment horizontal="center" wrapText="1"/>
    </xf>
    <xf numFmtId="3" fontId="86" fillId="0" borderId="10" xfId="0" applyNumberFormat="1" applyFont="1" applyFill="1" applyBorder="1" applyAlignment="1">
      <alignment horizontal="center" vertical="center" wrapText="1"/>
    </xf>
    <xf numFmtId="4" fontId="86" fillId="0" borderId="10" xfId="0" applyNumberFormat="1" applyFont="1" applyFill="1" applyBorder="1" applyAlignment="1">
      <alignment horizontal="center" vertical="center" wrapText="1"/>
    </xf>
    <xf numFmtId="2" fontId="81" fillId="0" borderId="10" xfId="0" applyNumberFormat="1" applyFont="1" applyFill="1" applyBorder="1" applyAlignment="1">
      <alignment horizontal="center" vertical="center" wrapText="1"/>
    </xf>
    <xf numFmtId="0" fontId="28" fillId="0" borderId="0" xfId="0" applyFont="1" applyFill="1" applyAlignment="1">
      <alignment horizontal="justify" vertical="center" wrapText="1"/>
    </xf>
    <xf numFmtId="0" fontId="8" fillId="0" borderId="0" xfId="0" applyFont="1" applyFill="1" applyAlignment="1"/>
    <xf numFmtId="0" fontId="40" fillId="0" borderId="51" xfId="0" applyFont="1" applyFill="1" applyBorder="1" applyAlignment="1">
      <alignment horizontal="center" vertical="center" wrapText="1"/>
    </xf>
    <xf numFmtId="0" fontId="8" fillId="0" borderId="27" xfId="0" applyFont="1" applyFill="1" applyBorder="1" applyAlignment="1">
      <alignment wrapText="1"/>
    </xf>
    <xf numFmtId="0" fontId="40" fillId="0" borderId="50" xfId="0" applyFont="1" applyFill="1" applyBorder="1" applyAlignment="1">
      <alignment horizontal="center" vertical="center"/>
    </xf>
    <xf numFmtId="0" fontId="8" fillId="0" borderId="5" xfId="0" applyFont="1" applyFill="1" applyBorder="1" applyAlignment="1"/>
    <xf numFmtId="0" fontId="40" fillId="0" borderId="1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12" xfId="0" applyFont="1" applyFill="1" applyBorder="1" applyAlignment="1">
      <alignment horizontal="center" wrapText="1"/>
    </xf>
    <xf numFmtId="0" fontId="40" fillId="0" borderId="4" xfId="0" applyFont="1" applyFill="1" applyBorder="1" applyAlignment="1">
      <alignment horizontal="center" wrapText="1"/>
    </xf>
    <xf numFmtId="0" fontId="28" fillId="0" borderId="0" xfId="0" applyFont="1" applyFill="1" applyAlignment="1">
      <alignment horizontal="justify" vertical="center" wrapText="1"/>
    </xf>
    <xf numFmtId="0" fontId="114" fillId="0" borderId="0" xfId="0" applyFont="1" applyFill="1" applyAlignment="1">
      <alignment horizontal="justify" vertical="center" wrapText="1"/>
    </xf>
    <xf numFmtId="0" fontId="111" fillId="0" borderId="0" xfId="0" applyFont="1" applyFill="1" applyAlignment="1"/>
    <xf numFmtId="3" fontId="40" fillId="0" borderId="13" xfId="0" applyNumberFormat="1" applyFont="1" applyFill="1" applyBorder="1" applyAlignment="1">
      <alignment wrapText="1"/>
    </xf>
    <xf numFmtId="3" fontId="40" fillId="0" borderId="14" xfId="0" applyNumberFormat="1" applyFont="1" applyFill="1" applyBorder="1" applyAlignment="1">
      <alignment wrapText="1"/>
    </xf>
    <xf numFmtId="3" fontId="40" fillId="0" borderId="15" xfId="0" applyNumberFormat="1" applyFont="1" applyFill="1" applyBorder="1" applyAlignment="1">
      <alignment wrapText="1"/>
    </xf>
    <xf numFmtId="1" fontId="40" fillId="0" borderId="17" xfId="0" applyNumberFormat="1" applyFont="1" applyFill="1" applyBorder="1" applyAlignment="1">
      <alignment horizontal="center" vertical="center"/>
    </xf>
    <xf numFmtId="1" fontId="40" fillId="0" borderId="16" xfId="0" applyNumberFormat="1" applyFont="1" applyFill="1" applyBorder="1" applyAlignment="1">
      <alignment horizontal="center" vertical="center"/>
    </xf>
    <xf numFmtId="3" fontId="40" fillId="0" borderId="17" xfId="0" applyNumberFormat="1" applyFont="1" applyFill="1" applyBorder="1" applyAlignment="1">
      <alignment horizontal="center" wrapText="1"/>
    </xf>
    <xf numFmtId="3" fontId="40" fillId="0" borderId="18" xfId="0" applyNumberFormat="1" applyFont="1" applyFill="1" applyBorder="1" applyAlignment="1">
      <alignment horizontal="center" wrapText="1"/>
    </xf>
    <xf numFmtId="0" fontId="40" fillId="0" borderId="11" xfId="0" applyFont="1" applyFill="1" applyBorder="1" applyAlignment="1">
      <alignment horizontal="center" vertical="center"/>
    </xf>
    <xf numFmtId="1" fontId="40" fillId="0" borderId="13" xfId="0" applyNumberFormat="1" applyFont="1" applyFill="1" applyBorder="1" applyAlignment="1">
      <alignment horizontal="center" vertical="center"/>
    </xf>
    <xf numFmtId="14" fontId="8" fillId="0" borderId="55" xfId="0" applyNumberFormat="1" applyFont="1" applyBorder="1" applyAlignment="1">
      <alignment horizontal="center"/>
    </xf>
    <xf numFmtId="0" fontId="8" fillId="0" borderId="34" xfId="0" applyFont="1" applyBorder="1" applyAlignment="1">
      <alignment horizontal="center"/>
    </xf>
    <xf numFmtId="0" fontId="12" fillId="0" borderId="12" xfId="0" applyFont="1" applyBorder="1" applyAlignment="1">
      <alignment horizontal="center" wrapText="1"/>
    </xf>
    <xf numFmtId="0" fontId="12" fillId="0" borderId="21" xfId="0" applyFont="1" applyBorder="1" applyAlignment="1">
      <alignment horizontal="center" wrapText="1"/>
    </xf>
    <xf numFmtId="0" fontId="12" fillId="0" borderId="4" xfId="0" applyFont="1" applyBorder="1" applyAlignment="1">
      <alignment horizontal="center" wrapText="1"/>
    </xf>
    <xf numFmtId="0" fontId="12" fillId="0" borderId="1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14" fontId="12" fillId="0" borderId="11" xfId="0" applyNumberFormat="1" applyFont="1" applyBorder="1" applyAlignment="1">
      <alignment horizontal="center" wrapText="1"/>
    </xf>
    <xf numFmtId="0" fontId="12" fillId="0" borderId="3" xfId="0" applyFont="1" applyBorder="1" applyAlignment="1">
      <alignment horizontal="center" wrapText="1"/>
    </xf>
    <xf numFmtId="14" fontId="12" fillId="0" borderId="12" xfId="0" applyNumberFormat="1" applyFont="1" applyBorder="1" applyAlignment="1">
      <alignment horizontal="center" wrapText="1"/>
    </xf>
    <xf numFmtId="0" fontId="12" fillId="0" borderId="13" xfId="0" applyFont="1" applyBorder="1" applyAlignment="1">
      <alignment wrapText="1"/>
    </xf>
    <xf numFmtId="0" fontId="8" fillId="0" borderId="14" xfId="0" applyFont="1" applyBorder="1" applyAlignment="1">
      <alignment wrapText="1"/>
    </xf>
    <xf numFmtId="0" fontId="8" fillId="0" borderId="15" xfId="0" applyFont="1" applyBorder="1" applyAlignment="1">
      <alignment wrapText="1"/>
    </xf>
    <xf numFmtId="14" fontId="8" fillId="0" borderId="34" xfId="0" applyNumberFormat="1" applyFont="1" applyBorder="1" applyAlignment="1">
      <alignment horizontal="center"/>
    </xf>
    <xf numFmtId="165" fontId="8" fillId="0" borderId="34" xfId="0" applyNumberFormat="1" applyFont="1" applyBorder="1" applyAlignment="1">
      <alignment horizontal="center"/>
    </xf>
    <xf numFmtId="14" fontId="8" fillId="0" borderId="34" xfId="0" applyNumberFormat="1" applyFont="1" applyFill="1" applyBorder="1" applyAlignment="1">
      <alignment horizontal="center"/>
    </xf>
    <xf numFmtId="0" fontId="8" fillId="0" borderId="34" xfId="0" applyFont="1" applyFill="1" applyBorder="1" applyAlignment="1">
      <alignment horizontal="center"/>
    </xf>
    <xf numFmtId="14" fontId="8" fillId="0" borderId="69" xfId="0" applyNumberFormat="1" applyFont="1" applyFill="1" applyBorder="1" applyAlignment="1">
      <alignment horizontal="center"/>
    </xf>
    <xf numFmtId="0" fontId="8" fillId="0" borderId="101" xfId="0" applyFont="1" applyFill="1" applyBorder="1" applyAlignment="1">
      <alignment horizontal="center"/>
    </xf>
    <xf numFmtId="0" fontId="8" fillId="0" borderId="55" xfId="0" applyFont="1" applyFill="1" applyBorder="1" applyAlignment="1">
      <alignment horizontal="center"/>
    </xf>
    <xf numFmtId="16" fontId="41" fillId="0" borderId="138" xfId="0" applyNumberFormat="1" applyFont="1" applyFill="1" applyBorder="1" applyAlignment="1">
      <alignment horizontal="left" vertical="center" wrapText="1"/>
    </xf>
    <xf numFmtId="0" fontId="8" fillId="0" borderId="23" xfId="0" applyFont="1" applyBorder="1" applyAlignment="1">
      <alignment horizontal="left" vertical="center" wrapText="1"/>
    </xf>
    <xf numFmtId="0" fontId="8" fillId="0" borderId="6" xfId="0" applyFont="1" applyBorder="1" applyAlignment="1">
      <alignment horizontal="left" vertical="center" wrapText="1"/>
    </xf>
    <xf numFmtId="0" fontId="12" fillId="0" borderId="80" xfId="0" applyFont="1" applyFill="1" applyBorder="1" applyAlignment="1">
      <alignment horizontal="left" vertical="center" wrapText="1"/>
    </xf>
    <xf numFmtId="0" fontId="8" fillId="0" borderId="0" xfId="0" applyFont="1" applyAlignment="1">
      <alignment horizontal="left" wrapText="1"/>
    </xf>
    <xf numFmtId="0" fontId="8" fillId="0" borderId="24" xfId="0" applyFont="1" applyBorder="1" applyAlignment="1">
      <alignment horizontal="left" wrapText="1"/>
    </xf>
    <xf numFmtId="0" fontId="8" fillId="0" borderId="0" xfId="0" applyFont="1" applyAlignment="1">
      <alignment horizontal="left" vertical="center" wrapText="1"/>
    </xf>
    <xf numFmtId="0" fontId="8" fillId="0" borderId="24" xfId="0" applyFont="1" applyBorder="1" applyAlignment="1">
      <alignment horizontal="left" vertical="center" wrapText="1"/>
    </xf>
    <xf numFmtId="14" fontId="29" fillId="0" borderId="13" xfId="0" applyNumberFormat="1" applyFont="1" applyFill="1" applyBorder="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12" fillId="0" borderId="129" xfId="0" applyFont="1" applyFill="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27" fillId="0" borderId="129" xfId="0" applyFont="1" applyFill="1" applyBorder="1" applyAlignment="1">
      <alignment horizontal="left" vertical="center" wrapText="1"/>
    </xf>
    <xf numFmtId="14" fontId="40" fillId="0" borderId="13" xfId="0" applyNumberFormat="1" applyFont="1" applyFill="1" applyBorder="1" applyAlignment="1">
      <alignment horizontal="left" vertical="center" wrapText="1"/>
    </xf>
    <xf numFmtId="0" fontId="8" fillId="0" borderId="14" xfId="0" applyFont="1" applyBorder="1" applyAlignment="1">
      <alignment horizontal="left" wrapText="1"/>
    </xf>
    <xf numFmtId="0" fontId="8" fillId="0" borderId="15" xfId="0" applyFont="1" applyBorder="1" applyAlignment="1">
      <alignment horizontal="left" wrapText="1"/>
    </xf>
    <xf numFmtId="0" fontId="8" fillId="0" borderId="38" xfId="0" applyFont="1" applyBorder="1" applyAlignment="1">
      <alignment horizontal="left" wrapText="1"/>
    </xf>
    <xf numFmtId="0" fontId="8" fillId="0" borderId="30" xfId="0" applyFont="1" applyBorder="1" applyAlignment="1">
      <alignment horizontal="left" wrapText="1"/>
    </xf>
    <xf numFmtId="0" fontId="27" fillId="0" borderId="80" xfId="0" applyFont="1" applyFill="1" applyBorder="1" applyAlignment="1">
      <alignment horizontal="left" vertical="center" wrapText="1"/>
    </xf>
    <xf numFmtId="16" fontId="34" fillId="0" borderId="139" xfId="0" applyNumberFormat="1" applyFont="1" applyFill="1" applyBorder="1" applyAlignment="1">
      <alignment horizontal="left"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0" fillId="0" borderId="20" xfId="0" applyFont="1" applyFill="1" applyBorder="1" applyAlignment="1">
      <alignment horizontal="center" vertical="top" wrapText="1"/>
    </xf>
    <xf numFmtId="0" fontId="40" fillId="0" borderId="21" xfId="0" applyFont="1" applyFill="1" applyBorder="1" applyAlignment="1">
      <alignment horizontal="center" vertical="top" wrapText="1"/>
    </xf>
    <xf numFmtId="0" fontId="40" fillId="0" borderId="52" xfId="0" applyFont="1" applyFill="1" applyBorder="1" applyAlignment="1">
      <alignment horizontal="center" vertical="top" wrapText="1"/>
    </xf>
    <xf numFmtId="0" fontId="40" fillId="0" borderId="2" xfId="0" applyFont="1" applyFill="1" applyBorder="1" applyAlignment="1">
      <alignment horizontal="center" vertical="top" wrapText="1"/>
    </xf>
    <xf numFmtId="0" fontId="40" fillId="0" borderId="13" xfId="0" applyFont="1" applyFill="1" applyBorder="1" applyAlignment="1">
      <alignment horizontal="center" vertical="top" wrapText="1"/>
    </xf>
    <xf numFmtId="0" fontId="56" fillId="0" borderId="15"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15" xfId="0" applyFont="1" applyFill="1" applyBorder="1" applyAlignment="1">
      <alignment horizontal="center" vertical="top" wrapText="1"/>
    </xf>
    <xf numFmtId="0" fontId="40" fillId="0" borderId="14" xfId="0" applyFont="1" applyFill="1" applyBorder="1" applyAlignment="1">
      <alignment horizontal="center" vertical="top" wrapText="1"/>
    </xf>
    <xf numFmtId="0" fontId="8" fillId="0" borderId="15" xfId="0" applyFont="1" applyBorder="1" applyAlignment="1">
      <alignment horizontal="center" vertical="top" wrapText="1"/>
    </xf>
    <xf numFmtId="0" fontId="27" fillId="0" borderId="32" xfId="0" applyFont="1" applyFill="1" applyBorder="1" applyAlignment="1">
      <alignment horizontal="left" vertical="center" wrapText="1"/>
    </xf>
    <xf numFmtId="0" fontId="27" fillId="0" borderId="13" xfId="0" applyFont="1" applyFill="1" applyBorder="1" applyAlignment="1">
      <alignment horizontal="left" vertical="center" wrapText="1"/>
    </xf>
    <xf numFmtId="16" fontId="29" fillId="0" borderId="13" xfId="0" applyNumberFormat="1" applyFont="1" applyFill="1" applyBorder="1" applyAlignment="1">
      <alignment horizontal="left" vertical="center" wrapText="1"/>
    </xf>
    <xf numFmtId="0" fontId="29" fillId="6" borderId="13" xfId="0" applyFont="1" applyFill="1" applyBorder="1" applyAlignment="1">
      <alignment horizontal="lef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27" fillId="16" borderId="13" xfId="0" applyFont="1" applyFill="1" applyBorder="1" applyAlignment="1">
      <alignment horizontal="left" vertical="center" wrapText="1"/>
    </xf>
    <xf numFmtId="0" fontId="57" fillId="16" borderId="14" xfId="0" applyFont="1" applyFill="1" applyBorder="1" applyAlignment="1">
      <alignment horizontal="left" vertical="center" wrapText="1"/>
    </xf>
    <xf numFmtId="0" fontId="57" fillId="16" borderId="15" xfId="0" applyFont="1" applyFill="1" applyBorder="1" applyAlignment="1">
      <alignment horizontal="left" vertical="center" wrapText="1"/>
    </xf>
    <xf numFmtId="0" fontId="57" fillId="16" borderId="14" xfId="0" applyFont="1" applyFill="1" applyBorder="1" applyAlignment="1">
      <alignment vertical="center" wrapText="1"/>
    </xf>
    <xf numFmtId="0" fontId="57" fillId="16" borderId="15" xfId="0" applyFont="1" applyFill="1" applyBorder="1" applyAlignment="1">
      <alignment vertical="center" wrapText="1"/>
    </xf>
    <xf numFmtId="0" fontId="36" fillId="16" borderId="13" xfId="0" applyFont="1" applyFill="1" applyBorder="1" applyAlignment="1">
      <alignment horizontal="left" vertical="center" wrapText="1"/>
    </xf>
    <xf numFmtId="0" fontId="34" fillId="7" borderId="13" xfId="0" applyFont="1" applyFill="1" applyBorder="1" applyAlignment="1">
      <alignment horizontal="left" vertical="center" wrapText="1"/>
    </xf>
    <xf numFmtId="0" fontId="38" fillId="6" borderId="13" xfId="0" applyFont="1" applyFill="1" applyBorder="1" applyAlignment="1">
      <alignment horizontal="left" vertical="center" wrapText="1"/>
    </xf>
    <xf numFmtId="0" fontId="56" fillId="0" borderId="14" xfId="0" applyFont="1" applyBorder="1" applyAlignment="1">
      <alignment vertical="center" wrapText="1"/>
    </xf>
    <xf numFmtId="0" fontId="56" fillId="0" borderId="15" xfId="0" applyFont="1" applyBorder="1" applyAlignment="1">
      <alignment vertical="center" wrapText="1"/>
    </xf>
    <xf numFmtId="0" fontId="37" fillId="16" borderId="13" xfId="0" applyFont="1" applyFill="1" applyBorder="1" applyAlignment="1">
      <alignment horizontal="left" vertical="center" wrapText="1"/>
    </xf>
    <xf numFmtId="0" fontId="8" fillId="16" borderId="14" xfId="0" applyFont="1" applyFill="1" applyBorder="1" applyAlignment="1">
      <alignment wrapText="1"/>
    </xf>
    <xf numFmtId="0" fontId="56" fillId="0" borderId="14" xfId="0" applyFont="1" applyBorder="1" applyAlignment="1">
      <alignment wrapText="1"/>
    </xf>
    <xf numFmtId="0" fontId="56" fillId="0" borderId="15" xfId="0" applyFont="1" applyBorder="1" applyAlignment="1">
      <alignment wrapText="1"/>
    </xf>
    <xf numFmtId="0" fontId="57" fillId="16" borderId="14" xfId="0" applyFont="1" applyFill="1" applyBorder="1" applyAlignment="1">
      <alignment wrapText="1"/>
    </xf>
    <xf numFmtId="0" fontId="57" fillId="16" borderId="15" xfId="0" applyFont="1" applyFill="1" applyBorder="1" applyAlignment="1">
      <alignment wrapText="1"/>
    </xf>
    <xf numFmtId="0" fontId="8" fillId="16" borderId="14" xfId="0" applyFont="1" applyFill="1" applyBorder="1" applyAlignment="1">
      <alignment vertical="center" wrapText="1"/>
    </xf>
    <xf numFmtId="0" fontId="42" fillId="7" borderId="13" xfId="0" applyFont="1" applyFill="1" applyBorder="1" applyAlignment="1">
      <alignment horizontal="left" vertical="center" wrapText="1"/>
    </xf>
    <xf numFmtId="0" fontId="58" fillId="0" borderId="14" xfId="0" applyFont="1" applyBorder="1" applyAlignment="1">
      <alignment vertical="center" wrapText="1"/>
    </xf>
    <xf numFmtId="0" fontId="58" fillId="0" borderId="15" xfId="0" applyFont="1" applyBorder="1" applyAlignment="1">
      <alignment vertical="center" wrapText="1"/>
    </xf>
    <xf numFmtId="0" fontId="59" fillId="0" borderId="14" xfId="0" applyFont="1" applyBorder="1" applyAlignment="1">
      <alignment vertical="center" wrapText="1"/>
    </xf>
    <xf numFmtId="0" fontId="59" fillId="0" borderId="15" xfId="0" applyFont="1" applyBorder="1" applyAlignment="1">
      <alignment vertical="center" wrapText="1"/>
    </xf>
    <xf numFmtId="0" fontId="29" fillId="6" borderId="13" xfId="0" applyFont="1" applyFill="1" applyBorder="1" applyAlignment="1">
      <alignment wrapText="1"/>
    </xf>
    <xf numFmtId="0" fontId="29" fillId="6" borderId="14" xfId="0" applyFont="1" applyFill="1" applyBorder="1" applyAlignment="1">
      <alignment wrapText="1"/>
    </xf>
    <xf numFmtId="0" fontId="29" fillId="6" borderId="15" xfId="0" applyFont="1" applyFill="1" applyBorder="1" applyAlignment="1">
      <alignment wrapText="1"/>
    </xf>
    <xf numFmtId="0" fontId="34" fillId="7" borderId="13" xfId="0" applyFont="1" applyFill="1" applyBorder="1" applyAlignment="1">
      <alignment vertical="center" wrapText="1"/>
    </xf>
    <xf numFmtId="0" fontId="36" fillId="16" borderId="13" xfId="0" applyFont="1" applyFill="1" applyBorder="1" applyAlignment="1">
      <alignment vertical="top" wrapText="1"/>
    </xf>
    <xf numFmtId="0" fontId="17" fillId="22" borderId="26" xfId="0" applyFont="1" applyFill="1" applyBorder="1" applyAlignment="1">
      <alignment horizontal="center" vertical="center" wrapText="1"/>
    </xf>
    <xf numFmtId="0" fontId="8" fillId="22" borderId="31"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57" fillId="0" borderId="14"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27" fillId="0" borderId="51" xfId="0" applyFont="1" applyFill="1" applyBorder="1" applyAlignment="1">
      <alignment horizontal="center" vertical="center" wrapText="1"/>
    </xf>
    <xf numFmtId="0" fontId="17" fillId="0" borderId="51" xfId="0" applyFont="1" applyFill="1" applyBorder="1" applyAlignment="1">
      <alignment horizontal="center" vertical="center" wrapText="1"/>
    </xf>
    <xf numFmtId="0" fontId="27" fillId="0" borderId="13" xfId="0" applyFont="1" applyFill="1" applyBorder="1" applyAlignment="1">
      <alignment horizontal="center" vertical="center" wrapText="1"/>
    </xf>
    <xf numFmtId="16" fontId="9" fillId="0" borderId="13" xfId="0" applyNumberFormat="1"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27" fillId="0" borderId="50" xfId="0" applyFont="1" applyFill="1" applyBorder="1" applyAlignment="1">
      <alignment horizontal="center" vertical="center" wrapText="1"/>
    </xf>
    <xf numFmtId="0" fontId="8" fillId="0" borderId="43" xfId="0" applyFont="1" applyFill="1" applyBorder="1" applyAlignment="1">
      <alignment horizontal="center" vertical="center" wrapText="1"/>
    </xf>
    <xf numFmtId="16" fontId="41" fillId="0" borderId="13" xfId="0" applyNumberFormat="1" applyFont="1" applyFill="1" applyBorder="1" applyAlignment="1">
      <alignment horizontal="left" vertical="center" wrapText="1"/>
    </xf>
    <xf numFmtId="16" fontId="40" fillId="0" borderId="13" xfId="0" applyNumberFormat="1" applyFont="1" applyFill="1" applyBorder="1" applyAlignment="1">
      <alignment horizontal="left" vertical="center" wrapText="1"/>
    </xf>
    <xf numFmtId="0" fontId="56" fillId="0" borderId="14" xfId="0" applyFont="1" applyFill="1" applyBorder="1" applyAlignment="1">
      <alignment horizontal="left" vertical="center" wrapText="1"/>
    </xf>
    <xf numFmtId="0" fontId="56" fillId="0" borderId="15" xfId="0" applyFont="1" applyFill="1" applyBorder="1" applyAlignment="1">
      <alignment horizontal="left" vertical="center" wrapText="1"/>
    </xf>
    <xf numFmtId="0" fontId="24" fillId="0" borderId="51" xfId="0" applyFont="1" applyFill="1" applyBorder="1" applyAlignment="1">
      <alignment horizontal="center" vertical="center" wrapText="1"/>
    </xf>
    <xf numFmtId="0" fontId="80" fillId="0" borderId="31" xfId="0" applyFont="1" applyFill="1" applyBorder="1" applyAlignment="1">
      <alignment horizontal="center" vertical="center" wrapText="1"/>
    </xf>
    <xf numFmtId="0" fontId="29" fillId="0" borderId="48" xfId="0" applyFont="1" applyFill="1" applyBorder="1" applyAlignment="1">
      <alignment wrapText="1"/>
    </xf>
    <xf numFmtId="0" fontId="56" fillId="0" borderId="48" xfId="0" applyFont="1" applyFill="1" applyBorder="1" applyAlignment="1">
      <alignment wrapText="1"/>
    </xf>
    <xf numFmtId="0" fontId="34" fillId="0" borderId="60" xfId="0" applyFont="1" applyFill="1" applyBorder="1" applyAlignment="1">
      <alignment horizontal="center" wrapText="1"/>
    </xf>
    <xf numFmtId="0" fontId="8" fillId="0" borderId="61" xfId="0" applyFont="1" applyFill="1" applyBorder="1" applyAlignment="1">
      <alignment horizontal="center" wrapText="1"/>
    </xf>
    <xf numFmtId="0" fontId="8" fillId="0" borderId="62" xfId="0" applyFont="1" applyFill="1" applyBorder="1" applyAlignment="1">
      <alignment horizontal="center" wrapText="1"/>
    </xf>
    <xf numFmtId="0" fontId="34" fillId="0" borderId="50"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59" fillId="0" borderId="40" xfId="0" applyFont="1" applyFill="1" applyBorder="1" applyAlignment="1">
      <alignment horizontal="center" vertical="center" wrapText="1"/>
    </xf>
    <xf numFmtId="0" fontId="36" fillId="16" borderId="14" xfId="0" applyFont="1" applyFill="1" applyBorder="1" applyAlignment="1">
      <alignment horizontal="left" vertical="center" wrapText="1"/>
    </xf>
    <xf numFmtId="0" fontId="36" fillId="16" borderId="15" xfId="0" applyFont="1" applyFill="1" applyBorder="1" applyAlignment="1">
      <alignment horizontal="left" vertical="center" wrapText="1"/>
    </xf>
    <xf numFmtId="0" fontId="38" fillId="6" borderId="14" xfId="0" applyFont="1" applyFill="1" applyBorder="1" applyAlignment="1">
      <alignment horizontal="left" vertical="center" wrapText="1"/>
    </xf>
    <xf numFmtId="0" fontId="38" fillId="6" borderId="15" xfId="0" applyFont="1" applyFill="1" applyBorder="1" applyAlignment="1">
      <alignment horizontal="left" vertical="center" wrapText="1"/>
    </xf>
    <xf numFmtId="0" fontId="29" fillId="6" borderId="14" xfId="0" applyFont="1" applyFill="1" applyBorder="1" applyAlignment="1">
      <alignment horizontal="left" vertical="center" wrapText="1"/>
    </xf>
    <xf numFmtId="0" fontId="29" fillId="6" borderId="1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0" borderId="20" xfId="0" applyFont="1" applyBorder="1" applyAlignment="1">
      <alignment horizontal="center" vertical="top" wrapText="1"/>
    </xf>
    <xf numFmtId="0" fontId="4" fillId="0" borderId="2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4" xfId="0" applyFont="1" applyBorder="1" applyAlignment="1">
      <alignment horizontal="center" vertical="top" wrapText="1"/>
    </xf>
    <xf numFmtId="0" fontId="8" fillId="0" borderId="21" xfId="0" applyFont="1" applyBorder="1" applyAlignment="1">
      <alignment horizontal="center" vertical="top" wrapText="1"/>
    </xf>
    <xf numFmtId="0" fontId="8" fillId="0" borderId="4" xfId="0" applyFont="1" applyBorder="1" applyAlignment="1">
      <alignment horizontal="center" vertical="top" wrapText="1"/>
    </xf>
    <xf numFmtId="0" fontId="26" fillId="0" borderId="0" xfId="0" applyFont="1" applyAlignment="1">
      <alignment horizontal="justify" vertical="justify" wrapText="1"/>
    </xf>
    <xf numFmtId="0" fontId="26" fillId="0" borderId="0" xfId="0" applyFont="1" applyAlignment="1">
      <alignment vertical="top" wrapText="1"/>
    </xf>
    <xf numFmtId="0" fontId="29" fillId="0" borderId="28" xfId="0" applyFont="1" applyBorder="1" applyAlignment="1">
      <alignment horizontal="center" vertical="center" wrapText="1"/>
    </xf>
    <xf numFmtId="0" fontId="29" fillId="0" borderId="135" xfId="0" applyFont="1" applyBorder="1" applyAlignment="1">
      <alignment horizontal="center" vertical="center" wrapText="1"/>
    </xf>
    <xf numFmtId="0" fontId="29" fillId="0" borderId="133"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63" xfId="0" applyFont="1" applyBorder="1" applyAlignment="1">
      <alignment horizontal="center" vertical="center" wrapText="1"/>
    </xf>
    <xf numFmtId="0" fontId="29" fillId="0" borderId="108" xfId="0" applyFont="1" applyBorder="1" applyAlignment="1">
      <alignment horizontal="center" vertical="center" wrapText="1"/>
    </xf>
    <xf numFmtId="0" fontId="28" fillId="0" borderId="63" xfId="0" applyFont="1" applyBorder="1" applyAlignment="1">
      <alignment horizontal="center" vertical="center" wrapText="1"/>
    </xf>
    <xf numFmtId="0" fontId="8" fillId="0" borderId="108" xfId="0" applyFont="1" applyBorder="1" applyAlignment="1">
      <alignment vertical="center" wrapText="1"/>
    </xf>
    <xf numFmtId="0" fontId="8" fillId="0" borderId="41" xfId="0" applyFont="1" applyBorder="1" applyAlignment="1">
      <alignment vertical="center" wrapText="1"/>
    </xf>
    <xf numFmtId="0" fontId="28" fillId="0" borderId="136"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137" xfId="0" applyFont="1" applyBorder="1" applyAlignment="1">
      <alignment horizontal="center" vertical="center" wrapText="1"/>
    </xf>
    <xf numFmtId="0" fontId="28" fillId="0" borderId="130" xfId="0" applyFont="1" applyBorder="1" applyAlignment="1">
      <alignment horizontal="center" vertical="center" wrapText="1"/>
    </xf>
    <xf numFmtId="0" fontId="28" fillId="0" borderId="40" xfId="0" applyFont="1" applyBorder="1" applyAlignment="1">
      <alignment horizontal="center" vertical="center" wrapText="1"/>
    </xf>
    <xf numFmtId="0" fontId="29" fillId="0" borderId="139"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8" fillId="0" borderId="40" xfId="0" applyFont="1" applyBorder="1" applyAlignment="1">
      <alignment vertical="center" wrapText="1"/>
    </xf>
    <xf numFmtId="0" fontId="29" fillId="0" borderId="136" xfId="0" applyFont="1" applyBorder="1" applyAlignment="1">
      <alignment horizontal="center" vertical="center" wrapText="1"/>
    </xf>
    <xf numFmtId="0" fontId="29" fillId="0" borderId="108" xfId="0" applyFont="1" applyBorder="1" applyAlignment="1">
      <alignment vertical="center" wrapText="1"/>
    </xf>
    <xf numFmtId="0" fontId="28" fillId="0" borderId="41" xfId="0" applyFont="1" applyBorder="1" applyAlignment="1">
      <alignment vertical="center" wrapText="1"/>
    </xf>
    <xf numFmtId="0" fontId="29" fillId="0" borderId="0" xfId="0" applyFont="1" applyFill="1" applyAlignment="1">
      <alignment horizontal="justify" vertical="center"/>
    </xf>
    <xf numFmtId="0" fontId="28" fillId="0" borderId="63" xfId="0" applyFont="1" applyBorder="1" applyAlignment="1">
      <alignment horizontal="left" vertical="center" wrapText="1"/>
    </xf>
    <xf numFmtId="0" fontId="28" fillId="0" borderId="108" xfId="0" applyFont="1" applyBorder="1" applyAlignment="1">
      <alignment horizontal="left" vertical="center" wrapText="1"/>
    </xf>
    <xf numFmtId="0" fontId="28" fillId="0" borderId="41" xfId="0" applyFont="1" applyBorder="1" applyAlignment="1">
      <alignment horizontal="left" vertical="center" wrapText="1"/>
    </xf>
    <xf numFmtId="0" fontId="29" fillId="0" borderId="11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33" xfId="0" applyFont="1" applyBorder="1" applyAlignment="1">
      <alignment horizontal="center" vertical="center" wrapText="1"/>
    </xf>
    <xf numFmtId="0" fontId="29" fillId="16" borderId="13" xfId="0" applyFont="1" applyFill="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0" fillId="0" borderId="123" xfId="0" applyFont="1" applyBorder="1" applyAlignment="1">
      <alignment horizontal="center" vertical="center" wrapText="1"/>
    </xf>
    <xf numFmtId="0" fontId="30" fillId="0" borderId="117" xfId="0" applyFont="1" applyBorder="1" applyAlignment="1">
      <alignment horizontal="center" vertical="center" wrapText="1"/>
    </xf>
    <xf numFmtId="0" fontId="55" fillId="0" borderId="124" xfId="0" applyFont="1" applyBorder="1" applyAlignment="1">
      <alignment horizontal="center" vertical="center" wrapText="1"/>
    </xf>
    <xf numFmtId="0" fontId="55" fillId="0" borderId="119" xfId="0" applyFont="1" applyBorder="1" applyAlignment="1">
      <alignment horizontal="center" vertical="center" wrapText="1"/>
    </xf>
    <xf numFmtId="0" fontId="55" fillId="0" borderId="125" xfId="0" applyFont="1" applyBorder="1" applyAlignment="1">
      <alignment horizontal="center" vertical="center" wrapText="1"/>
    </xf>
    <xf numFmtId="0" fontId="55" fillId="0" borderId="31" xfId="0" applyFont="1" applyBorder="1" applyAlignment="1">
      <alignment horizontal="center" vertical="center" wrapText="1"/>
    </xf>
    <xf numFmtId="0" fontId="62" fillId="0" borderId="141" xfId="0" applyFont="1" applyBorder="1" applyAlignment="1">
      <alignment horizontal="justify" vertical="center" wrapText="1"/>
    </xf>
    <xf numFmtId="0" fontId="0" fillId="0" borderId="117" xfId="0" applyBorder="1" applyAlignment="1">
      <alignment horizontal="justify" vertical="center" wrapText="1"/>
    </xf>
    <xf numFmtId="0" fontId="0" fillId="0" borderId="142" xfId="0" applyBorder="1" applyAlignment="1">
      <alignment horizontal="justify" vertical="center" wrapText="1"/>
    </xf>
    <xf numFmtId="0" fontId="30" fillId="0" borderId="116" xfId="0" applyFont="1" applyBorder="1" applyAlignment="1">
      <alignment horizontal="center" vertical="center" wrapText="1"/>
    </xf>
    <xf numFmtId="0" fontId="55" fillId="0" borderId="115" xfId="0" applyFont="1" applyBorder="1" applyAlignment="1">
      <alignment horizontal="center" vertical="center" wrapText="1"/>
    </xf>
    <xf numFmtId="0" fontId="55" fillId="0" borderId="126" xfId="0" applyFont="1" applyBorder="1" applyAlignment="1">
      <alignment horizontal="center" vertical="center" wrapText="1"/>
    </xf>
    <xf numFmtId="0" fontId="20"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vertical="center"/>
    </xf>
    <xf numFmtId="0" fontId="52" fillId="0" borderId="13" xfId="0" applyFont="1" applyBorder="1" applyAlignment="1">
      <alignment horizontal="center" vertical="center" wrapText="1"/>
    </xf>
    <xf numFmtId="0" fontId="52" fillId="0" borderId="14" xfId="0" applyFont="1" applyBorder="1" applyAlignment="1">
      <alignment horizontal="center" vertical="center" wrapText="1"/>
    </xf>
    <xf numFmtId="0" fontId="20" fillId="0" borderId="0" xfId="0" applyFont="1" applyAlignment="1">
      <alignment wrapText="1"/>
    </xf>
    <xf numFmtId="0" fontId="19" fillId="0" borderId="0" xfId="0" applyFont="1" applyAlignment="1"/>
    <xf numFmtId="0" fontId="52" fillId="0" borderId="15" xfId="0" applyFont="1" applyBorder="1" applyAlignment="1">
      <alignment horizontal="center" vertical="center" wrapText="1"/>
    </xf>
    <xf numFmtId="14" fontId="40" fillId="6" borderId="13" xfId="0" applyNumberFormat="1"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left" wrapText="1"/>
    </xf>
    <xf numFmtId="0" fontId="24" fillId="16"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14" fontId="41" fillId="7" borderId="13" xfId="0" applyNumberFormat="1" applyFont="1" applyFill="1" applyBorder="1" applyAlignment="1">
      <alignment horizontal="left" vertical="center" wrapText="1"/>
    </xf>
    <xf numFmtId="0" fontId="26" fillId="0" borderId="0" xfId="0" applyFont="1" applyFill="1" applyBorder="1" applyAlignment="1">
      <alignment horizontal="left" vertical="top" wrapText="1"/>
    </xf>
    <xf numFmtId="0" fontId="0" fillId="0" borderId="14" xfId="0" applyBorder="1" applyAlignment="1">
      <alignment wrapText="1"/>
    </xf>
    <xf numFmtId="0" fontId="0" fillId="16" borderId="14" xfId="0" applyFill="1" applyBorder="1" applyAlignment="1">
      <alignment wrapText="1"/>
    </xf>
    <xf numFmtId="0" fontId="0" fillId="0" borderId="14" xfId="0" applyBorder="1" applyAlignment="1">
      <alignment vertical="center" wrapText="1"/>
    </xf>
    <xf numFmtId="0" fontId="37" fillId="16" borderId="14" xfId="0" applyFont="1" applyFill="1" applyBorder="1" applyAlignment="1">
      <alignment horizontal="left" vertical="center" wrapText="1"/>
    </xf>
    <xf numFmtId="0" fontId="37" fillId="16" borderId="15" xfId="0" applyFont="1" applyFill="1" applyBorder="1" applyAlignment="1">
      <alignment horizontal="left" vertical="center" wrapText="1"/>
    </xf>
    <xf numFmtId="0" fontId="73" fillId="16" borderId="13" xfId="0" applyFont="1" applyFill="1" applyBorder="1" applyAlignment="1">
      <alignment horizontal="left" vertical="center" wrapText="1"/>
    </xf>
    <xf numFmtId="0" fontId="3" fillId="16" borderId="14" xfId="0" applyFont="1" applyFill="1" applyBorder="1" applyAlignment="1">
      <alignment wrapText="1"/>
    </xf>
    <xf numFmtId="0" fontId="51" fillId="0" borderId="0" xfId="0" applyFont="1" applyAlignment="1">
      <alignment wrapText="1"/>
    </xf>
    <xf numFmtId="0" fontId="0" fillId="0" borderId="0" xfId="0" applyAlignment="1"/>
    <xf numFmtId="0" fontId="52" fillId="0" borderId="64"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38" xfId="0" applyFont="1" applyBorder="1" applyAlignment="1">
      <alignment horizontal="center" vertical="center" wrapText="1"/>
    </xf>
    <xf numFmtId="0" fontId="52" fillId="0" borderId="30" xfId="0" applyFont="1" applyBorder="1" applyAlignment="1">
      <alignment horizontal="center" vertical="center" wrapText="1"/>
    </xf>
    <xf numFmtId="0" fontId="52" fillId="5" borderId="13" xfId="0" applyFont="1" applyFill="1" applyBorder="1" applyAlignment="1">
      <alignment horizontal="center" vertical="center" wrapText="1"/>
    </xf>
    <xf numFmtId="0" fontId="52"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20" fillId="0" borderId="0" xfId="0" applyFont="1" applyAlignment="1"/>
    <xf numFmtId="0" fontId="52" fillId="0" borderId="26" xfId="0" applyFont="1" applyBorder="1" applyAlignment="1">
      <alignment horizontal="center" vertical="center" wrapText="1"/>
    </xf>
    <xf numFmtId="0" fontId="0" fillId="0" borderId="27" xfId="0" applyBorder="1" applyAlignment="1">
      <alignment horizontal="center" wrapText="1"/>
    </xf>
    <xf numFmtId="0" fontId="52" fillId="0" borderId="86" xfId="0" applyFont="1" applyBorder="1" applyAlignment="1">
      <alignment horizontal="center" vertical="center" wrapText="1"/>
    </xf>
    <xf numFmtId="0" fontId="0" fillId="0" borderId="106" xfId="0" applyBorder="1" applyAlignment="1">
      <alignment wrapText="1"/>
    </xf>
    <xf numFmtId="0" fontId="52" fillId="0" borderId="9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84" xfId="0" applyFont="1" applyBorder="1" applyAlignment="1">
      <alignment horizontal="center" vertical="center" wrapText="1"/>
    </xf>
    <xf numFmtId="0" fontId="0" fillId="0" borderId="100" xfId="0" applyBorder="1" applyAlignment="1">
      <alignment wrapText="1"/>
    </xf>
    <xf numFmtId="0" fontId="52" fillId="0" borderId="85" xfId="0" applyFont="1" applyBorder="1" applyAlignment="1">
      <alignment horizontal="center" vertical="center" wrapText="1"/>
    </xf>
    <xf numFmtId="0" fontId="0" fillId="0" borderId="105" xfId="0" applyBorder="1" applyAlignment="1">
      <alignment wrapText="1"/>
    </xf>
    <xf numFmtId="0" fontId="0" fillId="0" borderId="30" xfId="0" applyBorder="1" applyAlignment="1">
      <alignment horizontal="center" vertical="center" wrapText="1"/>
    </xf>
    <xf numFmtId="0" fontId="34" fillId="6" borderId="46" xfId="0" applyFont="1" applyFill="1" applyBorder="1" applyAlignment="1">
      <alignment horizontal="right" vertical="center" wrapText="1"/>
    </xf>
    <xf numFmtId="0" fontId="0" fillId="6" borderId="23" xfId="0" applyFill="1" applyBorder="1" applyAlignment="1">
      <alignment horizontal="right"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14" xfId="0" applyBorder="1" applyAlignment="1"/>
    <xf numFmtId="0" fontId="0" fillId="0" borderId="15" xfId="0" applyBorder="1" applyAlignment="1"/>
    <xf numFmtId="0" fontId="39" fillId="0" borderId="14" xfId="0" applyFont="1" applyBorder="1" applyAlignment="1">
      <alignment horizontal="center" vertical="center" wrapText="1"/>
    </xf>
    <xf numFmtId="0" fontId="0" fillId="0" borderId="15" xfId="0" applyBorder="1" applyAlignment="1">
      <alignment horizontal="center" vertical="center"/>
    </xf>
    <xf numFmtId="0" fontId="21" fillId="0" borderId="15" xfId="0" applyFont="1" applyBorder="1" applyAlignment="1">
      <alignment horizontal="center" vertical="center" wrapText="1"/>
    </xf>
    <xf numFmtId="0" fontId="0" fillId="0" borderId="15" xfId="0" applyBorder="1" applyAlignment="1">
      <alignment wrapText="1"/>
    </xf>
    <xf numFmtId="0" fontId="41" fillId="7" borderId="13" xfId="0" applyFont="1" applyFill="1" applyBorder="1" applyAlignment="1">
      <alignment wrapText="1"/>
    </xf>
    <xf numFmtId="0" fontId="0" fillId="0" borderId="15" xfId="0" applyBorder="1" applyAlignment="1">
      <alignment vertical="center" wrapText="1"/>
    </xf>
    <xf numFmtId="0" fontId="20" fillId="0" borderId="48" xfId="0" applyFont="1" applyBorder="1" applyAlignment="1">
      <alignment horizontal="left" vertical="top" wrapText="1"/>
    </xf>
    <xf numFmtId="0" fontId="18" fillId="0" borderId="48" xfId="0" applyFont="1" applyBorder="1" applyAlignment="1">
      <alignment horizontal="left" vertical="top"/>
    </xf>
    <xf numFmtId="0" fontId="21" fillId="0" borderId="90" xfId="0" applyFont="1" applyBorder="1" applyAlignment="1">
      <alignment horizontal="center" vertical="center" wrapText="1"/>
    </xf>
    <xf numFmtId="0" fontId="21" fillId="0" borderId="52"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6"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40" xfId="0" applyFont="1" applyBorder="1" applyAlignment="1">
      <alignment horizontal="center" vertical="center" wrapText="1"/>
    </xf>
    <xf numFmtId="0" fontId="0" fillId="0" borderId="0" xfId="0" applyAlignment="1">
      <alignment wrapText="1"/>
    </xf>
    <xf numFmtId="0" fontId="29" fillId="0" borderId="0" xfId="0" applyFont="1" applyAlignment="1">
      <alignment wrapText="1"/>
    </xf>
    <xf numFmtId="0" fontId="8" fillId="0" borderId="0" xfId="0" applyFont="1" applyAlignment="1"/>
    <xf numFmtId="0" fontId="25" fillId="0" borderId="13" xfId="0" applyFont="1" applyFill="1" applyBorder="1" applyAlignment="1">
      <alignment horizontal="center" vertical="center" wrapText="1"/>
    </xf>
    <xf numFmtId="0" fontId="45" fillId="0" borderId="15" xfId="0" applyFont="1" applyBorder="1" applyAlignment="1">
      <alignment horizontal="center" vertical="center"/>
    </xf>
    <xf numFmtId="0" fontId="26" fillId="0" borderId="13" xfId="0" applyFont="1" applyFill="1" applyBorder="1" applyAlignment="1">
      <alignment wrapText="1"/>
    </xf>
    <xf numFmtId="0" fontId="106" fillId="28" borderId="153" xfId="0" applyFont="1" applyFill="1" applyBorder="1" applyAlignment="1" applyProtection="1">
      <alignment horizontal="center" vertical="center" wrapText="1" readingOrder="1"/>
      <protection locked="0"/>
    </xf>
    <xf numFmtId="0" fontId="8" fillId="29" borderId="164" xfId="0" applyFont="1" applyFill="1" applyBorder="1" applyAlignment="1">
      <alignment horizontal="center" vertical="center" wrapText="1" readingOrder="1"/>
    </xf>
    <xf numFmtId="0" fontId="106" fillId="28" borderId="174" xfId="0" applyFont="1" applyFill="1" applyBorder="1" applyAlignment="1" applyProtection="1">
      <alignment horizontal="center" vertical="center" wrapText="1" readingOrder="1"/>
      <protection locked="0"/>
    </xf>
    <xf numFmtId="0" fontId="0" fillId="0" borderId="151" xfId="0" applyBorder="1" applyAlignment="1">
      <alignment horizontal="center" vertical="center" wrapText="1" readingOrder="1"/>
    </xf>
    <xf numFmtId="0" fontId="0" fillId="0" borderId="164" xfId="0" applyBorder="1" applyAlignment="1">
      <alignment horizontal="center" vertical="center" wrapText="1" readingOrder="1"/>
    </xf>
    <xf numFmtId="0" fontId="106" fillId="28" borderId="151" xfId="0" applyFont="1" applyFill="1" applyBorder="1" applyAlignment="1" applyProtection="1">
      <alignment horizontal="center" wrapText="1" readingOrder="1"/>
      <protection locked="0"/>
    </xf>
    <xf numFmtId="0" fontId="8" fillId="29" borderId="0" xfId="0" applyFont="1" applyFill="1"/>
    <xf numFmtId="0" fontId="8" fillId="29" borderId="152" xfId="0" applyFont="1" applyFill="1" applyBorder="1" applyAlignment="1" applyProtection="1">
      <alignment vertical="top" wrapText="1"/>
      <protection locked="0"/>
    </xf>
    <xf numFmtId="0" fontId="106" fillId="28" borderId="151" xfId="0" applyFont="1" applyFill="1" applyBorder="1" applyAlignment="1" applyProtection="1">
      <alignment horizontal="center" vertical="center" wrapText="1" readingOrder="1"/>
      <protection locked="0"/>
    </xf>
    <xf numFmtId="0" fontId="8" fillId="29" borderId="151" xfId="0" applyFont="1" applyFill="1" applyBorder="1" applyAlignment="1">
      <alignment horizontal="center" vertical="center" wrapText="1" readingOrder="1"/>
    </xf>
    <xf numFmtId="0" fontId="106" fillId="28" borderId="158" xfId="0" applyFont="1" applyFill="1" applyBorder="1" applyAlignment="1" applyProtection="1">
      <alignment horizontal="center" vertical="top" wrapText="1" readingOrder="1"/>
      <protection locked="0"/>
    </xf>
    <xf numFmtId="0" fontId="8" fillId="29" borderId="162" xfId="0" applyFont="1" applyFill="1" applyBorder="1" applyAlignment="1" applyProtection="1">
      <alignment vertical="top" wrapText="1"/>
      <protection locked="0"/>
    </xf>
    <xf numFmtId="0" fontId="8" fillId="29" borderId="159" xfId="0" applyFont="1" applyFill="1" applyBorder="1" applyAlignment="1" applyProtection="1">
      <alignment vertical="top" wrapText="1"/>
      <protection locked="0"/>
    </xf>
    <xf numFmtId="0" fontId="8" fillId="29" borderId="0" xfId="0" applyFont="1" applyFill="1" applyBorder="1" applyAlignment="1" applyProtection="1">
      <alignment vertical="top" wrapText="1"/>
      <protection locked="0"/>
    </xf>
    <xf numFmtId="0" fontId="106" fillId="28" borderId="163" xfId="0" applyFont="1" applyFill="1" applyBorder="1" applyAlignment="1" applyProtection="1">
      <alignment horizontal="center" vertical="center" wrapText="1" readingOrder="1"/>
      <protection locked="0"/>
    </xf>
    <xf numFmtId="0" fontId="106" fillId="28" borderId="148" xfId="0" applyFont="1" applyFill="1" applyBorder="1" applyAlignment="1" applyProtection="1">
      <alignment horizontal="center" vertical="center" wrapText="1" readingOrder="1"/>
      <protection locked="0"/>
    </xf>
    <xf numFmtId="0" fontId="8" fillId="29" borderId="149" xfId="0" applyFont="1" applyFill="1" applyBorder="1" applyAlignment="1" applyProtection="1">
      <alignment vertical="top" wrapText="1"/>
      <protection locked="0"/>
    </xf>
    <xf numFmtId="0" fontId="8" fillId="29" borderId="150" xfId="0" applyFont="1" applyFill="1" applyBorder="1" applyAlignment="1" applyProtection="1">
      <alignment vertical="top" wrapText="1"/>
      <protection locked="0"/>
    </xf>
    <xf numFmtId="0" fontId="8" fillId="29" borderId="151" xfId="0" applyFont="1" applyFill="1" applyBorder="1" applyAlignment="1">
      <alignment horizontal="center" wrapText="1" readingOrder="1"/>
    </xf>
    <xf numFmtId="0" fontId="8" fillId="29" borderId="164" xfId="0" applyFont="1" applyFill="1" applyBorder="1" applyAlignment="1">
      <alignment horizontal="center" wrapText="1" readingOrder="1"/>
    </xf>
    <xf numFmtId="0" fontId="106" fillId="32" borderId="148" xfId="0" applyFont="1" applyFill="1" applyBorder="1" applyAlignment="1" applyProtection="1">
      <alignment horizontal="center" vertical="center" wrapText="1" readingOrder="1"/>
      <protection locked="0"/>
    </xf>
    <xf numFmtId="0" fontId="8" fillId="33" borderId="149" xfId="0" applyFont="1" applyFill="1" applyBorder="1" applyAlignment="1" applyProtection="1">
      <alignment vertical="top" wrapText="1"/>
      <protection locked="0"/>
    </xf>
    <xf numFmtId="0" fontId="8" fillId="33" borderId="150" xfId="0" applyFont="1" applyFill="1" applyBorder="1" applyAlignment="1" applyProtection="1">
      <alignment vertical="top" wrapText="1"/>
      <protection locked="0"/>
    </xf>
    <xf numFmtId="0" fontId="8" fillId="29" borderId="154" xfId="0" applyFont="1" applyFill="1" applyBorder="1" applyAlignment="1" applyProtection="1">
      <alignment vertical="top" wrapText="1"/>
      <protection locked="0"/>
    </xf>
    <xf numFmtId="0" fontId="106" fillId="28" borderId="150" xfId="0" applyFont="1" applyFill="1" applyBorder="1" applyAlignment="1" applyProtection="1">
      <alignment horizontal="center" vertical="center" wrapText="1" readingOrder="1"/>
      <protection locked="0"/>
    </xf>
    <xf numFmtId="0" fontId="106" fillId="28" borderId="153" xfId="0" applyFont="1" applyFill="1" applyBorder="1" applyAlignment="1" applyProtection="1">
      <alignment horizontal="center" wrapText="1" readingOrder="1"/>
      <protection locked="0"/>
    </xf>
    <xf numFmtId="0" fontId="106" fillId="28" borderId="155" xfId="0" applyFont="1" applyFill="1" applyBorder="1" applyAlignment="1" applyProtection="1">
      <alignment horizontal="center" vertical="center" wrapText="1" readingOrder="1"/>
      <protection locked="0"/>
    </xf>
    <xf numFmtId="0" fontId="106" fillId="28" borderId="34" xfId="0" applyFont="1" applyFill="1" applyBorder="1" applyAlignment="1" applyProtection="1">
      <alignment horizontal="center" vertical="center" wrapText="1" readingOrder="1"/>
      <protection locked="0"/>
    </xf>
    <xf numFmtId="0" fontId="8" fillId="29" borderId="34" xfId="0" applyFont="1" applyFill="1" applyBorder="1" applyAlignment="1" applyProtection="1">
      <alignment vertical="top" wrapText="1"/>
      <protection locked="0"/>
    </xf>
    <xf numFmtId="0" fontId="106" fillId="28" borderId="148" xfId="0" applyFont="1" applyFill="1" applyBorder="1" applyAlignment="1" applyProtection="1">
      <alignment horizontal="center" wrapText="1" readingOrder="1"/>
      <protection locked="0"/>
    </xf>
    <xf numFmtId="0" fontId="106" fillId="28" borderId="155" xfId="0" applyFont="1" applyFill="1" applyBorder="1" applyAlignment="1" applyProtection="1">
      <alignment horizontal="center" vertical="top" wrapText="1" readingOrder="1"/>
      <protection locked="0"/>
    </xf>
    <xf numFmtId="0" fontId="8" fillId="29" borderId="156" xfId="0" applyFont="1" applyFill="1" applyBorder="1" applyAlignment="1" applyProtection="1">
      <alignment vertical="top" wrapText="1"/>
      <protection locked="0"/>
    </xf>
    <xf numFmtId="0" fontId="106" fillId="28" borderId="153" xfId="0" applyFont="1" applyFill="1" applyBorder="1" applyAlignment="1" applyProtection="1">
      <alignment horizontal="center" vertical="center" textRotation="180" wrapText="1" readingOrder="1"/>
      <protection locked="0"/>
    </xf>
    <xf numFmtId="0" fontId="8" fillId="29" borderId="151" xfId="0" applyFont="1" applyFill="1" applyBorder="1" applyAlignment="1">
      <alignment horizontal="center" textRotation="180" wrapText="1" readingOrder="1"/>
    </xf>
    <xf numFmtId="0" fontId="8" fillId="29" borderId="164" xfId="0" applyFont="1" applyFill="1" applyBorder="1" applyAlignment="1">
      <alignment horizontal="center" textRotation="180" wrapText="1" readingOrder="1"/>
    </xf>
    <xf numFmtId="0" fontId="8" fillId="29" borderId="0" xfId="0" applyFont="1" applyFill="1" applyBorder="1"/>
    <xf numFmtId="0" fontId="8" fillId="29" borderId="24" xfId="0" applyFont="1" applyFill="1" applyBorder="1" applyAlignment="1" applyProtection="1">
      <alignment vertical="top" wrapText="1"/>
      <protection locked="0"/>
    </xf>
    <xf numFmtId="0" fontId="106" fillId="28" borderId="151" xfId="0" applyFont="1" applyFill="1" applyBorder="1" applyAlignment="1" applyProtection="1">
      <alignment horizontal="center" vertical="top" wrapText="1" readingOrder="1"/>
      <protection locked="0"/>
    </xf>
    <xf numFmtId="0" fontId="106" fillId="28" borderId="35" xfId="0" applyFont="1" applyFill="1" applyBorder="1" applyAlignment="1" applyProtection="1">
      <alignment horizontal="center" vertical="center" wrapText="1" readingOrder="1"/>
      <protection locked="0"/>
    </xf>
    <xf numFmtId="0" fontId="8" fillId="29" borderId="103" xfId="0" applyFont="1" applyFill="1" applyBorder="1" applyAlignment="1">
      <alignment horizontal="center" vertical="center" wrapText="1" readingOrder="1"/>
    </xf>
    <xf numFmtId="0" fontId="8" fillId="29" borderId="36" xfId="0" applyFont="1" applyFill="1" applyBorder="1" applyAlignment="1">
      <alignment horizontal="center" vertical="center" wrapText="1" readingOrder="1"/>
    </xf>
    <xf numFmtId="0" fontId="106" fillId="28" borderId="157" xfId="0" applyFont="1" applyFill="1" applyBorder="1" applyAlignment="1" applyProtection="1">
      <alignment horizontal="center" vertical="center" wrapText="1" readingOrder="1"/>
      <protection locked="0"/>
    </xf>
    <xf numFmtId="0" fontId="8" fillId="29" borderId="161" xfId="0" applyFont="1" applyFill="1" applyBorder="1" applyAlignment="1">
      <alignment horizontal="center" vertical="center" wrapText="1" readingOrder="1"/>
    </xf>
    <xf numFmtId="0" fontId="8" fillId="29" borderId="166" xfId="0" applyFont="1" applyFill="1" applyBorder="1" applyAlignment="1">
      <alignment horizontal="center" vertical="center" wrapText="1" readingOrder="1"/>
    </xf>
    <xf numFmtId="0" fontId="8" fillId="29" borderId="156" xfId="0" applyFont="1" applyFill="1" applyBorder="1" applyAlignment="1" applyProtection="1">
      <alignment vertical="center" wrapText="1"/>
      <protection locked="0"/>
    </xf>
    <xf numFmtId="0" fontId="8" fillId="29" borderId="158" xfId="0" applyFont="1" applyFill="1" applyBorder="1" applyAlignment="1">
      <alignment vertical="center" wrapText="1"/>
    </xf>
    <xf numFmtId="0" fontId="8" fillId="29" borderId="159" xfId="0" applyFont="1" applyFill="1" applyBorder="1" applyAlignment="1">
      <alignment vertical="center" wrapText="1"/>
    </xf>
    <xf numFmtId="0" fontId="106" fillId="28" borderId="160" xfId="0" applyFont="1" applyFill="1" applyBorder="1" applyAlignment="1" applyProtection="1">
      <alignment horizontal="center" vertical="center" wrapText="1" readingOrder="1"/>
      <protection locked="0"/>
    </xf>
    <xf numFmtId="0" fontId="102" fillId="0" borderId="0" xfId="0" applyFont="1" applyAlignment="1" applyProtection="1">
      <alignment vertical="top" wrapText="1" readingOrder="1"/>
      <protection locked="0"/>
    </xf>
    <xf numFmtId="0" fontId="0" fillId="0" borderId="0" xfId="0"/>
    <xf numFmtId="0" fontId="107" fillId="0" borderId="0" xfId="0" applyFont="1" applyAlignment="1" applyProtection="1">
      <alignment vertical="top" wrapText="1" readingOrder="1"/>
      <protection locked="0"/>
    </xf>
    <xf numFmtId="0" fontId="108" fillId="30" borderId="167" xfId="0" applyFont="1" applyFill="1" applyBorder="1" applyAlignment="1" applyProtection="1">
      <alignment horizontal="center" vertical="center" wrapText="1" readingOrder="1"/>
      <protection locked="0"/>
    </xf>
    <xf numFmtId="0" fontId="109" fillId="31" borderId="14" xfId="0" applyFont="1" applyFill="1" applyBorder="1" applyAlignment="1" applyProtection="1">
      <alignment vertical="top" wrapText="1"/>
      <protection locked="0"/>
    </xf>
    <xf numFmtId="0" fontId="109" fillId="31" borderId="15" xfId="0" applyFont="1" applyFill="1" applyBorder="1" applyAlignment="1" applyProtection="1">
      <alignment vertical="top" wrapText="1"/>
      <protection locked="0"/>
    </xf>
    <xf numFmtId="0" fontId="106" fillId="30" borderId="150" xfId="0" applyFont="1" applyFill="1" applyBorder="1" applyAlignment="1" applyProtection="1">
      <alignment horizontal="center" vertical="center" wrapText="1" readingOrder="1"/>
      <protection locked="0"/>
    </xf>
    <xf numFmtId="0" fontId="8" fillId="31" borderId="149" xfId="0" applyFont="1" applyFill="1" applyBorder="1" applyAlignment="1" applyProtection="1">
      <alignment vertical="top" wrapText="1"/>
      <protection locked="0"/>
    </xf>
    <xf numFmtId="0" fontId="8" fillId="31" borderId="154" xfId="0" applyFont="1" applyFill="1" applyBorder="1" applyAlignment="1" applyProtection="1">
      <alignment vertical="top" wrapText="1"/>
      <protection locked="0"/>
    </xf>
    <xf numFmtId="0" fontId="8" fillId="31" borderId="150" xfId="0" applyFont="1" applyFill="1" applyBorder="1" applyAlignment="1" applyProtection="1">
      <alignment vertical="top" wrapText="1"/>
      <protection locked="0"/>
    </xf>
    <xf numFmtId="0" fontId="100" fillId="0" borderId="0" xfId="0" applyFont="1" applyAlignment="1" applyProtection="1">
      <alignment horizontal="center" vertical="top" wrapText="1" readingOrder="1"/>
      <protection locked="0"/>
    </xf>
    <xf numFmtId="0" fontId="101" fillId="0" borderId="0" xfId="0" applyFont="1" applyAlignment="1" applyProtection="1">
      <alignment wrapText="1" readingOrder="1"/>
      <protection locked="0"/>
    </xf>
    <xf numFmtId="0" fontId="107" fillId="0" borderId="0" xfId="0" applyFont="1" applyAlignment="1" applyProtection="1">
      <alignment horizontal="left" vertical="top" wrapText="1" readingOrder="1"/>
      <protection locked="0"/>
    </xf>
    <xf numFmtId="0" fontId="103" fillId="24" borderId="151" xfId="0" applyFont="1" applyFill="1" applyBorder="1" applyAlignment="1" applyProtection="1">
      <alignment horizontal="center" vertical="top" wrapText="1" readingOrder="1"/>
      <protection locked="0"/>
    </xf>
    <xf numFmtId="0" fontId="0" fillId="24" borderId="151" xfId="0" applyFill="1" applyBorder="1" applyAlignment="1" applyProtection="1">
      <alignment vertical="top" wrapText="1"/>
      <protection locked="0"/>
    </xf>
    <xf numFmtId="0" fontId="104" fillId="27" borderId="151" xfId="0" applyFont="1" applyFill="1" applyBorder="1" applyAlignment="1" applyProtection="1">
      <alignment horizontal="center" vertical="top" wrapText="1" readingOrder="1"/>
      <protection locked="0"/>
    </xf>
    <xf numFmtId="0" fontId="0" fillId="27" borderId="151" xfId="0" applyFill="1" applyBorder="1" applyAlignment="1" applyProtection="1">
      <alignment vertical="top" wrapText="1"/>
      <protection locked="0"/>
    </xf>
    <xf numFmtId="0" fontId="104" fillId="24" borderId="151" xfId="0" applyFont="1" applyFill="1" applyBorder="1" applyAlignment="1" applyProtection="1">
      <alignment horizontal="center" vertical="top" wrapText="1" readingOrder="1"/>
      <protection locked="0"/>
    </xf>
    <xf numFmtId="0" fontId="104" fillId="24" borderId="164" xfId="0" applyFont="1" applyFill="1" applyBorder="1" applyAlignment="1" applyProtection="1">
      <alignment horizontal="center" vertical="top" wrapText="1" readingOrder="1"/>
      <protection locked="0"/>
    </xf>
    <xf numFmtId="0" fontId="0" fillId="24" borderId="164" xfId="0" applyFill="1" applyBorder="1" applyAlignment="1" applyProtection="1">
      <alignment vertical="top" wrapText="1"/>
      <protection locked="0"/>
    </xf>
    <xf numFmtId="0" fontId="105" fillId="24" borderId="178" xfId="0" applyFont="1" applyFill="1" applyBorder="1" applyAlignment="1" applyProtection="1">
      <alignment vertical="top" wrapText="1" readingOrder="1"/>
      <protection locked="0"/>
    </xf>
    <xf numFmtId="0" fontId="0" fillId="24" borderId="176" xfId="0" applyFill="1" applyBorder="1" applyAlignment="1" applyProtection="1">
      <alignment vertical="top" wrapText="1"/>
      <protection locked="0"/>
    </xf>
    <xf numFmtId="0" fontId="107" fillId="24" borderId="153" xfId="0" applyFont="1" applyFill="1" applyBorder="1" applyAlignment="1" applyProtection="1">
      <alignment horizontal="center" wrapText="1" readingOrder="1"/>
      <protection locked="0"/>
    </xf>
    <xf numFmtId="0" fontId="103" fillId="24" borderId="153" xfId="0" applyFont="1" applyFill="1" applyBorder="1" applyAlignment="1" applyProtection="1">
      <alignment horizontal="center" wrapText="1" readingOrder="1"/>
      <protection locked="0"/>
    </xf>
    <xf numFmtId="0" fontId="0" fillId="0" borderId="156" xfId="0" applyBorder="1" applyAlignment="1" applyProtection="1">
      <alignment vertical="top" wrapText="1"/>
      <protection locked="0"/>
    </xf>
    <xf numFmtId="0" fontId="105" fillId="24" borderId="182" xfId="0" applyFont="1" applyFill="1" applyBorder="1" applyAlignment="1" applyProtection="1">
      <alignment vertical="top" wrapText="1" readingOrder="1"/>
      <protection locked="0"/>
    </xf>
    <xf numFmtId="0" fontId="0" fillId="0" borderId="183" xfId="0" applyBorder="1" applyAlignment="1" applyProtection="1">
      <alignment vertical="top" wrapText="1"/>
      <protection locked="0"/>
    </xf>
    <xf numFmtId="0" fontId="107" fillId="27" borderId="153" xfId="0" applyFont="1" applyFill="1" applyBorder="1" applyAlignment="1" applyProtection="1">
      <alignment horizontal="center" wrapText="1" readingOrder="1"/>
      <protection locked="0"/>
    </xf>
    <xf numFmtId="0" fontId="107" fillId="24" borderId="151" xfId="0" applyFont="1" applyFill="1" applyBorder="1" applyAlignment="1" applyProtection="1">
      <alignment horizontal="center" wrapText="1" readingOrder="1"/>
      <protection locked="0"/>
    </xf>
    <xf numFmtId="0" fontId="105" fillId="24" borderId="184" xfId="0" applyFont="1" applyFill="1" applyBorder="1" applyAlignment="1" applyProtection="1">
      <alignment vertical="top" wrapText="1" readingOrder="1"/>
      <protection locked="0"/>
    </xf>
    <xf numFmtId="0" fontId="0" fillId="24" borderId="185" xfId="0" applyFill="1" applyBorder="1" applyAlignment="1" applyProtection="1">
      <alignment vertical="top" wrapText="1"/>
      <protection locked="0"/>
    </xf>
    <xf numFmtId="0" fontId="104" fillId="24" borderId="151" xfId="0" applyFont="1" applyFill="1" applyBorder="1" applyAlignment="1" applyProtection="1">
      <alignment horizontal="center" wrapText="1" readingOrder="1"/>
      <protection locked="0"/>
    </xf>
    <xf numFmtId="0" fontId="103" fillId="24" borderId="148" xfId="0" applyFont="1" applyFill="1" applyBorder="1" applyAlignment="1" applyProtection="1">
      <alignment horizontal="center" vertical="top" wrapText="1" readingOrder="1"/>
      <protection locked="0"/>
    </xf>
    <xf numFmtId="0" fontId="0" fillId="0" borderId="149" xfId="0" applyBorder="1" applyAlignment="1" applyProtection="1">
      <alignment vertical="top" wrapText="1"/>
      <protection locked="0"/>
    </xf>
    <xf numFmtId="0" fontId="0" fillId="0" borderId="150" xfId="0" applyBorder="1" applyAlignment="1" applyProtection="1">
      <alignment vertical="top" wrapText="1"/>
      <protection locked="0"/>
    </xf>
    <xf numFmtId="0" fontId="103" fillId="24" borderId="175" xfId="0" applyFont="1" applyFill="1" applyBorder="1" applyAlignment="1" applyProtection="1">
      <alignment horizontal="center" wrapText="1" readingOrder="1"/>
      <protection locked="0"/>
    </xf>
    <xf numFmtId="0" fontId="0" fillId="0" borderId="177" xfId="0" applyBorder="1" applyAlignment="1" applyProtection="1">
      <alignment vertical="top" wrapText="1"/>
      <protection locked="0"/>
    </xf>
    <xf numFmtId="0" fontId="103" fillId="24" borderId="180" xfId="0" applyFont="1" applyFill="1" applyBorder="1" applyAlignment="1" applyProtection="1">
      <alignment horizontal="center" vertical="top" wrapText="1" readingOrder="1"/>
      <protection locked="0"/>
    </xf>
    <xf numFmtId="0" fontId="0" fillId="0" borderId="181" xfId="0" applyBorder="1" applyAlignment="1" applyProtection="1">
      <alignment vertical="top" wrapText="1"/>
      <protection locked="0"/>
    </xf>
    <xf numFmtId="0" fontId="103" fillId="24" borderId="182" xfId="0" applyFont="1" applyFill="1" applyBorder="1" applyAlignment="1" applyProtection="1">
      <alignment horizontal="center" vertical="top" wrapText="1" readingOrder="1"/>
      <protection locked="0"/>
    </xf>
    <xf numFmtId="0" fontId="105" fillId="24" borderId="179" xfId="0" applyFont="1" applyFill="1" applyBorder="1" applyAlignment="1" applyProtection="1">
      <alignment vertical="top" wrapText="1" readingOrder="1"/>
      <protection locked="0"/>
    </xf>
    <xf numFmtId="0" fontId="104" fillId="24" borderId="152" xfId="0" applyFont="1" applyFill="1" applyBorder="1" applyAlignment="1" applyProtection="1">
      <alignment horizontal="center" vertical="top" wrapText="1" readingOrder="1"/>
      <protection locked="0"/>
    </xf>
    <xf numFmtId="0" fontId="0" fillId="24" borderId="152" xfId="0" applyFill="1" applyBorder="1" applyAlignment="1" applyProtection="1">
      <alignment vertical="top" wrapText="1"/>
      <protection locked="0"/>
    </xf>
    <xf numFmtId="0" fontId="103" fillId="24" borderId="160" xfId="0" applyFont="1" applyFill="1" applyBorder="1" applyAlignment="1" applyProtection="1">
      <alignment horizontal="center" vertical="top" wrapText="1" readingOrder="1"/>
      <protection locked="0"/>
    </xf>
    <xf numFmtId="0" fontId="0" fillId="24" borderId="160" xfId="0" applyFill="1" applyBorder="1" applyAlignment="1" applyProtection="1">
      <alignment vertical="top" wrapText="1"/>
      <protection locked="0"/>
    </xf>
    <xf numFmtId="0" fontId="104" fillId="24" borderId="160" xfId="0" applyFont="1" applyFill="1" applyBorder="1" applyAlignment="1" applyProtection="1">
      <alignment horizontal="center" vertical="top" wrapText="1" readingOrder="1"/>
      <protection locked="0"/>
    </xf>
    <xf numFmtId="0" fontId="104" fillId="24" borderId="0" xfId="0" applyFont="1" applyFill="1" applyAlignment="1" applyProtection="1">
      <alignment horizontal="center" vertical="top" wrapText="1" readingOrder="1"/>
      <protection locked="0"/>
    </xf>
    <xf numFmtId="0" fontId="0" fillId="24" borderId="0" xfId="0" applyFill="1" applyAlignment="1" applyProtection="1">
      <alignment vertical="top" wrapText="1"/>
      <protection locked="0"/>
    </xf>
    <xf numFmtId="0" fontId="105" fillId="24" borderId="151" xfId="0" applyFont="1" applyFill="1" applyBorder="1" applyAlignment="1" applyProtection="1">
      <alignment vertical="top" wrapText="1" readingOrder="1"/>
      <protection locked="0"/>
    </xf>
    <xf numFmtId="0" fontId="105" fillId="24" borderId="175" xfId="0" applyFont="1" applyFill="1" applyBorder="1" applyAlignment="1" applyProtection="1">
      <alignment vertical="top" wrapText="1" readingOrder="1"/>
      <protection locked="0"/>
    </xf>
    <xf numFmtId="0" fontId="103" fillId="24" borderId="151" xfId="0" applyFont="1" applyFill="1" applyBorder="1" applyAlignment="1" applyProtection="1">
      <alignment horizontal="center" wrapText="1" readingOrder="1"/>
      <protection locked="0"/>
    </xf>
    <xf numFmtId="0" fontId="103" fillId="24" borderId="152" xfId="0" applyFont="1" applyFill="1" applyBorder="1" applyAlignment="1" applyProtection="1">
      <alignment horizontal="center" wrapText="1" readingOrder="1"/>
      <protection locked="0"/>
    </xf>
    <xf numFmtId="0" fontId="103" fillId="24" borderId="151" xfId="0" applyFont="1" applyFill="1" applyBorder="1" applyAlignment="1" applyProtection="1">
      <alignment horizontal="center" vertical="center" wrapText="1" readingOrder="1"/>
      <protection locked="0"/>
    </xf>
    <xf numFmtId="0" fontId="103" fillId="24" borderId="153" xfId="0" applyFont="1" applyFill="1" applyBorder="1" applyAlignment="1" applyProtection="1">
      <alignment horizontal="center" vertical="center" wrapText="1" readingOrder="1"/>
      <protection locked="0"/>
    </xf>
    <xf numFmtId="0" fontId="104" fillId="24" borderId="152" xfId="0" applyFont="1" applyFill="1" applyBorder="1" applyAlignment="1" applyProtection="1">
      <alignment horizontal="center" wrapText="1" readingOrder="1"/>
      <protection locked="0"/>
    </xf>
    <xf numFmtId="0" fontId="104" fillId="24" borderId="0" xfId="0" applyFont="1" applyFill="1" applyAlignment="1" applyProtection="1">
      <alignment horizontal="center" wrapText="1" readingOrder="1"/>
      <protection locked="0"/>
    </xf>
    <xf numFmtId="0" fontId="103" fillId="24" borderId="160" xfId="0" applyFont="1" applyFill="1" applyBorder="1" applyAlignment="1" applyProtection="1">
      <alignment horizontal="center" wrapText="1" readingOrder="1"/>
      <protection locked="0"/>
    </xf>
    <xf numFmtId="0" fontId="104" fillId="24" borderId="160" xfId="0" applyFont="1" applyFill="1" applyBorder="1" applyAlignment="1" applyProtection="1">
      <alignment horizontal="center" wrapText="1" readingOrder="1"/>
      <protection locked="0"/>
    </xf>
    <xf numFmtId="0" fontId="105" fillId="24" borderId="156" xfId="0" applyFont="1" applyFill="1" applyBorder="1" applyAlignment="1" applyProtection="1">
      <alignment vertical="top" wrapText="1" readingOrder="1"/>
      <protection locked="0"/>
    </xf>
    <xf numFmtId="0" fontId="0" fillId="0" borderId="154" xfId="0" applyBorder="1" applyAlignment="1" applyProtection="1">
      <alignment vertical="top" wrapText="1"/>
      <protection locked="0"/>
    </xf>
    <xf numFmtId="0" fontId="0" fillId="24" borderId="158" xfId="0" applyFill="1" applyBorder="1" applyAlignment="1" applyProtection="1">
      <alignment vertical="top" wrapText="1"/>
      <protection locked="0"/>
    </xf>
    <xf numFmtId="0" fontId="0" fillId="0" borderId="162" xfId="0" applyBorder="1" applyAlignment="1" applyProtection="1">
      <alignment vertical="top" wrapText="1"/>
      <protection locked="0"/>
    </xf>
    <xf numFmtId="0" fontId="0" fillId="0" borderId="159" xfId="0" applyBorder="1" applyAlignment="1" applyProtection="1">
      <alignment vertical="top" wrapText="1"/>
      <protection locked="0"/>
    </xf>
    <xf numFmtId="0" fontId="104" fillId="24" borderId="153" xfId="0" applyFont="1" applyFill="1" applyBorder="1" applyAlignment="1" applyProtection="1">
      <alignment horizontal="center" vertical="center" wrapText="1" readingOrder="1"/>
      <protection locked="0"/>
    </xf>
    <xf numFmtId="0" fontId="104" fillId="27" borderId="153" xfId="0" applyFont="1" applyFill="1" applyBorder="1" applyAlignment="1" applyProtection="1">
      <alignment horizontal="center" vertical="center" wrapText="1" readingOrder="1"/>
      <protection locked="0"/>
    </xf>
    <xf numFmtId="0" fontId="0" fillId="10" borderId="154" xfId="0" applyFill="1" applyBorder="1" applyAlignment="1" applyProtection="1">
      <alignment vertical="top" wrapText="1"/>
      <protection locked="0"/>
    </xf>
    <xf numFmtId="0" fontId="0" fillId="10" borderId="156" xfId="0" applyFill="1" applyBorder="1" applyAlignment="1" applyProtection="1">
      <alignment vertical="top" wrapText="1"/>
      <protection locked="0"/>
    </xf>
    <xf numFmtId="0" fontId="0" fillId="27" borderId="160" xfId="0" applyFill="1" applyBorder="1" applyAlignment="1" applyProtection="1">
      <alignment vertical="top" wrapText="1"/>
      <protection locked="0"/>
    </xf>
    <xf numFmtId="0" fontId="0" fillId="10" borderId="0" xfId="0" applyFill="1"/>
    <xf numFmtId="0" fontId="0" fillId="10" borderId="152" xfId="0" applyFill="1" applyBorder="1" applyAlignment="1" applyProtection="1">
      <alignment vertical="top" wrapText="1"/>
      <protection locked="0"/>
    </xf>
    <xf numFmtId="0" fontId="0" fillId="0" borderId="152" xfId="0" applyBorder="1" applyAlignment="1" applyProtection="1">
      <alignment vertical="top" wrapText="1"/>
      <protection locked="0"/>
    </xf>
    <xf numFmtId="0" fontId="104" fillId="24" borderId="165" xfId="0" applyFont="1" applyFill="1" applyBorder="1" applyAlignment="1" applyProtection="1">
      <alignment horizontal="center" vertical="top" wrapText="1" readingOrder="1"/>
      <protection locked="0"/>
    </xf>
    <xf numFmtId="0" fontId="103" fillId="24" borderId="148" xfId="0" applyFont="1" applyFill="1" applyBorder="1" applyAlignment="1" applyProtection="1">
      <alignment vertical="top" wrapText="1" readingOrder="1"/>
      <protection locked="0"/>
    </xf>
    <xf numFmtId="0" fontId="103" fillId="24" borderId="155" xfId="0" applyFont="1" applyFill="1" applyBorder="1" applyAlignment="1" applyProtection="1">
      <alignment horizontal="center" vertical="top" wrapText="1" readingOrder="1"/>
      <protection locked="0"/>
    </xf>
    <xf numFmtId="0" fontId="103" fillId="24" borderId="148" xfId="0" applyFont="1" applyFill="1" applyBorder="1" applyAlignment="1" applyProtection="1">
      <alignment horizontal="center" vertical="center" wrapText="1" readingOrder="1"/>
      <protection locked="0"/>
    </xf>
    <xf numFmtId="0" fontId="104" fillId="24" borderId="148" xfId="0" applyFont="1" applyFill="1" applyBorder="1" applyAlignment="1" applyProtection="1">
      <alignment horizontal="center" vertical="center" wrapText="1" readingOrder="1"/>
      <protection locked="0"/>
    </xf>
    <xf numFmtId="0" fontId="104" fillId="24" borderId="156" xfId="0" applyFont="1" applyFill="1" applyBorder="1" applyAlignment="1" applyProtection="1">
      <alignment horizontal="center" wrapText="1" readingOrder="1"/>
      <protection locked="0"/>
    </xf>
    <xf numFmtId="0" fontId="104" fillId="24" borderId="154" xfId="0" applyFont="1" applyFill="1" applyBorder="1" applyAlignment="1" applyProtection="1">
      <alignment horizontal="center" wrapText="1" readingOrder="1"/>
      <protection locked="0"/>
    </xf>
    <xf numFmtId="0" fontId="104" fillId="24" borderId="153" xfId="0" applyFont="1" applyFill="1" applyBorder="1" applyAlignment="1" applyProtection="1">
      <alignment horizontal="center" wrapText="1" readingOrder="1"/>
      <protection locked="0"/>
    </xf>
    <xf numFmtId="0" fontId="103" fillId="24" borderId="155" xfId="0" applyFont="1" applyFill="1" applyBorder="1" applyAlignment="1" applyProtection="1">
      <alignment horizontal="center" wrapText="1" readingOrder="1"/>
      <protection locked="0"/>
    </xf>
    <xf numFmtId="0" fontId="104" fillId="24" borderId="155" xfId="0" applyFont="1" applyFill="1" applyBorder="1" applyAlignment="1" applyProtection="1">
      <alignment horizontal="center" wrapText="1" readingOrder="1"/>
      <protection locked="0"/>
    </xf>
    <xf numFmtId="0" fontId="101" fillId="24" borderId="148" xfId="0" applyFont="1" applyFill="1" applyBorder="1" applyAlignment="1" applyProtection="1">
      <alignment horizontal="right" vertical="top" wrapText="1" readingOrder="1"/>
      <protection locked="0"/>
    </xf>
    <xf numFmtId="0" fontId="102" fillId="0" borderId="0" xfId="0" applyFont="1" applyAlignment="1" applyProtection="1">
      <alignment horizontal="left" vertical="top" wrapText="1" readingOrder="1"/>
      <protection locked="0"/>
    </xf>
    <xf numFmtId="0" fontId="110" fillId="0" borderId="0" xfId="0" applyFont="1" applyAlignment="1" applyProtection="1">
      <alignment vertical="top" wrapText="1" readingOrder="1"/>
      <protection locked="0"/>
    </xf>
    <xf numFmtId="0" fontId="101" fillId="24" borderId="148" xfId="0" applyFont="1" applyFill="1" applyBorder="1" applyAlignment="1" applyProtection="1">
      <alignment horizontal="center" vertical="top" wrapText="1" readingOrder="1"/>
      <protection locked="0"/>
    </xf>
    <xf numFmtId="0" fontId="26" fillId="0" borderId="0" xfId="0" applyFont="1" applyAlignment="1"/>
    <xf numFmtId="0" fontId="0" fillId="0" borderId="0" xfId="0" applyAlignment="1">
      <alignment horizontal="justify" vertical="center" wrapText="1"/>
    </xf>
  </cellXfs>
  <cellStyles count="3">
    <cellStyle name="Įprastas" xfId="0" builtinId="0"/>
    <cellStyle name="Įprastas 2" xfId="1"/>
    <cellStyle name="Normal" xfId="2"/>
  </cellStyles>
  <dxfs count="0"/>
  <tableStyles count="0" defaultTableStyle="TableStyleMedium9" defaultPivotStyle="PivotStyleLight16"/>
  <colors>
    <mruColors>
      <color rgb="FFFF3300"/>
      <color rgb="FFFFFFCC"/>
      <color rgb="FFFFFFFF"/>
      <color rgb="FFFFFF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
  <sheetViews>
    <sheetView showGridLines="0" showRuler="0" topLeftCell="A8" zoomScaleNormal="100" workbookViewId="0">
      <pane ySplit="4575" topLeftCell="A16" activePane="bottomLeft"/>
      <selection activeCell="Q1" sqref="Q1:U1048576"/>
      <selection pane="bottomLeft" activeCell="B18" sqref="B18"/>
    </sheetView>
  </sheetViews>
  <sheetFormatPr defaultRowHeight="15" x14ac:dyDescent="0.25"/>
  <cols>
    <col min="1" max="1" width="9.140625" style="126"/>
    <col min="2" max="2" width="67.7109375" style="948" customWidth="1"/>
    <col min="3" max="4" width="9.28515625" style="126" bestFit="1" customWidth="1"/>
    <col min="5" max="5" width="13.140625" style="126" bestFit="1" customWidth="1"/>
    <col min="6" max="6" width="11.7109375" style="126" bestFit="1" customWidth="1"/>
    <col min="7" max="8" width="13.28515625" style="126" bestFit="1" customWidth="1"/>
    <col min="9" max="12" width="14.42578125" style="126" bestFit="1" customWidth="1"/>
    <col min="13" max="13" width="14.28515625" style="126" bestFit="1" customWidth="1"/>
    <col min="14" max="14" width="13.28515625" style="126" bestFit="1" customWidth="1"/>
    <col min="15" max="16" width="14.85546875" style="126" bestFit="1" customWidth="1"/>
    <col min="17" max="19" width="9.85546875" style="126" hidden="1" customWidth="1"/>
    <col min="20" max="21" width="9.140625" style="126" hidden="1" customWidth="1"/>
    <col min="22" max="16384" width="9.140625" style="126"/>
  </cols>
  <sheetData>
    <row r="1" spans="1:20" ht="18.75" x14ac:dyDescent="0.3">
      <c r="E1" s="1795"/>
      <c r="F1" s="1795"/>
      <c r="G1" s="1795"/>
      <c r="H1" s="1795"/>
      <c r="I1" s="1795"/>
      <c r="K1" s="949"/>
      <c r="N1" s="1765" t="s">
        <v>854</v>
      </c>
    </row>
    <row r="2" spans="1:20" ht="18.75" x14ac:dyDescent="0.3">
      <c r="K2" s="949"/>
      <c r="N2" s="1804" t="s">
        <v>855</v>
      </c>
      <c r="O2" s="1795"/>
      <c r="P2" s="1795"/>
    </row>
    <row r="3" spans="1:20" x14ac:dyDescent="0.25">
      <c r="N3" s="1804" t="s">
        <v>856</v>
      </c>
      <c r="O3" s="1795"/>
      <c r="P3" s="1795"/>
    </row>
    <row r="4" spans="1:20" x14ac:dyDescent="0.25">
      <c r="N4" s="1804" t="s">
        <v>857</v>
      </c>
      <c r="O4" s="1795"/>
      <c r="P4" s="1795"/>
    </row>
    <row r="5" spans="1:20" ht="3" customHeight="1" x14ac:dyDescent="0.25">
      <c r="N5" s="1765"/>
    </row>
    <row r="6" spans="1:20" ht="42.75" customHeight="1" x14ac:dyDescent="0.25">
      <c r="N6" s="1805" t="s">
        <v>3575</v>
      </c>
      <c r="O6" s="1806"/>
      <c r="P6" s="1806"/>
    </row>
    <row r="7" spans="1:20" ht="18.75" x14ac:dyDescent="0.3">
      <c r="A7" s="950" t="s">
        <v>859</v>
      </c>
      <c r="B7" s="951" t="s">
        <v>858</v>
      </c>
      <c r="N7" s="1804"/>
      <c r="O7" s="1795"/>
      <c r="P7" s="1795"/>
    </row>
    <row r="8" spans="1:20" ht="15.75" x14ac:dyDescent="0.25">
      <c r="N8" s="1765"/>
    </row>
    <row r="9" spans="1:20" ht="16.5" thickBot="1" x14ac:dyDescent="0.3">
      <c r="A9" s="505" t="s">
        <v>1387</v>
      </c>
      <c r="B9" s="505" t="s">
        <v>1388</v>
      </c>
      <c r="N9" s="1765"/>
    </row>
    <row r="10" spans="1:20" ht="33" customHeight="1" thickTop="1" thickBot="1" x14ac:dyDescent="0.3">
      <c r="A10" s="1798" t="s">
        <v>7</v>
      </c>
      <c r="B10" s="1796" t="s">
        <v>8</v>
      </c>
      <c r="C10" s="1814" t="s">
        <v>0</v>
      </c>
      <c r="D10" s="1801"/>
      <c r="E10" s="1800" t="s">
        <v>1</v>
      </c>
      <c r="F10" s="1801"/>
      <c r="G10" s="1800" t="s">
        <v>2</v>
      </c>
      <c r="H10" s="1801"/>
      <c r="I10" s="1800" t="s">
        <v>3</v>
      </c>
      <c r="J10" s="1801"/>
      <c r="K10" s="1800" t="s">
        <v>4</v>
      </c>
      <c r="L10" s="1801"/>
      <c r="M10" s="1800" t="s">
        <v>5</v>
      </c>
      <c r="N10" s="1801"/>
      <c r="O10" s="1802" t="s">
        <v>6</v>
      </c>
      <c r="P10" s="1803"/>
    </row>
    <row r="11" spans="1:20" ht="16.5" thickBot="1" x14ac:dyDescent="0.3">
      <c r="A11" s="1799"/>
      <c r="B11" s="1797"/>
      <c r="C11" s="952" t="s">
        <v>9</v>
      </c>
      <c r="D11" s="952" t="s">
        <v>10</v>
      </c>
      <c r="E11" s="952" t="s">
        <v>9</v>
      </c>
      <c r="F11" s="952" t="s">
        <v>10</v>
      </c>
      <c r="G11" s="952" t="s">
        <v>9</v>
      </c>
      <c r="H11" s="952" t="s">
        <v>10</v>
      </c>
      <c r="I11" s="952" t="s">
        <v>9</v>
      </c>
      <c r="J11" s="952" t="s">
        <v>10</v>
      </c>
      <c r="K11" s="952" t="s">
        <v>9</v>
      </c>
      <c r="L11" s="952" t="s">
        <v>10</v>
      </c>
      <c r="M11" s="952" t="s">
        <v>9</v>
      </c>
      <c r="N11" s="952" t="s">
        <v>10</v>
      </c>
      <c r="O11" s="952" t="s">
        <v>9</v>
      </c>
      <c r="P11" s="953" t="s">
        <v>10</v>
      </c>
    </row>
    <row r="12" spans="1:20" ht="79.5" thickBot="1" x14ac:dyDescent="0.3">
      <c r="A12" s="954" t="s">
        <v>11</v>
      </c>
      <c r="B12" s="955" t="s">
        <v>1157</v>
      </c>
      <c r="C12" s="1257">
        <f>SUM('IV-1 su proj'!C6)</f>
        <v>0</v>
      </c>
      <c r="D12" s="1257">
        <f>SUM('IV-1 su proj'!D6)</f>
        <v>0</v>
      </c>
      <c r="E12" s="1257">
        <f>SUM('IV-1 su proj'!E6)</f>
        <v>835238.47455074196</v>
      </c>
      <c r="F12" s="1257">
        <f>SUM('IV-1 su proj'!J6)</f>
        <v>368715.55</v>
      </c>
      <c r="G12" s="1257">
        <f>SUM('IV-1 su proj'!K6)</f>
        <v>5934899.0399999991</v>
      </c>
      <c r="H12" s="1257">
        <f>SUM('IV-1 su proj'!P6)</f>
        <v>4932178.7699999996</v>
      </c>
      <c r="I12" s="1307">
        <f>SUM('IV-1 su proj'!Q6)</f>
        <v>16937867.987609576</v>
      </c>
      <c r="J12" s="1307">
        <f>SUM('IV-1 su proj'!V6)</f>
        <v>10654952.216504991</v>
      </c>
      <c r="K12" s="1307">
        <f>SUM('IV-1 su proj'!W6)</f>
        <v>13998870.402944421</v>
      </c>
      <c r="L12" s="1307">
        <f>SUM('IV-1 su proj'!AB6)</f>
        <v>9418261.780125495</v>
      </c>
      <c r="M12" s="1307">
        <f>SUM('IV-1 su proj'!AC6)</f>
        <v>10287651.781954087</v>
      </c>
      <c r="N12" s="1307">
        <f>SUM('IV-1 su proj'!AH6)</f>
        <v>7009758.7633695127</v>
      </c>
      <c r="O12" s="1257">
        <f>SUM('IV-1 su proj'!AI6)</f>
        <v>47994527.687058821</v>
      </c>
      <c r="P12" s="1257">
        <f>SUM('IV-1 su proj'!AS6)</f>
        <v>32383867.080000002</v>
      </c>
      <c r="R12" s="940"/>
      <c r="S12" s="940"/>
    </row>
    <row r="13" spans="1:20" ht="58.5" thickBot="1" x14ac:dyDescent="0.3">
      <c r="A13" s="956" t="s">
        <v>12</v>
      </c>
      <c r="B13" s="957" t="s">
        <v>1158</v>
      </c>
      <c r="C13" s="1258">
        <f>SUM('IV-1 su proj'!C7)</f>
        <v>0</v>
      </c>
      <c r="D13" s="1258">
        <f>SUM('IV-1 su proj'!D7)</f>
        <v>0</v>
      </c>
      <c r="E13" s="1258">
        <f>SUM('IV-1 su proj'!E7)</f>
        <v>835238.47455074196</v>
      </c>
      <c r="F13" s="1258">
        <f>SUM('IV-1 su proj'!J7)</f>
        <v>368715.55</v>
      </c>
      <c r="G13" s="1258">
        <f>SUM('IV-1 su proj'!K7)</f>
        <v>4975229.8599999994</v>
      </c>
      <c r="H13" s="1258">
        <f>SUM('IV-1 su proj'!P7)</f>
        <v>4116460.1699999995</v>
      </c>
      <c r="I13" s="1306">
        <f>SUM('IV-1 su proj'!Q7)</f>
        <v>14379277.474172223</v>
      </c>
      <c r="J13" s="1306">
        <f>SUM('IV-1 su proj'!V7)</f>
        <v>9300112.6796384063</v>
      </c>
      <c r="K13" s="1306">
        <f>SUM('IV-1 su proj'!W7)</f>
        <v>10338176.949988114</v>
      </c>
      <c r="L13" s="1306">
        <f>SUM('IV-1 su proj'!AB7)</f>
        <v>6967124.1675212076</v>
      </c>
      <c r="M13" s="1306">
        <f>SUM('IV-1 su proj'!AC7)</f>
        <v>8264853.3083477458</v>
      </c>
      <c r="N13" s="1306">
        <f>SUM('IV-1 su proj'!AH7)</f>
        <v>5291966.282840387</v>
      </c>
      <c r="O13" s="1258">
        <f>SUM('IV-1 su proj'!AI7)</f>
        <v>38792776.067058824</v>
      </c>
      <c r="P13" s="1258">
        <f>SUM('IV-1 su proj'!AS7)</f>
        <v>26044378.850000001</v>
      </c>
      <c r="Q13" s="940">
        <f t="shared" ref="Q13:Q24" si="0">SUM(C13+E13+G13+I13+K13+M13)</f>
        <v>38792776.067058824</v>
      </c>
      <c r="R13" s="940">
        <f t="shared" ref="R13:R24" si="1">SUM(D13+F13+H13+J13+L13+N13)</f>
        <v>26044378.850000001</v>
      </c>
    </row>
    <row r="14" spans="1:20" ht="27" thickBot="1" x14ac:dyDescent="0.3">
      <c r="A14" s="958" t="s">
        <v>13</v>
      </c>
      <c r="B14" s="959" t="s">
        <v>1159</v>
      </c>
      <c r="C14" s="1259">
        <f>SUM('IV-1 su proj'!C8)</f>
        <v>0</v>
      </c>
      <c r="D14" s="1259">
        <f>SUM('IV-1 su proj'!D8)</f>
        <v>0</v>
      </c>
      <c r="E14" s="1259">
        <f>SUM('IV-1 su proj'!E8)</f>
        <v>0</v>
      </c>
      <c r="F14" s="1259">
        <f>SUM('IV-1 su proj'!J8)</f>
        <v>0</v>
      </c>
      <c r="G14" s="1259">
        <f>SUM('IV-1 su proj'!K8)</f>
        <v>0</v>
      </c>
      <c r="H14" s="1259">
        <f>SUM('IV-1 su proj'!P8)</f>
        <v>0</v>
      </c>
      <c r="I14" s="1259">
        <f>SUM('IV-1 su proj'!Q8)</f>
        <v>3630830.8983516484</v>
      </c>
      <c r="J14" s="1259">
        <f>SUM('IV-1 su proj'!V8)</f>
        <v>2412248.3708791211</v>
      </c>
      <c r="K14" s="1259">
        <f>SUM('IV-1 su proj'!W8)</f>
        <v>416867.10164835159</v>
      </c>
      <c r="L14" s="1259">
        <f>SUM('IV-1 su proj'!AB8)</f>
        <v>283469.62912087911</v>
      </c>
      <c r="M14" s="1259">
        <f>SUM('IV-1 su proj'!AC8)</f>
        <v>0</v>
      </c>
      <c r="N14" s="1259">
        <f>SUM('IV-1 su proj'!AH8)</f>
        <v>0</v>
      </c>
      <c r="O14" s="1259">
        <f>SUM('IV-1 su proj'!AI8)</f>
        <v>4047698</v>
      </c>
      <c r="P14" s="1260">
        <f>SUM('IV-1 su proj'!AS8)</f>
        <v>2695718</v>
      </c>
      <c r="Q14" s="940">
        <f t="shared" si="0"/>
        <v>4047698</v>
      </c>
      <c r="R14" s="940">
        <f t="shared" si="1"/>
        <v>2695718</v>
      </c>
    </row>
    <row r="15" spans="1:20" ht="27" thickBot="1" x14ac:dyDescent="0.3">
      <c r="A15" s="958" t="s">
        <v>14</v>
      </c>
      <c r="B15" s="959" t="s">
        <v>1160</v>
      </c>
      <c r="C15" s="1259" t="str">
        <f>CONCATENATE('IV-1 su proj'!C32)</f>
        <v>0</v>
      </c>
      <c r="D15" s="1259" t="str">
        <f>CONCATENATE('IV-1 su proj'!D32)</f>
        <v>0</v>
      </c>
      <c r="E15" s="1259">
        <f>SUM('IV-1 su proj'!E32)</f>
        <v>0</v>
      </c>
      <c r="F15" s="1259">
        <f>SUM('IV-1 su proj'!J32)</f>
        <v>0</v>
      </c>
      <c r="G15" s="1259">
        <f>SUM('IV-1 su proj'!K32)</f>
        <v>0</v>
      </c>
      <c r="H15" s="1259">
        <f>SUM('IV-1 su proj'!P32)</f>
        <v>0</v>
      </c>
      <c r="I15" s="1305">
        <f>SUM('IV-1 su proj'!Q32)</f>
        <v>699237.79724132735</v>
      </c>
      <c r="J15" s="1305">
        <f>SUM('IV-1 su proj'!V32)</f>
        <v>518531.05570913188</v>
      </c>
      <c r="K15" s="1305">
        <f>SUM('IV-1 su proj'!W32)</f>
        <v>1791466.5037266624</v>
      </c>
      <c r="L15" s="1305">
        <f>SUM('IV-1 su proj'!AB32)</f>
        <v>1337638.6643318413</v>
      </c>
      <c r="M15" s="1305">
        <f>SUM('IV-1 su proj'!AC32)</f>
        <v>1226621.4990320103</v>
      </c>
      <c r="N15" s="1305">
        <f>SUM('IV-1 su proj'!AH32)</f>
        <v>960281.91995902697</v>
      </c>
      <c r="O15" s="1259">
        <f>SUM('IV-1 su proj'!AI32)</f>
        <v>3717325.8</v>
      </c>
      <c r="P15" s="1259">
        <f>SUM('IV-1 su proj'!AS32)</f>
        <v>2816451.64</v>
      </c>
      <c r="Q15" s="940">
        <f t="shared" si="0"/>
        <v>3717325.8</v>
      </c>
      <c r="R15" s="940">
        <f t="shared" si="1"/>
        <v>2816451.64</v>
      </c>
      <c r="S15" s="940">
        <f>SUM(O15-Q15)</f>
        <v>0</v>
      </c>
      <c r="T15" s="940">
        <f>SUM(P15-R15)</f>
        <v>0</v>
      </c>
    </row>
    <row r="16" spans="1:20" ht="27" thickBot="1" x14ac:dyDescent="0.3">
      <c r="A16" s="958" t="s">
        <v>15</v>
      </c>
      <c r="B16" s="959" t="s">
        <v>1161</v>
      </c>
      <c r="C16" s="1259">
        <f>SUM('IV-1 su proj'!C38)</f>
        <v>0</v>
      </c>
      <c r="D16" s="1259">
        <f>SUM('IV-1 su proj'!D38)</f>
        <v>0</v>
      </c>
      <c r="E16" s="1259">
        <f>SUM('IV-1 su proj'!E38)</f>
        <v>0</v>
      </c>
      <c r="F16" s="1259">
        <f>SUM('IV-1 su proj'!J38)</f>
        <v>0</v>
      </c>
      <c r="G16" s="1259">
        <f>SUM('IV-1 su proj'!K38)</f>
        <v>1186280.8599999999</v>
      </c>
      <c r="H16" s="1259">
        <f>SUM('IV-1 su proj'!P38)</f>
        <v>1029679.4099999999</v>
      </c>
      <c r="I16" s="1259">
        <f>SUM('IV-1 su proj'!Q38)</f>
        <v>1355025.158382643</v>
      </c>
      <c r="J16" s="1259">
        <f>SUM('IV-1 su proj'!V38)</f>
        <v>1128420.0838407136</v>
      </c>
      <c r="K16" s="1259">
        <f>SUM('IV-1 su proj'!W38)</f>
        <v>1331701.1805531092</v>
      </c>
      <c r="L16" s="1259">
        <f>SUM('IV-1 su proj'!AB38)</f>
        <v>1126489.4156491125</v>
      </c>
      <c r="M16" s="1259">
        <f>SUM('IV-1 su proj'!AC38)</f>
        <v>485544.71106424753</v>
      </c>
      <c r="N16" s="1259">
        <f>SUM('IV-1 su proj'!AH38)</f>
        <v>412712.98051017383</v>
      </c>
      <c r="O16" s="1259">
        <f>SUM('IV-1 su proj'!AI38)</f>
        <v>4358551.91</v>
      </c>
      <c r="P16" s="1259">
        <f>SUM('IV-1 su proj'!AS38)</f>
        <v>3697301.8899999997</v>
      </c>
      <c r="Q16" s="940">
        <f t="shared" si="0"/>
        <v>4358551.9099999992</v>
      </c>
      <c r="R16" s="940">
        <f t="shared" si="1"/>
        <v>3697301.89</v>
      </c>
      <c r="S16" s="940">
        <f t="shared" ref="S16:S50" si="2">SUM(O16-Q16)</f>
        <v>9.3132257461547852E-10</v>
      </c>
      <c r="T16" s="940">
        <f t="shared" ref="T16:T50" si="3">SUM(P16-R16)</f>
        <v>-4.6566128730773926E-10</v>
      </c>
    </row>
    <row r="17" spans="1:20" ht="27" thickBot="1" x14ac:dyDescent="0.3">
      <c r="A17" s="958" t="s">
        <v>16</v>
      </c>
      <c r="B17" s="959" t="s">
        <v>1162</v>
      </c>
      <c r="C17" s="1259">
        <f>SUM('IV-1 su proj'!C45)</f>
        <v>0</v>
      </c>
      <c r="D17" s="1259">
        <f>SUM('IV-1 su proj'!D45)</f>
        <v>0</v>
      </c>
      <c r="E17" s="1259">
        <f>SUM('IV-1 su proj'!E45)</f>
        <v>0</v>
      </c>
      <c r="F17" s="1259">
        <f>SUM('IV-1 su proj'!J45)</f>
        <v>0</v>
      </c>
      <c r="G17" s="1259">
        <f>SUM('IV-1 su proj'!K45)</f>
        <v>1263963.08</v>
      </c>
      <c r="H17" s="1259">
        <f>SUM('IV-1 su proj'!P45)</f>
        <v>1098406.45</v>
      </c>
      <c r="I17" s="1259">
        <f>SUM('IV-1 su proj'!Q45)</f>
        <v>848060.48999999976</v>
      </c>
      <c r="J17" s="1259">
        <f>SUM('IV-1 su proj'!V45)</f>
        <v>576751.12000000011</v>
      </c>
      <c r="K17" s="1259">
        <f>SUM('IV-1 su proj'!W45)</f>
        <v>0</v>
      </c>
      <c r="L17" s="1259">
        <f>SUM('IV-1 su proj'!AB45)</f>
        <v>0</v>
      </c>
      <c r="M17" s="1259">
        <f>SUM('IV-1 su proj'!AC45)</f>
        <v>0</v>
      </c>
      <c r="N17" s="1259">
        <f>SUM('IV-1 su proj'!AH45)</f>
        <v>0</v>
      </c>
      <c r="O17" s="1259">
        <f>SUM('IV-1 su proj'!AI45)</f>
        <v>2112023.5699999998</v>
      </c>
      <c r="P17" s="1259">
        <f>SUM('IV-1 su proj'!AS45)</f>
        <v>1675157.5699999998</v>
      </c>
      <c r="Q17" s="940">
        <f t="shared" si="0"/>
        <v>2112023.5699999998</v>
      </c>
      <c r="R17" s="940">
        <f t="shared" si="1"/>
        <v>1675157.57</v>
      </c>
      <c r="S17" s="940">
        <f t="shared" si="2"/>
        <v>0</v>
      </c>
      <c r="T17" s="940">
        <f t="shared" si="3"/>
        <v>-2.3283064365386963E-10</v>
      </c>
    </row>
    <row r="18" spans="1:20" ht="39.75" thickBot="1" x14ac:dyDescent="0.3">
      <c r="A18" s="958" t="s">
        <v>17</v>
      </c>
      <c r="B18" s="959" t="s">
        <v>1163</v>
      </c>
      <c r="C18" s="1259">
        <f>SUM('IV-1 su proj'!C49)</f>
        <v>0</v>
      </c>
      <c r="D18" s="1259">
        <f>SUM('IV-1 su proj'!D49)</f>
        <v>0</v>
      </c>
      <c r="E18" s="1259">
        <f>SUM('IV-1 su proj'!E49)</f>
        <v>835238.47455074196</v>
      </c>
      <c r="F18" s="1259">
        <f>SUM('IV-1 su proj'!J49)</f>
        <v>368715.55</v>
      </c>
      <c r="G18" s="1259">
        <f>SUM('IV-1 su proj'!K49)</f>
        <v>1269656.6399999999</v>
      </c>
      <c r="H18" s="1259">
        <f>SUM('IV-1 su proj'!P49)</f>
        <v>898738.82000000007</v>
      </c>
      <c r="I18" s="1259">
        <f>SUM('IV-1 su proj'!Q49)</f>
        <v>4779409.3159166919</v>
      </c>
      <c r="J18" s="1259">
        <f>SUM('IV-1 su proj'!V49)</f>
        <v>2562095.3524298347</v>
      </c>
      <c r="K18" s="1259">
        <f>SUM('IV-1 su proj'!W49)</f>
        <v>4504896.5457921484</v>
      </c>
      <c r="L18" s="1259">
        <f>SUM('IV-1 su proj'!AB49)</f>
        <v>2426064.5070173806</v>
      </c>
      <c r="M18" s="1259">
        <f>SUM('IV-1 su proj'!AC49)</f>
        <v>4989227.9937404189</v>
      </c>
      <c r="N18" s="1259">
        <f>SUM('IV-1 su proj'!AH49)</f>
        <v>2664778.340552785</v>
      </c>
      <c r="O18" s="1259">
        <f>SUM('IV-1 su proj'!AI49)</f>
        <v>16378428.970000001</v>
      </c>
      <c r="P18" s="1259">
        <f>SUM('IV-1 su proj'!AS49)</f>
        <v>8920392.5700000003</v>
      </c>
      <c r="Q18" s="940">
        <f t="shared" si="0"/>
        <v>16378428.970000001</v>
      </c>
      <c r="R18" s="940">
        <f t="shared" si="1"/>
        <v>8920392.5700000003</v>
      </c>
      <c r="S18" s="940">
        <f t="shared" si="2"/>
        <v>0</v>
      </c>
      <c r="T18" s="940">
        <f t="shared" si="3"/>
        <v>0</v>
      </c>
    </row>
    <row r="19" spans="1:20" ht="27" thickBot="1" x14ac:dyDescent="0.3">
      <c r="A19" s="958" t="s">
        <v>18</v>
      </c>
      <c r="B19" s="959" t="s">
        <v>1164</v>
      </c>
      <c r="C19" s="1259">
        <f>SUM('IV-1 su proj'!C55)</f>
        <v>0</v>
      </c>
      <c r="D19" s="1259">
        <f>SUM('IV-1 su proj'!D55)</f>
        <v>0</v>
      </c>
      <c r="E19" s="1259">
        <f>SUM('IV-1 su proj'!E55)</f>
        <v>0</v>
      </c>
      <c r="F19" s="1259">
        <f>SUM('IV-1 su proj'!J55)</f>
        <v>0</v>
      </c>
      <c r="G19" s="1259">
        <f>SUM('IV-1 su proj'!K55)</f>
        <v>915098.59000000008</v>
      </c>
      <c r="H19" s="1259">
        <f>SUM('IV-1 su proj'!P55)</f>
        <v>777833.8</v>
      </c>
      <c r="I19" s="1259">
        <f>SUM('IV-1 su proj'!Q55)</f>
        <v>1027163.7842153284</v>
      </c>
      <c r="J19" s="1259">
        <f>SUM('IV-1 su proj'!V55)</f>
        <v>873089.21824817511</v>
      </c>
      <c r="K19" s="1259">
        <f>SUM('IV-1 su proj'!W55)</f>
        <v>1027163.7842153284</v>
      </c>
      <c r="L19" s="1259">
        <f>SUM('IV-1 su proj'!AB55)</f>
        <v>873089.21824817511</v>
      </c>
      <c r="M19" s="1259">
        <f>SUM('IV-1 su proj'!AC55)</f>
        <v>1029977.9315693431</v>
      </c>
      <c r="N19" s="1259">
        <f>SUM('IV-1 su proj'!AH55)</f>
        <v>875481.2435036496</v>
      </c>
      <c r="O19" s="1259">
        <f>SUM('IV-1 su proj'!AI55)</f>
        <v>3999404.09</v>
      </c>
      <c r="P19" s="1259">
        <f>SUM('IV-1 su proj'!AS55)</f>
        <v>3399493.48</v>
      </c>
      <c r="Q19" s="940">
        <f t="shared" si="0"/>
        <v>3999404.09</v>
      </c>
      <c r="R19" s="940">
        <f t="shared" si="1"/>
        <v>3399493.48</v>
      </c>
      <c r="S19" s="940">
        <f t="shared" si="2"/>
        <v>0</v>
      </c>
      <c r="T19" s="940">
        <f t="shared" si="3"/>
        <v>0</v>
      </c>
    </row>
    <row r="20" spans="1:20" ht="39.75" thickBot="1" x14ac:dyDescent="0.3">
      <c r="A20" s="958" t="s">
        <v>19</v>
      </c>
      <c r="B20" s="959" t="s">
        <v>1165</v>
      </c>
      <c r="C20" s="1259">
        <f>SUM('IV-1 su proj'!C57)</f>
        <v>0</v>
      </c>
      <c r="D20" s="1259">
        <f>SUM('IV-1 su proj'!D57)</f>
        <v>0</v>
      </c>
      <c r="E20" s="1259">
        <f>SUM('IV-1 su proj'!E57)</f>
        <v>0</v>
      </c>
      <c r="F20" s="1259">
        <f>SUM('IV-1 su proj'!J57)</f>
        <v>0</v>
      </c>
      <c r="G20" s="1259">
        <f>SUM('IV-1 su proj'!K57)</f>
        <v>56149.929999999993</v>
      </c>
      <c r="H20" s="1259">
        <f>SUM('IV-1 su proj'!P57)</f>
        <v>47727.439999999995</v>
      </c>
      <c r="I20" s="1305">
        <f>SUM('IV-1 su proj'!Q57)</f>
        <v>382788.40683444508</v>
      </c>
      <c r="J20" s="1305">
        <f>SUM('IV-1 su proj'!V57)</f>
        <v>325370.14618556702</v>
      </c>
      <c r="K20" s="1305">
        <f>SUM('IV-1 su proj'!W57)</f>
        <v>132664.85842551006</v>
      </c>
      <c r="L20" s="1305">
        <f>SUM('IV-1 su proj'!AB57)</f>
        <v>112765.12978539488</v>
      </c>
      <c r="M20" s="1305">
        <f>SUM('IV-1 su proj'!AC57)</f>
        <v>147714.45179886839</v>
      </c>
      <c r="N20" s="1305">
        <f>SUM('IV-1 su proj'!AH57)</f>
        <v>125557.28402903811</v>
      </c>
      <c r="O20" s="1259">
        <f>SUM('IV-1 su proj'!AI57)</f>
        <v>719317.64705882361</v>
      </c>
      <c r="P20" s="1259">
        <f>SUM('IV-1 su proj'!AS57)</f>
        <v>611420</v>
      </c>
      <c r="Q20" s="940">
        <f t="shared" si="0"/>
        <v>719317.6470588235</v>
      </c>
      <c r="R20" s="940">
        <f t="shared" si="1"/>
        <v>611420</v>
      </c>
      <c r="S20" s="940">
        <f t="shared" si="2"/>
        <v>1.1641532182693481E-10</v>
      </c>
      <c r="T20" s="940">
        <f t="shared" si="3"/>
        <v>0</v>
      </c>
    </row>
    <row r="21" spans="1:20" ht="27" thickBot="1" x14ac:dyDescent="0.3">
      <c r="A21" s="958" t="s">
        <v>20</v>
      </c>
      <c r="B21" s="959" t="s">
        <v>1166</v>
      </c>
      <c r="C21" s="1259">
        <f>SUM('IV-1 su proj'!C61)</f>
        <v>0</v>
      </c>
      <c r="D21" s="1259">
        <f>SUM('IV-1 su proj'!D61)</f>
        <v>0</v>
      </c>
      <c r="E21" s="1259">
        <f>SUM('IV-1 su proj'!E61)</f>
        <v>0</v>
      </c>
      <c r="F21" s="1259">
        <f>SUM('IV-1 su proj'!J61)</f>
        <v>0</v>
      </c>
      <c r="G21" s="1259">
        <f>SUM('IV-1 su proj'!K61)</f>
        <v>284080.76</v>
      </c>
      <c r="H21" s="1259">
        <f>SUM('IV-1 su proj'!P61)</f>
        <v>264074.25</v>
      </c>
      <c r="I21" s="1305">
        <f>SUM('IV-1 su proj'!Q61)</f>
        <v>1270009.7496220472</v>
      </c>
      <c r="J21" s="1305">
        <f>SUM('IV-1 su proj'!V61)</f>
        <v>631313.68407361</v>
      </c>
      <c r="K21" s="1305">
        <f>SUM('IV-1 su proj'!W61)</f>
        <v>418745.0003779527</v>
      </c>
      <c r="L21" s="1305">
        <f>SUM('IV-1 su proj'!AB61)</f>
        <v>302775.76592639001</v>
      </c>
      <c r="M21" s="1305">
        <f>SUM('IV-1 su proj'!AC61)</f>
        <v>0</v>
      </c>
      <c r="N21" s="1305">
        <f>SUM('IV-1 su proj'!AH61)</f>
        <v>0</v>
      </c>
      <c r="O21" s="1259">
        <f>SUM('IV-1 su proj'!AI61)</f>
        <v>1972835.5100000002</v>
      </c>
      <c r="P21" s="1259">
        <f>SUM('IV-1 su proj'!AS61)</f>
        <v>1198163.7</v>
      </c>
      <c r="Q21" s="940">
        <f t="shared" si="0"/>
        <v>1972835.5099999998</v>
      </c>
      <c r="R21" s="940">
        <f t="shared" si="1"/>
        <v>1198163.7</v>
      </c>
      <c r="S21" s="940">
        <f t="shared" si="2"/>
        <v>4.6566128730773926E-10</v>
      </c>
      <c r="T21" s="940">
        <f t="shared" si="3"/>
        <v>0</v>
      </c>
    </row>
    <row r="22" spans="1:20" ht="27" thickBot="1" x14ac:dyDescent="0.3">
      <c r="A22" s="958" t="s">
        <v>21</v>
      </c>
      <c r="B22" s="959" t="s">
        <v>1167</v>
      </c>
      <c r="C22" s="1259">
        <f>SUM('IV-1 su proj'!C66)</f>
        <v>0</v>
      </c>
      <c r="D22" s="1259">
        <f>SUM('IV-1 su proj'!D66)</f>
        <v>0</v>
      </c>
      <c r="E22" s="1259">
        <f>SUM('IV-1 su proj'!E66)</f>
        <v>0</v>
      </c>
      <c r="F22" s="1259">
        <f>SUM('IV-1 su proj'!J66)</f>
        <v>0</v>
      </c>
      <c r="G22" s="1259">
        <f>SUM('IV-1 su proj'!K66)</f>
        <v>0</v>
      </c>
      <c r="H22" s="1259">
        <f>SUM('IV-1 su proj'!P66)</f>
        <v>0</v>
      </c>
      <c r="I22" s="1259">
        <f>SUM('IV-1 su proj'!Q66)</f>
        <v>386751.87360809103</v>
      </c>
      <c r="J22" s="1259">
        <f>SUM('IV-1 su proj'!V66)</f>
        <v>272293.64827225206</v>
      </c>
      <c r="K22" s="1259">
        <f>SUM('IV-1 su proj'!W66)</f>
        <v>714671.97524905181</v>
      </c>
      <c r="L22" s="1259">
        <f>SUM('IV-1 su proj'!AB66)</f>
        <v>504831.83744203369</v>
      </c>
      <c r="M22" s="1259">
        <f>SUM('IV-1 su proj'!AC66)</f>
        <v>385766.72114285716</v>
      </c>
      <c r="N22" s="1259">
        <f>SUM('IV-1 su proj'!AH66)</f>
        <v>253154.51428571428</v>
      </c>
      <c r="O22" s="1259">
        <f>SUM('IV-1 su proj'!AI66)</f>
        <v>1487190.57</v>
      </c>
      <c r="P22" s="1259">
        <f>SUM('IV-1 su proj'!AS66)</f>
        <v>1030280</v>
      </c>
      <c r="Q22" s="940">
        <f t="shared" si="0"/>
        <v>1487190.57</v>
      </c>
      <c r="R22" s="940">
        <f t="shared" si="1"/>
        <v>1030280</v>
      </c>
      <c r="S22" s="940">
        <f t="shared" si="2"/>
        <v>0</v>
      </c>
      <c r="T22" s="940">
        <f t="shared" si="3"/>
        <v>0</v>
      </c>
    </row>
    <row r="23" spans="1:20" ht="44.25" thickBot="1" x14ac:dyDescent="0.3">
      <c r="A23" s="956" t="s">
        <v>22</v>
      </c>
      <c r="B23" s="957" t="s">
        <v>1168</v>
      </c>
      <c r="C23" s="1258">
        <f>SUM('IV-1 su proj'!C72)</f>
        <v>0</v>
      </c>
      <c r="D23" s="1258">
        <f>SUM('IV-1 su proj'!D72)</f>
        <v>0</v>
      </c>
      <c r="E23" s="1258">
        <f>SUM('IV-1 su proj'!E72)</f>
        <v>0</v>
      </c>
      <c r="F23" s="1258">
        <f>SUM('IV-1 su proj'!J72)</f>
        <v>0</v>
      </c>
      <c r="G23" s="1258">
        <f>SUM('IV-1 su proj'!K72)</f>
        <v>959669.18</v>
      </c>
      <c r="H23" s="1258">
        <f>SUM('IV-1 su proj'!P72)</f>
        <v>815718.60000000009</v>
      </c>
      <c r="I23" s="1258">
        <f>SUM('IV-1 su proj'!Q72)</f>
        <v>2558590.5134373517</v>
      </c>
      <c r="J23" s="1258">
        <f>SUM('IV-1 su proj'!V72)</f>
        <v>1354839.5368665853</v>
      </c>
      <c r="K23" s="1258">
        <f>SUM('IV-1 su proj'!W72)</f>
        <v>3660693.4529563077</v>
      </c>
      <c r="L23" s="1258">
        <f>SUM('IV-1 su proj'!AB72)</f>
        <v>2451137.6126042884</v>
      </c>
      <c r="M23" s="1258">
        <f>SUM('IV-1 su proj'!AC72)</f>
        <v>2022798.4736063411</v>
      </c>
      <c r="N23" s="1258">
        <f>SUM('IV-1 su proj'!AH72)</f>
        <v>1717792.480529126</v>
      </c>
      <c r="O23" s="1258">
        <f>SUM('IV-1 su proj'!AI72)</f>
        <v>9201751.620000001</v>
      </c>
      <c r="P23" s="1258">
        <f>SUM('IV-1 su proj'!AS72)</f>
        <v>6339488.2300000004</v>
      </c>
      <c r="Q23" s="940">
        <f t="shared" si="0"/>
        <v>9201751.620000001</v>
      </c>
      <c r="R23" s="940">
        <f t="shared" si="1"/>
        <v>6339488.2299999995</v>
      </c>
      <c r="S23" s="940">
        <f t="shared" si="2"/>
        <v>0</v>
      </c>
      <c r="T23" s="940">
        <f t="shared" si="3"/>
        <v>9.3132257461547852E-10</v>
      </c>
    </row>
    <row r="24" spans="1:20" ht="27" thickBot="1" x14ac:dyDescent="0.3">
      <c r="A24" s="958" t="s">
        <v>23</v>
      </c>
      <c r="B24" s="959" t="s">
        <v>1169</v>
      </c>
      <c r="C24" s="1259">
        <f>SUM('IV-1 su proj'!C73)</f>
        <v>0</v>
      </c>
      <c r="D24" s="1259">
        <f>SUM('IV-1 su proj'!D73)</f>
        <v>0</v>
      </c>
      <c r="E24" s="1259">
        <f>SUM('IV-1 su proj'!E73)</f>
        <v>0</v>
      </c>
      <c r="F24" s="1259">
        <f>SUM('IV-1 su proj'!J73)</f>
        <v>0</v>
      </c>
      <c r="G24" s="1259">
        <f>SUM('IV-1 su proj'!K73)</f>
        <v>0</v>
      </c>
      <c r="H24" s="1259">
        <f>SUM('IV-1 su proj'!P73)</f>
        <v>0</v>
      </c>
      <c r="I24" s="1259">
        <f>SUM('IV-1 su proj'!Q73)</f>
        <v>79069.408155630386</v>
      </c>
      <c r="J24" s="1259">
        <f>SUM('IV-1 su proj'!V73)</f>
        <v>43236.777902481605</v>
      </c>
      <c r="K24" s="1259">
        <f>SUM('IV-1 su proj'!W73)</f>
        <v>1208714.1317225862</v>
      </c>
      <c r="L24" s="1259">
        <f>SUM('IV-1 su proj'!AB73)</f>
        <v>754723.15282962529</v>
      </c>
      <c r="M24" s="1259">
        <f>SUM('IV-1 su proj'!AC73)</f>
        <v>547426.46012178331</v>
      </c>
      <c r="N24" s="1259">
        <f>SUM('IV-1 su proj'!AH73)</f>
        <v>465312.06926789309</v>
      </c>
      <c r="O24" s="1259">
        <f>SUM('IV-1 su proj'!AI73)</f>
        <v>1835210</v>
      </c>
      <c r="P24" s="1259">
        <f>SUM('IV-1 su proj'!AS73)</f>
        <v>1263272</v>
      </c>
      <c r="Q24" s="940">
        <f t="shared" si="0"/>
        <v>1835210</v>
      </c>
      <c r="R24" s="940">
        <f t="shared" si="1"/>
        <v>1263272</v>
      </c>
      <c r="S24" s="940">
        <f t="shared" si="2"/>
        <v>0</v>
      </c>
      <c r="T24" s="940">
        <f t="shared" si="3"/>
        <v>0</v>
      </c>
    </row>
    <row r="25" spans="1:20" ht="27" thickBot="1" x14ac:dyDescent="0.3">
      <c r="A25" s="958" t="s">
        <v>24</v>
      </c>
      <c r="B25" s="959" t="s">
        <v>1170</v>
      </c>
      <c r="C25" s="1259">
        <f>SUM('IV-1 su proj'!C78)</f>
        <v>0</v>
      </c>
      <c r="D25" s="1259">
        <f>SUM('IV-1 su proj'!D78)</f>
        <v>0</v>
      </c>
      <c r="E25" s="1259">
        <f>SUM('IV-1 su proj'!E78)</f>
        <v>0</v>
      </c>
      <c r="F25" s="1259">
        <f>SUM('IV-1 su proj'!J78)</f>
        <v>0</v>
      </c>
      <c r="G25" s="1259">
        <f>SUM('IV-1 su proj'!K78)</f>
        <v>37182.800000000003</v>
      </c>
      <c r="H25" s="1259">
        <f>SUM('IV-1 su proj'!P78)</f>
        <v>31605.38</v>
      </c>
      <c r="I25" s="1259">
        <f>SUM('IV-1 su proj'!Q78)</f>
        <v>13455.199999999997</v>
      </c>
      <c r="J25" s="1259">
        <f>SUM('IV-1 su proj'!V78)</f>
        <v>11436.919999999998</v>
      </c>
      <c r="K25" s="1259">
        <f>SUM('IV-1 su proj'!W78)</f>
        <v>532303.66349436087</v>
      </c>
      <c r="L25" s="1259">
        <f>SUM('IV-1 su proj'!AB78)</f>
        <v>452458.16583020048</v>
      </c>
      <c r="M25" s="1259">
        <f>SUM('IV-1 su proj'!AC78)</f>
        <v>1312001.5765056391</v>
      </c>
      <c r="N25" s="1259">
        <f>SUM('IV-1 su proj'!AH78)</f>
        <v>1115201.6341697995</v>
      </c>
      <c r="O25" s="1259">
        <f>SUM('IV-1 su proj'!AI78)</f>
        <v>1894943.24</v>
      </c>
      <c r="P25" s="1259">
        <f>SUM('IV-1 su proj'!AS78)</f>
        <v>1610702.1</v>
      </c>
      <c r="Q25" s="940">
        <f>SUM(G25+I25+K25+M25)</f>
        <v>1894943.24</v>
      </c>
      <c r="R25" s="940">
        <f>SUM(H25+J25+L25+N25)</f>
        <v>1610702.1</v>
      </c>
      <c r="S25" s="940">
        <f t="shared" si="2"/>
        <v>0</v>
      </c>
      <c r="T25" s="940">
        <f t="shared" si="3"/>
        <v>0</v>
      </c>
    </row>
    <row r="26" spans="1:20" ht="27" thickBot="1" x14ac:dyDescent="0.3">
      <c r="A26" s="958" t="s">
        <v>25</v>
      </c>
      <c r="B26" s="959" t="s">
        <v>1171</v>
      </c>
      <c r="C26" s="1259">
        <f>SUM('IV-1 su proj'!C85)</f>
        <v>0</v>
      </c>
      <c r="D26" s="1259">
        <f>SUM('IV-1 su proj'!D85)</f>
        <v>0</v>
      </c>
      <c r="E26" s="1259">
        <f>SUM('IV-1 su proj'!E85)</f>
        <v>0</v>
      </c>
      <c r="F26" s="1259">
        <f>SUM('IV-1 su proj'!J85)</f>
        <v>0</v>
      </c>
      <c r="G26" s="1259">
        <f>SUM('IV-1 su proj'!K85)</f>
        <v>48895.060000000005</v>
      </c>
      <c r="H26" s="1259">
        <f>SUM('IV-1 su proj'!P85)</f>
        <v>41560.800000000003</v>
      </c>
      <c r="I26" s="1259">
        <f>SUM('IV-1 su proj'!Q85)</f>
        <v>267141.68878688524</v>
      </c>
      <c r="J26" s="1259">
        <f>SUM('IV-1 su proj'!V85)</f>
        <v>227030.31308196724</v>
      </c>
      <c r="K26" s="1259">
        <f>SUM('IV-1 su proj'!W85)</f>
        <v>144371.62528346654</v>
      </c>
      <c r="L26" s="1259">
        <f>SUM('IV-1 su proj'!AB85)</f>
        <v>120499.38877732927</v>
      </c>
      <c r="M26" s="1259">
        <f>SUM('IV-1 su proj'!AC85)</f>
        <v>29650.18592964824</v>
      </c>
      <c r="N26" s="1259">
        <f>SUM('IV-1 su proj'!AH85)</f>
        <v>23616.628140703517</v>
      </c>
      <c r="O26" s="1259">
        <f>SUM('IV-1 su proj'!AI85)</f>
        <v>490058.56</v>
      </c>
      <c r="P26" s="1259">
        <f>SUM('IV-1 su proj'!AS85)</f>
        <v>412707.13</v>
      </c>
      <c r="Q26" s="940">
        <f t="shared" ref="Q26:Q45" si="4">SUM(C26+E26+G26+I26+K26+M26)</f>
        <v>490058.56</v>
      </c>
      <c r="R26" s="940">
        <f t="shared" ref="R26:R45" si="5">SUM(D26+F26+H26+J26+L26+N26)</f>
        <v>412707.13</v>
      </c>
      <c r="S26" s="940">
        <f t="shared" si="2"/>
        <v>0</v>
      </c>
      <c r="T26" s="940">
        <f t="shared" si="3"/>
        <v>0</v>
      </c>
    </row>
    <row r="27" spans="1:20" ht="27" thickBot="1" x14ac:dyDescent="0.3">
      <c r="A27" s="958" t="s">
        <v>26</v>
      </c>
      <c r="B27" s="959" t="s">
        <v>1172</v>
      </c>
      <c r="C27" s="1259">
        <f>SUM('IV-1 su proj'!C91)</f>
        <v>0</v>
      </c>
      <c r="D27" s="1259">
        <f>SUM('IV-1 su proj'!D91)</f>
        <v>0</v>
      </c>
      <c r="E27" s="1259">
        <f>SUM('IV-1 su proj'!E91)</f>
        <v>0</v>
      </c>
      <c r="F27" s="1259">
        <f>SUM('IV-1 su proj'!J91)</f>
        <v>0</v>
      </c>
      <c r="G27" s="1259">
        <f>SUM('IV-1 su proj'!K91)</f>
        <v>873591.32000000007</v>
      </c>
      <c r="H27" s="1259">
        <f>SUM('IV-1 su proj'!P91)</f>
        <v>742552.42</v>
      </c>
      <c r="I27" s="1305">
        <f>SUM('IV-1 su proj'!Q91)</f>
        <v>2198924.2164948359</v>
      </c>
      <c r="J27" s="1305">
        <f>SUM('IV-1 su proj'!V91)</f>
        <v>1073135.5258821365</v>
      </c>
      <c r="K27" s="1305">
        <f>SUM('IV-1 su proj'!W91)</f>
        <v>1775304.0324558939</v>
      </c>
      <c r="L27" s="1305">
        <f>SUM('IV-1 su proj'!AB91)</f>
        <v>1123456.9051671335</v>
      </c>
      <c r="M27" s="1305">
        <f>SUM('IV-1 su proj'!AC91)</f>
        <v>133720.25104927007</v>
      </c>
      <c r="N27" s="1305">
        <f>SUM('IV-1 su proj'!AH91)</f>
        <v>113662.14895072993</v>
      </c>
      <c r="O27" s="1259">
        <f>SUM('IV-1 su proj'!AI91)</f>
        <v>4981539.82</v>
      </c>
      <c r="P27" s="1259">
        <f>SUM('IV-1 su proj'!AS91)</f>
        <v>3052807</v>
      </c>
      <c r="Q27" s="940">
        <f t="shared" si="4"/>
        <v>4981539.82</v>
      </c>
      <c r="R27" s="940">
        <f t="shared" si="5"/>
        <v>3052807</v>
      </c>
      <c r="S27" s="940">
        <f t="shared" si="2"/>
        <v>0</v>
      </c>
      <c r="T27" s="940">
        <f t="shared" si="3"/>
        <v>0</v>
      </c>
    </row>
    <row r="28" spans="1:20" ht="32.25" thickBot="1" x14ac:dyDescent="0.3">
      <c r="A28" s="954" t="s">
        <v>27</v>
      </c>
      <c r="B28" s="955" t="s">
        <v>1173</v>
      </c>
      <c r="C28" s="1257">
        <f>SUM('IV-1 su proj'!C99)</f>
        <v>0</v>
      </c>
      <c r="D28" s="1257">
        <f>SUM('IV-1 su proj'!D99)</f>
        <v>0</v>
      </c>
      <c r="E28" s="1257">
        <f>SUM('IV-1 su proj'!E99)</f>
        <v>272169.55999999994</v>
      </c>
      <c r="F28" s="1257">
        <f>SUM('IV-1 su proj'!J99)</f>
        <v>239547.65159038958</v>
      </c>
      <c r="G28" s="1257">
        <f>SUM('IV-1 su proj'!K99)</f>
        <v>1171598</v>
      </c>
      <c r="H28" s="1257">
        <f>SUM('IV-1 su proj'!P99)</f>
        <v>1061732.2084096104</v>
      </c>
      <c r="I28" s="1257">
        <f>SUM('IV-1 su proj'!Q99)</f>
        <v>4974116.6754301395</v>
      </c>
      <c r="J28" s="1257">
        <f>SUM('IV-1 su proj'!V99)</f>
        <v>3909798.3572008167</v>
      </c>
      <c r="K28" s="1257">
        <f>SUM('IV-1 su proj'!W99)</f>
        <v>4439878.2005592398</v>
      </c>
      <c r="L28" s="1257">
        <f>SUM('IV-1 su proj'!AB99)</f>
        <v>3560529.7652610955</v>
      </c>
      <c r="M28" s="1257">
        <f>SUM('IV-1 su proj'!AC99)</f>
        <v>1735879.294010621</v>
      </c>
      <c r="N28" s="1257">
        <f>SUM('IV-1 su proj'!AH99)</f>
        <v>1474258.5475380879</v>
      </c>
      <c r="O28" s="1257">
        <f>SUM('IV-1 su proj'!AI99)</f>
        <v>12593641.73</v>
      </c>
      <c r="P28" s="1257">
        <f>SUM('IV-1 su proj'!AS99)</f>
        <v>10245866.530000001</v>
      </c>
      <c r="Q28" s="940">
        <f t="shared" si="4"/>
        <v>12593641.73</v>
      </c>
      <c r="R28" s="940">
        <f t="shared" si="5"/>
        <v>10245866.530000001</v>
      </c>
      <c r="S28" s="940">
        <f t="shared" si="2"/>
        <v>0</v>
      </c>
      <c r="T28" s="940">
        <f t="shared" si="3"/>
        <v>0</v>
      </c>
    </row>
    <row r="29" spans="1:20" ht="58.5" thickBot="1" x14ac:dyDescent="0.3">
      <c r="A29" s="956" t="s">
        <v>28</v>
      </c>
      <c r="B29" s="957" t="s">
        <v>1174</v>
      </c>
      <c r="C29" s="1258">
        <f>SUM('IV-1 su proj'!C100)</f>
        <v>0</v>
      </c>
      <c r="D29" s="1258">
        <f>SUM('IV-1 su proj'!D100)</f>
        <v>0</v>
      </c>
      <c r="E29" s="1258">
        <f>SUM('IV-1 su proj'!E100)</f>
        <v>0</v>
      </c>
      <c r="F29" s="1258">
        <f>SUM('IV-1 su proj'!J100)</f>
        <v>0</v>
      </c>
      <c r="G29" s="1258">
        <f>SUM('IV-1 su proj'!K100)</f>
        <v>0</v>
      </c>
      <c r="H29" s="1258">
        <f>SUM('IV-1 su proj'!P100)</f>
        <v>0</v>
      </c>
      <c r="I29" s="1306">
        <f>SUM('IV-1 su proj'!Q100)</f>
        <v>2547061.0555623714</v>
      </c>
      <c r="J29" s="1306">
        <f>SUM('IV-1 su proj'!V100)</f>
        <v>2011334.1751343193</v>
      </c>
      <c r="K29" s="1306">
        <f>SUM('IV-1 su proj'!W100)</f>
        <v>2214890.7158290483</v>
      </c>
      <c r="L29" s="1306">
        <f>SUM('IV-1 su proj'!AB100)</f>
        <v>1743774.8036049455</v>
      </c>
      <c r="M29" s="1306">
        <f>SUM('IV-1 su proj'!AC100)</f>
        <v>14915.588608580376</v>
      </c>
      <c r="N29" s="1306">
        <f>SUM('IV-1 su proj'!AH100)</f>
        <v>11863.021260735077</v>
      </c>
      <c r="O29" s="1258">
        <f>SUM('IV-1 su proj'!AI100)</f>
        <v>4776867.3599999994</v>
      </c>
      <c r="P29" s="1258">
        <f>SUM('IV-1 su proj'!AS100)</f>
        <v>3766972</v>
      </c>
      <c r="Q29" s="940">
        <f t="shared" si="4"/>
        <v>4776867.3600000003</v>
      </c>
      <c r="R29" s="940">
        <f t="shared" si="5"/>
        <v>3766972</v>
      </c>
      <c r="S29" s="940">
        <f t="shared" si="2"/>
        <v>-9.3132257461547852E-10</v>
      </c>
      <c r="T29" s="940">
        <f t="shared" si="3"/>
        <v>0</v>
      </c>
    </row>
    <row r="30" spans="1:20" ht="27" thickBot="1" x14ac:dyDescent="0.3">
      <c r="A30" s="958" t="s">
        <v>29</v>
      </c>
      <c r="B30" s="959" t="s">
        <v>1175</v>
      </c>
      <c r="C30" s="1259">
        <f>SUM('IV-1 su proj'!C101)</f>
        <v>0</v>
      </c>
      <c r="D30" s="1259">
        <f>SUM('IV-1 su proj'!D101)</f>
        <v>0</v>
      </c>
      <c r="E30" s="1259">
        <f>SUM('IV-1 su proj'!E101)</f>
        <v>0</v>
      </c>
      <c r="F30" s="1259">
        <f>SUM('IV-1 su proj'!J101)</f>
        <v>0</v>
      </c>
      <c r="G30" s="1259">
        <f>SUM('IV-1 su proj'!K101)</f>
        <v>0</v>
      </c>
      <c r="H30" s="1259">
        <f>SUM('IV-1 su proj'!P101)</f>
        <v>0</v>
      </c>
      <c r="I30" s="1259">
        <f>SUM('IV-1 su proj'!Q101)</f>
        <v>700931.44465637743</v>
      </c>
      <c r="J30" s="1259">
        <f>SUM('IV-1 su proj'!V101)</f>
        <v>595790.48269981251</v>
      </c>
      <c r="K30" s="1259">
        <f>SUM('IV-1 su proj'!W101)</f>
        <v>643043.96534362272</v>
      </c>
      <c r="L30" s="1259">
        <f>SUM('IV-1 su proj'!AB101)</f>
        <v>546586.51730018738</v>
      </c>
      <c r="M30" s="1259">
        <f>SUM('IV-1 su proj'!AC101)</f>
        <v>0</v>
      </c>
      <c r="N30" s="1259">
        <f>SUM('IV-1 su proj'!AH101)</f>
        <v>0</v>
      </c>
      <c r="O30" s="1259">
        <f>SUM('IV-1 su proj'!AI101)</f>
        <v>1343975.4100000001</v>
      </c>
      <c r="P30" s="1259">
        <f>SUM('IV-1 su proj'!AS101)</f>
        <v>1142377</v>
      </c>
      <c r="Q30" s="940">
        <f t="shared" si="4"/>
        <v>1343975.4100000001</v>
      </c>
      <c r="R30" s="940">
        <f t="shared" si="5"/>
        <v>1142377</v>
      </c>
      <c r="S30" s="940">
        <f t="shared" si="2"/>
        <v>0</v>
      </c>
      <c r="T30" s="940">
        <f t="shared" si="3"/>
        <v>0</v>
      </c>
    </row>
    <row r="31" spans="1:20" ht="27" thickBot="1" x14ac:dyDescent="0.3">
      <c r="A31" s="958" t="s">
        <v>30</v>
      </c>
      <c r="B31" s="959" t="s">
        <v>1176</v>
      </c>
      <c r="C31" s="1259">
        <f>SUM('IV-1 su proj'!C107)</f>
        <v>0</v>
      </c>
      <c r="D31" s="1259">
        <f>SUM('IV-1 su proj'!D107)</f>
        <v>0</v>
      </c>
      <c r="E31" s="1259">
        <f>SUM('IV-1 su proj'!E107)</f>
        <v>0</v>
      </c>
      <c r="F31" s="1259">
        <f>SUM('IV-1 su proj'!J107)</f>
        <v>0</v>
      </c>
      <c r="G31" s="1259">
        <f>SUM('IV-1 su proj'!K107)</f>
        <v>0</v>
      </c>
      <c r="H31" s="1259">
        <f>SUM('IV-1 su proj'!P107)</f>
        <v>0</v>
      </c>
      <c r="I31" s="1305">
        <f>SUM('IV-1 su proj'!Q107)</f>
        <v>1066881.8127734459</v>
      </c>
      <c r="J31" s="1305">
        <f>SUM('IV-1 su proj'!V107)</f>
        <v>811266.92137749726</v>
      </c>
      <c r="K31" s="1305">
        <f>SUM('IV-1 su proj'!W107)</f>
        <v>904641.99769230769</v>
      </c>
      <c r="L31" s="1305">
        <f>SUM('IV-1 su proj'!AB107)</f>
        <v>673269.91149921506</v>
      </c>
      <c r="M31" s="1305">
        <f>SUM('IV-1 su proj'!AC107)</f>
        <v>2346.3695342465753</v>
      </c>
      <c r="N31" s="1305">
        <f>SUM('IV-1 su proj'!AH107)</f>
        <v>1470.1671232876713</v>
      </c>
      <c r="O31" s="1259">
        <f>SUM('IV-1 su proj'!AI107)</f>
        <v>1973870.18</v>
      </c>
      <c r="P31" s="1305">
        <f>SUM('IV-1 su proj'!AS107)</f>
        <v>1486007</v>
      </c>
      <c r="Q31" s="940">
        <f t="shared" si="4"/>
        <v>1973870.1800000002</v>
      </c>
      <c r="R31" s="940">
        <f t="shared" si="5"/>
        <v>1486007</v>
      </c>
      <c r="S31" s="940">
        <f t="shared" si="2"/>
        <v>-2.3283064365386963E-10</v>
      </c>
      <c r="T31" s="940">
        <f t="shared" si="3"/>
        <v>0</v>
      </c>
    </row>
    <row r="32" spans="1:20" ht="27" thickBot="1" x14ac:dyDescent="0.3">
      <c r="A32" s="958" t="s">
        <v>31</v>
      </c>
      <c r="B32" s="959" t="s">
        <v>1177</v>
      </c>
      <c r="C32" s="1259">
        <f>SUM('IV-1 su proj'!C113)</f>
        <v>0</v>
      </c>
      <c r="D32" s="1259">
        <f>SUM('IV-1 su proj'!D113)</f>
        <v>0</v>
      </c>
      <c r="E32" s="1259">
        <f>SUM('IV-1 su proj'!E113)</f>
        <v>0</v>
      </c>
      <c r="F32" s="1259">
        <f>SUM('IV-1 su proj'!J113)</f>
        <v>0</v>
      </c>
      <c r="G32" s="1259">
        <f>SUM('IV-1 su proj'!K113)</f>
        <v>0</v>
      </c>
      <c r="H32" s="1259">
        <f>SUM('IV-1 su proj'!P113)</f>
        <v>0</v>
      </c>
      <c r="I32" s="1259">
        <f>SUM('IV-1 su proj'!Q113)</f>
        <v>779247.79813254834</v>
      </c>
      <c r="J32" s="1259">
        <f>SUM('IV-1 su proj'!V113)</f>
        <v>604276.77105700958</v>
      </c>
      <c r="K32" s="1259">
        <f>SUM('IV-1 su proj'!W113)</f>
        <v>667204.75279311812</v>
      </c>
      <c r="L32" s="1259">
        <f>SUM('IV-1 su proj'!AB113)</f>
        <v>523918.37480554316</v>
      </c>
      <c r="M32" s="1259">
        <f>SUM('IV-1 su proj'!AC113)</f>
        <v>12569.219074333801</v>
      </c>
      <c r="N32" s="1259">
        <f>SUM('IV-1 su proj'!AH113)</f>
        <v>10392.854137447406</v>
      </c>
      <c r="O32" s="1259">
        <f>SUM('IV-1 su proj'!AI113)</f>
        <v>1459021.7699999998</v>
      </c>
      <c r="P32" s="1259">
        <f>SUM('IV-1 su proj'!AS113)</f>
        <v>1138588</v>
      </c>
      <c r="Q32" s="940">
        <f t="shared" si="4"/>
        <v>1459021.7700000003</v>
      </c>
      <c r="R32" s="940">
        <f t="shared" si="5"/>
        <v>1138588.0000000002</v>
      </c>
      <c r="S32" s="940">
        <f t="shared" si="2"/>
        <v>-4.6566128730773926E-10</v>
      </c>
      <c r="T32" s="940">
        <f t="shared" si="3"/>
        <v>-2.3283064365386963E-10</v>
      </c>
    </row>
    <row r="33" spans="1:20" ht="58.5" thickBot="1" x14ac:dyDescent="0.3">
      <c r="A33" s="960" t="s">
        <v>32</v>
      </c>
      <c r="B33" s="957" t="s">
        <v>1178</v>
      </c>
      <c r="C33" s="1258">
        <f>SUM('IV-1 su proj'!C119)</f>
        <v>0</v>
      </c>
      <c r="D33" s="1258">
        <f>SUM('IV-1 su proj'!D119)</f>
        <v>0</v>
      </c>
      <c r="E33" s="1258">
        <f>SUM('IV-1 su proj'!E119)</f>
        <v>0</v>
      </c>
      <c r="F33" s="1258">
        <f>SUM('IV-1 su proj'!J119)</f>
        <v>0</v>
      </c>
      <c r="G33" s="1258">
        <f>SUM('IV-1 su proj'!K119)</f>
        <v>0</v>
      </c>
      <c r="H33" s="1258">
        <f>SUM('IV-1 su proj'!P119)</f>
        <v>0</v>
      </c>
      <c r="I33" s="1258">
        <f>SUM('IV-1 su proj'!Q119)</f>
        <v>114035.88865635017</v>
      </c>
      <c r="J33" s="1258">
        <f>SUM('IV-1 su proj'!V119)</f>
        <v>96865.049029551548</v>
      </c>
      <c r="K33" s="1258">
        <f>SUM('IV-1 su proj'!W119)</f>
        <v>1052134.029746443</v>
      </c>
      <c r="L33" s="1258">
        <f>SUM('IV-1 su proj'!AB119)</f>
        <v>894088.88162291923</v>
      </c>
      <c r="M33" s="1258">
        <f>SUM('IV-1 su proj'!AC119)</f>
        <v>1342093.8015972066</v>
      </c>
      <c r="N33" s="1258">
        <f>SUM('IV-1 su proj'!AH119)</f>
        <v>1140397.6193475293</v>
      </c>
      <c r="O33" s="1258">
        <f>SUM('IV-1 su proj'!AI119)</f>
        <v>2508263.7200000002</v>
      </c>
      <c r="P33" s="1258">
        <f>SUM('IV-1 su proj'!AS119)</f>
        <v>2131351.5500000003</v>
      </c>
      <c r="Q33" s="940">
        <f t="shared" si="4"/>
        <v>2508263.7199999997</v>
      </c>
      <c r="R33" s="940">
        <f t="shared" si="5"/>
        <v>2131351.5499999998</v>
      </c>
      <c r="S33" s="940">
        <f t="shared" si="2"/>
        <v>4.6566128730773926E-10</v>
      </c>
      <c r="T33" s="940">
        <f t="shared" si="3"/>
        <v>4.6566128730773926E-10</v>
      </c>
    </row>
    <row r="34" spans="1:20" ht="39.75" thickBot="1" x14ac:dyDescent="0.3">
      <c r="A34" s="958" t="s">
        <v>33</v>
      </c>
      <c r="B34" s="959" t="s">
        <v>1179</v>
      </c>
      <c r="C34" s="1259">
        <f>SUM('IV-1 su proj'!C120)</f>
        <v>0</v>
      </c>
      <c r="D34" s="1259">
        <f>SUM('IV-1 su proj'!D120)</f>
        <v>0</v>
      </c>
      <c r="E34" s="1259">
        <f>SUM('IV-1 su proj'!E120)</f>
        <v>0</v>
      </c>
      <c r="F34" s="1259">
        <f>SUM('IV-1 su proj'!J120)</f>
        <v>0</v>
      </c>
      <c r="G34" s="1259">
        <f>SUM('IV-1 su proj'!K120)</f>
        <v>0</v>
      </c>
      <c r="H34" s="1259">
        <f>SUM('IV-1 su proj'!P120)</f>
        <v>0</v>
      </c>
      <c r="I34" s="1259">
        <f>SUM('IV-1 su proj'!Q120)</f>
        <v>0</v>
      </c>
      <c r="J34" s="1259">
        <f>SUM('IV-1 su proj'!V120)</f>
        <v>0</v>
      </c>
      <c r="K34" s="1259">
        <f>SUM('IV-1 su proj'!W120)</f>
        <v>663133.10115235136</v>
      </c>
      <c r="L34" s="1259">
        <f>SUM('IV-1 su proj'!AB120)</f>
        <v>563661.37792398175</v>
      </c>
      <c r="M34" s="1259">
        <f>SUM('IV-1 su proj'!AC120)</f>
        <v>784932.89884764852</v>
      </c>
      <c r="N34" s="1259">
        <f>SUM('IV-1 su proj'!AH120)</f>
        <v>667192.62207601825</v>
      </c>
      <c r="O34" s="1259">
        <f>SUM('IV-1 su proj'!AI120)</f>
        <v>1448066</v>
      </c>
      <c r="P34" s="1259">
        <f>SUM('IV-1 su proj'!AS120)</f>
        <v>1230854</v>
      </c>
      <c r="Q34" s="940">
        <f t="shared" si="4"/>
        <v>1448066</v>
      </c>
      <c r="R34" s="940">
        <f t="shared" si="5"/>
        <v>1230854</v>
      </c>
      <c r="S34" s="940">
        <f t="shared" si="2"/>
        <v>0</v>
      </c>
      <c r="T34" s="940">
        <f t="shared" si="3"/>
        <v>0</v>
      </c>
    </row>
    <row r="35" spans="1:20" ht="27" thickBot="1" x14ac:dyDescent="0.3">
      <c r="A35" s="958" t="s">
        <v>34</v>
      </c>
      <c r="B35" s="961" t="str">
        <f>CONCATENATE('3 pr-2'!B135)</f>
        <v>Priemonė:
Sveikos gyvensenos skatinimas regioniniu lygiu</v>
      </c>
      <c r="C35" s="1212">
        <f>SUM('IV-1 su proj'!C134)</f>
        <v>0</v>
      </c>
      <c r="D35" s="1212">
        <f>SUM('IV-1 su proj'!D134)</f>
        <v>0</v>
      </c>
      <c r="E35" s="1212">
        <f>SUM('IV-1 su proj'!E134)</f>
        <v>0</v>
      </c>
      <c r="F35" s="1212">
        <f>SUM('IV-1 su proj'!J134)</f>
        <v>0</v>
      </c>
      <c r="G35" s="1212">
        <f>SUM('IV-1 su proj'!K134)</f>
        <v>0</v>
      </c>
      <c r="H35" s="1212">
        <f>SUM('IV-1 su proj'!P134)</f>
        <v>0</v>
      </c>
      <c r="I35" s="1212">
        <f>SUM('IV-1 su proj'!Q134)</f>
        <v>106838.5654902044</v>
      </c>
      <c r="J35" s="1212">
        <f>SUM('IV-1 su proj'!V134)</f>
        <v>90812.779788024098</v>
      </c>
      <c r="K35" s="1212">
        <f>SUM('IV-1 su proj'!W134)</f>
        <v>364449.31218621123</v>
      </c>
      <c r="L35" s="1212">
        <f>SUM('IV-1 su proj'!AB134)</f>
        <v>309781.91236101679</v>
      </c>
      <c r="M35" s="1212">
        <f>SUM('IV-1 su proj'!AC134)</f>
        <v>523696.66232358431</v>
      </c>
      <c r="N35" s="1212">
        <f>SUM('IV-1 su proj'!AH134)</f>
        <v>445142.15785095911</v>
      </c>
      <c r="O35" s="1212">
        <f>SUM('IV-1 su proj'!AI134)</f>
        <v>994984.5399999998</v>
      </c>
      <c r="P35" s="1212">
        <f>SUM('IV-1 su proj'!AS134)</f>
        <v>845736.85</v>
      </c>
      <c r="Q35" s="940">
        <f t="shared" si="4"/>
        <v>994984.53999999992</v>
      </c>
      <c r="R35" s="940">
        <f t="shared" si="5"/>
        <v>845736.85</v>
      </c>
      <c r="S35" s="940">
        <f t="shared" si="2"/>
        <v>-1.1641532182693481E-10</v>
      </c>
      <c r="T35" s="940">
        <f t="shared" si="3"/>
        <v>0</v>
      </c>
    </row>
    <row r="36" spans="1:20" ht="39.75" thickBot="1" x14ac:dyDescent="0.3">
      <c r="A36" s="958" t="str">
        <f>CONCATENATE('3 pr-2'!A141)</f>
        <v>2.1.2.3</v>
      </c>
      <c r="B36" s="961" t="str">
        <f>CONCATENATE('3 pr-2'!B141)</f>
        <v>Priemonė:
Priemonių, gerinančių ambulatorinių sveikatos priežiūros paslaugų prieinamumą tuberkulioze sergantiems pacientams, įgyvendinimas</v>
      </c>
      <c r="C36" s="1212">
        <f>SUM('IV-1 su proj'!C140)</f>
        <v>0</v>
      </c>
      <c r="D36" s="1212">
        <f>SUM('IV-1 su proj'!D140)</f>
        <v>0</v>
      </c>
      <c r="E36" s="1212">
        <f>SUM('IV-1 su proj'!E140)</f>
        <v>0</v>
      </c>
      <c r="F36" s="1212">
        <f>SUM('IV-1 su proj'!J140)</f>
        <v>0</v>
      </c>
      <c r="G36" s="1212">
        <f>SUM('IV-1 su proj'!K140)</f>
        <v>0</v>
      </c>
      <c r="H36" s="1212">
        <f>SUM('IV-1 su proj'!P140)</f>
        <v>0</v>
      </c>
      <c r="I36" s="1212">
        <f>SUM('IV-1 su proj'!Q140)</f>
        <v>7197.3231661457658</v>
      </c>
      <c r="J36" s="1784">
        <f>SUM('IV-1 su proj'!V140)</f>
        <v>6052.269241527456</v>
      </c>
      <c r="K36" s="1212">
        <f>SUM('IV-1 su proj'!W140)</f>
        <v>24551.616407880414</v>
      </c>
      <c r="L36" s="1784">
        <f>SUM('IV-1 su proj'!AB140)</f>
        <v>20645.591337920756</v>
      </c>
      <c r="M36" s="1212">
        <f>SUM('IV-1 su proj'!AC140)</f>
        <v>33464.240425973818</v>
      </c>
      <c r="N36" s="1784">
        <f>SUM('IV-1 su proj'!AH140)</f>
        <v>28062.839420551787</v>
      </c>
      <c r="O36" s="1212">
        <f>SUM('IV-1 su proj'!AI140)</f>
        <v>65213.18</v>
      </c>
      <c r="P36" s="1784">
        <f>SUM('IV-1 su proj'!AS140)</f>
        <v>54760.7</v>
      </c>
      <c r="Q36" s="940">
        <f t="shared" si="4"/>
        <v>65213.179999999993</v>
      </c>
      <c r="R36" s="940">
        <f t="shared" si="5"/>
        <v>54760.7</v>
      </c>
      <c r="S36" s="940">
        <f t="shared" si="2"/>
        <v>7.2759576141834259E-12</v>
      </c>
      <c r="T36" s="940">
        <f t="shared" si="3"/>
        <v>0</v>
      </c>
    </row>
    <row r="37" spans="1:20" ht="44.25" thickBot="1" x14ac:dyDescent="0.3">
      <c r="A37" s="956" t="s">
        <v>35</v>
      </c>
      <c r="B37" s="957" t="s">
        <v>1180</v>
      </c>
      <c r="C37" s="1258">
        <f>SUM('IV-1 su proj'!C146)</f>
        <v>0</v>
      </c>
      <c r="D37" s="1258">
        <f>SUM('IV-1 su proj'!D146)</f>
        <v>0</v>
      </c>
      <c r="E37" s="1258">
        <f>SUM('IV-1 su proj'!E146)</f>
        <v>272169.55999999994</v>
      </c>
      <c r="F37" s="1258">
        <f>SUM('IV-1 su proj'!J146)</f>
        <v>239547.65159038958</v>
      </c>
      <c r="G37" s="1258">
        <f>SUM('IV-1 su proj'!K146)</f>
        <v>1171598</v>
      </c>
      <c r="H37" s="1258">
        <f>SUM('IV-1 su proj'!P146)</f>
        <v>1061732.2084096104</v>
      </c>
      <c r="I37" s="1258">
        <f>SUM('IV-1 su proj'!Q146)</f>
        <v>2028980.1052366511</v>
      </c>
      <c r="J37" s="1258">
        <f>SUM('IV-1 su proj'!V146)</f>
        <v>1560200.3710698928</v>
      </c>
      <c r="K37" s="1258">
        <f>SUM('IV-1 su proj'!W146)</f>
        <v>728775.25476334884</v>
      </c>
      <c r="L37" s="1258">
        <f>SUM('IV-1 su proj'!AB146)</f>
        <v>545254.90893010737</v>
      </c>
      <c r="M37" s="1258">
        <f>SUM('IV-1 su proj'!AC146)</f>
        <v>0</v>
      </c>
      <c r="N37" s="1258">
        <f>SUM('IV-1 su proj'!AH146)</f>
        <v>0</v>
      </c>
      <c r="O37" s="1258">
        <f>SUM('IV-1 su proj'!AI146)</f>
        <v>4201522.92</v>
      </c>
      <c r="P37" s="1258">
        <f>SUM('IV-1 su proj'!AS146)</f>
        <v>3406735.14</v>
      </c>
      <c r="Q37" s="940">
        <f t="shared" si="4"/>
        <v>4201522.92</v>
      </c>
      <c r="R37" s="940">
        <f t="shared" si="5"/>
        <v>3406735.14</v>
      </c>
      <c r="S37" s="940">
        <f t="shared" si="2"/>
        <v>0</v>
      </c>
      <c r="T37" s="940">
        <f t="shared" si="3"/>
        <v>0</v>
      </c>
    </row>
    <row r="38" spans="1:20" ht="27" thickBot="1" x14ac:dyDescent="0.3">
      <c r="A38" s="958" t="s">
        <v>36</v>
      </c>
      <c r="B38" s="959" t="s">
        <v>1181</v>
      </c>
      <c r="C38" s="1259">
        <f>SUM('IV-1 su proj'!C147)</f>
        <v>0</v>
      </c>
      <c r="D38" s="1259">
        <f>SUM('IV-1 su proj'!D147)</f>
        <v>0</v>
      </c>
      <c r="E38" s="1259">
        <f>SUM('IV-1 su proj'!E147)</f>
        <v>0</v>
      </c>
      <c r="F38" s="1259">
        <f>SUM('IV-1 su proj'!J147)</f>
        <v>0</v>
      </c>
      <c r="G38" s="1259">
        <f>SUM('IV-1 su proj'!K147)</f>
        <v>25688.32</v>
      </c>
      <c r="H38" s="1259">
        <f>SUM('IV-1 su proj'!P147)</f>
        <v>22923.620000000003</v>
      </c>
      <c r="I38" s="1259">
        <f>SUM('IV-1 su proj'!Q147)</f>
        <v>837829.71442513634</v>
      </c>
      <c r="J38" s="1259">
        <f>SUM('IV-1 su proj'!V147)</f>
        <v>601723.44207848795</v>
      </c>
      <c r="K38" s="1259">
        <f>SUM('IV-1 su proj'!W147)</f>
        <v>371803.7655748637</v>
      </c>
      <c r="L38" s="1259">
        <f>SUM('IV-1 su proj'!AB147)</f>
        <v>261114.08792151205</v>
      </c>
      <c r="M38" s="1259">
        <f>SUM('IV-1 su proj'!AC147)</f>
        <v>0</v>
      </c>
      <c r="N38" s="1259">
        <f>SUM('IV-1 su proj'!AH147)</f>
        <v>0</v>
      </c>
      <c r="O38" s="1259">
        <f>SUM('IV-1 su proj'!AI147)</f>
        <v>1235321.8</v>
      </c>
      <c r="P38" s="1305">
        <f>SUM('IV-1 su proj'!AS147)</f>
        <v>885761.15</v>
      </c>
      <c r="Q38" s="940">
        <f t="shared" si="4"/>
        <v>1235321.8</v>
      </c>
      <c r="R38" s="940">
        <f t="shared" si="5"/>
        <v>885761.15</v>
      </c>
      <c r="S38" s="940">
        <f t="shared" si="2"/>
        <v>0</v>
      </c>
      <c r="T38" s="940">
        <f t="shared" si="3"/>
        <v>0</v>
      </c>
    </row>
    <row r="39" spans="1:20" ht="27" thickBot="1" x14ac:dyDescent="0.3">
      <c r="A39" s="958" t="s">
        <v>37</v>
      </c>
      <c r="B39" s="959" t="s">
        <v>1182</v>
      </c>
      <c r="C39" s="1259">
        <f>SUM('IV-1 su proj'!C153)</f>
        <v>0</v>
      </c>
      <c r="D39" s="1259">
        <f>SUM('IV-1 su proj'!D153)</f>
        <v>0</v>
      </c>
      <c r="E39" s="1259">
        <f>SUM('IV-1 su proj'!E153)</f>
        <v>272169.55999999994</v>
      </c>
      <c r="F39" s="1259">
        <f>SUM('IV-1 su proj'!J153)</f>
        <v>239547.65159038958</v>
      </c>
      <c r="G39" s="1259">
        <f>SUM('IV-1 su proj'!K153)</f>
        <v>1145909.68</v>
      </c>
      <c r="H39" s="1259">
        <f>SUM('IV-1 su proj'!P153)</f>
        <v>1038808.5884096104</v>
      </c>
      <c r="I39" s="1259">
        <f>SUM('IV-1 su proj'!Q153)</f>
        <v>1191150.3908115148</v>
      </c>
      <c r="J39" s="1259">
        <f>SUM('IV-1 su proj'!V153)</f>
        <v>958476.92899140471</v>
      </c>
      <c r="K39" s="1259">
        <f>SUM('IV-1 su proj'!W153)</f>
        <v>356971.48918848514</v>
      </c>
      <c r="L39" s="1259">
        <f>SUM('IV-1 su proj'!AB153)</f>
        <v>284140.82100859529</v>
      </c>
      <c r="M39" s="1259">
        <f>SUM('IV-1 su proj'!AC153)</f>
        <v>0</v>
      </c>
      <c r="N39" s="1259">
        <f>SUM('IV-1 su proj'!AH153)</f>
        <v>0</v>
      </c>
      <c r="O39" s="1259">
        <f>SUM('IV-1 su proj'!AI153)</f>
        <v>2966201.12</v>
      </c>
      <c r="P39" s="1259">
        <f>SUM('IV-1 su proj'!AS153)</f>
        <v>2520973.9900000002</v>
      </c>
      <c r="Q39" s="940">
        <f t="shared" si="4"/>
        <v>2966201.1199999996</v>
      </c>
      <c r="R39" s="940">
        <f t="shared" si="5"/>
        <v>2520973.9899999998</v>
      </c>
      <c r="S39" s="940">
        <f t="shared" si="2"/>
        <v>4.6566128730773926E-10</v>
      </c>
      <c r="T39" s="940">
        <f t="shared" si="3"/>
        <v>4.6566128730773926E-10</v>
      </c>
    </row>
    <row r="40" spans="1:20" ht="44.25" thickBot="1" x14ac:dyDescent="0.3">
      <c r="A40" s="956" t="s">
        <v>38</v>
      </c>
      <c r="B40" s="957" t="s">
        <v>1183</v>
      </c>
      <c r="C40" s="1258">
        <f>SUM('IV-1 su proj'!C159)</f>
        <v>0</v>
      </c>
      <c r="D40" s="1258">
        <f>SUM('IV-1 su proj'!D159)</f>
        <v>0</v>
      </c>
      <c r="E40" s="1258">
        <f>SUM('IV-1 su proj'!E159)</f>
        <v>0</v>
      </c>
      <c r="F40" s="1258">
        <f>SUM('IV-1 su proj'!J159)</f>
        <v>0</v>
      </c>
      <c r="G40" s="1258">
        <f>SUM('IV-1 su proj'!K159)</f>
        <v>0</v>
      </c>
      <c r="H40" s="1258">
        <f>SUM('IV-1 su proj'!P159)</f>
        <v>0</v>
      </c>
      <c r="I40" s="1258">
        <f>SUM('IV-1 su proj'!Q159)</f>
        <v>284039.62597476691</v>
      </c>
      <c r="J40" s="1258">
        <f>SUM('IV-1 su proj'!V159)</f>
        <v>241398.76196705305</v>
      </c>
      <c r="K40" s="1258">
        <f>SUM('IV-1 su proj'!W159)</f>
        <v>444078.20022039925</v>
      </c>
      <c r="L40" s="1258">
        <f>SUM('IV-1 su proj'!AB159)</f>
        <v>377411.17110312328</v>
      </c>
      <c r="M40" s="1258">
        <f>SUM('IV-1 su proj'!AC159)</f>
        <v>378869.90380483388</v>
      </c>
      <c r="N40" s="1258">
        <f>SUM('IV-1 su proj'!AH159)</f>
        <v>321997.90692982357</v>
      </c>
      <c r="O40" s="1258">
        <f>SUM('IV-1 su proj'!AI159)</f>
        <v>1106987.73</v>
      </c>
      <c r="P40" s="1258">
        <f>SUM('IV-1 su proj'!AS159)</f>
        <v>940807.84000000008</v>
      </c>
      <c r="Q40" s="940">
        <f t="shared" si="4"/>
        <v>1106987.73</v>
      </c>
      <c r="R40" s="940">
        <f t="shared" si="5"/>
        <v>940807.83999999985</v>
      </c>
      <c r="S40" s="940">
        <f t="shared" si="2"/>
        <v>0</v>
      </c>
      <c r="T40" s="940">
        <f t="shared" si="3"/>
        <v>2.3283064365386963E-10</v>
      </c>
    </row>
    <row r="41" spans="1:20" ht="27" thickBot="1" x14ac:dyDescent="0.3">
      <c r="A41" s="958" t="s">
        <v>39</v>
      </c>
      <c r="B41" s="959" t="s">
        <v>1184</v>
      </c>
      <c r="C41" s="1261">
        <f>SUM('IV-1 su proj'!C160)</f>
        <v>0</v>
      </c>
      <c r="D41" s="1259">
        <f>SUM('IV-1 su proj'!D160)</f>
        <v>0</v>
      </c>
      <c r="E41" s="1259">
        <f>SUM('IV-1 su proj'!E160)</f>
        <v>0</v>
      </c>
      <c r="F41" s="1259">
        <f>SUM('IV-1 su proj'!J160)</f>
        <v>0</v>
      </c>
      <c r="G41" s="1259">
        <f>SUM('IV-1 su proj'!K160)</f>
        <v>0</v>
      </c>
      <c r="H41" s="1259">
        <f>SUM('IV-1 su proj'!P160)</f>
        <v>0</v>
      </c>
      <c r="I41" s="1259">
        <f>SUM('IV-1 su proj'!Q160)</f>
        <v>284039.62597476691</v>
      </c>
      <c r="J41" s="1259">
        <f>SUM('IV-1 su proj'!V160)</f>
        <v>241398.76196705305</v>
      </c>
      <c r="K41" s="1259">
        <f>SUM('IV-1 su proj'!W160)</f>
        <v>444078.20022039925</v>
      </c>
      <c r="L41" s="1259">
        <f>SUM('IV-1 su proj'!AB160)</f>
        <v>377411.17110312328</v>
      </c>
      <c r="M41" s="1259">
        <f>SUM('IV-1 su proj'!AC160)</f>
        <v>378869.90380483388</v>
      </c>
      <c r="N41" s="1259">
        <f>SUM('IV-1 su proj'!AH160)</f>
        <v>321997.90692982357</v>
      </c>
      <c r="O41" s="1259">
        <f>SUM('IV-1 su proj'!AI160)</f>
        <v>1106987.73</v>
      </c>
      <c r="P41" s="1259">
        <f>SUM('IV-1 su proj'!AS160)</f>
        <v>940807.84000000008</v>
      </c>
      <c r="Q41" s="940">
        <f t="shared" si="4"/>
        <v>1106987.73</v>
      </c>
      <c r="R41" s="940">
        <f t="shared" si="5"/>
        <v>940807.83999999985</v>
      </c>
      <c r="S41" s="940">
        <f t="shared" si="2"/>
        <v>0</v>
      </c>
      <c r="T41" s="940">
        <f t="shared" si="3"/>
        <v>2.3283064365386963E-10</v>
      </c>
    </row>
    <row r="42" spans="1:20" ht="32.25" thickBot="1" x14ac:dyDescent="0.3">
      <c r="A42" s="954" t="s">
        <v>40</v>
      </c>
      <c r="B42" s="955" t="s">
        <v>1185</v>
      </c>
      <c r="C42" s="1257">
        <f>SUM('IV-1 su proj'!C167)</f>
        <v>0</v>
      </c>
      <c r="D42" s="1257">
        <f>SUM('IV-1 su proj'!D167)</f>
        <v>0</v>
      </c>
      <c r="E42" s="1257">
        <f>SUM('IV-1 su proj'!E167)</f>
        <v>0</v>
      </c>
      <c r="F42" s="1257">
        <f>SUM('IV-1 su proj'!J167)</f>
        <v>0</v>
      </c>
      <c r="G42" s="1257">
        <f>SUM('IV-1 su proj'!K167)</f>
        <v>909520.6399999999</v>
      </c>
      <c r="H42" s="1257">
        <f>SUM('IV-1 su proj'!P167)</f>
        <v>846940.74</v>
      </c>
      <c r="I42" s="1307">
        <f>SUM('IV-1 su proj'!Q167)</f>
        <v>3047243.2282815352</v>
      </c>
      <c r="J42" s="1307">
        <f>SUM('IV-1 su proj'!V167)</f>
        <v>2424194.8077696525</v>
      </c>
      <c r="K42" s="1307">
        <f>SUM('IV-1 su proj'!W167)</f>
        <v>2087718.5611206398</v>
      </c>
      <c r="L42" s="1307">
        <f>SUM('IV-1 su proj'!AB167)</f>
        <v>1708398.1735028536</v>
      </c>
      <c r="M42" s="1307">
        <f>SUM('IV-1 su proj'!AC167)</f>
        <v>594002.42177429504</v>
      </c>
      <c r="N42" s="1307">
        <f>SUM('IV-1 su proj'!AH167)</f>
        <v>504901.79872749391</v>
      </c>
      <c r="O42" s="1257">
        <f>SUM('IV-1 su proj'!AI167)</f>
        <v>6638484.8511764705</v>
      </c>
      <c r="P42" s="1257">
        <f>SUM('IV-1 su proj'!AS167)</f>
        <v>5484435.5199999996</v>
      </c>
      <c r="Q42" s="940">
        <f t="shared" si="4"/>
        <v>6638484.8511764696</v>
      </c>
      <c r="R42" s="940">
        <f t="shared" si="5"/>
        <v>5484435.5199999996</v>
      </c>
      <c r="S42" s="940">
        <f t="shared" si="2"/>
        <v>9.3132257461547852E-10</v>
      </c>
      <c r="T42" s="940">
        <f t="shared" si="3"/>
        <v>0</v>
      </c>
    </row>
    <row r="43" spans="1:20" ht="30" thickBot="1" x14ac:dyDescent="0.3">
      <c r="A43" s="956" t="s">
        <v>41</v>
      </c>
      <c r="B43" s="957" t="s">
        <v>1186</v>
      </c>
      <c r="C43" s="1258">
        <f>SUM('IV-1 su proj'!C168)</f>
        <v>0</v>
      </c>
      <c r="D43" s="1258">
        <f>SUM('IV-1 su proj'!D168)</f>
        <v>0</v>
      </c>
      <c r="E43" s="1258">
        <f>SUM('IV-1 su proj'!E168)</f>
        <v>0</v>
      </c>
      <c r="F43" s="1258">
        <f>SUM('IV-1 su proj'!J168)</f>
        <v>0</v>
      </c>
      <c r="G43" s="1258">
        <f>SUM('IV-1 su proj'!K168)</f>
        <v>666385.71</v>
      </c>
      <c r="H43" s="1258">
        <f>SUM('IV-1 su proj'!P168)</f>
        <v>607002.71</v>
      </c>
      <c r="I43" s="1258">
        <f>SUM('IV-1 su proj'!Q168)</f>
        <v>2311645.3182815355</v>
      </c>
      <c r="J43" s="1258">
        <f>SUM('IV-1 su proj'!V168)</f>
        <v>1832209.9577696526</v>
      </c>
      <c r="K43" s="1258">
        <f>SUM('IV-1 su proj'!W168)</f>
        <v>1152656.0217184643</v>
      </c>
      <c r="L43" s="1258">
        <f>SUM('IV-1 su proj'!AB168)</f>
        <v>913595.10223034734</v>
      </c>
      <c r="M43" s="1258">
        <f>SUM('IV-1 su proj'!AC168)</f>
        <v>0</v>
      </c>
      <c r="N43" s="1258">
        <f>SUM('IV-1 su proj'!AH168)</f>
        <v>0</v>
      </c>
      <c r="O43" s="1258">
        <f>SUM('IV-1 su proj'!AI168)</f>
        <v>4130687.05</v>
      </c>
      <c r="P43" s="1258">
        <f>SUM('IV-1 su proj'!AS168)</f>
        <v>3352807.77</v>
      </c>
      <c r="Q43" s="940">
        <f t="shared" si="4"/>
        <v>4130687.05</v>
      </c>
      <c r="R43" s="940">
        <f t="shared" si="5"/>
        <v>3352807.77</v>
      </c>
      <c r="S43" s="940">
        <f t="shared" si="2"/>
        <v>0</v>
      </c>
      <c r="T43" s="940">
        <f t="shared" si="3"/>
        <v>0</v>
      </c>
    </row>
    <row r="44" spans="1:20" ht="27" thickBot="1" x14ac:dyDescent="0.3">
      <c r="A44" s="958" t="s">
        <v>42</v>
      </c>
      <c r="B44" s="959" t="s">
        <v>1187</v>
      </c>
      <c r="C44" s="1212">
        <v>0</v>
      </c>
      <c r="D44" s="1262">
        <v>0</v>
      </c>
      <c r="E44" s="1259">
        <f>SUM('IV-1 su proj'!E169)</f>
        <v>0</v>
      </c>
      <c r="F44" s="1259">
        <f>SUM('IV-1 su proj'!J169)</f>
        <v>0</v>
      </c>
      <c r="G44" s="1259">
        <f>SUM('IV-1 su proj'!K169)</f>
        <v>666385.71</v>
      </c>
      <c r="H44" s="1259">
        <f>SUM('IV-1 su proj'!P169)</f>
        <v>607002.71</v>
      </c>
      <c r="I44" s="1259">
        <f>SUM('IV-1 su proj'!Q169)</f>
        <v>2311645.3182815355</v>
      </c>
      <c r="J44" s="1259">
        <f>SUM('IV-1 su proj'!V169)</f>
        <v>1832209.9577696526</v>
      </c>
      <c r="K44" s="1259">
        <f>SUM('IV-1 su proj'!W169)</f>
        <v>1152656.0217184643</v>
      </c>
      <c r="L44" s="1259">
        <f>SUM('IV-1 su proj'!AB169)</f>
        <v>913595.10223034734</v>
      </c>
      <c r="M44" s="1259">
        <f>SUM('IV-1 su proj'!AC169)</f>
        <v>0</v>
      </c>
      <c r="N44" s="1259">
        <f>SUM('IV-1 su proj'!AH169)</f>
        <v>0</v>
      </c>
      <c r="O44" s="1259">
        <f>SUM('IV-1 su proj'!AI169)</f>
        <v>4130687.05</v>
      </c>
      <c r="P44" s="1259">
        <f>SUM('IV-1 su proj'!AS169)</f>
        <v>3352807.77</v>
      </c>
      <c r="Q44" s="940">
        <f t="shared" si="4"/>
        <v>4130687.05</v>
      </c>
      <c r="R44" s="940">
        <f t="shared" si="5"/>
        <v>3352807.77</v>
      </c>
      <c r="S44" s="940">
        <f t="shared" si="2"/>
        <v>0</v>
      </c>
      <c r="T44" s="940">
        <f t="shared" si="3"/>
        <v>0</v>
      </c>
    </row>
    <row r="45" spans="1:20" ht="30" thickBot="1" x14ac:dyDescent="0.3">
      <c r="A45" s="956" t="s">
        <v>43</v>
      </c>
      <c r="B45" s="957" t="s">
        <v>1188</v>
      </c>
      <c r="C45" s="1258">
        <f>SUM('IV-1 su proj'!C172)</f>
        <v>0</v>
      </c>
      <c r="D45" s="1258">
        <f>SUM('IV-1 su proj'!D172)</f>
        <v>0</v>
      </c>
      <c r="E45" s="1258">
        <f>SUM('IV-1 su proj'!E172)</f>
        <v>0</v>
      </c>
      <c r="F45" s="1258">
        <f>SUM('IV-1 su proj'!J172)</f>
        <v>0</v>
      </c>
      <c r="G45" s="1258">
        <f>SUM('IV-1 su proj'!K172)</f>
        <v>243134.93</v>
      </c>
      <c r="H45" s="1258">
        <f>SUM('IV-1 su proj'!P172)</f>
        <v>239938.03</v>
      </c>
      <c r="I45" s="1306">
        <f>SUM('IV-1 su proj'!Q172)</f>
        <v>735597.90999999992</v>
      </c>
      <c r="J45" s="1306">
        <f>SUM('IV-1 su proj'!V172)</f>
        <v>591984.85</v>
      </c>
      <c r="K45" s="1306">
        <f>SUM('IV-1 su proj'!W172)</f>
        <v>935062.53940217546</v>
      </c>
      <c r="L45" s="1306">
        <f>SUM('IV-1 su proj'!AB172)</f>
        <v>794803.07127250615</v>
      </c>
      <c r="M45" s="1306">
        <f>SUM('IV-1 su proj'!AC172)</f>
        <v>594002.42177429504</v>
      </c>
      <c r="N45" s="1306">
        <f>SUM('IV-1 su proj'!AH172)</f>
        <v>504901.79872749391</v>
      </c>
      <c r="O45" s="1258">
        <f>SUM('IV-1 su proj'!AI172)</f>
        <v>2507797.8011764702</v>
      </c>
      <c r="P45" s="1258">
        <f>SUM('IV-1 su proj'!AS172)</f>
        <v>2131627.75</v>
      </c>
      <c r="Q45" s="940">
        <f t="shared" si="4"/>
        <v>2507797.8011764702</v>
      </c>
      <c r="R45" s="940">
        <f t="shared" si="5"/>
        <v>2131627.75</v>
      </c>
      <c r="S45" s="940">
        <f t="shared" si="2"/>
        <v>0</v>
      </c>
      <c r="T45" s="940">
        <f t="shared" si="3"/>
        <v>0</v>
      </c>
    </row>
    <row r="46" spans="1:20" ht="27" thickBot="1" x14ac:dyDescent="0.3">
      <c r="A46" s="958" t="s">
        <v>44</v>
      </c>
      <c r="B46" s="959" t="s">
        <v>1189</v>
      </c>
      <c r="C46" s="1259">
        <f>SUM('IV-1 su proj'!C173)</f>
        <v>0</v>
      </c>
      <c r="D46" s="1259">
        <f>SUM('IV-1 su proj'!D173)</f>
        <v>0</v>
      </c>
      <c r="E46" s="1259">
        <f>SUM('IV-1 su proj'!E173)</f>
        <v>0</v>
      </c>
      <c r="F46" s="1259">
        <f>SUM('IV-1 su proj'!J173)</f>
        <v>0</v>
      </c>
      <c r="G46" s="1259">
        <f>SUM('IV-1 su proj'!K173)</f>
        <v>243134.93</v>
      </c>
      <c r="H46" s="1259">
        <f>SUM('IV-1 su proj'!P173)</f>
        <v>239938.03</v>
      </c>
      <c r="I46" s="1305">
        <f>SUM('IV-1 su proj'!Q173)</f>
        <v>735597.90999999992</v>
      </c>
      <c r="J46" s="1305">
        <f>SUM('IV-1 su proj'!V173)</f>
        <v>591984.85</v>
      </c>
      <c r="K46" s="1305">
        <f>SUM('IV-1 su proj'!W173)</f>
        <v>935062.53940217546</v>
      </c>
      <c r="L46" s="1305">
        <f>SUM('IV-1 su proj'!AB173)</f>
        <v>794803.07127250615</v>
      </c>
      <c r="M46" s="1305">
        <f>SUM('IV-1 su proj'!AC173)</f>
        <v>594002.42177429504</v>
      </c>
      <c r="N46" s="1305">
        <f>SUM('IV-1 su proj'!AH173)</f>
        <v>504901.79872749391</v>
      </c>
      <c r="O46" s="1259">
        <f>SUM('IV-1 su proj'!AI173)</f>
        <v>2507797.8011764702</v>
      </c>
      <c r="P46" s="1305">
        <f>SUM('IV-1 su proj'!AS173)</f>
        <v>2131627.75</v>
      </c>
      <c r="Q46" s="940">
        <f>SUM(G46+I46+K46+M46)</f>
        <v>2507797.8011764702</v>
      </c>
      <c r="R46" s="940">
        <f>SUM(H46+J46+L46+N46)</f>
        <v>2131627.75</v>
      </c>
      <c r="S46" s="940">
        <f t="shared" si="2"/>
        <v>0</v>
      </c>
      <c r="T46" s="940">
        <f t="shared" si="3"/>
        <v>0</v>
      </c>
    </row>
    <row r="47" spans="1:20" ht="16.5" thickBot="1" x14ac:dyDescent="0.3">
      <c r="A47" s="129"/>
      <c r="B47" s="962"/>
      <c r="C47" s="1807" t="s">
        <v>45</v>
      </c>
      <c r="D47" s="1808"/>
      <c r="E47" s="1808"/>
      <c r="F47" s="1808"/>
      <c r="G47" s="1808"/>
      <c r="H47" s="1808"/>
      <c r="I47" s="1808"/>
      <c r="J47" s="1808"/>
      <c r="K47" s="1808"/>
      <c r="L47" s="1808"/>
      <c r="M47" s="1808"/>
      <c r="N47" s="1808"/>
      <c r="O47" s="1808"/>
      <c r="P47" s="1809"/>
      <c r="S47" s="940">
        <f t="shared" si="2"/>
        <v>0</v>
      </c>
      <c r="T47" s="940">
        <f t="shared" si="3"/>
        <v>0</v>
      </c>
    </row>
    <row r="48" spans="1:20" ht="31.5" customHeight="1" thickBot="1" x14ac:dyDescent="0.3">
      <c r="A48" s="129"/>
      <c r="B48" s="962"/>
      <c r="C48" s="1815">
        <v>2015</v>
      </c>
      <c r="D48" s="1811"/>
      <c r="E48" s="1810">
        <v>2016</v>
      </c>
      <c r="F48" s="1811"/>
      <c r="G48" s="1810">
        <v>2017</v>
      </c>
      <c r="H48" s="1811"/>
      <c r="I48" s="1810">
        <v>2018</v>
      </c>
      <c r="J48" s="1811"/>
      <c r="K48" s="1810">
        <v>2019</v>
      </c>
      <c r="L48" s="1811"/>
      <c r="M48" s="1810">
        <v>2020</v>
      </c>
      <c r="N48" s="1811"/>
      <c r="O48" s="1812" t="s">
        <v>6</v>
      </c>
      <c r="P48" s="1813"/>
      <c r="S48" s="940"/>
      <c r="T48" s="940"/>
    </row>
    <row r="49" spans="1:20" ht="16.5" thickBot="1" x14ac:dyDescent="0.3">
      <c r="A49" s="129"/>
      <c r="B49" s="962"/>
      <c r="C49" s="963" t="s">
        <v>9</v>
      </c>
      <c r="D49" s="963" t="s">
        <v>10</v>
      </c>
      <c r="E49" s="963" t="s">
        <v>9</v>
      </c>
      <c r="F49" s="963" t="s">
        <v>10</v>
      </c>
      <c r="G49" s="963" t="s">
        <v>9</v>
      </c>
      <c r="H49" s="963" t="s">
        <v>10</v>
      </c>
      <c r="I49" s="963" t="s">
        <v>9</v>
      </c>
      <c r="J49" s="963" t="s">
        <v>10</v>
      </c>
      <c r="K49" s="963" t="s">
        <v>9</v>
      </c>
      <c r="L49" s="963" t="s">
        <v>10</v>
      </c>
      <c r="M49" s="963" t="s">
        <v>9</v>
      </c>
      <c r="N49" s="963" t="s">
        <v>10</v>
      </c>
      <c r="O49" s="963" t="s">
        <v>9</v>
      </c>
      <c r="P49" s="964" t="s">
        <v>10</v>
      </c>
      <c r="S49" s="940"/>
      <c r="T49" s="940"/>
    </row>
    <row r="50" spans="1:20" ht="16.5" thickBot="1" x14ac:dyDescent="0.3">
      <c r="A50" s="131"/>
      <c r="B50" s="965"/>
      <c r="C50" s="1263">
        <f>SUM('IV-1 su proj'!C186)</f>
        <v>0</v>
      </c>
      <c r="D50" s="1263">
        <f>SUM('IV-1 su proj'!D186)</f>
        <v>0</v>
      </c>
      <c r="E50" s="1263">
        <f>SUM('IV-1 su proj'!E186)</f>
        <v>1107408.0345507418</v>
      </c>
      <c r="F50" s="1263">
        <f>SUM('IV-1 su proj'!J186)</f>
        <v>608263.2015903896</v>
      </c>
      <c r="G50" s="1263">
        <f>SUM('IV-1 su proj'!K186)</f>
        <v>8016017.6799999988</v>
      </c>
      <c r="H50" s="1263">
        <f>SUM('IV-1 su proj'!P186)</f>
        <v>6840851.71840961</v>
      </c>
      <c r="I50" s="1787">
        <f>SUM('IV-1 su proj'!Q186)</f>
        <v>24959227.891321249</v>
      </c>
      <c r="J50" s="1787">
        <f>SUM('IV-1 su proj'!V186)</f>
        <v>16988945.38147546</v>
      </c>
      <c r="K50" s="1787">
        <f>SUM('IV-1 su proj'!W186)</f>
        <v>20526467.1646243</v>
      </c>
      <c r="L50" s="1787">
        <f>SUM('IV-1 su proj'!AB186)</f>
        <v>14687189.718889443</v>
      </c>
      <c r="M50" s="1787">
        <f>SUM('IV-1 su proj'!AC186)</f>
        <v>12617533.497739002</v>
      </c>
      <c r="N50" s="1787">
        <f>SUM('IV-1 su proj'!AH186)</f>
        <v>8988919.1096350942</v>
      </c>
      <c r="O50" s="1263">
        <f>SUM('IV-1 su proj'!AI186)</f>
        <v>67226654.268235296</v>
      </c>
      <c r="P50" s="1787">
        <f>SUM('IV-1 su proj'!AS186)</f>
        <v>48114169.129999995</v>
      </c>
      <c r="Q50" s="940">
        <f>SUM(E50+G50+I50+K50+M50)</f>
        <v>67226654.268235296</v>
      </c>
      <c r="R50" s="940">
        <f>SUM(F50+H50+J50+L50+N50)</f>
        <v>48114169.129999995</v>
      </c>
      <c r="S50" s="940">
        <f t="shared" si="2"/>
        <v>0</v>
      </c>
      <c r="T50" s="940">
        <f t="shared" si="3"/>
        <v>0</v>
      </c>
    </row>
    <row r="51" spans="1:20" ht="15.75" thickTop="1" x14ac:dyDescent="0.25"/>
    <row r="55" spans="1:20" x14ac:dyDescent="0.25">
      <c r="P55" s="940"/>
    </row>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3622047244094491" right="0.23622047244094491" top="0.74803149606299213" bottom="0.74803149606299213" header="0.31496062992125984" footer="0.31496062992125984"/>
  <pageSetup paperSize="8" scale="78"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9"/>
  <sheetViews>
    <sheetView workbookViewId="0">
      <pane ySplit="2640" topLeftCell="A49" activePane="bottomLeft"/>
      <selection activeCell="Q3" sqref="Q3"/>
      <selection pane="bottomLeft" activeCell="O56" sqref="O56"/>
    </sheetView>
  </sheetViews>
  <sheetFormatPr defaultColWidth="9.140625" defaultRowHeight="15" x14ac:dyDescent="0.25"/>
  <cols>
    <col min="1" max="1" width="9.140625" style="52"/>
    <col min="2" max="2" width="13.28515625" style="52" customWidth="1"/>
    <col min="3" max="3" width="27.5703125" style="52" customWidth="1"/>
    <col min="4" max="4" width="12.42578125" style="52" customWidth="1"/>
    <col min="5" max="5" width="14.42578125" style="52" bestFit="1" customWidth="1"/>
    <col min="6" max="6" width="11.42578125" style="52" customWidth="1"/>
    <col min="7" max="7" width="17.28515625" style="52" customWidth="1"/>
    <col min="8" max="8" width="4.5703125" style="52" bestFit="1" customWidth="1"/>
    <col min="9" max="9" width="5" style="52" bestFit="1" customWidth="1"/>
    <col min="10" max="10" width="6.42578125" style="52" bestFit="1" customWidth="1"/>
    <col min="11" max="11" width="16.42578125" style="52" bestFit="1" customWidth="1"/>
    <col min="12" max="14" width="14.28515625" style="52" bestFit="1" customWidth="1"/>
    <col min="15" max="15" width="9.28515625" style="52" bestFit="1" customWidth="1"/>
    <col min="16" max="16" width="16.42578125" style="52" bestFit="1" customWidth="1"/>
    <col min="17" max="17" width="9.85546875" style="52" customWidth="1"/>
    <col min="18" max="18" width="12.7109375" style="52" hidden="1" customWidth="1"/>
    <col min="19" max="19" width="11.85546875" style="52" customWidth="1"/>
    <col min="20" max="20" width="10.28515625" style="52" customWidth="1"/>
    <col min="21" max="21" width="9.140625" style="52"/>
    <col min="22" max="22" width="10.85546875" style="52" customWidth="1"/>
    <col min="23" max="24" width="18" style="52" hidden="1" customWidth="1"/>
    <col min="25" max="25" width="22.42578125" style="52" hidden="1" customWidth="1"/>
    <col min="26" max="16384" width="9.140625" style="52"/>
  </cols>
  <sheetData>
    <row r="1" spans="1:25" ht="15.75" thickBot="1" x14ac:dyDescent="0.3">
      <c r="A1" s="26" t="s">
        <v>73</v>
      </c>
      <c r="B1" s="26"/>
    </row>
    <row r="2" spans="1:25" ht="16.5" customHeight="1" thickTop="1" thickBot="1" x14ac:dyDescent="0.3">
      <c r="A2" s="1956" t="s">
        <v>46</v>
      </c>
      <c r="B2" s="1957"/>
      <c r="C2" s="1957"/>
      <c r="D2" s="1957"/>
      <c r="E2" s="1957"/>
      <c r="F2" s="1957"/>
      <c r="G2" s="1957"/>
      <c r="H2" s="1957"/>
      <c r="I2" s="1957"/>
      <c r="J2" s="1958"/>
      <c r="K2" s="1959" t="s">
        <v>47</v>
      </c>
      <c r="L2" s="1957"/>
      <c r="M2" s="1957"/>
      <c r="N2" s="1957"/>
      <c r="O2" s="1957"/>
      <c r="P2" s="1958"/>
      <c r="Q2" s="1327"/>
      <c r="R2" s="1959" t="s">
        <v>48</v>
      </c>
      <c r="S2" s="1961"/>
      <c r="T2" s="1961"/>
      <c r="U2" s="1961"/>
      <c r="V2" s="1962"/>
      <c r="W2" s="1954" t="s">
        <v>117</v>
      </c>
      <c r="X2" s="1954" t="s">
        <v>118</v>
      </c>
      <c r="Y2" s="1954" t="s">
        <v>122</v>
      </c>
    </row>
    <row r="3" spans="1:25" ht="84.75" thickBot="1" x14ac:dyDescent="0.3">
      <c r="A3" s="27" t="s">
        <v>7</v>
      </c>
      <c r="B3" s="28"/>
      <c r="C3" s="28" t="s">
        <v>49</v>
      </c>
      <c r="D3" s="28" t="s">
        <v>50</v>
      </c>
      <c r="E3" s="28" t="s">
        <v>51</v>
      </c>
      <c r="F3" s="28" t="s">
        <v>52</v>
      </c>
      <c r="G3" s="29" t="s">
        <v>53</v>
      </c>
      <c r="H3" s="28" t="s">
        <v>54</v>
      </c>
      <c r="I3" s="28" t="s">
        <v>55</v>
      </c>
      <c r="J3" s="28" t="s">
        <v>56</v>
      </c>
      <c r="K3" s="28" t="s">
        <v>57</v>
      </c>
      <c r="L3" s="28" t="s">
        <v>58</v>
      </c>
      <c r="M3" s="28" t="s">
        <v>59</v>
      </c>
      <c r="N3" s="28" t="s">
        <v>60</v>
      </c>
      <c r="O3" s="28" t="s">
        <v>61</v>
      </c>
      <c r="P3" s="28" t="s">
        <v>10</v>
      </c>
      <c r="Q3" s="28" t="s">
        <v>1806</v>
      </c>
      <c r="R3" s="720" t="s">
        <v>1142</v>
      </c>
      <c r="S3" s="28" t="s">
        <v>62</v>
      </c>
      <c r="T3" s="28" t="s">
        <v>63</v>
      </c>
      <c r="U3" s="28" t="s">
        <v>64</v>
      </c>
      <c r="V3" s="30" t="s">
        <v>65</v>
      </c>
      <c r="W3" s="1955"/>
      <c r="X3" s="1955"/>
      <c r="Y3" s="1955"/>
    </row>
    <row r="4" spans="1:25" ht="15.75" thickBot="1" x14ac:dyDescent="0.3">
      <c r="A4" s="19"/>
      <c r="B4" s="16"/>
      <c r="C4" s="16"/>
      <c r="D4" s="16"/>
      <c r="E4" s="16"/>
      <c r="F4" s="16"/>
      <c r="G4" s="11"/>
      <c r="H4" s="16"/>
      <c r="I4" s="16"/>
      <c r="J4" s="16"/>
      <c r="K4" s="16"/>
      <c r="L4" s="16"/>
      <c r="M4" s="16"/>
      <c r="N4" s="16"/>
      <c r="O4" s="16"/>
      <c r="P4" s="16"/>
      <c r="Q4" s="16"/>
      <c r="R4" s="16"/>
      <c r="S4" s="16"/>
      <c r="T4" s="16"/>
      <c r="U4" s="16"/>
      <c r="V4" s="53"/>
      <c r="W4" s="34"/>
      <c r="X4" s="34"/>
      <c r="Y4" s="34"/>
    </row>
    <row r="5" spans="1:25" ht="57" customHeight="1" thickBot="1" x14ac:dyDescent="0.3">
      <c r="A5" s="158" t="s">
        <v>11</v>
      </c>
      <c r="B5" s="715"/>
      <c r="C5" s="1897" t="s">
        <v>1405</v>
      </c>
      <c r="D5" s="1898"/>
      <c r="E5" s="1898"/>
      <c r="F5" s="1898"/>
      <c r="G5" s="1898"/>
      <c r="H5" s="1898"/>
      <c r="I5" s="1898"/>
      <c r="J5" s="1899"/>
      <c r="K5" s="1237">
        <f t="shared" ref="K5:P5" si="0">SUM(K6+K32)</f>
        <v>4927192.2458823528</v>
      </c>
      <c r="L5" s="1237">
        <f t="shared" si="0"/>
        <v>540534.11588235293</v>
      </c>
      <c r="M5" s="1237">
        <f t="shared" si="0"/>
        <v>235280</v>
      </c>
      <c r="N5" s="1237">
        <f t="shared" si="0"/>
        <v>650525</v>
      </c>
      <c r="O5" s="1237">
        <f t="shared" si="0"/>
        <v>0</v>
      </c>
      <c r="P5" s="1237">
        <f t="shared" si="0"/>
        <v>3500853.13</v>
      </c>
      <c r="Q5" s="1237"/>
      <c r="R5" s="153"/>
      <c r="S5" s="159" t="s">
        <v>66</v>
      </c>
      <c r="T5" s="159" t="s">
        <v>66</v>
      </c>
      <c r="U5" s="159" t="s">
        <v>66</v>
      </c>
      <c r="V5" s="167"/>
      <c r="W5" s="35">
        <f>SUM(W6+W32)</f>
        <v>3455125.3220000002</v>
      </c>
      <c r="X5" s="35">
        <f>SUM(X6+X32)</f>
        <v>4146150.3863999997</v>
      </c>
      <c r="Y5" s="35" t="e">
        <f>SUM(Y6+Y32)</f>
        <v>#REF!</v>
      </c>
    </row>
    <row r="6" spans="1:25" ht="54.75" customHeight="1" thickBot="1" x14ac:dyDescent="0.3">
      <c r="A6" s="151" t="s">
        <v>12</v>
      </c>
      <c r="B6" s="714"/>
      <c r="C6" s="1887" t="s">
        <v>1406</v>
      </c>
      <c r="D6" s="1900"/>
      <c r="E6" s="1900"/>
      <c r="F6" s="1900"/>
      <c r="G6" s="1900"/>
      <c r="H6" s="1900"/>
      <c r="I6" s="1900"/>
      <c r="J6" s="1901"/>
      <c r="K6" s="1228">
        <f t="shared" ref="K6:P6" si="1">SUM(K7+K16+K18+K20+K22+K24+K26+K28+K30)</f>
        <v>4227249.7058823528</v>
      </c>
      <c r="L6" s="1228">
        <f t="shared" si="1"/>
        <v>402791.70588235295</v>
      </c>
      <c r="M6" s="1228">
        <f t="shared" si="1"/>
        <v>235280</v>
      </c>
      <c r="N6" s="1228">
        <f t="shared" si="1"/>
        <v>650525</v>
      </c>
      <c r="O6" s="1228">
        <f t="shared" si="1"/>
        <v>0</v>
      </c>
      <c r="P6" s="1228">
        <f t="shared" si="1"/>
        <v>2938653</v>
      </c>
      <c r="Q6" s="1228"/>
      <c r="R6" s="132"/>
      <c r="S6" s="133" t="s">
        <v>66</v>
      </c>
      <c r="T6" s="133" t="s">
        <v>66</v>
      </c>
      <c r="U6" s="133" t="s">
        <v>66</v>
      </c>
      <c r="V6" s="168"/>
      <c r="W6" s="36">
        <f>SUM(W7+W16+W18+W20+W22+W24+W26+W28+W30)</f>
        <v>2885862.3220000002</v>
      </c>
      <c r="X6" s="36">
        <f>SUM(X7+X16+X18+X20+X22+X24+X26+X28+X30)</f>
        <v>3463034.7863999996</v>
      </c>
      <c r="Y6" s="36" t="e">
        <f>SUM(Y7+Y16+Y18+Y20+Y22+Y24+Y26+Y28+Y30)</f>
        <v>#REF!</v>
      </c>
    </row>
    <row r="7" spans="1:25" ht="39" customHeight="1" thickBot="1" x14ac:dyDescent="0.3">
      <c r="A7" s="327" t="s">
        <v>67</v>
      </c>
      <c r="B7" s="710"/>
      <c r="C7" s="1885" t="s">
        <v>604</v>
      </c>
      <c r="D7" s="1894"/>
      <c r="E7" s="1894"/>
      <c r="F7" s="1894"/>
      <c r="G7" s="1894"/>
      <c r="H7" s="1894"/>
      <c r="I7" s="1894"/>
      <c r="J7" s="1895"/>
      <c r="K7" s="1215">
        <f t="shared" ref="K7:P7" si="2">SUM(K8:K15)</f>
        <v>1311016</v>
      </c>
      <c r="L7" s="1215">
        <f t="shared" si="2"/>
        <v>264219</v>
      </c>
      <c r="M7" s="1215">
        <f t="shared" si="2"/>
        <v>157020</v>
      </c>
      <c r="N7" s="1215">
        <f t="shared" si="2"/>
        <v>0</v>
      </c>
      <c r="O7" s="1215">
        <f t="shared" si="2"/>
        <v>0</v>
      </c>
      <c r="P7" s="1215">
        <f t="shared" si="2"/>
        <v>889777</v>
      </c>
      <c r="Q7" s="1215"/>
      <c r="R7" s="91"/>
      <c r="S7" s="329" t="s">
        <v>66</v>
      </c>
      <c r="T7" s="329" t="s">
        <v>66</v>
      </c>
      <c r="U7" s="329" t="s">
        <v>66</v>
      </c>
      <c r="V7" s="329"/>
      <c r="W7" s="37">
        <v>889717</v>
      </c>
      <c r="X7" s="37">
        <f>SUM(W7*120/100)</f>
        <v>1067660.3999999999</v>
      </c>
      <c r="Y7" s="38" t="e">
        <f>SUM(W7-(P7+#REF!))</f>
        <v>#REF!</v>
      </c>
    </row>
    <row r="8" spans="1:25" s="56" customFormat="1" ht="48.75" thickBot="1" x14ac:dyDescent="0.3">
      <c r="A8" s="125" t="str">
        <f>CONCATENATE('3 pr-2'!A16)</f>
        <v>1.1.1.1.7</v>
      </c>
      <c r="B8" s="125" t="str">
        <f>CONCATENATE('3 pr-2'!B16)</f>
        <v>R01-ZM72-123200-1107</v>
      </c>
      <c r="C8" s="125" t="s">
        <v>424</v>
      </c>
      <c r="D8" s="125" t="s">
        <v>184</v>
      </c>
      <c r="E8" s="125" t="s">
        <v>74</v>
      </c>
      <c r="F8" s="125" t="s">
        <v>1824</v>
      </c>
      <c r="G8" s="125" t="s">
        <v>444</v>
      </c>
      <c r="H8" s="376" t="s">
        <v>119</v>
      </c>
      <c r="I8" s="376" t="s">
        <v>66</v>
      </c>
      <c r="J8" s="376" t="s">
        <v>66</v>
      </c>
      <c r="K8" s="1210">
        <f t="shared" ref="K8:K15" si="3">SUM(L8:P8)</f>
        <v>252212</v>
      </c>
      <c r="L8" s="1210">
        <v>52212</v>
      </c>
      <c r="M8" s="1210">
        <v>30000</v>
      </c>
      <c r="N8" s="1210">
        <v>0</v>
      </c>
      <c r="O8" s="1210">
        <v>0</v>
      </c>
      <c r="P8" s="1210">
        <v>170000</v>
      </c>
      <c r="Q8" s="1210"/>
      <c r="R8" s="719">
        <v>42643</v>
      </c>
      <c r="S8" s="719">
        <v>42855</v>
      </c>
      <c r="T8" s="719">
        <v>43010</v>
      </c>
      <c r="U8" s="719">
        <v>43102</v>
      </c>
      <c r="V8" s="719">
        <v>43465</v>
      </c>
      <c r="W8" s="55"/>
      <c r="X8" s="55"/>
      <c r="Y8" s="55"/>
    </row>
    <row r="9" spans="1:25" s="56" customFormat="1" ht="36.75" thickBot="1" x14ac:dyDescent="0.3">
      <c r="A9" s="125" t="str">
        <f>CONCATENATE('3 pr-2'!A17)</f>
        <v>1.1.1.1.8</v>
      </c>
      <c r="B9" s="125" t="str">
        <f>CONCATENATE('3 pr-2'!B17)</f>
        <v>R01-ZM72-123200-1108</v>
      </c>
      <c r="C9" s="125" t="s">
        <v>425</v>
      </c>
      <c r="D9" s="125" t="s">
        <v>184</v>
      </c>
      <c r="E9" s="125" t="s">
        <v>74</v>
      </c>
      <c r="F9" s="125" t="s">
        <v>1824</v>
      </c>
      <c r="G9" s="125" t="s">
        <v>444</v>
      </c>
      <c r="H9" s="376" t="s">
        <v>119</v>
      </c>
      <c r="I9" s="376" t="s">
        <v>66</v>
      </c>
      <c r="J9" s="376" t="s">
        <v>66</v>
      </c>
      <c r="K9" s="1210">
        <f t="shared" si="3"/>
        <v>250309</v>
      </c>
      <c r="L9" s="1210">
        <v>50309</v>
      </c>
      <c r="M9" s="1210">
        <v>30000</v>
      </c>
      <c r="N9" s="1210">
        <v>0</v>
      </c>
      <c r="O9" s="1210">
        <v>0</v>
      </c>
      <c r="P9" s="1210">
        <v>170000</v>
      </c>
      <c r="Q9" s="1210"/>
      <c r="R9" s="719">
        <v>42643</v>
      </c>
      <c r="S9" s="719">
        <v>42855</v>
      </c>
      <c r="T9" s="719">
        <v>43010</v>
      </c>
      <c r="U9" s="719">
        <v>43102</v>
      </c>
      <c r="V9" s="719">
        <v>43465</v>
      </c>
      <c r="W9" s="745"/>
      <c r="X9" s="745"/>
      <c r="Y9" s="746"/>
    </row>
    <row r="10" spans="1:25" s="56" customFormat="1" ht="36.75" thickBot="1" x14ac:dyDescent="0.3">
      <c r="A10" s="125" t="str">
        <f>CONCATENATE('3 pr-2'!A21)</f>
        <v>1.1.1.1.12</v>
      </c>
      <c r="B10" s="125" t="str">
        <f>CONCATENATE('3 pr-2'!B21)</f>
        <v>R01-ZM72-120000-1112</v>
      </c>
      <c r="C10" s="125" t="s">
        <v>429</v>
      </c>
      <c r="D10" s="125" t="s">
        <v>184</v>
      </c>
      <c r="E10" s="125" t="s">
        <v>74</v>
      </c>
      <c r="F10" s="125" t="s">
        <v>1824</v>
      </c>
      <c r="G10" s="125" t="s">
        <v>444</v>
      </c>
      <c r="H10" s="376" t="s">
        <v>119</v>
      </c>
      <c r="I10" s="376" t="s">
        <v>66</v>
      </c>
      <c r="J10" s="376" t="s">
        <v>66</v>
      </c>
      <c r="K10" s="1210">
        <f t="shared" si="3"/>
        <v>153566</v>
      </c>
      <c r="L10" s="1210">
        <v>30713</v>
      </c>
      <c r="M10" s="1210">
        <v>18428</v>
      </c>
      <c r="N10" s="1210">
        <v>0</v>
      </c>
      <c r="O10" s="1210">
        <v>0</v>
      </c>
      <c r="P10" s="1210">
        <v>104425</v>
      </c>
      <c r="Q10" s="1210"/>
      <c r="R10" s="719">
        <v>42643</v>
      </c>
      <c r="S10" s="719">
        <v>42855</v>
      </c>
      <c r="T10" s="719">
        <v>43010</v>
      </c>
      <c r="U10" s="719">
        <v>43102</v>
      </c>
      <c r="V10" s="719">
        <v>43465</v>
      </c>
      <c r="W10" s="55"/>
      <c r="X10" s="55"/>
      <c r="Y10" s="380"/>
    </row>
    <row r="11" spans="1:25" s="56" customFormat="1" ht="36.75" thickBot="1" x14ac:dyDescent="0.3">
      <c r="A11" s="125" t="str">
        <f>CONCATENATE('3 pr-2'!A22)</f>
        <v>1.1.1.1.13</v>
      </c>
      <c r="B11" s="125" t="str">
        <f>CONCATENATE('3 pr-2'!B22)</f>
        <v>R01-ZM72-123200-1113</v>
      </c>
      <c r="C11" s="125" t="s">
        <v>430</v>
      </c>
      <c r="D11" s="125" t="s">
        <v>184</v>
      </c>
      <c r="E11" s="125" t="s">
        <v>74</v>
      </c>
      <c r="F11" s="125" t="s">
        <v>1824</v>
      </c>
      <c r="G11" s="125" t="s">
        <v>444</v>
      </c>
      <c r="H11" s="376" t="s">
        <v>119</v>
      </c>
      <c r="I11" s="376" t="s">
        <v>66</v>
      </c>
      <c r="J11" s="376" t="s">
        <v>66</v>
      </c>
      <c r="K11" s="1210">
        <f t="shared" si="3"/>
        <v>250000</v>
      </c>
      <c r="L11" s="1210">
        <v>50000</v>
      </c>
      <c r="M11" s="1210">
        <v>30000</v>
      </c>
      <c r="N11" s="1210">
        <v>0</v>
      </c>
      <c r="O11" s="1210">
        <v>0</v>
      </c>
      <c r="P11" s="1210">
        <v>170000</v>
      </c>
      <c r="Q11" s="1210"/>
      <c r="R11" s="719">
        <v>42643</v>
      </c>
      <c r="S11" s="719">
        <v>42855</v>
      </c>
      <c r="T11" s="719">
        <v>43010</v>
      </c>
      <c r="U11" s="719">
        <v>43102</v>
      </c>
      <c r="V11" s="719">
        <v>43465</v>
      </c>
      <c r="W11" s="55"/>
      <c r="X11" s="55"/>
      <c r="Y11" s="380"/>
    </row>
    <row r="12" spans="1:25" s="56" customFormat="1" ht="36.75" thickBot="1" x14ac:dyDescent="0.3">
      <c r="A12" s="125" t="str">
        <f>CONCATENATE('3 pr-2'!A24)</f>
        <v>1.1.1.1.15</v>
      </c>
      <c r="B12" s="125" t="str">
        <f>CONCATENATE('3 pr-2'!B24)</f>
        <v>R01-ZM72-123200-1115</v>
      </c>
      <c r="C12" s="125" t="s">
        <v>432</v>
      </c>
      <c r="D12" s="125" t="s">
        <v>184</v>
      </c>
      <c r="E12" s="125" t="s">
        <v>74</v>
      </c>
      <c r="F12" s="125" t="s">
        <v>1824</v>
      </c>
      <c r="G12" s="125" t="s">
        <v>444</v>
      </c>
      <c r="H12" s="376" t="s">
        <v>119</v>
      </c>
      <c r="I12" s="376" t="s">
        <v>66</v>
      </c>
      <c r="J12" s="376" t="s">
        <v>66</v>
      </c>
      <c r="K12" s="1210">
        <f t="shared" si="3"/>
        <v>76480</v>
      </c>
      <c r="L12" s="1210">
        <v>15296</v>
      </c>
      <c r="M12" s="1210">
        <v>9178</v>
      </c>
      <c r="N12" s="1210">
        <v>0</v>
      </c>
      <c r="O12" s="1210">
        <v>0</v>
      </c>
      <c r="P12" s="1210">
        <v>52006</v>
      </c>
      <c r="Q12" s="1210"/>
      <c r="R12" s="719">
        <v>42643</v>
      </c>
      <c r="S12" s="719">
        <v>42855</v>
      </c>
      <c r="T12" s="719">
        <v>43010</v>
      </c>
      <c r="U12" s="719">
        <v>43102</v>
      </c>
      <c r="V12" s="719">
        <v>43465</v>
      </c>
      <c r="W12" s="55"/>
      <c r="X12" s="55"/>
      <c r="Y12" s="380"/>
    </row>
    <row r="13" spans="1:25" s="56" customFormat="1" ht="36.75" thickBot="1" x14ac:dyDescent="0.3">
      <c r="A13" s="125" t="str">
        <f>CONCATENATE('3 pr-2'!A25)</f>
        <v>1.1.1.1.16</v>
      </c>
      <c r="B13" s="125" t="str">
        <f>CONCATENATE('3 pr-2'!B25)</f>
        <v>R01-ZM72-123200-1116</v>
      </c>
      <c r="C13" s="125" t="s">
        <v>433</v>
      </c>
      <c r="D13" s="125" t="s">
        <v>184</v>
      </c>
      <c r="E13" s="125" t="s">
        <v>74</v>
      </c>
      <c r="F13" s="125" t="s">
        <v>1824</v>
      </c>
      <c r="G13" s="125" t="s">
        <v>444</v>
      </c>
      <c r="H13" s="376" t="s">
        <v>119</v>
      </c>
      <c r="I13" s="376" t="s">
        <v>66</v>
      </c>
      <c r="J13" s="376" t="s">
        <v>66</v>
      </c>
      <c r="K13" s="1210">
        <f t="shared" si="3"/>
        <v>139472</v>
      </c>
      <c r="L13" s="1210">
        <v>27894</v>
      </c>
      <c r="M13" s="1210">
        <v>16737</v>
      </c>
      <c r="N13" s="1210">
        <v>0</v>
      </c>
      <c r="O13" s="1210">
        <v>0</v>
      </c>
      <c r="P13" s="1210">
        <v>94841</v>
      </c>
      <c r="Q13" s="1210"/>
      <c r="R13" s="719">
        <v>42643</v>
      </c>
      <c r="S13" s="719">
        <v>42855</v>
      </c>
      <c r="T13" s="719">
        <v>43010</v>
      </c>
      <c r="U13" s="719">
        <v>43102</v>
      </c>
      <c r="V13" s="719">
        <v>43465</v>
      </c>
      <c r="W13" s="55"/>
      <c r="X13" s="55"/>
      <c r="Y13" s="380"/>
    </row>
    <row r="14" spans="1:25" s="56" customFormat="1" ht="36.75" thickBot="1" x14ac:dyDescent="0.3">
      <c r="A14" s="125" t="str">
        <f>CONCATENATE('3 pr-2'!A28)</f>
        <v>1.1.1.1.19</v>
      </c>
      <c r="B14" s="125" t="str">
        <f>CONCATENATE('3 pr-2'!B28)</f>
        <v>R01-ZM72-120000-1119</v>
      </c>
      <c r="C14" s="125" t="s">
        <v>436</v>
      </c>
      <c r="D14" s="125" t="s">
        <v>184</v>
      </c>
      <c r="E14" s="125" t="s">
        <v>74</v>
      </c>
      <c r="F14" s="125" t="s">
        <v>1824</v>
      </c>
      <c r="G14" s="125" t="s">
        <v>444</v>
      </c>
      <c r="H14" s="376" t="s">
        <v>119</v>
      </c>
      <c r="I14" s="376" t="s">
        <v>66</v>
      </c>
      <c r="J14" s="376" t="s">
        <v>66</v>
      </c>
      <c r="K14" s="1210">
        <f t="shared" si="3"/>
        <v>117986</v>
      </c>
      <c r="L14" s="1210">
        <v>23597</v>
      </c>
      <c r="M14" s="1210">
        <v>14158</v>
      </c>
      <c r="N14" s="1210">
        <v>0</v>
      </c>
      <c r="O14" s="1210">
        <v>0</v>
      </c>
      <c r="P14" s="1210">
        <v>80231</v>
      </c>
      <c r="Q14" s="1210"/>
      <c r="R14" s="719">
        <v>42643</v>
      </c>
      <c r="S14" s="719">
        <v>42855</v>
      </c>
      <c r="T14" s="719">
        <v>43010</v>
      </c>
      <c r="U14" s="719">
        <v>43102</v>
      </c>
      <c r="V14" s="719">
        <v>43465</v>
      </c>
      <c r="W14" s="55"/>
      <c r="X14" s="55"/>
      <c r="Y14" s="380"/>
    </row>
    <row r="15" spans="1:25" s="56" customFormat="1" ht="36.75" thickBot="1" x14ac:dyDescent="0.3">
      <c r="A15" s="125" t="str">
        <f>CONCATENATE('3 pr-2'!A31)</f>
        <v>1.1.1.1.22</v>
      </c>
      <c r="B15" s="125" t="str">
        <f>CONCATENATE('3 pr-2'!B31)</f>
        <v>R01-ZM72-120000-1122</v>
      </c>
      <c r="C15" s="125" t="s">
        <v>439</v>
      </c>
      <c r="D15" s="125" t="s">
        <v>184</v>
      </c>
      <c r="E15" s="125" t="s">
        <v>74</v>
      </c>
      <c r="F15" s="125" t="s">
        <v>1824</v>
      </c>
      <c r="G15" s="125" t="s">
        <v>444</v>
      </c>
      <c r="H15" s="376" t="s">
        <v>119</v>
      </c>
      <c r="I15" s="376" t="s">
        <v>66</v>
      </c>
      <c r="J15" s="376" t="s">
        <v>66</v>
      </c>
      <c r="K15" s="1210">
        <f t="shared" si="3"/>
        <v>70991</v>
      </c>
      <c r="L15" s="1210">
        <v>14198</v>
      </c>
      <c r="M15" s="1210">
        <v>8519</v>
      </c>
      <c r="N15" s="1210">
        <v>0</v>
      </c>
      <c r="O15" s="1210">
        <v>0</v>
      </c>
      <c r="P15" s="1210">
        <v>48274</v>
      </c>
      <c r="Q15" s="1210"/>
      <c r="R15" s="719">
        <v>42643</v>
      </c>
      <c r="S15" s="719">
        <v>42855</v>
      </c>
      <c r="T15" s="719">
        <v>43010</v>
      </c>
      <c r="U15" s="719">
        <v>43102</v>
      </c>
      <c r="V15" s="719">
        <v>43465</v>
      </c>
      <c r="W15" s="55"/>
      <c r="X15" s="55"/>
      <c r="Y15" s="380"/>
    </row>
    <row r="16" spans="1:25" ht="39" customHeight="1" thickBot="1" x14ac:dyDescent="0.3">
      <c r="A16" s="327" t="s">
        <v>14</v>
      </c>
      <c r="B16" s="710"/>
      <c r="C16" s="1885" t="s">
        <v>605</v>
      </c>
      <c r="D16" s="1894"/>
      <c r="E16" s="1894"/>
      <c r="F16" s="1894"/>
      <c r="G16" s="1894"/>
      <c r="H16" s="1894"/>
      <c r="I16" s="1894"/>
      <c r="J16" s="1895"/>
      <c r="K16" s="1215">
        <f t="shared" ref="K16:O16" si="4">SUM(K17)</f>
        <v>1043467</v>
      </c>
      <c r="L16" s="1215">
        <f t="shared" si="4"/>
        <v>78260</v>
      </c>
      <c r="M16" s="1215">
        <f t="shared" si="4"/>
        <v>78260</v>
      </c>
      <c r="N16" s="1215">
        <f t="shared" si="4"/>
        <v>0</v>
      </c>
      <c r="O16" s="1215">
        <f t="shared" si="4"/>
        <v>0</v>
      </c>
      <c r="P16" s="1215">
        <f>SUM(P17)</f>
        <v>886947</v>
      </c>
      <c r="Q16" s="1215"/>
      <c r="R16" s="91"/>
      <c r="S16" s="329"/>
      <c r="T16" s="329"/>
      <c r="U16" s="329"/>
      <c r="V16" s="329"/>
      <c r="W16" s="37">
        <v>886947</v>
      </c>
      <c r="X16" s="37">
        <f>SUM(W16*120/100)</f>
        <v>1064336.3999999999</v>
      </c>
      <c r="Y16" s="38">
        <f>SUM(W16-P16)</f>
        <v>0</v>
      </c>
    </row>
    <row r="17" spans="1:25" s="747" customFormat="1" ht="48.75" thickBot="1" x14ac:dyDescent="0.25">
      <c r="A17" s="125" t="str">
        <f>CONCATENATE('3 pr-2'!A36)</f>
        <v>1.1.1.2.3</v>
      </c>
      <c r="B17" s="125" t="str">
        <f>CONCATENATE('3 pr-2'!B36)</f>
        <v>R01-9908-290000-1123</v>
      </c>
      <c r="C17" s="125" t="s">
        <v>183</v>
      </c>
      <c r="D17" s="125" t="s">
        <v>184</v>
      </c>
      <c r="E17" s="125" t="s">
        <v>75</v>
      </c>
      <c r="F17" s="125" t="s">
        <v>1824</v>
      </c>
      <c r="G17" s="125" t="s">
        <v>146</v>
      </c>
      <c r="H17" s="376" t="s">
        <v>119</v>
      </c>
      <c r="I17" s="376" t="s">
        <v>66</v>
      </c>
      <c r="J17" s="376" t="s">
        <v>66</v>
      </c>
      <c r="K17" s="1210">
        <f>SUM(L17:P17)</f>
        <v>1043467</v>
      </c>
      <c r="L17" s="1210">
        <v>78260</v>
      </c>
      <c r="M17" s="1210">
        <v>78260</v>
      </c>
      <c r="N17" s="1210">
        <v>0</v>
      </c>
      <c r="O17" s="1210">
        <v>0</v>
      </c>
      <c r="P17" s="1210">
        <v>886947</v>
      </c>
      <c r="Q17" s="1210"/>
      <c r="R17" s="719">
        <v>42982</v>
      </c>
      <c r="S17" s="979">
        <v>43465</v>
      </c>
      <c r="T17" s="979">
        <v>43555</v>
      </c>
      <c r="U17" s="979">
        <v>43646</v>
      </c>
      <c r="V17" s="979">
        <v>44377</v>
      </c>
      <c r="W17" s="55"/>
      <c r="X17" s="55"/>
      <c r="Y17" s="55"/>
    </row>
    <row r="18" spans="1:25" ht="39" customHeight="1" thickBot="1" x14ac:dyDescent="0.3">
      <c r="A18" s="327" t="s">
        <v>70</v>
      </c>
      <c r="B18" s="710"/>
      <c r="C18" s="1885" t="s">
        <v>614</v>
      </c>
      <c r="D18" s="1894"/>
      <c r="E18" s="1894"/>
      <c r="F18" s="1894"/>
      <c r="G18" s="1894"/>
      <c r="H18" s="1894"/>
      <c r="I18" s="1894"/>
      <c r="J18" s="1895"/>
      <c r="K18" s="1215">
        <f t="shared" ref="K18:P20" si="5">SUM(K19:K19)</f>
        <v>0</v>
      </c>
      <c r="L18" s="1215">
        <f t="shared" si="5"/>
        <v>0</v>
      </c>
      <c r="M18" s="1215">
        <f t="shared" si="5"/>
        <v>0</v>
      </c>
      <c r="N18" s="1215">
        <f t="shared" si="5"/>
        <v>0</v>
      </c>
      <c r="O18" s="1215">
        <f t="shared" si="5"/>
        <v>0</v>
      </c>
      <c r="P18" s="1215">
        <f t="shared" si="5"/>
        <v>0</v>
      </c>
      <c r="Q18" s="1215"/>
      <c r="R18" s="91"/>
      <c r="S18" s="329"/>
      <c r="T18" s="329"/>
      <c r="U18" s="329"/>
      <c r="V18" s="329"/>
      <c r="W18" s="37">
        <v>0</v>
      </c>
      <c r="X18" s="37">
        <f>SUM(W18*120/100)</f>
        <v>0</v>
      </c>
      <c r="Y18" s="38">
        <f>SUM(W18-P18)</f>
        <v>0</v>
      </c>
    </row>
    <row r="19" spans="1:25" ht="15.75" thickBot="1" x14ac:dyDescent="0.3">
      <c r="A19" s="9"/>
      <c r="B19" s="9"/>
      <c r="C19" s="9"/>
      <c r="D19" s="8"/>
      <c r="E19" s="8"/>
      <c r="F19" s="8"/>
      <c r="G19" s="2"/>
      <c r="H19" s="8" t="s">
        <v>66</v>
      </c>
      <c r="I19" s="8"/>
      <c r="J19" s="8" t="s">
        <v>66</v>
      </c>
      <c r="K19" s="40"/>
      <c r="L19" s="40"/>
      <c r="M19" s="40"/>
      <c r="N19" s="40"/>
      <c r="O19" s="40"/>
      <c r="P19" s="40"/>
      <c r="Q19" s="40"/>
      <c r="R19" s="13"/>
      <c r="S19" s="66"/>
      <c r="T19" s="66"/>
      <c r="U19" s="66"/>
      <c r="V19" s="8"/>
      <c r="W19" s="34"/>
      <c r="X19" s="34"/>
      <c r="Y19" s="34"/>
    </row>
    <row r="20" spans="1:25" ht="39" customHeight="1" thickBot="1" x14ac:dyDescent="0.3">
      <c r="A20" s="327" t="s">
        <v>16</v>
      </c>
      <c r="B20" s="710"/>
      <c r="C20" s="1885" t="s">
        <v>615</v>
      </c>
      <c r="D20" s="1894"/>
      <c r="E20" s="1894"/>
      <c r="F20" s="1894"/>
      <c r="G20" s="1894"/>
      <c r="H20" s="1894"/>
      <c r="I20" s="1894"/>
      <c r="J20" s="1895"/>
      <c r="K20" s="1215">
        <f t="shared" si="5"/>
        <v>0</v>
      </c>
      <c r="L20" s="1215">
        <f t="shared" si="5"/>
        <v>0</v>
      </c>
      <c r="M20" s="1215">
        <f t="shared" si="5"/>
        <v>0</v>
      </c>
      <c r="N20" s="1215">
        <f t="shared" si="5"/>
        <v>0</v>
      </c>
      <c r="O20" s="1215">
        <f t="shared" si="5"/>
        <v>0</v>
      </c>
      <c r="P20" s="1215">
        <f t="shared" si="5"/>
        <v>0</v>
      </c>
      <c r="Q20" s="1215"/>
      <c r="R20" s="91"/>
      <c r="S20" s="329"/>
      <c r="T20" s="329"/>
      <c r="U20" s="329"/>
      <c r="V20" s="329"/>
      <c r="W20" s="37">
        <v>0</v>
      </c>
      <c r="X20" s="37">
        <f>SUM(W20*120/100)</f>
        <v>0</v>
      </c>
      <c r="Y20" s="38">
        <v>0</v>
      </c>
    </row>
    <row r="21" spans="1:25" ht="15.75" thickBot="1" x14ac:dyDescent="0.3">
      <c r="A21" s="7"/>
      <c r="B21" s="14"/>
      <c r="C21" s="16"/>
      <c r="D21" s="16"/>
      <c r="E21" s="16"/>
      <c r="F21" s="16"/>
      <c r="G21" s="11"/>
      <c r="H21" s="16"/>
      <c r="I21" s="16"/>
      <c r="J21" s="16"/>
      <c r="K21" s="734"/>
      <c r="L21" s="734"/>
      <c r="M21" s="734"/>
      <c r="N21" s="734"/>
      <c r="O21" s="734"/>
      <c r="P21" s="734"/>
      <c r="Q21" s="734"/>
      <c r="R21" s="3"/>
      <c r="S21" s="16"/>
      <c r="T21" s="16"/>
      <c r="U21" s="16"/>
      <c r="V21" s="57"/>
      <c r="W21" s="34"/>
      <c r="X21" s="34"/>
      <c r="Y21" s="34"/>
    </row>
    <row r="22" spans="1:25" ht="39" customHeight="1" thickBot="1" x14ac:dyDescent="0.3">
      <c r="A22" s="327" t="s">
        <v>76</v>
      </c>
      <c r="B22" s="710"/>
      <c r="C22" s="1885" t="s">
        <v>616</v>
      </c>
      <c r="D22" s="1894"/>
      <c r="E22" s="1894"/>
      <c r="F22" s="1894"/>
      <c r="G22" s="1894"/>
      <c r="H22" s="1894"/>
      <c r="I22" s="1894"/>
      <c r="J22" s="1895"/>
      <c r="K22" s="1215">
        <f t="shared" ref="K22:P22" si="6">SUM(K23:K23)</f>
        <v>1571000</v>
      </c>
      <c r="L22" s="1215">
        <f t="shared" si="6"/>
        <v>0</v>
      </c>
      <c r="M22" s="1215">
        <f t="shared" si="6"/>
        <v>0</v>
      </c>
      <c r="N22" s="1215">
        <f t="shared" si="6"/>
        <v>650525</v>
      </c>
      <c r="O22" s="1215">
        <f t="shared" si="6"/>
        <v>0</v>
      </c>
      <c r="P22" s="1215">
        <f t="shared" si="6"/>
        <v>920475</v>
      </c>
      <c r="Q22" s="1215"/>
      <c r="R22" s="91"/>
      <c r="S22" s="329"/>
      <c r="T22" s="329"/>
      <c r="U22" s="329"/>
      <c r="V22" s="329"/>
      <c r="W22" s="37">
        <v>867744</v>
      </c>
      <c r="X22" s="37">
        <f>SUM(W22*120/100)</f>
        <v>1041292.8</v>
      </c>
      <c r="Y22" s="38">
        <f>SUM(W22-P22)</f>
        <v>-52731</v>
      </c>
    </row>
    <row r="23" spans="1:25" s="56" customFormat="1" ht="48.75" thickBot="1" x14ac:dyDescent="0.3">
      <c r="A23" s="125" t="str">
        <f>CONCATENATE('3 pr-2'!A55)</f>
        <v>1.1.1.5.5.</v>
      </c>
      <c r="B23" s="125"/>
      <c r="C23" s="125" t="s">
        <v>306</v>
      </c>
      <c r="D23" s="125" t="s">
        <v>300</v>
      </c>
      <c r="E23" s="125" t="s">
        <v>77</v>
      </c>
      <c r="F23" s="125" t="s">
        <v>1824</v>
      </c>
      <c r="G23" s="125" t="s">
        <v>144</v>
      </c>
      <c r="H23" s="376" t="s">
        <v>119</v>
      </c>
      <c r="I23" s="376" t="s">
        <v>66</v>
      </c>
      <c r="J23" s="376" t="s">
        <v>66</v>
      </c>
      <c r="K23" s="1211">
        <f>SUM(L23:P23)</f>
        <v>1571000</v>
      </c>
      <c r="L23" s="1210">
        <v>0</v>
      </c>
      <c r="M23" s="1210">
        <v>0</v>
      </c>
      <c r="N23" s="1211">
        <v>650525</v>
      </c>
      <c r="O23" s="1210">
        <v>0</v>
      </c>
      <c r="P23" s="1211">
        <v>920475</v>
      </c>
      <c r="Q23" s="1211"/>
      <c r="R23" s="719">
        <v>42451</v>
      </c>
      <c r="S23" s="719">
        <v>42551</v>
      </c>
      <c r="T23" s="719">
        <v>42919</v>
      </c>
      <c r="U23" s="719">
        <v>43146</v>
      </c>
      <c r="V23" s="719">
        <v>44196</v>
      </c>
      <c r="W23" s="55"/>
      <c r="X23" s="55"/>
      <c r="Y23" s="55"/>
    </row>
    <row r="24" spans="1:25" ht="39" customHeight="1" thickBot="1" x14ac:dyDescent="0.3">
      <c r="A24" s="327" t="s">
        <v>79</v>
      </c>
      <c r="B24" s="710"/>
      <c r="C24" s="1885" t="s">
        <v>617</v>
      </c>
      <c r="D24" s="1894"/>
      <c r="E24" s="1894"/>
      <c r="F24" s="1894"/>
      <c r="G24" s="1894"/>
      <c r="H24" s="1894"/>
      <c r="I24" s="1894"/>
      <c r="J24" s="1895"/>
      <c r="K24" s="1215">
        <f t="shared" ref="K24:P24" si="7">SUM(K25)</f>
        <v>0</v>
      </c>
      <c r="L24" s="1215">
        <f t="shared" si="7"/>
        <v>0</v>
      </c>
      <c r="M24" s="1215">
        <f t="shared" si="7"/>
        <v>0</v>
      </c>
      <c r="N24" s="1215">
        <f t="shared" si="7"/>
        <v>0</v>
      </c>
      <c r="O24" s="1215">
        <f t="shared" si="7"/>
        <v>0</v>
      </c>
      <c r="P24" s="1215">
        <f t="shared" si="7"/>
        <v>0</v>
      </c>
      <c r="Q24" s="1215"/>
      <c r="R24" s="91"/>
      <c r="S24" s="329"/>
      <c r="T24" s="329"/>
      <c r="U24" s="329"/>
      <c r="V24" s="329"/>
      <c r="W24" s="37">
        <v>0</v>
      </c>
      <c r="X24" s="37">
        <f>SUM(W24*120/100)</f>
        <v>0</v>
      </c>
      <c r="Y24" s="38">
        <f>SUM(W24-P24)</f>
        <v>0</v>
      </c>
    </row>
    <row r="25" spans="1:25" ht="15.75" thickBot="1" x14ac:dyDescent="0.3">
      <c r="A25" s="90"/>
      <c r="B25" s="90"/>
      <c r="C25" s="90"/>
      <c r="D25" s="90"/>
      <c r="E25" s="90"/>
      <c r="F25" s="90"/>
      <c r="G25" s="90"/>
      <c r="H25" s="15"/>
      <c r="I25" s="15"/>
      <c r="J25" s="15"/>
      <c r="K25" s="718"/>
      <c r="L25" s="718"/>
      <c r="M25" s="718"/>
      <c r="N25" s="718"/>
      <c r="O25" s="718"/>
      <c r="P25" s="718"/>
      <c r="Q25" s="718"/>
      <c r="R25" s="17"/>
      <c r="S25" s="357"/>
      <c r="T25" s="357"/>
      <c r="U25" s="357"/>
      <c r="V25" s="740"/>
      <c r="W25" s="34"/>
      <c r="X25" s="34"/>
      <c r="Y25" s="34"/>
    </row>
    <row r="26" spans="1:25" ht="39" customHeight="1" thickBot="1" x14ac:dyDescent="0.3">
      <c r="A26" s="327" t="s">
        <v>81</v>
      </c>
      <c r="B26" s="710"/>
      <c r="C26" s="1885" t="s">
        <v>618</v>
      </c>
      <c r="D26" s="1894"/>
      <c r="E26" s="1894"/>
      <c r="F26" s="1894"/>
      <c r="G26" s="1894"/>
      <c r="H26" s="1894"/>
      <c r="I26" s="1894"/>
      <c r="J26" s="1895"/>
      <c r="K26" s="1215">
        <f>SUM(K27)</f>
        <v>41644.705882352944</v>
      </c>
      <c r="L26" s="1215">
        <f>SUM(L27)</f>
        <v>6246.7058823529414</v>
      </c>
      <c r="M26" s="1215">
        <f t="shared" ref="M26:O28" si="8">SUM(M27)</f>
        <v>0</v>
      </c>
      <c r="N26" s="1215">
        <f t="shared" si="8"/>
        <v>0</v>
      </c>
      <c r="O26" s="1215">
        <f t="shared" si="8"/>
        <v>0</v>
      </c>
      <c r="P26" s="1215">
        <f>SUM(P27)</f>
        <v>35398</v>
      </c>
      <c r="Q26" s="1215"/>
      <c r="R26" s="91"/>
      <c r="S26" s="329"/>
      <c r="T26" s="329"/>
      <c r="U26" s="329"/>
      <c r="V26" s="329"/>
      <c r="W26" s="37">
        <v>35398</v>
      </c>
      <c r="X26" s="37">
        <f>SUM(W26*120/100)</f>
        <v>42477.599999999999</v>
      </c>
      <c r="Y26" s="38">
        <f>SUM(W26-P26)</f>
        <v>0</v>
      </c>
    </row>
    <row r="27" spans="1:25" ht="36.75" thickBot="1" x14ac:dyDescent="0.3">
      <c r="A27" s="90" t="s">
        <v>83</v>
      </c>
      <c r="B27" s="90"/>
      <c r="C27" s="90" t="s">
        <v>272</v>
      </c>
      <c r="D27" s="90" t="s">
        <v>350</v>
      </c>
      <c r="E27" s="90" t="s">
        <v>82</v>
      </c>
      <c r="F27" s="90" t="s">
        <v>185</v>
      </c>
      <c r="G27" s="248" t="s">
        <v>142</v>
      </c>
      <c r="H27" s="15" t="s">
        <v>119</v>
      </c>
      <c r="I27" s="15" t="s">
        <v>66</v>
      </c>
      <c r="J27" s="17" t="s">
        <v>66</v>
      </c>
      <c r="K27" s="718">
        <f>SUM(L27:P27)</f>
        <v>41644.705882352944</v>
      </c>
      <c r="L27" s="718">
        <v>6246.7058823529414</v>
      </c>
      <c r="M27" s="718">
        <v>0</v>
      </c>
      <c r="N27" s="718">
        <v>0</v>
      </c>
      <c r="O27" s="718">
        <v>0</v>
      </c>
      <c r="P27" s="718">
        <v>35398</v>
      </c>
      <c r="Q27" s="718"/>
      <c r="R27" s="17"/>
      <c r="S27" s="357">
        <v>42643</v>
      </c>
      <c r="T27" s="357">
        <v>42766</v>
      </c>
      <c r="U27" s="357">
        <v>42855</v>
      </c>
      <c r="V27" s="719">
        <v>43830</v>
      </c>
      <c r="W27" s="34"/>
      <c r="X27" s="34"/>
      <c r="Y27" s="34"/>
    </row>
    <row r="28" spans="1:25" ht="39" customHeight="1" thickBot="1" x14ac:dyDescent="0.3">
      <c r="A28" s="327" t="s">
        <v>84</v>
      </c>
      <c r="B28" s="710"/>
      <c r="C28" s="1885" t="s">
        <v>619</v>
      </c>
      <c r="D28" s="1894"/>
      <c r="E28" s="1894"/>
      <c r="F28" s="1894"/>
      <c r="G28" s="1894"/>
      <c r="H28" s="1894"/>
      <c r="I28" s="1894"/>
      <c r="J28" s="1895"/>
      <c r="K28" s="1215">
        <f>SUM(K29)</f>
        <v>0</v>
      </c>
      <c r="L28" s="1215">
        <f>SUM(L29)</f>
        <v>0</v>
      </c>
      <c r="M28" s="1215">
        <f t="shared" si="8"/>
        <v>0</v>
      </c>
      <c r="N28" s="1215">
        <f t="shared" si="8"/>
        <v>0</v>
      </c>
      <c r="O28" s="1215">
        <f t="shared" si="8"/>
        <v>0</v>
      </c>
      <c r="P28" s="1215">
        <f>SUM(P29)</f>
        <v>0</v>
      </c>
      <c r="Q28" s="1215"/>
      <c r="R28" s="91"/>
      <c r="S28" s="329"/>
      <c r="T28" s="329"/>
      <c r="U28" s="329"/>
      <c r="V28" s="329"/>
      <c r="W28" s="37">
        <v>0</v>
      </c>
      <c r="X28" s="37">
        <f>SUM(W28*120/100)</f>
        <v>0</v>
      </c>
      <c r="Y28" s="38">
        <f>SUM(W28-P28)</f>
        <v>0</v>
      </c>
    </row>
    <row r="29" spans="1:25" ht="15.75" thickBot="1" x14ac:dyDescent="0.3">
      <c r="A29" s="9"/>
      <c r="B29" s="9"/>
      <c r="C29" s="9"/>
      <c r="D29" s="8"/>
      <c r="E29" s="8"/>
      <c r="F29" s="8"/>
      <c r="G29" s="12"/>
      <c r="H29" s="9"/>
      <c r="I29" s="9"/>
      <c r="J29" s="9"/>
      <c r="K29" s="1238"/>
      <c r="L29" s="54"/>
      <c r="M29" s="54"/>
      <c r="N29" s="54"/>
      <c r="O29" s="54"/>
      <c r="P29" s="54"/>
      <c r="Q29" s="54"/>
      <c r="R29" s="6"/>
      <c r="S29" s="749"/>
      <c r="T29" s="749"/>
      <c r="U29" s="749"/>
      <c r="V29" s="9"/>
      <c r="W29" s="34"/>
      <c r="X29" s="34"/>
      <c r="Y29" s="34"/>
    </row>
    <row r="30" spans="1:25" ht="39" customHeight="1" thickBot="1" x14ac:dyDescent="0.3">
      <c r="A30" s="327" t="s">
        <v>86</v>
      </c>
      <c r="B30" s="710"/>
      <c r="C30" s="1885" t="s">
        <v>620</v>
      </c>
      <c r="D30" s="1894"/>
      <c r="E30" s="1894"/>
      <c r="F30" s="1894"/>
      <c r="G30" s="1894"/>
      <c r="H30" s="1894"/>
      <c r="I30" s="1894"/>
      <c r="J30" s="1895"/>
      <c r="K30" s="1215">
        <f>SUM(K31)</f>
        <v>260122</v>
      </c>
      <c r="L30" s="1215">
        <f t="shared" ref="L30:O30" si="9">SUM(L31)</f>
        <v>54066</v>
      </c>
      <c r="M30" s="1215">
        <f t="shared" si="9"/>
        <v>0</v>
      </c>
      <c r="N30" s="1215">
        <f t="shared" si="9"/>
        <v>0</v>
      </c>
      <c r="O30" s="1215">
        <f t="shared" si="9"/>
        <v>0</v>
      </c>
      <c r="P30" s="1215">
        <f>SUM(P31)</f>
        <v>206056</v>
      </c>
      <c r="Q30" s="1215"/>
      <c r="R30" s="91"/>
      <c r="S30" s="329"/>
      <c r="T30" s="329"/>
      <c r="U30" s="329"/>
      <c r="V30" s="329"/>
      <c r="W30" s="37">
        <v>206056.32199999999</v>
      </c>
      <c r="X30" s="37">
        <f>SUM(W30*120/100)</f>
        <v>247267.58639999997</v>
      </c>
      <c r="Y30" s="38">
        <f>SUM(W30-P30)</f>
        <v>0.3219999999855645</v>
      </c>
    </row>
    <row r="31" spans="1:25" ht="36.75" thickBot="1" x14ac:dyDescent="0.3">
      <c r="A31" s="90" t="str">
        <f>CONCATENATE('3 pr-2'!A71)</f>
        <v>1.1.1.9.4</v>
      </c>
      <c r="B31" s="90"/>
      <c r="C31" s="90" t="s">
        <v>382</v>
      </c>
      <c r="D31" s="90" t="s">
        <v>184</v>
      </c>
      <c r="E31" s="90" t="s">
        <v>116</v>
      </c>
      <c r="F31" s="90" t="s">
        <v>1824</v>
      </c>
      <c r="G31" s="248" t="s">
        <v>182</v>
      </c>
      <c r="H31" s="15" t="s">
        <v>119</v>
      </c>
      <c r="I31" s="15" t="s">
        <v>66</v>
      </c>
      <c r="J31" s="17" t="s">
        <v>66</v>
      </c>
      <c r="K31" s="1209">
        <f>SUM(L31:P31)</f>
        <v>260122</v>
      </c>
      <c r="L31" s="1209">
        <v>54066</v>
      </c>
      <c r="M31" s="718">
        <v>0</v>
      </c>
      <c r="N31" s="718">
        <v>0</v>
      </c>
      <c r="O31" s="718">
        <v>0</v>
      </c>
      <c r="P31" s="718">
        <v>206056</v>
      </c>
      <c r="Q31" s="718"/>
      <c r="R31" s="487">
        <v>42667</v>
      </c>
      <c r="S31" s="357">
        <v>42794</v>
      </c>
      <c r="T31" s="311">
        <v>43190</v>
      </c>
      <c r="U31" s="311">
        <v>43281</v>
      </c>
      <c r="V31" s="719">
        <v>44196</v>
      </c>
      <c r="W31" s="34"/>
      <c r="X31" s="34"/>
      <c r="Y31" s="34"/>
    </row>
    <row r="32" spans="1:25" ht="37.5" customHeight="1" thickBot="1" x14ac:dyDescent="0.3">
      <c r="A32" s="151" t="s">
        <v>22</v>
      </c>
      <c r="B32" s="714"/>
      <c r="C32" s="1887" t="s">
        <v>1407</v>
      </c>
      <c r="D32" s="1900"/>
      <c r="E32" s="1900"/>
      <c r="F32" s="1900"/>
      <c r="G32" s="1900"/>
      <c r="H32" s="1900"/>
      <c r="I32" s="1900"/>
      <c r="J32" s="1901"/>
      <c r="K32" s="1228">
        <f t="shared" ref="K32:P32" si="10">SUM(K33+K35+K37+K39)</f>
        <v>699942.54</v>
      </c>
      <c r="L32" s="1228">
        <f t="shared" si="10"/>
        <v>137742.41</v>
      </c>
      <c r="M32" s="1228">
        <f t="shared" si="10"/>
        <v>0</v>
      </c>
      <c r="N32" s="1228">
        <f t="shared" si="10"/>
        <v>0</v>
      </c>
      <c r="O32" s="1228">
        <f t="shared" si="10"/>
        <v>0</v>
      </c>
      <c r="P32" s="1228">
        <f t="shared" si="10"/>
        <v>562200.13</v>
      </c>
      <c r="Q32" s="1228"/>
      <c r="R32" s="132"/>
      <c r="S32" s="133"/>
      <c r="T32" s="133"/>
      <c r="U32" s="133"/>
      <c r="V32" s="168"/>
      <c r="W32" s="36">
        <f>SUM(W33+W35+W37+W39)</f>
        <v>569263</v>
      </c>
      <c r="X32" s="36">
        <f>SUM(X33+X35+X37+X39)</f>
        <v>683115.6</v>
      </c>
      <c r="Y32" s="36">
        <f>SUM(Y33+Y35+Y37+Y39)</f>
        <v>7062.8699999999953</v>
      </c>
    </row>
    <row r="33" spans="1:27" ht="39" customHeight="1" thickBot="1" x14ac:dyDescent="0.3">
      <c r="A33" s="327" t="s">
        <v>88</v>
      </c>
      <c r="B33" s="710"/>
      <c r="C33" s="1885" t="s">
        <v>622</v>
      </c>
      <c r="D33" s="1894"/>
      <c r="E33" s="1894"/>
      <c r="F33" s="1894"/>
      <c r="G33" s="1894"/>
      <c r="H33" s="1894"/>
      <c r="I33" s="1894"/>
      <c r="J33" s="1895"/>
      <c r="K33" s="1215">
        <f t="shared" ref="K33:O33" si="11">SUM(K34)</f>
        <v>326175</v>
      </c>
      <c r="L33" s="1215">
        <f t="shared" si="11"/>
        <v>48926</v>
      </c>
      <c r="M33" s="1215">
        <f t="shared" si="11"/>
        <v>0</v>
      </c>
      <c r="N33" s="1215">
        <f t="shared" si="11"/>
        <v>0</v>
      </c>
      <c r="O33" s="1215">
        <f t="shared" si="11"/>
        <v>0</v>
      </c>
      <c r="P33" s="1215">
        <f>SUM(P34)</f>
        <v>277249</v>
      </c>
      <c r="Q33" s="1215"/>
      <c r="R33" s="91"/>
      <c r="S33" s="329"/>
      <c r="T33" s="329"/>
      <c r="U33" s="329"/>
      <c r="V33" s="329"/>
      <c r="W33" s="37">
        <f>SUM(P34)</f>
        <v>277249</v>
      </c>
      <c r="X33" s="37">
        <f>SUM(W33*120/100)</f>
        <v>332698.8</v>
      </c>
      <c r="Y33" s="38">
        <f>SUM(W33-P33)</f>
        <v>0</v>
      </c>
    </row>
    <row r="34" spans="1:27" ht="48.75" thickBot="1" x14ac:dyDescent="0.3">
      <c r="A34" s="90" t="str">
        <f>CONCATENATE('3 pr-2'!A76)</f>
        <v>1.1.2.1.2</v>
      </c>
      <c r="B34" s="90"/>
      <c r="C34" s="90" t="s">
        <v>1550</v>
      </c>
      <c r="D34" s="90" t="s">
        <v>184</v>
      </c>
      <c r="E34" s="90" t="s">
        <v>115</v>
      </c>
      <c r="F34" s="90" t="s">
        <v>1824</v>
      </c>
      <c r="G34" s="248" t="s">
        <v>135</v>
      </c>
      <c r="H34" s="15" t="s">
        <v>119</v>
      </c>
      <c r="I34" s="15" t="s">
        <v>66</v>
      </c>
      <c r="J34" s="17" t="s">
        <v>66</v>
      </c>
      <c r="K34" s="718">
        <f>SUM(L34:P34)</f>
        <v>326175</v>
      </c>
      <c r="L34" s="718">
        <v>48926</v>
      </c>
      <c r="M34" s="718" t="s">
        <v>66</v>
      </c>
      <c r="N34" s="718">
        <v>0</v>
      </c>
      <c r="O34" s="718">
        <v>0</v>
      </c>
      <c r="P34" s="718">
        <v>277249</v>
      </c>
      <c r="Q34" s="718"/>
      <c r="R34" s="487">
        <v>42877</v>
      </c>
      <c r="S34" s="173">
        <v>43281</v>
      </c>
      <c r="T34" s="173">
        <v>43455</v>
      </c>
      <c r="U34" s="173">
        <v>43554</v>
      </c>
      <c r="V34" s="173">
        <v>43920</v>
      </c>
      <c r="W34" s="34"/>
      <c r="X34" s="34"/>
      <c r="Y34" s="34"/>
      <c r="Z34" s="52">
        <f>SUM(365/12)</f>
        <v>30.416666666666668</v>
      </c>
      <c r="AA34" s="52">
        <f>SUM(V34-U34)/Z34</f>
        <v>12.032876712328767</v>
      </c>
    </row>
    <row r="35" spans="1:27" ht="39" customHeight="1" thickBot="1" x14ac:dyDescent="0.3">
      <c r="A35" s="327" t="s">
        <v>90</v>
      </c>
      <c r="B35" s="710"/>
      <c r="C35" s="1885" t="s">
        <v>623</v>
      </c>
      <c r="D35" s="1894"/>
      <c r="E35" s="1894"/>
      <c r="F35" s="1894"/>
      <c r="G35" s="1894"/>
      <c r="H35" s="1894"/>
      <c r="I35" s="1894"/>
      <c r="J35" s="1895"/>
      <c r="K35" s="1215">
        <f>SUM(K36)</f>
        <v>0</v>
      </c>
      <c r="L35" s="1215">
        <f t="shared" ref="L35:P35" si="12">SUM(L36)</f>
        <v>0</v>
      </c>
      <c r="M35" s="1215">
        <f t="shared" si="12"/>
        <v>0</v>
      </c>
      <c r="N35" s="1215">
        <f t="shared" si="12"/>
        <v>0</v>
      </c>
      <c r="O35" s="1215">
        <f t="shared" si="12"/>
        <v>0</v>
      </c>
      <c r="P35" s="1215">
        <f t="shared" si="12"/>
        <v>0</v>
      </c>
      <c r="Q35" s="1215"/>
      <c r="R35" s="91"/>
      <c r="S35" s="329"/>
      <c r="T35" s="329"/>
      <c r="U35" s="329"/>
      <c r="V35" s="329"/>
      <c r="W35" s="37">
        <v>0</v>
      </c>
      <c r="X35" s="37">
        <f>SUM(W35*120/100)</f>
        <v>0</v>
      </c>
      <c r="Y35" s="38">
        <f>SUM(W35-P35)</f>
        <v>0</v>
      </c>
    </row>
    <row r="36" spans="1:27" ht="15.75" thickBot="1" x14ac:dyDescent="0.3">
      <c r="A36" s="86"/>
      <c r="B36" s="86"/>
      <c r="C36" s="86"/>
      <c r="D36" s="86"/>
      <c r="E36" s="87"/>
      <c r="F36" s="86"/>
      <c r="G36" s="88"/>
      <c r="H36" s="9"/>
      <c r="I36" s="9"/>
      <c r="J36" s="9"/>
      <c r="K36" s="40"/>
      <c r="L36" s="752"/>
      <c r="M36" s="752"/>
      <c r="N36" s="752"/>
      <c r="O36" s="752"/>
      <c r="P36" s="752"/>
      <c r="Q36" s="752"/>
      <c r="R36" s="733"/>
      <c r="S36" s="9"/>
      <c r="T36" s="750"/>
      <c r="U36" s="9"/>
      <c r="V36" s="9"/>
      <c r="W36" s="34"/>
      <c r="X36" s="34"/>
      <c r="Y36" s="34"/>
    </row>
    <row r="37" spans="1:27" ht="39" customHeight="1" thickBot="1" x14ac:dyDescent="0.3">
      <c r="A37" s="327" t="s">
        <v>92</v>
      </c>
      <c r="B37" s="710"/>
      <c r="C37" s="1885" t="s">
        <v>624</v>
      </c>
      <c r="D37" s="1894"/>
      <c r="E37" s="1894"/>
      <c r="F37" s="1894"/>
      <c r="G37" s="1894"/>
      <c r="H37" s="1894"/>
      <c r="I37" s="1894"/>
      <c r="J37" s="1895"/>
      <c r="K37" s="1215">
        <f t="shared" ref="K37:O37" si="13">SUM(K38)</f>
        <v>98949.56</v>
      </c>
      <c r="L37" s="1215">
        <f t="shared" si="13"/>
        <v>14842.43</v>
      </c>
      <c r="M37" s="1215">
        <f t="shared" si="13"/>
        <v>0</v>
      </c>
      <c r="N37" s="1215">
        <f t="shared" si="13"/>
        <v>0</v>
      </c>
      <c r="O37" s="1215">
        <f t="shared" si="13"/>
        <v>0</v>
      </c>
      <c r="P37" s="1215">
        <f t="shared" ref="P37" si="14">SUM(P38)</f>
        <v>84107.13</v>
      </c>
      <c r="Q37" s="1215"/>
      <c r="R37" s="91"/>
      <c r="S37" s="329"/>
      <c r="T37" s="329"/>
      <c r="U37" s="329"/>
      <c r="V37" s="329"/>
      <c r="W37" s="37">
        <v>91170</v>
      </c>
      <c r="X37" s="37">
        <f>SUM(W37*120/100)</f>
        <v>109404</v>
      </c>
      <c r="Y37" s="38">
        <f>SUM(W37-P37)</f>
        <v>7062.8699999999953</v>
      </c>
    </row>
    <row r="38" spans="1:27" s="56" customFormat="1" ht="48.75" thickBot="1" x14ac:dyDescent="0.3">
      <c r="A38" s="125" t="str">
        <f>CONCATENATE('3 pr-2'!A90)</f>
        <v>1.1.2.3.4</v>
      </c>
      <c r="B38" s="125"/>
      <c r="C38" s="125" t="s">
        <v>386</v>
      </c>
      <c r="D38" s="125" t="s">
        <v>184</v>
      </c>
      <c r="E38" s="125" t="s">
        <v>115</v>
      </c>
      <c r="F38" s="125" t="s">
        <v>1824</v>
      </c>
      <c r="G38" s="352" t="s">
        <v>148</v>
      </c>
      <c r="H38" s="376" t="s">
        <v>119</v>
      </c>
      <c r="I38" s="376" t="s">
        <v>66</v>
      </c>
      <c r="J38" s="306" t="s">
        <v>66</v>
      </c>
      <c r="K38" s="1210">
        <f>SUM(L38:P38)</f>
        <v>98949.56</v>
      </c>
      <c r="L38" s="1210">
        <v>14842.43</v>
      </c>
      <c r="M38" s="1210">
        <v>0</v>
      </c>
      <c r="N38" s="1210">
        <v>0</v>
      </c>
      <c r="O38" s="1210">
        <v>0</v>
      </c>
      <c r="P38" s="1210">
        <v>84107.13</v>
      </c>
      <c r="Q38" s="1210"/>
      <c r="R38" s="719">
        <v>42660</v>
      </c>
      <c r="S38" s="719">
        <v>42754</v>
      </c>
      <c r="T38" s="719">
        <v>43131</v>
      </c>
      <c r="U38" s="719">
        <v>43220</v>
      </c>
      <c r="V38" s="719">
        <v>43830</v>
      </c>
      <c r="W38" s="55"/>
      <c r="X38" s="55"/>
      <c r="Y38" s="55"/>
    </row>
    <row r="39" spans="1:27" ht="39" customHeight="1" thickBot="1" x14ac:dyDescent="0.3">
      <c r="A39" s="327" t="s">
        <v>94</v>
      </c>
      <c r="B39" s="710"/>
      <c r="C39" s="1885" t="s">
        <v>625</v>
      </c>
      <c r="D39" s="1894"/>
      <c r="E39" s="1894"/>
      <c r="F39" s="1894"/>
      <c r="G39" s="1894"/>
      <c r="H39" s="1894"/>
      <c r="I39" s="1894"/>
      <c r="J39" s="1895"/>
      <c r="K39" s="1215">
        <f t="shared" ref="K39:O39" si="15">SUM(K40)</f>
        <v>274817.98</v>
      </c>
      <c r="L39" s="1215">
        <f t="shared" si="15"/>
        <v>73973.98</v>
      </c>
      <c r="M39" s="1215">
        <f t="shared" si="15"/>
        <v>0</v>
      </c>
      <c r="N39" s="1215">
        <f t="shared" si="15"/>
        <v>0</v>
      </c>
      <c r="O39" s="1215">
        <f t="shared" si="15"/>
        <v>0</v>
      </c>
      <c r="P39" s="1215">
        <f t="shared" ref="P39" si="16">SUM(P40)</f>
        <v>200844</v>
      </c>
      <c r="Q39" s="1215"/>
      <c r="R39" s="91"/>
      <c r="S39" s="329"/>
      <c r="T39" s="329"/>
      <c r="U39" s="329"/>
      <c r="V39" s="329"/>
      <c r="W39" s="37">
        <v>200844</v>
      </c>
      <c r="X39" s="37">
        <f>SUM(W39*120/100)</f>
        <v>241012.8</v>
      </c>
      <c r="Y39" s="38">
        <f>SUM(W39-P39)</f>
        <v>0</v>
      </c>
    </row>
    <row r="40" spans="1:27" s="56" customFormat="1" ht="48.75" thickBot="1" x14ac:dyDescent="0.3">
      <c r="A40" s="125" t="str">
        <f>CONCATENATE('3 pr-2'!A96)</f>
        <v>1.1.2.4.4</v>
      </c>
      <c r="B40" s="125"/>
      <c r="C40" s="125" t="s">
        <v>186</v>
      </c>
      <c r="D40" s="125" t="s">
        <v>184</v>
      </c>
      <c r="E40" s="125" t="s">
        <v>115</v>
      </c>
      <c r="F40" s="125" t="s">
        <v>1824</v>
      </c>
      <c r="G40" s="352" t="s">
        <v>141</v>
      </c>
      <c r="H40" s="376" t="s">
        <v>119</v>
      </c>
      <c r="I40" s="376" t="s">
        <v>66</v>
      </c>
      <c r="J40" s="306" t="s">
        <v>66</v>
      </c>
      <c r="K40" s="1210">
        <f>SUM(L40:P40)</f>
        <v>274817.98</v>
      </c>
      <c r="L40" s="1771">
        <v>73973.98</v>
      </c>
      <c r="M40" s="1210">
        <v>0</v>
      </c>
      <c r="N40" s="1210">
        <v>0</v>
      </c>
      <c r="O40" s="1210">
        <v>0</v>
      </c>
      <c r="P40" s="1210">
        <v>200844</v>
      </c>
      <c r="Q40" s="1210"/>
      <c r="R40" s="719">
        <v>42639</v>
      </c>
      <c r="S40" s="719">
        <v>42735</v>
      </c>
      <c r="T40" s="719">
        <v>43252</v>
      </c>
      <c r="U40" s="719">
        <v>43373</v>
      </c>
      <c r="V40" s="979">
        <v>43738</v>
      </c>
      <c r="W40" s="55"/>
      <c r="X40" s="55"/>
      <c r="Y40" s="55"/>
    </row>
    <row r="41" spans="1:27" ht="49.5" customHeight="1" thickBot="1" x14ac:dyDescent="0.3">
      <c r="A41" s="158" t="s">
        <v>27</v>
      </c>
      <c r="B41" s="715"/>
      <c r="C41" s="1897" t="s">
        <v>626</v>
      </c>
      <c r="D41" s="1898"/>
      <c r="E41" s="1898"/>
      <c r="F41" s="1898"/>
      <c r="G41" s="1898"/>
      <c r="H41" s="1898"/>
      <c r="I41" s="1898"/>
      <c r="J41" s="1899"/>
      <c r="K41" s="1237">
        <f t="shared" ref="K41:P41" si="17">SUM(K42+K49+K57+K62)</f>
        <v>2582273.5599999996</v>
      </c>
      <c r="L41" s="1237">
        <f t="shared" si="17"/>
        <v>508947.8</v>
      </c>
      <c r="M41" s="1237">
        <f t="shared" si="17"/>
        <v>82153.429999999993</v>
      </c>
      <c r="N41" s="1237">
        <f t="shared" si="17"/>
        <v>1304</v>
      </c>
      <c r="O41" s="1237">
        <f t="shared" si="17"/>
        <v>788.75</v>
      </c>
      <c r="P41" s="1237">
        <f t="shared" si="17"/>
        <v>1989079.58</v>
      </c>
      <c r="Q41" s="1237"/>
      <c r="R41" s="153"/>
      <c r="S41" s="159"/>
      <c r="T41" s="159"/>
      <c r="U41" s="159"/>
      <c r="V41" s="167"/>
      <c r="W41" s="45">
        <f>SUM(W42+W49+W57+W62)</f>
        <v>2738068.7952358783</v>
      </c>
      <c r="X41" s="45">
        <f>SUM(X42+X49+X57+X62)</f>
        <v>3285682.5542830536</v>
      </c>
      <c r="Y41" s="45">
        <f>SUM(Y42+Y49+Y57+Y62)</f>
        <v>757203.82523587812</v>
      </c>
    </row>
    <row r="42" spans="1:27" ht="48.75" customHeight="1" thickBot="1" x14ac:dyDescent="0.3">
      <c r="A42" s="151" t="s">
        <v>28</v>
      </c>
      <c r="B42" s="714"/>
      <c r="C42" s="1887" t="s">
        <v>627</v>
      </c>
      <c r="D42" s="1900"/>
      <c r="E42" s="1900"/>
      <c r="F42" s="1900"/>
      <c r="G42" s="1900"/>
      <c r="H42" s="1900"/>
      <c r="I42" s="1900"/>
      <c r="J42" s="1901"/>
      <c r="K42" s="1228">
        <f t="shared" ref="K42:P42" si="18">SUM(K43+K45+K47)</f>
        <v>1560727.17</v>
      </c>
      <c r="L42" s="1228">
        <f t="shared" si="18"/>
        <v>387689.17</v>
      </c>
      <c r="M42" s="1228">
        <f t="shared" si="18"/>
        <v>51602</v>
      </c>
      <c r="N42" s="1228">
        <f t="shared" si="18"/>
        <v>0</v>
      </c>
      <c r="O42" s="1228">
        <f t="shared" si="18"/>
        <v>0</v>
      </c>
      <c r="P42" s="1228">
        <f t="shared" si="18"/>
        <v>1121436</v>
      </c>
      <c r="Q42" s="1228"/>
      <c r="R42" s="132"/>
      <c r="S42" s="133"/>
      <c r="T42" s="133"/>
      <c r="U42" s="133"/>
      <c r="V42" s="168"/>
      <c r="W42" s="36">
        <f>SUM(W43+W45+W47)</f>
        <v>1231014</v>
      </c>
      <c r="X42" s="36">
        <f>SUM(X43+X45+X47)</f>
        <v>1477216.7999999998</v>
      </c>
      <c r="Y42" s="36">
        <f>SUM(Y43+Y45+Y47)</f>
        <v>109578</v>
      </c>
    </row>
    <row r="43" spans="1:27" ht="45" customHeight="1" thickBot="1" x14ac:dyDescent="0.3">
      <c r="A43" s="327" t="s">
        <v>96</v>
      </c>
      <c r="B43" s="710"/>
      <c r="C43" s="1885" t="s">
        <v>628</v>
      </c>
      <c r="D43" s="1894"/>
      <c r="E43" s="1894"/>
      <c r="F43" s="1894"/>
      <c r="G43" s="1894"/>
      <c r="H43" s="1894"/>
      <c r="I43" s="1894"/>
      <c r="J43" s="1895"/>
      <c r="K43" s="1215">
        <f t="shared" ref="K43:O43" si="19">SUM(K44)</f>
        <v>106845.41</v>
      </c>
      <c r="L43" s="1215">
        <f t="shared" si="19"/>
        <v>8013.41</v>
      </c>
      <c r="M43" s="1215">
        <f t="shared" si="19"/>
        <v>8014</v>
      </c>
      <c r="N43" s="1215">
        <f t="shared" si="19"/>
        <v>0</v>
      </c>
      <c r="O43" s="1215">
        <f t="shared" si="19"/>
        <v>0</v>
      </c>
      <c r="P43" s="1215">
        <f t="shared" ref="P43" si="20">SUM(P44)</f>
        <v>90818</v>
      </c>
      <c r="Q43" s="1215"/>
      <c r="R43" s="91"/>
      <c r="S43" s="329"/>
      <c r="T43" s="329"/>
      <c r="U43" s="329"/>
      <c r="V43" s="329"/>
      <c r="W43" s="37">
        <v>90818</v>
      </c>
      <c r="X43" s="37">
        <f>SUM(W43*120/100)</f>
        <v>108981.6</v>
      </c>
      <c r="Y43" s="38">
        <f>SUM(W43-P43)</f>
        <v>0</v>
      </c>
    </row>
    <row r="44" spans="1:27" ht="48.75" thickBot="1" x14ac:dyDescent="0.3">
      <c r="A44" s="90" t="str">
        <f>CONCATENATE('3 pr-2'!A104)</f>
        <v>2.1.1.1.2</v>
      </c>
      <c r="B44" s="90"/>
      <c r="C44" s="90" t="s">
        <v>187</v>
      </c>
      <c r="D44" s="90" t="s">
        <v>184</v>
      </c>
      <c r="E44" s="90" t="s">
        <v>97</v>
      </c>
      <c r="F44" s="90" t="s">
        <v>1824</v>
      </c>
      <c r="G44" s="248" t="s">
        <v>136</v>
      </c>
      <c r="H44" s="15" t="s">
        <v>119</v>
      </c>
      <c r="I44" s="15" t="s">
        <v>66</v>
      </c>
      <c r="J44" s="17" t="s">
        <v>66</v>
      </c>
      <c r="K44" s="1303">
        <f>SUM(L44:P44)</f>
        <v>106845.41</v>
      </c>
      <c r="L44" s="1303">
        <v>8013.41</v>
      </c>
      <c r="M44" s="1303">
        <v>8014</v>
      </c>
      <c r="N44" s="1303">
        <v>0</v>
      </c>
      <c r="O44" s="1303">
        <v>0</v>
      </c>
      <c r="P44" s="1303">
        <v>90818</v>
      </c>
      <c r="Q44" s="718"/>
      <c r="R44" s="487">
        <v>42863</v>
      </c>
      <c r="S44" s="357">
        <v>42916</v>
      </c>
      <c r="T44" s="357">
        <v>42993</v>
      </c>
      <c r="U44" s="357">
        <v>43112</v>
      </c>
      <c r="V44" s="495">
        <v>43526</v>
      </c>
      <c r="W44" s="34"/>
      <c r="X44" s="34"/>
      <c r="Y44" s="34"/>
    </row>
    <row r="45" spans="1:27" ht="39" customHeight="1" thickBot="1" x14ac:dyDescent="0.3">
      <c r="A45" s="327" t="s">
        <v>99</v>
      </c>
      <c r="B45" s="710"/>
      <c r="C45" s="1885" t="s">
        <v>629</v>
      </c>
      <c r="D45" s="1894"/>
      <c r="E45" s="1894"/>
      <c r="F45" s="1894"/>
      <c r="G45" s="1894"/>
      <c r="H45" s="1894"/>
      <c r="I45" s="1894"/>
      <c r="J45" s="1895"/>
      <c r="K45" s="1215">
        <f t="shared" ref="K45:P45" si="21">SUM(K46:K46)</f>
        <v>856424.88</v>
      </c>
      <c r="L45" s="1215">
        <f t="shared" si="21"/>
        <v>319813.88</v>
      </c>
      <c r="M45" s="1215">
        <f t="shared" si="21"/>
        <v>0</v>
      </c>
      <c r="N45" s="1215">
        <f t="shared" si="21"/>
        <v>0</v>
      </c>
      <c r="O45" s="1215">
        <f t="shared" si="21"/>
        <v>0</v>
      </c>
      <c r="P45" s="1215">
        <f t="shared" si="21"/>
        <v>536611</v>
      </c>
      <c r="Q45" s="1215"/>
      <c r="R45" s="91"/>
      <c r="S45" s="329"/>
      <c r="T45" s="329"/>
      <c r="U45" s="329"/>
      <c r="V45" s="329"/>
      <c r="W45" s="37">
        <v>536611</v>
      </c>
      <c r="X45" s="37">
        <f>SUM(W45*120/100)</f>
        <v>643933.19999999995</v>
      </c>
      <c r="Y45" s="38">
        <f>SUM(W45-P45)</f>
        <v>0</v>
      </c>
    </row>
    <row r="46" spans="1:27" ht="48.75" thickBot="1" x14ac:dyDescent="0.3">
      <c r="A46" s="90" t="str">
        <f>CONCATENATE('3 pr-2'!A110)</f>
        <v>2.1.1.2.2</v>
      </c>
      <c r="B46" s="90"/>
      <c r="C46" s="90" t="s">
        <v>645</v>
      </c>
      <c r="D46" s="90" t="s">
        <v>184</v>
      </c>
      <c r="E46" s="90" t="s">
        <v>97</v>
      </c>
      <c r="F46" s="90" t="s">
        <v>1824</v>
      </c>
      <c r="G46" s="248" t="s">
        <v>139</v>
      </c>
      <c r="H46" s="15" t="s">
        <v>119</v>
      </c>
      <c r="I46" s="15" t="s">
        <v>66</v>
      </c>
      <c r="J46" s="17" t="s">
        <v>66</v>
      </c>
      <c r="K46" s="1303">
        <f>SUM(L46:P46)</f>
        <v>856424.88</v>
      </c>
      <c r="L46" s="1303">
        <v>319813.88</v>
      </c>
      <c r="M46" s="1303">
        <v>0</v>
      </c>
      <c r="N46" s="1303">
        <v>0</v>
      </c>
      <c r="O46" s="1303">
        <v>0</v>
      </c>
      <c r="P46" s="1303">
        <v>536611</v>
      </c>
      <c r="Q46" s="718"/>
      <c r="R46" s="487">
        <v>42870</v>
      </c>
      <c r="S46" s="357">
        <v>42916</v>
      </c>
      <c r="T46" s="357">
        <v>43008</v>
      </c>
      <c r="U46" s="357">
        <v>43115</v>
      </c>
      <c r="V46" s="495">
        <v>43832</v>
      </c>
      <c r="W46" s="34"/>
      <c r="X46" s="34"/>
      <c r="Y46" s="34"/>
    </row>
    <row r="47" spans="1:27" ht="39" customHeight="1" thickBot="1" x14ac:dyDescent="0.3">
      <c r="A47" s="327" t="s">
        <v>101</v>
      </c>
      <c r="B47" s="710"/>
      <c r="C47" s="1885" t="s">
        <v>1404</v>
      </c>
      <c r="D47" s="1894"/>
      <c r="E47" s="1894"/>
      <c r="F47" s="1894"/>
      <c r="G47" s="1894"/>
      <c r="H47" s="1894"/>
      <c r="I47" s="1894"/>
      <c r="J47" s="1895"/>
      <c r="K47" s="1216">
        <f t="shared" ref="K47:O47" si="22">SUM(K48)</f>
        <v>597456.88</v>
      </c>
      <c r="L47" s="1216">
        <f t="shared" si="22"/>
        <v>59861.88</v>
      </c>
      <c r="M47" s="1215">
        <f t="shared" si="22"/>
        <v>43588</v>
      </c>
      <c r="N47" s="1215">
        <f t="shared" si="22"/>
        <v>0</v>
      </c>
      <c r="O47" s="1215">
        <f t="shared" si="22"/>
        <v>0</v>
      </c>
      <c r="P47" s="1215">
        <f t="shared" ref="P47" si="23">SUM(P48)</f>
        <v>494007</v>
      </c>
      <c r="Q47" s="1215"/>
      <c r="R47" s="91"/>
      <c r="S47" s="329"/>
      <c r="T47" s="329"/>
      <c r="U47" s="329"/>
      <c r="V47" s="329"/>
      <c r="W47" s="37">
        <v>603585</v>
      </c>
      <c r="X47" s="37">
        <f>SUM(W47*120/100)</f>
        <v>724302</v>
      </c>
      <c r="Y47" s="38">
        <f>SUM(W47-P47)</f>
        <v>109578</v>
      </c>
    </row>
    <row r="48" spans="1:27" ht="48.75" thickBot="1" x14ac:dyDescent="0.3">
      <c r="A48" s="90" t="str">
        <f>CONCATENATE('3 pr-2'!A116)</f>
        <v>2.1.1.3.2</v>
      </c>
      <c r="B48" s="90"/>
      <c r="C48" s="90" t="s">
        <v>188</v>
      </c>
      <c r="D48" s="90" t="s">
        <v>184</v>
      </c>
      <c r="E48" s="90" t="s">
        <v>97</v>
      </c>
      <c r="F48" s="90" t="s">
        <v>1824</v>
      </c>
      <c r="G48" s="248" t="s">
        <v>140</v>
      </c>
      <c r="H48" s="15" t="s">
        <v>119</v>
      </c>
      <c r="I48" s="15"/>
      <c r="J48" s="17"/>
      <c r="K48" s="1219">
        <f>SUM(L48:P48)</f>
        <v>597456.88</v>
      </c>
      <c r="L48" s="1219">
        <v>59861.88</v>
      </c>
      <c r="M48" s="718">
        <v>43588</v>
      </c>
      <c r="N48" s="718">
        <v>0</v>
      </c>
      <c r="O48" s="718">
        <v>0</v>
      </c>
      <c r="P48" s="718">
        <v>494007</v>
      </c>
      <c r="Q48" s="718"/>
      <c r="R48" s="487">
        <v>42968</v>
      </c>
      <c r="S48" s="357">
        <v>43039</v>
      </c>
      <c r="T48" s="357">
        <v>43080</v>
      </c>
      <c r="U48" s="357">
        <v>43186</v>
      </c>
      <c r="V48" s="495">
        <v>43845</v>
      </c>
      <c r="W48" s="34"/>
      <c r="X48" s="34"/>
      <c r="Y48" s="34"/>
    </row>
    <row r="49" spans="1:28" ht="57.75" customHeight="1" thickBot="1" x14ac:dyDescent="0.3">
      <c r="A49" s="151" t="s">
        <v>32</v>
      </c>
      <c r="B49" s="714"/>
      <c r="C49" s="1887" t="s">
        <v>630</v>
      </c>
      <c r="D49" s="1900"/>
      <c r="E49" s="1900"/>
      <c r="F49" s="1900"/>
      <c r="G49" s="1900"/>
      <c r="H49" s="1900"/>
      <c r="I49" s="1900"/>
      <c r="J49" s="1901"/>
      <c r="K49" s="1233">
        <f>SUM(K50+K53+K55)</f>
        <v>398472.18</v>
      </c>
      <c r="L49" s="1233">
        <f t="shared" ref="L49:P49" si="24">SUM(L50+L53+L55)</f>
        <v>27797.79</v>
      </c>
      <c r="M49" s="1233">
        <f t="shared" si="24"/>
        <v>30551.43</v>
      </c>
      <c r="N49" s="1233">
        <f t="shared" si="24"/>
        <v>1304</v>
      </c>
      <c r="O49" s="1233">
        <f t="shared" si="24"/>
        <v>788.75</v>
      </c>
      <c r="P49" s="1233">
        <f t="shared" si="24"/>
        <v>338030.20999999996</v>
      </c>
      <c r="Q49" s="1233"/>
      <c r="R49" s="132"/>
      <c r="S49" s="133"/>
      <c r="T49" s="133"/>
      <c r="U49" s="133"/>
      <c r="V49" s="168"/>
      <c r="W49" s="36">
        <f>SUM(W50+W53)</f>
        <v>962000</v>
      </c>
      <c r="X49" s="36">
        <f>SUM(X50+X53)</f>
        <v>1154400</v>
      </c>
      <c r="Y49" s="36">
        <f>SUM(Y50+Y53)</f>
        <v>632184.4</v>
      </c>
    </row>
    <row r="50" spans="1:28" ht="39" customHeight="1" thickBot="1" x14ac:dyDescent="0.3">
      <c r="A50" s="327" t="s">
        <v>33</v>
      </c>
      <c r="B50" s="710"/>
      <c r="C50" s="1885" t="s">
        <v>631</v>
      </c>
      <c r="D50" s="1894"/>
      <c r="E50" s="1894"/>
      <c r="F50" s="1894"/>
      <c r="G50" s="1894"/>
      <c r="H50" s="1894"/>
      <c r="I50" s="1894"/>
      <c r="J50" s="1895"/>
      <c r="K50" s="1221">
        <f t="shared" ref="K50:O50" si="25">SUM(K51:K52)</f>
        <v>189022</v>
      </c>
      <c r="L50" s="1221">
        <f t="shared" si="25"/>
        <v>12873</v>
      </c>
      <c r="M50" s="1221">
        <f t="shared" si="25"/>
        <v>14177</v>
      </c>
      <c r="N50" s="1221">
        <f t="shared" si="25"/>
        <v>1304</v>
      </c>
      <c r="O50" s="1221">
        <f t="shared" si="25"/>
        <v>0</v>
      </c>
      <c r="P50" s="1221">
        <f>SUM(P51:P52)</f>
        <v>160668</v>
      </c>
      <c r="Q50" s="1221"/>
      <c r="R50" s="91"/>
      <c r="S50" s="329"/>
      <c r="T50" s="329"/>
      <c r="U50" s="329"/>
      <c r="V50" s="329"/>
      <c r="W50" s="37">
        <v>733000</v>
      </c>
      <c r="X50" s="37">
        <f>SUM(W50*120/100)</f>
        <v>879600</v>
      </c>
      <c r="Y50" s="38">
        <f>SUM(W50-P50)</f>
        <v>572332</v>
      </c>
    </row>
    <row r="51" spans="1:28" ht="84.75" thickBot="1" x14ac:dyDescent="0.3">
      <c r="A51" s="90" t="str">
        <f>CONCATENATE('3 pr-2'!A126)</f>
        <v>2.1.2.1.5</v>
      </c>
      <c r="B51" s="90" t="str">
        <f>CONCATENATE('3 pr-2'!B126)</f>
        <v>R01-6609-274710-2215</v>
      </c>
      <c r="C51" s="90" t="s">
        <v>1447</v>
      </c>
      <c r="D51" s="90" t="s">
        <v>1210</v>
      </c>
      <c r="E51" s="90" t="s">
        <v>103</v>
      </c>
      <c r="F51" s="90" t="s">
        <v>1824</v>
      </c>
      <c r="G51" s="248" t="s">
        <v>153</v>
      </c>
      <c r="H51" s="15" t="s">
        <v>119</v>
      </c>
      <c r="I51" s="15" t="s">
        <v>66</v>
      </c>
      <c r="J51" s="17" t="s">
        <v>66</v>
      </c>
      <c r="K51" s="1226">
        <f>SUM(L51:P51)</f>
        <v>171636</v>
      </c>
      <c r="L51" s="1226">
        <v>12873</v>
      </c>
      <c r="M51" s="1226">
        <v>12873</v>
      </c>
      <c r="N51" s="1226">
        <v>0</v>
      </c>
      <c r="O51" s="1226">
        <v>0</v>
      </c>
      <c r="P51" s="1226">
        <v>145890</v>
      </c>
      <c r="Q51" s="1226"/>
      <c r="R51" s="487">
        <v>43189</v>
      </c>
      <c r="S51" s="357">
        <v>43312</v>
      </c>
      <c r="T51" s="357">
        <v>43403</v>
      </c>
      <c r="U51" s="357">
        <v>43496</v>
      </c>
      <c r="V51" s="1006">
        <v>44134</v>
      </c>
      <c r="W51" s="54"/>
      <c r="X51" s="34"/>
      <c r="Y51" s="34"/>
      <c r="AA51" s="52">
        <v>904059.15999999992</v>
      </c>
      <c r="AB51" s="52">
        <v>698591.2</v>
      </c>
    </row>
    <row r="52" spans="1:28" ht="26.25" customHeight="1" thickBot="1" x14ac:dyDescent="0.3">
      <c r="A52" s="90" t="str">
        <f>CONCATENATE('3 pr-2'!A127)</f>
        <v>2.1.2.1.6</v>
      </c>
      <c r="B52" s="90" t="str">
        <f>CONCATENATE('3 pr-2'!B127)</f>
        <v>R01-6609-471000-2216</v>
      </c>
      <c r="C52" s="90" t="s">
        <v>1448</v>
      </c>
      <c r="D52" s="90" t="s">
        <v>1449</v>
      </c>
      <c r="E52" s="90" t="s">
        <v>103</v>
      </c>
      <c r="F52" s="90" t="s">
        <v>1824</v>
      </c>
      <c r="G52" s="248" t="s">
        <v>153</v>
      </c>
      <c r="H52" s="15" t="s">
        <v>119</v>
      </c>
      <c r="I52" s="15" t="s">
        <v>66</v>
      </c>
      <c r="J52" s="17" t="s">
        <v>66</v>
      </c>
      <c r="K52" s="1226">
        <f>SUM(L52:P52)</f>
        <v>17386</v>
      </c>
      <c r="L52" s="1226">
        <v>0</v>
      </c>
      <c r="M52" s="1226">
        <v>1304</v>
      </c>
      <c r="N52" s="1226">
        <v>1304</v>
      </c>
      <c r="O52" s="1226">
        <v>0</v>
      </c>
      <c r="P52" s="1226">
        <v>14778</v>
      </c>
      <c r="Q52" s="1226"/>
      <c r="R52" s="487"/>
      <c r="S52" s="357">
        <v>43312</v>
      </c>
      <c r="T52" s="357">
        <v>43403</v>
      </c>
      <c r="U52" s="357">
        <v>43495</v>
      </c>
      <c r="V52" s="1006">
        <v>43830</v>
      </c>
      <c r="W52" s="41"/>
      <c r="X52" s="34"/>
      <c r="Y52" s="34"/>
    </row>
    <row r="53" spans="1:28" ht="39" customHeight="1" thickBot="1" x14ac:dyDescent="0.3">
      <c r="A53" s="327" t="s">
        <v>34</v>
      </c>
      <c r="B53" s="710"/>
      <c r="C53" s="1885" t="str">
        <f>CONCATENATE('3 pr-2'!D135)</f>
        <v/>
      </c>
      <c r="D53" s="1894"/>
      <c r="E53" s="1894"/>
      <c r="F53" s="1894"/>
      <c r="G53" s="1894"/>
      <c r="H53" s="1894"/>
      <c r="I53" s="1894"/>
      <c r="J53" s="1895"/>
      <c r="K53" s="1221">
        <f t="shared" ref="K53:P55" si="26">SUM(K54:K54)</f>
        <v>198997.18</v>
      </c>
      <c r="L53" s="1221">
        <f t="shared" si="26"/>
        <v>14924.79</v>
      </c>
      <c r="M53" s="1221">
        <f t="shared" si="26"/>
        <v>14924.79</v>
      </c>
      <c r="N53" s="1221">
        <f t="shared" si="26"/>
        <v>0</v>
      </c>
      <c r="O53" s="1221">
        <f t="shared" si="26"/>
        <v>0</v>
      </c>
      <c r="P53" s="1221">
        <f t="shared" si="26"/>
        <v>169147.6</v>
      </c>
      <c r="Q53" s="1221"/>
      <c r="R53" s="91"/>
      <c r="S53" s="329"/>
      <c r="T53" s="329"/>
      <c r="U53" s="329"/>
      <c r="V53" s="329"/>
      <c r="W53" s="37">
        <v>229000</v>
      </c>
      <c r="X53" s="37">
        <f>SUM(W53*120/100)</f>
        <v>274800</v>
      </c>
      <c r="Y53" s="38">
        <f>SUM(W53-P53)</f>
        <v>59852.399999999994</v>
      </c>
    </row>
    <row r="54" spans="1:28" ht="64.5" thickBot="1" x14ac:dyDescent="0.3">
      <c r="A54" s="90" t="str">
        <f>CONCATENATE('3 pr-2'!A136)</f>
        <v>2.1.2.2.1</v>
      </c>
      <c r="B54" s="248"/>
      <c r="C54" s="751" t="s">
        <v>1194</v>
      </c>
      <c r="D54" s="751" t="s">
        <v>1195</v>
      </c>
      <c r="E54" s="751" t="s">
        <v>103</v>
      </c>
      <c r="F54" s="751" t="s">
        <v>1824</v>
      </c>
      <c r="G54" s="80" t="s">
        <v>1193</v>
      </c>
      <c r="H54" s="80" t="s">
        <v>119</v>
      </c>
      <c r="I54" s="80" t="s">
        <v>66</v>
      </c>
      <c r="J54" s="80" t="s">
        <v>66</v>
      </c>
      <c r="K54" s="1232">
        <f>SUM(L54:P54)</f>
        <v>198997.18</v>
      </c>
      <c r="L54" s="1232">
        <v>14924.79</v>
      </c>
      <c r="M54" s="1232">
        <v>14924.79</v>
      </c>
      <c r="N54" s="1232">
        <v>0</v>
      </c>
      <c r="O54" s="1232">
        <v>0</v>
      </c>
      <c r="P54" s="1232">
        <v>169147.6</v>
      </c>
      <c r="Q54" s="1232"/>
      <c r="R54" s="17"/>
      <c r="S54" s="753">
        <v>43159</v>
      </c>
      <c r="T54" s="753">
        <v>43220</v>
      </c>
      <c r="U54" s="753">
        <v>43312</v>
      </c>
      <c r="V54" s="1768">
        <v>44380</v>
      </c>
      <c r="W54" s="34"/>
      <c r="X54" s="34"/>
      <c r="Y54" s="34"/>
    </row>
    <row r="55" spans="1:28" ht="39" customHeight="1" thickBot="1" x14ac:dyDescent="0.3">
      <c r="A55" s="327" t="str">
        <f>CONCATENATE('3 pr-2'!A141)</f>
        <v>2.1.2.3</v>
      </c>
      <c r="B55" s="710"/>
      <c r="C55" s="1885" t="str">
        <f>CONCATENATE('3 pr-2'!D141)</f>
        <v/>
      </c>
      <c r="D55" s="1894"/>
      <c r="E55" s="1894"/>
      <c r="F55" s="1894"/>
      <c r="G55" s="1894"/>
      <c r="H55" s="1894"/>
      <c r="I55" s="1894"/>
      <c r="J55" s="1895"/>
      <c r="K55" s="1221">
        <f t="shared" si="26"/>
        <v>10453</v>
      </c>
      <c r="L55" s="1221">
        <f t="shared" si="26"/>
        <v>0</v>
      </c>
      <c r="M55" s="1221">
        <f t="shared" si="26"/>
        <v>1449.64</v>
      </c>
      <c r="N55" s="1221">
        <f t="shared" si="26"/>
        <v>0</v>
      </c>
      <c r="O55" s="1221">
        <f t="shared" si="26"/>
        <v>788.75</v>
      </c>
      <c r="P55" s="1221">
        <f t="shared" si="26"/>
        <v>8214.61</v>
      </c>
      <c r="Q55" s="1221"/>
      <c r="R55" s="91"/>
      <c r="S55" s="329"/>
      <c r="T55" s="329"/>
      <c r="U55" s="329"/>
      <c r="V55" s="329"/>
      <c r="W55" s="37">
        <v>229000</v>
      </c>
      <c r="X55" s="37">
        <f>SUM(W55*120/100)</f>
        <v>274800</v>
      </c>
      <c r="Y55" s="38">
        <f>SUM(W55-P55)</f>
        <v>220785.39</v>
      </c>
    </row>
    <row r="56" spans="1:28" ht="90" thickBot="1" x14ac:dyDescent="0.3">
      <c r="A56" s="90" t="str">
        <f>CONCATENATE('3 pr-2'!A142)</f>
        <v>2.1.2.3.1</v>
      </c>
      <c r="B56" s="90"/>
      <c r="C56" s="755" t="s">
        <v>1209</v>
      </c>
      <c r="D56" s="756" t="s">
        <v>1210</v>
      </c>
      <c r="E56" s="756" t="s">
        <v>103</v>
      </c>
      <c r="F56" s="756" t="s">
        <v>1824</v>
      </c>
      <c r="G56" s="757" t="s">
        <v>1208</v>
      </c>
      <c r="H56" s="757" t="s">
        <v>119</v>
      </c>
      <c r="I56" s="757" t="s">
        <v>66</v>
      </c>
      <c r="J56" s="757" t="s">
        <v>66</v>
      </c>
      <c r="K56" s="1232">
        <f>SUM(L56:P56)</f>
        <v>10453</v>
      </c>
      <c r="L56" s="1232">
        <v>0</v>
      </c>
      <c r="M56" s="1786">
        <v>1449.64</v>
      </c>
      <c r="N56" s="1232">
        <v>0</v>
      </c>
      <c r="O56" s="1786">
        <v>788.75</v>
      </c>
      <c r="P56" s="1786">
        <v>8214.61</v>
      </c>
      <c r="Q56" s="1232"/>
      <c r="R56" s="1770"/>
      <c r="S56" s="753">
        <v>43189</v>
      </c>
      <c r="T56" s="753">
        <v>43281</v>
      </c>
      <c r="U56" s="753">
        <v>43373</v>
      </c>
      <c r="V56" s="1768">
        <v>44686</v>
      </c>
      <c r="W56" s="34"/>
      <c r="X56" s="34"/>
      <c r="Y56" s="34"/>
    </row>
    <row r="57" spans="1:28" ht="42.75" customHeight="1" thickBot="1" x14ac:dyDescent="0.3">
      <c r="A57" s="151" t="s">
        <v>35</v>
      </c>
      <c r="B57" s="714"/>
      <c r="C57" s="1887" t="s">
        <v>636</v>
      </c>
      <c r="D57" s="1900"/>
      <c r="E57" s="1900"/>
      <c r="F57" s="1900"/>
      <c r="G57" s="1900"/>
      <c r="H57" s="1900"/>
      <c r="I57" s="1900"/>
      <c r="J57" s="1901"/>
      <c r="K57" s="1228">
        <f t="shared" ref="K57:P57" si="27">SUM(K58+K60)</f>
        <v>430242</v>
      </c>
      <c r="L57" s="1228">
        <f t="shared" si="27"/>
        <v>64536</v>
      </c>
      <c r="M57" s="1228">
        <f t="shared" si="27"/>
        <v>0</v>
      </c>
      <c r="N57" s="1228">
        <f t="shared" si="27"/>
        <v>0</v>
      </c>
      <c r="O57" s="1228">
        <f t="shared" si="27"/>
        <v>0</v>
      </c>
      <c r="P57" s="1228">
        <f t="shared" si="27"/>
        <v>365706</v>
      </c>
      <c r="Q57" s="1228"/>
      <c r="R57" s="132"/>
      <c r="S57" s="133"/>
      <c r="T57" s="133"/>
      <c r="U57" s="133"/>
      <c r="V57" s="168"/>
      <c r="W57" s="36">
        <f>SUM(W58+W60)</f>
        <v>365706.20852641336</v>
      </c>
      <c r="X57" s="36">
        <f>SUM(X58+X60)</f>
        <v>438847.45023169601</v>
      </c>
      <c r="Y57" s="36">
        <f>SUM(Y58+Y60)</f>
        <v>0.20852641336387023</v>
      </c>
    </row>
    <row r="58" spans="1:28" ht="39" customHeight="1" thickBot="1" x14ac:dyDescent="0.3">
      <c r="A58" s="327" t="s">
        <v>36</v>
      </c>
      <c r="B58" s="710"/>
      <c r="C58" s="1885" t="s">
        <v>632</v>
      </c>
      <c r="D58" s="1894"/>
      <c r="E58" s="1894"/>
      <c r="F58" s="1894"/>
      <c r="G58" s="1894"/>
      <c r="H58" s="1894"/>
      <c r="I58" s="1894"/>
      <c r="J58" s="1895"/>
      <c r="K58" s="1215">
        <f>SUM(K59)</f>
        <v>188353</v>
      </c>
      <c r="L58" s="1215">
        <f>SUM(L59)</f>
        <v>28253</v>
      </c>
      <c r="M58" s="1215">
        <f t="shared" ref="M58:O58" si="28">SUM(M59)</f>
        <v>0</v>
      </c>
      <c r="N58" s="1215">
        <f t="shared" si="28"/>
        <v>0</v>
      </c>
      <c r="O58" s="1215">
        <f t="shared" si="28"/>
        <v>0</v>
      </c>
      <c r="P58" s="1215">
        <f>SUM(P59)</f>
        <v>160100</v>
      </c>
      <c r="Q58" s="1215"/>
      <c r="R58" s="91"/>
      <c r="S58" s="329"/>
      <c r="T58" s="329"/>
      <c r="U58" s="329"/>
      <c r="V58" s="329"/>
      <c r="W58" s="37">
        <v>160100.20852641336</v>
      </c>
      <c r="X58" s="37">
        <f>SUM(W58*120/100)</f>
        <v>192120.25023169603</v>
      </c>
      <c r="Y58" s="38">
        <f>SUM(W58-P58)</f>
        <v>0.20852641336387023</v>
      </c>
    </row>
    <row r="59" spans="1:28" ht="48.75" thickBot="1" x14ac:dyDescent="0.3">
      <c r="A59" s="90" t="str">
        <f>CONCATENATE('3 pr-2'!A150)</f>
        <v>2.1.3.1.2</v>
      </c>
      <c r="B59" s="90"/>
      <c r="C59" s="90" t="s">
        <v>314</v>
      </c>
      <c r="D59" s="90" t="s">
        <v>184</v>
      </c>
      <c r="E59" s="90" t="s">
        <v>106</v>
      </c>
      <c r="F59" s="90" t="s">
        <v>1824</v>
      </c>
      <c r="G59" s="248" t="s">
        <v>154</v>
      </c>
      <c r="H59" s="15" t="s">
        <v>119</v>
      </c>
      <c r="I59" s="15"/>
      <c r="J59" s="17" t="s">
        <v>66</v>
      </c>
      <c r="K59" s="718">
        <f>SUM(L59:P59)</f>
        <v>188353</v>
      </c>
      <c r="L59" s="718">
        <v>28253</v>
      </c>
      <c r="M59" s="718">
        <v>0</v>
      </c>
      <c r="N59" s="718">
        <v>0</v>
      </c>
      <c r="O59" s="718">
        <v>0</v>
      </c>
      <c r="P59" s="718">
        <v>160100</v>
      </c>
      <c r="Q59" s="718"/>
      <c r="R59" s="487">
        <v>42618</v>
      </c>
      <c r="S59" s="357">
        <v>42669</v>
      </c>
      <c r="T59" s="357">
        <v>42738</v>
      </c>
      <c r="U59" s="357">
        <v>42888</v>
      </c>
      <c r="V59" s="495">
        <f>SUM('IV-1 su proj'!CH149)</f>
        <v>43646</v>
      </c>
      <c r="W59" s="34"/>
      <c r="X59" s="34"/>
      <c r="Y59" s="34"/>
    </row>
    <row r="60" spans="1:28" ht="39" customHeight="1" thickBot="1" x14ac:dyDescent="0.3">
      <c r="A60" s="327" t="s">
        <v>37</v>
      </c>
      <c r="B60" s="710"/>
      <c r="C60" s="1885" t="s">
        <v>633</v>
      </c>
      <c r="D60" s="1894"/>
      <c r="E60" s="1894"/>
      <c r="F60" s="1894"/>
      <c r="G60" s="1894"/>
      <c r="H60" s="1894"/>
      <c r="I60" s="1894"/>
      <c r="J60" s="1895"/>
      <c r="K60" s="1215">
        <f>SUM(K61)</f>
        <v>241889</v>
      </c>
      <c r="L60" s="1215">
        <f>SUM(L61)</f>
        <v>36283</v>
      </c>
      <c r="M60" s="1215">
        <f t="shared" ref="M60:O60" si="29">SUM(M61)</f>
        <v>0</v>
      </c>
      <c r="N60" s="1215">
        <f t="shared" si="29"/>
        <v>0</v>
      </c>
      <c r="O60" s="1215">
        <f t="shared" si="29"/>
        <v>0</v>
      </c>
      <c r="P60" s="1215">
        <f>SUM(P61)</f>
        <v>205606</v>
      </c>
      <c r="Q60" s="1215"/>
      <c r="R60" s="91"/>
      <c r="S60" s="329"/>
      <c r="T60" s="329"/>
      <c r="U60" s="329"/>
      <c r="V60" s="329"/>
      <c r="W60" s="37">
        <v>205606</v>
      </c>
      <c r="X60" s="37">
        <f>SUM(W60*120/100)</f>
        <v>246727.2</v>
      </c>
      <c r="Y60" s="38">
        <f>SUM(W60-P60)</f>
        <v>0</v>
      </c>
    </row>
    <row r="61" spans="1:28" ht="48.75" thickBot="1" x14ac:dyDescent="0.3">
      <c r="A61" s="90" t="str">
        <f>CONCATENATE('3 pr-2'!A156)</f>
        <v>2.1.3.2.2</v>
      </c>
      <c r="B61" s="90"/>
      <c r="C61" s="90" t="s">
        <v>189</v>
      </c>
      <c r="D61" s="90" t="s">
        <v>184</v>
      </c>
      <c r="E61" s="90" t="s">
        <v>106</v>
      </c>
      <c r="F61" s="90" t="s">
        <v>1824</v>
      </c>
      <c r="G61" s="248" t="s">
        <v>155</v>
      </c>
      <c r="H61" s="15" t="s">
        <v>119</v>
      </c>
      <c r="I61" s="15" t="s">
        <v>66</v>
      </c>
      <c r="J61" s="17" t="s">
        <v>66</v>
      </c>
      <c r="K61" s="718">
        <f>SUM(L61:P61)</f>
        <v>241889</v>
      </c>
      <c r="L61" s="718">
        <v>36283</v>
      </c>
      <c r="M61" s="718">
        <v>0</v>
      </c>
      <c r="N61" s="718">
        <v>0</v>
      </c>
      <c r="O61" s="718">
        <v>0</v>
      </c>
      <c r="P61" s="718">
        <v>205606</v>
      </c>
      <c r="Q61" s="718"/>
      <c r="R61" s="487">
        <v>42401</v>
      </c>
      <c r="S61" s="357">
        <v>42490</v>
      </c>
      <c r="T61" s="357">
        <v>42674</v>
      </c>
      <c r="U61" s="357">
        <v>42735</v>
      </c>
      <c r="V61" s="495">
        <v>43373</v>
      </c>
      <c r="W61" s="34"/>
      <c r="X61" s="34"/>
      <c r="Y61" s="34"/>
    </row>
    <row r="62" spans="1:28" ht="36" customHeight="1" thickBot="1" x14ac:dyDescent="0.3">
      <c r="A62" s="151" t="s">
        <v>38</v>
      </c>
      <c r="B62" s="714"/>
      <c r="C62" s="1887" t="s">
        <v>634</v>
      </c>
      <c r="D62" s="1900"/>
      <c r="E62" s="1900"/>
      <c r="F62" s="1900"/>
      <c r="G62" s="1900"/>
      <c r="H62" s="1900"/>
      <c r="I62" s="1900"/>
      <c r="J62" s="1901"/>
      <c r="K62" s="1228">
        <f>SUM(K63)</f>
        <v>192832.21</v>
      </c>
      <c r="L62" s="1228">
        <f>SUM(L63)</f>
        <v>28924.84</v>
      </c>
      <c r="M62" s="1228">
        <f t="shared" ref="M62:P63" si="30">SUM(M63)</f>
        <v>0</v>
      </c>
      <c r="N62" s="1228">
        <f t="shared" si="30"/>
        <v>0</v>
      </c>
      <c r="O62" s="1228">
        <f t="shared" si="30"/>
        <v>0</v>
      </c>
      <c r="P62" s="1228">
        <f t="shared" si="30"/>
        <v>163907.37</v>
      </c>
      <c r="Q62" s="1228"/>
      <c r="R62" s="132"/>
      <c r="S62" s="133"/>
      <c r="T62" s="133"/>
      <c r="U62" s="133"/>
      <c r="V62" s="168"/>
      <c r="W62" s="36">
        <f>SUM(W63)</f>
        <v>179348.58670946473</v>
      </c>
      <c r="X62" s="36">
        <f>SUM(X63)</f>
        <v>215218.30405135767</v>
      </c>
      <c r="Y62" s="36">
        <f>SUM(Y63)</f>
        <v>15441.21670946473</v>
      </c>
    </row>
    <row r="63" spans="1:28" ht="39" customHeight="1" thickBot="1" x14ac:dyDescent="0.3">
      <c r="A63" s="327" t="s">
        <v>109</v>
      </c>
      <c r="B63" s="710"/>
      <c r="C63" s="1885" t="s">
        <v>635</v>
      </c>
      <c r="D63" s="1894"/>
      <c r="E63" s="1894"/>
      <c r="F63" s="1894"/>
      <c r="G63" s="1894"/>
      <c r="H63" s="1894"/>
      <c r="I63" s="1894"/>
      <c r="J63" s="1895"/>
      <c r="K63" s="1215">
        <f>SUM(K64)</f>
        <v>192832.21</v>
      </c>
      <c r="L63" s="1215">
        <f>SUM(L64)</f>
        <v>28924.84</v>
      </c>
      <c r="M63" s="1215">
        <f t="shared" si="30"/>
        <v>0</v>
      </c>
      <c r="N63" s="1215">
        <f t="shared" si="30"/>
        <v>0</v>
      </c>
      <c r="O63" s="1215">
        <f t="shared" si="30"/>
        <v>0</v>
      </c>
      <c r="P63" s="1215">
        <f>SUM(P64)</f>
        <v>163907.37</v>
      </c>
      <c r="Q63" s="1215"/>
      <c r="R63" s="91"/>
      <c r="S63" s="329"/>
      <c r="T63" s="329"/>
      <c r="U63" s="329"/>
      <c r="V63" s="329"/>
      <c r="W63" s="37">
        <v>179348.58670946473</v>
      </c>
      <c r="X63" s="37">
        <f>SUM(W63*120/100)</f>
        <v>215218.30405135767</v>
      </c>
      <c r="Y63" s="38">
        <f>SUM(W63-P63)</f>
        <v>15441.21670946473</v>
      </c>
    </row>
    <row r="64" spans="1:28" ht="48.75" thickBot="1" x14ac:dyDescent="0.3">
      <c r="A64" s="90" t="str">
        <f>CONCATENATE('3 pr-2'!A163)</f>
        <v>2.1.4.1.2</v>
      </c>
      <c r="B64" s="90"/>
      <c r="C64" s="90" t="s">
        <v>398</v>
      </c>
      <c r="D64" s="90" t="s">
        <v>184</v>
      </c>
      <c r="E64" s="90" t="s">
        <v>75</v>
      </c>
      <c r="F64" s="90" t="s">
        <v>1824</v>
      </c>
      <c r="G64" s="248" t="s">
        <v>1138</v>
      </c>
      <c r="H64" s="15" t="s">
        <v>119</v>
      </c>
      <c r="I64" s="15" t="s">
        <v>66</v>
      </c>
      <c r="J64" s="17" t="s">
        <v>66</v>
      </c>
      <c r="K64" s="1303">
        <f>SUM(L64:P64)</f>
        <v>192832.21</v>
      </c>
      <c r="L64" s="1303">
        <v>28924.84</v>
      </c>
      <c r="M64" s="1303">
        <v>0</v>
      </c>
      <c r="N64" s="1303">
        <v>0</v>
      </c>
      <c r="O64" s="1303">
        <v>0</v>
      </c>
      <c r="P64" s="1303">
        <v>163907.37</v>
      </c>
      <c r="Q64" s="1303"/>
      <c r="R64" s="487">
        <v>43017</v>
      </c>
      <c r="S64" s="357">
        <v>43100</v>
      </c>
      <c r="T64" s="357">
        <v>43131</v>
      </c>
      <c r="U64" s="357">
        <v>43190</v>
      </c>
      <c r="V64" s="357">
        <v>44196</v>
      </c>
      <c r="W64" s="34"/>
      <c r="X64" s="34"/>
      <c r="Y64" s="34"/>
    </row>
    <row r="65" spans="1:25" ht="41.25" customHeight="1" thickBot="1" x14ac:dyDescent="0.3">
      <c r="A65" s="158" t="s">
        <v>40</v>
      </c>
      <c r="B65" s="715"/>
      <c r="C65" s="1897" t="s">
        <v>1408</v>
      </c>
      <c r="D65" s="1898"/>
      <c r="E65" s="1898"/>
      <c r="F65" s="1898"/>
      <c r="G65" s="1898"/>
      <c r="H65" s="1898"/>
      <c r="I65" s="1898"/>
      <c r="J65" s="1899"/>
      <c r="K65" s="153">
        <f t="shared" ref="K65:P65" si="31">SUM(K66+K69)</f>
        <v>1558149.6411764706</v>
      </c>
      <c r="L65" s="153">
        <f t="shared" si="31"/>
        <v>267704.32372679451</v>
      </c>
      <c r="M65" s="153">
        <f t="shared" si="31"/>
        <v>0</v>
      </c>
      <c r="N65" s="153">
        <f t="shared" si="31"/>
        <v>0</v>
      </c>
      <c r="O65" s="153">
        <f t="shared" si="31"/>
        <v>0</v>
      </c>
      <c r="P65" s="153">
        <f t="shared" si="31"/>
        <v>1324427.1499999999</v>
      </c>
      <c r="Q65" s="153"/>
      <c r="R65" s="153"/>
      <c r="S65" s="159"/>
      <c r="T65" s="159"/>
      <c r="U65" s="159"/>
      <c r="V65" s="167"/>
      <c r="W65" s="35">
        <f>SUM(W66+W69)</f>
        <v>1313858.3500000001</v>
      </c>
      <c r="X65" s="35">
        <f>SUM(X66+X69)</f>
        <v>1576630.02</v>
      </c>
      <c r="Y65" s="35">
        <f>SUM(Y66+Y69)</f>
        <v>-10568.800000000047</v>
      </c>
    </row>
    <row r="66" spans="1:25" ht="47.25" customHeight="1" thickBot="1" x14ac:dyDescent="0.3">
      <c r="A66" s="151" t="s">
        <v>41</v>
      </c>
      <c r="B66" s="714"/>
      <c r="C66" s="1887" t="s">
        <v>1409</v>
      </c>
      <c r="D66" s="1900"/>
      <c r="E66" s="1900"/>
      <c r="F66" s="1900"/>
      <c r="G66" s="1900"/>
      <c r="H66" s="1900"/>
      <c r="I66" s="1900"/>
      <c r="J66" s="1901"/>
      <c r="K66" s="132">
        <f>SUM(K67)</f>
        <v>719846.29411764699</v>
      </c>
      <c r="L66" s="132">
        <f>SUM(L67)</f>
        <v>141958.77666797099</v>
      </c>
      <c r="M66" s="132">
        <f t="shared" ref="M66:P66" si="32">SUM(M67)</f>
        <v>0</v>
      </c>
      <c r="N66" s="132">
        <f t="shared" si="32"/>
        <v>0</v>
      </c>
      <c r="O66" s="132">
        <f t="shared" si="32"/>
        <v>0</v>
      </c>
      <c r="P66" s="132">
        <f t="shared" si="32"/>
        <v>611869.35</v>
      </c>
      <c r="Q66" s="132"/>
      <c r="R66" s="132"/>
      <c r="S66" s="133"/>
      <c r="T66" s="133"/>
      <c r="U66" s="133"/>
      <c r="V66" s="168"/>
      <c r="W66" s="36">
        <f>SUM(W67)</f>
        <v>611869.35</v>
      </c>
      <c r="X66" s="36">
        <f>SUM(X67)</f>
        <v>734243.22</v>
      </c>
      <c r="Y66" s="36">
        <f>SUM(Y67)</f>
        <v>0</v>
      </c>
    </row>
    <row r="67" spans="1:25" ht="39" customHeight="1" thickBot="1" x14ac:dyDescent="0.3">
      <c r="A67" s="327" t="s">
        <v>42</v>
      </c>
      <c r="B67" s="710"/>
      <c r="C67" s="1885" t="s">
        <v>606</v>
      </c>
      <c r="D67" s="1894"/>
      <c r="E67" s="1894"/>
      <c r="F67" s="1894"/>
      <c r="G67" s="1894"/>
      <c r="H67" s="1894"/>
      <c r="I67" s="1894"/>
      <c r="J67" s="1895"/>
      <c r="K67" s="329">
        <f t="shared" ref="K67:P67" si="33">SUM(K68:K68)</f>
        <v>719846.29411764699</v>
      </c>
      <c r="L67" s="329">
        <f>SUM(L68:L68)</f>
        <v>141958.77666797099</v>
      </c>
      <c r="M67" s="329">
        <f t="shared" si="33"/>
        <v>0</v>
      </c>
      <c r="N67" s="329">
        <f t="shared" si="33"/>
        <v>0</v>
      </c>
      <c r="O67" s="329">
        <f t="shared" si="33"/>
        <v>0</v>
      </c>
      <c r="P67" s="329">
        <f t="shared" si="33"/>
        <v>611869.35</v>
      </c>
      <c r="Q67" s="329"/>
      <c r="R67" s="91"/>
      <c r="S67" s="329"/>
      <c r="T67" s="329"/>
      <c r="U67" s="329"/>
      <c r="V67" s="329"/>
      <c r="W67" s="37">
        <v>611869.35</v>
      </c>
      <c r="X67" s="37">
        <f>SUM(W67*120/100)</f>
        <v>734243.22</v>
      </c>
      <c r="Y67" s="38">
        <f>SUM(W67-P67)</f>
        <v>0</v>
      </c>
    </row>
    <row r="68" spans="1:25" s="56" customFormat="1" ht="48.75" thickBot="1" x14ac:dyDescent="0.3">
      <c r="A68" s="125" t="str">
        <f>CONCATENATE('3 pr-2'!A166)</f>
        <v>2.1.4.1.5</v>
      </c>
      <c r="B68" s="125"/>
      <c r="C68" s="125" t="s">
        <v>310</v>
      </c>
      <c r="D68" s="125" t="s">
        <v>190</v>
      </c>
      <c r="E68" s="125" t="s">
        <v>77</v>
      </c>
      <c r="F68" s="125" t="s">
        <v>185</v>
      </c>
      <c r="G68" s="352" t="s">
        <v>191</v>
      </c>
      <c r="H68" s="376" t="s">
        <v>119</v>
      </c>
      <c r="I68" s="376" t="s">
        <v>66</v>
      </c>
      <c r="J68" s="306" t="s">
        <v>66</v>
      </c>
      <c r="K68" s="306">
        <v>719846.29411764699</v>
      </c>
      <c r="L68" s="306">
        <v>141958.77666797099</v>
      </c>
      <c r="M68" s="306">
        <v>0</v>
      </c>
      <c r="N68" s="306">
        <v>0</v>
      </c>
      <c r="O68" s="306">
        <v>0</v>
      </c>
      <c r="P68" s="306">
        <v>611869.35</v>
      </c>
      <c r="Q68" s="306"/>
      <c r="R68" s="306"/>
      <c r="S68" s="719">
        <v>42766</v>
      </c>
      <c r="T68" s="719">
        <v>42916</v>
      </c>
      <c r="U68" s="719">
        <v>43008</v>
      </c>
      <c r="V68" s="719">
        <v>43830</v>
      </c>
      <c r="W68" s="55"/>
      <c r="X68" s="55"/>
      <c r="Y68" s="55"/>
    </row>
    <row r="69" spans="1:25" ht="36" customHeight="1" thickBot="1" x14ac:dyDescent="0.3">
      <c r="A69" s="151" t="s">
        <v>43</v>
      </c>
      <c r="B69" s="714"/>
      <c r="C69" s="1887" t="s">
        <v>1410</v>
      </c>
      <c r="D69" s="1900"/>
      <c r="E69" s="1900"/>
      <c r="F69" s="1900"/>
      <c r="G69" s="1900"/>
      <c r="H69" s="1900"/>
      <c r="I69" s="1900"/>
      <c r="J69" s="1901"/>
      <c r="K69" s="132">
        <f>SUM(K70)</f>
        <v>838303.34705882345</v>
      </c>
      <c r="L69" s="132">
        <f>SUM(L70)</f>
        <v>125745.54705882352</v>
      </c>
      <c r="M69" s="132">
        <f t="shared" ref="M69:P69" si="34">SUM(M70)</f>
        <v>0</v>
      </c>
      <c r="N69" s="132">
        <f t="shared" si="34"/>
        <v>0</v>
      </c>
      <c r="O69" s="132">
        <f t="shared" si="34"/>
        <v>0</v>
      </c>
      <c r="P69" s="132">
        <f t="shared" si="34"/>
        <v>712557.8</v>
      </c>
      <c r="Q69" s="132"/>
      <c r="R69" s="132"/>
      <c r="S69" s="133"/>
      <c r="T69" s="133"/>
      <c r="U69" s="133"/>
      <c r="V69" s="168"/>
      <c r="W69" s="36">
        <f>SUM(W70)</f>
        <v>701989</v>
      </c>
      <c r="X69" s="36">
        <f>SUM(X70)</f>
        <v>842386.8</v>
      </c>
      <c r="Y69" s="36">
        <f>SUM(Y70)</f>
        <v>-10568.800000000047</v>
      </c>
    </row>
    <row r="70" spans="1:25" ht="39" customHeight="1" thickBot="1" x14ac:dyDescent="0.3">
      <c r="A70" s="327" t="s">
        <v>113</v>
      </c>
      <c r="B70" s="710"/>
      <c r="C70" s="1885" t="s">
        <v>610</v>
      </c>
      <c r="D70" s="1894"/>
      <c r="E70" s="1894"/>
      <c r="F70" s="1894"/>
      <c r="G70" s="1894"/>
      <c r="H70" s="1894"/>
      <c r="I70" s="1894"/>
      <c r="J70" s="1895"/>
      <c r="K70" s="329">
        <f>SUM(K71:K72)</f>
        <v>838303.34705882345</v>
      </c>
      <c r="L70" s="329">
        <f t="shared" ref="L70:P70" si="35">SUM(L71:L72)</f>
        <v>125745.54705882352</v>
      </c>
      <c r="M70" s="329">
        <f t="shared" si="35"/>
        <v>0</v>
      </c>
      <c r="N70" s="329">
        <f t="shared" si="35"/>
        <v>0</v>
      </c>
      <c r="O70" s="329">
        <f t="shared" si="35"/>
        <v>0</v>
      </c>
      <c r="P70" s="329">
        <f t="shared" si="35"/>
        <v>712557.8</v>
      </c>
      <c r="Q70" s="329"/>
      <c r="R70" s="91"/>
      <c r="S70" s="329"/>
      <c r="T70" s="329"/>
      <c r="U70" s="329"/>
      <c r="V70" s="329"/>
      <c r="W70" s="37">
        <v>701989</v>
      </c>
      <c r="X70" s="37">
        <f>SUM(W70*120/100)</f>
        <v>842386.8</v>
      </c>
      <c r="Y70" s="38">
        <f>SUM(W70-P70)</f>
        <v>-10568.800000000047</v>
      </c>
    </row>
    <row r="71" spans="1:25" ht="48.75" thickBot="1" x14ac:dyDescent="0.3">
      <c r="A71" s="90" t="str">
        <f>CONCATENATE('3 pr-2'!A176)</f>
        <v>3.1.2.1.3</v>
      </c>
      <c r="B71" s="90"/>
      <c r="C71" s="90" t="s">
        <v>192</v>
      </c>
      <c r="D71" s="90" t="s">
        <v>184</v>
      </c>
      <c r="E71" s="90" t="s">
        <v>77</v>
      </c>
      <c r="F71" s="90" t="s">
        <v>1824</v>
      </c>
      <c r="G71" s="248" t="s">
        <v>193</v>
      </c>
      <c r="H71" s="15" t="s">
        <v>119</v>
      </c>
      <c r="I71" s="15"/>
      <c r="J71" s="17"/>
      <c r="K71" s="718">
        <f>SUM(L71:P71)</f>
        <v>101765.7</v>
      </c>
      <c r="L71" s="718">
        <v>15264.9</v>
      </c>
      <c r="M71" s="718">
        <v>0</v>
      </c>
      <c r="N71" s="718">
        <v>0</v>
      </c>
      <c r="O71" s="718">
        <v>0</v>
      </c>
      <c r="P71" s="718">
        <v>86500.800000000003</v>
      </c>
      <c r="Q71" s="718"/>
      <c r="R71" s="487">
        <v>42598</v>
      </c>
      <c r="S71" s="357">
        <v>42632</v>
      </c>
      <c r="T71" s="357">
        <v>42767</v>
      </c>
      <c r="U71" s="357">
        <v>42998</v>
      </c>
      <c r="V71" s="357">
        <v>43465</v>
      </c>
      <c r="W71" s="34"/>
      <c r="X71" s="34"/>
      <c r="Y71" s="34"/>
    </row>
    <row r="72" spans="1:25" ht="48.75" thickBot="1" x14ac:dyDescent="0.3">
      <c r="A72" s="90" t="str">
        <f>CONCATENATE('3 pr-2'!A181)</f>
        <v>3.1.2.1.8</v>
      </c>
      <c r="B72" s="90"/>
      <c r="C72" s="90" t="s">
        <v>612</v>
      </c>
      <c r="D72" s="90" t="s">
        <v>184</v>
      </c>
      <c r="E72" s="90" t="s">
        <v>77</v>
      </c>
      <c r="F72" s="90" t="s">
        <v>1824</v>
      </c>
      <c r="G72" s="248" t="s">
        <v>193</v>
      </c>
      <c r="H72" s="15" t="s">
        <v>119</v>
      </c>
      <c r="I72" s="15" t="s">
        <v>66</v>
      </c>
      <c r="J72" s="17" t="s">
        <v>66</v>
      </c>
      <c r="K72" s="718">
        <v>736537.6470588235</v>
      </c>
      <c r="L72" s="718">
        <v>110480.64705882352</v>
      </c>
      <c r="M72" s="718">
        <v>0</v>
      </c>
      <c r="N72" s="718">
        <v>0</v>
      </c>
      <c r="O72" s="718">
        <v>0</v>
      </c>
      <c r="P72" s="718">
        <v>626057</v>
      </c>
      <c r="Q72" s="718"/>
      <c r="R72" s="487">
        <v>43128</v>
      </c>
      <c r="S72" s="357">
        <v>43159</v>
      </c>
      <c r="T72" s="357">
        <v>43222</v>
      </c>
      <c r="U72" s="357">
        <v>43342</v>
      </c>
      <c r="V72" s="357">
        <v>43830</v>
      </c>
      <c r="W72" s="34"/>
      <c r="X72" s="34"/>
      <c r="Y72" s="34"/>
    </row>
    <row r="73" spans="1:25" ht="15.75" thickBot="1" x14ac:dyDescent="0.3">
      <c r="A73" s="59"/>
      <c r="B73" s="60"/>
      <c r="C73" s="60"/>
      <c r="D73" s="60"/>
      <c r="E73" s="60"/>
      <c r="F73" s="60"/>
      <c r="G73" s="61"/>
      <c r="H73" s="60"/>
      <c r="I73" s="60"/>
      <c r="J73" s="60"/>
      <c r="K73" s="51">
        <f t="shared" ref="K73:P73" si="36">SUM(K5+K41+K65)</f>
        <v>9067615.447058823</v>
      </c>
      <c r="L73" s="51">
        <f t="shared" si="36"/>
        <v>1317186.2396091474</v>
      </c>
      <c r="M73" s="51">
        <f t="shared" si="36"/>
        <v>317433.43</v>
      </c>
      <c r="N73" s="51">
        <f t="shared" si="36"/>
        <v>651829</v>
      </c>
      <c r="O73" s="51">
        <f t="shared" si="36"/>
        <v>788.75</v>
      </c>
      <c r="P73" s="51">
        <f t="shared" si="36"/>
        <v>6814359.8599999994</v>
      </c>
      <c r="Q73" s="365"/>
      <c r="R73" s="365"/>
      <c r="S73" s="60"/>
      <c r="T73" s="60"/>
      <c r="U73" s="60"/>
      <c r="V73" s="62"/>
      <c r="W73" s="51">
        <f>SUM(W5+W41+W65)</f>
        <v>7507052.4672358781</v>
      </c>
      <c r="X73" s="51">
        <f>SUM(X5+X41+X65)</f>
        <v>9008462.9606830534</v>
      </c>
      <c r="Y73" s="51" t="e">
        <f>SUM(Y5+Y41+Y65)</f>
        <v>#REF!</v>
      </c>
    </row>
    <row r="74" spans="1:25" ht="15.75" thickTop="1" x14ac:dyDescent="0.25"/>
    <row r="75" spans="1:25" x14ac:dyDescent="0.25">
      <c r="M75" s="63">
        <f>SUM(M73:O73)</f>
        <v>970051.17999999993</v>
      </c>
    </row>
    <row r="77" spans="1:25" x14ac:dyDescent="0.25">
      <c r="M77" s="52">
        <v>777879.2799999998</v>
      </c>
      <c r="N77" s="52">
        <v>3352807.77</v>
      </c>
    </row>
    <row r="79" spans="1:25" x14ac:dyDescent="0.25">
      <c r="M79" s="69">
        <f>SUM(M77*N79/N77)</f>
        <v>141958.77666797099</v>
      </c>
      <c r="N79" s="52">
        <v>611869.35</v>
      </c>
    </row>
  </sheetData>
  <mergeCells count="41">
    <mergeCell ref="C41:J41"/>
    <mergeCell ref="C65:J65"/>
    <mergeCell ref="C32:J32"/>
    <mergeCell ref="C42:J42"/>
    <mergeCell ref="C49:J49"/>
    <mergeCell ref="C57:J57"/>
    <mergeCell ref="C62:J62"/>
    <mergeCell ref="C63:J63"/>
    <mergeCell ref="C55:J55"/>
    <mergeCell ref="C67:J67"/>
    <mergeCell ref="C70:J70"/>
    <mergeCell ref="C66:J66"/>
    <mergeCell ref="C69:J69"/>
    <mergeCell ref="C43:J43"/>
    <mergeCell ref="C45:J45"/>
    <mergeCell ref="C47:J47"/>
    <mergeCell ref="C50:J50"/>
    <mergeCell ref="C53:J53"/>
    <mergeCell ref="C58:J58"/>
    <mergeCell ref="C60:J60"/>
    <mergeCell ref="C30:J30"/>
    <mergeCell ref="C33:J33"/>
    <mergeCell ref="C35:J35"/>
    <mergeCell ref="C37:J37"/>
    <mergeCell ref="C39:J39"/>
    <mergeCell ref="C20:J20"/>
    <mergeCell ref="C22:J22"/>
    <mergeCell ref="C24:J24"/>
    <mergeCell ref="C26:J26"/>
    <mergeCell ref="C28:J28"/>
    <mergeCell ref="C5:J5"/>
    <mergeCell ref="C6:J6"/>
    <mergeCell ref="C7:J7"/>
    <mergeCell ref="C16:J16"/>
    <mergeCell ref="C18:J18"/>
    <mergeCell ref="Y2:Y3"/>
    <mergeCell ref="A2:J2"/>
    <mergeCell ref="K2:P2"/>
    <mergeCell ref="W2:W3"/>
    <mergeCell ref="X2:X3"/>
    <mergeCell ref="R2:V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5" topLeftCell="A58" activePane="bottomLeft"/>
      <selection activeCell="Q3" sqref="Q3"/>
      <selection pane="bottomLeft" activeCell="O61" sqref="O61"/>
    </sheetView>
  </sheetViews>
  <sheetFormatPr defaultColWidth="9.140625" defaultRowHeight="15" x14ac:dyDescent="0.25"/>
  <cols>
    <col min="1" max="1" width="9.140625" style="52"/>
    <col min="2" max="2" width="13.28515625" style="52" customWidth="1"/>
    <col min="3" max="3" width="37.140625" style="52" customWidth="1"/>
    <col min="4" max="4" width="11.7109375" style="52" customWidth="1"/>
    <col min="5" max="5" width="14.42578125" style="52" bestFit="1" customWidth="1"/>
    <col min="6" max="6" width="11.42578125" style="52" customWidth="1"/>
    <col min="7" max="7" width="18.28515625" style="52" customWidth="1"/>
    <col min="8" max="10" width="9.140625" style="52"/>
    <col min="11" max="11" width="16.42578125" style="52" bestFit="1" customWidth="1"/>
    <col min="12" max="12" width="14.28515625" style="52" bestFit="1" customWidth="1"/>
    <col min="13" max="13" width="12.7109375" style="52" bestFit="1" customWidth="1"/>
    <col min="14" max="14" width="13.140625" style="52" customWidth="1"/>
    <col min="15" max="15" width="10.85546875" style="52" bestFit="1" customWidth="1"/>
    <col min="16" max="16" width="16.42578125" style="52" bestFit="1" customWidth="1"/>
    <col min="17" max="17" width="10.7109375" style="52" customWidth="1"/>
    <col min="18" max="18" width="12.28515625" style="52" hidden="1" customWidth="1"/>
    <col min="19" max="19" width="11.85546875" style="52" customWidth="1"/>
    <col min="20" max="20" width="10.28515625" style="52" customWidth="1"/>
    <col min="21" max="21" width="11.5703125" style="52" bestFit="1" customWidth="1"/>
    <col min="22" max="22" width="10.85546875" style="52" customWidth="1"/>
    <col min="23" max="24" width="18" style="52" hidden="1" customWidth="1"/>
    <col min="25" max="25" width="22.42578125" style="52" hidden="1" customWidth="1"/>
    <col min="26" max="26" width="9.140625" style="52" customWidth="1"/>
    <col min="27" max="16384" width="9.140625" style="52"/>
  </cols>
  <sheetData>
    <row r="1" spans="1:25" ht="15.75" thickBot="1" x14ac:dyDescent="0.3">
      <c r="A1" s="26" t="s">
        <v>73</v>
      </c>
      <c r="B1" s="26"/>
    </row>
    <row r="2" spans="1:25" ht="16.5" customHeight="1" thickTop="1" thickBot="1" x14ac:dyDescent="0.3">
      <c r="A2" s="1956" t="s">
        <v>46</v>
      </c>
      <c r="B2" s="1957"/>
      <c r="C2" s="1957"/>
      <c r="D2" s="1957"/>
      <c r="E2" s="1957"/>
      <c r="F2" s="1957"/>
      <c r="G2" s="1957"/>
      <c r="H2" s="1957"/>
      <c r="I2" s="1957"/>
      <c r="J2" s="1958"/>
      <c r="K2" s="1959" t="s">
        <v>47</v>
      </c>
      <c r="L2" s="1957"/>
      <c r="M2" s="1957"/>
      <c r="N2" s="1957"/>
      <c r="O2" s="1957"/>
      <c r="P2" s="1958"/>
      <c r="Q2" s="1327"/>
      <c r="R2" s="1959" t="s">
        <v>48</v>
      </c>
      <c r="S2" s="1961"/>
      <c r="T2" s="1961"/>
      <c r="U2" s="1961"/>
      <c r="V2" s="1962"/>
      <c r="W2" s="1954" t="s">
        <v>117</v>
      </c>
      <c r="X2" s="1954" t="s">
        <v>118</v>
      </c>
      <c r="Y2" s="1954" t="s">
        <v>122</v>
      </c>
    </row>
    <row r="3" spans="1:25" ht="84.75" thickBot="1" x14ac:dyDescent="0.3">
      <c r="A3" s="27" t="s">
        <v>7</v>
      </c>
      <c r="B3" s="28" t="str">
        <f>CONCATENATE('3 pr-2'!B4)</f>
        <v xml:space="preserve">Unikalus numeris**** </v>
      </c>
      <c r="C3" s="28" t="s">
        <v>49</v>
      </c>
      <c r="D3" s="28" t="s">
        <v>50</v>
      </c>
      <c r="E3" s="28" t="s">
        <v>51</v>
      </c>
      <c r="F3" s="28" t="s">
        <v>52</v>
      </c>
      <c r="G3" s="29" t="s">
        <v>53</v>
      </c>
      <c r="H3" s="28" t="s">
        <v>54</v>
      </c>
      <c r="I3" s="28" t="s">
        <v>55</v>
      </c>
      <c r="J3" s="28" t="s">
        <v>56</v>
      </c>
      <c r="K3" s="28" t="s">
        <v>57</v>
      </c>
      <c r="L3" s="28" t="s">
        <v>58</v>
      </c>
      <c r="M3" s="28" t="s">
        <v>59</v>
      </c>
      <c r="N3" s="28" t="s">
        <v>60</v>
      </c>
      <c r="O3" s="28" t="s">
        <v>61</v>
      </c>
      <c r="P3" s="28" t="s">
        <v>10</v>
      </c>
      <c r="Q3" s="28" t="s">
        <v>1806</v>
      </c>
      <c r="R3" s="720" t="s">
        <v>1142</v>
      </c>
      <c r="S3" s="28" t="s">
        <v>62</v>
      </c>
      <c r="T3" s="28" t="s">
        <v>63</v>
      </c>
      <c r="U3" s="28" t="s">
        <v>64</v>
      </c>
      <c r="V3" s="30" t="s">
        <v>65</v>
      </c>
      <c r="W3" s="1955"/>
      <c r="X3" s="1955"/>
      <c r="Y3" s="1955"/>
    </row>
    <row r="4" spans="1:25" ht="15.75" thickBot="1" x14ac:dyDescent="0.3">
      <c r="A4" s="19"/>
      <c r="B4" s="16"/>
      <c r="C4" s="16"/>
      <c r="D4" s="16"/>
      <c r="E4" s="16"/>
      <c r="F4" s="16"/>
      <c r="G4" s="11"/>
      <c r="H4" s="16"/>
      <c r="I4" s="16"/>
      <c r="J4" s="16"/>
      <c r="K4" s="16"/>
      <c r="L4" s="16"/>
      <c r="M4" s="16"/>
      <c r="N4" s="16"/>
      <c r="O4" s="16"/>
      <c r="P4" s="16"/>
      <c r="Q4" s="16"/>
      <c r="R4" s="16"/>
      <c r="S4" s="16"/>
      <c r="T4" s="16"/>
      <c r="U4" s="16"/>
      <c r="V4" s="53"/>
      <c r="W4" s="34"/>
      <c r="X4" s="34"/>
      <c r="Y4" s="34"/>
    </row>
    <row r="5" spans="1:25" ht="60.75" customHeight="1" thickBot="1" x14ac:dyDescent="0.3">
      <c r="A5" s="158" t="s">
        <v>11</v>
      </c>
      <c r="B5" s="715"/>
      <c r="C5" s="1897" t="s">
        <v>1405</v>
      </c>
      <c r="D5" s="1898"/>
      <c r="E5" s="1898"/>
      <c r="F5" s="1898"/>
      <c r="G5" s="1898"/>
      <c r="H5" s="1898"/>
      <c r="I5" s="1898"/>
      <c r="J5" s="1899"/>
      <c r="K5" s="153">
        <f t="shared" ref="K5:P5" si="0">SUM(K6+K31)</f>
        <v>11583867.291764706</v>
      </c>
      <c r="L5" s="153">
        <f t="shared" si="0"/>
        <v>1825626.641764706</v>
      </c>
      <c r="M5" s="153">
        <f t="shared" si="0"/>
        <v>191289.99</v>
      </c>
      <c r="N5" s="153">
        <f t="shared" si="0"/>
        <v>2716901</v>
      </c>
      <c r="O5" s="153">
        <f t="shared" si="0"/>
        <v>0</v>
      </c>
      <c r="P5" s="153">
        <f t="shared" si="0"/>
        <v>6850049.6599999992</v>
      </c>
      <c r="Q5" s="153">
        <f t="shared" ref="Q5" si="1">SUM(Q6+Q31)</f>
        <v>0</v>
      </c>
      <c r="R5" s="153"/>
      <c r="S5" s="159" t="s">
        <v>66</v>
      </c>
      <c r="T5" s="159" t="s">
        <v>66</v>
      </c>
      <c r="U5" s="159" t="s">
        <v>66</v>
      </c>
      <c r="V5" s="167"/>
      <c r="W5" s="35">
        <f>SUM(W6+W31)</f>
        <v>6509159.2167248093</v>
      </c>
      <c r="X5" s="35">
        <f>SUM(X6+X31)</f>
        <v>7810991.0600697715</v>
      </c>
      <c r="Y5" s="35">
        <f>SUM(Y6+Y31)</f>
        <v>-326440.44327519025</v>
      </c>
    </row>
    <row r="6" spans="1:25" ht="51" customHeight="1" thickBot="1" x14ac:dyDescent="0.3">
      <c r="A6" s="151" t="s">
        <v>12</v>
      </c>
      <c r="B6" s="714"/>
      <c r="C6" s="1887" t="s">
        <v>1406</v>
      </c>
      <c r="D6" s="1900"/>
      <c r="E6" s="1900"/>
      <c r="F6" s="1900"/>
      <c r="G6" s="1900"/>
      <c r="H6" s="1900"/>
      <c r="I6" s="1900"/>
      <c r="J6" s="1901"/>
      <c r="K6" s="132">
        <f t="shared" ref="K6:P6" si="2">SUM(K7+K12+K15+K17+K19+K21+K23+K27+K29)</f>
        <v>8561205.8117647059</v>
      </c>
      <c r="L6" s="132">
        <f t="shared" si="2"/>
        <v>807626.96176470595</v>
      </c>
      <c r="M6" s="132">
        <f t="shared" si="2"/>
        <v>191289.99</v>
      </c>
      <c r="N6" s="132">
        <f t="shared" si="2"/>
        <v>2294209</v>
      </c>
      <c r="O6" s="132">
        <f t="shared" si="2"/>
        <v>0</v>
      </c>
      <c r="P6" s="132">
        <f t="shared" si="2"/>
        <v>5268079.8599999994</v>
      </c>
      <c r="Q6" s="132">
        <f t="shared" ref="Q6" si="3">SUM(Q7+Q12+Q15+Q17+Q19+Q21+Q23+Q27+Q29)</f>
        <v>0</v>
      </c>
      <c r="R6" s="132"/>
      <c r="S6" s="133" t="s">
        <v>66</v>
      </c>
      <c r="T6" s="133" t="s">
        <v>66</v>
      </c>
      <c r="U6" s="133" t="s">
        <v>66</v>
      </c>
      <c r="V6" s="168"/>
      <c r="W6" s="36">
        <f>SUM(W7+W12+W15+W17+W19+W21+W23+W27+W29)</f>
        <v>5268080.8167248098</v>
      </c>
      <c r="X6" s="36">
        <f>SUM(X7+X12+X15+X17+X19+X21+X23+X27+X29)</f>
        <v>6321696.9800697714</v>
      </c>
      <c r="Y6" s="36">
        <f>SUM(Y7+Y12+Y15+Y17+Y19+Y21+Y23+Y27+Y29)</f>
        <v>0.95672480977373198</v>
      </c>
    </row>
    <row r="7" spans="1:25" ht="37.5" customHeight="1" thickBot="1" x14ac:dyDescent="0.3">
      <c r="A7" s="327" t="s">
        <v>67</v>
      </c>
      <c r="B7" s="710"/>
      <c r="C7" s="1885" t="s">
        <v>604</v>
      </c>
      <c r="D7" s="1894"/>
      <c r="E7" s="1894"/>
      <c r="F7" s="1894"/>
      <c r="G7" s="1894"/>
      <c r="H7" s="1894"/>
      <c r="I7" s="1894"/>
      <c r="J7" s="1895"/>
      <c r="K7" s="329">
        <f t="shared" ref="K7:Q7" si="4">SUM(K8:K11)</f>
        <v>784232</v>
      </c>
      <c r="L7" s="329">
        <f t="shared" si="4"/>
        <v>221555</v>
      </c>
      <c r="M7" s="329">
        <f t="shared" si="4"/>
        <v>84402</v>
      </c>
      <c r="N7" s="329">
        <f t="shared" si="4"/>
        <v>0</v>
      </c>
      <c r="O7" s="329">
        <f t="shared" si="4"/>
        <v>0</v>
      </c>
      <c r="P7" s="329">
        <f t="shared" si="4"/>
        <v>478275</v>
      </c>
      <c r="Q7" s="329">
        <f t="shared" si="4"/>
        <v>0</v>
      </c>
      <c r="R7" s="91"/>
      <c r="S7" s="329" t="s">
        <v>66</v>
      </c>
      <c r="T7" s="329" t="s">
        <v>66</v>
      </c>
      <c r="U7" s="329" t="s">
        <v>66</v>
      </c>
      <c r="V7" s="329"/>
      <c r="W7" s="37">
        <v>478275</v>
      </c>
      <c r="X7" s="37">
        <f>SUM(W7*120/100)</f>
        <v>573930</v>
      </c>
      <c r="Y7" s="37">
        <f>SUM(W7-P7)</f>
        <v>0</v>
      </c>
    </row>
    <row r="8" spans="1:25" ht="36.75" thickBot="1" x14ac:dyDescent="0.3">
      <c r="A8" s="90" t="str">
        <f>CONCATENATE('3 pr-2'!A10)</f>
        <v>1.1.1.1.1</v>
      </c>
      <c r="B8" s="90" t="str">
        <f>CONCATENATE('3 pr-2'!B10)</f>
        <v>R01-ZM72-120000-1101</v>
      </c>
      <c r="C8" s="90" t="s">
        <v>418</v>
      </c>
      <c r="D8" s="90" t="s">
        <v>181</v>
      </c>
      <c r="E8" s="90" t="s">
        <v>74</v>
      </c>
      <c r="F8" s="90" t="s">
        <v>1469</v>
      </c>
      <c r="G8" s="90" t="s">
        <v>444</v>
      </c>
      <c r="H8" s="15" t="s">
        <v>119</v>
      </c>
      <c r="I8" s="15" t="s">
        <v>66</v>
      </c>
      <c r="J8" s="15" t="s">
        <v>66</v>
      </c>
      <c r="K8" s="17">
        <f>SUM(L8:P8)</f>
        <v>198893</v>
      </c>
      <c r="L8" s="17">
        <v>39779</v>
      </c>
      <c r="M8" s="17">
        <v>23867</v>
      </c>
      <c r="N8" s="17">
        <v>0</v>
      </c>
      <c r="O8" s="17">
        <v>0</v>
      </c>
      <c r="P8" s="17">
        <v>135247</v>
      </c>
      <c r="Q8" s="17">
        <v>0</v>
      </c>
      <c r="R8" s="487">
        <v>42643</v>
      </c>
      <c r="S8" s="357">
        <v>42855</v>
      </c>
      <c r="T8" s="357">
        <v>43010</v>
      </c>
      <c r="U8" s="726">
        <v>43102</v>
      </c>
      <c r="V8" s="357">
        <v>43465</v>
      </c>
      <c r="W8" s="34"/>
      <c r="X8" s="34"/>
      <c r="Y8" s="34"/>
    </row>
    <row r="9" spans="1:25" ht="36.75" thickBot="1" x14ac:dyDescent="0.3">
      <c r="A9" s="90" t="str">
        <f>CONCATENATE('3 pr-2'!A11)</f>
        <v>1.1.1.1.2</v>
      </c>
      <c r="B9" s="90" t="str">
        <f>CONCATENATE('3 pr-2'!B11)</f>
        <v>R01-ZM72-120000-1102</v>
      </c>
      <c r="C9" s="90" t="s">
        <v>419</v>
      </c>
      <c r="D9" s="90" t="s">
        <v>181</v>
      </c>
      <c r="E9" s="90" t="s">
        <v>74</v>
      </c>
      <c r="F9" s="90" t="s">
        <v>1469</v>
      </c>
      <c r="G9" s="90" t="s">
        <v>444</v>
      </c>
      <c r="H9" s="15" t="s">
        <v>119</v>
      </c>
      <c r="I9" s="15" t="s">
        <v>66</v>
      </c>
      <c r="J9" s="15" t="s">
        <v>66</v>
      </c>
      <c r="K9" s="17">
        <f>SUM(L9:P9)</f>
        <v>151340</v>
      </c>
      <c r="L9" s="17">
        <v>30268</v>
      </c>
      <c r="M9" s="17">
        <v>18161</v>
      </c>
      <c r="N9" s="17">
        <v>0</v>
      </c>
      <c r="O9" s="17">
        <v>0</v>
      </c>
      <c r="P9" s="17">
        <v>102911</v>
      </c>
      <c r="Q9" s="17">
        <v>0</v>
      </c>
      <c r="R9" s="487">
        <v>42643</v>
      </c>
      <c r="S9" s="357">
        <v>42855</v>
      </c>
      <c r="T9" s="357">
        <v>43010</v>
      </c>
      <c r="U9" s="726">
        <v>43102</v>
      </c>
      <c r="V9" s="357">
        <v>43465</v>
      </c>
      <c r="W9" s="34"/>
      <c r="X9" s="34"/>
      <c r="Y9" s="34"/>
    </row>
    <row r="10" spans="1:25" ht="36.75" thickBot="1" x14ac:dyDescent="0.3">
      <c r="A10" s="90" t="str">
        <f>CONCATENATE('3 pr-2'!A12)</f>
        <v>1.1.1.1.3</v>
      </c>
      <c r="B10" s="90" t="str">
        <f>CONCATENATE('3 pr-2'!B12)</f>
        <v>R01-ZM72-120000-1103</v>
      </c>
      <c r="C10" s="90" t="s">
        <v>420</v>
      </c>
      <c r="D10" s="90" t="s">
        <v>181</v>
      </c>
      <c r="E10" s="90" t="s">
        <v>74</v>
      </c>
      <c r="F10" s="90" t="s">
        <v>1469</v>
      </c>
      <c r="G10" s="90" t="s">
        <v>444</v>
      </c>
      <c r="H10" s="15" t="s">
        <v>119</v>
      </c>
      <c r="I10" s="15" t="s">
        <v>66</v>
      </c>
      <c r="J10" s="15" t="s">
        <v>66</v>
      </c>
      <c r="K10" s="17">
        <f>SUM(L10:P10)</f>
        <v>193059</v>
      </c>
      <c r="L10" s="17">
        <v>38612</v>
      </c>
      <c r="M10" s="17">
        <v>23167</v>
      </c>
      <c r="N10" s="17">
        <v>0</v>
      </c>
      <c r="O10" s="17">
        <v>0</v>
      </c>
      <c r="P10" s="17">
        <v>131280</v>
      </c>
      <c r="Q10" s="17">
        <v>0</v>
      </c>
      <c r="R10" s="487">
        <v>42643</v>
      </c>
      <c r="S10" s="357">
        <v>42855</v>
      </c>
      <c r="T10" s="357">
        <v>43010</v>
      </c>
      <c r="U10" s="726">
        <v>43102</v>
      </c>
      <c r="V10" s="357">
        <v>43465</v>
      </c>
      <c r="W10" s="34"/>
      <c r="X10" s="34"/>
      <c r="Y10" s="34"/>
    </row>
    <row r="11" spans="1:25" ht="36.75" thickBot="1" x14ac:dyDescent="0.3">
      <c r="A11" s="90" t="str">
        <f>CONCATENATE('3 pr-2'!A14)</f>
        <v>1.1.1.1.5</v>
      </c>
      <c r="B11" s="90" t="str">
        <f>CONCATENATE('3 pr-2'!B14)</f>
        <v>R01-ZM72-120000-1105</v>
      </c>
      <c r="C11" s="90" t="s">
        <v>422</v>
      </c>
      <c r="D11" s="90" t="s">
        <v>181</v>
      </c>
      <c r="E11" s="90" t="s">
        <v>74</v>
      </c>
      <c r="F11" s="90" t="s">
        <v>1469</v>
      </c>
      <c r="G11" s="90" t="s">
        <v>444</v>
      </c>
      <c r="H11" s="15" t="s">
        <v>119</v>
      </c>
      <c r="I11" s="15" t="s">
        <v>66</v>
      </c>
      <c r="J11" s="15" t="s">
        <v>66</v>
      </c>
      <c r="K11" s="17">
        <f>SUM(L11:P11)</f>
        <v>240940</v>
      </c>
      <c r="L11" s="17">
        <v>112896</v>
      </c>
      <c r="M11" s="17">
        <v>19207</v>
      </c>
      <c r="N11" s="17">
        <v>0</v>
      </c>
      <c r="O11" s="17">
        <v>0</v>
      </c>
      <c r="P11" s="17">
        <v>108837</v>
      </c>
      <c r="Q11" s="17">
        <v>0</v>
      </c>
      <c r="R11" s="487">
        <v>42643</v>
      </c>
      <c r="S11" s="357">
        <v>42855</v>
      </c>
      <c r="T11" s="357">
        <v>43010</v>
      </c>
      <c r="U11" s="726">
        <v>43102</v>
      </c>
      <c r="V11" s="357">
        <v>43465</v>
      </c>
      <c r="W11" s="39"/>
      <c r="X11" s="39"/>
      <c r="Y11" s="40"/>
    </row>
    <row r="12" spans="1:25" ht="39.75" customHeight="1" thickBot="1" x14ac:dyDescent="0.3">
      <c r="A12" s="327" t="s">
        <v>14</v>
      </c>
      <c r="B12" s="710"/>
      <c r="C12" s="1885" t="s">
        <v>605</v>
      </c>
      <c r="D12" s="1894"/>
      <c r="E12" s="1894"/>
      <c r="F12" s="1894"/>
      <c r="G12" s="1894"/>
      <c r="H12" s="1894"/>
      <c r="I12" s="1894"/>
      <c r="J12" s="1895"/>
      <c r="K12" s="329">
        <f>SUM(K13:K14)</f>
        <v>1253296.99</v>
      </c>
      <c r="L12" s="329">
        <f t="shared" ref="L12:P12" si="5">SUM(L13:L14)</f>
        <v>243530.99</v>
      </c>
      <c r="M12" s="329">
        <f t="shared" si="5"/>
        <v>81872.929999999993</v>
      </c>
      <c r="N12" s="329">
        <f t="shared" si="5"/>
        <v>0</v>
      </c>
      <c r="O12" s="329">
        <f t="shared" si="5"/>
        <v>0</v>
      </c>
      <c r="P12" s="329">
        <f t="shared" si="5"/>
        <v>927893.07000000007</v>
      </c>
      <c r="Q12" s="329"/>
      <c r="R12" s="91"/>
      <c r="S12" s="329"/>
      <c r="T12" s="329"/>
      <c r="U12" s="329"/>
      <c r="V12" s="329"/>
      <c r="W12" s="37">
        <v>927893.52922480984</v>
      </c>
      <c r="X12" s="37">
        <f>SUM(W12*120/100)</f>
        <v>1113472.2350697718</v>
      </c>
      <c r="Y12" s="37">
        <f>SUM(W12-P12)</f>
        <v>0.45922480977606028</v>
      </c>
    </row>
    <row r="13" spans="1:25" s="56" customFormat="1" ht="48.75" customHeight="1" thickBot="1" x14ac:dyDescent="0.3">
      <c r="A13" s="125" t="str">
        <f>CONCATENATE('3 pr-2'!A37)</f>
        <v>1.1.1.2.4</v>
      </c>
      <c r="B13" s="125" t="str">
        <f>CONCATENATE('3 pr-2'!B37)</f>
        <v>R01-9908-290000-1124</v>
      </c>
      <c r="C13" s="125" t="s">
        <v>390</v>
      </c>
      <c r="D13" s="125" t="s">
        <v>181</v>
      </c>
      <c r="E13" s="125" t="s">
        <v>75</v>
      </c>
      <c r="F13" s="125" t="s">
        <v>1469</v>
      </c>
      <c r="G13" s="125" t="s">
        <v>146</v>
      </c>
      <c r="H13" s="376" t="s">
        <v>119</v>
      </c>
      <c r="I13" s="376" t="s">
        <v>66</v>
      </c>
      <c r="J13" s="376" t="s">
        <v>66</v>
      </c>
      <c r="K13" s="1210">
        <f>SUM(L13:P13)</f>
        <v>579418.99</v>
      </c>
      <c r="L13" s="1210">
        <v>192989.99</v>
      </c>
      <c r="M13" s="1210">
        <v>31332.09</v>
      </c>
      <c r="N13" s="1210">
        <v>0</v>
      </c>
      <c r="O13" s="1210">
        <v>0</v>
      </c>
      <c r="P13" s="1210">
        <v>355096.91</v>
      </c>
      <c r="Q13" s="1211"/>
      <c r="R13" s="311">
        <v>43038</v>
      </c>
      <c r="S13" s="311">
        <v>43124</v>
      </c>
      <c r="T13" s="311">
        <v>43251</v>
      </c>
      <c r="U13" s="311">
        <v>43343</v>
      </c>
      <c r="V13" s="721">
        <v>43830</v>
      </c>
      <c r="W13" s="55"/>
      <c r="X13" s="55"/>
      <c r="Y13" s="55"/>
    </row>
    <row r="14" spans="1:25" s="56" customFormat="1" ht="48.75" thickBot="1" x14ac:dyDescent="0.3">
      <c r="A14" s="125" t="str">
        <f>CONCATENATE('3 pr-2'!A38)</f>
        <v>1.1.1.2.5</v>
      </c>
      <c r="B14" s="125" t="str">
        <f>CONCATENATE('3 pr-2'!B38)</f>
        <v>R01-9908-290000-1125</v>
      </c>
      <c r="C14" s="125" t="s">
        <v>391</v>
      </c>
      <c r="D14" s="125" t="s">
        <v>181</v>
      </c>
      <c r="E14" s="125" t="s">
        <v>75</v>
      </c>
      <c r="F14" s="125" t="s">
        <v>1469</v>
      </c>
      <c r="G14" s="125" t="s">
        <v>146</v>
      </c>
      <c r="H14" s="376" t="s">
        <v>119</v>
      </c>
      <c r="I14" s="376" t="s">
        <v>66</v>
      </c>
      <c r="J14" s="376" t="s">
        <v>66</v>
      </c>
      <c r="K14" s="1210">
        <f>SUM(L14:P14)</f>
        <v>673878</v>
      </c>
      <c r="L14" s="1210">
        <v>50541</v>
      </c>
      <c r="M14" s="1210">
        <v>50540.84</v>
      </c>
      <c r="N14" s="1210">
        <v>0</v>
      </c>
      <c r="O14" s="1210">
        <v>0</v>
      </c>
      <c r="P14" s="1210">
        <v>572796.16000000003</v>
      </c>
      <c r="Q14" s="1211"/>
      <c r="R14" s="311">
        <v>43038</v>
      </c>
      <c r="S14" s="311">
        <v>43124</v>
      </c>
      <c r="T14" s="311">
        <v>43251</v>
      </c>
      <c r="U14" s="311">
        <v>43312</v>
      </c>
      <c r="V14" s="1767">
        <v>43830</v>
      </c>
      <c r="W14" s="55"/>
      <c r="X14" s="55"/>
      <c r="Y14" s="55"/>
    </row>
    <row r="15" spans="1:25" ht="30.75" customHeight="1" thickBot="1" x14ac:dyDescent="0.3">
      <c r="A15" s="327" t="s">
        <v>70</v>
      </c>
      <c r="B15" s="710"/>
      <c r="C15" s="1885" t="s">
        <v>614</v>
      </c>
      <c r="D15" s="1894"/>
      <c r="E15" s="1894"/>
      <c r="F15" s="1894"/>
      <c r="G15" s="1894"/>
      <c r="H15" s="1894"/>
      <c r="I15" s="1894"/>
      <c r="J15" s="1895"/>
      <c r="K15" s="1568">
        <f>SUM(K16:K16)</f>
        <v>0</v>
      </c>
      <c r="L15" s="1568">
        <f>SUM(L16:L16)</f>
        <v>0</v>
      </c>
      <c r="M15" s="1568">
        <f>SUM(M16:M16)</f>
        <v>0</v>
      </c>
      <c r="N15" s="1568"/>
      <c r="O15" s="1568"/>
      <c r="P15" s="1568">
        <f>SUM(P16:P16)</f>
        <v>0</v>
      </c>
      <c r="Q15" s="329"/>
      <c r="R15" s="91"/>
      <c r="S15" s="329"/>
      <c r="T15" s="329"/>
      <c r="U15" s="329"/>
      <c r="V15" s="329"/>
      <c r="W15" s="37">
        <v>0</v>
      </c>
      <c r="X15" s="37">
        <f>SUM(W15*120/100)</f>
        <v>0</v>
      </c>
      <c r="Y15" s="37">
        <f>SUM(W15-P15)</f>
        <v>0</v>
      </c>
    </row>
    <row r="16" spans="1:25" ht="15.75" thickBot="1" x14ac:dyDescent="0.3">
      <c r="A16" s="9"/>
      <c r="B16" s="9"/>
      <c r="C16" s="9"/>
      <c r="D16" s="8"/>
      <c r="E16" s="8"/>
      <c r="F16" s="8"/>
      <c r="G16" s="2"/>
      <c r="H16" s="13" t="s">
        <v>66</v>
      </c>
      <c r="I16" s="13"/>
      <c r="J16" s="13" t="s">
        <v>66</v>
      </c>
      <c r="K16" s="13"/>
      <c r="L16" s="13"/>
      <c r="M16" s="13"/>
      <c r="N16" s="13"/>
      <c r="O16" s="13"/>
      <c r="P16" s="13"/>
      <c r="Q16" s="13"/>
      <c r="R16" s="13"/>
      <c r="S16" s="66"/>
      <c r="T16" s="66"/>
      <c r="U16" s="66"/>
      <c r="V16" s="8"/>
      <c r="W16" s="34"/>
      <c r="X16" s="34"/>
      <c r="Y16" s="34"/>
    </row>
    <row r="17" spans="1:25" ht="33" customHeight="1" thickBot="1" x14ac:dyDescent="0.3">
      <c r="A17" s="327" t="s">
        <v>16</v>
      </c>
      <c r="B17" s="710"/>
      <c r="C17" s="1885" t="s">
        <v>615</v>
      </c>
      <c r="D17" s="1894"/>
      <c r="E17" s="1894"/>
      <c r="F17" s="1894"/>
      <c r="G17" s="1894"/>
      <c r="H17" s="1894"/>
      <c r="I17" s="1894"/>
      <c r="J17" s="1895"/>
      <c r="K17" s="1569">
        <f t="shared" ref="K17:P17" si="6">SUM(K18:K18)</f>
        <v>474784</v>
      </c>
      <c r="L17" s="1569">
        <f t="shared" si="6"/>
        <v>166265</v>
      </c>
      <c r="M17" s="1569">
        <f t="shared" si="6"/>
        <v>25015.06</v>
      </c>
      <c r="N17" s="1569">
        <f t="shared" si="6"/>
        <v>0</v>
      </c>
      <c r="O17" s="1569">
        <f t="shared" si="6"/>
        <v>0</v>
      </c>
      <c r="P17" s="1569">
        <f t="shared" si="6"/>
        <v>283503.94</v>
      </c>
      <c r="Q17" s="1222"/>
      <c r="R17" s="91"/>
      <c r="S17" s="329"/>
      <c r="T17" s="329"/>
      <c r="U17" s="329"/>
      <c r="V17" s="329"/>
      <c r="W17" s="37">
        <v>283503.59999999998</v>
      </c>
      <c r="X17" s="37">
        <f>SUM(W17*120/100)</f>
        <v>340204.32</v>
      </c>
      <c r="Y17" s="37">
        <f>SUM(W17-P17)</f>
        <v>-0.34000000002561137</v>
      </c>
    </row>
    <row r="18" spans="1:25" s="56" customFormat="1" ht="48.75" thickBot="1" x14ac:dyDescent="0.3">
      <c r="A18" s="125" t="str">
        <f>CONCATENATE('3 pr-2'!A48)</f>
        <v>1.1.1.4.2</v>
      </c>
      <c r="B18" s="125" t="str">
        <f>CONCATENATE('3 pr-2'!B48)</f>
        <v>R01-9903-290000-1142</v>
      </c>
      <c r="C18" s="125" t="s">
        <v>160</v>
      </c>
      <c r="D18" s="125" t="s">
        <v>181</v>
      </c>
      <c r="E18" s="125" t="s">
        <v>75</v>
      </c>
      <c r="F18" s="125" t="s">
        <v>1469</v>
      </c>
      <c r="G18" s="125" t="s">
        <v>268</v>
      </c>
      <c r="H18" s="376" t="s">
        <v>119</v>
      </c>
      <c r="I18" s="376" t="s">
        <v>167</v>
      </c>
      <c r="J18" s="376" t="s">
        <v>66</v>
      </c>
      <c r="K18" s="1223">
        <f>SUM(L18:P18)</f>
        <v>474784</v>
      </c>
      <c r="L18" s="1223">
        <v>166265</v>
      </c>
      <c r="M18" s="1223">
        <v>25015.06</v>
      </c>
      <c r="N18" s="1223">
        <v>0</v>
      </c>
      <c r="O18" s="1223">
        <v>0</v>
      </c>
      <c r="P18" s="1223">
        <v>283503.94</v>
      </c>
      <c r="Q18" s="1224"/>
      <c r="R18" s="719">
        <v>42419</v>
      </c>
      <c r="S18" s="719">
        <v>42494</v>
      </c>
      <c r="T18" s="719">
        <v>42583</v>
      </c>
      <c r="U18" s="719">
        <v>42675</v>
      </c>
      <c r="V18" s="721">
        <v>43465</v>
      </c>
      <c r="W18" s="55"/>
      <c r="X18" s="55"/>
      <c r="Y18" s="55"/>
    </row>
    <row r="19" spans="1:25" ht="32.25" customHeight="1" thickBot="1" x14ac:dyDescent="0.3">
      <c r="A19" s="327" t="s">
        <v>76</v>
      </c>
      <c r="B19" s="710"/>
      <c r="C19" s="1885" t="s">
        <v>616</v>
      </c>
      <c r="D19" s="1894"/>
      <c r="E19" s="1894"/>
      <c r="F19" s="1894"/>
      <c r="G19" s="1894"/>
      <c r="H19" s="1894"/>
      <c r="I19" s="1894"/>
      <c r="J19" s="1895"/>
      <c r="K19" s="1221">
        <f>SUM(K20:K20)</f>
        <v>5186812</v>
      </c>
      <c r="L19" s="1221">
        <f>SUM(L20:L20)</f>
        <v>0</v>
      </c>
      <c r="M19" s="1221"/>
      <c r="N19" s="1221">
        <f>SUM(N20:N20)</f>
        <v>2294209</v>
      </c>
      <c r="O19" s="1221">
        <f>SUM(O20:O20)</f>
        <v>0</v>
      </c>
      <c r="P19" s="1221">
        <f>SUM(P20:P20)</f>
        <v>2892603</v>
      </c>
      <c r="Q19" s="1221"/>
      <c r="R19" s="91"/>
      <c r="S19" s="329"/>
      <c r="T19" s="329"/>
      <c r="U19" s="329"/>
      <c r="V19" s="329"/>
      <c r="W19" s="37">
        <v>2892603</v>
      </c>
      <c r="X19" s="37">
        <f>SUM(W19*120/100)</f>
        <v>3471123.6</v>
      </c>
      <c r="Y19" s="37">
        <f>SUM(W19-P19)</f>
        <v>0</v>
      </c>
    </row>
    <row r="20" spans="1:25" s="56" customFormat="1" ht="48.75" thickBot="1" x14ac:dyDescent="0.3">
      <c r="A20" s="125" t="str">
        <f>CONCATENATE('3 pr-2'!A54)</f>
        <v>1.1.1.5.4.</v>
      </c>
      <c r="B20" s="125" t="str">
        <f>CONCATENATE('3 pr-2'!B54)</f>
        <v>R01-0014-060700-1154</v>
      </c>
      <c r="C20" s="125" t="s">
        <v>299</v>
      </c>
      <c r="D20" s="125" t="s">
        <v>228</v>
      </c>
      <c r="E20" s="125" t="s">
        <v>77</v>
      </c>
      <c r="F20" s="125" t="s">
        <v>1469</v>
      </c>
      <c r="G20" s="125" t="s">
        <v>144</v>
      </c>
      <c r="H20" s="376" t="s">
        <v>119</v>
      </c>
      <c r="I20" s="376" t="s">
        <v>66</v>
      </c>
      <c r="J20" s="376" t="s">
        <v>66</v>
      </c>
      <c r="K20" s="1223">
        <f>SUM(L20:P20)</f>
        <v>5186812</v>
      </c>
      <c r="L20" s="1223">
        <v>0</v>
      </c>
      <c r="M20" s="1223">
        <v>0</v>
      </c>
      <c r="N20" s="1223">
        <v>2294209</v>
      </c>
      <c r="O20" s="1223">
        <v>0</v>
      </c>
      <c r="P20" s="1223">
        <v>2892603</v>
      </c>
      <c r="Q20" s="1223"/>
      <c r="R20" s="719">
        <v>42451</v>
      </c>
      <c r="S20" s="719">
        <v>42551</v>
      </c>
      <c r="T20" s="719">
        <v>42705</v>
      </c>
      <c r="U20" s="719">
        <v>42824</v>
      </c>
      <c r="V20" s="719">
        <v>44440</v>
      </c>
      <c r="W20" s="55"/>
      <c r="X20" s="55"/>
      <c r="Y20" s="55"/>
    </row>
    <row r="21" spans="1:25" ht="30" customHeight="1" thickBot="1" x14ac:dyDescent="0.3">
      <c r="A21" s="327" t="s">
        <v>79</v>
      </c>
      <c r="B21" s="710"/>
      <c r="C21" s="1885" t="s">
        <v>617</v>
      </c>
      <c r="D21" s="1894"/>
      <c r="E21" s="1894"/>
      <c r="F21" s="1894"/>
      <c r="G21" s="1894"/>
      <c r="H21" s="1894"/>
      <c r="I21" s="1894"/>
      <c r="J21" s="1895"/>
      <c r="K21" s="1221">
        <f t="shared" ref="K21:P21" si="7">SUM(K22)</f>
        <v>0</v>
      </c>
      <c r="L21" s="1221">
        <f t="shared" si="7"/>
        <v>0</v>
      </c>
      <c r="M21" s="1221">
        <f t="shared" si="7"/>
        <v>0</v>
      </c>
      <c r="N21" s="1221">
        <f t="shared" si="7"/>
        <v>0</v>
      </c>
      <c r="O21" s="1221">
        <f t="shared" si="7"/>
        <v>0</v>
      </c>
      <c r="P21" s="1221">
        <f t="shared" si="7"/>
        <v>0</v>
      </c>
      <c r="Q21" s="1221"/>
      <c r="R21" s="91"/>
      <c r="S21" s="329"/>
      <c r="T21" s="329"/>
      <c r="U21" s="329"/>
      <c r="V21" s="329"/>
      <c r="W21" s="37">
        <v>0</v>
      </c>
      <c r="X21" s="37">
        <f>SUM(W21*120/100)</f>
        <v>0</v>
      </c>
      <c r="Y21" s="37">
        <f>SUM(W21-P21)</f>
        <v>0</v>
      </c>
    </row>
    <row r="22" spans="1:25" ht="15.75" thickBot="1" x14ac:dyDescent="0.3">
      <c r="A22" s="7"/>
      <c r="B22" s="14"/>
      <c r="C22" s="8"/>
      <c r="D22" s="9"/>
      <c r="E22" s="10"/>
      <c r="F22" s="8"/>
      <c r="G22" s="2"/>
      <c r="H22" s="3"/>
      <c r="I22" s="3"/>
      <c r="J22" s="3"/>
      <c r="K22" s="1225">
        <v>0</v>
      </c>
      <c r="L22" s="1225">
        <v>0</v>
      </c>
      <c r="M22" s="1225">
        <v>0</v>
      </c>
      <c r="N22" s="1225">
        <v>0</v>
      </c>
      <c r="O22" s="1225">
        <v>0</v>
      </c>
      <c r="P22" s="1225">
        <v>0</v>
      </c>
      <c r="Q22" s="1226"/>
      <c r="R22" s="17"/>
      <c r="S22" s="16"/>
      <c r="T22" s="16"/>
      <c r="U22" s="16"/>
      <c r="V22" s="57"/>
      <c r="W22" s="34"/>
      <c r="X22" s="34"/>
      <c r="Y22" s="34"/>
    </row>
    <row r="23" spans="1:25" ht="30" customHeight="1" thickBot="1" x14ac:dyDescent="0.3">
      <c r="A23" s="327" t="s">
        <v>81</v>
      </c>
      <c r="B23" s="710"/>
      <c r="C23" s="1885" t="s">
        <v>618</v>
      </c>
      <c r="D23" s="1894"/>
      <c r="E23" s="1894"/>
      <c r="F23" s="1894"/>
      <c r="G23" s="1894"/>
      <c r="H23" s="1894"/>
      <c r="I23" s="1894"/>
      <c r="J23" s="1895"/>
      <c r="K23" s="1221">
        <f t="shared" ref="K23:O23" si="8">SUM(K24:K26)</f>
        <v>212009.4117647059</v>
      </c>
      <c r="L23" s="1221">
        <f t="shared" si="8"/>
        <v>31801.411764705881</v>
      </c>
      <c r="M23" s="1221">
        <f t="shared" si="8"/>
        <v>0</v>
      </c>
      <c r="N23" s="1221">
        <f t="shared" si="8"/>
        <v>0</v>
      </c>
      <c r="O23" s="1221">
        <f t="shared" si="8"/>
        <v>0</v>
      </c>
      <c r="P23" s="1221">
        <f>SUM(P24:P26)</f>
        <v>180208</v>
      </c>
      <c r="Q23" s="1221"/>
      <c r="R23" s="91"/>
      <c r="S23" s="329"/>
      <c r="T23" s="329"/>
      <c r="U23" s="329"/>
      <c r="V23" s="329"/>
      <c r="W23" s="37">
        <v>180208</v>
      </c>
      <c r="X23" s="37">
        <f>SUM(W23*120/100)</f>
        <v>216249.60000000001</v>
      </c>
      <c r="Y23" s="37">
        <f>SUM(W23-P23)</f>
        <v>0</v>
      </c>
    </row>
    <row r="24" spans="1:25" ht="36.75" thickBot="1" x14ac:dyDescent="0.3">
      <c r="A24" s="90" t="str">
        <f>CONCATENATE('3 pr-2'!A59)</f>
        <v>1.1.1.7.1</v>
      </c>
      <c r="B24" s="90" t="str">
        <f>CONCATENATE('3 pr-2'!B59)</f>
        <v>R01-8821-420000-1171</v>
      </c>
      <c r="C24" s="90" t="s">
        <v>272</v>
      </c>
      <c r="D24" s="90" t="s">
        <v>350</v>
      </c>
      <c r="E24" s="90" t="s">
        <v>82</v>
      </c>
      <c r="F24" s="90" t="s">
        <v>185</v>
      </c>
      <c r="G24" s="248" t="s">
        <v>142</v>
      </c>
      <c r="H24" s="15" t="s">
        <v>119</v>
      </c>
      <c r="I24" s="15" t="s">
        <v>66</v>
      </c>
      <c r="J24" s="17" t="s">
        <v>66</v>
      </c>
      <c r="K24" s="1226">
        <f>SUM(L24:P24)</f>
        <v>41644.705882352944</v>
      </c>
      <c r="L24" s="1226">
        <v>6246.7058823529414</v>
      </c>
      <c r="M24" s="1226">
        <v>0</v>
      </c>
      <c r="N24" s="1226">
        <v>0</v>
      </c>
      <c r="O24" s="1226">
        <v>0</v>
      </c>
      <c r="P24" s="1226">
        <v>35398</v>
      </c>
      <c r="Q24" s="1226"/>
      <c r="R24" s="17"/>
      <c r="S24" s="357">
        <v>42643</v>
      </c>
      <c r="T24" s="357">
        <v>42766</v>
      </c>
      <c r="U24" s="357">
        <v>42855</v>
      </c>
      <c r="V24" s="357">
        <v>43830</v>
      </c>
      <c r="W24" s="34"/>
      <c r="X24" s="34"/>
      <c r="Y24" s="34"/>
    </row>
    <row r="25" spans="1:25" ht="48.75" thickBot="1" x14ac:dyDescent="0.3">
      <c r="A25" s="90" t="str">
        <f>CONCATENATE('3 pr-2'!A60)</f>
        <v>1.1.1.7.2</v>
      </c>
      <c r="B25" s="90" t="str">
        <f>CONCATENATE('3 pr-2'!B60)</f>
        <v>R01-8821-420000-1172</v>
      </c>
      <c r="C25" s="90" t="s">
        <v>646</v>
      </c>
      <c r="D25" s="90" t="s">
        <v>161</v>
      </c>
      <c r="E25" s="90" t="s">
        <v>82</v>
      </c>
      <c r="F25" s="90" t="s">
        <v>312</v>
      </c>
      <c r="G25" s="248" t="s">
        <v>142</v>
      </c>
      <c r="H25" s="15" t="s">
        <v>119</v>
      </c>
      <c r="I25" s="15" t="s">
        <v>66</v>
      </c>
      <c r="J25" s="17" t="s">
        <v>66</v>
      </c>
      <c r="K25" s="1226">
        <f>SUM(L25:P25)</f>
        <v>96035.294117647063</v>
      </c>
      <c r="L25" s="1226">
        <f>SUM(P25*15/85)</f>
        <v>14405.294117647059</v>
      </c>
      <c r="M25" s="1226">
        <v>0</v>
      </c>
      <c r="N25" s="1226">
        <v>0</v>
      </c>
      <c r="O25" s="1226">
        <v>0</v>
      </c>
      <c r="P25" s="1226">
        <v>81630</v>
      </c>
      <c r="Q25" s="1226"/>
      <c r="R25" s="17"/>
      <c r="S25" s="357">
        <v>42643</v>
      </c>
      <c r="T25" s="357">
        <v>42735</v>
      </c>
      <c r="U25" s="357">
        <v>42825</v>
      </c>
      <c r="V25" s="357">
        <v>43465</v>
      </c>
      <c r="W25" s="34"/>
      <c r="X25" s="34"/>
      <c r="Y25" s="34"/>
    </row>
    <row r="26" spans="1:25" ht="48.75" thickBot="1" x14ac:dyDescent="0.3">
      <c r="A26" s="90" t="str">
        <f>CONCATENATE('3 pr-2'!A61)</f>
        <v>1.1.1.7.3</v>
      </c>
      <c r="B26" s="90" t="str">
        <f>CONCATENATE('3 pr-2'!B61)</f>
        <v>R01-8821-420000-1173</v>
      </c>
      <c r="C26" s="90" t="s">
        <v>647</v>
      </c>
      <c r="D26" s="90" t="s">
        <v>161</v>
      </c>
      <c r="E26" s="90" t="s">
        <v>82</v>
      </c>
      <c r="F26" s="90" t="s">
        <v>312</v>
      </c>
      <c r="G26" s="248" t="s">
        <v>142</v>
      </c>
      <c r="H26" s="15" t="s">
        <v>119</v>
      </c>
      <c r="I26" s="15" t="s">
        <v>66</v>
      </c>
      <c r="J26" s="17" t="s">
        <v>66</v>
      </c>
      <c r="K26" s="718">
        <f>SUM(L26:P26)</f>
        <v>74329.411764705888</v>
      </c>
      <c r="L26" s="718">
        <f>SUM(P26*15/85)</f>
        <v>11149.411764705883</v>
      </c>
      <c r="M26" s="718">
        <v>0</v>
      </c>
      <c r="N26" s="718">
        <v>0</v>
      </c>
      <c r="O26" s="718">
        <v>0</v>
      </c>
      <c r="P26" s="718">
        <v>63180</v>
      </c>
      <c r="Q26" s="718"/>
      <c r="R26" s="17"/>
      <c r="S26" s="357">
        <v>43008</v>
      </c>
      <c r="T26" s="357"/>
      <c r="U26" s="357"/>
      <c r="V26" s="740"/>
      <c r="W26" s="34"/>
      <c r="X26" s="34"/>
      <c r="Y26" s="34"/>
    </row>
    <row r="27" spans="1:25" ht="30" customHeight="1" thickBot="1" x14ac:dyDescent="0.3">
      <c r="A27" s="327" t="s">
        <v>84</v>
      </c>
      <c r="B27" s="710"/>
      <c r="C27" s="1885" t="s">
        <v>619</v>
      </c>
      <c r="D27" s="1894"/>
      <c r="E27" s="1894"/>
      <c r="F27" s="1894"/>
      <c r="G27" s="1894"/>
      <c r="H27" s="1894"/>
      <c r="I27" s="1894"/>
      <c r="J27" s="1895"/>
      <c r="K27" s="1215">
        <f>SUM(K28)</f>
        <v>352401</v>
      </c>
      <c r="L27" s="1215">
        <f>SUM(L28)</f>
        <v>52860.15</v>
      </c>
      <c r="M27" s="1215">
        <f t="shared" ref="M27:O27" si="9">SUM(M28)</f>
        <v>0</v>
      </c>
      <c r="N27" s="1215">
        <f t="shared" si="9"/>
        <v>0</v>
      </c>
      <c r="O27" s="1215">
        <f t="shared" si="9"/>
        <v>0</v>
      </c>
      <c r="P27" s="1215">
        <f>SUM(P28)</f>
        <v>299540.84999999998</v>
      </c>
      <c r="Q27" s="1216"/>
      <c r="R27" s="91"/>
      <c r="S27" s="329"/>
      <c r="T27" s="329"/>
      <c r="U27" s="329"/>
      <c r="V27" s="329"/>
      <c r="W27" s="37">
        <v>299541.3775</v>
      </c>
      <c r="X27" s="37">
        <f>SUM(W27*120/100)</f>
        <v>359449.65299999999</v>
      </c>
      <c r="Y27" s="37">
        <f>SUM(W27-P27)</f>
        <v>0.52750000002561137</v>
      </c>
    </row>
    <row r="28" spans="1:25" ht="36.75" thickBot="1" x14ac:dyDescent="0.3">
      <c r="A28" s="90" t="str">
        <f>CONCATENATE('3 pr-2'!A65)</f>
        <v>1.1.1.8.3</v>
      </c>
      <c r="B28" s="90" t="str">
        <f>CONCATENATE('3 pr-2'!B65)</f>
        <v>R01-3305-330000-1183</v>
      </c>
      <c r="C28" s="90" t="s">
        <v>648</v>
      </c>
      <c r="D28" s="90" t="s">
        <v>181</v>
      </c>
      <c r="E28" s="90" t="s">
        <v>116</v>
      </c>
      <c r="F28" s="90" t="s">
        <v>1469</v>
      </c>
      <c r="G28" s="248" t="s">
        <v>143</v>
      </c>
      <c r="H28" s="15" t="s">
        <v>119</v>
      </c>
      <c r="I28" s="15" t="s">
        <v>167</v>
      </c>
      <c r="J28" s="17" t="s">
        <v>66</v>
      </c>
      <c r="K28" s="1303">
        <f>SUM(L28:P28)</f>
        <v>352401</v>
      </c>
      <c r="L28" s="1303">
        <v>52860.15</v>
      </c>
      <c r="M28" s="1303">
        <v>0</v>
      </c>
      <c r="N28" s="1303">
        <v>0</v>
      </c>
      <c r="O28" s="1303">
        <v>0</v>
      </c>
      <c r="P28" s="1303">
        <v>299540.84999999998</v>
      </c>
      <c r="Q28" s="1219"/>
      <c r="R28" s="487">
        <v>42614</v>
      </c>
      <c r="S28" s="357">
        <v>42703</v>
      </c>
      <c r="T28" s="357">
        <v>42767</v>
      </c>
      <c r="U28" s="357">
        <v>42886</v>
      </c>
      <c r="V28" s="542">
        <v>43830</v>
      </c>
      <c r="W28" s="34"/>
      <c r="X28" s="34"/>
      <c r="Y28" s="34"/>
    </row>
    <row r="29" spans="1:25" ht="31.5" customHeight="1" thickBot="1" x14ac:dyDescent="0.3">
      <c r="A29" s="327" t="s">
        <v>86</v>
      </c>
      <c r="B29" s="710"/>
      <c r="C29" s="1885" t="s">
        <v>620</v>
      </c>
      <c r="D29" s="1894"/>
      <c r="E29" s="1894"/>
      <c r="F29" s="1894"/>
      <c r="G29" s="1894"/>
      <c r="H29" s="1894"/>
      <c r="I29" s="1894"/>
      <c r="J29" s="1895"/>
      <c r="K29" s="1215">
        <f>SUM(K30)</f>
        <v>297670.41000000003</v>
      </c>
      <c r="L29" s="1215">
        <f>SUM(L30)</f>
        <v>91614.41</v>
      </c>
      <c r="M29" s="1215">
        <f t="shared" ref="M29:O29" si="10">SUM(M30)</f>
        <v>0</v>
      </c>
      <c r="N29" s="1215">
        <f t="shared" si="10"/>
        <v>0</v>
      </c>
      <c r="O29" s="1215">
        <f t="shared" si="10"/>
        <v>0</v>
      </c>
      <c r="P29" s="1215">
        <f>SUM(P30)</f>
        <v>206056</v>
      </c>
      <c r="Q29" s="1215"/>
      <c r="R29" s="91"/>
      <c r="S29" s="329"/>
      <c r="T29" s="329"/>
      <c r="U29" s="329"/>
      <c r="V29" s="329"/>
      <c r="W29" s="37">
        <v>206056.31</v>
      </c>
      <c r="X29" s="37">
        <f>SUM(W29*120/100)</f>
        <v>247267.57199999999</v>
      </c>
      <c r="Y29" s="37">
        <f>SUM(W29-P29)</f>
        <v>0.30999999999767169</v>
      </c>
    </row>
    <row r="30" spans="1:25" ht="36.75" thickBot="1" x14ac:dyDescent="0.3">
      <c r="A30" s="90" t="str">
        <f>CONCATENATE('3 pr-2'!A69)</f>
        <v>1.1.1.9.2</v>
      </c>
      <c r="B30" s="90" t="str">
        <f>CONCATENATE('3 pr-2'!B69)</f>
        <v>R01-3302-440000-1192</v>
      </c>
      <c r="C30" s="90" t="s">
        <v>395</v>
      </c>
      <c r="D30" s="90" t="s">
        <v>181</v>
      </c>
      <c r="E30" s="90" t="s">
        <v>116</v>
      </c>
      <c r="F30" s="90" t="s">
        <v>1469</v>
      </c>
      <c r="G30" s="248" t="s">
        <v>182</v>
      </c>
      <c r="H30" s="15" t="s">
        <v>119</v>
      </c>
      <c r="I30" s="15" t="s">
        <v>66</v>
      </c>
      <c r="J30" s="17"/>
      <c r="K30" s="1303">
        <f>SUM(L30:P30)</f>
        <v>297670.41000000003</v>
      </c>
      <c r="L30" s="1303">
        <v>91614.41</v>
      </c>
      <c r="M30" s="1303">
        <v>0</v>
      </c>
      <c r="N30" s="1303">
        <v>0</v>
      </c>
      <c r="O30" s="1303">
        <v>0</v>
      </c>
      <c r="P30" s="1303">
        <v>206056</v>
      </c>
      <c r="Q30" s="718"/>
      <c r="R30" s="487">
        <v>42667</v>
      </c>
      <c r="S30" s="357">
        <v>42779</v>
      </c>
      <c r="T30" s="357">
        <v>43190</v>
      </c>
      <c r="U30" s="357">
        <v>43281</v>
      </c>
      <c r="V30" s="357">
        <v>43739</v>
      </c>
      <c r="W30" s="55"/>
      <c r="X30" s="55"/>
      <c r="Y30" s="55"/>
    </row>
    <row r="31" spans="1:25" ht="33.75" customHeight="1" thickBot="1" x14ac:dyDescent="0.3">
      <c r="A31" s="151" t="s">
        <v>22</v>
      </c>
      <c r="B31" s="714"/>
      <c r="C31" s="1877" t="s">
        <v>621</v>
      </c>
      <c r="D31" s="1950"/>
      <c r="E31" s="1950"/>
      <c r="F31" s="1950"/>
      <c r="G31" s="1950"/>
      <c r="H31" s="1950"/>
      <c r="I31" s="1950"/>
      <c r="J31" s="1951"/>
      <c r="K31" s="1235">
        <f t="shared" ref="K31:P31" si="11">SUM(K32+K34+K39+K41)</f>
        <v>3022661.48</v>
      </c>
      <c r="L31" s="1235">
        <f t="shared" si="11"/>
        <v>1017999.6799999999</v>
      </c>
      <c r="M31" s="1235">
        <f t="shared" si="11"/>
        <v>0</v>
      </c>
      <c r="N31" s="1235">
        <f t="shared" si="11"/>
        <v>422692</v>
      </c>
      <c r="O31" s="1235">
        <f t="shared" si="11"/>
        <v>0</v>
      </c>
      <c r="P31" s="1235">
        <f t="shared" si="11"/>
        <v>1581969.8</v>
      </c>
      <c r="Q31" s="1235"/>
      <c r="R31" s="154"/>
      <c r="S31" s="370"/>
      <c r="T31" s="371"/>
      <c r="U31" s="371"/>
      <c r="V31" s="372"/>
      <c r="W31" s="36">
        <f>SUM(W32+W34+W39+W41)</f>
        <v>1241078.3999999999</v>
      </c>
      <c r="X31" s="36">
        <f>SUM(X32+X34+X39+X41)</f>
        <v>1489294.08</v>
      </c>
      <c r="Y31" s="36">
        <f>SUM(Y32+Y34+Y39+Y41)</f>
        <v>-326441.40000000002</v>
      </c>
    </row>
    <row r="32" spans="1:25" ht="30.75" customHeight="1" thickBot="1" x14ac:dyDescent="0.3">
      <c r="A32" s="327" t="s">
        <v>88</v>
      </c>
      <c r="B32" s="710"/>
      <c r="C32" s="1885" t="s">
        <v>622</v>
      </c>
      <c r="D32" s="1894"/>
      <c r="E32" s="1894"/>
      <c r="F32" s="1894"/>
      <c r="G32" s="1894"/>
      <c r="H32" s="1894"/>
      <c r="I32" s="1894"/>
      <c r="J32" s="1895"/>
      <c r="K32" s="1215">
        <f t="shared" ref="K32:O32" si="12">SUM(K33)</f>
        <v>840240</v>
      </c>
      <c r="L32" s="1215">
        <f t="shared" si="12"/>
        <v>0</v>
      </c>
      <c r="M32" s="1215">
        <f t="shared" si="12"/>
        <v>0</v>
      </c>
      <c r="N32" s="1215">
        <f t="shared" si="12"/>
        <v>422692</v>
      </c>
      <c r="O32" s="1215">
        <f t="shared" si="12"/>
        <v>0</v>
      </c>
      <c r="P32" s="1215">
        <f>SUM(P33)</f>
        <v>417548</v>
      </c>
      <c r="Q32" s="1215"/>
      <c r="R32" s="91"/>
      <c r="S32" s="329"/>
      <c r="T32" s="329"/>
      <c r="U32" s="329"/>
      <c r="V32" s="329"/>
      <c r="W32" s="37">
        <v>172021</v>
      </c>
      <c r="X32" s="37">
        <f>SUM(W32*120/100)</f>
        <v>206425.2</v>
      </c>
      <c r="Y32" s="37">
        <f>SUM(W32-P32)</f>
        <v>-245527</v>
      </c>
    </row>
    <row r="33" spans="1:27" ht="48.75" thickBot="1" x14ac:dyDescent="0.3">
      <c r="A33" s="90" t="str">
        <f>CONCATENATE('3 pr-2'!A77)</f>
        <v>1.1.2.1.3</v>
      </c>
      <c r="B33" s="90" t="str">
        <f>CONCATENATE('3 pr-2'!B77)</f>
        <v>R01-5518-100000-1213</v>
      </c>
      <c r="C33" s="90" t="s">
        <v>638</v>
      </c>
      <c r="D33" s="90" t="s">
        <v>181</v>
      </c>
      <c r="E33" s="90" t="s">
        <v>115</v>
      </c>
      <c r="F33" s="90" t="s">
        <v>1469</v>
      </c>
      <c r="G33" s="248" t="s">
        <v>135</v>
      </c>
      <c r="H33" s="15" t="s">
        <v>119</v>
      </c>
      <c r="I33" s="15" t="s">
        <v>66</v>
      </c>
      <c r="J33" s="17" t="s">
        <v>66</v>
      </c>
      <c r="K33" s="1210">
        <f>SUM(L33:P33)</f>
        <v>840240</v>
      </c>
      <c r="L33" s="1210">
        <v>0</v>
      </c>
      <c r="M33" s="1210">
        <v>0</v>
      </c>
      <c r="N33" s="1210">
        <v>422692</v>
      </c>
      <c r="O33" s="1210">
        <v>0</v>
      </c>
      <c r="P33" s="1210">
        <v>417548</v>
      </c>
      <c r="Q33" s="1210"/>
      <c r="R33" s="487">
        <v>42877</v>
      </c>
      <c r="S33" s="719">
        <v>42978</v>
      </c>
      <c r="T33" s="719">
        <v>43343</v>
      </c>
      <c r="U33" s="719">
        <v>43434</v>
      </c>
      <c r="V33" s="719">
        <v>43830</v>
      </c>
      <c r="W33" s="34"/>
      <c r="X33" s="34"/>
      <c r="Y33" s="34"/>
      <c r="Z33" s="52">
        <f>SUM(365/12)</f>
        <v>30.416666666666668</v>
      </c>
      <c r="AA33" s="52">
        <f>SUM(V33-U33)/Z33</f>
        <v>13.019178082191781</v>
      </c>
    </row>
    <row r="34" spans="1:27" ht="34.5" customHeight="1" thickBot="1" x14ac:dyDescent="0.3">
      <c r="A34" s="327" t="s">
        <v>90</v>
      </c>
      <c r="B34" s="710"/>
      <c r="C34" s="1885" t="s">
        <v>623</v>
      </c>
      <c r="D34" s="1894"/>
      <c r="E34" s="1894"/>
      <c r="F34" s="1894"/>
      <c r="G34" s="1894"/>
      <c r="H34" s="1894"/>
      <c r="I34" s="1894"/>
      <c r="J34" s="1895"/>
      <c r="K34" s="1215">
        <f t="shared" ref="K34:O34" si="13">SUM(K35:K38)</f>
        <v>717836.24</v>
      </c>
      <c r="L34" s="1215">
        <f t="shared" si="13"/>
        <v>107675.44</v>
      </c>
      <c r="M34" s="1215">
        <f t="shared" si="13"/>
        <v>0</v>
      </c>
      <c r="N34" s="1215">
        <f t="shared" si="13"/>
        <v>0</v>
      </c>
      <c r="O34" s="1215">
        <f t="shared" si="13"/>
        <v>0</v>
      </c>
      <c r="P34" s="1215">
        <f>SUM(P35:P38)</f>
        <v>610160.80000000005</v>
      </c>
      <c r="Q34" s="1215"/>
      <c r="R34" s="91"/>
      <c r="S34" s="329"/>
      <c r="T34" s="329"/>
      <c r="U34" s="329"/>
      <c r="V34" s="329"/>
      <c r="W34" s="37">
        <v>513943</v>
      </c>
      <c r="X34" s="37">
        <f>SUM(W34*120/100)</f>
        <v>616731.6</v>
      </c>
      <c r="Y34" s="37">
        <f>SUM(W34-(P34-P36))</f>
        <v>-81767.800000000047</v>
      </c>
    </row>
    <row r="35" spans="1:27" ht="48.75" thickBot="1" x14ac:dyDescent="0.3">
      <c r="A35" s="90" t="str">
        <f>CONCATENATE('3 pr-2'!A82)</f>
        <v>1.1.2.2.3</v>
      </c>
      <c r="B35" s="90" t="str">
        <f>CONCATENATE('3 pr-2'!B82)</f>
        <v>R01-5514-191800-1223</v>
      </c>
      <c r="C35" s="90" t="s">
        <v>1424</v>
      </c>
      <c r="D35" s="90" t="s">
        <v>236</v>
      </c>
      <c r="E35" s="90" t="s">
        <v>115</v>
      </c>
      <c r="F35" s="90" t="s">
        <v>1469</v>
      </c>
      <c r="G35" s="248" t="s">
        <v>147</v>
      </c>
      <c r="H35" s="15" t="s">
        <v>119</v>
      </c>
      <c r="I35" s="17" t="s">
        <v>66</v>
      </c>
      <c r="J35" s="17" t="s">
        <v>66</v>
      </c>
      <c r="K35" s="718">
        <f>SUM(L35:P35)</f>
        <v>160836.24</v>
      </c>
      <c r="L35" s="718">
        <v>24125.439999999999</v>
      </c>
      <c r="M35" s="718">
        <v>0</v>
      </c>
      <c r="N35" s="718">
        <v>0</v>
      </c>
      <c r="O35" s="718">
        <v>0</v>
      </c>
      <c r="P35" s="718">
        <v>136710.79999999999</v>
      </c>
      <c r="Q35" s="718"/>
      <c r="R35" s="487">
        <v>43130</v>
      </c>
      <c r="S35" s="357">
        <v>43343</v>
      </c>
      <c r="T35" s="357">
        <v>43524</v>
      </c>
      <c r="U35" s="357">
        <v>43611</v>
      </c>
      <c r="V35" s="357">
        <v>44136</v>
      </c>
      <c r="W35" s="34"/>
      <c r="X35" s="34"/>
      <c r="Y35" s="34"/>
    </row>
    <row r="36" spans="1:27" ht="48.75" thickBot="1" x14ac:dyDescent="0.3">
      <c r="A36" s="90" t="str">
        <f>CONCATENATE('3 pr-2'!A83)</f>
        <v>1.1.2.2.4</v>
      </c>
      <c r="B36" s="90" t="str">
        <f>CONCATENATE('3 pr-2'!B83)</f>
        <v>R01-5514-190000-1224</v>
      </c>
      <c r="C36" s="90" t="s">
        <v>269</v>
      </c>
      <c r="D36" s="90" t="s">
        <v>236</v>
      </c>
      <c r="E36" s="90" t="s">
        <v>115</v>
      </c>
      <c r="F36" s="90" t="s">
        <v>1469</v>
      </c>
      <c r="G36" s="248" t="s">
        <v>270</v>
      </c>
      <c r="H36" s="15" t="s">
        <v>162</v>
      </c>
      <c r="I36" s="15" t="s">
        <v>167</v>
      </c>
      <c r="J36" s="17" t="s">
        <v>66</v>
      </c>
      <c r="K36" s="718">
        <f>SUM(L36:P36)</f>
        <v>17000</v>
      </c>
      <c r="L36" s="718">
        <v>2550</v>
      </c>
      <c r="M36" s="718">
        <v>0</v>
      </c>
      <c r="N36" s="718">
        <v>0</v>
      </c>
      <c r="O36" s="718">
        <v>0</v>
      </c>
      <c r="P36" s="718">
        <v>14450</v>
      </c>
      <c r="Q36" s="718"/>
      <c r="R36" s="487">
        <v>42643</v>
      </c>
      <c r="S36" s="357">
        <v>42674</v>
      </c>
      <c r="T36" s="357">
        <v>42735</v>
      </c>
      <c r="U36" s="357">
        <v>42825</v>
      </c>
      <c r="V36" s="495">
        <v>43100</v>
      </c>
      <c r="W36" s="34"/>
      <c r="X36" s="34"/>
      <c r="Y36" s="34"/>
    </row>
    <row r="37" spans="1:27" ht="48.75" thickBot="1" x14ac:dyDescent="0.3">
      <c r="A37" s="90" t="str">
        <f>CONCATENATE('3 pr-2'!A84)</f>
        <v>1.1.2.2.5</v>
      </c>
      <c r="B37" s="90" t="str">
        <f>CONCATENATE('3 pr-2'!B84)</f>
        <v>R01-5514-190000-1225</v>
      </c>
      <c r="C37" s="90" t="s">
        <v>1433</v>
      </c>
      <c r="D37" s="90" t="s">
        <v>236</v>
      </c>
      <c r="E37" s="90" t="s">
        <v>115</v>
      </c>
      <c r="F37" s="90" t="s">
        <v>1469</v>
      </c>
      <c r="G37" s="248" t="s">
        <v>147</v>
      </c>
      <c r="H37" s="15" t="s">
        <v>119</v>
      </c>
      <c r="I37" s="17" t="s">
        <v>66</v>
      </c>
      <c r="J37" s="17" t="s">
        <v>66</v>
      </c>
      <c r="K37" s="718">
        <f>SUM(L37:P37)</f>
        <v>290000</v>
      </c>
      <c r="L37" s="718">
        <v>43500</v>
      </c>
      <c r="M37" s="718">
        <v>0</v>
      </c>
      <c r="N37" s="718">
        <v>0</v>
      </c>
      <c r="O37" s="718">
        <v>0</v>
      </c>
      <c r="P37" s="718">
        <v>246500</v>
      </c>
      <c r="Q37" s="718"/>
      <c r="R37" s="487"/>
      <c r="S37" s="357">
        <v>43343</v>
      </c>
      <c r="T37" s="357">
        <v>43449</v>
      </c>
      <c r="U37" s="357">
        <v>43524</v>
      </c>
      <c r="V37" s="495">
        <v>43800</v>
      </c>
      <c r="W37" s="34"/>
      <c r="X37" s="34"/>
      <c r="Y37" s="34"/>
    </row>
    <row r="38" spans="1:27" ht="48.75" thickBot="1" x14ac:dyDescent="0.3">
      <c r="A38" s="90" t="str">
        <f>CONCATENATE('3 pr-2'!A85)</f>
        <v>1.1.2.2.6</v>
      </c>
      <c r="B38" s="90" t="str">
        <f>CONCATENATE('3 pr-2'!B85)</f>
        <v>R01-5514-190000-1226</v>
      </c>
      <c r="C38" s="90" t="s">
        <v>1434</v>
      </c>
      <c r="D38" s="90" t="s">
        <v>236</v>
      </c>
      <c r="E38" s="90" t="s">
        <v>115</v>
      </c>
      <c r="F38" s="90" t="s">
        <v>1469</v>
      </c>
      <c r="G38" s="248" t="s">
        <v>147</v>
      </c>
      <c r="H38" s="15" t="s">
        <v>119</v>
      </c>
      <c r="I38" s="17" t="s">
        <v>66</v>
      </c>
      <c r="J38" s="17" t="s">
        <v>66</v>
      </c>
      <c r="K38" s="718">
        <f>SUM(L38:P38)</f>
        <v>250000</v>
      </c>
      <c r="L38" s="718">
        <v>37500</v>
      </c>
      <c r="M38" s="718">
        <v>0</v>
      </c>
      <c r="N38" s="718">
        <v>0</v>
      </c>
      <c r="O38" s="718">
        <v>0</v>
      </c>
      <c r="P38" s="718">
        <v>212500</v>
      </c>
      <c r="Q38" s="718"/>
      <c r="R38" s="487"/>
      <c r="S38" s="357">
        <v>43343</v>
      </c>
      <c r="T38" s="357">
        <v>43736</v>
      </c>
      <c r="U38" s="357">
        <v>43797</v>
      </c>
      <c r="V38" s="495">
        <v>44501</v>
      </c>
      <c r="W38" s="34"/>
      <c r="X38" s="34"/>
      <c r="Y38" s="34"/>
    </row>
    <row r="39" spans="1:27" ht="31.5" customHeight="1" thickBot="1" x14ac:dyDescent="0.3">
      <c r="A39" s="327" t="s">
        <v>92</v>
      </c>
      <c r="B39" s="710"/>
      <c r="C39" s="1885" t="s">
        <v>624</v>
      </c>
      <c r="D39" s="1894"/>
      <c r="E39" s="1894"/>
      <c r="F39" s="1894"/>
      <c r="G39" s="1894"/>
      <c r="H39" s="1894"/>
      <c r="I39" s="1894"/>
      <c r="J39" s="1895"/>
      <c r="K39" s="1215">
        <f t="shared" ref="K39:O39" si="14">SUM(K40)</f>
        <v>71089</v>
      </c>
      <c r="L39" s="1215">
        <f t="shared" si="14"/>
        <v>14466</v>
      </c>
      <c r="M39" s="1215">
        <f t="shared" si="14"/>
        <v>0</v>
      </c>
      <c r="N39" s="1215">
        <f t="shared" si="14"/>
        <v>0</v>
      </c>
      <c r="O39" s="1215">
        <f t="shared" si="14"/>
        <v>0</v>
      </c>
      <c r="P39" s="1215">
        <f t="shared" ref="P39" si="15">SUM(P40)</f>
        <v>56623</v>
      </c>
      <c r="Q39" s="1215"/>
      <c r="R39" s="91"/>
      <c r="S39" s="329"/>
      <c r="T39" s="329"/>
      <c r="U39" s="329"/>
      <c r="V39" s="329"/>
      <c r="W39" s="37">
        <v>57476.4</v>
      </c>
      <c r="X39" s="37">
        <f>SUM(W39*120/100)</f>
        <v>68971.679999999993</v>
      </c>
      <c r="Y39" s="37">
        <f>SUM(W39-P39)</f>
        <v>853.40000000000146</v>
      </c>
    </row>
    <row r="40" spans="1:27" ht="48.75" thickBot="1" x14ac:dyDescent="0.3">
      <c r="A40" s="90" t="str">
        <f>CONCATENATE('3 pr-2'!A91)</f>
        <v>1.1.2.3.5</v>
      </c>
      <c r="B40" s="90" t="str">
        <f>CONCATENATE('3 pr-2'!B91)</f>
        <v>R01-5516-190000-1235</v>
      </c>
      <c r="C40" s="90" t="s">
        <v>385</v>
      </c>
      <c r="D40" s="90" t="s">
        <v>181</v>
      </c>
      <c r="E40" s="90" t="s">
        <v>115</v>
      </c>
      <c r="F40" s="90" t="s">
        <v>1469</v>
      </c>
      <c r="G40" s="248" t="s">
        <v>148</v>
      </c>
      <c r="H40" s="15" t="s">
        <v>119</v>
      </c>
      <c r="I40" s="17" t="s">
        <v>66</v>
      </c>
      <c r="J40" s="17" t="s">
        <v>66</v>
      </c>
      <c r="K40" s="718">
        <f>SUM(L40:P40)</f>
        <v>71089</v>
      </c>
      <c r="L40" s="718">
        <v>14466</v>
      </c>
      <c r="M40" s="718">
        <v>0</v>
      </c>
      <c r="N40" s="718">
        <v>0</v>
      </c>
      <c r="O40" s="718">
        <v>0</v>
      </c>
      <c r="P40" s="718">
        <v>56623</v>
      </c>
      <c r="Q40" s="718"/>
      <c r="R40" s="487">
        <v>42660</v>
      </c>
      <c r="S40" s="357">
        <v>42754</v>
      </c>
      <c r="T40" s="979">
        <v>43510</v>
      </c>
      <c r="U40" s="542">
        <v>43599</v>
      </c>
      <c r="V40" s="542">
        <v>43997</v>
      </c>
      <c r="W40" s="34"/>
      <c r="X40" s="34"/>
      <c r="Y40" s="34"/>
    </row>
    <row r="41" spans="1:27" ht="27.75" customHeight="1" thickBot="1" x14ac:dyDescent="0.3">
      <c r="A41" s="327" t="s">
        <v>94</v>
      </c>
      <c r="B41" s="710"/>
      <c r="C41" s="1885" t="s">
        <v>625</v>
      </c>
      <c r="D41" s="1894"/>
      <c r="E41" s="1894"/>
      <c r="F41" s="1894"/>
      <c r="G41" s="1894"/>
      <c r="H41" s="1894"/>
      <c r="I41" s="1894"/>
      <c r="J41" s="1895"/>
      <c r="K41" s="1215">
        <f t="shared" ref="K41:O41" si="16">SUM(K42:K43)</f>
        <v>1393496.24</v>
      </c>
      <c r="L41" s="1215">
        <f t="shared" si="16"/>
        <v>895858.24</v>
      </c>
      <c r="M41" s="1215">
        <f t="shared" si="16"/>
        <v>0</v>
      </c>
      <c r="N41" s="1215">
        <f t="shared" si="16"/>
        <v>0</v>
      </c>
      <c r="O41" s="1215">
        <f t="shared" si="16"/>
        <v>0</v>
      </c>
      <c r="P41" s="1215">
        <f>SUM(P42:P43)</f>
        <v>497638</v>
      </c>
      <c r="Q41" s="1215"/>
      <c r="R41" s="91"/>
      <c r="S41" s="329"/>
      <c r="T41" s="329"/>
      <c r="U41" s="329"/>
      <c r="V41" s="329"/>
      <c r="W41" s="37">
        <v>497638</v>
      </c>
      <c r="X41" s="37">
        <f>SUM(W41*120/100)</f>
        <v>597165.6</v>
      </c>
      <c r="Y41" s="37">
        <f>SUM(W41-P41)</f>
        <v>0</v>
      </c>
    </row>
    <row r="42" spans="1:27" s="56" customFormat="1" ht="48.75" thickBot="1" x14ac:dyDescent="0.3">
      <c r="A42" s="125" t="str">
        <f>CONCATENATE('3 pr-2'!A97)</f>
        <v>1.1.2.4.5</v>
      </c>
      <c r="B42" s="125" t="str">
        <f>CONCATENATE('3 pr-2'!B97)</f>
        <v>R01-5511-120900-1245</v>
      </c>
      <c r="C42" s="125" t="s">
        <v>231</v>
      </c>
      <c r="D42" s="125" t="s">
        <v>181</v>
      </c>
      <c r="E42" s="125" t="s">
        <v>115</v>
      </c>
      <c r="F42" s="125" t="s">
        <v>1469</v>
      </c>
      <c r="G42" s="352" t="s">
        <v>141</v>
      </c>
      <c r="H42" s="376" t="s">
        <v>119</v>
      </c>
      <c r="I42" s="306" t="s">
        <v>66</v>
      </c>
      <c r="J42" s="306" t="s">
        <v>66</v>
      </c>
      <c r="K42" s="1210">
        <f>SUM(L42:P42)</f>
        <v>1258144.24</v>
      </c>
      <c r="L42" s="1210">
        <v>873495.24</v>
      </c>
      <c r="M42" s="1210">
        <v>0</v>
      </c>
      <c r="N42" s="1210">
        <v>0</v>
      </c>
      <c r="O42" s="1210">
        <v>0</v>
      </c>
      <c r="P42" s="1210">
        <v>384649</v>
      </c>
      <c r="Q42" s="1210"/>
      <c r="R42" s="311">
        <v>42639</v>
      </c>
      <c r="S42" s="311">
        <v>42732</v>
      </c>
      <c r="T42" s="311">
        <v>43326</v>
      </c>
      <c r="U42" s="311">
        <v>43419</v>
      </c>
      <c r="V42" s="311">
        <v>43830</v>
      </c>
      <c r="W42" s="55"/>
      <c r="X42" s="55"/>
      <c r="Y42" s="55"/>
    </row>
    <row r="43" spans="1:27" ht="51.75" thickBot="1" x14ac:dyDescent="0.3">
      <c r="A43" s="90" t="str">
        <f>CONCATENATE('3 pr-2'!A99)</f>
        <v>1.1.2.4.7</v>
      </c>
      <c r="B43" s="90" t="str">
        <f>CONCATENATE('3 pr-2'!B99)</f>
        <v>R01-5511-120000-1247</v>
      </c>
      <c r="C43" s="789" t="s">
        <v>1411</v>
      </c>
      <c r="D43" s="723" t="s">
        <v>181</v>
      </c>
      <c r="E43" s="723" t="s">
        <v>115</v>
      </c>
      <c r="F43" s="723" t="s">
        <v>1469</v>
      </c>
      <c r="G43" s="724" t="s">
        <v>141</v>
      </c>
      <c r="H43" s="724" t="s">
        <v>119</v>
      </c>
      <c r="I43" s="724" t="s">
        <v>66</v>
      </c>
      <c r="J43" s="724" t="s">
        <v>66</v>
      </c>
      <c r="K43" s="718">
        <f>SUM(L43:P43)</f>
        <v>135352</v>
      </c>
      <c r="L43" s="718">
        <v>22363</v>
      </c>
      <c r="M43" s="718">
        <v>0</v>
      </c>
      <c r="N43" s="718">
        <v>0</v>
      </c>
      <c r="O43" s="718">
        <v>0</v>
      </c>
      <c r="P43" s="718">
        <v>112989</v>
      </c>
      <c r="Q43" s="718"/>
      <c r="R43" s="790">
        <v>43404</v>
      </c>
      <c r="S43" s="791">
        <v>43404</v>
      </c>
      <c r="T43" s="791">
        <v>43496</v>
      </c>
      <c r="U43" s="791">
        <v>43585</v>
      </c>
      <c r="V43" s="791">
        <v>43830</v>
      </c>
      <c r="W43" s="34"/>
      <c r="X43" s="34"/>
      <c r="Y43" s="34"/>
    </row>
    <row r="44" spans="1:27" ht="47.25" customHeight="1" thickBot="1" x14ac:dyDescent="0.3">
      <c r="A44" s="158" t="s">
        <v>27</v>
      </c>
      <c r="B44" s="715"/>
      <c r="C44" s="1897" t="s">
        <v>626</v>
      </c>
      <c r="D44" s="1898"/>
      <c r="E44" s="1898"/>
      <c r="F44" s="1898"/>
      <c r="G44" s="1898"/>
      <c r="H44" s="1898"/>
      <c r="I44" s="1898"/>
      <c r="J44" s="1899"/>
      <c r="K44" s="1237">
        <f t="shared" ref="K44:P44" si="17">SUM(K45+K52+K62+K67)</f>
        <v>1962313.0599999998</v>
      </c>
      <c r="L44" s="1237">
        <f t="shared" si="17"/>
        <v>284972.88</v>
      </c>
      <c r="M44" s="1237">
        <f t="shared" si="17"/>
        <v>52779.990000000005</v>
      </c>
      <c r="N44" s="1237">
        <f t="shared" si="17"/>
        <v>17194</v>
      </c>
      <c r="O44" s="1237">
        <f t="shared" si="17"/>
        <v>511.2</v>
      </c>
      <c r="P44" s="1237">
        <f t="shared" si="17"/>
        <v>1606854.99</v>
      </c>
      <c r="Q44" s="1237"/>
      <c r="R44" s="153"/>
      <c r="S44" s="159"/>
      <c r="T44" s="159"/>
      <c r="U44" s="159"/>
      <c r="V44" s="167"/>
      <c r="W44" s="35">
        <f>SUM(W45+W52+W62+W67)</f>
        <v>1575937.0531617508</v>
      </c>
      <c r="X44" s="35">
        <f>SUM(X45+X52+X62+X67)</f>
        <v>1891124.463794101</v>
      </c>
      <c r="Y44" s="35">
        <f>SUM(Y45+Y52+Y62+Y67)</f>
        <v>-25124.336838249146</v>
      </c>
    </row>
    <row r="45" spans="1:27" ht="57" customHeight="1" thickBot="1" x14ac:dyDescent="0.3">
      <c r="A45" s="151" t="s">
        <v>28</v>
      </c>
      <c r="B45" s="714"/>
      <c r="C45" s="1887" t="s">
        <v>627</v>
      </c>
      <c r="D45" s="1900"/>
      <c r="E45" s="1900"/>
      <c r="F45" s="1900"/>
      <c r="G45" s="1900"/>
      <c r="H45" s="1900"/>
      <c r="I45" s="1900"/>
      <c r="J45" s="1901"/>
      <c r="K45" s="1228">
        <f t="shared" ref="K45:P45" si="18">SUM(K46+K48+K50)</f>
        <v>486603.98</v>
      </c>
      <c r="L45" s="1228">
        <f t="shared" si="18"/>
        <v>113818.98</v>
      </c>
      <c r="M45" s="1228">
        <f t="shared" si="18"/>
        <v>20150</v>
      </c>
      <c r="N45" s="1228">
        <f t="shared" si="18"/>
        <v>0</v>
      </c>
      <c r="O45" s="1228">
        <f t="shared" si="18"/>
        <v>0</v>
      </c>
      <c r="P45" s="1228">
        <f t="shared" si="18"/>
        <v>352635</v>
      </c>
      <c r="Q45" s="1228"/>
      <c r="R45" s="132"/>
      <c r="S45" s="133"/>
      <c r="T45" s="133"/>
      <c r="U45" s="133"/>
      <c r="V45" s="168"/>
      <c r="W45" s="36">
        <f>SUM(W46+W48+W50)</f>
        <v>367514.20086240256</v>
      </c>
      <c r="X45" s="36">
        <f>SUM(X46+X48+X50)</f>
        <v>441017.04103488312</v>
      </c>
      <c r="Y45" s="36">
        <f>SUM(Y46+Y48+Y50)</f>
        <v>14879.200862402562</v>
      </c>
    </row>
    <row r="46" spans="1:27" ht="39" customHeight="1" thickBot="1" x14ac:dyDescent="0.3">
      <c r="A46" s="327" t="s">
        <v>96</v>
      </c>
      <c r="B46" s="710"/>
      <c r="C46" s="1885" t="s">
        <v>628</v>
      </c>
      <c r="D46" s="1894"/>
      <c r="E46" s="1894"/>
      <c r="F46" s="1894"/>
      <c r="G46" s="1894"/>
      <c r="H46" s="1894"/>
      <c r="I46" s="1894"/>
      <c r="J46" s="1895"/>
      <c r="K46" s="1215">
        <f>SUM(K47)</f>
        <v>163877</v>
      </c>
      <c r="L46" s="1215">
        <f>SUM(L47)</f>
        <v>12291</v>
      </c>
      <c r="M46" s="1215">
        <f t="shared" ref="M46:O46" si="19">SUM(M47)</f>
        <v>12291</v>
      </c>
      <c r="N46" s="1215">
        <f t="shared" si="19"/>
        <v>0</v>
      </c>
      <c r="O46" s="1215">
        <f t="shared" si="19"/>
        <v>0</v>
      </c>
      <c r="P46" s="1215">
        <f>SUM(P47)</f>
        <v>139295</v>
      </c>
      <c r="Q46" s="1215"/>
      <c r="R46" s="91"/>
      <c r="S46" s="329"/>
      <c r="T46" s="329"/>
      <c r="U46" s="329"/>
      <c r="V46" s="329"/>
      <c r="W46" s="37">
        <v>139295</v>
      </c>
      <c r="X46" s="37">
        <f>SUM(W46*120/100)</f>
        <v>167154</v>
      </c>
      <c r="Y46" s="37">
        <f>SUM(W46-P46)</f>
        <v>0</v>
      </c>
    </row>
    <row r="47" spans="1:27" ht="48.75" thickBot="1" x14ac:dyDescent="0.3">
      <c r="A47" s="90" t="str">
        <f>CONCATENATE('3 pr-2'!A106)</f>
        <v>2.1.1.1.4</v>
      </c>
      <c r="B47" s="90" t="str">
        <f>CONCATENATE('3 pr-2'!B106)</f>
        <v>R01-7724-220000-2114</v>
      </c>
      <c r="C47" s="90" t="s">
        <v>232</v>
      </c>
      <c r="D47" s="90" t="s">
        <v>236</v>
      </c>
      <c r="E47" s="90" t="s">
        <v>97</v>
      </c>
      <c r="F47" s="90" t="s">
        <v>1469</v>
      </c>
      <c r="G47" s="248" t="s">
        <v>136</v>
      </c>
      <c r="H47" s="15" t="s">
        <v>119</v>
      </c>
      <c r="I47" s="15" t="s">
        <v>66</v>
      </c>
      <c r="J47" s="17" t="s">
        <v>66</v>
      </c>
      <c r="K47" s="718">
        <f>SUM(L47:P47)</f>
        <v>163877</v>
      </c>
      <c r="L47" s="718">
        <v>12291</v>
      </c>
      <c r="M47" s="718">
        <v>12291</v>
      </c>
      <c r="N47" s="718">
        <v>0</v>
      </c>
      <c r="O47" s="718">
        <v>0</v>
      </c>
      <c r="P47" s="718">
        <v>139295</v>
      </c>
      <c r="Q47" s="718"/>
      <c r="R47" s="487">
        <v>42863</v>
      </c>
      <c r="S47" s="357">
        <v>42916</v>
      </c>
      <c r="T47" s="357">
        <v>42993</v>
      </c>
      <c r="U47" s="357">
        <v>43100</v>
      </c>
      <c r="V47" s="495">
        <v>43830</v>
      </c>
      <c r="W47" s="34"/>
      <c r="X47" s="34"/>
      <c r="Y47" s="34"/>
    </row>
    <row r="48" spans="1:27" ht="27.75" customHeight="1" thickBot="1" x14ac:dyDescent="0.3">
      <c r="A48" s="327" t="s">
        <v>99</v>
      </c>
      <c r="B48" s="710"/>
      <c r="C48" s="1885" t="s">
        <v>629</v>
      </c>
      <c r="D48" s="1894"/>
      <c r="E48" s="1894"/>
      <c r="F48" s="1894"/>
      <c r="G48" s="1894"/>
      <c r="H48" s="1894"/>
      <c r="I48" s="1894"/>
      <c r="J48" s="1895"/>
      <c r="K48" s="1215">
        <f t="shared" ref="K48:P48" si="20">SUM(K49:K49)</f>
        <v>146702.29999999999</v>
      </c>
      <c r="L48" s="1215">
        <f t="shared" si="20"/>
        <v>22436.3</v>
      </c>
      <c r="M48" s="1215">
        <f t="shared" si="20"/>
        <v>0</v>
      </c>
      <c r="N48" s="1215">
        <f t="shared" si="20"/>
        <v>0</v>
      </c>
      <c r="O48" s="1215">
        <f t="shared" si="20"/>
        <v>0</v>
      </c>
      <c r="P48" s="1215">
        <f t="shared" si="20"/>
        <v>124266</v>
      </c>
      <c r="Q48" s="1215"/>
      <c r="R48" s="91"/>
      <c r="S48" s="329"/>
      <c r="T48" s="329"/>
      <c r="U48" s="329"/>
      <c r="V48" s="329"/>
      <c r="W48" s="37">
        <v>124266</v>
      </c>
      <c r="X48" s="37">
        <f>SUM(W48*120/100)</f>
        <v>149119.20000000001</v>
      </c>
      <c r="Y48" s="37">
        <f>SUM(W48-P48)</f>
        <v>0</v>
      </c>
    </row>
    <row r="49" spans="1:25" ht="48.75" customHeight="1" thickBot="1" x14ac:dyDescent="0.3">
      <c r="A49" s="90" t="str">
        <f>CONCATENATE('3 pr-2'!A112)</f>
        <v>2.1.1.2.4</v>
      </c>
      <c r="B49" s="90" t="str">
        <f>CONCATENATE('3 pr-2'!B112)</f>
        <v>R01-7725-240000-2124</v>
      </c>
      <c r="C49" s="90" t="s">
        <v>234</v>
      </c>
      <c r="D49" s="90" t="s">
        <v>181</v>
      </c>
      <c r="E49" s="90" t="s">
        <v>97</v>
      </c>
      <c r="F49" s="90" t="s">
        <v>1469</v>
      </c>
      <c r="G49" s="248" t="s">
        <v>139</v>
      </c>
      <c r="H49" s="15" t="s">
        <v>119</v>
      </c>
      <c r="I49" s="15" t="s">
        <v>66</v>
      </c>
      <c r="J49" s="17" t="s">
        <v>66</v>
      </c>
      <c r="K49" s="718">
        <f>SUM(L49:P49)</f>
        <v>146702.29999999999</v>
      </c>
      <c r="L49" s="718">
        <v>22436.3</v>
      </c>
      <c r="M49" s="718">
        <v>0</v>
      </c>
      <c r="N49" s="718">
        <v>0</v>
      </c>
      <c r="O49" s="718">
        <v>0</v>
      </c>
      <c r="P49" s="718">
        <v>124266</v>
      </c>
      <c r="Q49" s="718"/>
      <c r="R49" s="487">
        <v>42828</v>
      </c>
      <c r="S49" s="357">
        <v>42916</v>
      </c>
      <c r="T49" s="357">
        <v>42993</v>
      </c>
      <c r="U49" s="357">
        <v>43100</v>
      </c>
      <c r="V49" s="495">
        <v>43449</v>
      </c>
      <c r="W49" s="34"/>
      <c r="X49" s="34"/>
      <c r="Y49" s="34"/>
    </row>
    <row r="50" spans="1:25" ht="35.25" customHeight="1" thickBot="1" x14ac:dyDescent="0.3">
      <c r="A50" s="327" t="s">
        <v>101</v>
      </c>
      <c r="B50" s="710"/>
      <c r="C50" s="1885" t="s">
        <v>1404</v>
      </c>
      <c r="D50" s="1894"/>
      <c r="E50" s="1894"/>
      <c r="F50" s="1894"/>
      <c r="G50" s="1894"/>
      <c r="H50" s="1894"/>
      <c r="I50" s="1894"/>
      <c r="J50" s="1895"/>
      <c r="K50" s="1215">
        <f t="shared" ref="K50:O50" si="21">SUM(K51)</f>
        <v>176024.68</v>
      </c>
      <c r="L50" s="1215">
        <f t="shared" si="21"/>
        <v>79091.679999999993</v>
      </c>
      <c r="M50" s="1215">
        <f t="shared" si="21"/>
        <v>7859</v>
      </c>
      <c r="N50" s="1215">
        <f t="shared" si="21"/>
        <v>0</v>
      </c>
      <c r="O50" s="1215">
        <f t="shared" si="21"/>
        <v>0</v>
      </c>
      <c r="P50" s="1215">
        <f t="shared" ref="P50" si="22">SUM(P51)</f>
        <v>89074</v>
      </c>
      <c r="Q50" s="1215"/>
      <c r="R50" s="91"/>
      <c r="S50" s="329"/>
      <c r="T50" s="329"/>
      <c r="U50" s="329"/>
      <c r="V50" s="329"/>
      <c r="W50" s="37">
        <v>103953.20086240256</v>
      </c>
      <c r="X50" s="37">
        <f>SUM(W50*120/100)</f>
        <v>124743.84103488308</v>
      </c>
      <c r="Y50" s="37">
        <f>SUM(W50-P50)</f>
        <v>14879.200862402562</v>
      </c>
    </row>
    <row r="51" spans="1:25" s="56" customFormat="1" ht="48.75" thickBot="1" x14ac:dyDescent="0.3">
      <c r="A51" s="125" t="str">
        <f>CONCATENATE('3 pr-2'!A118)</f>
        <v>2.1.1.3.4</v>
      </c>
      <c r="B51" s="125" t="str">
        <f>CONCATENATE('3 pr-2'!B118)</f>
        <v>R01-7705-230000-2134</v>
      </c>
      <c r="C51" s="125" t="s">
        <v>812</v>
      </c>
      <c r="D51" s="125" t="s">
        <v>181</v>
      </c>
      <c r="E51" s="125" t="s">
        <v>97</v>
      </c>
      <c r="F51" s="125" t="s">
        <v>1469</v>
      </c>
      <c r="G51" s="352" t="s">
        <v>140</v>
      </c>
      <c r="H51" s="376" t="s">
        <v>119</v>
      </c>
      <c r="I51" s="376" t="s">
        <v>66</v>
      </c>
      <c r="J51" s="306" t="s">
        <v>66</v>
      </c>
      <c r="K51" s="1210">
        <f>SUM(L51:P51)</f>
        <v>176024.68</v>
      </c>
      <c r="L51" s="1210">
        <v>79091.679999999993</v>
      </c>
      <c r="M51" s="1210">
        <v>7859</v>
      </c>
      <c r="N51" s="1210">
        <v>0</v>
      </c>
      <c r="O51" s="1210">
        <v>0</v>
      </c>
      <c r="P51" s="1210">
        <v>89074</v>
      </c>
      <c r="Q51" s="1210"/>
      <c r="R51" s="719">
        <v>42966</v>
      </c>
      <c r="S51" s="719">
        <v>43008</v>
      </c>
      <c r="T51" s="719">
        <v>43160</v>
      </c>
      <c r="U51" s="719">
        <v>43252</v>
      </c>
      <c r="V51" s="721">
        <v>43707</v>
      </c>
      <c r="W51" s="55"/>
      <c r="X51" s="55"/>
      <c r="Y51" s="55"/>
    </row>
    <row r="52" spans="1:25" ht="60" customHeight="1" thickBot="1" x14ac:dyDescent="0.3">
      <c r="A52" s="151" t="s">
        <v>32</v>
      </c>
      <c r="B52" s="714"/>
      <c r="C52" s="1887" t="s">
        <v>630</v>
      </c>
      <c r="D52" s="1900"/>
      <c r="E52" s="1900"/>
      <c r="F52" s="1900"/>
      <c r="G52" s="1900"/>
      <c r="H52" s="1900"/>
      <c r="I52" s="1900"/>
      <c r="J52" s="1901"/>
      <c r="K52" s="1233">
        <f>SUM(K53+K58+K60)</f>
        <v>435057.18</v>
      </c>
      <c r="L52" s="1233">
        <f t="shared" ref="L52:P52" si="23">SUM(L53+L58+L60)</f>
        <v>14924.79</v>
      </c>
      <c r="M52" s="1233">
        <f t="shared" si="23"/>
        <v>32629.99</v>
      </c>
      <c r="N52" s="1233">
        <f t="shared" si="23"/>
        <v>17194</v>
      </c>
      <c r="O52" s="1233">
        <f t="shared" si="23"/>
        <v>511.2</v>
      </c>
      <c r="P52" s="1233">
        <f t="shared" si="23"/>
        <v>369797.19999999995</v>
      </c>
      <c r="Q52" s="1233"/>
      <c r="R52" s="132"/>
      <c r="S52" s="133"/>
      <c r="T52" s="133"/>
      <c r="U52" s="133"/>
      <c r="V52" s="168"/>
      <c r="W52" s="36">
        <f>SUM(W53+W58)</f>
        <v>324000</v>
      </c>
      <c r="X52" s="36">
        <f>SUM(X53+X58)</f>
        <v>388800</v>
      </c>
      <c r="Y52" s="36">
        <f>SUM(Y53+Y58)</f>
        <v>-40003.600000000006</v>
      </c>
    </row>
    <row r="53" spans="1:25" ht="34.5" customHeight="1" thickBot="1" x14ac:dyDescent="0.3">
      <c r="A53" s="327" t="s">
        <v>33</v>
      </c>
      <c r="B53" s="710"/>
      <c r="C53" s="1885" t="s">
        <v>631</v>
      </c>
      <c r="D53" s="1894"/>
      <c r="E53" s="1894"/>
      <c r="F53" s="1894"/>
      <c r="G53" s="1894"/>
      <c r="H53" s="1894"/>
      <c r="I53" s="1894"/>
      <c r="J53" s="1895"/>
      <c r="K53" s="1221">
        <f t="shared" ref="K53:O53" si="24">SUM(K54:K57)</f>
        <v>229244</v>
      </c>
      <c r="L53" s="1221">
        <f t="shared" si="24"/>
        <v>0</v>
      </c>
      <c r="M53" s="1221">
        <f t="shared" si="24"/>
        <v>17194</v>
      </c>
      <c r="N53" s="1221">
        <f t="shared" si="24"/>
        <v>17194</v>
      </c>
      <c r="O53" s="1221">
        <f t="shared" si="24"/>
        <v>0</v>
      </c>
      <c r="P53" s="1221">
        <f>SUM(P54:P57)</f>
        <v>194856</v>
      </c>
      <c r="Q53" s="1221"/>
      <c r="R53" s="91"/>
      <c r="S53" s="329"/>
      <c r="T53" s="329"/>
      <c r="U53" s="329"/>
      <c r="V53" s="329"/>
      <c r="W53" s="37">
        <v>247000</v>
      </c>
      <c r="X53" s="37">
        <f>SUM(W53*120/100)</f>
        <v>296400</v>
      </c>
      <c r="Y53" s="37">
        <f>SUM(W53-P53)</f>
        <v>52144</v>
      </c>
    </row>
    <row r="54" spans="1:25" ht="60.75" thickBot="1" x14ac:dyDescent="0.3">
      <c r="A54" s="90" t="str">
        <f>CONCATENATE('3 pr-2'!A128)</f>
        <v>2.1.2.1.7</v>
      </c>
      <c r="B54" s="90" t="str">
        <f>CONCATENATE('3 pr-2'!B128)</f>
        <v>R01-6609-274710-2217</v>
      </c>
      <c r="C54" s="90" t="s">
        <v>235</v>
      </c>
      <c r="D54" s="90" t="s">
        <v>1450</v>
      </c>
      <c r="E54" s="90" t="s">
        <v>103</v>
      </c>
      <c r="F54" s="90" t="s">
        <v>1469</v>
      </c>
      <c r="G54" s="248" t="s">
        <v>153</v>
      </c>
      <c r="H54" s="15" t="s">
        <v>119</v>
      </c>
      <c r="I54" s="15" t="s">
        <v>66</v>
      </c>
      <c r="J54" s="17" t="s">
        <v>66</v>
      </c>
      <c r="K54" s="1226">
        <f>SUM(L54:P54)</f>
        <v>163532</v>
      </c>
      <c r="L54" s="1226">
        <v>0</v>
      </c>
      <c r="M54" s="1226">
        <v>12265</v>
      </c>
      <c r="N54" s="1226">
        <v>12265</v>
      </c>
      <c r="O54" s="1226">
        <v>0</v>
      </c>
      <c r="P54" s="1226">
        <v>139002</v>
      </c>
      <c r="Q54" s="1226"/>
      <c r="R54" s="487">
        <v>43250</v>
      </c>
      <c r="S54" s="357">
        <v>43312</v>
      </c>
      <c r="T54" s="357">
        <v>43403</v>
      </c>
      <c r="U54" s="357">
        <v>43465</v>
      </c>
      <c r="V54" s="357">
        <v>44196</v>
      </c>
      <c r="W54" s="34"/>
      <c r="X54" s="34"/>
      <c r="Y54" s="34"/>
    </row>
    <row r="55" spans="1:25" ht="48.75" thickBot="1" x14ac:dyDescent="0.3">
      <c r="A55" s="90" t="str">
        <f>CONCATENATE('3 pr-2'!A129)</f>
        <v>2.1.2.1.8</v>
      </c>
      <c r="B55" s="90" t="str">
        <f>CONCATENATE('3 pr-2'!B129)</f>
        <v>R01-6609-104700-2218</v>
      </c>
      <c r="C55" s="90" t="s">
        <v>1472</v>
      </c>
      <c r="D55" s="90" t="s">
        <v>1451</v>
      </c>
      <c r="E55" s="90" t="s">
        <v>103</v>
      </c>
      <c r="F55" s="90" t="s">
        <v>1469</v>
      </c>
      <c r="G55" s="248" t="s">
        <v>153</v>
      </c>
      <c r="H55" s="15" t="s">
        <v>119</v>
      </c>
      <c r="I55" s="15" t="s">
        <v>66</v>
      </c>
      <c r="J55" s="17" t="s">
        <v>66</v>
      </c>
      <c r="K55" s="1226">
        <f>SUM(L55:P55)</f>
        <v>12289</v>
      </c>
      <c r="L55" s="1226">
        <v>0</v>
      </c>
      <c r="M55" s="1226">
        <v>922</v>
      </c>
      <c r="N55" s="1226">
        <v>922</v>
      </c>
      <c r="O55" s="1226">
        <v>0</v>
      </c>
      <c r="P55" s="1226">
        <v>10445</v>
      </c>
      <c r="Q55" s="1226"/>
      <c r="R55" s="487"/>
      <c r="S55" s="357">
        <v>43312</v>
      </c>
      <c r="T55" s="357">
        <v>43403</v>
      </c>
      <c r="U55" s="357">
        <v>43495</v>
      </c>
      <c r="V55" s="357">
        <v>43922</v>
      </c>
      <c r="W55" s="34"/>
      <c r="X55" s="34"/>
      <c r="Y55" s="34"/>
    </row>
    <row r="56" spans="1:25" ht="48.75" thickBot="1" x14ac:dyDescent="0.3">
      <c r="A56" s="90" t="str">
        <f>CONCATENATE('3 pr-2'!A130)</f>
        <v>2.1.2.1.9</v>
      </c>
      <c r="B56" s="90" t="str">
        <f>CONCATENATE('3 pr-2'!B130)</f>
        <v>R01-6609-274710-2219</v>
      </c>
      <c r="C56" s="90" t="s">
        <v>1452</v>
      </c>
      <c r="D56" s="90" t="s">
        <v>1453</v>
      </c>
      <c r="E56" s="90" t="s">
        <v>103</v>
      </c>
      <c r="F56" s="90" t="s">
        <v>1469</v>
      </c>
      <c r="G56" s="248" t="s">
        <v>153</v>
      </c>
      <c r="H56" s="15" t="s">
        <v>119</v>
      </c>
      <c r="I56" s="15" t="s">
        <v>66</v>
      </c>
      <c r="J56" s="17" t="s">
        <v>66</v>
      </c>
      <c r="K56" s="1226">
        <f>SUM(L56:P56)</f>
        <v>25517</v>
      </c>
      <c r="L56" s="1226">
        <v>0</v>
      </c>
      <c r="M56" s="1226">
        <v>1914</v>
      </c>
      <c r="N56" s="1226">
        <v>1914</v>
      </c>
      <c r="O56" s="1226">
        <v>0</v>
      </c>
      <c r="P56" s="1226">
        <v>21689</v>
      </c>
      <c r="Q56" s="1226"/>
      <c r="R56" s="487"/>
      <c r="S56" s="357">
        <v>43312</v>
      </c>
      <c r="T56" s="357">
        <v>43373</v>
      </c>
      <c r="U56" s="357">
        <v>43464</v>
      </c>
      <c r="V56" s="357">
        <v>43830</v>
      </c>
      <c r="W56" s="34"/>
      <c r="X56" s="34"/>
      <c r="Y56" s="34"/>
    </row>
    <row r="57" spans="1:25" ht="48.75" thickBot="1" x14ac:dyDescent="0.3">
      <c r="A57" s="90" t="str">
        <f>CONCATENATE('3 pr-2'!A131)</f>
        <v>2.1.2.1.10</v>
      </c>
      <c r="B57" s="90" t="str">
        <f>CONCATENATE('3 pr-2'!B131)</f>
        <v>R01-6609-274710-2220</v>
      </c>
      <c r="C57" s="90" t="s">
        <v>1468</v>
      </c>
      <c r="D57" s="90" t="s">
        <v>1454</v>
      </c>
      <c r="E57" s="90" t="s">
        <v>103</v>
      </c>
      <c r="F57" s="90" t="s">
        <v>1469</v>
      </c>
      <c r="G57" s="248" t="s">
        <v>153</v>
      </c>
      <c r="H57" s="15" t="s">
        <v>119</v>
      </c>
      <c r="I57" s="15" t="s">
        <v>66</v>
      </c>
      <c r="J57" s="17" t="s">
        <v>66</v>
      </c>
      <c r="K57" s="1226">
        <f>SUM(L57:P57)</f>
        <v>27906</v>
      </c>
      <c r="L57" s="1226">
        <v>0</v>
      </c>
      <c r="M57" s="1226">
        <v>2093</v>
      </c>
      <c r="N57" s="1226">
        <v>2093</v>
      </c>
      <c r="O57" s="1226">
        <v>0</v>
      </c>
      <c r="P57" s="1226">
        <v>23720</v>
      </c>
      <c r="Q57" s="1226"/>
      <c r="R57" s="487"/>
      <c r="S57" s="357">
        <v>43312</v>
      </c>
      <c r="T57" s="357">
        <v>43403</v>
      </c>
      <c r="U57" s="357">
        <v>43495</v>
      </c>
      <c r="V57" s="357">
        <v>44196</v>
      </c>
      <c r="W57" s="34"/>
      <c r="X57" s="34"/>
      <c r="Y57" s="34"/>
    </row>
    <row r="58" spans="1:25" ht="29.25" customHeight="1" thickBot="1" x14ac:dyDescent="0.3">
      <c r="A58" s="327" t="s">
        <v>34</v>
      </c>
      <c r="B58" s="710"/>
      <c r="C58" s="1885" t="s">
        <v>1401</v>
      </c>
      <c r="D58" s="1894"/>
      <c r="E58" s="1894"/>
      <c r="F58" s="1894"/>
      <c r="G58" s="1894"/>
      <c r="H58" s="1894"/>
      <c r="I58" s="1894"/>
      <c r="J58" s="1895"/>
      <c r="K58" s="1221">
        <f t="shared" ref="K58:P60" si="25">SUM(K59:K59)</f>
        <v>198997.18</v>
      </c>
      <c r="L58" s="1221">
        <f t="shared" si="25"/>
        <v>14924.79</v>
      </c>
      <c r="M58" s="1221">
        <f t="shared" si="25"/>
        <v>14924.79</v>
      </c>
      <c r="N58" s="1221">
        <f t="shared" si="25"/>
        <v>0</v>
      </c>
      <c r="O58" s="1221">
        <f t="shared" si="25"/>
        <v>0</v>
      </c>
      <c r="P58" s="1221">
        <f t="shared" si="25"/>
        <v>169147.6</v>
      </c>
      <c r="Q58" s="1221"/>
      <c r="R58" s="91"/>
      <c r="S58" s="329"/>
      <c r="T58" s="329"/>
      <c r="U58" s="329"/>
      <c r="V58" s="329"/>
      <c r="W58" s="37">
        <v>77000</v>
      </c>
      <c r="X58" s="37">
        <f>SUM(W58*120/100)</f>
        <v>92400</v>
      </c>
      <c r="Y58" s="37">
        <f>SUM(W58-P58)</f>
        <v>-92147.6</v>
      </c>
    </row>
    <row r="59" spans="1:25" ht="48.75" customHeight="1" thickBot="1" x14ac:dyDescent="0.3">
      <c r="A59" s="90" t="str">
        <f>CONCATENATE('3 pr-2'!A139)</f>
        <v>2.1.2.2.4.</v>
      </c>
      <c r="B59" s="90" t="str">
        <f>CONCATENATE('3 pr-2'!B139)</f>
        <v>R01-6630-470000-2224</v>
      </c>
      <c r="C59" s="90" t="s">
        <v>1215</v>
      </c>
      <c r="D59" s="90" t="s">
        <v>1216</v>
      </c>
      <c r="E59" s="90" t="s">
        <v>103</v>
      </c>
      <c r="F59" s="90" t="s">
        <v>1469</v>
      </c>
      <c r="G59" s="248" t="s">
        <v>1193</v>
      </c>
      <c r="H59" s="15" t="s">
        <v>119</v>
      </c>
      <c r="I59" s="15" t="s">
        <v>66</v>
      </c>
      <c r="J59" s="17" t="s">
        <v>66</v>
      </c>
      <c r="K59" s="1226">
        <v>198997.18</v>
      </c>
      <c r="L59" s="1226">
        <v>14924.79</v>
      </c>
      <c r="M59" s="1226">
        <v>14924.79</v>
      </c>
      <c r="N59" s="1226">
        <v>0</v>
      </c>
      <c r="O59" s="1226">
        <v>0</v>
      </c>
      <c r="P59" s="1226">
        <v>169147.6</v>
      </c>
      <c r="Q59" s="1226"/>
      <c r="R59" s="17"/>
      <c r="S59" s="173">
        <v>43189</v>
      </c>
      <c r="T59" s="173">
        <v>43220</v>
      </c>
      <c r="U59" s="173">
        <v>43311</v>
      </c>
      <c r="V59" s="173">
        <v>44561</v>
      </c>
      <c r="W59" s="34"/>
      <c r="X59" s="34"/>
      <c r="Y59" s="34"/>
    </row>
    <row r="60" spans="1:25" ht="29.25" customHeight="1" thickBot="1" x14ac:dyDescent="0.3">
      <c r="A60" s="327" t="str">
        <f>CONCATENATE('3 pr-2'!A141)</f>
        <v>2.1.2.3</v>
      </c>
      <c r="B60" s="710"/>
      <c r="C60" s="1885" t="str">
        <f>CONCATENATE('3 pr-2'!D141)</f>
        <v/>
      </c>
      <c r="D60" s="1894"/>
      <c r="E60" s="1894"/>
      <c r="F60" s="1894"/>
      <c r="G60" s="1894"/>
      <c r="H60" s="1894"/>
      <c r="I60" s="1894"/>
      <c r="J60" s="1895"/>
      <c r="K60" s="1221">
        <f t="shared" si="25"/>
        <v>6816</v>
      </c>
      <c r="L60" s="1221">
        <f t="shared" si="25"/>
        <v>0</v>
      </c>
      <c r="M60" s="1221">
        <f t="shared" si="25"/>
        <v>511.2</v>
      </c>
      <c r="N60" s="1221">
        <f t="shared" si="25"/>
        <v>0</v>
      </c>
      <c r="O60" s="1221">
        <f t="shared" si="25"/>
        <v>511.2</v>
      </c>
      <c r="P60" s="1221">
        <f t="shared" si="25"/>
        <v>5793.6</v>
      </c>
      <c r="Q60" s="1221"/>
      <c r="R60" s="91"/>
      <c r="S60" s="329"/>
      <c r="T60" s="329"/>
      <c r="U60" s="329"/>
      <c r="V60" s="329"/>
      <c r="W60" s="37">
        <v>77000</v>
      </c>
      <c r="X60" s="37">
        <f>SUM(W60*120/100)</f>
        <v>92400</v>
      </c>
      <c r="Y60" s="37">
        <f>SUM(W60-P60)</f>
        <v>71206.399999999994</v>
      </c>
    </row>
    <row r="61" spans="1:25" ht="69.75" customHeight="1" thickBot="1" x14ac:dyDescent="0.3">
      <c r="A61" s="90" t="str">
        <f>CONCATENATE('3 pr-2'!A145)</f>
        <v>2.1.2.3.4</v>
      </c>
      <c r="B61" s="90" t="str">
        <f>CONCATENATE('3 pr-2'!B145)</f>
        <v>R01-6615-470000-2234</v>
      </c>
      <c r="C61" s="90" t="s">
        <v>1217</v>
      </c>
      <c r="D61" s="90" t="s">
        <v>1218</v>
      </c>
      <c r="E61" s="90" t="s">
        <v>103</v>
      </c>
      <c r="F61" s="90" t="s">
        <v>1469</v>
      </c>
      <c r="G61" s="248" t="s">
        <v>1208</v>
      </c>
      <c r="H61" s="15" t="s">
        <v>119</v>
      </c>
      <c r="I61" s="15" t="s">
        <v>66</v>
      </c>
      <c r="J61" s="17" t="s">
        <v>66</v>
      </c>
      <c r="K61" s="1226">
        <f>SUM(L61:P61)</f>
        <v>6816</v>
      </c>
      <c r="L61" s="1243">
        <v>0</v>
      </c>
      <c r="M61" s="1226">
        <v>511.2</v>
      </c>
      <c r="N61" s="1226">
        <v>0</v>
      </c>
      <c r="O61" s="1243">
        <v>511.2</v>
      </c>
      <c r="P61" s="1226">
        <v>5793.6</v>
      </c>
      <c r="Q61" s="1226"/>
      <c r="R61" s="17"/>
      <c r="S61" s="173">
        <v>43159</v>
      </c>
      <c r="T61" s="173">
        <v>43255</v>
      </c>
      <c r="U61" s="173">
        <v>43344</v>
      </c>
      <c r="V61" s="173">
        <v>44440</v>
      </c>
      <c r="W61" s="34"/>
      <c r="X61" s="34"/>
      <c r="Y61" s="34"/>
    </row>
    <row r="62" spans="1:25" ht="41.25" customHeight="1" thickBot="1" x14ac:dyDescent="0.3">
      <c r="A62" s="151" t="s">
        <v>35</v>
      </c>
      <c r="B62" s="714"/>
      <c r="C62" s="1887" t="s">
        <v>636</v>
      </c>
      <c r="D62" s="1900"/>
      <c r="E62" s="1900"/>
      <c r="F62" s="1900"/>
      <c r="G62" s="1900"/>
      <c r="H62" s="1900"/>
      <c r="I62" s="1900"/>
      <c r="J62" s="1901"/>
      <c r="K62" s="1244">
        <f t="shared" ref="K62:P62" si="26">SUM(K63+K65)</f>
        <v>878909.94</v>
      </c>
      <c r="L62" s="1244">
        <f t="shared" si="26"/>
        <v>131836.95000000001</v>
      </c>
      <c r="M62" s="1233">
        <f t="shared" si="26"/>
        <v>0</v>
      </c>
      <c r="N62" s="1233">
        <f t="shared" si="26"/>
        <v>0</v>
      </c>
      <c r="O62" s="1233">
        <f t="shared" si="26"/>
        <v>0</v>
      </c>
      <c r="P62" s="1233">
        <f t="shared" si="26"/>
        <v>747072.99</v>
      </c>
      <c r="Q62" s="1233"/>
      <c r="R62" s="132"/>
      <c r="S62" s="133"/>
      <c r="T62" s="133"/>
      <c r="U62" s="133"/>
      <c r="V62" s="168"/>
      <c r="W62" s="36">
        <f>SUM(W63+W65)</f>
        <v>747073.32761816494</v>
      </c>
      <c r="X62" s="36">
        <f>SUM(X63+X65)</f>
        <v>896487.99314179795</v>
      </c>
      <c r="Y62" s="36">
        <f>SUM(Y63+Y65)</f>
        <v>0.33761816498008557</v>
      </c>
    </row>
    <row r="63" spans="1:25" ht="38.25" customHeight="1" thickBot="1" x14ac:dyDescent="0.3">
      <c r="A63" s="327" t="s">
        <v>36</v>
      </c>
      <c r="B63" s="710"/>
      <c r="C63" s="1885" t="s">
        <v>632</v>
      </c>
      <c r="D63" s="1894"/>
      <c r="E63" s="1894"/>
      <c r="F63" s="1894"/>
      <c r="G63" s="1894"/>
      <c r="H63" s="1894"/>
      <c r="I63" s="1894"/>
      <c r="J63" s="1895"/>
      <c r="K63" s="1221">
        <f>SUM(K64)</f>
        <v>151437</v>
      </c>
      <c r="L63" s="1221">
        <f>SUM(L64)</f>
        <v>22716</v>
      </c>
      <c r="M63" s="1221">
        <f t="shared" ref="M63:O63" si="27">SUM(M64)</f>
        <v>0</v>
      </c>
      <c r="N63" s="1221">
        <f t="shared" si="27"/>
        <v>0</v>
      </c>
      <c r="O63" s="1221">
        <f t="shared" si="27"/>
        <v>0</v>
      </c>
      <c r="P63" s="1221">
        <f>SUM(P64)</f>
        <v>128721</v>
      </c>
      <c r="Q63" s="1221"/>
      <c r="R63" s="91"/>
      <c r="S63" s="329"/>
      <c r="T63" s="329"/>
      <c r="U63" s="329"/>
      <c r="V63" s="329"/>
      <c r="W63" s="37">
        <v>128721.32761816497</v>
      </c>
      <c r="X63" s="37">
        <f>SUM(W63*120/100)</f>
        <v>154465.59314179796</v>
      </c>
      <c r="Y63" s="37">
        <f>SUM(W63-P63)</f>
        <v>0.32761816497077234</v>
      </c>
    </row>
    <row r="64" spans="1:25" ht="48.75" thickBot="1" x14ac:dyDescent="0.3">
      <c r="A64" s="90" t="str">
        <f>CONCATENATE('3 pr-2'!A152)</f>
        <v>2.1.3.1.4</v>
      </c>
      <c r="B64" s="90" t="str">
        <f>CONCATENATE('3 pr-2'!B152)</f>
        <v>R01-4407-270000-2314</v>
      </c>
      <c r="C64" s="90" t="s">
        <v>315</v>
      </c>
      <c r="D64" s="90" t="s">
        <v>236</v>
      </c>
      <c r="E64" s="90" t="s">
        <v>106</v>
      </c>
      <c r="F64" s="90" t="s">
        <v>1469</v>
      </c>
      <c r="G64" s="248" t="s">
        <v>154</v>
      </c>
      <c r="H64" s="15" t="s">
        <v>119</v>
      </c>
      <c r="I64" s="15" t="s">
        <v>66</v>
      </c>
      <c r="J64" s="17" t="s">
        <v>66</v>
      </c>
      <c r="K64" s="1226">
        <f t="shared" ref="K64" si="28">SUM(L64:P64)</f>
        <v>151437</v>
      </c>
      <c r="L64" s="1226">
        <v>22716</v>
      </c>
      <c r="M64" s="1226">
        <v>0</v>
      </c>
      <c r="N64" s="1226">
        <v>0</v>
      </c>
      <c r="O64" s="1226">
        <v>0</v>
      </c>
      <c r="P64" s="1226">
        <v>128721</v>
      </c>
      <c r="Q64" s="1226"/>
      <c r="R64" s="487">
        <v>42618</v>
      </c>
      <c r="S64" s="357">
        <v>42669</v>
      </c>
      <c r="T64" s="357">
        <v>42735</v>
      </c>
      <c r="U64" s="357">
        <v>42855</v>
      </c>
      <c r="V64" s="495">
        <f>SUM('IV-1 su proj'!CH151)</f>
        <v>43738</v>
      </c>
      <c r="W64" s="34"/>
      <c r="X64" s="34"/>
      <c r="Y64" s="34"/>
    </row>
    <row r="65" spans="1:25" ht="32.25" customHeight="1" thickBot="1" x14ac:dyDescent="0.3">
      <c r="A65" s="327" t="s">
        <v>37</v>
      </c>
      <c r="B65" s="710"/>
      <c r="C65" s="1885" t="s">
        <v>633</v>
      </c>
      <c r="D65" s="1894"/>
      <c r="E65" s="1894"/>
      <c r="F65" s="1894"/>
      <c r="G65" s="1894"/>
      <c r="H65" s="1894"/>
      <c r="I65" s="1894"/>
      <c r="J65" s="1895"/>
      <c r="K65" s="1222">
        <f>SUM(K66)</f>
        <v>727472.94</v>
      </c>
      <c r="L65" s="1222">
        <f>SUM(L66)</f>
        <v>109120.95</v>
      </c>
      <c r="M65" s="1221">
        <f t="shared" ref="M65:O65" si="29">SUM(M66)</f>
        <v>0</v>
      </c>
      <c r="N65" s="1221">
        <f t="shared" si="29"/>
        <v>0</v>
      </c>
      <c r="O65" s="1221">
        <f t="shared" si="29"/>
        <v>0</v>
      </c>
      <c r="P65" s="1221">
        <f>SUM(P66)</f>
        <v>618351.99</v>
      </c>
      <c r="Q65" s="1221"/>
      <c r="R65" s="91"/>
      <c r="S65" s="329"/>
      <c r="T65" s="329"/>
      <c r="U65" s="329"/>
      <c r="V65" s="329"/>
      <c r="W65" s="37">
        <v>618352</v>
      </c>
      <c r="X65" s="37">
        <f>SUM(W65*120/100)</f>
        <v>742022.4</v>
      </c>
      <c r="Y65" s="37">
        <f>SUM(W65-P65)</f>
        <v>1.0000000009313226E-2</v>
      </c>
    </row>
    <row r="66" spans="1:25" ht="48.75" customHeight="1" thickBot="1" x14ac:dyDescent="0.3">
      <c r="A66" s="90" t="str">
        <f>CONCATENATE('3 pr-2'!A158)</f>
        <v>2.1.3.2.4</v>
      </c>
      <c r="B66" s="90" t="str">
        <f>CONCATENATE('3 pr-2'!B158)</f>
        <v>R01-4408-260000-2324</v>
      </c>
      <c r="C66" s="90" t="s">
        <v>238</v>
      </c>
      <c r="D66" s="90" t="s">
        <v>236</v>
      </c>
      <c r="E66" s="90" t="s">
        <v>106</v>
      </c>
      <c r="F66" s="90" t="s">
        <v>1469</v>
      </c>
      <c r="G66" s="248" t="s">
        <v>155</v>
      </c>
      <c r="H66" s="15" t="s">
        <v>119</v>
      </c>
      <c r="I66" s="15" t="s">
        <v>66</v>
      </c>
      <c r="J66" s="17" t="s">
        <v>66</v>
      </c>
      <c r="K66" s="1243">
        <f t="shared" ref="K66" si="30">SUM(L66:P66)</f>
        <v>727472.94</v>
      </c>
      <c r="L66" s="1243">
        <v>109120.95</v>
      </c>
      <c r="M66" s="1226">
        <v>0</v>
      </c>
      <c r="N66" s="1226">
        <v>0</v>
      </c>
      <c r="O66" s="1226">
        <v>0</v>
      </c>
      <c r="P66" s="1243">
        <v>618351.99</v>
      </c>
      <c r="Q66" s="1243"/>
      <c r="R66" s="487">
        <v>42401</v>
      </c>
      <c r="S66" s="357">
        <v>42490</v>
      </c>
      <c r="T66" s="357">
        <v>42674</v>
      </c>
      <c r="U66" s="357">
        <v>42735</v>
      </c>
      <c r="V66" s="967">
        <v>43585</v>
      </c>
      <c r="W66" s="34"/>
      <c r="X66" s="34"/>
      <c r="Y66" s="34"/>
    </row>
    <row r="67" spans="1:25" ht="53.25" customHeight="1" thickBot="1" x14ac:dyDescent="0.3">
      <c r="A67" s="151" t="s">
        <v>38</v>
      </c>
      <c r="B67" s="714"/>
      <c r="C67" s="1887" t="s">
        <v>634</v>
      </c>
      <c r="D67" s="1900"/>
      <c r="E67" s="1900"/>
      <c r="F67" s="1900"/>
      <c r="G67" s="1900"/>
      <c r="H67" s="1900"/>
      <c r="I67" s="1900"/>
      <c r="J67" s="1901"/>
      <c r="K67" s="1228">
        <f t="shared" ref="K67:P68" si="31">SUM(K68)</f>
        <v>161741.96</v>
      </c>
      <c r="L67" s="1228">
        <f t="shared" si="31"/>
        <v>24392.16</v>
      </c>
      <c r="M67" s="1228">
        <f t="shared" si="31"/>
        <v>0</v>
      </c>
      <c r="N67" s="1228">
        <f t="shared" si="31"/>
        <v>0</v>
      </c>
      <c r="O67" s="1228">
        <f t="shared" si="31"/>
        <v>0</v>
      </c>
      <c r="P67" s="1228">
        <f t="shared" si="31"/>
        <v>137349.79999999999</v>
      </c>
      <c r="Q67" s="1228"/>
      <c r="R67" s="132"/>
      <c r="S67" s="133"/>
      <c r="T67" s="133"/>
      <c r="U67" s="133"/>
      <c r="V67" s="168"/>
      <c r="W67" s="36">
        <f>SUM(W68)</f>
        <v>137349.52468118331</v>
      </c>
      <c r="X67" s="36">
        <f>SUM(X68)</f>
        <v>164819.42961741996</v>
      </c>
      <c r="Y67" s="36">
        <f>SUM(Y68)</f>
        <v>-0.27531881668255664</v>
      </c>
    </row>
    <row r="68" spans="1:25" ht="39" customHeight="1" thickBot="1" x14ac:dyDescent="0.3">
      <c r="A68" s="327" t="s">
        <v>109</v>
      </c>
      <c r="B68" s="710"/>
      <c r="C68" s="1885" t="s">
        <v>635</v>
      </c>
      <c r="D68" s="1894"/>
      <c r="E68" s="1894"/>
      <c r="F68" s="1894"/>
      <c r="G68" s="1894"/>
      <c r="H68" s="1894"/>
      <c r="I68" s="1894"/>
      <c r="J68" s="1895"/>
      <c r="K68" s="1215">
        <f>SUM(K69)</f>
        <v>161741.96</v>
      </c>
      <c r="L68" s="1215">
        <f>SUM(L69)</f>
        <v>24392.16</v>
      </c>
      <c r="M68" s="1215">
        <f t="shared" si="31"/>
        <v>0</v>
      </c>
      <c r="N68" s="1215">
        <f t="shared" si="31"/>
        <v>0</v>
      </c>
      <c r="O68" s="1215">
        <f t="shared" si="31"/>
        <v>0</v>
      </c>
      <c r="P68" s="1215">
        <f>SUM(P69)</f>
        <v>137349.79999999999</v>
      </c>
      <c r="Q68" s="1215"/>
      <c r="R68" s="91"/>
      <c r="S68" s="329"/>
      <c r="T68" s="329"/>
      <c r="U68" s="329"/>
      <c r="V68" s="329"/>
      <c r="W68" s="37">
        <v>137349.52468118331</v>
      </c>
      <c r="X68" s="37">
        <f>SUM(W68*120/100)</f>
        <v>164819.42961741996</v>
      </c>
      <c r="Y68" s="37">
        <f>SUM(W68-P68)</f>
        <v>-0.27531881668255664</v>
      </c>
    </row>
    <row r="69" spans="1:25" ht="48.75" thickBot="1" x14ac:dyDescent="0.3">
      <c r="A69" s="90" t="str">
        <f>CONCATENATE('3 pr-2'!A166)</f>
        <v>2.1.4.1.5</v>
      </c>
      <c r="B69" s="90" t="str">
        <f>CONCATENATE('3 pr-2'!B166)</f>
        <v>R01-9920-490000-2415</v>
      </c>
      <c r="C69" s="90" t="s">
        <v>240</v>
      </c>
      <c r="D69" s="90" t="s">
        <v>236</v>
      </c>
      <c r="E69" s="90" t="s">
        <v>75</v>
      </c>
      <c r="F69" s="90" t="s">
        <v>1469</v>
      </c>
      <c r="G69" s="248" t="s">
        <v>1138</v>
      </c>
      <c r="H69" s="15" t="s">
        <v>119</v>
      </c>
      <c r="I69" s="15" t="s">
        <v>66</v>
      </c>
      <c r="J69" s="17" t="s">
        <v>66</v>
      </c>
      <c r="K69" s="1209">
        <f t="shared" ref="K69" si="32">SUM(L69:P69)</f>
        <v>161741.96</v>
      </c>
      <c r="L69" s="1209">
        <v>24392.16</v>
      </c>
      <c r="M69" s="718">
        <v>0</v>
      </c>
      <c r="N69" s="718">
        <v>0</v>
      </c>
      <c r="O69" s="718">
        <v>0</v>
      </c>
      <c r="P69" s="1209">
        <v>137349.79999999999</v>
      </c>
      <c r="Q69" s="1209"/>
      <c r="R69" s="487">
        <v>43017</v>
      </c>
      <c r="S69" s="357">
        <v>42992</v>
      </c>
      <c r="T69" s="357">
        <v>43146</v>
      </c>
      <c r="U69" s="357">
        <v>43235</v>
      </c>
      <c r="V69" s="357">
        <v>44103.5</v>
      </c>
      <c r="W69" s="34"/>
      <c r="X69" s="34"/>
      <c r="Y69" s="34"/>
    </row>
    <row r="70" spans="1:25" ht="43.5" customHeight="1" thickBot="1" x14ac:dyDescent="0.3">
      <c r="A70" s="158" t="s">
        <v>40</v>
      </c>
      <c r="B70" s="715"/>
      <c r="C70" s="1897" t="s">
        <v>1408</v>
      </c>
      <c r="D70" s="1898"/>
      <c r="E70" s="1898"/>
      <c r="F70" s="1898"/>
      <c r="G70" s="1898"/>
      <c r="H70" s="1898"/>
      <c r="I70" s="1898"/>
      <c r="J70" s="1899"/>
      <c r="K70" s="153">
        <f t="shared" ref="K70:P70" si="33">SUM(K71+K74)</f>
        <v>760953.50294117653</v>
      </c>
      <c r="L70" s="153">
        <f t="shared" si="33"/>
        <v>140167.13958477142</v>
      </c>
      <c r="M70" s="153">
        <f t="shared" si="33"/>
        <v>0</v>
      </c>
      <c r="N70" s="153">
        <f t="shared" si="33"/>
        <v>0</v>
      </c>
      <c r="O70" s="153">
        <f t="shared" si="33"/>
        <v>0</v>
      </c>
      <c r="P70" s="153">
        <f t="shared" si="33"/>
        <v>646810.48</v>
      </c>
      <c r="Q70" s="153"/>
      <c r="R70" s="153"/>
      <c r="S70" s="159"/>
      <c r="T70" s="159"/>
      <c r="U70" s="159"/>
      <c r="V70" s="167"/>
      <c r="W70" s="35">
        <f>SUM(W71+W74)</f>
        <v>646810.48</v>
      </c>
      <c r="X70" s="35">
        <f>SUM(X71+X74)</f>
        <v>776172.57599999988</v>
      </c>
      <c r="Y70" s="35">
        <f>SUM(Y71+Y74)</f>
        <v>0</v>
      </c>
    </row>
    <row r="71" spans="1:25" ht="35.25" customHeight="1" thickBot="1" x14ac:dyDescent="0.3">
      <c r="A71" s="151" t="s">
        <v>41</v>
      </c>
      <c r="B71" s="714"/>
      <c r="C71" s="1887" t="s">
        <v>1409</v>
      </c>
      <c r="D71" s="1900"/>
      <c r="E71" s="1900"/>
      <c r="F71" s="1900"/>
      <c r="G71" s="1900"/>
      <c r="H71" s="1900"/>
      <c r="I71" s="1900"/>
      <c r="J71" s="1901"/>
      <c r="K71" s="132">
        <f t="shared" ref="K71:P71" si="34">SUM(K72)</f>
        <v>551275.85882352944</v>
      </c>
      <c r="L71" s="132">
        <f t="shared" si="34"/>
        <v>108715.49546712435</v>
      </c>
      <c r="M71" s="132">
        <f t="shared" si="34"/>
        <v>0</v>
      </c>
      <c r="N71" s="132">
        <f t="shared" si="34"/>
        <v>0</v>
      </c>
      <c r="O71" s="132">
        <f t="shared" si="34"/>
        <v>0</v>
      </c>
      <c r="P71" s="132">
        <f t="shared" si="34"/>
        <v>468584.48</v>
      </c>
      <c r="Q71" s="132"/>
      <c r="R71" s="132"/>
      <c r="S71" s="133"/>
      <c r="T71" s="133"/>
      <c r="U71" s="133"/>
      <c r="V71" s="168"/>
      <c r="W71" s="36">
        <f>SUM(W72)</f>
        <v>468584.48</v>
      </c>
      <c r="X71" s="36">
        <f>SUM(X72)</f>
        <v>562301.37599999993</v>
      </c>
      <c r="Y71" s="36">
        <f>SUM(Y72)</f>
        <v>0</v>
      </c>
    </row>
    <row r="72" spans="1:25" ht="34.5" customHeight="1" thickBot="1" x14ac:dyDescent="0.3">
      <c r="A72" s="327" t="s">
        <v>42</v>
      </c>
      <c r="B72" s="710"/>
      <c r="C72" s="1885" t="s">
        <v>606</v>
      </c>
      <c r="D72" s="1894"/>
      <c r="E72" s="1894"/>
      <c r="F72" s="1894"/>
      <c r="G72" s="1894"/>
      <c r="H72" s="1894"/>
      <c r="I72" s="1894"/>
      <c r="J72" s="1895"/>
      <c r="K72" s="329">
        <f t="shared" ref="K72:P72" si="35">SUM(K73:K73)</f>
        <v>551275.85882352944</v>
      </c>
      <c r="L72" s="329">
        <f t="shared" si="35"/>
        <v>108715.49546712435</v>
      </c>
      <c r="M72" s="329">
        <f t="shared" si="35"/>
        <v>0</v>
      </c>
      <c r="N72" s="329">
        <f t="shared" si="35"/>
        <v>0</v>
      </c>
      <c r="O72" s="329">
        <f t="shared" si="35"/>
        <v>0</v>
      </c>
      <c r="P72" s="329">
        <f t="shared" si="35"/>
        <v>468584.48</v>
      </c>
      <c r="Q72" s="329"/>
      <c r="R72" s="91"/>
      <c r="S72" s="329"/>
      <c r="T72" s="329"/>
      <c r="U72" s="329"/>
      <c r="V72" s="329"/>
      <c r="W72" s="37">
        <v>468584.48</v>
      </c>
      <c r="X72" s="37">
        <f>SUM(W72*120/100)</f>
        <v>562301.37599999993</v>
      </c>
      <c r="Y72" s="37">
        <f>SUM(W72-P72)</f>
        <v>0</v>
      </c>
    </row>
    <row r="73" spans="1:25" s="56" customFormat="1" ht="48.75" thickBot="1" x14ac:dyDescent="0.3">
      <c r="A73" s="125" t="s">
        <v>112</v>
      </c>
      <c r="B73" s="90" t="str">
        <f>CONCATENATE('3 pr-2'!B171)</f>
        <v>R01-0008-050000-3111</v>
      </c>
      <c r="C73" s="125" t="s">
        <v>310</v>
      </c>
      <c r="D73" s="125" t="s">
        <v>190</v>
      </c>
      <c r="E73" s="125" t="s">
        <v>77</v>
      </c>
      <c r="F73" s="125" t="s">
        <v>185</v>
      </c>
      <c r="G73" s="352" t="s">
        <v>191</v>
      </c>
      <c r="H73" s="376" t="s">
        <v>119</v>
      </c>
      <c r="I73" s="376" t="s">
        <v>66</v>
      </c>
      <c r="J73" s="306" t="s">
        <v>66</v>
      </c>
      <c r="K73" s="306">
        <v>551275.85882352944</v>
      </c>
      <c r="L73" s="306">
        <v>108715.49546712435</v>
      </c>
      <c r="M73" s="306">
        <v>0</v>
      </c>
      <c r="N73" s="306">
        <v>0</v>
      </c>
      <c r="O73" s="306">
        <v>0</v>
      </c>
      <c r="P73" s="306">
        <v>468584.48</v>
      </c>
      <c r="Q73" s="306"/>
      <c r="R73" s="306"/>
      <c r="S73" s="719">
        <v>42766</v>
      </c>
      <c r="T73" s="719">
        <v>42916</v>
      </c>
      <c r="U73" s="719">
        <v>43008</v>
      </c>
      <c r="V73" s="357">
        <v>43830</v>
      </c>
      <c r="W73" s="55"/>
      <c r="X73" s="55"/>
      <c r="Y73" s="55"/>
    </row>
    <row r="74" spans="1:25" ht="37.5" customHeight="1" thickBot="1" x14ac:dyDescent="0.3">
      <c r="A74" s="151" t="s">
        <v>43</v>
      </c>
      <c r="B74" s="714"/>
      <c r="C74" s="1877" t="s">
        <v>609</v>
      </c>
      <c r="D74" s="1878"/>
      <c r="E74" s="1878"/>
      <c r="F74" s="1878"/>
      <c r="G74" s="1878"/>
      <c r="H74" s="1878"/>
      <c r="I74" s="1878"/>
      <c r="J74" s="1879"/>
      <c r="K74" s="154">
        <f>SUM(K75)</f>
        <v>209677.64411764705</v>
      </c>
      <c r="L74" s="154">
        <f t="shared" ref="L74:P74" si="36">SUM(L75)</f>
        <v>31451.644117647058</v>
      </c>
      <c r="M74" s="154">
        <f t="shared" si="36"/>
        <v>0</v>
      </c>
      <c r="N74" s="154">
        <f t="shared" si="36"/>
        <v>0</v>
      </c>
      <c r="O74" s="154">
        <f t="shared" si="36"/>
        <v>0</v>
      </c>
      <c r="P74" s="154">
        <f t="shared" si="36"/>
        <v>178226</v>
      </c>
      <c r="Q74" s="154"/>
      <c r="R74" s="154"/>
      <c r="S74" s="370"/>
      <c r="T74" s="371"/>
      <c r="U74" s="371"/>
      <c r="V74" s="372"/>
      <c r="W74" s="36">
        <f>SUM(W75)</f>
        <v>178226</v>
      </c>
      <c r="X74" s="36">
        <f>SUM(X75)</f>
        <v>213871.2</v>
      </c>
      <c r="Y74" s="36">
        <f>SUM(Y75)</f>
        <v>0</v>
      </c>
    </row>
    <row r="75" spans="1:25" ht="32.25" customHeight="1" thickBot="1" x14ac:dyDescent="0.3">
      <c r="A75" s="327" t="s">
        <v>113</v>
      </c>
      <c r="B75" s="710"/>
      <c r="C75" s="1890" t="s">
        <v>1191</v>
      </c>
      <c r="D75" s="1894"/>
      <c r="E75" s="1894"/>
      <c r="F75" s="1894"/>
      <c r="G75" s="1894"/>
      <c r="H75" s="1894"/>
      <c r="I75" s="1894"/>
      <c r="J75" s="1895"/>
      <c r="K75" s="329">
        <f t="shared" ref="K75:O75" si="37">SUM(K76:K77)</f>
        <v>209677.64411764705</v>
      </c>
      <c r="L75" s="329">
        <f t="shared" si="37"/>
        <v>31451.644117647058</v>
      </c>
      <c r="M75" s="329">
        <f t="shared" si="37"/>
        <v>0</v>
      </c>
      <c r="N75" s="329">
        <f t="shared" si="37"/>
        <v>0</v>
      </c>
      <c r="O75" s="329">
        <f t="shared" si="37"/>
        <v>0</v>
      </c>
      <c r="P75" s="329">
        <f>SUM(P76:P77)</f>
        <v>178226</v>
      </c>
      <c r="Q75" s="329"/>
      <c r="R75" s="91"/>
      <c r="S75" s="329"/>
      <c r="T75" s="329"/>
      <c r="U75" s="329"/>
      <c r="V75" s="329"/>
      <c r="W75" s="37">
        <v>178226</v>
      </c>
      <c r="X75" s="37">
        <f>SUM(W75*120/100)</f>
        <v>213871.2</v>
      </c>
      <c r="Y75" s="37">
        <f>SUM(W75-P75)</f>
        <v>0</v>
      </c>
    </row>
    <row r="76" spans="1:25" ht="48.75" thickBot="1" x14ac:dyDescent="0.3">
      <c r="A76" s="90" t="str">
        <f>CONCATENATE('3 pr-2'!A178)</f>
        <v>3.1.2.1.5</v>
      </c>
      <c r="B76" s="90" t="str">
        <f>CONCATENATE('3 pr-2'!B178)</f>
        <v>R01-0019-380000-3215</v>
      </c>
      <c r="C76" s="90" t="s">
        <v>383</v>
      </c>
      <c r="D76" s="90" t="s">
        <v>236</v>
      </c>
      <c r="E76" s="90" t="s">
        <v>77</v>
      </c>
      <c r="F76" s="90" t="s">
        <v>1469</v>
      </c>
      <c r="G76" s="248" t="s">
        <v>193</v>
      </c>
      <c r="H76" s="15" t="s">
        <v>119</v>
      </c>
      <c r="I76" s="15" t="s">
        <v>66</v>
      </c>
      <c r="J76" s="17" t="s">
        <v>66</v>
      </c>
      <c r="K76" s="718">
        <f t="shared" ref="K76" si="38">SUM(L76:P76)</f>
        <v>121153.55</v>
      </c>
      <c r="L76" s="718">
        <v>18173.03</v>
      </c>
      <c r="M76" s="718">
        <v>0</v>
      </c>
      <c r="N76" s="718">
        <v>0</v>
      </c>
      <c r="O76" s="718">
        <v>0</v>
      </c>
      <c r="P76" s="718">
        <v>102980.52</v>
      </c>
      <c r="Q76" s="718"/>
      <c r="R76" s="487">
        <v>42598</v>
      </c>
      <c r="S76" s="357">
        <v>42704</v>
      </c>
      <c r="T76" s="542">
        <v>42887</v>
      </c>
      <c r="U76" s="357">
        <v>42978</v>
      </c>
      <c r="V76" s="357">
        <v>43465</v>
      </c>
      <c r="W76" s="34"/>
      <c r="X76" s="34"/>
      <c r="Y76" s="34"/>
    </row>
    <row r="77" spans="1:25" ht="48.75" thickBot="1" x14ac:dyDescent="0.3">
      <c r="A77" s="90" t="str">
        <f>CONCATENATE('3 pr-2'!A182)</f>
        <v>3.1.2.1.9</v>
      </c>
      <c r="B77" s="90" t="str">
        <f>CONCATENATE('3 pr-2'!B182)</f>
        <v>R01-0019-380000-3219</v>
      </c>
      <c r="C77" s="90" t="s">
        <v>1466</v>
      </c>
      <c r="D77" s="90" t="s">
        <v>236</v>
      </c>
      <c r="E77" s="90" t="s">
        <v>77</v>
      </c>
      <c r="F77" s="90" t="s">
        <v>1469</v>
      </c>
      <c r="G77" s="248" t="s">
        <v>193</v>
      </c>
      <c r="H77" s="15" t="s">
        <v>119</v>
      </c>
      <c r="I77" s="15" t="s">
        <v>66</v>
      </c>
      <c r="J77" s="17" t="s">
        <v>66</v>
      </c>
      <c r="K77" s="718">
        <f t="shared" ref="K77" si="39">SUM(L77:P77)</f>
        <v>88524.094117647051</v>
      </c>
      <c r="L77" s="718">
        <v>13278.614117647059</v>
      </c>
      <c r="M77" s="718">
        <v>0</v>
      </c>
      <c r="N77" s="718">
        <v>0</v>
      </c>
      <c r="O77" s="718">
        <v>0</v>
      </c>
      <c r="P77" s="718">
        <v>75245.48</v>
      </c>
      <c r="Q77" s="718"/>
      <c r="R77" s="487">
        <v>42598</v>
      </c>
      <c r="S77" s="357">
        <v>43373</v>
      </c>
      <c r="T77" s="357">
        <v>43554</v>
      </c>
      <c r="U77" s="357">
        <v>43647</v>
      </c>
      <c r="V77" s="357">
        <v>44196</v>
      </c>
      <c r="W77" s="34"/>
      <c r="X77" s="34"/>
      <c r="Y77" s="34"/>
    </row>
    <row r="78" spans="1:25" ht="15.75" thickBot="1" x14ac:dyDescent="0.3">
      <c r="A78" s="59"/>
      <c r="B78" s="60"/>
      <c r="C78" s="60"/>
      <c r="D78" s="60"/>
      <c r="E78" s="60"/>
      <c r="F78" s="60"/>
      <c r="G78" s="61"/>
      <c r="H78" s="67"/>
      <c r="I78" s="67"/>
      <c r="J78" s="67"/>
      <c r="K78" s="50">
        <f t="shared" ref="K78:P78" si="40">SUM(K5+K44+K70)</f>
        <v>14307133.854705883</v>
      </c>
      <c r="L78" s="50">
        <f t="shared" si="40"/>
        <v>2250766.6613494772</v>
      </c>
      <c r="M78" s="50">
        <f t="shared" si="40"/>
        <v>244069.97999999998</v>
      </c>
      <c r="N78" s="50">
        <f t="shared" si="40"/>
        <v>2734095</v>
      </c>
      <c r="O78" s="50">
        <f t="shared" si="40"/>
        <v>511.2</v>
      </c>
      <c r="P78" s="50">
        <f t="shared" si="40"/>
        <v>9103715.129999999</v>
      </c>
      <c r="Q78" s="364"/>
      <c r="R78" s="364"/>
      <c r="S78" s="60"/>
      <c r="T78" s="60"/>
      <c r="U78" s="60"/>
      <c r="V78" s="62"/>
      <c r="W78" s="51">
        <f>SUM(W5+W44+W70)</f>
        <v>8731906.7498865593</v>
      </c>
      <c r="X78" s="51">
        <f>SUM(X5+X44+X70)</f>
        <v>10478288.099863872</v>
      </c>
      <c r="Y78" s="51">
        <f>SUM(Y5+Y44+Y70)</f>
        <v>-351564.78011343942</v>
      </c>
    </row>
    <row r="79" spans="1:25" ht="15.75" thickTop="1" x14ac:dyDescent="0.25"/>
    <row r="82" spans="13:23" x14ac:dyDescent="0.25">
      <c r="M82" s="69"/>
      <c r="V82" s="63"/>
      <c r="W82" s="63">
        <f>SUM(W75-P75)</f>
        <v>0</v>
      </c>
    </row>
  </sheetData>
  <mergeCells count="41">
    <mergeCell ref="Y2:Y3"/>
    <mergeCell ref="A2:J2"/>
    <mergeCell ref="K2:P2"/>
    <mergeCell ref="W2:W3"/>
    <mergeCell ref="X2:X3"/>
    <mergeCell ref="R2:V2"/>
    <mergeCell ref="C5:J5"/>
    <mergeCell ref="C6:J6"/>
    <mergeCell ref="C7:J7"/>
    <mergeCell ref="C12:J12"/>
    <mergeCell ref="C15:J15"/>
    <mergeCell ref="C17:J17"/>
    <mergeCell ref="C19:J19"/>
    <mergeCell ref="C21:J21"/>
    <mergeCell ref="C23:J23"/>
    <mergeCell ref="C27:J27"/>
    <mergeCell ref="C29:J29"/>
    <mergeCell ref="C32:J32"/>
    <mergeCell ref="C34:J34"/>
    <mergeCell ref="C39:J39"/>
    <mergeCell ref="C41:J41"/>
    <mergeCell ref="C72:J72"/>
    <mergeCell ref="C75:J75"/>
    <mergeCell ref="C71:J71"/>
    <mergeCell ref="C74:J74"/>
    <mergeCell ref="C46:J46"/>
    <mergeCell ref="C48:J48"/>
    <mergeCell ref="C50:J50"/>
    <mergeCell ref="C53:J53"/>
    <mergeCell ref="C58:J58"/>
    <mergeCell ref="C44:J44"/>
    <mergeCell ref="C70:J70"/>
    <mergeCell ref="C31:J31"/>
    <mergeCell ref="C45:J45"/>
    <mergeCell ref="C52:J52"/>
    <mergeCell ref="C62:J62"/>
    <mergeCell ref="C67:J67"/>
    <mergeCell ref="C63:J63"/>
    <mergeCell ref="C65:J65"/>
    <mergeCell ref="C68:J68"/>
    <mergeCell ref="C60:J6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workbookViewId="0">
      <pane ySplit="2955" topLeftCell="A53" activePane="bottomLeft"/>
      <selection sqref="A1:XFD1048576"/>
      <selection pane="bottomLeft" activeCell="Q58" sqref="Q58"/>
    </sheetView>
  </sheetViews>
  <sheetFormatPr defaultColWidth="9.140625" defaultRowHeight="15" x14ac:dyDescent="0.25"/>
  <cols>
    <col min="1" max="1" width="9.140625" style="52"/>
    <col min="2" max="2" width="11.5703125" style="52" customWidth="1"/>
    <col min="3" max="3" width="14.5703125" style="52" hidden="1" customWidth="1"/>
    <col min="4" max="4" width="27.5703125" style="52" customWidth="1"/>
    <col min="5" max="5" width="13.28515625" style="52" customWidth="1"/>
    <col min="6" max="6" width="14.42578125" style="52" bestFit="1" customWidth="1"/>
    <col min="7" max="7" width="11.42578125" style="52" customWidth="1"/>
    <col min="8" max="8" width="18" style="52" customWidth="1"/>
    <col min="9" max="11" width="9.140625" style="52"/>
    <col min="12" max="12" width="16.42578125" style="52" bestFit="1" customWidth="1"/>
    <col min="13" max="13" width="14.28515625" style="52" bestFit="1" customWidth="1"/>
    <col min="14" max="15" width="12.7109375" style="52" bestFit="1" customWidth="1"/>
    <col min="16" max="16" width="9.28515625" style="52" bestFit="1" customWidth="1"/>
    <col min="17" max="17" width="16.42578125" style="52" bestFit="1" customWidth="1"/>
    <col min="18" max="18" width="11" style="52" customWidth="1"/>
    <col min="19" max="19" width="12.7109375" style="52" hidden="1" customWidth="1"/>
    <col min="20" max="21" width="11.85546875" style="52" customWidth="1"/>
    <col min="22" max="22" width="10.42578125" style="52" customWidth="1"/>
    <col min="23" max="23" width="10.85546875" style="52" customWidth="1"/>
    <col min="24" max="24" width="18" style="52" hidden="1" customWidth="1"/>
    <col min="25" max="25" width="30.28515625" style="52" hidden="1" customWidth="1"/>
    <col min="26" max="26" width="16.7109375" style="52" hidden="1" customWidth="1"/>
    <col min="27" max="27" width="10" style="52" bestFit="1" customWidth="1"/>
    <col min="28" max="16384" width="9.140625" style="52"/>
  </cols>
  <sheetData>
    <row r="1" spans="1:26" ht="15.75" thickBot="1" x14ac:dyDescent="0.3">
      <c r="A1" s="26" t="s">
        <v>73</v>
      </c>
      <c r="B1" s="26"/>
      <c r="C1" s="26"/>
    </row>
    <row r="2" spans="1:26" ht="16.5" customHeight="1" thickTop="1" thickBot="1" x14ac:dyDescent="0.3">
      <c r="A2" s="1956" t="s">
        <v>46</v>
      </c>
      <c r="B2" s="1957"/>
      <c r="C2" s="1957"/>
      <c r="D2" s="1957"/>
      <c r="E2" s="1957"/>
      <c r="F2" s="1957"/>
      <c r="G2" s="1957"/>
      <c r="H2" s="1957"/>
      <c r="I2" s="1957"/>
      <c r="J2" s="1957"/>
      <c r="K2" s="1958"/>
      <c r="L2" s="1959" t="s">
        <v>276</v>
      </c>
      <c r="M2" s="1957"/>
      <c r="N2" s="1957"/>
      <c r="O2" s="1957"/>
      <c r="P2" s="1957"/>
      <c r="Q2" s="1958"/>
      <c r="R2" s="1766"/>
      <c r="S2" s="1959" t="s">
        <v>48</v>
      </c>
      <c r="T2" s="1961"/>
      <c r="U2" s="1961"/>
      <c r="V2" s="1961"/>
      <c r="W2" s="1962"/>
      <c r="X2" s="1954" t="s">
        <v>117</v>
      </c>
      <c r="Y2" s="1954" t="s">
        <v>118</v>
      </c>
      <c r="Z2" s="1954" t="s">
        <v>122</v>
      </c>
    </row>
    <row r="3" spans="1:26" ht="84.75" thickBot="1" x14ac:dyDescent="0.3">
      <c r="A3" s="27" t="s">
        <v>7</v>
      </c>
      <c r="B3" s="90" t="str">
        <f>CONCATENATE('3 pr-2'!B4)</f>
        <v xml:space="preserve">Unikalus numeris**** </v>
      </c>
      <c r="C3" s="90" t="str">
        <f>CONCATENATE('3 pr-2'!C4)</f>
        <v>Projekto kodas</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1806</v>
      </c>
      <c r="S3" s="720" t="s">
        <v>1142</v>
      </c>
      <c r="T3" s="28" t="s">
        <v>62</v>
      </c>
      <c r="U3" s="28" t="s">
        <v>63</v>
      </c>
      <c r="V3" s="28" t="s">
        <v>64</v>
      </c>
      <c r="W3" s="30" t="s">
        <v>65</v>
      </c>
      <c r="X3" s="1955"/>
      <c r="Y3" s="1955"/>
      <c r="Z3" s="1955"/>
    </row>
    <row r="4" spans="1:26" ht="15.75" thickBot="1" x14ac:dyDescent="0.3">
      <c r="A4" s="19"/>
      <c r="B4" s="16"/>
      <c r="C4" s="16"/>
      <c r="D4" s="16"/>
      <c r="E4" s="16"/>
      <c r="F4" s="16"/>
      <c r="G4" s="16"/>
      <c r="H4" s="11"/>
      <c r="I4" s="3"/>
      <c r="J4" s="3"/>
      <c r="K4" s="3"/>
      <c r="L4" s="3"/>
      <c r="M4" s="3"/>
      <c r="N4" s="3"/>
      <c r="O4" s="3"/>
      <c r="P4" s="3"/>
      <c r="Q4" s="3"/>
      <c r="R4" s="3"/>
      <c r="S4" s="3"/>
      <c r="T4" s="3"/>
      <c r="U4" s="3"/>
      <c r="V4" s="3"/>
      <c r="W4" s="725"/>
      <c r="X4" s="34"/>
      <c r="Y4" s="34"/>
      <c r="Z4" s="34"/>
    </row>
    <row r="5" spans="1:26" ht="59.25" customHeight="1" thickBot="1" x14ac:dyDescent="0.3">
      <c r="A5" s="158" t="s">
        <v>11</v>
      </c>
      <c r="B5" s="715"/>
      <c r="C5" s="715"/>
      <c r="D5" s="1897" t="s">
        <v>1405</v>
      </c>
      <c r="E5" s="1898"/>
      <c r="F5" s="1898"/>
      <c r="G5" s="1898"/>
      <c r="H5" s="1898"/>
      <c r="I5" s="1898"/>
      <c r="J5" s="1898"/>
      <c r="K5" s="1899"/>
      <c r="L5" s="153">
        <f t="shared" ref="L5:Q5" si="0">SUM(L6+L32)</f>
        <v>4951543.5017647063</v>
      </c>
      <c r="M5" s="153">
        <f t="shared" si="0"/>
        <v>669917.79176470591</v>
      </c>
      <c r="N5" s="153">
        <f t="shared" si="0"/>
        <v>160283.01999999999</v>
      </c>
      <c r="O5" s="153">
        <f t="shared" si="0"/>
        <v>641323.74</v>
      </c>
      <c r="P5" s="153">
        <f t="shared" si="0"/>
        <v>0</v>
      </c>
      <c r="Q5" s="153">
        <f t="shared" si="0"/>
        <v>3480018.95</v>
      </c>
      <c r="R5" s="153"/>
      <c r="S5" s="153"/>
      <c r="T5" s="159" t="s">
        <v>66</v>
      </c>
      <c r="U5" s="159" t="s">
        <v>66</v>
      </c>
      <c r="V5" s="159" t="s">
        <v>66</v>
      </c>
      <c r="W5" s="167"/>
      <c r="X5" s="35">
        <f>SUM(X6+X32)</f>
        <v>3442315.0874999999</v>
      </c>
      <c r="Y5" s="35">
        <f>SUM(Y6+Y32)</f>
        <v>4130778.1050000004</v>
      </c>
      <c r="Z5" s="35">
        <f>SUM(Z6+Z32)</f>
        <v>-37703.862499999988</v>
      </c>
    </row>
    <row r="6" spans="1:26" ht="55.5" customHeight="1" thickBot="1" x14ac:dyDescent="0.3">
      <c r="A6" s="151" t="s">
        <v>12</v>
      </c>
      <c r="B6" s="714"/>
      <c r="C6" s="714"/>
      <c r="D6" s="1887" t="s">
        <v>1406</v>
      </c>
      <c r="E6" s="1900"/>
      <c r="F6" s="1900"/>
      <c r="G6" s="1900"/>
      <c r="H6" s="1900"/>
      <c r="I6" s="1900"/>
      <c r="J6" s="1900"/>
      <c r="K6" s="1901"/>
      <c r="L6" s="132">
        <f t="shared" ref="L6:Q6" si="1">SUM(L7+L14+L16+L18+L20+L22+L24+L28+L30)</f>
        <v>3841130.5017647063</v>
      </c>
      <c r="M6" s="132">
        <f t="shared" si="1"/>
        <v>503355.79176470591</v>
      </c>
      <c r="N6" s="132">
        <f t="shared" si="1"/>
        <v>160283.01999999999</v>
      </c>
      <c r="O6" s="132">
        <f t="shared" si="1"/>
        <v>641323.74</v>
      </c>
      <c r="P6" s="132">
        <f t="shared" si="1"/>
        <v>0</v>
      </c>
      <c r="Q6" s="132">
        <f t="shared" si="1"/>
        <v>2536167.9500000002</v>
      </c>
      <c r="R6" s="132"/>
      <c r="S6" s="132"/>
      <c r="T6" s="133" t="s">
        <v>66</v>
      </c>
      <c r="U6" s="133" t="s">
        <v>66</v>
      </c>
      <c r="V6" s="133" t="s">
        <v>66</v>
      </c>
      <c r="W6" s="168"/>
      <c r="X6" s="36">
        <f>SUM(X7+X14+X16+X18+X20+X22+X24+X28+X30)</f>
        <v>2499572.0874999999</v>
      </c>
      <c r="Y6" s="36">
        <f>SUM(Y7+Y14+Y16+Y18+Y20+Y22+Y24+Y28+Y30)</f>
        <v>2999486.5050000004</v>
      </c>
      <c r="Z6" s="36">
        <f>SUM(Z7+Z14+Z16+Z18+Z20+Z22+Z24+Z28+Z30)</f>
        <v>-36595.862499999988</v>
      </c>
    </row>
    <row r="7" spans="1:26" ht="35.25" customHeight="1" thickBot="1" x14ac:dyDescent="0.3">
      <c r="A7" s="327" t="s">
        <v>67</v>
      </c>
      <c r="B7" s="710"/>
      <c r="C7" s="710"/>
      <c r="D7" s="1885" t="s">
        <v>604</v>
      </c>
      <c r="E7" s="1894"/>
      <c r="F7" s="1894"/>
      <c r="G7" s="1894"/>
      <c r="H7" s="1894"/>
      <c r="I7" s="1894"/>
      <c r="J7" s="1894"/>
      <c r="K7" s="1895"/>
      <c r="L7" s="329">
        <f t="shared" ref="L7:Q7" si="2">SUM(L8:L13)</f>
        <v>1121000</v>
      </c>
      <c r="M7" s="329">
        <f t="shared" si="2"/>
        <v>224200</v>
      </c>
      <c r="N7" s="329">
        <f t="shared" si="2"/>
        <v>134520</v>
      </c>
      <c r="O7" s="329">
        <f t="shared" si="2"/>
        <v>0</v>
      </c>
      <c r="P7" s="329">
        <f t="shared" si="2"/>
        <v>0</v>
      </c>
      <c r="Q7" s="329">
        <f t="shared" si="2"/>
        <v>762280</v>
      </c>
      <c r="R7" s="329"/>
      <c r="S7" s="91"/>
      <c r="T7" s="329" t="s">
        <v>66</v>
      </c>
      <c r="U7" s="329" t="s">
        <v>66</v>
      </c>
      <c r="V7" s="329" t="s">
        <v>66</v>
      </c>
      <c r="W7" s="329"/>
      <c r="X7" s="37">
        <v>731683</v>
      </c>
      <c r="Y7" s="37">
        <f>SUM(X7*120/100)</f>
        <v>878019.6</v>
      </c>
      <c r="Z7" s="37">
        <f>SUM(X7-Q7)</f>
        <v>-30597</v>
      </c>
    </row>
    <row r="8" spans="1:26" ht="36.75" thickBot="1" x14ac:dyDescent="0.3">
      <c r="A8" s="90" t="str">
        <f>CONCATENATE('3 pr-2'!A13)</f>
        <v>1.1.1.1.4</v>
      </c>
      <c r="B8" s="90" t="str">
        <f>CONCATENATE('3 pr-2'!B13)</f>
        <v>R01-ZM72-330200-1104</v>
      </c>
      <c r="C8" s="738" t="str">
        <f>CONCATENATE('3 pr-2'!C13)</f>
        <v>20KI-KA-17-1-02368-PR001</v>
      </c>
      <c r="D8" s="90" t="s">
        <v>421</v>
      </c>
      <c r="E8" s="90" t="s">
        <v>441</v>
      </c>
      <c r="F8" s="90" t="s">
        <v>74</v>
      </c>
      <c r="G8" s="90" t="s">
        <v>1826</v>
      </c>
      <c r="H8" s="90" t="s">
        <v>444</v>
      </c>
      <c r="I8" s="15" t="s">
        <v>119</v>
      </c>
      <c r="J8" s="15" t="s">
        <v>66</v>
      </c>
      <c r="K8" s="15" t="s">
        <v>66</v>
      </c>
      <c r="L8" s="17">
        <f t="shared" ref="L8:L13" si="3">SUM(M8:Q8)</f>
        <v>125000</v>
      </c>
      <c r="M8" s="17">
        <v>25000</v>
      </c>
      <c r="N8" s="17">
        <v>15000</v>
      </c>
      <c r="O8" s="17">
        <v>0</v>
      </c>
      <c r="P8" s="17">
        <v>0</v>
      </c>
      <c r="Q8" s="17">
        <v>85000</v>
      </c>
      <c r="R8" s="17"/>
      <c r="S8" s="487">
        <v>42643</v>
      </c>
      <c r="T8" s="357">
        <v>42855</v>
      </c>
      <c r="U8" s="357">
        <v>43010</v>
      </c>
      <c r="V8" s="726">
        <v>43102</v>
      </c>
      <c r="W8" s="357">
        <v>43373</v>
      </c>
      <c r="X8" s="34"/>
      <c r="Y8" s="34"/>
      <c r="Z8" s="34"/>
    </row>
    <row r="9" spans="1:26" ht="48.75" thickBot="1" x14ac:dyDescent="0.3">
      <c r="A9" s="90" t="str">
        <f>CONCATENATE('3 pr-2'!A15)</f>
        <v>1.1.1.1.6</v>
      </c>
      <c r="B9" s="90" t="str">
        <f>CONCATENATE('3 pr-2'!B15)</f>
        <v>R01-ZM72-330200-1106</v>
      </c>
      <c r="C9" s="738" t="str">
        <f>CONCATENATE('3 pr-2'!C15)</f>
        <v>20KI-KA-17-1-02374-PR001</v>
      </c>
      <c r="D9" s="90" t="s">
        <v>423</v>
      </c>
      <c r="E9" s="90" t="s">
        <v>442</v>
      </c>
      <c r="F9" s="90" t="s">
        <v>74</v>
      </c>
      <c r="G9" s="90" t="s">
        <v>1826</v>
      </c>
      <c r="H9" s="90" t="s">
        <v>444</v>
      </c>
      <c r="I9" s="15" t="s">
        <v>119</v>
      </c>
      <c r="J9" s="15" t="s">
        <v>66</v>
      </c>
      <c r="K9" s="15" t="s">
        <v>66</v>
      </c>
      <c r="L9" s="17">
        <f t="shared" si="3"/>
        <v>201000</v>
      </c>
      <c r="M9" s="17">
        <v>40200</v>
      </c>
      <c r="N9" s="17">
        <v>24120</v>
      </c>
      <c r="O9" s="17">
        <v>0</v>
      </c>
      <c r="P9" s="17">
        <v>0</v>
      </c>
      <c r="Q9" s="17">
        <v>136680</v>
      </c>
      <c r="R9" s="17"/>
      <c r="S9" s="487">
        <v>42643</v>
      </c>
      <c r="T9" s="357">
        <v>42855</v>
      </c>
      <c r="U9" s="357">
        <v>43010</v>
      </c>
      <c r="V9" s="726">
        <v>43102</v>
      </c>
      <c r="W9" s="357">
        <v>43373</v>
      </c>
      <c r="X9" s="34"/>
      <c r="Y9" s="34"/>
      <c r="Z9" s="34"/>
    </row>
    <row r="10" spans="1:26" ht="36.75" thickBot="1" x14ac:dyDescent="0.3">
      <c r="A10" s="90" t="str">
        <f>CONCATENATE('3 pr-2'!A18)</f>
        <v>1.1.1.1.9</v>
      </c>
      <c r="B10" s="90" t="str">
        <f>CONCATENATE('3 pr-2'!B18)</f>
        <v>R01-ZM72-340000-1109</v>
      </c>
      <c r="C10" s="738" t="str">
        <f>CONCATENATE('3 pr-2'!C18)</f>
        <v>20KI-KA-17-1-02372-PR001</v>
      </c>
      <c r="D10" s="90" t="s">
        <v>426</v>
      </c>
      <c r="E10" s="90" t="s">
        <v>443</v>
      </c>
      <c r="F10" s="90" t="s">
        <v>74</v>
      </c>
      <c r="G10" s="90" t="s">
        <v>1826</v>
      </c>
      <c r="H10" s="90" t="s">
        <v>444</v>
      </c>
      <c r="I10" s="15" t="s">
        <v>119</v>
      </c>
      <c r="J10" s="15" t="s">
        <v>66</v>
      </c>
      <c r="K10" s="15" t="s">
        <v>66</v>
      </c>
      <c r="L10" s="17">
        <f t="shared" si="3"/>
        <v>250000</v>
      </c>
      <c r="M10" s="17">
        <v>50000</v>
      </c>
      <c r="N10" s="17">
        <v>30000</v>
      </c>
      <c r="O10" s="17">
        <v>0</v>
      </c>
      <c r="P10" s="17">
        <v>0</v>
      </c>
      <c r="Q10" s="17">
        <v>170000</v>
      </c>
      <c r="R10" s="17"/>
      <c r="S10" s="487">
        <v>42643</v>
      </c>
      <c r="T10" s="357">
        <v>42855</v>
      </c>
      <c r="U10" s="357">
        <v>43010</v>
      </c>
      <c r="V10" s="726">
        <v>43102</v>
      </c>
      <c r="W10" s="357">
        <v>43373</v>
      </c>
      <c r="X10" s="34"/>
      <c r="Y10" s="34"/>
      <c r="Z10" s="41"/>
    </row>
    <row r="11" spans="1:26" ht="36.75" thickBot="1" x14ac:dyDescent="0.3">
      <c r="A11" s="90" t="str">
        <f>CONCATENATE('3 pr-2'!A19)</f>
        <v>1.1.1.1.10</v>
      </c>
      <c r="B11" s="90" t="str">
        <f>CONCATENATE('3 pr-2'!B19)</f>
        <v>R01-ZM72-340200-1110</v>
      </c>
      <c r="C11" s="738" t="str">
        <f>CONCATENATE('3 pr-2'!C19)</f>
        <v>20KI-KA-17-1-02370-PR001</v>
      </c>
      <c r="D11" s="90" t="s">
        <v>427</v>
      </c>
      <c r="E11" s="90" t="s">
        <v>443</v>
      </c>
      <c r="F11" s="90" t="s">
        <v>74</v>
      </c>
      <c r="G11" s="90" t="s">
        <v>1826</v>
      </c>
      <c r="H11" s="90" t="s">
        <v>444</v>
      </c>
      <c r="I11" s="15" t="s">
        <v>119</v>
      </c>
      <c r="J11" s="15" t="s">
        <v>66</v>
      </c>
      <c r="K11" s="15" t="s">
        <v>66</v>
      </c>
      <c r="L11" s="17">
        <f t="shared" si="3"/>
        <v>250000</v>
      </c>
      <c r="M11" s="17">
        <v>50000</v>
      </c>
      <c r="N11" s="17">
        <v>30000</v>
      </c>
      <c r="O11" s="17">
        <v>0</v>
      </c>
      <c r="P11" s="17">
        <v>0</v>
      </c>
      <c r="Q11" s="17">
        <v>170000</v>
      </c>
      <c r="R11" s="17"/>
      <c r="S11" s="487">
        <v>42643</v>
      </c>
      <c r="T11" s="357">
        <v>42855</v>
      </c>
      <c r="U11" s="357">
        <v>43010</v>
      </c>
      <c r="V11" s="726">
        <v>43102</v>
      </c>
      <c r="W11" s="357">
        <v>43291</v>
      </c>
      <c r="X11" s="34"/>
      <c r="Y11" s="34"/>
      <c r="Z11" s="41"/>
    </row>
    <row r="12" spans="1:26" ht="36.75" thickBot="1" x14ac:dyDescent="0.3">
      <c r="A12" s="90" t="str">
        <f>CONCATENATE('3 pr-2'!A20)</f>
        <v>1.1.1.1.11</v>
      </c>
      <c r="B12" s="90" t="str">
        <f>CONCATENATE('3 pr-2'!B20)</f>
        <v>R01-ZM72-320000-1111</v>
      </c>
      <c r="C12" s="738" t="str">
        <f>CONCATENATE('3 pr-2'!C20)</f>
        <v>20KI-KA-17-1-02354-PR001</v>
      </c>
      <c r="D12" s="90" t="s">
        <v>428</v>
      </c>
      <c r="E12" s="90" t="s">
        <v>161</v>
      </c>
      <c r="F12" s="90" t="s">
        <v>74</v>
      </c>
      <c r="G12" s="90" t="s">
        <v>1826</v>
      </c>
      <c r="H12" s="90" t="s">
        <v>444</v>
      </c>
      <c r="I12" s="15" t="s">
        <v>119</v>
      </c>
      <c r="J12" s="15" t="s">
        <v>66</v>
      </c>
      <c r="K12" s="15" t="s">
        <v>66</v>
      </c>
      <c r="L12" s="17">
        <f t="shared" si="3"/>
        <v>125000</v>
      </c>
      <c r="M12" s="17">
        <v>25000</v>
      </c>
      <c r="N12" s="17">
        <v>15000</v>
      </c>
      <c r="O12" s="17">
        <v>0</v>
      </c>
      <c r="P12" s="17">
        <v>0</v>
      </c>
      <c r="Q12" s="17">
        <v>85000</v>
      </c>
      <c r="R12" s="17"/>
      <c r="S12" s="487">
        <v>42643</v>
      </c>
      <c r="T12" s="357">
        <v>42855</v>
      </c>
      <c r="U12" s="357">
        <v>43010</v>
      </c>
      <c r="V12" s="726">
        <v>43102</v>
      </c>
      <c r="W12" s="357">
        <v>43292</v>
      </c>
      <c r="X12" s="34"/>
      <c r="Y12" s="34"/>
      <c r="Z12" s="41"/>
    </row>
    <row r="13" spans="1:26" ht="36.75" thickBot="1" x14ac:dyDescent="0.3">
      <c r="A13" s="90" t="str">
        <f>CONCATENATE('3 pr-2'!A30)</f>
        <v>1.1.1.1.21</v>
      </c>
      <c r="B13" s="90" t="str">
        <f>CONCATENATE('3 pr-2'!B30)</f>
        <v>R01-ZM72-120000-1121</v>
      </c>
      <c r="C13" s="738" t="str">
        <f>CONCATENATE('3 pr-2'!C30)</f>
        <v>20KI-KA-17-1-02364-PR001</v>
      </c>
      <c r="D13" s="90" t="s">
        <v>438</v>
      </c>
      <c r="E13" s="90" t="s">
        <v>161</v>
      </c>
      <c r="F13" s="90" t="s">
        <v>74</v>
      </c>
      <c r="G13" s="90" t="s">
        <v>1826</v>
      </c>
      <c r="H13" s="90" t="s">
        <v>444</v>
      </c>
      <c r="I13" s="15" t="s">
        <v>119</v>
      </c>
      <c r="J13" s="15" t="s">
        <v>66</v>
      </c>
      <c r="K13" s="15" t="s">
        <v>66</v>
      </c>
      <c r="L13" s="17">
        <f t="shared" si="3"/>
        <v>170000</v>
      </c>
      <c r="M13" s="17">
        <v>34000</v>
      </c>
      <c r="N13" s="17">
        <v>20400</v>
      </c>
      <c r="O13" s="17">
        <v>0</v>
      </c>
      <c r="P13" s="17">
        <v>0</v>
      </c>
      <c r="Q13" s="17">
        <v>115600</v>
      </c>
      <c r="R13" s="17"/>
      <c r="S13" s="487">
        <v>42643</v>
      </c>
      <c r="T13" s="357">
        <v>42855</v>
      </c>
      <c r="U13" s="357">
        <v>43010</v>
      </c>
      <c r="V13" s="726">
        <v>43102</v>
      </c>
      <c r="W13" s="357">
        <v>43291</v>
      </c>
      <c r="X13" s="34"/>
      <c r="Y13" s="34"/>
      <c r="Z13" s="41"/>
    </row>
    <row r="14" spans="1:26" ht="33.75" customHeight="1" thickBot="1" x14ac:dyDescent="0.3">
      <c r="A14" s="327" t="s">
        <v>14</v>
      </c>
      <c r="B14" s="710"/>
      <c r="C14" s="710"/>
      <c r="D14" s="1885" t="s">
        <v>605</v>
      </c>
      <c r="E14" s="1894"/>
      <c r="F14" s="1894"/>
      <c r="G14" s="1894"/>
      <c r="H14" s="1894"/>
      <c r="I14" s="1894"/>
      <c r="J14" s="1894"/>
      <c r="K14" s="1895"/>
      <c r="L14" s="329">
        <v>0</v>
      </c>
      <c r="M14" s="329">
        <v>0</v>
      </c>
      <c r="N14" s="329">
        <v>0</v>
      </c>
      <c r="O14" s="329"/>
      <c r="P14" s="329"/>
      <c r="Q14" s="329">
        <f>SUM(Q15:Q15)</f>
        <v>0</v>
      </c>
      <c r="R14" s="329"/>
      <c r="S14" s="91"/>
      <c r="T14" s="329"/>
      <c r="U14" s="329"/>
      <c r="V14" s="329"/>
      <c r="W14" s="329"/>
      <c r="X14" s="381">
        <v>0</v>
      </c>
      <c r="Y14" s="381">
        <f>SUM(X14*120/100)</f>
        <v>0</v>
      </c>
      <c r="Z14" s="381">
        <f>SUM(X14-Q14)</f>
        <v>0</v>
      </c>
    </row>
    <row r="15" spans="1:26" ht="15.75" thickBot="1" x14ac:dyDescent="0.3">
      <c r="A15" s="7"/>
      <c r="B15" s="14"/>
      <c r="C15" s="14"/>
      <c r="D15" s="9"/>
      <c r="E15" s="9"/>
      <c r="F15" s="8"/>
      <c r="G15" s="9"/>
      <c r="H15" s="2"/>
      <c r="I15" s="13"/>
      <c r="J15" s="13" t="s">
        <v>66</v>
      </c>
      <c r="K15" s="13" t="s">
        <v>66</v>
      </c>
      <c r="L15" s="6"/>
      <c r="M15" s="13"/>
      <c r="N15" s="13"/>
      <c r="O15" s="13"/>
      <c r="P15" s="13"/>
      <c r="Q15" s="13"/>
      <c r="R15" s="17"/>
      <c r="S15" s="17"/>
      <c r="T15" s="3"/>
      <c r="U15" s="3"/>
      <c r="V15" s="3"/>
      <c r="W15" s="727"/>
      <c r="X15" s="34"/>
      <c r="Y15" s="34"/>
      <c r="Z15" s="34"/>
    </row>
    <row r="16" spans="1:26" ht="33" customHeight="1" thickBot="1" x14ac:dyDescent="0.3">
      <c r="A16" s="327" t="s">
        <v>70</v>
      </c>
      <c r="B16" s="710"/>
      <c r="C16" s="710"/>
      <c r="D16" s="1885" t="s">
        <v>614</v>
      </c>
      <c r="E16" s="1894"/>
      <c r="F16" s="1894"/>
      <c r="G16" s="1894"/>
      <c r="H16" s="1894"/>
      <c r="I16" s="1894"/>
      <c r="J16" s="1894"/>
      <c r="K16" s="1895"/>
      <c r="L16" s="329">
        <f>SUM(L17:L17)</f>
        <v>0</v>
      </c>
      <c r="M16" s="329">
        <f>SUM(M17:M17)</f>
        <v>0</v>
      </c>
      <c r="N16" s="329">
        <f>SUM(N17:N17)</f>
        <v>0</v>
      </c>
      <c r="O16" s="329"/>
      <c r="P16" s="329"/>
      <c r="Q16" s="329">
        <f>SUM(Q17:Q17)</f>
        <v>0</v>
      </c>
      <c r="R16" s="329"/>
      <c r="S16" s="91"/>
      <c r="T16" s="329"/>
      <c r="U16" s="329"/>
      <c r="V16" s="329"/>
      <c r="W16" s="329"/>
      <c r="X16" s="381">
        <v>0</v>
      </c>
      <c r="Y16" s="381">
        <f>SUM(X16*120/100)</f>
        <v>0</v>
      </c>
      <c r="Z16" s="381">
        <f>SUM(X16-Q16)</f>
        <v>0</v>
      </c>
    </row>
    <row r="17" spans="1:26" ht="15.75" thickBot="1" x14ac:dyDescent="0.3">
      <c r="A17" s="9"/>
      <c r="B17" s="9"/>
      <c r="C17" s="9"/>
      <c r="D17" s="9"/>
      <c r="E17" s="8"/>
      <c r="F17" s="8"/>
      <c r="G17" s="8"/>
      <c r="H17" s="2"/>
      <c r="I17" s="13" t="s">
        <v>66</v>
      </c>
      <c r="J17" s="13"/>
      <c r="K17" s="13" t="s">
        <v>66</v>
      </c>
      <c r="L17" s="13"/>
      <c r="M17" s="13"/>
      <c r="N17" s="13"/>
      <c r="O17" s="13"/>
      <c r="P17" s="13"/>
      <c r="Q17" s="13"/>
      <c r="R17" s="13"/>
      <c r="S17" s="13"/>
      <c r="T17" s="728"/>
      <c r="U17" s="728"/>
      <c r="V17" s="728"/>
      <c r="W17" s="13"/>
      <c r="X17" s="34"/>
      <c r="Y17" s="34"/>
      <c r="Z17" s="34"/>
    </row>
    <row r="18" spans="1:26" ht="33.75" customHeight="1" thickBot="1" x14ac:dyDescent="0.3">
      <c r="A18" s="327" t="s">
        <v>16</v>
      </c>
      <c r="B18" s="710"/>
      <c r="C18" s="710"/>
      <c r="D18" s="1885" t="s">
        <v>615</v>
      </c>
      <c r="E18" s="1894"/>
      <c r="F18" s="1894"/>
      <c r="G18" s="1894"/>
      <c r="H18" s="1894"/>
      <c r="I18" s="1894"/>
      <c r="J18" s="1894"/>
      <c r="K18" s="1895"/>
      <c r="L18" s="1215">
        <f t="shared" ref="L18:Q18" si="4">SUM(L19:L19)</f>
        <v>343507</v>
      </c>
      <c r="M18" s="1215">
        <f t="shared" si="4"/>
        <v>25763.03</v>
      </c>
      <c r="N18" s="1215">
        <f t="shared" si="4"/>
        <v>25763.02</v>
      </c>
      <c r="O18" s="1215">
        <f t="shared" si="4"/>
        <v>0</v>
      </c>
      <c r="P18" s="1215">
        <f t="shared" si="4"/>
        <v>0</v>
      </c>
      <c r="Q18" s="1215">
        <f t="shared" si="4"/>
        <v>291980.95</v>
      </c>
      <c r="R18" s="1215"/>
      <c r="S18" s="91"/>
      <c r="T18" s="329"/>
      <c r="U18" s="329"/>
      <c r="V18" s="329"/>
      <c r="W18" s="329"/>
      <c r="X18" s="37">
        <v>291981.40000000002</v>
      </c>
      <c r="Y18" s="37">
        <f>SUM(X18*120/100)</f>
        <v>350377.68</v>
      </c>
      <c r="Z18" s="37">
        <f>SUM(X18-Q18)</f>
        <v>0.45000000001164153</v>
      </c>
    </row>
    <row r="19" spans="1:26" ht="48.75" thickBot="1" x14ac:dyDescent="0.3">
      <c r="A19" s="90" t="str">
        <f>CONCATENATE('3 pr-2'!A49)</f>
        <v>1.1.1.4.3</v>
      </c>
      <c r="B19" s="90" t="str">
        <f>CONCATENATE('3 pr-2'!B49)</f>
        <v>R01-9903-290000-1143</v>
      </c>
      <c r="C19" s="738" t="str">
        <f>CONCATENATE('3 pr-2'!C49)</f>
        <v>07.1.1-CPVA-R-903-11-0002</v>
      </c>
      <c r="D19" s="90" t="s">
        <v>301</v>
      </c>
      <c r="E19" s="90" t="s">
        <v>161</v>
      </c>
      <c r="F19" s="90" t="s">
        <v>75</v>
      </c>
      <c r="G19" s="90" t="s">
        <v>1826</v>
      </c>
      <c r="H19" s="90" t="s">
        <v>268</v>
      </c>
      <c r="I19" s="15" t="s">
        <v>119</v>
      </c>
      <c r="J19" s="15" t="s">
        <v>167</v>
      </c>
      <c r="K19" s="15" t="s">
        <v>66</v>
      </c>
      <c r="L19" s="718">
        <f>SUM(M19:Q19)</f>
        <v>343507</v>
      </c>
      <c r="M19" s="1771">
        <v>25763.03</v>
      </c>
      <c r="N19" s="718">
        <v>25763.02</v>
      </c>
      <c r="O19" s="718">
        <v>0</v>
      </c>
      <c r="P19" s="718">
        <v>0</v>
      </c>
      <c r="Q19" s="718">
        <v>291980.95</v>
      </c>
      <c r="R19" s="718"/>
      <c r="S19" s="487">
        <v>42419</v>
      </c>
      <c r="T19" s="357">
        <v>42494</v>
      </c>
      <c r="U19" s="357">
        <v>42552</v>
      </c>
      <c r="V19" s="357">
        <v>42674</v>
      </c>
      <c r="W19" s="495">
        <v>43465</v>
      </c>
      <c r="X19" s="34"/>
      <c r="Y19" s="34"/>
      <c r="Z19" s="34"/>
    </row>
    <row r="20" spans="1:26" ht="37.5" customHeight="1" thickBot="1" x14ac:dyDescent="0.3">
      <c r="A20" s="327" t="s">
        <v>76</v>
      </c>
      <c r="B20" s="710"/>
      <c r="C20" s="710"/>
      <c r="D20" s="1885" t="s">
        <v>616</v>
      </c>
      <c r="E20" s="1894"/>
      <c r="F20" s="1894"/>
      <c r="G20" s="1894"/>
      <c r="H20" s="1894"/>
      <c r="I20" s="1894"/>
      <c r="J20" s="1894"/>
      <c r="K20" s="1895"/>
      <c r="L20" s="1215">
        <f>SUM(L21:L21)</f>
        <v>1437425.74</v>
      </c>
      <c r="M20" s="1215">
        <f>SUM(M21:M21)</f>
        <v>0</v>
      </c>
      <c r="N20" s="1215"/>
      <c r="O20" s="1215">
        <f>SUM(O21:O21)</f>
        <v>641323.74</v>
      </c>
      <c r="P20" s="1215">
        <f>SUM(P21:P21)</f>
        <v>0</v>
      </c>
      <c r="Q20" s="1215">
        <f>SUM(Q21:Q21)</f>
        <v>796102</v>
      </c>
      <c r="R20" s="1215"/>
      <c r="S20" s="91"/>
      <c r="T20" s="329"/>
      <c r="U20" s="329"/>
      <c r="V20" s="329"/>
      <c r="W20" s="329"/>
      <c r="X20" s="37">
        <v>790102</v>
      </c>
      <c r="Y20" s="37">
        <f>SUM(X20*120/100)</f>
        <v>948122.4</v>
      </c>
      <c r="Z20" s="37">
        <f>SUM(X20-Q20)</f>
        <v>-6000</v>
      </c>
    </row>
    <row r="21" spans="1:26" s="56" customFormat="1" ht="60.75" customHeight="1" thickBot="1" x14ac:dyDescent="0.3">
      <c r="A21" s="125" t="str">
        <f>CONCATENATE('3 pr-2'!A53)</f>
        <v>1.1.1.5.3</v>
      </c>
      <c r="B21" s="125" t="str">
        <f>CONCATENATE('3 pr-2'!B53)</f>
        <v>R01-0014-070650-1153</v>
      </c>
      <c r="C21" s="738" t="str">
        <f>CONCATENATE('3 pr-2'!C53)</f>
        <v>05.3.2-APVA-R-014-11-0004</v>
      </c>
      <c r="D21" s="125" t="s">
        <v>280</v>
      </c>
      <c r="E21" s="125" t="s">
        <v>298</v>
      </c>
      <c r="F21" s="125" t="s">
        <v>77</v>
      </c>
      <c r="G21" s="125" t="s">
        <v>1826</v>
      </c>
      <c r="H21" s="125" t="s">
        <v>144</v>
      </c>
      <c r="I21" s="376" t="s">
        <v>119</v>
      </c>
      <c r="J21" s="376" t="s">
        <v>66</v>
      </c>
      <c r="K21" s="376" t="s">
        <v>66</v>
      </c>
      <c r="L21" s="1210">
        <f>SUM(M21:Q21)</f>
        <v>1437425.74</v>
      </c>
      <c r="M21" s="1210">
        <v>0</v>
      </c>
      <c r="N21" s="1210">
        <v>0</v>
      </c>
      <c r="O21" s="1210">
        <v>641323.74</v>
      </c>
      <c r="P21" s="1210">
        <v>0</v>
      </c>
      <c r="Q21" s="1210">
        <v>796102</v>
      </c>
      <c r="R21" s="1210"/>
      <c r="S21" s="719">
        <v>42451</v>
      </c>
      <c r="T21" s="719">
        <v>42551</v>
      </c>
      <c r="U21" s="719">
        <v>42734</v>
      </c>
      <c r="V21" s="719">
        <v>42825</v>
      </c>
      <c r="W21" s="719">
        <v>43646</v>
      </c>
      <c r="X21" s="55"/>
      <c r="Y21" s="55"/>
      <c r="Z21" s="55"/>
    </row>
    <row r="22" spans="1:26" ht="24.75" customHeight="1" thickBot="1" x14ac:dyDescent="0.3">
      <c r="A22" s="327" t="s">
        <v>79</v>
      </c>
      <c r="B22" s="710"/>
      <c r="C22" s="710"/>
      <c r="D22" s="1885" t="s">
        <v>617</v>
      </c>
      <c r="E22" s="1894"/>
      <c r="F22" s="1894"/>
      <c r="G22" s="1894"/>
      <c r="H22" s="1894"/>
      <c r="I22" s="1894"/>
      <c r="J22" s="1894"/>
      <c r="K22" s="1895"/>
      <c r="L22" s="329">
        <f t="shared" ref="L22:Q22" si="5">SUM(L23)</f>
        <v>0</v>
      </c>
      <c r="M22" s="329">
        <f t="shared" si="5"/>
        <v>0</v>
      </c>
      <c r="N22" s="329">
        <f t="shared" si="5"/>
        <v>0</v>
      </c>
      <c r="O22" s="329">
        <f t="shared" si="5"/>
        <v>0</v>
      </c>
      <c r="P22" s="329">
        <f t="shared" si="5"/>
        <v>0</v>
      </c>
      <c r="Q22" s="329">
        <f t="shared" si="5"/>
        <v>0</v>
      </c>
      <c r="R22" s="329"/>
      <c r="S22" s="91"/>
      <c r="T22" s="329"/>
      <c r="U22" s="329"/>
      <c r="V22" s="329"/>
      <c r="W22" s="329"/>
      <c r="X22" s="381">
        <v>0</v>
      </c>
      <c r="Y22" s="381">
        <f>SUM(X22*120/100)</f>
        <v>0</v>
      </c>
      <c r="Z22" s="381">
        <f>SUM(X22-Q22)</f>
        <v>0</v>
      </c>
    </row>
    <row r="23" spans="1:26" ht="15.75" thickBot="1" x14ac:dyDescent="0.3">
      <c r="A23" s="7"/>
      <c r="B23" s="14"/>
      <c r="C23" s="14"/>
      <c r="D23" s="8"/>
      <c r="E23" s="9"/>
      <c r="F23" s="10"/>
      <c r="G23" s="8"/>
      <c r="H23" s="2"/>
      <c r="I23" s="3"/>
      <c r="J23" s="3"/>
      <c r="K23" s="3"/>
      <c r="L23" s="13"/>
      <c r="M23" s="13"/>
      <c r="N23" s="13"/>
      <c r="O23" s="13"/>
      <c r="P23" s="13"/>
      <c r="Q23" s="13"/>
      <c r="R23" s="17"/>
      <c r="S23" s="17"/>
      <c r="T23" s="3"/>
      <c r="U23" s="3"/>
      <c r="V23" s="3"/>
      <c r="W23" s="727"/>
      <c r="X23" s="34"/>
      <c r="Y23" s="34"/>
      <c r="Z23" s="34"/>
    </row>
    <row r="24" spans="1:26" ht="39.75" customHeight="1" thickBot="1" x14ac:dyDescent="0.3">
      <c r="A24" s="327" t="s">
        <v>81</v>
      </c>
      <c r="B24" s="710"/>
      <c r="C24" s="710"/>
      <c r="D24" s="1885" t="s">
        <v>618</v>
      </c>
      <c r="E24" s="1894"/>
      <c r="F24" s="1894"/>
      <c r="G24" s="1894"/>
      <c r="H24" s="1894"/>
      <c r="I24" s="1894"/>
      <c r="J24" s="1894"/>
      <c r="K24" s="1895"/>
      <c r="L24" s="329">
        <f t="shared" ref="L24:P24" si="6">SUM(L25:L27)</f>
        <v>212009.4117647059</v>
      </c>
      <c r="M24" s="329">
        <f t="shared" si="6"/>
        <v>31801.411764705881</v>
      </c>
      <c r="N24" s="329">
        <f t="shared" si="6"/>
        <v>0</v>
      </c>
      <c r="O24" s="329">
        <f t="shared" si="6"/>
        <v>0</v>
      </c>
      <c r="P24" s="329">
        <f t="shared" si="6"/>
        <v>0</v>
      </c>
      <c r="Q24" s="329">
        <f>SUM(Q25:Q27)</f>
        <v>180208</v>
      </c>
      <c r="R24" s="329"/>
      <c r="S24" s="91"/>
      <c r="T24" s="329"/>
      <c r="U24" s="329"/>
      <c r="V24" s="329"/>
      <c r="W24" s="329"/>
      <c r="X24" s="37">
        <v>180208</v>
      </c>
      <c r="Y24" s="37">
        <f>SUM(X24*120/100)</f>
        <v>216249.60000000001</v>
      </c>
      <c r="Z24" s="37">
        <f>SUM(X24-Q24)</f>
        <v>0</v>
      </c>
    </row>
    <row r="25" spans="1:26" ht="36.75" thickBot="1" x14ac:dyDescent="0.3">
      <c r="A25" s="90" t="str">
        <f>CONCATENATE('3 pr-2'!A59)</f>
        <v>1.1.1.7.1</v>
      </c>
      <c r="B25" s="90" t="str">
        <f>CONCATENATE('3 pr-2'!B59)</f>
        <v>R01-8821-420000-1171</v>
      </c>
      <c r="C25" s="738" t="str">
        <f>CONCATENATE('3 pr-2'!C59)</f>
        <v>05.4.1-LVPA-R-821-11-0002</v>
      </c>
      <c r="D25" s="90" t="s">
        <v>272</v>
      </c>
      <c r="E25" s="90" t="s">
        <v>350</v>
      </c>
      <c r="F25" s="90" t="s">
        <v>82</v>
      </c>
      <c r="G25" s="90" t="s">
        <v>185</v>
      </c>
      <c r="H25" s="248" t="s">
        <v>774</v>
      </c>
      <c r="I25" s="15" t="s">
        <v>119</v>
      </c>
      <c r="J25" s="15" t="s">
        <v>66</v>
      </c>
      <c r="K25" s="17" t="s">
        <v>66</v>
      </c>
      <c r="L25" s="17">
        <f>SUM(M25:Q25)</f>
        <v>41644.705882352944</v>
      </c>
      <c r="M25" s="17">
        <v>6246.7058823529414</v>
      </c>
      <c r="N25" s="17">
        <v>0</v>
      </c>
      <c r="O25" s="17">
        <v>0</v>
      </c>
      <c r="P25" s="17">
        <v>0</v>
      </c>
      <c r="Q25" s="17">
        <v>35398</v>
      </c>
      <c r="R25" s="17"/>
      <c r="S25" s="17"/>
      <c r="T25" s="357">
        <f>SUM('IV-2 amsa'!T20)</f>
        <v>42635</v>
      </c>
      <c r="U25" s="357">
        <f>SUM('IV-2 amsa'!U20)</f>
        <v>42755</v>
      </c>
      <c r="V25" s="357">
        <f>SUM('IV-2 amsa'!V20)</f>
        <v>42855</v>
      </c>
      <c r="W25" s="357">
        <f>SUM('IV-2 amsa'!W20)</f>
        <v>43465</v>
      </c>
      <c r="X25" s="34"/>
      <c r="Y25" s="34"/>
      <c r="Z25" s="34"/>
    </row>
    <row r="26" spans="1:26" ht="48.75" thickBot="1" x14ac:dyDescent="0.3">
      <c r="A26" s="90" t="str">
        <f>CONCATENATE('3 pr-2'!A60)</f>
        <v>1.1.1.7.2</v>
      </c>
      <c r="B26" s="90" t="str">
        <f>CONCATENATE('3 pr-2'!B60)</f>
        <v>R01-8821-420000-1172</v>
      </c>
      <c r="C26" s="738" t="str">
        <f>CONCATENATE('3 pr-2'!C60)</f>
        <v>05.4.1-LVPA-R-821-11-0001</v>
      </c>
      <c r="D26" s="90" t="s">
        <v>646</v>
      </c>
      <c r="E26" s="90" t="s">
        <v>161</v>
      </c>
      <c r="F26" s="90" t="s">
        <v>82</v>
      </c>
      <c r="G26" s="90" t="s">
        <v>312</v>
      </c>
      <c r="H26" s="248" t="s">
        <v>774</v>
      </c>
      <c r="I26" s="15" t="s">
        <v>119</v>
      </c>
      <c r="J26" s="15" t="s">
        <v>66</v>
      </c>
      <c r="K26" s="17" t="s">
        <v>66</v>
      </c>
      <c r="L26" s="718">
        <f>SUM(M26:Q26)</f>
        <v>96035.411764705888</v>
      </c>
      <c r="M26" s="718">
        <f>SUM(Q26*15/85)</f>
        <v>14405.311764705883</v>
      </c>
      <c r="N26" s="718">
        <v>0</v>
      </c>
      <c r="O26" s="718">
        <v>0</v>
      </c>
      <c r="P26" s="718">
        <v>0</v>
      </c>
      <c r="Q26" s="718">
        <v>81630.100000000006</v>
      </c>
      <c r="R26" s="718"/>
      <c r="S26" s="487">
        <v>42604</v>
      </c>
      <c r="T26" s="357">
        <v>42635</v>
      </c>
      <c r="U26" s="357">
        <v>42706</v>
      </c>
      <c r="V26" s="357">
        <v>42825</v>
      </c>
      <c r="W26" s="357">
        <v>43585</v>
      </c>
      <c r="X26" s="34"/>
      <c r="Y26" s="34"/>
      <c r="Z26" s="34"/>
    </row>
    <row r="27" spans="1:26" ht="48.75" thickBot="1" x14ac:dyDescent="0.3">
      <c r="A27" s="90" t="str">
        <f>CONCATENATE('3 pr-2'!A61)</f>
        <v>1.1.1.7.3</v>
      </c>
      <c r="B27" s="90" t="str">
        <f>CONCATENATE('3 pr-2'!B61)</f>
        <v>R01-8821-420000-1173</v>
      </c>
      <c r="C27" s="738" t="str">
        <f>CONCATENATE('3 pr-2'!C61)</f>
        <v/>
      </c>
      <c r="D27" s="90" t="s">
        <v>647</v>
      </c>
      <c r="E27" s="90" t="s">
        <v>161</v>
      </c>
      <c r="F27" s="90" t="s">
        <v>82</v>
      </c>
      <c r="G27" s="90" t="s">
        <v>312</v>
      </c>
      <c r="H27" s="248" t="s">
        <v>774</v>
      </c>
      <c r="I27" s="15" t="s">
        <v>119</v>
      </c>
      <c r="J27" s="15" t="s">
        <v>66</v>
      </c>
      <c r="K27" s="17" t="s">
        <v>66</v>
      </c>
      <c r="L27" s="718">
        <f>SUM(M27:Q27)</f>
        <v>74329.294117647063</v>
      </c>
      <c r="M27" s="718">
        <f>SUM(Q27*15/85)</f>
        <v>11149.394117647058</v>
      </c>
      <c r="N27" s="718">
        <v>0</v>
      </c>
      <c r="O27" s="718">
        <v>0</v>
      </c>
      <c r="P27" s="718">
        <v>0</v>
      </c>
      <c r="Q27" s="718">
        <v>63179.9</v>
      </c>
      <c r="R27" s="718"/>
      <c r="S27" s="487">
        <v>43100</v>
      </c>
      <c r="T27" s="357">
        <v>43465</v>
      </c>
      <c r="U27" s="357">
        <v>43553</v>
      </c>
      <c r="V27" s="357">
        <v>43645</v>
      </c>
      <c r="W27" s="357">
        <v>44376</v>
      </c>
      <c r="X27" s="34"/>
      <c r="Y27" s="34"/>
      <c r="Z27" s="34"/>
    </row>
    <row r="28" spans="1:26" ht="27" customHeight="1" thickBot="1" x14ac:dyDescent="0.3">
      <c r="A28" s="327" t="s">
        <v>84</v>
      </c>
      <c r="B28" s="710"/>
      <c r="C28" s="710"/>
      <c r="D28" s="1885" t="s">
        <v>619</v>
      </c>
      <c r="E28" s="1894"/>
      <c r="F28" s="1894"/>
      <c r="G28" s="1894"/>
      <c r="H28" s="1894"/>
      <c r="I28" s="1894"/>
      <c r="J28" s="1894"/>
      <c r="K28" s="1895"/>
      <c r="L28" s="1215">
        <f>SUM(L29)</f>
        <v>484769.35</v>
      </c>
      <c r="M28" s="1215">
        <f>SUM(M29)</f>
        <v>185228.35</v>
      </c>
      <c r="N28" s="1215">
        <f t="shared" ref="N28:P28" si="7">SUM(N29)</f>
        <v>0</v>
      </c>
      <c r="O28" s="1215">
        <f t="shared" si="7"/>
        <v>0</v>
      </c>
      <c r="P28" s="1215">
        <f t="shared" si="7"/>
        <v>0</v>
      </c>
      <c r="Q28" s="1215">
        <f>SUM(Q29)</f>
        <v>299541</v>
      </c>
      <c r="R28" s="1215"/>
      <c r="S28" s="91"/>
      <c r="T28" s="329"/>
      <c r="U28" s="329"/>
      <c r="V28" s="329"/>
      <c r="W28" s="329"/>
      <c r="X28" s="37">
        <v>299541.3775</v>
      </c>
      <c r="Y28" s="37">
        <f>SUM(X28*120/100)</f>
        <v>359449.65299999999</v>
      </c>
      <c r="Z28" s="37">
        <f>SUM(X28-Q28)</f>
        <v>0.37750000000232831</v>
      </c>
    </row>
    <row r="29" spans="1:26" ht="36.75" thickBot="1" x14ac:dyDescent="0.3">
      <c r="A29" s="90" t="str">
        <f>CONCATENATE('3 pr-2'!A66)</f>
        <v>1.1.1.8.4</v>
      </c>
      <c r="B29" s="90" t="str">
        <f>CONCATENATE('3 pr-2'!B66)</f>
        <v>R01-3305-330200-1184</v>
      </c>
      <c r="C29" s="738" t="str">
        <f>CONCATENATE('3 pr-2'!C66)</f>
        <v>07.1.1-CPVA-R-305-11-0004</v>
      </c>
      <c r="D29" s="90" t="s">
        <v>320</v>
      </c>
      <c r="E29" s="90" t="s">
        <v>161</v>
      </c>
      <c r="F29" s="90" t="s">
        <v>116</v>
      </c>
      <c r="G29" s="90" t="s">
        <v>1826</v>
      </c>
      <c r="H29" s="248" t="s">
        <v>143</v>
      </c>
      <c r="I29" s="15" t="s">
        <v>119</v>
      </c>
      <c r="J29" s="15" t="s">
        <v>167</v>
      </c>
      <c r="K29" s="17" t="s">
        <v>66</v>
      </c>
      <c r="L29" s="1210">
        <f>SUM(M29:Q29)</f>
        <v>484769.35</v>
      </c>
      <c r="M29" s="1210">
        <v>185228.35</v>
      </c>
      <c r="N29" s="718">
        <v>0</v>
      </c>
      <c r="O29" s="718">
        <v>0</v>
      </c>
      <c r="P29" s="718">
        <v>0</v>
      </c>
      <c r="Q29" s="718">
        <v>299541</v>
      </c>
      <c r="R29" s="718"/>
      <c r="S29" s="487">
        <v>42614</v>
      </c>
      <c r="T29" s="357">
        <v>42703</v>
      </c>
      <c r="U29" s="357">
        <v>43097</v>
      </c>
      <c r="V29" s="357">
        <v>43190</v>
      </c>
      <c r="W29" s="357">
        <v>43830</v>
      </c>
      <c r="X29" s="34"/>
      <c r="Y29" s="34"/>
      <c r="Z29" s="34"/>
    </row>
    <row r="30" spans="1:26" ht="31.5" customHeight="1" thickBot="1" x14ac:dyDescent="0.3">
      <c r="A30" s="327" t="s">
        <v>86</v>
      </c>
      <c r="B30" s="710"/>
      <c r="C30" s="710"/>
      <c r="D30" s="1885" t="s">
        <v>620</v>
      </c>
      <c r="E30" s="1894"/>
      <c r="F30" s="1894"/>
      <c r="G30" s="1894"/>
      <c r="H30" s="1894"/>
      <c r="I30" s="1894"/>
      <c r="J30" s="1894"/>
      <c r="K30" s="1895"/>
      <c r="L30" s="1215">
        <f>SUM(L31)</f>
        <v>242419</v>
      </c>
      <c r="M30" s="1215">
        <f>SUM(M31)</f>
        <v>36363</v>
      </c>
      <c r="N30" s="1215">
        <f t="shared" ref="N30:P30" si="8">SUM(N31)</f>
        <v>0</v>
      </c>
      <c r="O30" s="1215">
        <f t="shared" si="8"/>
        <v>0</v>
      </c>
      <c r="P30" s="1215">
        <f t="shared" si="8"/>
        <v>0</v>
      </c>
      <c r="Q30" s="1215">
        <f>SUM(Q31)</f>
        <v>206056</v>
      </c>
      <c r="R30" s="1215"/>
      <c r="S30" s="91"/>
      <c r="T30" s="329"/>
      <c r="U30" s="329"/>
      <c r="V30" s="329"/>
      <c r="W30" s="329"/>
      <c r="X30" s="37">
        <v>206056.31</v>
      </c>
      <c r="Y30" s="37">
        <f>SUM(X30*120/100)</f>
        <v>247267.57199999999</v>
      </c>
      <c r="Z30" s="37">
        <f>SUM(X30-Q30)</f>
        <v>0.30999999999767169</v>
      </c>
    </row>
    <row r="31" spans="1:26" ht="36.75" thickBot="1" x14ac:dyDescent="0.3">
      <c r="A31" s="90" t="str">
        <f>CONCATENATE('3 pr-2'!A70)</f>
        <v>1.1.1.9.3</v>
      </c>
      <c r="B31" s="90" t="str">
        <f>CONCATENATE('3 pr-2'!B70)</f>
        <v>R01-3302-440200-1193</v>
      </c>
      <c r="C31" s="738" t="str">
        <f>CONCATENATE('3 pr-2'!C70)</f>
        <v>05.4.1-CPVA-R-302-11-0001</v>
      </c>
      <c r="D31" s="90" t="s">
        <v>302</v>
      </c>
      <c r="E31" s="90" t="s">
        <v>161</v>
      </c>
      <c r="F31" s="90" t="s">
        <v>116</v>
      </c>
      <c r="G31" s="90" t="s">
        <v>1826</v>
      </c>
      <c r="H31" s="248" t="s">
        <v>182</v>
      </c>
      <c r="I31" s="15" t="s">
        <v>119</v>
      </c>
      <c r="J31" s="15" t="s">
        <v>167</v>
      </c>
      <c r="K31" s="17" t="s">
        <v>66</v>
      </c>
      <c r="L31" s="718">
        <f>SUM(M31:Q31)</f>
        <v>242419</v>
      </c>
      <c r="M31" s="718">
        <v>36363</v>
      </c>
      <c r="N31" s="718">
        <v>0</v>
      </c>
      <c r="O31" s="718">
        <v>0</v>
      </c>
      <c r="P31" s="718">
        <v>0</v>
      </c>
      <c r="Q31" s="718">
        <v>206056</v>
      </c>
      <c r="R31" s="718"/>
      <c r="S31" s="487">
        <v>42667</v>
      </c>
      <c r="T31" s="357">
        <v>42794</v>
      </c>
      <c r="U31" s="357">
        <v>43179</v>
      </c>
      <c r="V31" s="357">
        <v>43249</v>
      </c>
      <c r="W31" s="357">
        <v>43830</v>
      </c>
      <c r="X31" s="34"/>
      <c r="Y31" s="34"/>
      <c r="Z31" s="34"/>
    </row>
    <row r="32" spans="1:26" ht="34.5" customHeight="1" thickBot="1" x14ac:dyDescent="0.3">
      <c r="A32" s="151" t="s">
        <v>22</v>
      </c>
      <c r="B32" s="714"/>
      <c r="C32" s="714"/>
      <c r="D32" s="1887" t="s">
        <v>1407</v>
      </c>
      <c r="E32" s="1900"/>
      <c r="F32" s="1900"/>
      <c r="G32" s="1900"/>
      <c r="H32" s="1900"/>
      <c r="I32" s="1900"/>
      <c r="J32" s="1900"/>
      <c r="K32" s="1901"/>
      <c r="L32" s="132">
        <f t="shared" ref="L32:Q32" si="9">SUM(L33+L35+L37+L39)</f>
        <v>1110413</v>
      </c>
      <c r="M32" s="132">
        <f t="shared" si="9"/>
        <v>166562</v>
      </c>
      <c r="N32" s="132">
        <f t="shared" si="9"/>
        <v>0</v>
      </c>
      <c r="O32" s="132">
        <f t="shared" si="9"/>
        <v>0</v>
      </c>
      <c r="P32" s="132">
        <f t="shared" si="9"/>
        <v>0</v>
      </c>
      <c r="Q32" s="132">
        <f t="shared" si="9"/>
        <v>943851</v>
      </c>
      <c r="R32" s="132"/>
      <c r="S32" s="132"/>
      <c r="T32" s="133"/>
      <c r="U32" s="133"/>
      <c r="V32" s="133"/>
      <c r="W32" s="168"/>
      <c r="X32" s="36">
        <f>SUM(X33+X35+X37+X39)</f>
        <v>942743</v>
      </c>
      <c r="Y32" s="36">
        <f>SUM(Y33+Y35+Y37+Y39)</f>
        <v>1131291.6000000001</v>
      </c>
      <c r="Z32" s="36">
        <f>SUM(Z33+Z35+Z37+Z39)</f>
        <v>-1108</v>
      </c>
    </row>
    <row r="33" spans="1:29" ht="33" customHeight="1" thickBot="1" x14ac:dyDescent="0.3">
      <c r="A33" s="327" t="s">
        <v>88</v>
      </c>
      <c r="B33" s="710"/>
      <c r="C33" s="710"/>
      <c r="D33" s="1885" t="s">
        <v>622</v>
      </c>
      <c r="E33" s="1894"/>
      <c r="F33" s="1894"/>
      <c r="G33" s="1894"/>
      <c r="H33" s="1894"/>
      <c r="I33" s="1894"/>
      <c r="J33" s="1894"/>
      <c r="K33" s="1895"/>
      <c r="L33" s="1221">
        <f t="shared" ref="L33:P33" si="10">SUM(L34)</f>
        <v>262704</v>
      </c>
      <c r="M33" s="1221">
        <f t="shared" si="10"/>
        <v>39406</v>
      </c>
      <c r="N33" s="1221">
        <f t="shared" si="10"/>
        <v>0</v>
      </c>
      <c r="O33" s="1221">
        <f t="shared" si="10"/>
        <v>0</v>
      </c>
      <c r="P33" s="1221">
        <f t="shared" si="10"/>
        <v>0</v>
      </c>
      <c r="Q33" s="1221">
        <f>SUM(Q34)</f>
        <v>223298</v>
      </c>
      <c r="R33" s="1221"/>
      <c r="S33" s="91"/>
      <c r="T33" s="329"/>
      <c r="U33" s="329"/>
      <c r="V33" s="329"/>
      <c r="W33" s="329"/>
      <c r="X33" s="37">
        <v>223298</v>
      </c>
      <c r="Y33" s="37">
        <f>SUM(X33*120/100)</f>
        <v>267957.59999999998</v>
      </c>
      <c r="Z33" s="37">
        <f>SUM(X33-Q33)</f>
        <v>0</v>
      </c>
    </row>
    <row r="34" spans="1:29" ht="48.75" thickBot="1" x14ac:dyDescent="0.3">
      <c r="A34" s="90" t="str">
        <f>CONCATENATE('3 pr-2'!A78)</f>
        <v>1.1.2.1.4</v>
      </c>
      <c r="B34" s="90" t="str">
        <f>CONCATENATE('3 pr-2'!B78)</f>
        <v>R01-5518-100000-1214</v>
      </c>
      <c r="C34" s="738" t="str">
        <f>CONCATENATE('3 pr-2'!C78)</f>
        <v>04.5.1-TID-R-518-11-0001</v>
      </c>
      <c r="D34" s="90" t="s">
        <v>639</v>
      </c>
      <c r="E34" s="90" t="s">
        <v>161</v>
      </c>
      <c r="F34" s="90" t="s">
        <v>115</v>
      </c>
      <c r="G34" s="90" t="s">
        <v>1826</v>
      </c>
      <c r="H34" s="248" t="s">
        <v>135</v>
      </c>
      <c r="I34" s="15" t="s">
        <v>119</v>
      </c>
      <c r="J34" s="15" t="s">
        <v>66</v>
      </c>
      <c r="K34" s="17" t="s">
        <v>66</v>
      </c>
      <c r="L34" s="1226">
        <f>SUM(M34:Q34)</f>
        <v>262704</v>
      </c>
      <c r="M34" s="1226">
        <v>39406</v>
      </c>
      <c r="N34" s="1226">
        <v>0</v>
      </c>
      <c r="O34" s="1226">
        <v>0</v>
      </c>
      <c r="P34" s="1226">
        <v>0</v>
      </c>
      <c r="Q34" s="1226">
        <v>223298</v>
      </c>
      <c r="R34" s="1226"/>
      <c r="S34" s="487">
        <v>42877</v>
      </c>
      <c r="T34" s="357">
        <v>42978</v>
      </c>
      <c r="U34" s="719">
        <v>43343</v>
      </c>
      <c r="V34" s="719">
        <v>43434</v>
      </c>
      <c r="W34" s="719">
        <v>44165</v>
      </c>
      <c r="X34" s="34"/>
      <c r="Y34" s="34"/>
      <c r="Z34" s="34"/>
      <c r="AA34" s="52">
        <f>SUM(365/12)</f>
        <v>30.416666666666668</v>
      </c>
      <c r="AB34" s="52">
        <f>SUM(W34-V34)/AA34</f>
        <v>24.032876712328765</v>
      </c>
    </row>
    <row r="35" spans="1:29" ht="29.25" customHeight="1" thickBot="1" x14ac:dyDescent="0.3">
      <c r="A35" s="327" t="s">
        <v>90</v>
      </c>
      <c r="B35" s="710"/>
      <c r="C35" s="710"/>
      <c r="D35" s="1885" t="s">
        <v>623</v>
      </c>
      <c r="E35" s="1894"/>
      <c r="F35" s="1894"/>
      <c r="G35" s="1894"/>
      <c r="H35" s="1894"/>
      <c r="I35" s="1894"/>
      <c r="J35" s="1894"/>
      <c r="K35" s="1895"/>
      <c r="L35" s="1221">
        <f t="shared" ref="L35:Q35" si="11">SUM(L36:L36)</f>
        <v>0</v>
      </c>
      <c r="M35" s="1221">
        <f t="shared" si="11"/>
        <v>0</v>
      </c>
      <c r="N35" s="1221">
        <f t="shared" si="11"/>
        <v>0</v>
      </c>
      <c r="O35" s="1221">
        <f t="shared" si="11"/>
        <v>0</v>
      </c>
      <c r="P35" s="1221">
        <f t="shared" si="11"/>
        <v>0</v>
      </c>
      <c r="Q35" s="1221">
        <f t="shared" si="11"/>
        <v>0</v>
      </c>
      <c r="R35" s="1221"/>
      <c r="S35" s="91"/>
      <c r="T35" s="329"/>
      <c r="U35" s="329"/>
      <c r="V35" s="329"/>
      <c r="W35" s="329"/>
      <c r="X35" s="37">
        <v>0</v>
      </c>
      <c r="Y35" s="37">
        <f>SUM(X35*120/100)</f>
        <v>0</v>
      </c>
      <c r="Z35" s="37">
        <f>SUM(X35-Q35)</f>
        <v>0</v>
      </c>
    </row>
    <row r="36" spans="1:29" ht="15.75" thickBot="1" x14ac:dyDescent="0.3">
      <c r="A36" s="729"/>
      <c r="B36" s="729"/>
      <c r="C36" s="729"/>
      <c r="D36" s="729"/>
      <c r="E36" s="729"/>
      <c r="F36" s="730"/>
      <c r="G36" s="729"/>
      <c r="H36" s="731"/>
      <c r="I36" s="732"/>
      <c r="J36" s="546"/>
      <c r="K36" s="546"/>
      <c r="L36" s="1231">
        <f>SUM(M36:Q36)</f>
        <v>0</v>
      </c>
      <c r="M36" s="1232">
        <v>0</v>
      </c>
      <c r="N36" s="1232">
        <v>0</v>
      </c>
      <c r="O36" s="1232">
        <v>0</v>
      </c>
      <c r="P36" s="1232">
        <v>0</v>
      </c>
      <c r="Q36" s="1232">
        <v>0</v>
      </c>
      <c r="R36" s="1232"/>
      <c r="S36" s="733"/>
      <c r="T36" s="6"/>
      <c r="U36" s="6"/>
      <c r="V36" s="6"/>
      <c r="W36" s="6"/>
      <c r="X36" s="34"/>
      <c r="Y36" s="34"/>
      <c r="Z36" s="34"/>
    </row>
    <row r="37" spans="1:29" ht="35.25" customHeight="1" thickBot="1" x14ac:dyDescent="0.3">
      <c r="A37" s="327" t="s">
        <v>92</v>
      </c>
      <c r="B37" s="710"/>
      <c r="C37" s="710"/>
      <c r="D37" s="1885" t="s">
        <v>624</v>
      </c>
      <c r="E37" s="1894"/>
      <c r="F37" s="1894"/>
      <c r="G37" s="1894"/>
      <c r="H37" s="1894"/>
      <c r="I37" s="1894"/>
      <c r="J37" s="1894"/>
      <c r="K37" s="1895"/>
      <c r="L37" s="1221">
        <f t="shared" ref="L37:P37" si="12">SUM(L38)</f>
        <v>87775</v>
      </c>
      <c r="M37" s="1221">
        <f t="shared" si="12"/>
        <v>13166</v>
      </c>
      <c r="N37" s="1221">
        <f t="shared" si="12"/>
        <v>0</v>
      </c>
      <c r="O37" s="1221">
        <f t="shared" si="12"/>
        <v>0</v>
      </c>
      <c r="P37" s="1221">
        <f t="shared" si="12"/>
        <v>0</v>
      </c>
      <c r="Q37" s="1221">
        <f t="shared" ref="Q37" si="13">SUM(Q38)</f>
        <v>74609</v>
      </c>
      <c r="R37" s="1221"/>
      <c r="S37" s="91"/>
      <c r="T37" s="329"/>
      <c r="U37" s="329"/>
      <c r="V37" s="329"/>
      <c r="W37" s="329"/>
      <c r="X37" s="37">
        <v>73501</v>
      </c>
      <c r="Y37" s="37">
        <f>SUM(X37*120/100)</f>
        <v>88201.2</v>
      </c>
      <c r="Z37" s="37">
        <f>SUM(X37-Q37)</f>
        <v>-1108</v>
      </c>
    </row>
    <row r="38" spans="1:29" ht="48.75" thickBot="1" x14ac:dyDescent="0.3">
      <c r="A38" s="90" t="str">
        <f>CONCATENATE('3 pr-2'!A89)</f>
        <v>1.1.2.3.3</v>
      </c>
      <c r="B38" s="90" t="str">
        <f>CONCATENATE('3 pr-2'!B89)</f>
        <v>R01-5516-190000-1233</v>
      </c>
      <c r="C38" s="738" t="str">
        <f>CONCATENATE('3 pr-2'!C89)</f>
        <v>04.5.1-TID-R-516-11-0002</v>
      </c>
      <c r="D38" s="90" t="s">
        <v>324</v>
      </c>
      <c r="E38" s="90" t="s">
        <v>161</v>
      </c>
      <c r="F38" s="90" t="s">
        <v>115</v>
      </c>
      <c r="G38" s="90" t="s">
        <v>1826</v>
      </c>
      <c r="H38" s="248" t="s">
        <v>148</v>
      </c>
      <c r="I38" s="15" t="s">
        <v>119</v>
      </c>
      <c r="J38" s="15" t="s">
        <v>167</v>
      </c>
      <c r="K38" s="17" t="s">
        <v>66</v>
      </c>
      <c r="L38" s="1226">
        <f>SUM(M38:Q38)</f>
        <v>87775</v>
      </c>
      <c r="M38" s="1226">
        <v>13166</v>
      </c>
      <c r="N38" s="1226">
        <v>0</v>
      </c>
      <c r="O38" s="1226">
        <v>0</v>
      </c>
      <c r="P38" s="1226">
        <v>0</v>
      </c>
      <c r="Q38" s="1226">
        <v>74609</v>
      </c>
      <c r="R38" s="1226"/>
      <c r="S38" s="487">
        <v>42660</v>
      </c>
      <c r="T38" s="357">
        <v>42735</v>
      </c>
      <c r="U38" s="357">
        <v>43010</v>
      </c>
      <c r="V38" s="357">
        <v>43100</v>
      </c>
      <c r="W38" s="357">
        <v>43830</v>
      </c>
      <c r="X38" s="34"/>
      <c r="Y38" s="34"/>
      <c r="Z38" s="34"/>
    </row>
    <row r="39" spans="1:29" ht="35.25" customHeight="1" thickBot="1" x14ac:dyDescent="0.3">
      <c r="A39" s="327" t="s">
        <v>94</v>
      </c>
      <c r="B39" s="710"/>
      <c r="C39" s="710"/>
      <c r="D39" s="1885" t="s">
        <v>625</v>
      </c>
      <c r="E39" s="1894"/>
      <c r="F39" s="1894"/>
      <c r="G39" s="1894"/>
      <c r="H39" s="1894"/>
      <c r="I39" s="1894"/>
      <c r="J39" s="1894"/>
      <c r="K39" s="1895"/>
      <c r="L39" s="1215">
        <f t="shared" ref="L39:P39" si="14">SUM(L40)</f>
        <v>759934</v>
      </c>
      <c r="M39" s="1215">
        <f t="shared" si="14"/>
        <v>113990</v>
      </c>
      <c r="N39" s="1215">
        <f t="shared" si="14"/>
        <v>0</v>
      </c>
      <c r="O39" s="1215">
        <f t="shared" si="14"/>
        <v>0</v>
      </c>
      <c r="P39" s="1215">
        <f t="shared" si="14"/>
        <v>0</v>
      </c>
      <c r="Q39" s="1215">
        <f t="shared" ref="Q39" si="15">SUM(Q40)</f>
        <v>645944</v>
      </c>
      <c r="R39" s="1215"/>
      <c r="S39" s="91"/>
      <c r="T39" s="329"/>
      <c r="U39" s="329"/>
      <c r="V39" s="329"/>
      <c r="W39" s="329"/>
      <c r="X39" s="37">
        <v>645944</v>
      </c>
      <c r="Y39" s="37">
        <f>SUM(X39*120/100)</f>
        <v>775132.8</v>
      </c>
      <c r="Z39" s="37">
        <f>SUM(X39-Q39)</f>
        <v>0</v>
      </c>
      <c r="AA39" s="63"/>
    </row>
    <row r="40" spans="1:29" s="56" customFormat="1" ht="48.75" customHeight="1" thickBot="1" x14ac:dyDescent="0.3">
      <c r="A40" s="125" t="str">
        <f>CONCATENATE('3 pr-2'!A98)</f>
        <v>1.1.2.4.6</v>
      </c>
      <c r="B40" s="125" t="str">
        <f>CONCATENATE('3 pr-2'!B98)</f>
        <v>R01-5511-120000-1246</v>
      </c>
      <c r="C40" s="738" t="str">
        <f>CONCATENATE('3 pr-2'!C98)</f>
        <v>06.2.1-TID-R-511-11-0004</v>
      </c>
      <c r="D40" s="125" t="s">
        <v>323</v>
      </c>
      <c r="E40" s="125" t="s">
        <v>161</v>
      </c>
      <c r="F40" s="125" t="s">
        <v>115</v>
      </c>
      <c r="G40" s="125" t="s">
        <v>1826</v>
      </c>
      <c r="H40" s="352" t="s">
        <v>141</v>
      </c>
      <c r="I40" s="376" t="s">
        <v>119</v>
      </c>
      <c r="J40" s="376" t="s">
        <v>167</v>
      </c>
      <c r="K40" s="306" t="s">
        <v>66</v>
      </c>
      <c r="L40" s="1210">
        <f>SUM(M40:Q40)</f>
        <v>759934</v>
      </c>
      <c r="M40" s="1210">
        <v>113990</v>
      </c>
      <c r="N40" s="1210">
        <v>0</v>
      </c>
      <c r="O40" s="1210">
        <v>0</v>
      </c>
      <c r="P40" s="1210">
        <v>0</v>
      </c>
      <c r="Q40" s="1210">
        <v>645944</v>
      </c>
      <c r="R40" s="1210"/>
      <c r="S40" s="719">
        <v>42639</v>
      </c>
      <c r="T40" s="719">
        <v>42732</v>
      </c>
      <c r="U40" s="719">
        <v>43130</v>
      </c>
      <c r="V40" s="719">
        <v>43217</v>
      </c>
      <c r="W40" s="719">
        <v>43830</v>
      </c>
      <c r="X40" s="55"/>
      <c r="Y40" s="55"/>
      <c r="Z40" s="55"/>
    </row>
    <row r="41" spans="1:29" ht="44.25" customHeight="1" thickBot="1" x14ac:dyDescent="0.3">
      <c r="A41" s="158" t="s">
        <v>27</v>
      </c>
      <c r="B41" s="715"/>
      <c r="C41" s="715"/>
      <c r="D41" s="1897" t="s">
        <v>626</v>
      </c>
      <c r="E41" s="1898"/>
      <c r="F41" s="1898"/>
      <c r="G41" s="1898"/>
      <c r="H41" s="1898"/>
      <c r="I41" s="1898"/>
      <c r="J41" s="1898"/>
      <c r="K41" s="1899"/>
      <c r="L41" s="1237">
        <f t="shared" ref="L41:Q41" si="16">SUM(L42+L49+L56+L61)</f>
        <v>1535768.27</v>
      </c>
      <c r="M41" s="1237">
        <f t="shared" si="16"/>
        <v>143176.88</v>
      </c>
      <c r="N41" s="1237">
        <f t="shared" si="16"/>
        <v>76025.64</v>
      </c>
      <c r="O41" s="1237">
        <f t="shared" si="16"/>
        <v>11471</v>
      </c>
      <c r="P41" s="1237">
        <f t="shared" si="16"/>
        <v>0</v>
      </c>
      <c r="Q41" s="1237">
        <f t="shared" si="16"/>
        <v>1305094.75</v>
      </c>
      <c r="R41" s="1237"/>
      <c r="S41" s="153"/>
      <c r="T41" s="159"/>
      <c r="U41" s="159"/>
      <c r="V41" s="159"/>
      <c r="W41" s="167"/>
      <c r="X41" s="45">
        <f>SUM(X42+X49+X56+X61)</f>
        <v>1324057.3557784213</v>
      </c>
      <c r="Y41" s="45">
        <f>SUM(Y42+Y49+Y56+Y61)</f>
        <v>1588868.8269341055</v>
      </c>
      <c r="Z41" s="45">
        <f>SUM(Z42+Z49+Z56+Z61)</f>
        <v>18962.60577842113</v>
      </c>
    </row>
    <row r="42" spans="1:29" ht="57.75" customHeight="1" thickBot="1" x14ac:dyDescent="0.3">
      <c r="A42" s="151" t="s">
        <v>28</v>
      </c>
      <c r="B42" s="714"/>
      <c r="C42" s="714"/>
      <c r="D42" s="1887" t="s">
        <v>627</v>
      </c>
      <c r="E42" s="1900"/>
      <c r="F42" s="1900"/>
      <c r="G42" s="1900"/>
      <c r="H42" s="1900"/>
      <c r="I42" s="1900"/>
      <c r="J42" s="1900"/>
      <c r="K42" s="1901"/>
      <c r="L42" s="1228">
        <f t="shared" ref="L42:Q42" si="17">SUM(L43+L45+L47)</f>
        <v>465147.20999999996</v>
      </c>
      <c r="M42" s="1228">
        <f t="shared" si="17"/>
        <v>45083.21</v>
      </c>
      <c r="N42" s="1228">
        <f t="shared" si="17"/>
        <v>24699</v>
      </c>
      <c r="O42" s="1228">
        <f t="shared" si="17"/>
        <v>0</v>
      </c>
      <c r="P42" s="1228">
        <f t="shared" si="17"/>
        <v>0</v>
      </c>
      <c r="Q42" s="1228">
        <f t="shared" si="17"/>
        <v>395365</v>
      </c>
      <c r="R42" s="1228"/>
      <c r="S42" s="132"/>
      <c r="T42" s="133"/>
      <c r="U42" s="133"/>
      <c r="V42" s="133"/>
      <c r="W42" s="168"/>
      <c r="X42" s="36">
        <f>SUM(X43+X45+X47)</f>
        <v>414326.95823780389</v>
      </c>
      <c r="Y42" s="36">
        <f>SUM(Y43+Y45+Y47)</f>
        <v>497192.34988536465</v>
      </c>
      <c r="Z42" s="36">
        <f>SUM(Z43+Z45+Z47)</f>
        <v>18961.958237803861</v>
      </c>
    </row>
    <row r="43" spans="1:29" ht="36.75" customHeight="1" thickBot="1" x14ac:dyDescent="0.3">
      <c r="A43" s="327" t="s">
        <v>96</v>
      </c>
      <c r="B43" s="710"/>
      <c r="C43" s="710"/>
      <c r="D43" s="1885" t="s">
        <v>628</v>
      </c>
      <c r="E43" s="1894"/>
      <c r="F43" s="1894"/>
      <c r="G43" s="1894"/>
      <c r="H43" s="1894"/>
      <c r="I43" s="1894"/>
      <c r="J43" s="1894"/>
      <c r="K43" s="1895"/>
      <c r="L43" s="1215">
        <f t="shared" ref="L43:P43" si="18">SUM(L44)</f>
        <v>195779</v>
      </c>
      <c r="M43" s="1215">
        <f t="shared" si="18"/>
        <v>14684</v>
      </c>
      <c r="N43" s="1215">
        <f t="shared" si="18"/>
        <v>14683</v>
      </c>
      <c r="O43" s="1215">
        <f t="shared" si="18"/>
        <v>0</v>
      </c>
      <c r="P43" s="1215">
        <f t="shared" si="18"/>
        <v>0</v>
      </c>
      <c r="Q43" s="1215">
        <f t="shared" ref="Q43" si="19">SUM(Q44)</f>
        <v>166412</v>
      </c>
      <c r="R43" s="1215"/>
      <c r="S43" s="91"/>
      <c r="T43" s="329"/>
      <c r="U43" s="329"/>
      <c r="V43" s="329"/>
      <c r="W43" s="329"/>
      <c r="X43" s="37">
        <v>166412</v>
      </c>
      <c r="Y43" s="37">
        <f>SUM(X43*120/100)</f>
        <v>199694.4</v>
      </c>
      <c r="Z43" s="37">
        <f>SUM(X43-Q43)</f>
        <v>0</v>
      </c>
    </row>
    <row r="44" spans="1:29" ht="48.75" thickBot="1" x14ac:dyDescent="0.3">
      <c r="A44" s="90" t="str">
        <f>CONCATENATE('3 pr-2'!A107)</f>
        <v>2.1.1.1.5</v>
      </c>
      <c r="B44" s="90" t="str">
        <f>CONCATENATE('3 pr-2'!B107)</f>
        <v>R01-7724-220000-2115</v>
      </c>
      <c r="C44" s="738" t="str">
        <f>CONCATENATE('3 pr-2'!C107)</f>
        <v>09.1.3-CPVA-R-724-11-0001</v>
      </c>
      <c r="D44" s="90" t="s">
        <v>281</v>
      </c>
      <c r="E44" s="90" t="s">
        <v>161</v>
      </c>
      <c r="F44" s="90" t="s">
        <v>97</v>
      </c>
      <c r="G44" s="90" t="s">
        <v>1826</v>
      </c>
      <c r="H44" s="248" t="s">
        <v>136</v>
      </c>
      <c r="I44" s="15" t="s">
        <v>119</v>
      </c>
      <c r="J44" s="15" t="s">
        <v>66</v>
      </c>
      <c r="K44" s="17" t="s">
        <v>66</v>
      </c>
      <c r="L44" s="718">
        <f>SUM(M44:Q44)</f>
        <v>195779</v>
      </c>
      <c r="M44" s="1210">
        <v>14684</v>
      </c>
      <c r="N44" s="718">
        <v>14683</v>
      </c>
      <c r="O44" s="718">
        <v>0</v>
      </c>
      <c r="P44" s="718">
        <v>0</v>
      </c>
      <c r="Q44" s="718">
        <v>166412</v>
      </c>
      <c r="R44" s="718"/>
      <c r="S44" s="487">
        <v>42863</v>
      </c>
      <c r="T44" s="357">
        <v>42916</v>
      </c>
      <c r="U44" s="357">
        <v>42993</v>
      </c>
      <c r="V44" s="357">
        <v>43150</v>
      </c>
      <c r="W44" s="495">
        <v>43709</v>
      </c>
      <c r="X44" s="34"/>
      <c r="Y44" s="34"/>
      <c r="Z44" s="34"/>
    </row>
    <row r="45" spans="1:29" ht="39" customHeight="1" thickBot="1" x14ac:dyDescent="0.3">
      <c r="A45" s="327" t="s">
        <v>99</v>
      </c>
      <c r="B45" s="710"/>
      <c r="C45" s="710"/>
      <c r="D45" s="1885" t="s">
        <v>629</v>
      </c>
      <c r="E45" s="1894"/>
      <c r="F45" s="1894"/>
      <c r="G45" s="1894"/>
      <c r="H45" s="1894"/>
      <c r="I45" s="1894"/>
      <c r="J45" s="1894"/>
      <c r="K45" s="1895"/>
      <c r="L45" s="1215">
        <f t="shared" ref="L45:Q45" si="20">SUM(L46:L46)</f>
        <v>135814</v>
      </c>
      <c r="M45" s="1215">
        <f t="shared" si="20"/>
        <v>20373</v>
      </c>
      <c r="N45" s="1215">
        <f t="shared" si="20"/>
        <v>0</v>
      </c>
      <c r="O45" s="1215">
        <f t="shared" si="20"/>
        <v>0</v>
      </c>
      <c r="P45" s="1215">
        <f t="shared" si="20"/>
        <v>0</v>
      </c>
      <c r="Q45" s="1215">
        <f t="shared" si="20"/>
        <v>115441</v>
      </c>
      <c r="R45" s="1215"/>
      <c r="S45" s="91"/>
      <c r="T45" s="329"/>
      <c r="U45" s="329"/>
      <c r="V45" s="329"/>
      <c r="W45" s="329"/>
      <c r="X45" s="37">
        <v>115442.4570765518</v>
      </c>
      <c r="Y45" s="37">
        <f>SUM(X45*120/100)</f>
        <v>138530.94849186216</v>
      </c>
      <c r="Z45" s="37">
        <f>SUM(X45-Q45)</f>
        <v>1.4570765518001281</v>
      </c>
    </row>
    <row r="46" spans="1:29" ht="48.75" thickBot="1" x14ac:dyDescent="0.3">
      <c r="A46" s="90" t="str">
        <f>CONCATENATE('3 pr-2'!A113)</f>
        <v>2.1.1.2.5</v>
      </c>
      <c r="B46" s="90" t="str">
        <f>CONCATENATE('3 pr-2'!B113)</f>
        <v>R01-7725-240000-2125</v>
      </c>
      <c r="C46" s="738" t="str">
        <f>CONCATENATE('3 pr-2'!C113)</f>
        <v>09.1.3-CPVA-R-725-11-0001</v>
      </c>
      <c r="D46" s="90" t="s">
        <v>282</v>
      </c>
      <c r="E46" s="90" t="s">
        <v>649</v>
      </c>
      <c r="F46" s="90" t="s">
        <v>97</v>
      </c>
      <c r="G46" s="90" t="s">
        <v>1826</v>
      </c>
      <c r="H46" s="248" t="s">
        <v>139</v>
      </c>
      <c r="I46" s="15" t="s">
        <v>119</v>
      </c>
      <c r="J46" s="15" t="s">
        <v>66</v>
      </c>
      <c r="K46" s="17" t="s">
        <v>66</v>
      </c>
      <c r="L46" s="718">
        <f>SUM(M46:Q46)</f>
        <v>135814</v>
      </c>
      <c r="M46" s="1209">
        <v>20373</v>
      </c>
      <c r="N46" s="718">
        <v>0</v>
      </c>
      <c r="O46" s="718">
        <v>0</v>
      </c>
      <c r="P46" s="718">
        <v>0</v>
      </c>
      <c r="Q46" s="1209">
        <v>115441</v>
      </c>
      <c r="R46" s="718"/>
      <c r="S46" s="487">
        <v>42828</v>
      </c>
      <c r="T46" s="357">
        <v>42866</v>
      </c>
      <c r="U46" s="357">
        <v>42916</v>
      </c>
      <c r="V46" s="357">
        <v>43100</v>
      </c>
      <c r="W46" s="495">
        <v>43465</v>
      </c>
      <c r="X46" s="34"/>
      <c r="Y46" s="34"/>
      <c r="Z46" s="34"/>
    </row>
    <row r="47" spans="1:29" ht="40.5" customHeight="1" thickBot="1" x14ac:dyDescent="0.3">
      <c r="A47" s="327" t="s">
        <v>101</v>
      </c>
      <c r="B47" s="710"/>
      <c r="C47" s="710"/>
      <c r="D47" s="1885" t="s">
        <v>1404</v>
      </c>
      <c r="E47" s="1894"/>
      <c r="F47" s="1894"/>
      <c r="G47" s="1894"/>
      <c r="H47" s="1894"/>
      <c r="I47" s="1894"/>
      <c r="J47" s="1894"/>
      <c r="K47" s="1895"/>
      <c r="L47" s="1215">
        <f t="shared" ref="L47:P47" si="21">SUM(L48)</f>
        <v>133554.21</v>
      </c>
      <c r="M47" s="1215">
        <f t="shared" si="21"/>
        <v>10026.209999999999</v>
      </c>
      <c r="N47" s="1215">
        <f t="shared" si="21"/>
        <v>10016</v>
      </c>
      <c r="O47" s="1215">
        <f t="shared" si="21"/>
        <v>0</v>
      </c>
      <c r="P47" s="1215">
        <f t="shared" si="21"/>
        <v>0</v>
      </c>
      <c r="Q47" s="1215">
        <f t="shared" ref="Q47" si="22">SUM(Q48)</f>
        <v>113512</v>
      </c>
      <c r="R47" s="1215"/>
      <c r="S47" s="91"/>
      <c r="T47" s="329"/>
      <c r="U47" s="329"/>
      <c r="V47" s="329"/>
      <c r="W47" s="329"/>
      <c r="X47" s="37">
        <v>132472.50116125206</v>
      </c>
      <c r="Y47" s="37">
        <f>SUM(X47*120/100)</f>
        <v>158967.00139350246</v>
      </c>
      <c r="Z47" s="37">
        <f>SUM(X47-Q47)</f>
        <v>18960.501161252061</v>
      </c>
    </row>
    <row r="48" spans="1:29" s="56" customFormat="1" ht="48.75" thickBot="1" x14ac:dyDescent="0.3">
      <c r="A48" s="90" t="str">
        <f>CONCATENATE('3 pr-2'!A119)</f>
        <v>2.1.1.3.5</v>
      </c>
      <c r="B48" s="90" t="str">
        <f>CONCATENATE('3 pr-2'!B119)</f>
        <v>R01-7705-230000-2135</v>
      </c>
      <c r="C48" s="738" t="str">
        <f>CONCATENATE('3 pr-2'!C119)</f>
        <v>09.1.3-CPVA-R-705-11-0002</v>
      </c>
      <c r="D48" s="90" t="s">
        <v>650</v>
      </c>
      <c r="E48" s="90" t="s">
        <v>161</v>
      </c>
      <c r="F48" s="90" t="s">
        <v>97</v>
      </c>
      <c r="G48" s="90" t="s">
        <v>1826</v>
      </c>
      <c r="H48" s="248" t="s">
        <v>140</v>
      </c>
      <c r="I48" s="15" t="s">
        <v>119</v>
      </c>
      <c r="J48" s="15" t="s">
        <v>66</v>
      </c>
      <c r="K48" s="17" t="s">
        <v>66</v>
      </c>
      <c r="L48" s="718">
        <f>SUM(M48:Q48)</f>
        <v>133554.21</v>
      </c>
      <c r="M48" s="718">
        <v>10026.209999999999</v>
      </c>
      <c r="N48" s="718">
        <v>10016</v>
      </c>
      <c r="O48" s="718">
        <v>0</v>
      </c>
      <c r="P48" s="718">
        <v>0</v>
      </c>
      <c r="Q48" s="718">
        <v>113512</v>
      </c>
      <c r="R48" s="718"/>
      <c r="S48" s="487">
        <v>42966</v>
      </c>
      <c r="T48" s="357">
        <v>43039</v>
      </c>
      <c r="U48" s="357">
        <v>43080</v>
      </c>
      <c r="V48" s="357">
        <v>43159</v>
      </c>
      <c r="W48" s="495">
        <v>43739</v>
      </c>
      <c r="X48" s="55"/>
      <c r="Y48" s="55"/>
      <c r="Z48" s="55"/>
      <c r="AB48" s="56">
        <v>123528</v>
      </c>
      <c r="AC48" s="56">
        <v>92.5</v>
      </c>
    </row>
    <row r="49" spans="1:29" ht="51.75" customHeight="1" thickBot="1" x14ac:dyDescent="0.3">
      <c r="A49" s="151" t="s">
        <v>32</v>
      </c>
      <c r="B49" s="714"/>
      <c r="C49" s="714"/>
      <c r="D49" s="1887" t="s">
        <v>630</v>
      </c>
      <c r="E49" s="1900"/>
      <c r="F49" s="1900"/>
      <c r="G49" s="1900"/>
      <c r="H49" s="1900"/>
      <c r="I49" s="1900"/>
      <c r="J49" s="1900"/>
      <c r="K49" s="1901"/>
      <c r="L49" s="1228">
        <f t="shared" ref="L49:Q49" si="23">SUM(L50+L52)</f>
        <v>391716.18</v>
      </c>
      <c r="M49" s="1228">
        <f t="shared" si="23"/>
        <v>17907.79</v>
      </c>
      <c r="N49" s="1228">
        <f t="shared" si="23"/>
        <v>29378.79</v>
      </c>
      <c r="O49" s="1228">
        <f t="shared" si="23"/>
        <v>11471</v>
      </c>
      <c r="P49" s="1228">
        <f t="shared" si="23"/>
        <v>0</v>
      </c>
      <c r="Q49" s="1228">
        <f t="shared" si="23"/>
        <v>332958.59999999998</v>
      </c>
      <c r="R49" s="1228"/>
      <c r="S49" s="132"/>
      <c r="T49" s="133"/>
      <c r="U49" s="133"/>
      <c r="V49" s="133"/>
      <c r="W49" s="168"/>
      <c r="X49" s="36">
        <f>SUM(X50+X52)</f>
        <v>332958.59999999998</v>
      </c>
      <c r="Y49" s="36">
        <f>SUM(Y50+Y52)</f>
        <v>399550.32</v>
      </c>
      <c r="Z49" s="36">
        <f>SUM(Z50+Z52)</f>
        <v>0</v>
      </c>
      <c r="AB49" s="52" t="str">
        <f>CONCATENATE(AB48*AC49/AC48)</f>
        <v>113512,216216216</v>
      </c>
      <c r="AC49" s="52">
        <v>85</v>
      </c>
    </row>
    <row r="50" spans="1:29" ht="36.75" customHeight="1" thickBot="1" x14ac:dyDescent="0.3">
      <c r="A50" s="327" t="s">
        <v>33</v>
      </c>
      <c r="B50" s="710"/>
      <c r="C50" s="710"/>
      <c r="D50" s="1885" t="s">
        <v>631</v>
      </c>
      <c r="E50" s="1894"/>
      <c r="F50" s="1894"/>
      <c r="G50" s="1894"/>
      <c r="H50" s="1894"/>
      <c r="I50" s="1894"/>
      <c r="J50" s="1894"/>
      <c r="K50" s="1895"/>
      <c r="L50" s="1215">
        <f t="shared" ref="L50:Q50" si="24">SUM(L51:L51)</f>
        <v>192719</v>
      </c>
      <c r="M50" s="1215">
        <f t="shared" si="24"/>
        <v>2983</v>
      </c>
      <c r="N50" s="1215">
        <f t="shared" si="24"/>
        <v>14454</v>
      </c>
      <c r="O50" s="1215">
        <f t="shared" si="24"/>
        <v>11471</v>
      </c>
      <c r="P50" s="1215">
        <f t="shared" si="24"/>
        <v>0</v>
      </c>
      <c r="Q50" s="1215">
        <f t="shared" si="24"/>
        <v>163811</v>
      </c>
      <c r="R50" s="1215"/>
      <c r="S50" s="91"/>
      <c r="T50" s="329"/>
      <c r="U50" s="329"/>
      <c r="V50" s="329"/>
      <c r="W50" s="329"/>
      <c r="X50" s="37">
        <v>163811</v>
      </c>
      <c r="Y50" s="37">
        <f>SUM(X50*120/100)</f>
        <v>196573.2</v>
      </c>
      <c r="Z50" s="37">
        <f>SUM(X50-Q50)</f>
        <v>0</v>
      </c>
      <c r="AB50" s="52" t="str">
        <f>CONCATENATE(AB48*AC50/AC48)</f>
        <v>10015,7837837838</v>
      </c>
      <c r="AC50" s="52">
        <v>7.5</v>
      </c>
    </row>
    <row r="51" spans="1:29" s="56" customFormat="1" ht="48.75" thickBot="1" x14ac:dyDescent="0.3">
      <c r="A51" s="90" t="str">
        <f>CONCATENATE('3 pr-2'!A132)</f>
        <v>2.1.2.1.11</v>
      </c>
      <c r="B51" s="90" t="str">
        <f>CONCATENATE('3 pr-2'!B132)</f>
        <v>R01-6609-274700-2221</v>
      </c>
      <c r="C51" s="738" t="str">
        <f>CONCATENATE('3 pr-2'!C129)</f>
        <v/>
      </c>
      <c r="D51" s="90" t="s">
        <v>1455</v>
      </c>
      <c r="E51" s="90" t="s">
        <v>161</v>
      </c>
      <c r="F51" s="90" t="s">
        <v>103</v>
      </c>
      <c r="G51" s="90" t="s">
        <v>1826</v>
      </c>
      <c r="H51" s="248" t="s">
        <v>153</v>
      </c>
      <c r="I51" s="15" t="s">
        <v>119</v>
      </c>
      <c r="J51" s="15" t="s">
        <v>66</v>
      </c>
      <c r="K51" s="17" t="s">
        <v>66</v>
      </c>
      <c r="L51" s="718">
        <f>SUM(M51:Q51)</f>
        <v>192719</v>
      </c>
      <c r="M51" s="718">
        <v>2983</v>
      </c>
      <c r="N51" s="718">
        <v>14454</v>
      </c>
      <c r="O51" s="718">
        <v>11471</v>
      </c>
      <c r="P51" s="718">
        <v>0</v>
      </c>
      <c r="Q51" s="718">
        <v>163811</v>
      </c>
      <c r="R51" s="718"/>
      <c r="S51" s="487">
        <v>43189</v>
      </c>
      <c r="T51" s="357">
        <v>43312</v>
      </c>
      <c r="U51" s="357">
        <v>43404</v>
      </c>
      <c r="V51" s="726">
        <v>43496</v>
      </c>
      <c r="W51" s="726">
        <v>44531</v>
      </c>
      <c r="X51" s="55"/>
      <c r="Y51" s="55"/>
      <c r="Z51" s="55"/>
    </row>
    <row r="52" spans="1:29" ht="30.75" customHeight="1" thickBot="1" x14ac:dyDescent="0.3">
      <c r="A52" s="327" t="s">
        <v>34</v>
      </c>
      <c r="B52" s="710"/>
      <c r="C52" s="710"/>
      <c r="D52" s="1885" t="str">
        <f>CONCATENATE('3 pr-2'!D135)</f>
        <v/>
      </c>
      <c r="E52" s="1946"/>
      <c r="F52" s="1946"/>
      <c r="G52" s="1946"/>
      <c r="H52" s="1946"/>
      <c r="I52" s="1946"/>
      <c r="J52" s="1946"/>
      <c r="K52" s="1947"/>
      <c r="L52" s="1215">
        <f t="shared" ref="L52:Q54" si="25">SUM(L53:L53)</f>
        <v>198997.18</v>
      </c>
      <c r="M52" s="1215">
        <f t="shared" si="25"/>
        <v>14924.79</v>
      </c>
      <c r="N52" s="1215">
        <f t="shared" si="25"/>
        <v>14924.79</v>
      </c>
      <c r="O52" s="1215">
        <f t="shared" si="25"/>
        <v>0</v>
      </c>
      <c r="P52" s="1215">
        <f t="shared" si="25"/>
        <v>0</v>
      </c>
      <c r="Q52" s="1215">
        <f t="shared" si="25"/>
        <v>169147.6</v>
      </c>
      <c r="R52" s="1215"/>
      <c r="S52" s="91"/>
      <c r="T52" s="329"/>
      <c r="U52" s="329"/>
      <c r="V52" s="329"/>
      <c r="W52" s="329"/>
      <c r="X52" s="37">
        <v>169147.6</v>
      </c>
      <c r="Y52" s="37">
        <f>SUM(X52*120/100)</f>
        <v>202977.12</v>
      </c>
      <c r="Z52" s="37">
        <f>SUM(X52-Q52)</f>
        <v>0</v>
      </c>
    </row>
    <row r="53" spans="1:29" s="56" customFormat="1" ht="48.75" thickBot="1" x14ac:dyDescent="0.3">
      <c r="A53" s="90" t="str">
        <f>CONCATENATE('3 pr-2'!A140)</f>
        <v>2.1.2.2.5</v>
      </c>
      <c r="B53" s="90" t="str">
        <f>CONCATENATE('3 pr-2'!B140)</f>
        <v>R01-6630-470000-2225</v>
      </c>
      <c r="C53" s="738" t="str">
        <f>CONCATENATE('3 pr-2'!C140)</f>
        <v>08.4.2-ESFA-R-630-11-0002</v>
      </c>
      <c r="D53" s="90" t="s">
        <v>1213</v>
      </c>
      <c r="E53" s="90" t="s">
        <v>1214</v>
      </c>
      <c r="F53" s="90" t="s">
        <v>103</v>
      </c>
      <c r="G53" s="90" t="s">
        <v>1826</v>
      </c>
      <c r="H53" s="248" t="s">
        <v>1193</v>
      </c>
      <c r="I53" s="15" t="s">
        <v>119</v>
      </c>
      <c r="J53" s="15" t="s">
        <v>66</v>
      </c>
      <c r="K53" s="17" t="s">
        <v>66</v>
      </c>
      <c r="L53" s="718">
        <v>198997.18</v>
      </c>
      <c r="M53" s="718">
        <v>14924.79</v>
      </c>
      <c r="N53" s="718">
        <v>14924.79</v>
      </c>
      <c r="O53" s="718">
        <v>0</v>
      </c>
      <c r="P53" s="718">
        <v>0</v>
      </c>
      <c r="Q53" s="734">
        <v>169147.6</v>
      </c>
      <c r="R53" s="734"/>
      <c r="S53" s="17"/>
      <c r="T53" s="173">
        <v>43189</v>
      </c>
      <c r="U53" s="173">
        <v>43217</v>
      </c>
      <c r="V53" s="735">
        <v>43278</v>
      </c>
      <c r="W53" s="173">
        <v>44561</v>
      </c>
      <c r="X53" s="55"/>
      <c r="Y53" s="55">
        <f>SUM(Q51+Q53)</f>
        <v>332958.59999999998</v>
      </c>
      <c r="Z53" s="55"/>
    </row>
    <row r="54" spans="1:29" ht="30.75" customHeight="1" thickBot="1" x14ac:dyDescent="0.3">
      <c r="A54" s="327" t="s">
        <v>1202</v>
      </c>
      <c r="B54" s="710"/>
      <c r="C54" s="710"/>
      <c r="D54" s="1885" t="str">
        <f>CONCATENATE('3 pr-2'!D141)</f>
        <v/>
      </c>
      <c r="E54" s="1946"/>
      <c r="F54" s="1946"/>
      <c r="G54" s="1946"/>
      <c r="H54" s="1946"/>
      <c r="I54" s="1946"/>
      <c r="J54" s="1946"/>
      <c r="K54" s="1947"/>
      <c r="L54" s="1221">
        <f t="shared" si="25"/>
        <v>15224</v>
      </c>
      <c r="M54" s="1221">
        <f t="shared" si="25"/>
        <v>1142</v>
      </c>
      <c r="N54" s="1221">
        <f t="shared" si="25"/>
        <v>1141.5999999999999</v>
      </c>
      <c r="O54" s="1221">
        <f t="shared" si="25"/>
        <v>0</v>
      </c>
      <c r="P54" s="1221">
        <f t="shared" si="25"/>
        <v>0</v>
      </c>
      <c r="Q54" s="1221">
        <f t="shared" si="25"/>
        <v>12940.4</v>
      </c>
      <c r="R54" s="1221"/>
      <c r="S54" s="91"/>
      <c r="T54" s="329"/>
      <c r="U54" s="329"/>
      <c r="V54" s="329"/>
      <c r="W54" s="329"/>
      <c r="X54" s="37">
        <v>12940</v>
      </c>
      <c r="Y54" s="37">
        <f>SUM(X54*120/100)</f>
        <v>15528</v>
      </c>
      <c r="Z54" s="37">
        <f>SUM(X54-Q54)</f>
        <v>-0.3999999999996362</v>
      </c>
    </row>
    <row r="55" spans="1:29" s="56" customFormat="1" ht="48.75" thickBot="1" x14ac:dyDescent="0.3">
      <c r="A55" s="90" t="str">
        <f>CONCATENATE('3 pr-2'!A144)</f>
        <v>2.1.2.3.3</v>
      </c>
      <c r="B55" s="90" t="str">
        <f>CONCATENATE('3 pr-2'!B144)</f>
        <v>R01-6615-470000-2233</v>
      </c>
      <c r="C55" s="738" t="str">
        <f>CONCATENATE('3 pr-2'!C144)</f>
        <v>08.4.2-ESFA-R-615-11-0001</v>
      </c>
      <c r="D55" s="90" t="s">
        <v>1223</v>
      </c>
      <c r="E55" s="90" t="s">
        <v>161</v>
      </c>
      <c r="F55" s="90" t="s">
        <v>103</v>
      </c>
      <c r="G55" s="90" t="s">
        <v>1826</v>
      </c>
      <c r="H55" s="248" t="s">
        <v>1208</v>
      </c>
      <c r="I55" s="15" t="s">
        <v>119</v>
      </c>
      <c r="J55" s="15" t="s">
        <v>66</v>
      </c>
      <c r="K55" s="17" t="s">
        <v>66</v>
      </c>
      <c r="L55" s="1226">
        <f>SUM(M55:Q55)</f>
        <v>15224</v>
      </c>
      <c r="M55" s="1226">
        <v>1142</v>
      </c>
      <c r="N55" s="1226">
        <v>1141.5999999999999</v>
      </c>
      <c r="O55" s="1226">
        <v>0</v>
      </c>
      <c r="P55" s="1226">
        <v>0</v>
      </c>
      <c r="Q55" s="1241">
        <v>12940.4</v>
      </c>
      <c r="R55" s="1241"/>
      <c r="S55" s="17"/>
      <c r="T55" s="173">
        <v>43189</v>
      </c>
      <c r="U55" s="173">
        <v>43189</v>
      </c>
      <c r="V55" s="735">
        <v>43250</v>
      </c>
      <c r="W55" s="173">
        <v>44561</v>
      </c>
      <c r="X55" s="55"/>
      <c r="Y55" s="55">
        <f>SUM(Q53+Q55)</f>
        <v>182088</v>
      </c>
      <c r="Z55" s="55"/>
      <c r="AB55" s="736"/>
    </row>
    <row r="56" spans="1:29" ht="42.75" customHeight="1" thickBot="1" x14ac:dyDescent="0.3">
      <c r="A56" s="151" t="s">
        <v>35</v>
      </c>
      <c r="B56" s="714"/>
      <c r="C56" s="714"/>
      <c r="D56" s="1887" t="s">
        <v>636</v>
      </c>
      <c r="E56" s="1900"/>
      <c r="F56" s="1900"/>
      <c r="G56" s="1900"/>
      <c r="H56" s="1900"/>
      <c r="I56" s="1900"/>
      <c r="J56" s="1900"/>
      <c r="K56" s="1901"/>
      <c r="L56" s="1228">
        <f t="shared" ref="L56:Q56" si="26">SUM(L57+L59)</f>
        <v>514918</v>
      </c>
      <c r="M56" s="1228">
        <f t="shared" si="26"/>
        <v>55587</v>
      </c>
      <c r="N56" s="1228">
        <f t="shared" si="26"/>
        <v>21947.85</v>
      </c>
      <c r="O56" s="1228">
        <f t="shared" si="26"/>
        <v>0</v>
      </c>
      <c r="P56" s="1228">
        <f t="shared" si="26"/>
        <v>0</v>
      </c>
      <c r="Q56" s="1228">
        <f t="shared" si="26"/>
        <v>437383.15</v>
      </c>
      <c r="R56" s="1228"/>
      <c r="S56" s="132"/>
      <c r="T56" s="133"/>
      <c r="U56" s="133"/>
      <c r="V56" s="133"/>
      <c r="W56" s="168"/>
      <c r="X56" s="36">
        <f>SUM(X57+X59)</f>
        <v>437382.655699722</v>
      </c>
      <c r="Y56" s="36">
        <f>SUM(Y57+Y59)</f>
        <v>524859.18683966645</v>
      </c>
      <c r="Z56" s="36">
        <f>SUM(Z57+Z59)</f>
        <v>-0.49430027802009135</v>
      </c>
    </row>
    <row r="57" spans="1:29" ht="34.5" customHeight="1" thickBot="1" x14ac:dyDescent="0.3">
      <c r="A57" s="327" t="s">
        <v>36</v>
      </c>
      <c r="B57" s="710"/>
      <c r="C57" s="710"/>
      <c r="D57" s="1885" t="s">
        <v>632</v>
      </c>
      <c r="E57" s="1894"/>
      <c r="F57" s="1894"/>
      <c r="G57" s="1894"/>
      <c r="H57" s="1894"/>
      <c r="I57" s="1894"/>
      <c r="J57" s="1894"/>
      <c r="K57" s="1895"/>
      <c r="L57" s="1215">
        <f>SUM(L58)</f>
        <v>146319</v>
      </c>
      <c r="M57" s="1215">
        <f>SUM(M58)</f>
        <v>0</v>
      </c>
      <c r="N57" s="1215">
        <f t="shared" ref="N57:P57" si="27">SUM(N58)</f>
        <v>21947.85</v>
      </c>
      <c r="O57" s="1215">
        <f t="shared" si="27"/>
        <v>0</v>
      </c>
      <c r="P57" s="1215">
        <f t="shared" si="27"/>
        <v>0</v>
      </c>
      <c r="Q57" s="1215">
        <f>SUM(Q58)</f>
        <v>124371.15</v>
      </c>
      <c r="R57" s="1215"/>
      <c r="S57" s="91"/>
      <c r="T57" s="329"/>
      <c r="U57" s="329"/>
      <c r="V57" s="329"/>
      <c r="W57" s="329"/>
      <c r="X57" s="37">
        <v>124370.65569972197</v>
      </c>
      <c r="Y57" s="37">
        <f>SUM(X57*120/100)</f>
        <v>149244.78683966637</v>
      </c>
      <c r="Z57" s="37">
        <f>SUM(X57-Q57)</f>
        <v>-0.49430027802009135</v>
      </c>
    </row>
    <row r="58" spans="1:29" ht="48.75" customHeight="1" thickBot="1" x14ac:dyDescent="0.3">
      <c r="A58" s="90" t="str">
        <f>CONCATENATE('3 pr-2'!A153)</f>
        <v>2.1.3.1.5</v>
      </c>
      <c r="B58" s="90" t="str">
        <f>CONCATENATE('3 pr-2'!B153)</f>
        <v>R01-4407-270000-2315</v>
      </c>
      <c r="C58" s="738" t="str">
        <f>CONCATENATE('3 pr-2'!C153)</f>
        <v>08.1.1-CPVA-R-407-11-0003</v>
      </c>
      <c r="D58" s="90" t="s">
        <v>316</v>
      </c>
      <c r="E58" s="90" t="s">
        <v>317</v>
      </c>
      <c r="F58" s="90" t="s">
        <v>106</v>
      </c>
      <c r="G58" s="90" t="s">
        <v>1826</v>
      </c>
      <c r="H58" s="248" t="s">
        <v>154</v>
      </c>
      <c r="I58" s="15" t="s">
        <v>119</v>
      </c>
      <c r="J58" s="15" t="s">
        <v>66</v>
      </c>
      <c r="K58" s="17" t="s">
        <v>66</v>
      </c>
      <c r="L58" s="718">
        <f>SUM(M58:Q58)</f>
        <v>146319</v>
      </c>
      <c r="M58" s="718">
        <v>0</v>
      </c>
      <c r="N58" s="1209">
        <v>21947.85</v>
      </c>
      <c r="O58" s="718">
        <v>0</v>
      </c>
      <c r="P58" s="718">
        <v>0</v>
      </c>
      <c r="Q58" s="1209">
        <v>124371.15</v>
      </c>
      <c r="R58" s="718"/>
      <c r="S58" s="487">
        <v>42618</v>
      </c>
      <c r="T58" s="357">
        <v>42669</v>
      </c>
      <c r="U58" s="357">
        <v>42737</v>
      </c>
      <c r="V58" s="357">
        <v>42855</v>
      </c>
      <c r="W58" s="495">
        <f>SUM('IV-1 su proj'!CH152)</f>
        <v>43615</v>
      </c>
      <c r="X58" s="34"/>
      <c r="Y58" s="34"/>
      <c r="Z58" s="34"/>
    </row>
    <row r="59" spans="1:29" ht="30" customHeight="1" thickBot="1" x14ac:dyDescent="0.3">
      <c r="A59" s="327" t="s">
        <v>37</v>
      </c>
      <c r="B59" s="710"/>
      <c r="C59" s="710"/>
      <c r="D59" s="1885" t="s">
        <v>633</v>
      </c>
      <c r="E59" s="1894"/>
      <c r="F59" s="1894"/>
      <c r="G59" s="1894"/>
      <c r="H59" s="1894"/>
      <c r="I59" s="1894"/>
      <c r="J59" s="1894"/>
      <c r="K59" s="1895"/>
      <c r="L59" s="1215">
        <f>SUM(L60)</f>
        <v>368599</v>
      </c>
      <c r="M59" s="1215">
        <f>SUM(M60)</f>
        <v>55587</v>
      </c>
      <c r="N59" s="1215"/>
      <c r="O59" s="1215"/>
      <c r="P59" s="1215"/>
      <c r="Q59" s="1215">
        <f>SUM(Q60)</f>
        <v>313012</v>
      </c>
      <c r="R59" s="1215"/>
      <c r="S59" s="91"/>
      <c r="T59" s="329"/>
      <c r="U59" s="329"/>
      <c r="V59" s="329"/>
      <c r="W59" s="329"/>
      <c r="X59" s="37">
        <v>313012</v>
      </c>
      <c r="Y59" s="37">
        <f>SUM(X59*120/100)</f>
        <v>375614.4</v>
      </c>
      <c r="Z59" s="37">
        <f>SUM(X59-Q59)</f>
        <v>0</v>
      </c>
    </row>
    <row r="60" spans="1:29" s="56" customFormat="1" ht="48.75" thickBot="1" x14ac:dyDescent="0.3">
      <c r="A60" s="90" t="str">
        <f>CONCATENATE('3 pr-2'!A159)</f>
        <v>2.1.3.2.5</v>
      </c>
      <c r="B60" s="90" t="str">
        <f>CONCATENATE('3 pr-2'!B159)</f>
        <v>R01-4408-252600-2325</v>
      </c>
      <c r="C60" s="738" t="str">
        <f>CONCATENATE('3 pr-2'!C159)</f>
        <v>08.1.2-CPVA-R-408-11-0004</v>
      </c>
      <c r="D60" s="90" t="s">
        <v>283</v>
      </c>
      <c r="E60" s="90" t="s">
        <v>161</v>
      </c>
      <c r="F60" s="90" t="s">
        <v>106</v>
      </c>
      <c r="G60" s="90" t="s">
        <v>1826</v>
      </c>
      <c r="H60" s="248" t="s">
        <v>155</v>
      </c>
      <c r="I60" s="15" t="s">
        <v>119</v>
      </c>
      <c r="J60" s="15" t="s">
        <v>66</v>
      </c>
      <c r="K60" s="17" t="s">
        <v>66</v>
      </c>
      <c r="L60" s="718">
        <f>SUM(M60:Q60)</f>
        <v>368599</v>
      </c>
      <c r="M60" s="718">
        <v>55587</v>
      </c>
      <c r="N60" s="718">
        <v>0</v>
      </c>
      <c r="O60" s="718">
        <v>0</v>
      </c>
      <c r="P60" s="718">
        <v>0</v>
      </c>
      <c r="Q60" s="718">
        <v>313012</v>
      </c>
      <c r="R60" s="718"/>
      <c r="S60" s="487">
        <v>42401</v>
      </c>
      <c r="T60" s="357">
        <v>42490</v>
      </c>
      <c r="U60" s="357">
        <v>42674</v>
      </c>
      <c r="V60" s="357">
        <v>42735</v>
      </c>
      <c r="W60" s="495">
        <v>43554</v>
      </c>
      <c r="X60" s="55"/>
      <c r="Y60" s="55"/>
      <c r="Z60" s="55"/>
    </row>
    <row r="61" spans="1:29" ht="38.25" customHeight="1" thickBot="1" x14ac:dyDescent="0.3">
      <c r="A61" s="151" t="s">
        <v>38</v>
      </c>
      <c r="B61" s="714"/>
      <c r="C61" s="714"/>
      <c r="D61" s="1887" t="s">
        <v>634</v>
      </c>
      <c r="E61" s="1888"/>
      <c r="F61" s="1888"/>
      <c r="G61" s="1888"/>
      <c r="H61" s="1888"/>
      <c r="I61" s="1888"/>
      <c r="J61" s="1888"/>
      <c r="K61" s="1889"/>
      <c r="L61" s="1235">
        <f t="shared" ref="L61:Q62" si="28">SUM(L62)</f>
        <v>163986.88</v>
      </c>
      <c r="M61" s="1235">
        <f t="shared" si="28"/>
        <v>24598.880000000001</v>
      </c>
      <c r="N61" s="1235">
        <f t="shared" si="28"/>
        <v>0</v>
      </c>
      <c r="O61" s="1235">
        <f t="shared" si="28"/>
        <v>0</v>
      </c>
      <c r="P61" s="1235">
        <f t="shared" si="28"/>
        <v>0</v>
      </c>
      <c r="Q61" s="1235">
        <f t="shared" si="28"/>
        <v>139388</v>
      </c>
      <c r="R61" s="1235"/>
      <c r="S61" s="154"/>
      <c r="T61" s="370"/>
      <c r="U61" s="371"/>
      <c r="V61" s="371"/>
      <c r="W61" s="372"/>
      <c r="X61" s="36">
        <f>SUM(X62)</f>
        <v>139389.14184089529</v>
      </c>
      <c r="Y61" s="36">
        <f>SUM(Y62)</f>
        <v>167266.97020907435</v>
      </c>
      <c r="Z61" s="36">
        <f>SUM(Z62)</f>
        <v>1.1418408952886239</v>
      </c>
    </row>
    <row r="62" spans="1:29" ht="30" customHeight="1" thickBot="1" x14ac:dyDescent="0.3">
      <c r="A62" s="327" t="s">
        <v>109</v>
      </c>
      <c r="B62" s="710"/>
      <c r="C62" s="710"/>
      <c r="D62" s="1885" t="s">
        <v>635</v>
      </c>
      <c r="E62" s="1894"/>
      <c r="F62" s="1894"/>
      <c r="G62" s="1894"/>
      <c r="H62" s="1894"/>
      <c r="I62" s="1894"/>
      <c r="J62" s="1894"/>
      <c r="K62" s="1895"/>
      <c r="L62" s="1215">
        <f>SUM(L63)</f>
        <v>163986.88</v>
      </c>
      <c r="M62" s="1215">
        <f>SUM(M63)</f>
        <v>24598.880000000001</v>
      </c>
      <c r="N62" s="1215">
        <f t="shared" si="28"/>
        <v>0</v>
      </c>
      <c r="O62" s="1215">
        <f t="shared" si="28"/>
        <v>0</v>
      </c>
      <c r="P62" s="1215">
        <f t="shared" si="28"/>
        <v>0</v>
      </c>
      <c r="Q62" s="1215">
        <f>SUM(Q63)</f>
        <v>139388</v>
      </c>
      <c r="R62" s="1215"/>
      <c r="S62" s="91"/>
      <c r="T62" s="329"/>
      <c r="U62" s="329"/>
      <c r="V62" s="329"/>
      <c r="W62" s="329"/>
      <c r="X62" s="37">
        <v>139389.14184089529</v>
      </c>
      <c r="Y62" s="37">
        <f>SUM(X62*120/100)</f>
        <v>167266.97020907435</v>
      </c>
      <c r="Z62" s="37">
        <f>SUM(X62-Q62)</f>
        <v>1.1418408952886239</v>
      </c>
    </row>
    <row r="63" spans="1:29" ht="48.75" thickBot="1" x14ac:dyDescent="0.3">
      <c r="A63" s="90" t="str">
        <f>CONCATENATE('3 pr-2'!A164)</f>
        <v>2.1.4.1.3</v>
      </c>
      <c r="B63" s="90" t="str">
        <f>CONCATENATE('3 pr-2'!B164)</f>
        <v>R01-9920-490000-2413</v>
      </c>
      <c r="C63" s="738" t="str">
        <f>CONCATENATE('3 pr-2'!C164)</f>
        <v>10.1.3-ESFA-R-920-11-0003</v>
      </c>
      <c r="D63" s="90" t="s">
        <v>399</v>
      </c>
      <c r="E63" s="90" t="s">
        <v>161</v>
      </c>
      <c r="F63" s="90" t="s">
        <v>75</v>
      </c>
      <c r="G63" s="90" t="s">
        <v>1826</v>
      </c>
      <c r="H63" s="248" t="s">
        <v>1138</v>
      </c>
      <c r="I63" s="15" t="s">
        <v>119</v>
      </c>
      <c r="J63" s="15" t="s">
        <v>66</v>
      </c>
      <c r="K63" s="17" t="s">
        <v>66</v>
      </c>
      <c r="L63" s="718">
        <f>SUM(M63:Q63)</f>
        <v>163986.88</v>
      </c>
      <c r="M63" s="718">
        <v>24598.880000000001</v>
      </c>
      <c r="N63" s="718">
        <v>0</v>
      </c>
      <c r="O63" s="718">
        <v>0</v>
      </c>
      <c r="P63" s="718">
        <v>0</v>
      </c>
      <c r="Q63" s="1771">
        <v>139388</v>
      </c>
      <c r="R63" s="718"/>
      <c r="S63" s="487">
        <v>43017</v>
      </c>
      <c r="T63" s="357">
        <v>43039</v>
      </c>
      <c r="U63" s="357">
        <v>43063</v>
      </c>
      <c r="V63" s="357">
        <v>43144</v>
      </c>
      <c r="W63" s="357">
        <v>44196</v>
      </c>
      <c r="X63" s="34"/>
      <c r="Y63" s="34"/>
      <c r="Z63" s="34"/>
    </row>
    <row r="64" spans="1:29" ht="39.75" customHeight="1" thickBot="1" x14ac:dyDescent="0.3">
      <c r="A64" s="158" t="s">
        <v>40</v>
      </c>
      <c r="B64" s="715"/>
      <c r="C64" s="715"/>
      <c r="D64" s="1897" t="s">
        <v>1408</v>
      </c>
      <c r="E64" s="1898"/>
      <c r="F64" s="1898"/>
      <c r="G64" s="1898"/>
      <c r="H64" s="1898"/>
      <c r="I64" s="1898"/>
      <c r="J64" s="1898"/>
      <c r="K64" s="1899"/>
      <c r="L64" s="153">
        <f t="shared" ref="L64:Q64" si="29">SUM(L65+L68)</f>
        <v>1151553.0217647059</v>
      </c>
      <c r="M64" s="153">
        <f t="shared" si="29"/>
        <v>199143.5121236539</v>
      </c>
      <c r="N64" s="153">
        <f t="shared" si="29"/>
        <v>0</v>
      </c>
      <c r="O64" s="153">
        <f t="shared" si="29"/>
        <v>0</v>
      </c>
      <c r="P64" s="153">
        <f t="shared" si="29"/>
        <v>0</v>
      </c>
      <c r="Q64" s="153">
        <f t="shared" si="29"/>
        <v>978820.08000000007</v>
      </c>
      <c r="R64" s="153"/>
      <c r="S64" s="153"/>
      <c r="T64" s="159"/>
      <c r="U64" s="159"/>
      <c r="V64" s="159"/>
      <c r="W64" s="167"/>
      <c r="X64" s="35">
        <f>SUM(X65+X68)</f>
        <v>989368.88</v>
      </c>
      <c r="Y64" s="35">
        <f>SUM(Y65+Y68)</f>
        <v>1187242.656</v>
      </c>
      <c r="Z64" s="35">
        <f>SUM(Z65+Z68)</f>
        <v>10548.799999999988</v>
      </c>
    </row>
    <row r="65" spans="1:26" ht="41.25" customHeight="1" thickBot="1" x14ac:dyDescent="0.3">
      <c r="A65" s="151" t="s">
        <v>41</v>
      </c>
      <c r="B65" s="714"/>
      <c r="C65" s="714"/>
      <c r="D65" s="1887" t="s">
        <v>1409</v>
      </c>
      <c r="E65" s="1900"/>
      <c r="F65" s="1900"/>
      <c r="G65" s="1900"/>
      <c r="H65" s="1900"/>
      <c r="I65" s="1900"/>
      <c r="J65" s="1900"/>
      <c r="K65" s="1901"/>
      <c r="L65" s="132">
        <f t="shared" ref="L65:Q65" si="30">SUM(L66)</f>
        <v>559462.21176470583</v>
      </c>
      <c r="M65" s="132">
        <f t="shared" si="30"/>
        <v>110329.9021236539</v>
      </c>
      <c r="N65" s="132">
        <f t="shared" si="30"/>
        <v>0</v>
      </c>
      <c r="O65" s="132">
        <f t="shared" si="30"/>
        <v>0</v>
      </c>
      <c r="P65" s="132">
        <f t="shared" si="30"/>
        <v>0</v>
      </c>
      <c r="Q65" s="132">
        <f t="shared" si="30"/>
        <v>475542.88</v>
      </c>
      <c r="R65" s="132"/>
      <c r="S65" s="132"/>
      <c r="T65" s="133"/>
      <c r="U65" s="133"/>
      <c r="V65" s="133"/>
      <c r="W65" s="168"/>
      <c r="X65" s="36">
        <f>SUM(X66)</f>
        <v>475542.88</v>
      </c>
      <c r="Y65" s="36">
        <f>SUM(Y66)</f>
        <v>570651.45600000001</v>
      </c>
      <c r="Z65" s="36">
        <f>SUM(Z66)</f>
        <v>0</v>
      </c>
    </row>
    <row r="66" spans="1:26" ht="36" customHeight="1" thickBot="1" x14ac:dyDescent="0.3">
      <c r="A66" s="327" t="s">
        <v>42</v>
      </c>
      <c r="B66" s="710"/>
      <c r="C66" s="710"/>
      <c r="D66" s="1885" t="s">
        <v>606</v>
      </c>
      <c r="E66" s="1894"/>
      <c r="F66" s="1894"/>
      <c r="G66" s="1894"/>
      <c r="H66" s="1894"/>
      <c r="I66" s="1894"/>
      <c r="J66" s="1894"/>
      <c r="K66" s="1895"/>
      <c r="L66" s="329">
        <f t="shared" ref="L66:Q66" si="31">SUM(L67:L67)</f>
        <v>559462.21176470583</v>
      </c>
      <c r="M66" s="329">
        <f t="shared" si="31"/>
        <v>110329.9021236539</v>
      </c>
      <c r="N66" s="329">
        <f t="shared" si="31"/>
        <v>0</v>
      </c>
      <c r="O66" s="329">
        <f t="shared" si="31"/>
        <v>0</v>
      </c>
      <c r="P66" s="329">
        <f t="shared" si="31"/>
        <v>0</v>
      </c>
      <c r="Q66" s="329">
        <f t="shared" si="31"/>
        <v>475542.88</v>
      </c>
      <c r="R66" s="329"/>
      <c r="S66" s="91"/>
      <c r="T66" s="329"/>
      <c r="U66" s="329"/>
      <c r="V66" s="329"/>
      <c r="W66" s="329"/>
      <c r="X66" s="37">
        <v>475542.88</v>
      </c>
      <c r="Y66" s="37">
        <f>SUM(X66*120/100)</f>
        <v>570651.45600000001</v>
      </c>
      <c r="Z66" s="37">
        <f>SUM(X66-Q66)</f>
        <v>0</v>
      </c>
    </row>
    <row r="67" spans="1:26" s="56" customFormat="1" ht="48.75" thickBot="1" x14ac:dyDescent="0.3">
      <c r="A67" s="125" t="str">
        <f>CONCATENATE('3 pr-2'!A171)</f>
        <v>3.1.1.1.1</v>
      </c>
      <c r="B67" s="125" t="str">
        <f>CONCATENATE('3 pr-2'!B171)</f>
        <v>R01-0008-050000-3111</v>
      </c>
      <c r="C67" s="738" t="str">
        <f>CONCATENATE('3 pr-2'!C171)</f>
        <v>05.2.1-APVA-R-008-11-0001</v>
      </c>
      <c r="D67" s="125" t="s">
        <v>310</v>
      </c>
      <c r="E67" s="125" t="s">
        <v>190</v>
      </c>
      <c r="F67" s="125" t="s">
        <v>77</v>
      </c>
      <c r="G67" s="125" t="s">
        <v>185</v>
      </c>
      <c r="H67" s="352" t="s">
        <v>191</v>
      </c>
      <c r="I67" s="376" t="s">
        <v>119</v>
      </c>
      <c r="J67" s="376" t="s">
        <v>66</v>
      </c>
      <c r="K67" s="306" t="s">
        <v>66</v>
      </c>
      <c r="L67" s="306">
        <v>559462.21176470583</v>
      </c>
      <c r="M67" s="306">
        <v>110329.9021236539</v>
      </c>
      <c r="N67" s="306">
        <v>0</v>
      </c>
      <c r="O67" s="306">
        <v>0</v>
      </c>
      <c r="P67" s="306">
        <v>0</v>
      </c>
      <c r="Q67" s="306">
        <v>475542.88</v>
      </c>
      <c r="R67" s="306"/>
      <c r="S67" s="306"/>
      <c r="T67" s="719">
        <v>42766</v>
      </c>
      <c r="U67" s="719">
        <v>42916</v>
      </c>
      <c r="V67" s="719">
        <v>43008</v>
      </c>
      <c r="W67" s="719">
        <v>43830</v>
      </c>
      <c r="X67" s="55"/>
      <c r="Y67" s="55"/>
      <c r="Z67" s="55"/>
    </row>
    <row r="68" spans="1:26" ht="34.5" customHeight="1" thickBot="1" x14ac:dyDescent="0.3">
      <c r="A68" s="151" t="s">
        <v>43</v>
      </c>
      <c r="B68" s="714"/>
      <c r="C68" s="714"/>
      <c r="D68" s="1887" t="s">
        <v>1410</v>
      </c>
      <c r="E68" s="1900"/>
      <c r="F68" s="1900"/>
      <c r="G68" s="1900"/>
      <c r="H68" s="1900"/>
      <c r="I68" s="1900"/>
      <c r="J68" s="1900"/>
      <c r="K68" s="1901"/>
      <c r="L68" s="132">
        <f t="shared" ref="L68:Q68" si="32">SUM(L69)</f>
        <v>592090.80999999994</v>
      </c>
      <c r="M68" s="132">
        <f t="shared" si="32"/>
        <v>88813.61</v>
      </c>
      <c r="N68" s="132">
        <f t="shared" si="32"/>
        <v>0</v>
      </c>
      <c r="O68" s="132">
        <f t="shared" si="32"/>
        <v>0</v>
      </c>
      <c r="P68" s="132">
        <f t="shared" si="32"/>
        <v>0</v>
      </c>
      <c r="Q68" s="132">
        <f t="shared" si="32"/>
        <v>503277.2</v>
      </c>
      <c r="R68" s="132"/>
      <c r="S68" s="132"/>
      <c r="T68" s="133"/>
      <c r="U68" s="133"/>
      <c r="V68" s="133"/>
      <c r="W68" s="168"/>
      <c r="X68" s="36">
        <f>SUM(X69)</f>
        <v>513826</v>
      </c>
      <c r="Y68" s="36">
        <f>SUM(Y69)</f>
        <v>616591.19999999995</v>
      </c>
      <c r="Z68" s="36">
        <f>SUM(Z69)</f>
        <v>10548.799999999988</v>
      </c>
    </row>
    <row r="69" spans="1:26" ht="43.5" customHeight="1" thickBot="1" x14ac:dyDescent="0.3">
      <c r="A69" s="327" t="s">
        <v>113</v>
      </c>
      <c r="B69" s="710"/>
      <c r="C69" s="710"/>
      <c r="D69" s="1885" t="s">
        <v>610</v>
      </c>
      <c r="E69" s="1894"/>
      <c r="F69" s="1894"/>
      <c r="G69" s="1894"/>
      <c r="H69" s="1894"/>
      <c r="I69" s="1894"/>
      <c r="J69" s="1894"/>
      <c r="K69" s="1895"/>
      <c r="L69" s="329">
        <f t="shared" ref="L69:Q69" si="33">SUM(L70:L71)</f>
        <v>592090.80999999994</v>
      </c>
      <c r="M69" s="329">
        <f t="shared" si="33"/>
        <v>88813.61</v>
      </c>
      <c r="N69" s="329">
        <f t="shared" si="33"/>
        <v>0</v>
      </c>
      <c r="O69" s="329">
        <f t="shared" si="33"/>
        <v>0</v>
      </c>
      <c r="P69" s="329">
        <f t="shared" si="33"/>
        <v>0</v>
      </c>
      <c r="Q69" s="329">
        <f t="shared" si="33"/>
        <v>503277.2</v>
      </c>
      <c r="R69" s="329"/>
      <c r="S69" s="91"/>
      <c r="T69" s="329"/>
      <c r="U69" s="329"/>
      <c r="V69" s="329"/>
      <c r="W69" s="329"/>
      <c r="X69" s="37">
        <v>513826</v>
      </c>
      <c r="Y69" s="37">
        <f>SUM(X69*120/100)</f>
        <v>616591.19999999995</v>
      </c>
      <c r="Z69" s="37">
        <f>SUM(X69-Q69)</f>
        <v>10548.799999999988</v>
      </c>
    </row>
    <row r="70" spans="1:26" ht="48.75" thickBot="1" x14ac:dyDescent="0.3">
      <c r="A70" s="90" t="str">
        <f>CONCATENATE('3 pr-2'!A179)</f>
        <v>3.1.2.1.6</v>
      </c>
      <c r="B70" s="90" t="str">
        <f>CONCATENATE('3 pr-2'!B179)</f>
        <v>R01-0019-380000-3216</v>
      </c>
      <c r="C70" s="738" t="str">
        <f>CONCATENATE('3 pr-2'!C179)</f>
        <v>05.5.1-APVA-R-019-11-0003</v>
      </c>
      <c r="D70" s="90" t="s">
        <v>292</v>
      </c>
      <c r="E70" s="90" t="s">
        <v>161</v>
      </c>
      <c r="F70" s="90" t="s">
        <v>77</v>
      </c>
      <c r="G70" s="90" t="s">
        <v>1826</v>
      </c>
      <c r="H70" s="248" t="s">
        <v>193</v>
      </c>
      <c r="I70" s="15" t="s">
        <v>119</v>
      </c>
      <c r="J70" s="15" t="s">
        <v>66</v>
      </c>
      <c r="K70" s="17" t="s">
        <v>66</v>
      </c>
      <c r="L70" s="718">
        <f t="shared" ref="L70" si="34">SUM(M70:Q70)</f>
        <v>442298.58999999997</v>
      </c>
      <c r="M70" s="718">
        <v>66344.78</v>
      </c>
      <c r="N70" s="718">
        <v>0</v>
      </c>
      <c r="O70" s="718">
        <v>0</v>
      </c>
      <c r="P70" s="718">
        <v>0</v>
      </c>
      <c r="Q70" s="718">
        <v>375953.81</v>
      </c>
      <c r="R70" s="718"/>
      <c r="S70" s="988">
        <v>42598</v>
      </c>
      <c r="T70" s="173">
        <v>42704</v>
      </c>
      <c r="U70" s="173">
        <v>42825</v>
      </c>
      <c r="V70" s="173">
        <v>42935</v>
      </c>
      <c r="W70" s="1769">
        <v>43465</v>
      </c>
      <c r="X70" s="34"/>
      <c r="Y70" s="34"/>
      <c r="Z70" s="34"/>
    </row>
    <row r="71" spans="1:26" ht="48.75" thickBot="1" x14ac:dyDescent="0.3">
      <c r="A71" s="90" t="str">
        <f>CONCATENATE('3 pr-2'!A180)</f>
        <v>3.1.2.1.7</v>
      </c>
      <c r="B71" s="90" t="str">
        <f>CONCATENATE('3 pr-2'!B180)</f>
        <v>R01-0019-283800-3217</v>
      </c>
      <c r="C71" s="738" t="str">
        <f>CONCATENATE('3 pr-2'!C180)</f>
        <v/>
      </c>
      <c r="D71" s="90" t="s">
        <v>1467</v>
      </c>
      <c r="E71" s="90" t="s">
        <v>161</v>
      </c>
      <c r="F71" s="90" t="s">
        <v>77</v>
      </c>
      <c r="G71" s="90" t="s">
        <v>1826</v>
      </c>
      <c r="H71" s="248" t="s">
        <v>193</v>
      </c>
      <c r="I71" s="15" t="s">
        <v>119</v>
      </c>
      <c r="J71" s="15" t="s">
        <v>66</v>
      </c>
      <c r="K71" s="17" t="s">
        <v>66</v>
      </c>
      <c r="L71" s="718">
        <f t="shared" ref="L71" si="35">SUM(M71:Q71)</f>
        <v>149792.22</v>
      </c>
      <c r="M71" s="718">
        <v>22468.83</v>
      </c>
      <c r="N71" s="718">
        <v>0</v>
      </c>
      <c r="O71" s="718">
        <v>0</v>
      </c>
      <c r="P71" s="718">
        <v>0</v>
      </c>
      <c r="Q71" s="718">
        <v>127323.39</v>
      </c>
      <c r="R71" s="718"/>
      <c r="S71" s="988">
        <v>43277</v>
      </c>
      <c r="T71" s="1778">
        <v>43343</v>
      </c>
      <c r="U71" s="1778">
        <v>43495</v>
      </c>
      <c r="V71" s="1778">
        <v>43554</v>
      </c>
      <c r="W71" s="311">
        <v>44469</v>
      </c>
      <c r="X71" s="34"/>
      <c r="Y71" s="34"/>
      <c r="Z71" s="34"/>
    </row>
    <row r="72" spans="1:26" ht="15.75" thickBot="1" x14ac:dyDescent="0.3">
      <c r="A72" s="59"/>
      <c r="B72" s="60"/>
      <c r="C72" s="60"/>
      <c r="D72" s="60"/>
      <c r="E72" s="60"/>
      <c r="F72" s="60"/>
      <c r="G72" s="60"/>
      <c r="H72" s="61"/>
      <c r="I72" s="67"/>
      <c r="J72" s="67"/>
      <c r="K72" s="67"/>
      <c r="L72" s="50">
        <f t="shared" ref="L72:Q72" si="36">SUM(L5+L41+L64)</f>
        <v>7638864.7935294127</v>
      </c>
      <c r="M72" s="50">
        <f t="shared" si="36"/>
        <v>1012238.1838883598</v>
      </c>
      <c r="N72" s="50">
        <f t="shared" si="36"/>
        <v>236308.65999999997</v>
      </c>
      <c r="O72" s="50">
        <f t="shared" si="36"/>
        <v>652794.74</v>
      </c>
      <c r="P72" s="50">
        <f t="shared" si="36"/>
        <v>0</v>
      </c>
      <c r="Q72" s="50">
        <f t="shared" si="36"/>
        <v>5763933.7800000003</v>
      </c>
      <c r="R72" s="364"/>
      <c r="S72" s="364"/>
      <c r="T72" s="67"/>
      <c r="U72" s="67"/>
      <c r="V72" s="67"/>
      <c r="W72" s="737"/>
      <c r="X72" s="51">
        <f>SUM(X5+X41+X64)</f>
        <v>5755741.3232784206</v>
      </c>
      <c r="Y72" s="51">
        <f>SUM(Y5+Y41+Y64)</f>
        <v>6906889.5879341066</v>
      </c>
      <c r="Z72" s="51">
        <f>SUM(Z5+Z41+Z64)</f>
        <v>-8192.4567215788702</v>
      </c>
    </row>
    <row r="73" spans="1:26" ht="15.75" thickTop="1" x14ac:dyDescent="0.25"/>
    <row r="74" spans="1:26" x14ac:dyDescent="0.25">
      <c r="P74" s="69"/>
    </row>
    <row r="75" spans="1:26" x14ac:dyDescent="0.25">
      <c r="N75" s="52">
        <v>777879.2799999998</v>
      </c>
      <c r="O75" s="52">
        <v>3352807.77</v>
      </c>
    </row>
    <row r="77" spans="1:26" x14ac:dyDescent="0.25">
      <c r="N77" s="69">
        <f>SUM(N75*O77/O75)</f>
        <v>110329.9021236539</v>
      </c>
      <c r="O77" s="52">
        <v>475542.88</v>
      </c>
    </row>
  </sheetData>
  <mergeCells count="41">
    <mergeCell ref="D5:K5"/>
    <mergeCell ref="D41:K41"/>
    <mergeCell ref="Z2:Z3"/>
    <mergeCell ref="A2:K2"/>
    <mergeCell ref="L2:Q2"/>
    <mergeCell ref="X2:X3"/>
    <mergeCell ref="Y2:Y3"/>
    <mergeCell ref="S2:W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3"/>
  <sheetViews>
    <sheetView topLeftCell="B1" workbookViewId="0">
      <pane ySplit="2640" topLeftCell="A73" activePane="bottomLeft"/>
      <selection activeCell="C1" sqref="C1:C1048576"/>
      <selection pane="bottomLeft" activeCell="Q77" sqref="Q77"/>
    </sheetView>
  </sheetViews>
  <sheetFormatPr defaultColWidth="9.140625" defaultRowHeight="15" x14ac:dyDescent="0.25"/>
  <cols>
    <col min="1" max="1" width="9.140625" style="25"/>
    <col min="2" max="2" width="11.28515625" style="25" customWidth="1"/>
    <col min="3" max="3" width="12.5703125" style="25" hidden="1" customWidth="1"/>
    <col min="4" max="4" width="27.5703125" style="25" customWidth="1"/>
    <col min="5" max="5" width="10.28515625" style="25" customWidth="1"/>
    <col min="6" max="6" width="14.42578125" style="25" bestFit="1" customWidth="1"/>
    <col min="7" max="7" width="11.42578125" style="25" customWidth="1"/>
    <col min="8" max="8" width="17.42578125" style="25" customWidth="1"/>
    <col min="9" max="11" width="9.140625" style="25"/>
    <col min="12" max="12" width="16.42578125" style="25" bestFit="1" customWidth="1"/>
    <col min="13" max="13" width="14.28515625" style="25" bestFit="1" customWidth="1"/>
    <col min="14" max="14" width="12.7109375" style="25" bestFit="1" customWidth="1"/>
    <col min="15" max="15" width="10.85546875" style="25" bestFit="1" customWidth="1"/>
    <col min="16" max="16" width="9.7109375" style="25" bestFit="1" customWidth="1"/>
    <col min="17" max="17" width="16.42578125" style="25" bestFit="1" customWidth="1"/>
    <col min="18" max="18" width="11.42578125" style="25" customWidth="1"/>
    <col min="19" max="19" width="12.7109375" style="25" hidden="1" customWidth="1"/>
    <col min="20" max="20" width="11.85546875" style="25" customWidth="1"/>
    <col min="21" max="21" width="10.28515625" style="25" customWidth="1"/>
    <col min="22" max="22" width="9.140625" style="25"/>
    <col min="23" max="23" width="10.85546875" style="176" customWidth="1"/>
    <col min="24" max="25" width="18" style="25" hidden="1" customWidth="1"/>
    <col min="26" max="26" width="22.42578125" style="25" hidden="1" customWidth="1"/>
    <col min="27" max="27" width="9.140625" style="25" customWidth="1"/>
    <col min="28" max="16384" width="9.140625" style="25"/>
  </cols>
  <sheetData>
    <row r="1" spans="1:26" ht="15.75" thickBot="1" x14ac:dyDescent="0.3">
      <c r="A1" s="26" t="s">
        <v>73</v>
      </c>
      <c r="B1" s="26"/>
      <c r="C1" s="26"/>
    </row>
    <row r="2" spans="1:26" ht="16.5" customHeight="1" thickTop="1" thickBot="1" x14ac:dyDescent="0.3">
      <c r="A2" s="1956" t="s">
        <v>46</v>
      </c>
      <c r="B2" s="1957"/>
      <c r="C2" s="1957"/>
      <c r="D2" s="1957"/>
      <c r="E2" s="1957"/>
      <c r="F2" s="1957"/>
      <c r="G2" s="1957"/>
      <c r="H2" s="1957"/>
      <c r="I2" s="1957"/>
      <c r="J2" s="1957"/>
      <c r="K2" s="1958"/>
      <c r="L2" s="1959" t="s">
        <v>47</v>
      </c>
      <c r="M2" s="1957"/>
      <c r="N2" s="1957"/>
      <c r="O2" s="1957"/>
      <c r="P2" s="1957"/>
      <c r="Q2" s="1958"/>
      <c r="R2" s="1327"/>
      <c r="S2" s="1959" t="s">
        <v>48</v>
      </c>
      <c r="T2" s="1961"/>
      <c r="U2" s="1961"/>
      <c r="V2" s="1961"/>
      <c r="W2" s="1962"/>
      <c r="X2" s="1954" t="s">
        <v>117</v>
      </c>
      <c r="Y2" s="1954" t="s">
        <v>118</v>
      </c>
      <c r="Z2" s="1954" t="s">
        <v>122</v>
      </c>
    </row>
    <row r="3" spans="1:26" ht="84.75" thickBot="1" x14ac:dyDescent="0.3">
      <c r="A3" s="27" t="s">
        <v>7</v>
      </c>
      <c r="B3" s="28" t="str">
        <f>CONCATENATE('3 pr-2'!B4)</f>
        <v xml:space="preserve">Unikalus numeris**** </v>
      </c>
      <c r="C3" s="28" t="str">
        <f>CONCATENATE('3 pr-2'!C4)</f>
        <v>Projekto kodas</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1806</v>
      </c>
      <c r="S3" s="720" t="s">
        <v>1144</v>
      </c>
      <c r="T3" s="28" t="s">
        <v>62</v>
      </c>
      <c r="U3" s="28" t="s">
        <v>63</v>
      </c>
      <c r="V3" s="28" t="s">
        <v>64</v>
      </c>
      <c r="W3" s="163" t="s">
        <v>65</v>
      </c>
      <c r="X3" s="1955"/>
      <c r="Y3" s="1955"/>
      <c r="Z3" s="1955"/>
    </row>
    <row r="4" spans="1:26" ht="15.75" thickBot="1" x14ac:dyDescent="0.3">
      <c r="A4" s="31"/>
      <c r="B4" s="32"/>
      <c r="C4" s="32"/>
      <c r="D4" s="32"/>
      <c r="E4" s="32"/>
      <c r="F4" s="32"/>
      <c r="G4" s="32"/>
      <c r="H4" s="33"/>
      <c r="I4" s="32"/>
      <c r="J4" s="32"/>
      <c r="K4" s="32"/>
      <c r="L4" s="32"/>
      <c r="M4" s="32"/>
      <c r="N4" s="32"/>
      <c r="O4" s="32"/>
      <c r="P4" s="32"/>
      <c r="Q4" s="32"/>
      <c r="R4" s="32"/>
      <c r="S4" s="32"/>
      <c r="T4" s="32"/>
      <c r="U4" s="32"/>
      <c r="V4" s="32"/>
      <c r="W4" s="177"/>
      <c r="X4" s="34"/>
      <c r="Y4" s="34"/>
      <c r="Z4" s="34"/>
    </row>
    <row r="5" spans="1:26" ht="59.25" customHeight="1" thickBot="1" x14ac:dyDescent="0.3">
      <c r="A5" s="158" t="s">
        <v>11</v>
      </c>
      <c r="B5" s="715"/>
      <c r="C5" s="715"/>
      <c r="D5" s="1897" t="s">
        <v>1405</v>
      </c>
      <c r="E5" s="1898"/>
      <c r="F5" s="1898"/>
      <c r="G5" s="1898"/>
      <c r="H5" s="1898"/>
      <c r="I5" s="1898"/>
      <c r="J5" s="1898"/>
      <c r="K5" s="1899"/>
      <c r="L5" s="153">
        <f t="shared" ref="L5:Q5" si="0">SUM(L6+L37)</f>
        <v>10986522.361764707</v>
      </c>
      <c r="M5" s="153">
        <f t="shared" si="0"/>
        <v>1024128.6017647058</v>
      </c>
      <c r="N5" s="153">
        <f t="shared" si="0"/>
        <v>571513.22</v>
      </c>
      <c r="O5" s="153">
        <f t="shared" si="0"/>
        <v>862874.97</v>
      </c>
      <c r="P5" s="153">
        <f t="shared" si="0"/>
        <v>62660</v>
      </c>
      <c r="Q5" s="153">
        <f t="shared" si="0"/>
        <v>8465345.5700000003</v>
      </c>
      <c r="R5" s="153"/>
      <c r="S5" s="153"/>
      <c r="T5" s="159" t="s">
        <v>66</v>
      </c>
      <c r="U5" s="159" t="s">
        <v>66</v>
      </c>
      <c r="V5" s="159" t="s">
        <v>66</v>
      </c>
      <c r="W5" s="167"/>
      <c r="X5" s="35">
        <f>SUM(X6+X37)</f>
        <v>8709654.9474999998</v>
      </c>
      <c r="Y5" s="35">
        <f>SUM(Y6+Y37)</f>
        <v>10451585.937000003</v>
      </c>
      <c r="Z5" s="35">
        <f>SUM(Q6+Q37)</f>
        <v>8465345.5700000003</v>
      </c>
    </row>
    <row r="6" spans="1:26" ht="49.5" customHeight="1" thickBot="1" x14ac:dyDescent="0.3">
      <c r="A6" s="151" t="s">
        <v>12</v>
      </c>
      <c r="B6" s="714"/>
      <c r="C6" s="714"/>
      <c r="D6" s="1887" t="s">
        <v>1406</v>
      </c>
      <c r="E6" s="1900"/>
      <c r="F6" s="1900"/>
      <c r="G6" s="1900"/>
      <c r="H6" s="1900"/>
      <c r="I6" s="1900"/>
      <c r="J6" s="1900"/>
      <c r="K6" s="1901"/>
      <c r="L6" s="132">
        <f t="shared" ref="L6:Q6" si="1">SUM(L7+L13+L16+L23+L25+L27+L29+L33+L35)</f>
        <v>10054545.361764707</v>
      </c>
      <c r="M6" s="132">
        <f t="shared" si="1"/>
        <v>946991.60176470585</v>
      </c>
      <c r="N6" s="132">
        <f t="shared" si="1"/>
        <v>571513.22</v>
      </c>
      <c r="O6" s="132">
        <f t="shared" si="1"/>
        <v>862874.97</v>
      </c>
      <c r="P6" s="132">
        <f t="shared" si="1"/>
        <v>0</v>
      </c>
      <c r="Q6" s="132">
        <f t="shared" si="1"/>
        <v>7673165.5699999994</v>
      </c>
      <c r="R6" s="132"/>
      <c r="S6" s="132"/>
      <c r="T6" s="133" t="s">
        <v>66</v>
      </c>
      <c r="U6" s="133" t="s">
        <v>66</v>
      </c>
      <c r="V6" s="133" t="s">
        <v>66</v>
      </c>
      <c r="W6" s="168"/>
      <c r="X6" s="36">
        <f>SUM(X7+X13+X16+X23+X25+X27+X29+X33+X35)</f>
        <v>7673165.9474999998</v>
      </c>
      <c r="Y6" s="36">
        <f>SUM(Y7+Y13+Y16+Y23+Y25+Y27+Y29+Y33+Y35)</f>
        <v>9207799.137000002</v>
      </c>
      <c r="Z6" s="36">
        <f>SUM(Q7+Q13+Q16+Q25+Q29+Q33+Q35)</f>
        <v>7673165.5699999994</v>
      </c>
    </row>
    <row r="7" spans="1:26" ht="33" customHeight="1" thickBot="1" x14ac:dyDescent="0.3">
      <c r="A7" s="327" t="s">
        <v>67</v>
      </c>
      <c r="B7" s="710"/>
      <c r="C7" s="710"/>
      <c r="D7" s="1885" t="s">
        <v>604</v>
      </c>
      <c r="E7" s="1894"/>
      <c r="F7" s="1894"/>
      <c r="G7" s="1894"/>
      <c r="H7" s="1894"/>
      <c r="I7" s="1894"/>
      <c r="J7" s="1894"/>
      <c r="K7" s="1895"/>
      <c r="L7" s="329">
        <f t="shared" ref="L7:Q7" si="2">SUM(L8:L12)</f>
        <v>991499</v>
      </c>
      <c r="M7" s="329">
        <f t="shared" si="2"/>
        <v>198300</v>
      </c>
      <c r="N7" s="329">
        <f t="shared" si="2"/>
        <v>118980</v>
      </c>
      <c r="O7" s="329">
        <f t="shared" si="2"/>
        <v>0</v>
      </c>
      <c r="P7" s="329">
        <f t="shared" si="2"/>
        <v>0</v>
      </c>
      <c r="Q7" s="329">
        <f t="shared" si="2"/>
        <v>674219</v>
      </c>
      <c r="R7" s="329"/>
      <c r="S7" s="91"/>
      <c r="T7" s="329" t="s">
        <v>66</v>
      </c>
      <c r="U7" s="329" t="s">
        <v>66</v>
      </c>
      <c r="V7" s="329" t="s">
        <v>66</v>
      </c>
      <c r="W7" s="329"/>
      <c r="X7" s="37">
        <v>674218</v>
      </c>
      <c r="Y7" s="37">
        <f>SUM(X7*120/100)</f>
        <v>809061.6</v>
      </c>
      <c r="Z7" s="38">
        <f>SUM(X7-Q7)</f>
        <v>-1</v>
      </c>
    </row>
    <row r="8" spans="1:26" ht="60.75" thickBot="1" x14ac:dyDescent="0.3">
      <c r="A8" s="90" t="str">
        <f>CONCATENATE('3 pr-2'!A23)</f>
        <v>1.1.1.1.14</v>
      </c>
      <c r="B8" s="90" t="str">
        <f>CONCATENATE('3 pr-2'!B23)</f>
        <v>R01-ZM72-122900-1114</v>
      </c>
      <c r="C8" s="738" t="str">
        <f>CONCATENATE('3 pr-2'!C23)</f>
        <v>20KI-KA-17-1-01647-PR001</v>
      </c>
      <c r="D8" s="90" t="s">
        <v>431</v>
      </c>
      <c r="E8" s="90" t="s">
        <v>347</v>
      </c>
      <c r="F8" s="90" t="s">
        <v>74</v>
      </c>
      <c r="G8" s="90" t="s">
        <v>1484</v>
      </c>
      <c r="H8" s="90" t="s">
        <v>444</v>
      </c>
      <c r="I8" s="15" t="s">
        <v>119</v>
      </c>
      <c r="J8" s="15" t="s">
        <v>66</v>
      </c>
      <c r="K8" s="15" t="s">
        <v>66</v>
      </c>
      <c r="L8" s="17">
        <f>SUM(M8:Q8)</f>
        <v>215626</v>
      </c>
      <c r="M8" s="17">
        <v>43125</v>
      </c>
      <c r="N8" s="17">
        <v>25875</v>
      </c>
      <c r="O8" s="17">
        <v>0</v>
      </c>
      <c r="P8" s="17">
        <v>0</v>
      </c>
      <c r="Q8" s="17">
        <v>146626</v>
      </c>
      <c r="R8" s="17"/>
      <c r="S8" s="487">
        <v>42643</v>
      </c>
      <c r="T8" s="357">
        <v>42855</v>
      </c>
      <c r="U8" s="357">
        <v>43010</v>
      </c>
      <c r="V8" s="726">
        <v>43102</v>
      </c>
      <c r="W8" s="357">
        <v>43830</v>
      </c>
      <c r="X8" s="34"/>
      <c r="Y8" s="34"/>
      <c r="Z8" s="34"/>
    </row>
    <row r="9" spans="1:26" ht="60.75" thickBot="1" x14ac:dyDescent="0.3">
      <c r="A9" s="90" t="str">
        <f>CONCATENATE('3 pr-2'!A26)</f>
        <v>1.1.1.1.17</v>
      </c>
      <c r="B9" s="90" t="str">
        <f>CONCATENATE('3 pr-2'!B26)</f>
        <v>R01-ZM72-120000-1117</v>
      </c>
      <c r="C9" s="738" t="str">
        <f>CONCATENATE('3 pr-2'!C26)</f>
        <v>20KI-KA-17-1-01639-PR001</v>
      </c>
      <c r="D9" s="90" t="s">
        <v>434</v>
      </c>
      <c r="E9" s="90" t="s">
        <v>347</v>
      </c>
      <c r="F9" s="90" t="s">
        <v>74</v>
      </c>
      <c r="G9" s="90" t="s">
        <v>1484</v>
      </c>
      <c r="H9" s="90" t="s">
        <v>444</v>
      </c>
      <c r="I9" s="15" t="s">
        <v>119</v>
      </c>
      <c r="J9" s="15" t="s">
        <v>66</v>
      </c>
      <c r="K9" s="15" t="s">
        <v>66</v>
      </c>
      <c r="L9" s="17">
        <f>SUM(M9:Q9)</f>
        <v>115824</v>
      </c>
      <c r="M9" s="17">
        <v>23165</v>
      </c>
      <c r="N9" s="17">
        <v>13899</v>
      </c>
      <c r="O9" s="17">
        <v>0</v>
      </c>
      <c r="P9" s="17">
        <v>0</v>
      </c>
      <c r="Q9" s="17">
        <v>78760</v>
      </c>
      <c r="R9" s="17"/>
      <c r="S9" s="487">
        <v>42643</v>
      </c>
      <c r="T9" s="357">
        <v>42855</v>
      </c>
      <c r="U9" s="357">
        <v>43010</v>
      </c>
      <c r="V9" s="726">
        <v>43102</v>
      </c>
      <c r="W9" s="357">
        <v>43830</v>
      </c>
      <c r="X9" s="34">
        <v>100</v>
      </c>
      <c r="Y9" s="34"/>
      <c r="Z9" s="41"/>
    </row>
    <row r="10" spans="1:26" ht="60.75" thickBot="1" x14ac:dyDescent="0.3">
      <c r="A10" s="90" t="str">
        <f>CONCATENATE('3 pr-2'!A27)</f>
        <v>1.1.1.1.18</v>
      </c>
      <c r="B10" s="90" t="str">
        <f>CONCATENATE('3 pr-2'!B27)</f>
        <v>R01-ZM72-340000-1118</v>
      </c>
      <c r="C10" s="738" t="str">
        <f>CONCATENATE('3 pr-2'!C27)</f>
        <v>20KI-KA-17-1-01666-PR001</v>
      </c>
      <c r="D10" s="90" t="s">
        <v>435</v>
      </c>
      <c r="E10" s="90" t="s">
        <v>347</v>
      </c>
      <c r="F10" s="90" t="s">
        <v>74</v>
      </c>
      <c r="G10" s="90" t="s">
        <v>1484</v>
      </c>
      <c r="H10" s="90" t="s">
        <v>444</v>
      </c>
      <c r="I10" s="15" t="s">
        <v>119</v>
      </c>
      <c r="J10" s="15" t="s">
        <v>66</v>
      </c>
      <c r="K10" s="15" t="s">
        <v>66</v>
      </c>
      <c r="L10" s="17">
        <f>SUM(M10:Q10)</f>
        <v>250000</v>
      </c>
      <c r="M10" s="17">
        <v>50000</v>
      </c>
      <c r="N10" s="17">
        <v>30000</v>
      </c>
      <c r="O10" s="17">
        <v>0</v>
      </c>
      <c r="P10" s="17">
        <v>0</v>
      </c>
      <c r="Q10" s="17">
        <v>170000</v>
      </c>
      <c r="R10" s="17"/>
      <c r="S10" s="487">
        <v>42643</v>
      </c>
      <c r="T10" s="357">
        <v>42855</v>
      </c>
      <c r="U10" s="357">
        <v>43010</v>
      </c>
      <c r="V10" s="726">
        <v>43102</v>
      </c>
      <c r="W10" s="357">
        <v>43830</v>
      </c>
      <c r="X10" s="34">
        <v>85</v>
      </c>
      <c r="Y10" s="34"/>
      <c r="Z10" s="41"/>
    </row>
    <row r="11" spans="1:26" ht="60.75" thickBot="1" x14ac:dyDescent="0.3">
      <c r="A11" s="90" t="str">
        <f>CONCATENATE('3 pr-2'!A29)</f>
        <v>1.1.1.1.20</v>
      </c>
      <c r="B11" s="90" t="str">
        <f>CONCATENATE('3 pr-2'!B29)</f>
        <v>R01-ZM72-340000-1120</v>
      </c>
      <c r="C11" s="738" t="str">
        <f>CONCATENATE('3 pr-2'!C29)</f>
        <v>20KI-KA-17-1-01736-PR001</v>
      </c>
      <c r="D11" s="90" t="s">
        <v>437</v>
      </c>
      <c r="E11" s="90" t="s">
        <v>347</v>
      </c>
      <c r="F11" s="90" t="s">
        <v>74</v>
      </c>
      <c r="G11" s="90" t="s">
        <v>1484</v>
      </c>
      <c r="H11" s="90" t="s">
        <v>444</v>
      </c>
      <c r="I11" s="15" t="s">
        <v>119</v>
      </c>
      <c r="J11" s="15" t="s">
        <v>66</v>
      </c>
      <c r="K11" s="15" t="s">
        <v>66</v>
      </c>
      <c r="L11" s="17">
        <f>SUM(M11:Q11)</f>
        <v>250000</v>
      </c>
      <c r="M11" s="17">
        <v>50000</v>
      </c>
      <c r="N11" s="17">
        <v>30000</v>
      </c>
      <c r="O11" s="17">
        <v>0</v>
      </c>
      <c r="P11" s="17">
        <v>0</v>
      </c>
      <c r="Q11" s="17">
        <v>170000</v>
      </c>
      <c r="R11" s="17"/>
      <c r="S11" s="487">
        <v>42643</v>
      </c>
      <c r="T11" s="357">
        <v>42855</v>
      </c>
      <c r="U11" s="357">
        <v>43010</v>
      </c>
      <c r="V11" s="726">
        <v>43102</v>
      </c>
      <c r="W11" s="357">
        <v>43830</v>
      </c>
      <c r="X11" s="39">
        <v>15</v>
      </c>
      <c r="Y11" s="39"/>
      <c r="Z11" s="40"/>
    </row>
    <row r="12" spans="1:26" ht="60.75" thickBot="1" x14ac:dyDescent="0.3">
      <c r="A12" s="90" t="str">
        <f>CONCATENATE('3 pr-2'!A32)</f>
        <v>1.1.1.1.23</v>
      </c>
      <c r="B12" s="90" t="str">
        <f>CONCATENATE('3 pr-2'!B32)</f>
        <v>R01-ZM72-120000-1123</v>
      </c>
      <c r="C12" s="738" t="str">
        <f>CONCATENATE('3 pr-2'!C32)</f>
        <v/>
      </c>
      <c r="D12" s="90" t="s">
        <v>440</v>
      </c>
      <c r="E12" s="90" t="s">
        <v>347</v>
      </c>
      <c r="F12" s="90" t="s">
        <v>74</v>
      </c>
      <c r="G12" s="90" t="s">
        <v>1484</v>
      </c>
      <c r="H12" s="90" t="s">
        <v>444</v>
      </c>
      <c r="I12" s="15" t="s">
        <v>119</v>
      </c>
      <c r="J12" s="15" t="s">
        <v>66</v>
      </c>
      <c r="K12" s="28" t="s">
        <v>56</v>
      </c>
      <c r="L12" s="17">
        <f>SUM(M12:Q12)</f>
        <v>160049</v>
      </c>
      <c r="M12" s="17">
        <v>32010</v>
      </c>
      <c r="N12" s="17">
        <v>19206</v>
      </c>
      <c r="O12" s="17">
        <v>0</v>
      </c>
      <c r="P12" s="17">
        <v>0</v>
      </c>
      <c r="Q12" s="17">
        <v>108833</v>
      </c>
      <c r="R12" s="17"/>
      <c r="S12" s="487">
        <v>42643</v>
      </c>
      <c r="T12" s="357">
        <v>42855</v>
      </c>
      <c r="U12" s="357">
        <v>43010</v>
      </c>
      <c r="V12" s="726">
        <v>43102</v>
      </c>
      <c r="W12" s="357">
        <v>43830</v>
      </c>
      <c r="X12" s="34"/>
      <c r="Y12" s="34"/>
      <c r="Z12" s="41"/>
    </row>
    <row r="13" spans="1:26" ht="27" customHeight="1" thickBot="1" x14ac:dyDescent="0.3">
      <c r="A13" s="327" t="s">
        <v>14</v>
      </c>
      <c r="B13" s="710"/>
      <c r="C13" s="710"/>
      <c r="D13" s="1885" t="s">
        <v>605</v>
      </c>
      <c r="E13" s="1894"/>
      <c r="F13" s="1894"/>
      <c r="G13" s="1894"/>
      <c r="H13" s="1894"/>
      <c r="I13" s="1894"/>
      <c r="J13" s="1894"/>
      <c r="K13" s="1895"/>
      <c r="L13" s="329">
        <f>SUM(L14:L15)</f>
        <v>1420561.81</v>
      </c>
      <c r="M13" s="329">
        <f t="shared" ref="M13:Q13" si="3">SUM(M14:M15)</f>
        <v>330572.43</v>
      </c>
      <c r="N13" s="329">
        <f t="shared" si="3"/>
        <v>88377.81</v>
      </c>
      <c r="O13" s="329">
        <f t="shared" si="3"/>
        <v>0</v>
      </c>
      <c r="P13" s="329">
        <f t="shared" si="3"/>
        <v>0</v>
      </c>
      <c r="Q13" s="329">
        <f t="shared" si="3"/>
        <v>1001611.5700000001</v>
      </c>
      <c r="R13" s="329"/>
      <c r="S13" s="91"/>
      <c r="T13" s="329"/>
      <c r="U13" s="329"/>
      <c r="V13" s="329"/>
      <c r="W13" s="329"/>
      <c r="X13" s="37">
        <v>1001612</v>
      </c>
      <c r="Y13" s="37">
        <f>SUM(X13*120/100)</f>
        <v>1201934.3999999999</v>
      </c>
      <c r="Z13" s="38">
        <f>SUM(X13-Q13)</f>
        <v>0.42999999993480742</v>
      </c>
    </row>
    <row r="14" spans="1:26" ht="60.75" thickBot="1" x14ac:dyDescent="0.3">
      <c r="A14" s="90" t="str">
        <f>CONCATENATE('3 pr-2'!A34)</f>
        <v>1.1.1.2.1</v>
      </c>
      <c r="B14" s="90" t="str">
        <f>CONCATENATE('3 pr-2'!B34)</f>
        <v>R01-9908-293400-1121</v>
      </c>
      <c r="C14" s="738" t="str">
        <f>CONCATENATE('3 pr-2'!C34)</f>
        <v>08.2.1-CPVA-R-908-11-0002</v>
      </c>
      <c r="D14" s="90" t="s">
        <v>124</v>
      </c>
      <c r="E14" s="90" t="s">
        <v>284</v>
      </c>
      <c r="F14" s="90" t="s">
        <v>75</v>
      </c>
      <c r="G14" s="90" t="s">
        <v>1484</v>
      </c>
      <c r="H14" s="90" t="s">
        <v>146</v>
      </c>
      <c r="I14" s="2" t="s">
        <v>119</v>
      </c>
      <c r="J14" s="2" t="s">
        <v>66</v>
      </c>
      <c r="K14" s="2" t="s">
        <v>66</v>
      </c>
      <c r="L14" s="1209">
        <f t="shared" ref="L14:L15" si="4">SUM(M14:Q14)</f>
        <v>815537.61</v>
      </c>
      <c r="M14" s="1209">
        <v>285195.61</v>
      </c>
      <c r="N14" s="718">
        <v>43001</v>
      </c>
      <c r="O14" s="718">
        <v>0</v>
      </c>
      <c r="P14" s="718">
        <v>0</v>
      </c>
      <c r="Q14" s="718">
        <v>487341</v>
      </c>
      <c r="R14" s="718"/>
      <c r="S14" s="487">
        <v>43006</v>
      </c>
      <c r="T14" s="488">
        <v>43124</v>
      </c>
      <c r="U14" s="488">
        <v>43189</v>
      </c>
      <c r="V14" s="488">
        <v>43281</v>
      </c>
      <c r="W14" s="495">
        <v>44196</v>
      </c>
      <c r="X14" s="34"/>
      <c r="Y14" s="34"/>
      <c r="Z14" s="34"/>
    </row>
    <row r="15" spans="1:26" ht="60.75" thickBot="1" x14ac:dyDescent="0.3">
      <c r="A15" s="90" t="str">
        <f>CONCATENATE('3 pr-2'!A35)</f>
        <v>1.1.1.2.2</v>
      </c>
      <c r="B15" s="90" t="str">
        <f>CONCATENATE('3 pr-2'!B35)</f>
        <v>R01-9908-290000-1122</v>
      </c>
      <c r="C15" s="738" t="str">
        <f>CONCATENATE('3 pr-2'!C35)</f>
        <v>08.2.1-CPVA-R-908-11-0001</v>
      </c>
      <c r="D15" s="90" t="s">
        <v>125</v>
      </c>
      <c r="E15" s="90" t="s">
        <v>284</v>
      </c>
      <c r="F15" s="90" t="s">
        <v>75</v>
      </c>
      <c r="G15" s="90" t="s">
        <v>1484</v>
      </c>
      <c r="H15" s="90" t="s">
        <v>146</v>
      </c>
      <c r="I15" s="15" t="s">
        <v>119</v>
      </c>
      <c r="J15" s="15" t="s">
        <v>66</v>
      </c>
      <c r="K15" s="15" t="s">
        <v>66</v>
      </c>
      <c r="L15" s="1209">
        <f t="shared" si="4"/>
        <v>605024.19999999995</v>
      </c>
      <c r="M15" s="1209">
        <v>45376.82</v>
      </c>
      <c r="N15" s="1209">
        <v>45376.81</v>
      </c>
      <c r="O15" s="1209">
        <v>0</v>
      </c>
      <c r="P15" s="1209">
        <v>0</v>
      </c>
      <c r="Q15" s="1209">
        <v>514270.57</v>
      </c>
      <c r="R15" s="1209"/>
      <c r="S15" s="487">
        <v>42982</v>
      </c>
      <c r="T15" s="346">
        <v>42978</v>
      </c>
      <c r="U15" s="346">
        <v>43039</v>
      </c>
      <c r="V15" s="346">
        <v>43131</v>
      </c>
      <c r="W15" s="495">
        <v>44196</v>
      </c>
      <c r="X15" s="34"/>
      <c r="Y15" s="34"/>
      <c r="Z15" s="34"/>
    </row>
    <row r="16" spans="1:26" ht="36" customHeight="1" thickBot="1" x14ac:dyDescent="0.3">
      <c r="A16" s="327" t="s">
        <v>70</v>
      </c>
      <c r="B16" s="710"/>
      <c r="C16" s="710"/>
      <c r="D16" s="1885" t="s">
        <v>614</v>
      </c>
      <c r="E16" s="1894"/>
      <c r="F16" s="1894"/>
      <c r="G16" s="1894"/>
      <c r="H16" s="1894"/>
      <c r="I16" s="1894"/>
      <c r="J16" s="1894"/>
      <c r="K16" s="1895"/>
      <c r="L16" s="329">
        <f t="shared" ref="L16:P16" si="5">SUM(L17:L22)</f>
        <v>4358551.91</v>
      </c>
      <c r="M16" s="329">
        <f t="shared" si="5"/>
        <v>297094.61</v>
      </c>
      <c r="N16" s="329">
        <f t="shared" si="5"/>
        <v>364155.41000000003</v>
      </c>
      <c r="O16" s="329">
        <f t="shared" si="5"/>
        <v>0</v>
      </c>
      <c r="P16" s="329">
        <f t="shared" si="5"/>
        <v>0</v>
      </c>
      <c r="Q16" s="329">
        <f>SUM(Q17:Q22)</f>
        <v>3697301.8899999997</v>
      </c>
      <c r="R16" s="329"/>
      <c r="S16" s="91"/>
      <c r="T16" s="329"/>
      <c r="U16" s="329"/>
      <c r="V16" s="329"/>
      <c r="W16" s="329"/>
      <c r="X16" s="37">
        <v>3697302</v>
      </c>
      <c r="Y16" s="37">
        <f>SUM(X16*120/100)</f>
        <v>4436762.4000000004</v>
      </c>
      <c r="Z16" s="37">
        <f>SUM(X16-Q16)</f>
        <v>0.11000000033527613</v>
      </c>
    </row>
    <row r="17" spans="1:26" ht="60.75" thickBot="1" x14ac:dyDescent="0.3">
      <c r="A17" s="125" t="str">
        <f>CONCATENATE('3 pr-2'!A40)</f>
        <v>1.1.1.3.1</v>
      </c>
      <c r="B17" s="125" t="str">
        <f>CONCATENATE('3 pr-2'!B40)</f>
        <v>R01-9905-290000-1131</v>
      </c>
      <c r="C17" s="738" t="str">
        <f>CONCATENATE('3 pr-2'!C40)</f>
        <v>07.1.1-CPVA-R-905-11-0001</v>
      </c>
      <c r="D17" s="125" t="s">
        <v>303</v>
      </c>
      <c r="E17" s="125" t="s">
        <v>284</v>
      </c>
      <c r="F17" s="125" t="s">
        <v>75</v>
      </c>
      <c r="G17" s="125" t="s">
        <v>1484</v>
      </c>
      <c r="H17" s="125" t="s">
        <v>850</v>
      </c>
      <c r="I17" s="376" t="s">
        <v>119</v>
      </c>
      <c r="J17" s="376" t="s">
        <v>167</v>
      </c>
      <c r="K17" s="376" t="s">
        <v>66</v>
      </c>
      <c r="L17" s="1210">
        <f t="shared" ref="L17:L22" si="6">SUM(M17:Q17)</f>
        <v>1516932.01</v>
      </c>
      <c r="M17" s="1210">
        <v>75846.61</v>
      </c>
      <c r="N17" s="1210">
        <v>151693.20000000001</v>
      </c>
      <c r="O17" s="1210">
        <v>0</v>
      </c>
      <c r="P17" s="1210">
        <v>0</v>
      </c>
      <c r="Q17" s="1210">
        <v>1289392.2</v>
      </c>
      <c r="R17" s="1211"/>
      <c r="S17" s="487">
        <v>43108</v>
      </c>
      <c r="T17" s="719">
        <v>42528</v>
      </c>
      <c r="U17" s="719">
        <v>42566</v>
      </c>
      <c r="V17" s="719">
        <v>42735</v>
      </c>
      <c r="W17" s="719">
        <v>43465</v>
      </c>
      <c r="X17" s="34"/>
      <c r="Y17" s="34"/>
      <c r="Z17" s="34"/>
    </row>
    <row r="18" spans="1:26" ht="60.75" thickBot="1" x14ac:dyDescent="0.3">
      <c r="A18" s="125" t="str">
        <f>CONCATENATE('3 pr-2'!A41)</f>
        <v>1.1.1.3.2</v>
      </c>
      <c r="B18" s="125" t="str">
        <f>CONCATENATE('3 pr-2'!B41)</f>
        <v>R01-9905-282900-1132</v>
      </c>
      <c r="C18" s="738" t="str">
        <f>CONCATENATE('3 pr-2'!C41)</f>
        <v>07.1.1-CPVA-R-905-11-0002</v>
      </c>
      <c r="D18" s="125" t="s">
        <v>305</v>
      </c>
      <c r="E18" s="125" t="s">
        <v>284</v>
      </c>
      <c r="F18" s="125" t="s">
        <v>75</v>
      </c>
      <c r="G18" s="125" t="s">
        <v>1484</v>
      </c>
      <c r="H18" s="125" t="s">
        <v>850</v>
      </c>
      <c r="I18" s="376" t="s">
        <v>119</v>
      </c>
      <c r="J18" s="376" t="s">
        <v>167</v>
      </c>
      <c r="K18" s="376" t="s">
        <v>66</v>
      </c>
      <c r="L18" s="1210">
        <f t="shared" si="6"/>
        <v>1004000.8999999999</v>
      </c>
      <c r="M18" s="1210">
        <v>83426</v>
      </c>
      <c r="N18" s="1210">
        <v>74641.210000000006</v>
      </c>
      <c r="O18" s="1210">
        <v>0</v>
      </c>
      <c r="P18" s="1210">
        <v>0</v>
      </c>
      <c r="Q18" s="1210">
        <v>845933.69</v>
      </c>
      <c r="R18" s="1211"/>
      <c r="S18" s="487">
        <v>43108</v>
      </c>
      <c r="T18" s="719">
        <v>42830</v>
      </c>
      <c r="U18" s="719">
        <v>42885</v>
      </c>
      <c r="V18" s="719">
        <v>42978</v>
      </c>
      <c r="W18" s="719">
        <v>43830</v>
      </c>
      <c r="X18" s="34"/>
      <c r="Y18" s="34"/>
      <c r="Z18" s="34"/>
    </row>
    <row r="19" spans="1:26" ht="60.75" thickBot="1" x14ac:dyDescent="0.3">
      <c r="A19" s="125" t="str">
        <f>CONCATENATE('3 pr-2'!A42)</f>
        <v>1.1.1.3.3</v>
      </c>
      <c r="B19" s="125" t="str">
        <f>CONCATENATE('3 pr-2'!B42)</f>
        <v>R01-9905-292800-1133</v>
      </c>
      <c r="C19" s="738" t="str">
        <f>CONCATENATE('3 pr-2'!C42)</f>
        <v>07.1.1-CPVA-R-905-11-0004</v>
      </c>
      <c r="D19" s="125" t="s">
        <v>271</v>
      </c>
      <c r="E19" s="125" t="s">
        <v>284</v>
      </c>
      <c r="F19" s="125" t="s">
        <v>75</v>
      </c>
      <c r="G19" s="125" t="s">
        <v>1484</v>
      </c>
      <c r="H19" s="125" t="s">
        <v>850</v>
      </c>
      <c r="I19" s="376" t="s">
        <v>119</v>
      </c>
      <c r="J19" s="376" t="s">
        <v>167</v>
      </c>
      <c r="K19" s="376" t="s">
        <v>66</v>
      </c>
      <c r="L19" s="1210">
        <f t="shared" si="6"/>
        <v>630000</v>
      </c>
      <c r="M19" s="1210">
        <v>47250</v>
      </c>
      <c r="N19" s="1210">
        <v>47250</v>
      </c>
      <c r="O19" s="1210">
        <v>0</v>
      </c>
      <c r="P19" s="1210">
        <v>0</v>
      </c>
      <c r="Q19" s="1210">
        <v>535500</v>
      </c>
      <c r="R19" s="1210"/>
      <c r="S19" s="487">
        <v>43108</v>
      </c>
      <c r="T19" s="719">
        <v>43190</v>
      </c>
      <c r="U19" s="719">
        <v>43251</v>
      </c>
      <c r="V19" s="719">
        <v>43343</v>
      </c>
      <c r="W19" s="719">
        <v>44196</v>
      </c>
      <c r="X19" s="34"/>
      <c r="Y19" s="34"/>
      <c r="Z19" s="34"/>
    </row>
    <row r="20" spans="1:26" ht="60.75" thickBot="1" x14ac:dyDescent="0.3">
      <c r="A20" s="125" t="str">
        <f>CONCATENATE('3 pr-2'!A43)</f>
        <v>1.1.1.3.4</v>
      </c>
      <c r="B20" s="125" t="str">
        <f>CONCATENATE('3 pr-2'!B43)</f>
        <v>R01-9905-280000-1134</v>
      </c>
      <c r="C20" s="738" t="str">
        <f>CONCATENATE('3 pr-2'!C43)</f>
        <v>07.1.1-CPVA-R-905-11-0003</v>
      </c>
      <c r="D20" s="125" t="s">
        <v>651</v>
      </c>
      <c r="E20" s="125" t="s">
        <v>284</v>
      </c>
      <c r="F20" s="125" t="s">
        <v>75</v>
      </c>
      <c r="G20" s="125" t="s">
        <v>1484</v>
      </c>
      <c r="H20" s="125" t="s">
        <v>850</v>
      </c>
      <c r="I20" s="376" t="s">
        <v>119</v>
      </c>
      <c r="J20" s="376" t="s">
        <v>167</v>
      </c>
      <c r="K20" s="376" t="s">
        <v>66</v>
      </c>
      <c r="L20" s="1210">
        <f t="shared" si="6"/>
        <v>757246</v>
      </c>
      <c r="M20" s="1210">
        <v>56794</v>
      </c>
      <c r="N20" s="1210">
        <v>56793</v>
      </c>
      <c r="O20" s="1210">
        <v>0</v>
      </c>
      <c r="P20" s="1210">
        <v>0</v>
      </c>
      <c r="Q20" s="1210">
        <v>643659</v>
      </c>
      <c r="R20" s="1210"/>
      <c r="S20" s="487">
        <v>43108</v>
      </c>
      <c r="T20" s="719">
        <v>43280</v>
      </c>
      <c r="U20" s="719">
        <v>43008</v>
      </c>
      <c r="V20" s="719">
        <v>43100</v>
      </c>
      <c r="W20" s="719">
        <v>43861</v>
      </c>
      <c r="X20" s="43"/>
      <c r="Y20" s="43"/>
      <c r="Z20" s="34"/>
    </row>
    <row r="21" spans="1:26" ht="60.75" thickBot="1" x14ac:dyDescent="0.3">
      <c r="A21" s="125" t="str">
        <f>CONCATENATE('3 pr-2'!A44)</f>
        <v>1.1.1.3.5</v>
      </c>
      <c r="B21" s="125" t="str">
        <f>CONCATENATE('3 pr-2'!B44)</f>
        <v>R01-9905-362900-1135</v>
      </c>
      <c r="C21" s="738" t="str">
        <f>CONCATENATE('3 pr-2'!C44)</f>
        <v>07.1.1-CPVA-R-905-11-0005</v>
      </c>
      <c r="D21" s="125" t="s">
        <v>808</v>
      </c>
      <c r="E21" s="125" t="s">
        <v>284</v>
      </c>
      <c r="F21" s="125" t="s">
        <v>75</v>
      </c>
      <c r="G21" s="125" t="s">
        <v>1484</v>
      </c>
      <c r="H21" s="125" t="s">
        <v>850</v>
      </c>
      <c r="I21" s="376" t="s">
        <v>119</v>
      </c>
      <c r="J21" s="376" t="s">
        <v>167</v>
      </c>
      <c r="K21" s="376" t="s">
        <v>66</v>
      </c>
      <c r="L21" s="306">
        <f t="shared" si="6"/>
        <v>150000</v>
      </c>
      <c r="M21" s="306">
        <v>11250</v>
      </c>
      <c r="N21" s="306">
        <v>11250</v>
      </c>
      <c r="O21" s="306">
        <v>0</v>
      </c>
      <c r="P21" s="306">
        <v>0</v>
      </c>
      <c r="Q21" s="306">
        <v>127500</v>
      </c>
      <c r="R21" s="306"/>
      <c r="S21" s="487">
        <v>43108</v>
      </c>
      <c r="T21" s="1207">
        <v>43342</v>
      </c>
      <c r="U21" s="719">
        <v>43373</v>
      </c>
      <c r="V21" s="719">
        <v>43464</v>
      </c>
      <c r="W21" s="719">
        <v>44165</v>
      </c>
      <c r="X21" s="39"/>
      <c r="Y21" s="40"/>
      <c r="Z21" s="34"/>
    </row>
    <row r="22" spans="1:26" ht="60.75" thickBot="1" x14ac:dyDescent="0.3">
      <c r="A22" s="125" t="str">
        <f>CONCATENATE('3 pr-2'!A45)</f>
        <v>1.1.1.3.6</v>
      </c>
      <c r="B22" s="125" t="str">
        <f>CONCATENATE('3 pr-2'!B45)</f>
        <v>R01-9905-290000-1136</v>
      </c>
      <c r="C22" s="738" t="str">
        <f>CONCATENATE('3 pr-2'!C45)</f>
        <v/>
      </c>
      <c r="D22" s="125" t="s">
        <v>810</v>
      </c>
      <c r="E22" s="125" t="s">
        <v>284</v>
      </c>
      <c r="F22" s="125" t="s">
        <v>75</v>
      </c>
      <c r="G22" s="125" t="s">
        <v>1484</v>
      </c>
      <c r="H22" s="125" t="s">
        <v>850</v>
      </c>
      <c r="I22" s="376" t="s">
        <v>119</v>
      </c>
      <c r="J22" s="376" t="s">
        <v>167</v>
      </c>
      <c r="K22" s="376" t="s">
        <v>66</v>
      </c>
      <c r="L22" s="306">
        <f t="shared" si="6"/>
        <v>300373</v>
      </c>
      <c r="M22" s="306">
        <v>22528</v>
      </c>
      <c r="N22" s="306">
        <v>22528</v>
      </c>
      <c r="O22" s="306">
        <v>0</v>
      </c>
      <c r="P22" s="306">
        <v>0</v>
      </c>
      <c r="Q22" s="306">
        <v>255317</v>
      </c>
      <c r="R22" s="306"/>
      <c r="S22" s="487">
        <v>43038</v>
      </c>
      <c r="T22" s="1207">
        <v>43342</v>
      </c>
      <c r="U22" s="1207">
        <v>43373</v>
      </c>
      <c r="V22" s="1207">
        <v>43464</v>
      </c>
      <c r="W22" s="719">
        <v>44165</v>
      </c>
      <c r="X22" s="34"/>
      <c r="Y22" s="41"/>
      <c r="Z22" s="34"/>
    </row>
    <row r="23" spans="1:26" ht="39.75" customHeight="1" thickBot="1" x14ac:dyDescent="0.3">
      <c r="A23" s="327" t="s">
        <v>16</v>
      </c>
      <c r="B23" s="710"/>
      <c r="C23" s="710"/>
      <c r="D23" s="1885" t="s">
        <v>615</v>
      </c>
      <c r="E23" s="1894"/>
      <c r="F23" s="1894"/>
      <c r="G23" s="1894"/>
      <c r="H23" s="1894"/>
      <c r="I23" s="1894"/>
      <c r="J23" s="1894"/>
      <c r="K23" s="1895"/>
      <c r="L23" s="329"/>
      <c r="M23" s="329"/>
      <c r="N23" s="329"/>
      <c r="O23" s="329"/>
      <c r="P23" s="329"/>
      <c r="Q23" s="329"/>
      <c r="R23" s="329"/>
      <c r="S23" s="91"/>
      <c r="T23" s="329"/>
      <c r="U23" s="329"/>
      <c r="V23" s="329"/>
      <c r="W23" s="329"/>
      <c r="X23" s="44">
        <v>0</v>
      </c>
      <c r="Y23" s="44">
        <f>SUM(X23*120/100)</f>
        <v>0</v>
      </c>
      <c r="Z23" s="44">
        <v>0</v>
      </c>
    </row>
    <row r="24" spans="1:26" ht="15.75" thickBot="1" x14ac:dyDescent="0.3">
      <c r="A24" s="7"/>
      <c r="B24" s="14"/>
      <c r="C24" s="14"/>
      <c r="D24" s="32"/>
      <c r="E24" s="32"/>
      <c r="F24" s="32"/>
      <c r="G24" s="32"/>
      <c r="H24" s="33"/>
      <c r="I24" s="42"/>
      <c r="J24" s="42"/>
      <c r="K24" s="42"/>
      <c r="L24" s="42"/>
      <c r="M24" s="42"/>
      <c r="N24" s="42"/>
      <c r="O24" s="42"/>
      <c r="P24" s="42"/>
      <c r="Q24" s="42"/>
      <c r="R24" s="42"/>
      <c r="S24" s="42"/>
      <c r="T24" s="42"/>
      <c r="U24" s="42"/>
      <c r="V24" s="42"/>
      <c r="W24" s="165"/>
      <c r="X24" s="34"/>
      <c r="Y24" s="34"/>
      <c r="Z24" s="34"/>
    </row>
    <row r="25" spans="1:26" ht="37.5" customHeight="1" thickBot="1" x14ac:dyDescent="0.3">
      <c r="A25" s="327" t="s">
        <v>76</v>
      </c>
      <c r="B25" s="710"/>
      <c r="C25" s="710"/>
      <c r="D25" s="1885" t="s">
        <v>616</v>
      </c>
      <c r="E25" s="1894"/>
      <c r="F25" s="1894"/>
      <c r="G25" s="1894"/>
      <c r="H25" s="1894"/>
      <c r="I25" s="1894"/>
      <c r="J25" s="1894"/>
      <c r="K25" s="1895"/>
      <c r="L25" s="1216">
        <f>SUM(L26)</f>
        <v>2477103.23</v>
      </c>
      <c r="M25" s="1215">
        <f t="shared" ref="M25:Q25" si="7">SUM(M26)</f>
        <v>0</v>
      </c>
      <c r="N25" s="1215">
        <f t="shared" si="7"/>
        <v>0</v>
      </c>
      <c r="O25" s="1216">
        <f t="shared" si="7"/>
        <v>862874.97</v>
      </c>
      <c r="P25" s="1215">
        <f t="shared" si="7"/>
        <v>0</v>
      </c>
      <c r="Q25" s="1216">
        <f t="shared" si="7"/>
        <v>1614228.26</v>
      </c>
      <c r="R25" s="1216"/>
      <c r="S25" s="91"/>
      <c r="T25" s="329"/>
      <c r="U25" s="329"/>
      <c r="V25" s="329"/>
      <c r="W25" s="329"/>
      <c r="X25" s="37">
        <v>1614228.26</v>
      </c>
      <c r="Y25" s="37">
        <f>SUM(X25*120/100)</f>
        <v>1937073.9119999998</v>
      </c>
      <c r="Z25" s="37">
        <f>SUM(X25-Q25)</f>
        <v>0</v>
      </c>
    </row>
    <row r="26" spans="1:26" s="126" customFormat="1" ht="48.75" thickBot="1" x14ac:dyDescent="0.3">
      <c r="A26" s="125" t="str">
        <f>CONCATENATE('3 pr-2'!A51)</f>
        <v>1.1.1.5.1</v>
      </c>
      <c r="B26" s="125" t="str">
        <f>CONCATENATE('3 pr-2'!B51)</f>
        <v>R01-0014-060700-1151</v>
      </c>
      <c r="C26" s="738" t="str">
        <f>CONCATENATE('3 pr-2'!C51)</f>
        <v>05.3.2-APVA-R-014-11-0001</v>
      </c>
      <c r="D26" s="125" t="s">
        <v>295</v>
      </c>
      <c r="E26" s="125" t="s">
        <v>296</v>
      </c>
      <c r="F26" s="125" t="s">
        <v>77</v>
      </c>
      <c r="G26" s="125" t="s">
        <v>1484</v>
      </c>
      <c r="H26" s="125" t="s">
        <v>144</v>
      </c>
      <c r="I26" s="376" t="s">
        <v>119</v>
      </c>
      <c r="J26" s="376" t="s">
        <v>167</v>
      </c>
      <c r="K26" s="376" t="s">
        <v>66</v>
      </c>
      <c r="L26" s="1218">
        <f>SUM(M26:Q26)</f>
        <v>2477103.23</v>
      </c>
      <c r="M26" s="1210">
        <v>0</v>
      </c>
      <c r="N26" s="1210">
        <v>0</v>
      </c>
      <c r="O26" s="1218">
        <v>862874.97</v>
      </c>
      <c r="P26" s="1210">
        <v>0</v>
      </c>
      <c r="Q26" s="1218">
        <v>1614228.26</v>
      </c>
      <c r="R26" s="1218"/>
      <c r="S26" s="719">
        <v>42451</v>
      </c>
      <c r="T26" s="719">
        <v>42551</v>
      </c>
      <c r="U26" s="719">
        <v>42674</v>
      </c>
      <c r="V26" s="719">
        <v>42766</v>
      </c>
      <c r="W26" s="719">
        <v>44012</v>
      </c>
      <c r="X26" s="55"/>
      <c r="Y26" s="55"/>
      <c r="Z26" s="55"/>
    </row>
    <row r="27" spans="1:26" ht="30.75" customHeight="1" thickBot="1" x14ac:dyDescent="0.3">
      <c r="A27" s="327" t="s">
        <v>79</v>
      </c>
      <c r="B27" s="710"/>
      <c r="C27" s="710"/>
      <c r="D27" s="1885" t="s">
        <v>617</v>
      </c>
      <c r="E27" s="1894"/>
      <c r="F27" s="1894"/>
      <c r="G27" s="1894"/>
      <c r="H27" s="1894"/>
      <c r="I27" s="1894"/>
      <c r="J27" s="1894"/>
      <c r="K27" s="1895"/>
      <c r="L27" s="329"/>
      <c r="M27" s="329"/>
      <c r="N27" s="329"/>
      <c r="O27" s="329"/>
      <c r="P27" s="329"/>
      <c r="Q27" s="329"/>
      <c r="R27" s="329"/>
      <c r="S27" s="91"/>
      <c r="T27" s="329"/>
      <c r="U27" s="329"/>
      <c r="V27" s="329"/>
      <c r="W27" s="329"/>
      <c r="X27" s="44">
        <v>0</v>
      </c>
      <c r="Y27" s="44">
        <f>SUM(X27*120/100)</f>
        <v>0</v>
      </c>
      <c r="Z27" s="44">
        <v>0</v>
      </c>
    </row>
    <row r="28" spans="1:26" ht="15.75" thickBot="1" x14ac:dyDescent="0.3">
      <c r="A28" s="31"/>
      <c r="B28" s="32"/>
      <c r="C28" s="32"/>
      <c r="D28" s="32"/>
      <c r="E28" s="32"/>
      <c r="F28" s="32"/>
      <c r="G28" s="32"/>
      <c r="H28" s="33"/>
      <c r="I28" s="42"/>
      <c r="J28" s="42"/>
      <c r="K28" s="42"/>
      <c r="L28" s="42"/>
      <c r="M28" s="42"/>
      <c r="N28" s="42"/>
      <c r="O28" s="42"/>
      <c r="P28" s="42"/>
      <c r="Q28" s="42"/>
      <c r="R28" s="42"/>
      <c r="S28" s="42"/>
      <c r="T28" s="42"/>
      <c r="U28" s="42"/>
      <c r="V28" s="42"/>
      <c r="W28" s="165"/>
      <c r="X28" s="34"/>
      <c r="Y28" s="34"/>
      <c r="Z28" s="34"/>
    </row>
    <row r="29" spans="1:26" ht="29.25" customHeight="1" thickBot="1" x14ac:dyDescent="0.3">
      <c r="A29" s="327" t="s">
        <v>81</v>
      </c>
      <c r="B29" s="710"/>
      <c r="C29" s="710"/>
      <c r="D29" s="1885" t="s">
        <v>618</v>
      </c>
      <c r="E29" s="1894"/>
      <c r="F29" s="1894"/>
      <c r="G29" s="1894"/>
      <c r="H29" s="1894"/>
      <c r="I29" s="1894"/>
      <c r="J29" s="1894"/>
      <c r="K29" s="1895"/>
      <c r="L29" s="1215">
        <f t="shared" ref="L29:P29" si="8">SUM(L30:L32)</f>
        <v>212009.4117647059</v>
      </c>
      <c r="M29" s="1215">
        <f t="shared" si="8"/>
        <v>31801.411764705881</v>
      </c>
      <c r="N29" s="1215">
        <f t="shared" si="8"/>
        <v>0</v>
      </c>
      <c r="O29" s="1215">
        <f t="shared" si="8"/>
        <v>0</v>
      </c>
      <c r="P29" s="1215">
        <f t="shared" si="8"/>
        <v>0</v>
      </c>
      <c r="Q29" s="1215">
        <f>SUM(Q30:Q32)</f>
        <v>180208</v>
      </c>
      <c r="R29" s="1215"/>
      <c r="S29" s="91"/>
      <c r="T29" s="329"/>
      <c r="U29" s="329"/>
      <c r="V29" s="329"/>
      <c r="W29" s="329"/>
      <c r="X29" s="37">
        <v>180208</v>
      </c>
      <c r="Y29" s="37">
        <f>SUM(X29*120/100)</f>
        <v>216249.60000000001</v>
      </c>
      <c r="Z29" s="37">
        <f>SUM(X29-Q29)</f>
        <v>0</v>
      </c>
    </row>
    <row r="30" spans="1:26" ht="60.75" thickBot="1" x14ac:dyDescent="0.3">
      <c r="A30" s="90" t="str">
        <f>CONCATENATE('3 pr-2'!A59)</f>
        <v>1.1.1.7.1</v>
      </c>
      <c r="B30" s="90" t="str">
        <f>CONCATENATE('3 pr-2'!B59)</f>
        <v>R01-8821-420000-1171</v>
      </c>
      <c r="C30" s="738" t="str">
        <f>CONCATENATE('3 pr-2'!C59)</f>
        <v>05.4.1-LVPA-R-821-11-0002</v>
      </c>
      <c r="D30" s="90" t="str">
        <f>CONCATENATE('3 pr-2'!D59)</f>
        <v>Alytaus regiono turizmo informacinės infrastruktūros plėtra</v>
      </c>
      <c r="E30" s="90" t="s">
        <v>311</v>
      </c>
      <c r="F30" s="90" t="s">
        <v>82</v>
      </c>
      <c r="G30" s="90" t="s">
        <v>185</v>
      </c>
      <c r="H30" s="248" t="s">
        <v>142</v>
      </c>
      <c r="I30" s="15" t="s">
        <v>119</v>
      </c>
      <c r="J30" s="15" t="s">
        <v>66</v>
      </c>
      <c r="K30" s="17" t="s">
        <v>66</v>
      </c>
      <c r="L30" s="718">
        <f>SUM(M30:Q30)</f>
        <v>41644.705882352944</v>
      </c>
      <c r="M30" s="718">
        <v>6246.7058823529414</v>
      </c>
      <c r="N30" s="718">
        <v>0</v>
      </c>
      <c r="O30" s="718">
        <v>0</v>
      </c>
      <c r="P30" s="718">
        <v>0</v>
      </c>
      <c r="Q30" s="718">
        <v>35398</v>
      </c>
      <c r="R30" s="718"/>
      <c r="S30" s="17"/>
      <c r="T30" s="357">
        <v>42643</v>
      </c>
      <c r="U30" s="357">
        <v>42766</v>
      </c>
      <c r="V30" s="357">
        <v>42855</v>
      </c>
      <c r="W30" s="740">
        <v>2019</v>
      </c>
      <c r="X30" s="34"/>
      <c r="Y30" s="34"/>
      <c r="Z30" s="34"/>
    </row>
    <row r="31" spans="1:26" ht="48.75" thickBot="1" x14ac:dyDescent="0.3">
      <c r="A31" s="90" t="str">
        <f>CONCATENATE('3 pr-2'!A60)</f>
        <v>1.1.1.7.2</v>
      </c>
      <c r="B31" s="90" t="str">
        <f>CONCATENATE('3 pr-2'!B60)</f>
        <v>R01-8821-420000-1172</v>
      </c>
      <c r="C31" s="738" t="str">
        <f>CONCATENATE('3 pr-2'!C60)</f>
        <v>05.4.1-LVPA-R-821-11-0001</v>
      </c>
      <c r="D31" s="90" t="str">
        <f>CONCATENATE('3 pr-2'!D60)</f>
        <v>„Turizmo trasų ir maršrutų informacinės infrastruktūros plėtra  Lazdijų, Varėnos rajonų ir Druskininkų savivaldybėse“</v>
      </c>
      <c r="E31" s="90" t="s">
        <v>242</v>
      </c>
      <c r="F31" s="90" t="s">
        <v>82</v>
      </c>
      <c r="G31" s="90" t="s">
        <v>312</v>
      </c>
      <c r="H31" s="248" t="s">
        <v>142</v>
      </c>
      <c r="I31" s="15" t="s">
        <v>119</v>
      </c>
      <c r="J31" s="15" t="s">
        <v>66</v>
      </c>
      <c r="K31" s="17" t="s">
        <v>66</v>
      </c>
      <c r="L31" s="718">
        <f>SUM(M31:Q31)</f>
        <v>96035.294117647063</v>
      </c>
      <c r="M31" s="718">
        <f>SUM(Q31*15/85)</f>
        <v>14405.294117647059</v>
      </c>
      <c r="N31" s="718">
        <v>0</v>
      </c>
      <c r="O31" s="718">
        <v>0</v>
      </c>
      <c r="P31" s="718">
        <v>0</v>
      </c>
      <c r="Q31" s="718">
        <v>81630</v>
      </c>
      <c r="R31" s="718"/>
      <c r="S31" s="17"/>
      <c r="T31" s="357">
        <v>42643</v>
      </c>
      <c r="U31" s="357">
        <v>42735</v>
      </c>
      <c r="V31" s="357">
        <v>42825</v>
      </c>
      <c r="W31" s="740">
        <v>2018</v>
      </c>
      <c r="X31" s="34"/>
      <c r="Y31" s="34"/>
      <c r="Z31" s="34"/>
    </row>
    <row r="32" spans="1:26" ht="48.75" thickBot="1" x14ac:dyDescent="0.3">
      <c r="A32" s="90" t="str">
        <f>CONCATENATE('3 pr-2'!A61)</f>
        <v>1.1.1.7.3</v>
      </c>
      <c r="B32" s="90" t="str">
        <f>CONCATENATE('3 pr-2'!B61)</f>
        <v>R01-8821-420000-1173</v>
      </c>
      <c r="C32" s="738" t="str">
        <f>CONCATENATE('3 pr-2'!C61)</f>
        <v/>
      </c>
      <c r="D32" s="90" t="str">
        <f>CONCATENATE('3 pr-2'!D61)</f>
        <v>„Turizmo trasų ir maršrutų informacinės infrastruktūros plėtra  Lazdijų, Varėnos rajonų ir Druskininkų savivaldybėse II etapas“</v>
      </c>
      <c r="E32" s="90" t="s">
        <v>242</v>
      </c>
      <c r="F32" s="90" t="s">
        <v>82</v>
      </c>
      <c r="G32" s="90" t="s">
        <v>312</v>
      </c>
      <c r="H32" s="248" t="s">
        <v>142</v>
      </c>
      <c r="I32" s="15" t="s">
        <v>119</v>
      </c>
      <c r="J32" s="15" t="s">
        <v>66</v>
      </c>
      <c r="K32" s="17" t="s">
        <v>66</v>
      </c>
      <c r="L32" s="718">
        <f>SUM(M32:Q32)</f>
        <v>74329.411764705888</v>
      </c>
      <c r="M32" s="718">
        <f>SUM(Q32*15/85)</f>
        <v>11149.411764705883</v>
      </c>
      <c r="N32" s="718">
        <v>0</v>
      </c>
      <c r="O32" s="718">
        <v>0</v>
      </c>
      <c r="P32" s="718">
        <v>0</v>
      </c>
      <c r="Q32" s="718">
        <v>63180</v>
      </c>
      <c r="R32" s="718"/>
      <c r="S32" s="17"/>
      <c r="T32" s="357">
        <v>43008</v>
      </c>
      <c r="U32" s="357"/>
      <c r="V32" s="357"/>
      <c r="W32" s="740"/>
      <c r="X32" s="34"/>
      <c r="Y32" s="34"/>
      <c r="Z32" s="34"/>
    </row>
    <row r="33" spans="1:26" ht="30" customHeight="1" thickBot="1" x14ac:dyDescent="0.3">
      <c r="A33" s="327" t="s">
        <v>84</v>
      </c>
      <c r="B33" s="710"/>
      <c r="C33" s="710"/>
      <c r="D33" s="1885" t="s">
        <v>619</v>
      </c>
      <c r="E33" s="1894"/>
      <c r="F33" s="1894"/>
      <c r="G33" s="1894"/>
      <c r="H33" s="1894"/>
      <c r="I33" s="1894"/>
      <c r="J33" s="1894"/>
      <c r="K33" s="1895"/>
      <c r="L33" s="1215">
        <f>SUM(L34)</f>
        <v>352401</v>
      </c>
      <c r="M33" s="1215">
        <f>SUM(M34)</f>
        <v>52860.15</v>
      </c>
      <c r="N33" s="1215">
        <f t="shared" ref="N33:P33" si="9">SUM(N34)</f>
        <v>0</v>
      </c>
      <c r="O33" s="1215">
        <f t="shared" si="9"/>
        <v>0</v>
      </c>
      <c r="P33" s="1215">
        <f t="shared" si="9"/>
        <v>0</v>
      </c>
      <c r="Q33" s="1215">
        <f>SUM(Q34)</f>
        <v>299540.84999999998</v>
      </c>
      <c r="R33" s="1215"/>
      <c r="S33" s="91"/>
      <c r="T33" s="329"/>
      <c r="U33" s="329"/>
      <c r="V33" s="329"/>
      <c r="W33" s="329"/>
      <c r="X33" s="37">
        <v>299541.3775</v>
      </c>
      <c r="Y33" s="37">
        <f>SUM(X33*120/100)</f>
        <v>359449.65299999999</v>
      </c>
      <c r="Z33" s="37">
        <f>SUM(X33-Q33)</f>
        <v>0.52750000002561137</v>
      </c>
    </row>
    <row r="34" spans="1:26" ht="60.75" thickBot="1" x14ac:dyDescent="0.3">
      <c r="A34" s="90" t="str">
        <f>CONCATENATE('3 pr-2'!A63)</f>
        <v>1.1.1.8.1</v>
      </c>
      <c r="B34" s="90" t="str">
        <f>CONCATENATE('3 pr-2'!B63)</f>
        <v>R01-3305-330000-1181</v>
      </c>
      <c r="C34" s="738" t="str">
        <f>CONCATENATE('3 pr-2'!C63)</f>
        <v>07.1.1-CPVA-R-305-11-0001</v>
      </c>
      <c r="D34" s="90" t="s">
        <v>134</v>
      </c>
      <c r="E34" s="90" t="s">
        <v>284</v>
      </c>
      <c r="F34" s="90" t="s">
        <v>116</v>
      </c>
      <c r="G34" s="90" t="s">
        <v>1484</v>
      </c>
      <c r="H34" s="248" t="s">
        <v>143</v>
      </c>
      <c r="I34" s="15" t="s">
        <v>119</v>
      </c>
      <c r="J34" s="15" t="s">
        <v>167</v>
      </c>
      <c r="K34" s="17" t="s">
        <v>66</v>
      </c>
      <c r="L34" s="718">
        <f>SUM(M34:Q34)</f>
        <v>352401</v>
      </c>
      <c r="M34" s="718">
        <v>52860.15</v>
      </c>
      <c r="N34" s="718">
        <v>0</v>
      </c>
      <c r="O34" s="718">
        <v>0</v>
      </c>
      <c r="P34" s="718">
        <v>0</v>
      </c>
      <c r="Q34" s="718">
        <v>299540.84999999998</v>
      </c>
      <c r="R34" s="718"/>
      <c r="S34" s="487">
        <v>42614</v>
      </c>
      <c r="T34" s="357">
        <v>42632</v>
      </c>
      <c r="U34" s="357">
        <v>42767</v>
      </c>
      <c r="V34" s="357">
        <v>42855</v>
      </c>
      <c r="W34" s="542">
        <v>43585</v>
      </c>
      <c r="X34" s="34"/>
      <c r="Y34" s="34"/>
      <c r="Z34" s="34"/>
    </row>
    <row r="35" spans="1:26" ht="30" customHeight="1" thickBot="1" x14ac:dyDescent="0.3">
      <c r="A35" s="327" t="s">
        <v>86</v>
      </c>
      <c r="B35" s="710"/>
      <c r="C35" s="710"/>
      <c r="D35" s="1885" t="s">
        <v>620</v>
      </c>
      <c r="E35" s="1894"/>
      <c r="F35" s="1894"/>
      <c r="G35" s="1894"/>
      <c r="H35" s="1894"/>
      <c r="I35" s="1894"/>
      <c r="J35" s="1894"/>
      <c r="K35" s="1895"/>
      <c r="L35" s="1215">
        <f>SUM(L36)</f>
        <v>242419</v>
      </c>
      <c r="M35" s="1215">
        <f>SUM(M36)</f>
        <v>36363</v>
      </c>
      <c r="N35" s="1215">
        <f t="shared" ref="N35:P35" si="10">SUM(N36)</f>
        <v>0</v>
      </c>
      <c r="O35" s="1215">
        <f t="shared" si="10"/>
        <v>0</v>
      </c>
      <c r="P35" s="1215">
        <f t="shared" si="10"/>
        <v>0</v>
      </c>
      <c r="Q35" s="1215">
        <f>SUM(Q36)</f>
        <v>206056</v>
      </c>
      <c r="R35" s="1215"/>
      <c r="S35" s="91"/>
      <c r="T35" s="329"/>
      <c r="U35" s="329"/>
      <c r="V35" s="329"/>
      <c r="W35" s="329"/>
      <c r="X35" s="37">
        <v>206056.31</v>
      </c>
      <c r="Y35" s="37">
        <f>SUM(X35*120/100)</f>
        <v>247267.57199999999</v>
      </c>
      <c r="Z35" s="37">
        <f>SUM(X35-Q35)</f>
        <v>0.30999999999767169</v>
      </c>
    </row>
    <row r="36" spans="1:26" ht="60.75" thickBot="1" x14ac:dyDescent="0.3">
      <c r="A36" s="90" t="str">
        <f>CONCATENATE('3 pr-2'!A72)</f>
        <v>1.1.1.9.5</v>
      </c>
      <c r="B36" s="90" t="str">
        <f>CONCATENATE('3 pr-2'!B72)</f>
        <v>R01-3302-440000-1195</v>
      </c>
      <c r="C36" s="738" t="str">
        <f>CONCATENATE('3 pr-2'!C72)</f>
        <v>05.4.1-CPVA-R-302-11-0005</v>
      </c>
      <c r="D36" s="90" t="s">
        <v>652</v>
      </c>
      <c r="E36" s="90" t="s">
        <v>284</v>
      </c>
      <c r="F36" s="90" t="s">
        <v>116</v>
      </c>
      <c r="G36" s="90" t="s">
        <v>1484</v>
      </c>
      <c r="H36" s="248" t="s">
        <v>182</v>
      </c>
      <c r="I36" s="15" t="s">
        <v>119</v>
      </c>
      <c r="J36" s="17" t="s">
        <v>66</v>
      </c>
      <c r="K36" s="17" t="s">
        <v>66</v>
      </c>
      <c r="L36" s="1208">
        <f>SUM(M36:Q36)</f>
        <v>242419</v>
      </c>
      <c r="M36" s="1208">
        <v>36363</v>
      </c>
      <c r="N36" s="1208">
        <v>0</v>
      </c>
      <c r="O36" s="1208">
        <v>0</v>
      </c>
      <c r="P36" s="1208">
        <v>0</v>
      </c>
      <c r="Q36" s="1208">
        <v>206056</v>
      </c>
      <c r="R36" s="1208"/>
      <c r="S36" s="487">
        <v>42667</v>
      </c>
      <c r="T36" s="357">
        <v>42794</v>
      </c>
      <c r="U36" s="357">
        <v>43241</v>
      </c>
      <c r="V36" s="357">
        <v>43342</v>
      </c>
      <c r="W36" s="357">
        <v>44196</v>
      </c>
      <c r="X36" s="34"/>
      <c r="Y36" s="34"/>
      <c r="Z36" s="34"/>
    </row>
    <row r="37" spans="1:26" ht="50.25" customHeight="1" thickBot="1" x14ac:dyDescent="0.3">
      <c r="A37" s="151" t="s">
        <v>22</v>
      </c>
      <c r="B37" s="714"/>
      <c r="C37" s="714"/>
      <c r="D37" s="1887" t="s">
        <v>1407</v>
      </c>
      <c r="E37" s="1900"/>
      <c r="F37" s="1900"/>
      <c r="G37" s="1900"/>
      <c r="H37" s="1900"/>
      <c r="I37" s="1900"/>
      <c r="J37" s="1900"/>
      <c r="K37" s="1901"/>
      <c r="L37" s="1233">
        <f t="shared" ref="L37:Q37" si="11">SUM(L38+L40+L42+L44)</f>
        <v>931977</v>
      </c>
      <c r="M37" s="1233">
        <f t="shared" si="11"/>
        <v>77137</v>
      </c>
      <c r="N37" s="1233">
        <f t="shared" si="11"/>
        <v>0</v>
      </c>
      <c r="O37" s="1233">
        <f t="shared" si="11"/>
        <v>0</v>
      </c>
      <c r="P37" s="1233">
        <f t="shared" si="11"/>
        <v>62660</v>
      </c>
      <c r="Q37" s="1233">
        <f t="shared" si="11"/>
        <v>792180</v>
      </c>
      <c r="R37" s="1233"/>
      <c r="S37" s="132"/>
      <c r="T37" s="133"/>
      <c r="U37" s="133"/>
      <c r="V37" s="133"/>
      <c r="W37" s="168"/>
      <c r="X37" s="36">
        <f>SUM(X38+X40+X42+X44)</f>
        <v>1036489</v>
      </c>
      <c r="Y37" s="36">
        <f>SUM(Y38+Y40+Y42+Y44)</f>
        <v>1243786.8</v>
      </c>
      <c r="Z37" s="36">
        <f>SUM(Z38+Z40+Z42+Z44)</f>
        <v>244309</v>
      </c>
    </row>
    <row r="38" spans="1:26" ht="33" customHeight="1" thickBot="1" x14ac:dyDescent="0.3">
      <c r="A38" s="327" t="s">
        <v>88</v>
      </c>
      <c r="B38" s="710"/>
      <c r="C38" s="710"/>
      <c r="D38" s="1885" t="s">
        <v>622</v>
      </c>
      <c r="E38" s="1894"/>
      <c r="F38" s="1894"/>
      <c r="G38" s="1894"/>
      <c r="H38" s="1894"/>
      <c r="I38" s="1894"/>
      <c r="J38" s="1894"/>
      <c r="K38" s="1895"/>
      <c r="L38" s="1221">
        <f t="shared" ref="L38:M38" si="12">SUM(L39)</f>
        <v>0</v>
      </c>
      <c r="M38" s="1221">
        <f t="shared" si="12"/>
        <v>0</v>
      </c>
      <c r="N38" s="1221"/>
      <c r="O38" s="1221"/>
      <c r="P38" s="1221"/>
      <c r="Q38" s="1221">
        <f>SUM(Q39)</f>
        <v>0</v>
      </c>
      <c r="R38" s="1221"/>
      <c r="S38" s="91"/>
      <c r="T38" s="329"/>
      <c r="U38" s="329"/>
      <c r="V38" s="329"/>
      <c r="W38" s="329"/>
      <c r="X38" s="37">
        <v>245527</v>
      </c>
      <c r="Y38" s="37">
        <f>SUM(X38*120/100)</f>
        <v>294632.40000000002</v>
      </c>
      <c r="Z38" s="37">
        <f>SUM(X38-Q38)</f>
        <v>245527</v>
      </c>
    </row>
    <row r="39" spans="1:26" ht="15.75" thickBot="1" x14ac:dyDescent="0.3">
      <c r="A39" s="90"/>
      <c r="B39" s="90"/>
      <c r="C39" s="90"/>
      <c r="D39" s="90"/>
      <c r="E39" s="90"/>
      <c r="F39" s="90"/>
      <c r="G39" s="90"/>
      <c r="H39" s="248"/>
      <c r="I39" s="15"/>
      <c r="J39" s="15"/>
      <c r="K39" s="17"/>
      <c r="L39" s="1226"/>
      <c r="M39" s="1226"/>
      <c r="N39" s="1226"/>
      <c r="O39" s="1226"/>
      <c r="P39" s="1226"/>
      <c r="Q39" s="1226"/>
      <c r="R39" s="1226"/>
      <c r="S39" s="17"/>
      <c r="T39" s="357"/>
      <c r="U39" s="357"/>
      <c r="V39" s="357"/>
      <c r="W39" s="174"/>
      <c r="X39" s="34"/>
      <c r="Y39" s="34"/>
      <c r="Z39" s="34"/>
    </row>
    <row r="40" spans="1:26" ht="26.25" customHeight="1" thickBot="1" x14ac:dyDescent="0.3">
      <c r="A40" s="327" t="s">
        <v>90</v>
      </c>
      <c r="B40" s="710"/>
      <c r="C40" s="710"/>
      <c r="D40" s="1885" t="s">
        <v>623</v>
      </c>
      <c r="E40" s="1894"/>
      <c r="F40" s="1894"/>
      <c r="G40" s="1894"/>
      <c r="H40" s="1894"/>
      <c r="I40" s="1894"/>
      <c r="J40" s="1894"/>
      <c r="K40" s="1895"/>
      <c r="L40" s="1221">
        <f t="shared" ref="L40:P40" si="13">SUM(L41)</f>
        <v>0</v>
      </c>
      <c r="M40" s="1221">
        <f t="shared" si="13"/>
        <v>0</v>
      </c>
      <c r="N40" s="1221">
        <f t="shared" si="13"/>
        <v>0</v>
      </c>
      <c r="O40" s="1221">
        <f t="shared" si="13"/>
        <v>0</v>
      </c>
      <c r="P40" s="1221">
        <f t="shared" si="13"/>
        <v>0</v>
      </c>
      <c r="Q40" s="1221">
        <f t="shared" ref="Q40" si="14">SUM(Q41)</f>
        <v>0</v>
      </c>
      <c r="R40" s="1221"/>
      <c r="S40" s="91"/>
      <c r="T40" s="329"/>
      <c r="U40" s="329"/>
      <c r="V40" s="329"/>
      <c r="W40" s="329"/>
      <c r="X40" s="37">
        <v>0</v>
      </c>
      <c r="Y40" s="37">
        <f>SUM(X40*120/100)</f>
        <v>0</v>
      </c>
      <c r="Z40" s="37">
        <f>SUM(X40-Q40)</f>
        <v>0</v>
      </c>
    </row>
    <row r="41" spans="1:26" ht="15.75" thickBot="1" x14ac:dyDescent="0.3">
      <c r="A41" s="86"/>
      <c r="B41" s="86"/>
      <c r="C41" s="86"/>
      <c r="D41" s="86"/>
      <c r="E41" s="86"/>
      <c r="F41" s="87"/>
      <c r="G41" s="86"/>
      <c r="H41" s="88"/>
      <c r="I41" s="89"/>
      <c r="J41" s="6"/>
      <c r="K41" s="6"/>
      <c r="L41" s="1234">
        <v>0</v>
      </c>
      <c r="M41" s="1232">
        <v>0</v>
      </c>
      <c r="N41" s="1232">
        <v>0</v>
      </c>
      <c r="O41" s="1232">
        <v>0</v>
      </c>
      <c r="P41" s="1232">
        <v>0</v>
      </c>
      <c r="Q41" s="1232">
        <v>0</v>
      </c>
      <c r="R41" s="1232"/>
      <c r="S41" s="733"/>
      <c r="T41" s="3">
        <f>SUM(M41:N41)</f>
        <v>0</v>
      </c>
      <c r="U41" s="3">
        <f>SUM(Q41*15/85)</f>
        <v>0</v>
      </c>
      <c r="V41" s="6"/>
      <c r="W41" s="178"/>
      <c r="X41" s="34"/>
      <c r="Y41" s="34"/>
      <c r="Z41" s="34"/>
    </row>
    <row r="42" spans="1:26" ht="26.25" customHeight="1" thickBot="1" x14ac:dyDescent="0.3">
      <c r="A42" s="327" t="s">
        <v>92</v>
      </c>
      <c r="B42" s="710"/>
      <c r="C42" s="710"/>
      <c r="D42" s="1885" t="s">
        <v>624</v>
      </c>
      <c r="E42" s="1894"/>
      <c r="F42" s="1894"/>
      <c r="G42" s="1894"/>
      <c r="H42" s="1894"/>
      <c r="I42" s="1894"/>
      <c r="J42" s="1894"/>
      <c r="K42" s="1895"/>
      <c r="L42" s="1221">
        <f t="shared" ref="L42:P42" si="15">SUM(L43)</f>
        <v>96513</v>
      </c>
      <c r="M42" s="1221">
        <f t="shared" si="15"/>
        <v>14477</v>
      </c>
      <c r="N42" s="1221">
        <f t="shared" si="15"/>
        <v>0</v>
      </c>
      <c r="O42" s="1221">
        <f t="shared" si="15"/>
        <v>0</v>
      </c>
      <c r="P42" s="1221">
        <f t="shared" si="15"/>
        <v>0</v>
      </c>
      <c r="Q42" s="1221">
        <f t="shared" ref="Q42" si="16">SUM(Q43)</f>
        <v>82036</v>
      </c>
      <c r="R42" s="1221"/>
      <c r="S42" s="91"/>
      <c r="T42" s="329"/>
      <c r="U42" s="329"/>
      <c r="V42" s="329"/>
      <c r="W42" s="329"/>
      <c r="X42" s="37">
        <v>80818</v>
      </c>
      <c r="Y42" s="37">
        <f>SUM(X42*120/100)</f>
        <v>96981.6</v>
      </c>
      <c r="Z42" s="37">
        <f>SUM(X42-Q42)</f>
        <v>-1218</v>
      </c>
    </row>
    <row r="43" spans="1:26" ht="60.75" thickBot="1" x14ac:dyDescent="0.3">
      <c r="A43" s="90" t="str">
        <f>CONCATENATE('3 pr-2'!A87)</f>
        <v>1.1.2.3.1</v>
      </c>
      <c r="B43" s="90" t="str">
        <f>CONCATENATE('3 pr-2'!B87)</f>
        <v>R01-5516-190000-1231</v>
      </c>
      <c r="C43" s="738" t="str">
        <f>CONCATENATE('3 pr-2'!C87)</f>
        <v>04.5.1-TID-R-516-11-0004</v>
      </c>
      <c r="D43" s="90" t="s">
        <v>653</v>
      </c>
      <c r="E43" s="90" t="s">
        <v>284</v>
      </c>
      <c r="F43" s="90" t="s">
        <v>115</v>
      </c>
      <c r="G43" s="90" t="s">
        <v>1484</v>
      </c>
      <c r="H43" s="248" t="s">
        <v>148</v>
      </c>
      <c r="I43" s="15" t="s">
        <v>119</v>
      </c>
      <c r="J43" s="15" t="s">
        <v>167</v>
      </c>
      <c r="K43" s="17" t="s">
        <v>66</v>
      </c>
      <c r="L43" s="1226">
        <f>SUM(M43:Q43)</f>
        <v>96513</v>
      </c>
      <c r="M43" s="1226">
        <v>14477</v>
      </c>
      <c r="N43" s="1226">
        <v>0</v>
      </c>
      <c r="O43" s="1226">
        <v>0</v>
      </c>
      <c r="P43" s="1226">
        <v>0</v>
      </c>
      <c r="Q43" s="1226">
        <v>82036</v>
      </c>
      <c r="R43" s="1226"/>
      <c r="S43" s="487">
        <v>42660</v>
      </c>
      <c r="T43" s="357">
        <v>42735</v>
      </c>
      <c r="U43" s="357">
        <v>43100</v>
      </c>
      <c r="V43" s="357">
        <v>43190</v>
      </c>
      <c r="W43" s="357">
        <v>43465</v>
      </c>
      <c r="X43" s="34"/>
      <c r="Y43" s="34"/>
      <c r="Z43" s="34"/>
    </row>
    <row r="44" spans="1:26" ht="29.25" customHeight="1" thickBot="1" x14ac:dyDescent="0.3">
      <c r="A44" s="327" t="s">
        <v>94</v>
      </c>
      <c r="B44" s="710"/>
      <c r="C44" s="710"/>
      <c r="D44" s="1885" t="s">
        <v>625</v>
      </c>
      <c r="E44" s="1894"/>
      <c r="F44" s="1894"/>
      <c r="G44" s="1894"/>
      <c r="H44" s="1894"/>
      <c r="I44" s="1894"/>
      <c r="J44" s="1894"/>
      <c r="K44" s="1895"/>
      <c r="L44" s="1215">
        <f t="shared" ref="L44:P44" si="17">SUM(L45)</f>
        <v>835464</v>
      </c>
      <c r="M44" s="1215">
        <f t="shared" si="17"/>
        <v>62660</v>
      </c>
      <c r="N44" s="1215">
        <f t="shared" si="17"/>
        <v>0</v>
      </c>
      <c r="O44" s="1215">
        <f t="shared" si="17"/>
        <v>0</v>
      </c>
      <c r="P44" s="1215">
        <f t="shared" si="17"/>
        <v>62660</v>
      </c>
      <c r="Q44" s="1215">
        <f t="shared" ref="Q44" si="18">SUM(Q45)</f>
        <v>710144</v>
      </c>
      <c r="R44" s="1215"/>
      <c r="S44" s="91"/>
      <c r="T44" s="329"/>
      <c r="U44" s="329"/>
      <c r="V44" s="329"/>
      <c r="W44" s="329"/>
      <c r="X44" s="37">
        <v>710144</v>
      </c>
      <c r="Y44" s="37">
        <f>SUM(X44*120/100)</f>
        <v>852172.80000000005</v>
      </c>
      <c r="Z44" s="37">
        <f>SUM(X44-Q44)</f>
        <v>0</v>
      </c>
    </row>
    <row r="45" spans="1:26" ht="60.75" thickBot="1" x14ac:dyDescent="0.3">
      <c r="A45" s="90" t="str">
        <f>CONCATENATE('3 pr-2'!A93)</f>
        <v>1.1.2.4.1</v>
      </c>
      <c r="B45" s="90" t="str">
        <f>CONCATENATE('3 pr-2'!B93)</f>
        <v>R01-5511-120000-1241</v>
      </c>
      <c r="C45" s="738" t="str">
        <f>CONCATENATE('3 pr-2'!C93)</f>
        <v>06.2.1-TID-R-511-11-0002</v>
      </c>
      <c r="D45" s="90" t="s">
        <v>322</v>
      </c>
      <c r="E45" s="90" t="s">
        <v>284</v>
      </c>
      <c r="F45" s="90" t="s">
        <v>115</v>
      </c>
      <c r="G45" s="90" t="s">
        <v>1484</v>
      </c>
      <c r="H45" s="248" t="s">
        <v>141</v>
      </c>
      <c r="I45" s="15" t="s">
        <v>119</v>
      </c>
      <c r="J45" s="15" t="s">
        <v>167</v>
      </c>
      <c r="K45" s="17" t="s">
        <v>66</v>
      </c>
      <c r="L45" s="718">
        <f>SUM(M45:Q45)</f>
        <v>835464</v>
      </c>
      <c r="M45" s="718">
        <v>62660</v>
      </c>
      <c r="N45" s="718">
        <v>0</v>
      </c>
      <c r="O45" s="718">
        <v>0</v>
      </c>
      <c r="P45" s="718">
        <v>62660</v>
      </c>
      <c r="Q45" s="718">
        <v>710144</v>
      </c>
      <c r="R45" s="718"/>
      <c r="S45" s="487">
        <v>42639</v>
      </c>
      <c r="T45" s="357">
        <v>42732</v>
      </c>
      <c r="U45" s="357">
        <v>42887</v>
      </c>
      <c r="V45" s="357">
        <v>43008</v>
      </c>
      <c r="W45" s="357">
        <v>44196</v>
      </c>
      <c r="X45" s="34"/>
      <c r="Y45" s="34"/>
      <c r="Z45" s="34"/>
    </row>
    <row r="46" spans="1:26" ht="39.75" customHeight="1" thickBot="1" x14ac:dyDescent="0.3">
      <c r="A46" s="158" t="s">
        <v>27</v>
      </c>
      <c r="B46" s="715"/>
      <c r="C46" s="715"/>
      <c r="D46" s="1897" t="s">
        <v>626</v>
      </c>
      <c r="E46" s="1898"/>
      <c r="F46" s="1898"/>
      <c r="G46" s="1898"/>
      <c r="H46" s="1898"/>
      <c r="I46" s="1898"/>
      <c r="J46" s="1898"/>
      <c r="K46" s="1899"/>
      <c r="L46" s="1237">
        <f t="shared" ref="L46:Q46" si="19">SUM(L47+L54+L63+L68)</f>
        <v>2501375.52</v>
      </c>
      <c r="M46" s="1237">
        <f t="shared" si="19"/>
        <v>328718.03000000003</v>
      </c>
      <c r="N46" s="1237">
        <f t="shared" si="19"/>
        <v>73059.55</v>
      </c>
      <c r="O46" s="1237">
        <f t="shared" si="19"/>
        <v>623</v>
      </c>
      <c r="P46" s="1237">
        <f t="shared" si="19"/>
        <v>0</v>
      </c>
      <c r="Q46" s="1237">
        <f t="shared" si="19"/>
        <v>2098974.94</v>
      </c>
      <c r="R46" s="1237"/>
      <c r="S46" s="153"/>
      <c r="T46" s="159"/>
      <c r="U46" s="159"/>
      <c r="V46" s="159"/>
      <c r="W46" s="167"/>
      <c r="X46" s="45">
        <f>SUM(X47+X54+X63+X68)</f>
        <v>2623843.2011587336</v>
      </c>
      <c r="Y46" s="45">
        <f>SUM(Y47+Y54+Y63+Y68)</f>
        <v>3148611.8413904798</v>
      </c>
      <c r="Z46" s="45">
        <f>SUM(Z47+Z54+Z63+Z68)</f>
        <v>538195.2611587334</v>
      </c>
    </row>
    <row r="47" spans="1:26" ht="51" customHeight="1" thickBot="1" x14ac:dyDescent="0.3">
      <c r="A47" s="151" t="s">
        <v>28</v>
      </c>
      <c r="B47" s="714"/>
      <c r="C47" s="714"/>
      <c r="D47" s="1887" t="s">
        <v>627</v>
      </c>
      <c r="E47" s="1900"/>
      <c r="F47" s="1900"/>
      <c r="G47" s="1900"/>
      <c r="H47" s="1900"/>
      <c r="I47" s="1900"/>
      <c r="J47" s="1900"/>
      <c r="K47" s="1901"/>
      <c r="L47" s="1228">
        <f t="shared" ref="L47:Q47" si="20">SUM(L48+L50+L52)</f>
        <v>1028004</v>
      </c>
      <c r="M47" s="1228">
        <f t="shared" si="20"/>
        <v>139509</v>
      </c>
      <c r="N47" s="1228">
        <f t="shared" si="20"/>
        <v>41885</v>
      </c>
      <c r="O47" s="1228">
        <f t="shared" si="20"/>
        <v>0</v>
      </c>
      <c r="P47" s="1228">
        <f t="shared" si="20"/>
        <v>0</v>
      </c>
      <c r="Q47" s="1228">
        <f t="shared" si="20"/>
        <v>846610</v>
      </c>
      <c r="R47" s="1228"/>
      <c r="S47" s="132"/>
      <c r="T47" s="133"/>
      <c r="U47" s="133"/>
      <c r="V47" s="133"/>
      <c r="W47" s="168"/>
      <c r="X47" s="36">
        <f>SUM(X48+X50+X52)</f>
        <v>867541</v>
      </c>
      <c r="Y47" s="36">
        <f>SUM(Y48+Y50+Y52)</f>
        <v>1041049.2</v>
      </c>
      <c r="Z47" s="36">
        <f>SUM(Z48+Z50+Z52)</f>
        <v>20931</v>
      </c>
    </row>
    <row r="48" spans="1:26" ht="35.25" customHeight="1" thickBot="1" x14ac:dyDescent="0.3">
      <c r="A48" s="327" t="s">
        <v>96</v>
      </c>
      <c r="B48" s="710"/>
      <c r="C48" s="710"/>
      <c r="D48" s="1885" t="s">
        <v>628</v>
      </c>
      <c r="E48" s="1894"/>
      <c r="F48" s="1894"/>
      <c r="G48" s="1894"/>
      <c r="H48" s="1894"/>
      <c r="I48" s="1894"/>
      <c r="J48" s="1894"/>
      <c r="K48" s="1895"/>
      <c r="L48" s="1215">
        <f t="shared" ref="L48:P48" si="21">SUM(L49)</f>
        <v>220453</v>
      </c>
      <c r="M48" s="1215">
        <f t="shared" si="21"/>
        <v>16534</v>
      </c>
      <c r="N48" s="1215">
        <f t="shared" si="21"/>
        <v>16534</v>
      </c>
      <c r="O48" s="1215">
        <f t="shared" si="21"/>
        <v>0</v>
      </c>
      <c r="P48" s="1215">
        <f t="shared" si="21"/>
        <v>0</v>
      </c>
      <c r="Q48" s="1215">
        <f t="shared" ref="Q48" si="22">SUM(Q49)</f>
        <v>187385</v>
      </c>
      <c r="R48" s="1215"/>
      <c r="S48" s="91"/>
      <c r="T48" s="329"/>
      <c r="U48" s="329"/>
      <c r="V48" s="329"/>
      <c r="W48" s="329"/>
      <c r="X48" s="37">
        <v>187385</v>
      </c>
      <c r="Y48" s="37">
        <f>SUM(X48*120/100)</f>
        <v>224862</v>
      </c>
      <c r="Z48" s="37">
        <f>SUM(X48-Q48)</f>
        <v>0</v>
      </c>
    </row>
    <row r="49" spans="1:28" ht="60.75" thickBot="1" x14ac:dyDescent="0.3">
      <c r="A49" s="90" t="str">
        <f>CONCATENATE('3 pr-2'!A103)</f>
        <v>2.1.1.1.1</v>
      </c>
      <c r="B49" s="90" t="str">
        <f>CONCATENATE('3 pr-2'!B103)</f>
        <v>R01-7724-220000-2111</v>
      </c>
      <c r="C49" s="738" t="str">
        <f>CONCATENATE('3 pr-2'!C103)</f>
        <v>09.1.3-CPVA-R-724-11-0003</v>
      </c>
      <c r="D49" s="90" t="s">
        <v>654</v>
      </c>
      <c r="E49" s="90" t="s">
        <v>284</v>
      </c>
      <c r="F49" s="90" t="s">
        <v>97</v>
      </c>
      <c r="G49" s="90" t="s">
        <v>1484</v>
      </c>
      <c r="H49" s="248" t="s">
        <v>136</v>
      </c>
      <c r="I49" s="15" t="s">
        <v>119</v>
      </c>
      <c r="J49" s="15" t="s">
        <v>66</v>
      </c>
      <c r="K49" s="17" t="s">
        <v>66</v>
      </c>
      <c r="L49" s="718">
        <f>SUM(M49:Q49)</f>
        <v>220453</v>
      </c>
      <c r="M49" s="718">
        <v>16534</v>
      </c>
      <c r="N49" s="718">
        <v>16534</v>
      </c>
      <c r="O49" s="718">
        <v>0</v>
      </c>
      <c r="P49" s="718">
        <v>0</v>
      </c>
      <c r="Q49" s="718">
        <v>187385</v>
      </c>
      <c r="R49" s="718"/>
      <c r="S49" s="487">
        <v>42863</v>
      </c>
      <c r="T49" s="357">
        <v>42916</v>
      </c>
      <c r="U49" s="357">
        <v>42993</v>
      </c>
      <c r="V49" s="357">
        <v>43117</v>
      </c>
      <c r="W49" s="754">
        <v>43830</v>
      </c>
      <c r="X49" s="34"/>
      <c r="Y49" s="34"/>
      <c r="Z49" s="34"/>
    </row>
    <row r="50" spans="1:28" ht="31.5" customHeight="1" thickBot="1" x14ac:dyDescent="0.3">
      <c r="A50" s="327" t="s">
        <v>99</v>
      </c>
      <c r="B50" s="710"/>
      <c r="C50" s="710"/>
      <c r="D50" s="1885" t="s">
        <v>629</v>
      </c>
      <c r="E50" s="1894"/>
      <c r="F50" s="1894"/>
      <c r="G50" s="1894"/>
      <c r="H50" s="1894"/>
      <c r="I50" s="1894"/>
      <c r="J50" s="1894"/>
      <c r="K50" s="1895"/>
      <c r="L50" s="1215">
        <f t="shared" ref="L50:Q50" si="23">SUM(L51:L51)</f>
        <v>437551</v>
      </c>
      <c r="M50" s="1215">
        <f t="shared" si="23"/>
        <v>65633</v>
      </c>
      <c r="N50" s="1215">
        <f t="shared" si="23"/>
        <v>0</v>
      </c>
      <c r="O50" s="1215">
        <f t="shared" si="23"/>
        <v>0</v>
      </c>
      <c r="P50" s="1215">
        <f t="shared" si="23"/>
        <v>0</v>
      </c>
      <c r="Q50" s="1215">
        <f t="shared" si="23"/>
        <v>371918</v>
      </c>
      <c r="R50" s="1215"/>
      <c r="S50" s="91"/>
      <c r="T50" s="329"/>
      <c r="U50" s="329"/>
      <c r="V50" s="329"/>
      <c r="W50" s="329"/>
      <c r="X50" s="37">
        <v>371918</v>
      </c>
      <c r="Y50" s="37">
        <f>SUM(X50*120/100)</f>
        <v>446301.6</v>
      </c>
      <c r="Z50" s="4">
        <f>SUM(X50-Q50)</f>
        <v>0</v>
      </c>
    </row>
    <row r="51" spans="1:28" ht="60.75" thickBot="1" x14ac:dyDescent="0.3">
      <c r="A51" s="90" t="str">
        <f>CONCATENATE('3 pr-2'!A109)</f>
        <v>2.1.1.2.1</v>
      </c>
      <c r="B51" s="90" t="str">
        <f>CONCATENATE('3 pr-2'!B109)</f>
        <v>R01-7725-240000-2121</v>
      </c>
      <c r="C51" s="738" t="str">
        <f>CONCATENATE('3 pr-2'!C109)</f>
        <v>09.1.3-CPVA-R-725-11-0003</v>
      </c>
      <c r="D51" s="90" t="s">
        <v>396</v>
      </c>
      <c r="E51" s="90" t="s">
        <v>284</v>
      </c>
      <c r="F51" s="90" t="s">
        <v>97</v>
      </c>
      <c r="G51" s="90" t="s">
        <v>1484</v>
      </c>
      <c r="H51" s="248" t="s">
        <v>139</v>
      </c>
      <c r="I51" s="15" t="s">
        <v>119</v>
      </c>
      <c r="J51" s="15" t="s">
        <v>66</v>
      </c>
      <c r="K51" s="17" t="s">
        <v>66</v>
      </c>
      <c r="L51" s="718">
        <f t="shared" ref="L51" si="24">SUM(M51:Q51)</f>
        <v>437551</v>
      </c>
      <c r="M51" s="718">
        <v>65633</v>
      </c>
      <c r="N51" s="718">
        <v>0</v>
      </c>
      <c r="O51" s="718">
        <v>0</v>
      </c>
      <c r="P51" s="718">
        <v>0</v>
      </c>
      <c r="Q51" s="718">
        <v>371918</v>
      </c>
      <c r="R51" s="718"/>
      <c r="S51" s="487">
        <v>42870</v>
      </c>
      <c r="T51" s="357">
        <v>42916</v>
      </c>
      <c r="U51" s="357">
        <v>43007</v>
      </c>
      <c r="V51" s="357">
        <v>43100</v>
      </c>
      <c r="W51" s="967">
        <v>43830</v>
      </c>
      <c r="X51" s="34"/>
      <c r="Y51" s="34"/>
      <c r="Z51" s="34"/>
    </row>
    <row r="52" spans="1:28" ht="30.75" customHeight="1" thickBot="1" x14ac:dyDescent="0.3">
      <c r="A52" s="327" t="s">
        <v>101</v>
      </c>
      <c r="B52" s="710"/>
      <c r="C52" s="710"/>
      <c r="D52" s="1885" t="s">
        <v>1404</v>
      </c>
      <c r="E52" s="1894"/>
      <c r="F52" s="1894"/>
      <c r="G52" s="1894"/>
      <c r="H52" s="1894"/>
      <c r="I52" s="1894"/>
      <c r="J52" s="1894"/>
      <c r="K52" s="1895"/>
      <c r="L52" s="1215">
        <f t="shared" ref="L52:P52" si="25">SUM(L53)</f>
        <v>370000</v>
      </c>
      <c r="M52" s="1215">
        <f t="shared" si="25"/>
        <v>57342</v>
      </c>
      <c r="N52" s="1215">
        <f t="shared" si="25"/>
        <v>25351</v>
      </c>
      <c r="O52" s="1215">
        <f t="shared" si="25"/>
        <v>0</v>
      </c>
      <c r="P52" s="1215">
        <f t="shared" si="25"/>
        <v>0</v>
      </c>
      <c r="Q52" s="1215">
        <f t="shared" ref="Q52" si="26">SUM(Q53)</f>
        <v>287307</v>
      </c>
      <c r="R52" s="1215"/>
      <c r="S52" s="91"/>
      <c r="T52" s="329"/>
      <c r="U52" s="329"/>
      <c r="V52" s="329"/>
      <c r="W52" s="329"/>
      <c r="X52" s="37">
        <v>308238</v>
      </c>
      <c r="Y52" s="37">
        <f>SUM(X52*120/100)</f>
        <v>369885.6</v>
      </c>
      <c r="Z52" s="4">
        <f>SUM(X52-Q52)</f>
        <v>20931</v>
      </c>
    </row>
    <row r="53" spans="1:28" ht="60.75" customHeight="1" thickBot="1" x14ac:dyDescent="0.3">
      <c r="A53" s="90" t="str">
        <f>CONCATENATE('3 pr-2'!A115)</f>
        <v>2.1.1.3.1</v>
      </c>
      <c r="B53" s="90" t="str">
        <f>CONCATENATE('3 pr-2'!B115)</f>
        <v>R01-7705-230000-2131</v>
      </c>
      <c r="C53" s="738" t="str">
        <f>CONCATENATE('3 pr-2'!C115)</f>
        <v>09.1.3-CPVA-R-705-11-0003</v>
      </c>
      <c r="D53" s="90" t="s">
        <v>138</v>
      </c>
      <c r="E53" s="90" t="s">
        <v>284</v>
      </c>
      <c r="F53" s="90" t="s">
        <v>97</v>
      </c>
      <c r="G53" s="90" t="s">
        <v>1484</v>
      </c>
      <c r="H53" s="248" t="s">
        <v>140</v>
      </c>
      <c r="I53" s="15" t="s">
        <v>119</v>
      </c>
      <c r="J53" s="15" t="s">
        <v>66</v>
      </c>
      <c r="K53" s="17" t="s">
        <v>66</v>
      </c>
      <c r="L53" s="718">
        <f>SUM(M53:Q53)</f>
        <v>370000</v>
      </c>
      <c r="M53" s="718">
        <v>57342</v>
      </c>
      <c r="N53" s="718">
        <v>25351</v>
      </c>
      <c r="O53" s="718">
        <v>0</v>
      </c>
      <c r="P53" s="718">
        <v>0</v>
      </c>
      <c r="Q53" s="718">
        <v>287307</v>
      </c>
      <c r="R53" s="718"/>
      <c r="S53" s="487">
        <v>42968</v>
      </c>
      <c r="T53" s="357">
        <v>43039</v>
      </c>
      <c r="U53" s="357">
        <v>43080</v>
      </c>
      <c r="V53" s="357">
        <v>43159</v>
      </c>
      <c r="W53" s="495">
        <v>43679</v>
      </c>
      <c r="X53" s="34"/>
      <c r="Y53" s="34"/>
      <c r="Z53" s="34"/>
    </row>
    <row r="54" spans="1:28" ht="52.5" customHeight="1" thickBot="1" x14ac:dyDescent="0.3">
      <c r="A54" s="151" t="s">
        <v>32</v>
      </c>
      <c r="B54" s="714"/>
      <c r="C54" s="714"/>
      <c r="D54" s="1887" t="s">
        <v>630</v>
      </c>
      <c r="E54" s="1900"/>
      <c r="F54" s="1900"/>
      <c r="G54" s="1900"/>
      <c r="H54" s="1900"/>
      <c r="I54" s="1900"/>
      <c r="J54" s="1900"/>
      <c r="K54" s="1901"/>
      <c r="L54" s="1228">
        <f t="shared" ref="L54:Q54" si="27">SUM(L55+L58+L61)</f>
        <v>415659</v>
      </c>
      <c r="M54" s="1228">
        <f t="shared" si="27"/>
        <v>30552</v>
      </c>
      <c r="N54" s="1228">
        <f t="shared" si="27"/>
        <v>31174.55</v>
      </c>
      <c r="O54" s="1228">
        <f t="shared" si="27"/>
        <v>623</v>
      </c>
      <c r="P54" s="1228">
        <f t="shared" si="27"/>
        <v>0</v>
      </c>
      <c r="Q54" s="1228">
        <f t="shared" si="27"/>
        <v>353309.45</v>
      </c>
      <c r="R54" s="1228"/>
      <c r="S54" s="132"/>
      <c r="T54" s="133"/>
      <c r="U54" s="133"/>
      <c r="V54" s="133"/>
      <c r="W54" s="168"/>
      <c r="X54" s="36">
        <f>SUM(X55+X58)</f>
        <v>847000</v>
      </c>
      <c r="Y54" s="36">
        <f>SUM(Y55+Y58)</f>
        <v>1016400</v>
      </c>
      <c r="Z54" s="36">
        <f>SUM(Z55+Z58)</f>
        <v>507017.55</v>
      </c>
    </row>
    <row r="55" spans="1:28" ht="35.25" customHeight="1" thickBot="1" x14ac:dyDescent="0.3">
      <c r="A55" s="327" t="s">
        <v>33</v>
      </c>
      <c r="B55" s="710"/>
      <c r="C55" s="710"/>
      <c r="D55" s="1885" t="s">
        <v>631</v>
      </c>
      <c r="E55" s="1894"/>
      <c r="F55" s="1894"/>
      <c r="G55" s="1894"/>
      <c r="H55" s="1894"/>
      <c r="I55" s="1894"/>
      <c r="J55" s="1894"/>
      <c r="K55" s="1895"/>
      <c r="L55" s="1215">
        <f t="shared" ref="L55:P55" si="28">SUM(L56:L57)</f>
        <v>200983</v>
      </c>
      <c r="M55" s="1215">
        <f t="shared" si="28"/>
        <v>14451</v>
      </c>
      <c r="N55" s="1215">
        <f t="shared" si="28"/>
        <v>15074</v>
      </c>
      <c r="O55" s="1215">
        <f t="shared" si="28"/>
        <v>623</v>
      </c>
      <c r="P55" s="1215">
        <f t="shared" si="28"/>
        <v>0</v>
      </c>
      <c r="Q55" s="1215">
        <f>SUM(Q56:Q57)</f>
        <v>170835</v>
      </c>
      <c r="R55" s="1215"/>
      <c r="S55" s="91"/>
      <c r="T55" s="329"/>
      <c r="U55" s="329"/>
      <c r="V55" s="329"/>
      <c r="W55" s="329"/>
      <c r="X55" s="37">
        <v>645000</v>
      </c>
      <c r="Y55" s="37">
        <f>SUM(X55*120/100)</f>
        <v>774000</v>
      </c>
      <c r="Z55" s="37">
        <f>SUM(X55-Q55)</f>
        <v>474165</v>
      </c>
    </row>
    <row r="56" spans="1:28" ht="60.75" thickBot="1" x14ac:dyDescent="0.3">
      <c r="A56" s="90" t="str">
        <f>CONCATENATE('3 pr-2'!A133)</f>
        <v>2.1.2.1.12</v>
      </c>
      <c r="B56" s="90" t="str">
        <f>CONCATENATE('3 pr-2'!B133)</f>
        <v>R01-6609-274710-2222</v>
      </c>
      <c r="C56" s="738" t="str">
        <f>CONCATENATE('3 pr-2'!C133)</f>
        <v/>
      </c>
      <c r="D56" s="90" t="s">
        <v>150</v>
      </c>
      <c r="E56" s="90" t="s">
        <v>151</v>
      </c>
      <c r="F56" s="90" t="s">
        <v>103</v>
      </c>
      <c r="G56" s="90" t="s">
        <v>1484</v>
      </c>
      <c r="H56" s="248" t="s">
        <v>153</v>
      </c>
      <c r="I56" s="15" t="s">
        <v>119</v>
      </c>
      <c r="J56" s="15" t="s">
        <v>66</v>
      </c>
      <c r="K56" s="17" t="s">
        <v>66</v>
      </c>
      <c r="L56" s="718">
        <f>SUM(M56:Q56)</f>
        <v>192678</v>
      </c>
      <c r="M56" s="718">
        <v>14451</v>
      </c>
      <c r="N56" s="718">
        <v>14451</v>
      </c>
      <c r="O56" s="718">
        <v>0</v>
      </c>
      <c r="P56" s="718">
        <v>0</v>
      </c>
      <c r="Q56" s="718">
        <v>163776</v>
      </c>
      <c r="R56" s="718"/>
      <c r="S56" s="988">
        <v>43189</v>
      </c>
      <c r="T56" s="173">
        <v>43312</v>
      </c>
      <c r="U56" s="173">
        <v>43434</v>
      </c>
      <c r="V56" s="173">
        <v>43496</v>
      </c>
      <c r="W56" s="173">
        <v>44227</v>
      </c>
      <c r="X56" s="34"/>
      <c r="Y56" s="34"/>
      <c r="Z56" s="34"/>
    </row>
    <row r="57" spans="1:28" ht="48.75" thickBot="1" x14ac:dyDescent="0.3">
      <c r="A57" s="90" t="str">
        <f>CONCATENATE('3 pr-2'!A134)</f>
        <v>2.1.2.1.13</v>
      </c>
      <c r="B57" s="90" t="str">
        <f>CONCATENATE('3 pr-2'!B134)</f>
        <v>R01-6609-470000-2223</v>
      </c>
      <c r="C57" s="738" t="str">
        <f>CONCATENATE('3 pr-2'!C135)</f>
        <v/>
      </c>
      <c r="D57" s="1004" t="s">
        <v>1483</v>
      </c>
      <c r="E57" s="90" t="s">
        <v>1485</v>
      </c>
      <c r="F57" s="90" t="s">
        <v>103</v>
      </c>
      <c r="G57" s="90" t="s">
        <v>1484</v>
      </c>
      <c r="H57" s="248" t="s">
        <v>153</v>
      </c>
      <c r="I57" s="15" t="s">
        <v>119</v>
      </c>
      <c r="J57" s="15" t="s">
        <v>66</v>
      </c>
      <c r="K57" s="17" t="s">
        <v>66</v>
      </c>
      <c r="L57" s="718">
        <f>SUM(M57:Q57)</f>
        <v>8305</v>
      </c>
      <c r="M57" s="718">
        <v>0</v>
      </c>
      <c r="N57" s="718">
        <v>623</v>
      </c>
      <c r="O57" s="718">
        <v>623</v>
      </c>
      <c r="P57" s="718">
        <v>0</v>
      </c>
      <c r="Q57" s="718">
        <v>7059</v>
      </c>
      <c r="R57" s="718"/>
      <c r="S57" s="987"/>
      <c r="T57" s="1005">
        <v>43311</v>
      </c>
      <c r="U57" s="1005">
        <v>43404</v>
      </c>
      <c r="V57" s="1005">
        <v>43496</v>
      </c>
      <c r="W57" s="1005">
        <v>43830</v>
      </c>
      <c r="X57" s="34"/>
      <c r="Y57" s="34"/>
      <c r="Z57" s="34"/>
    </row>
    <row r="58" spans="1:28" ht="36.75" customHeight="1" thickBot="1" x14ac:dyDescent="0.3">
      <c r="A58" s="327" t="s">
        <v>34</v>
      </c>
      <c r="B58" s="710"/>
      <c r="C58" s="710"/>
      <c r="D58" s="1885" t="str">
        <f>CONCATENATE('3 pr-2'!D135)</f>
        <v/>
      </c>
      <c r="E58" s="1894"/>
      <c r="F58" s="1894"/>
      <c r="G58" s="1894"/>
      <c r="H58" s="1894"/>
      <c r="I58" s="1894"/>
      <c r="J58" s="1894"/>
      <c r="K58" s="1895"/>
      <c r="L58" s="329">
        <f>SUM(L59:L60)</f>
        <v>198997</v>
      </c>
      <c r="M58" s="329">
        <f>SUM(M59:M60)</f>
        <v>14925</v>
      </c>
      <c r="N58" s="329">
        <f t="shared" ref="N58:P58" si="29">SUM(N59:N60)</f>
        <v>14924.55</v>
      </c>
      <c r="O58" s="329">
        <f t="shared" si="29"/>
        <v>0</v>
      </c>
      <c r="P58" s="329">
        <f t="shared" si="29"/>
        <v>0</v>
      </c>
      <c r="Q58" s="329">
        <f>SUM(Q59:Q60)</f>
        <v>169147.45</v>
      </c>
      <c r="R58" s="329"/>
      <c r="S58" s="91"/>
      <c r="T58" s="329"/>
      <c r="U58" s="329"/>
      <c r="V58" s="329"/>
      <c r="W58" s="329"/>
      <c r="X58" s="37">
        <v>202000</v>
      </c>
      <c r="Y58" s="37">
        <f>SUM(X58*120/100)</f>
        <v>242400</v>
      </c>
      <c r="Z58" s="37">
        <f>SUM(X58-Q58)</f>
        <v>32852.549999999988</v>
      </c>
      <c r="AB58" s="68"/>
    </row>
    <row r="59" spans="1:28" ht="90" thickBot="1" x14ac:dyDescent="0.3">
      <c r="A59" s="90" t="str">
        <f>CONCATENATE('3 pr-2'!A138)</f>
        <v>2.1.2.2.3</v>
      </c>
      <c r="B59" s="90" t="str">
        <f>CONCATENATE('3 pr-2'!B138)</f>
        <v>R01-6630-470000-2223</v>
      </c>
      <c r="C59" s="738" t="str">
        <f>CONCATENATE('3 pr-2'!C138)</f>
        <v>08.4.2-ESFA-R-630-11-0005</v>
      </c>
      <c r="D59" s="741" t="s">
        <v>1196</v>
      </c>
      <c r="E59" s="741" t="s">
        <v>278</v>
      </c>
      <c r="F59" s="741" t="s">
        <v>103</v>
      </c>
      <c r="G59" s="741" t="s">
        <v>1484</v>
      </c>
      <c r="H59" s="11" t="s">
        <v>1193</v>
      </c>
      <c r="I59" s="11" t="s">
        <v>119</v>
      </c>
      <c r="J59" s="11" t="s">
        <v>66</v>
      </c>
      <c r="K59" s="11" t="s">
        <v>66</v>
      </c>
      <c r="L59" s="734">
        <f>SUM(M59:Q59)</f>
        <v>198997</v>
      </c>
      <c r="M59" s="734">
        <v>14925</v>
      </c>
      <c r="N59" s="734">
        <v>14924.55</v>
      </c>
      <c r="O59" s="11">
        <v>0</v>
      </c>
      <c r="P59" s="11">
        <v>0</v>
      </c>
      <c r="Q59" s="734">
        <v>169147.45</v>
      </c>
      <c r="R59" s="734"/>
      <c r="S59" s="17"/>
      <c r="T59" s="742">
        <v>43160</v>
      </c>
      <c r="U59" s="743">
        <v>43250</v>
      </c>
      <c r="V59" s="743">
        <v>43342</v>
      </c>
      <c r="W59" s="495">
        <v>44561</v>
      </c>
      <c r="X59" s="34"/>
      <c r="Y59" s="34"/>
      <c r="Z59" s="34"/>
    </row>
    <row r="60" spans="1:28" ht="15.75" hidden="1" thickBot="1" x14ac:dyDescent="0.3">
      <c r="A60" s="90"/>
      <c r="B60" s="90"/>
      <c r="C60" s="90"/>
      <c r="D60" s="90"/>
      <c r="E60" s="90"/>
      <c r="F60" s="90"/>
      <c r="G60" s="90"/>
      <c r="H60" s="248"/>
      <c r="I60" s="15"/>
      <c r="J60" s="15"/>
      <c r="K60" s="17"/>
      <c r="L60" s="17"/>
      <c r="M60" s="17"/>
      <c r="N60" s="17"/>
      <c r="O60" s="17"/>
      <c r="P60" s="17"/>
      <c r="Q60" s="17"/>
      <c r="R60" s="17"/>
      <c r="S60" s="17"/>
      <c r="T60" s="357"/>
      <c r="U60" s="357"/>
      <c r="V60" s="357"/>
      <c r="W60" s="740"/>
      <c r="X60" s="34"/>
      <c r="Y60" s="34"/>
      <c r="Z60" s="34"/>
    </row>
    <row r="61" spans="1:28" ht="36.75" customHeight="1" thickBot="1" x14ac:dyDescent="0.3">
      <c r="A61" s="327" t="s">
        <v>34</v>
      </c>
      <c r="B61" s="710"/>
      <c r="C61" s="710"/>
      <c r="D61" s="1885" t="str">
        <f>CONCATENATE('3 pr-2'!D138)</f>
        <v>Sveikos gyvensenos skatinimas Varėnos rajono savivaldybėje</v>
      </c>
      <c r="E61" s="1894"/>
      <c r="F61" s="1894"/>
      <c r="G61" s="1894"/>
      <c r="H61" s="1894"/>
      <c r="I61" s="1894"/>
      <c r="J61" s="1894"/>
      <c r="K61" s="1895"/>
      <c r="L61" s="329">
        <f t="shared" ref="L61:P61" si="30">SUM(L62)</f>
        <v>15679</v>
      </c>
      <c r="M61" s="329">
        <f t="shared" si="30"/>
        <v>1176</v>
      </c>
      <c r="N61" s="329">
        <f t="shared" si="30"/>
        <v>1176</v>
      </c>
      <c r="O61" s="329">
        <f t="shared" si="30"/>
        <v>0</v>
      </c>
      <c r="P61" s="329">
        <f t="shared" si="30"/>
        <v>0</v>
      </c>
      <c r="Q61" s="329">
        <f>SUM(Q62)</f>
        <v>13327</v>
      </c>
      <c r="R61" s="329"/>
      <c r="S61" s="91"/>
      <c r="T61" s="329"/>
      <c r="U61" s="329"/>
      <c r="V61" s="329"/>
      <c r="W61" s="329"/>
      <c r="X61" s="37">
        <v>202000</v>
      </c>
      <c r="Y61" s="37">
        <f>SUM(X61*120/100)</f>
        <v>242400</v>
      </c>
      <c r="Z61" s="37">
        <f>SUM(X61-Q61)</f>
        <v>188673</v>
      </c>
      <c r="AB61" s="68"/>
    </row>
    <row r="62" spans="1:28" ht="77.25" thickBot="1" x14ac:dyDescent="0.3">
      <c r="A62" s="90" t="str">
        <f>CONCATENATE('3 pr-2'!A146)</f>
        <v>2.1.2.3.5</v>
      </c>
      <c r="B62" s="90" t="str">
        <f>CONCATENATE('3 pr-2'!B146)</f>
        <v>R01-6615-470000-2235</v>
      </c>
      <c r="C62" s="738" t="str">
        <f>CONCATENATE('3 pr-2'!C146)</f>
        <v>08.4.2-ESFA-R-615-11-0003</v>
      </c>
      <c r="D62" s="741" t="s">
        <v>1224</v>
      </c>
      <c r="E62" s="741" t="s">
        <v>284</v>
      </c>
      <c r="F62" s="741" t="s">
        <v>103</v>
      </c>
      <c r="G62" s="741" t="s">
        <v>1484</v>
      </c>
      <c r="H62" s="11" t="s">
        <v>1208</v>
      </c>
      <c r="I62" s="11" t="s">
        <v>119</v>
      </c>
      <c r="J62" s="11" t="s">
        <v>66</v>
      </c>
      <c r="K62" s="11" t="s">
        <v>66</v>
      </c>
      <c r="L62" s="734">
        <v>15679</v>
      </c>
      <c r="M62" s="734">
        <v>1176</v>
      </c>
      <c r="N62" s="734">
        <v>1176</v>
      </c>
      <c r="O62" s="11">
        <v>0</v>
      </c>
      <c r="P62" s="11">
        <v>0</v>
      </c>
      <c r="Q62" s="734">
        <v>13327</v>
      </c>
      <c r="R62" s="734"/>
      <c r="S62" s="17"/>
      <c r="T62" s="742">
        <v>43160</v>
      </c>
      <c r="U62" s="742">
        <v>43281</v>
      </c>
      <c r="V62" s="742">
        <v>43373</v>
      </c>
      <c r="W62" s="495">
        <v>44561</v>
      </c>
      <c r="X62" s="34"/>
      <c r="Y62" s="34"/>
      <c r="Z62" s="34"/>
    </row>
    <row r="63" spans="1:28" ht="49.5" customHeight="1" thickBot="1" x14ac:dyDescent="0.3">
      <c r="A63" s="151" t="s">
        <v>35</v>
      </c>
      <c r="B63" s="714"/>
      <c r="C63" s="714"/>
      <c r="D63" s="1887" t="s">
        <v>636</v>
      </c>
      <c r="E63" s="1900"/>
      <c r="F63" s="1900"/>
      <c r="G63" s="1900"/>
      <c r="H63" s="1900"/>
      <c r="I63" s="1900"/>
      <c r="J63" s="1900"/>
      <c r="K63" s="1901"/>
      <c r="L63" s="132">
        <f t="shared" ref="L63:Q63" si="31">SUM(L64+L66)</f>
        <v>884979</v>
      </c>
      <c r="M63" s="132">
        <f t="shared" si="31"/>
        <v>132747</v>
      </c>
      <c r="N63" s="132">
        <f t="shared" si="31"/>
        <v>0</v>
      </c>
      <c r="O63" s="132">
        <f t="shared" si="31"/>
        <v>0</v>
      </c>
      <c r="P63" s="132">
        <f t="shared" si="31"/>
        <v>0</v>
      </c>
      <c r="Q63" s="132">
        <f t="shared" si="31"/>
        <v>752232</v>
      </c>
      <c r="R63" s="132"/>
      <c r="S63" s="132"/>
      <c r="T63" s="133"/>
      <c r="U63" s="133"/>
      <c r="V63" s="133"/>
      <c r="W63" s="168"/>
      <c r="X63" s="36">
        <f>SUM(X64+X66)</f>
        <v>752232.00509731239</v>
      </c>
      <c r="Y63" s="36">
        <f>SUM(Y64+Y66)</f>
        <v>902678.40611677477</v>
      </c>
      <c r="Z63" s="36">
        <f>SUM(Z64+Z66)</f>
        <v>5.0973123288713396E-3</v>
      </c>
    </row>
    <row r="64" spans="1:28" ht="29.25" customHeight="1" thickBot="1" x14ac:dyDescent="0.3">
      <c r="A64" s="327" t="s">
        <v>36</v>
      </c>
      <c r="B64" s="710"/>
      <c r="C64" s="710"/>
      <c r="D64" s="1885" t="s">
        <v>632</v>
      </c>
      <c r="E64" s="1894"/>
      <c r="F64" s="1894"/>
      <c r="G64" s="1894"/>
      <c r="H64" s="1894"/>
      <c r="I64" s="1894"/>
      <c r="J64" s="1894"/>
      <c r="K64" s="1895"/>
      <c r="L64" s="329">
        <f>SUM(L65)</f>
        <v>148480</v>
      </c>
      <c r="M64" s="329">
        <f>SUM(M65)</f>
        <v>22272</v>
      </c>
      <c r="N64" s="329">
        <f t="shared" ref="N64:P64" si="32">SUM(N65)</f>
        <v>0</v>
      </c>
      <c r="O64" s="329">
        <f t="shared" si="32"/>
        <v>0</v>
      </c>
      <c r="P64" s="329">
        <f t="shared" si="32"/>
        <v>0</v>
      </c>
      <c r="Q64" s="329">
        <f>SUM(Q65)</f>
        <v>126208</v>
      </c>
      <c r="R64" s="329"/>
      <c r="S64" s="91"/>
      <c r="T64" s="329"/>
      <c r="U64" s="329"/>
      <c r="V64" s="329"/>
      <c r="W64" s="329"/>
      <c r="X64" s="37">
        <v>126208.00509731233</v>
      </c>
      <c r="Y64" s="37">
        <f>SUM(X64*120/100)</f>
        <v>151449.60611677478</v>
      </c>
      <c r="Z64" s="37">
        <f>SUM(X64-Q64)</f>
        <v>5.0973123288713396E-3</v>
      </c>
    </row>
    <row r="65" spans="1:26" ht="60.75" thickBot="1" x14ac:dyDescent="0.3">
      <c r="A65" s="90" t="str">
        <f>CONCATENATE('3 pr-2'!A149)</f>
        <v>2.1.3.1.1</v>
      </c>
      <c r="B65" s="90" t="str">
        <f>CONCATENATE('3 pr-2'!B149)</f>
        <v>R01-4407-270000-2311</v>
      </c>
      <c r="C65" s="738" t="str">
        <f>CONCATENATE('3 pr-2'!C149)</f>
        <v>08.1.1-CPVA-R-407-11-0002</v>
      </c>
      <c r="D65" s="152" t="s">
        <v>313</v>
      </c>
      <c r="E65" s="90" t="s">
        <v>284</v>
      </c>
      <c r="F65" s="152" t="s">
        <v>106</v>
      </c>
      <c r="G65" s="90" t="s">
        <v>1484</v>
      </c>
      <c r="H65" s="248" t="s">
        <v>154</v>
      </c>
      <c r="I65" s="15" t="s">
        <v>119</v>
      </c>
      <c r="J65" s="15" t="s">
        <v>66</v>
      </c>
      <c r="K65" s="17" t="s">
        <v>66</v>
      </c>
      <c r="L65" s="17">
        <f>SUM(M65:Q65)</f>
        <v>148480</v>
      </c>
      <c r="M65" s="17">
        <v>22272</v>
      </c>
      <c r="N65" s="17">
        <v>0</v>
      </c>
      <c r="O65" s="17">
        <v>0</v>
      </c>
      <c r="P65" s="17">
        <v>0</v>
      </c>
      <c r="Q65" s="17">
        <v>126208</v>
      </c>
      <c r="R65" s="17"/>
      <c r="S65" s="487">
        <v>42618</v>
      </c>
      <c r="T65" s="744">
        <v>42669</v>
      </c>
      <c r="U65" s="744">
        <v>42719</v>
      </c>
      <c r="V65" s="744">
        <v>42855</v>
      </c>
      <c r="W65" s="967">
        <v>43465</v>
      </c>
      <c r="X65" s="34"/>
      <c r="Y65" s="34"/>
      <c r="Z65" s="34"/>
    </row>
    <row r="66" spans="1:26" ht="34.5" customHeight="1" thickBot="1" x14ac:dyDescent="0.3">
      <c r="A66" s="327" t="s">
        <v>37</v>
      </c>
      <c r="B66" s="710"/>
      <c r="C66" s="710"/>
      <c r="D66" s="1885" t="s">
        <v>633</v>
      </c>
      <c r="E66" s="1894"/>
      <c r="F66" s="1894"/>
      <c r="G66" s="1894"/>
      <c r="H66" s="1894"/>
      <c r="I66" s="1894"/>
      <c r="J66" s="1894"/>
      <c r="K66" s="1895"/>
      <c r="L66" s="329">
        <f>SUM(L67)</f>
        <v>736499</v>
      </c>
      <c r="M66" s="329">
        <f>SUM(M67)</f>
        <v>110475</v>
      </c>
      <c r="N66" s="329">
        <f t="shared" ref="N66:P66" si="33">SUM(N67)</f>
        <v>0</v>
      </c>
      <c r="O66" s="329">
        <f t="shared" si="33"/>
        <v>0</v>
      </c>
      <c r="P66" s="329">
        <f t="shared" si="33"/>
        <v>0</v>
      </c>
      <c r="Q66" s="329">
        <f>SUM(Q67)</f>
        <v>626024</v>
      </c>
      <c r="R66" s="329"/>
      <c r="S66" s="91"/>
      <c r="T66" s="329"/>
      <c r="U66" s="329"/>
      <c r="V66" s="329"/>
      <c r="W66" s="329"/>
      <c r="X66" s="37">
        <v>626024</v>
      </c>
      <c r="Y66" s="37">
        <f>SUM(X66*120/100)</f>
        <v>751228.8</v>
      </c>
      <c r="Z66" s="37">
        <f>SUM(X66-Q66)</f>
        <v>0</v>
      </c>
    </row>
    <row r="67" spans="1:26" ht="60.75" thickBot="1" x14ac:dyDescent="0.3">
      <c r="A67" s="90" t="str">
        <f>CONCATENATE('3 pr-2'!A155)</f>
        <v>2.1.3.2.1</v>
      </c>
      <c r="B67" s="90" t="str">
        <f>CONCATENATE('3 pr-2'!B155)</f>
        <v>R01-4408-260000-2321</v>
      </c>
      <c r="C67" s="738" t="str">
        <f>CONCATENATE('3 pr-2'!C155)</f>
        <v>08.1.2-CPVA-R-408-11-0001</v>
      </c>
      <c r="D67" s="90" t="s">
        <v>279</v>
      </c>
      <c r="E67" s="90" t="s">
        <v>284</v>
      </c>
      <c r="F67" s="90" t="s">
        <v>106</v>
      </c>
      <c r="G67" s="90" t="s">
        <v>1484</v>
      </c>
      <c r="H67" s="248" t="s">
        <v>155</v>
      </c>
      <c r="I67" s="15" t="s">
        <v>119</v>
      </c>
      <c r="J67" s="15" t="s">
        <v>66</v>
      </c>
      <c r="K67" s="17" t="s">
        <v>66</v>
      </c>
      <c r="L67" s="17">
        <f>SUM(M67:Q67)</f>
        <v>736499</v>
      </c>
      <c r="M67" s="17">
        <v>110475</v>
      </c>
      <c r="N67" s="17">
        <v>0</v>
      </c>
      <c r="O67" s="17">
        <v>0</v>
      </c>
      <c r="P67" s="17">
        <v>0</v>
      </c>
      <c r="Q67" s="17">
        <v>626024</v>
      </c>
      <c r="R67" s="17"/>
      <c r="S67" s="487">
        <v>42401</v>
      </c>
      <c r="T67" s="357">
        <v>42490</v>
      </c>
      <c r="U67" s="357">
        <v>42674</v>
      </c>
      <c r="V67" s="357">
        <v>42735</v>
      </c>
      <c r="W67" s="495">
        <v>43738</v>
      </c>
      <c r="X67" s="34"/>
      <c r="Y67" s="34"/>
      <c r="Z67" s="34"/>
    </row>
    <row r="68" spans="1:26" ht="36.75" customHeight="1" thickBot="1" x14ac:dyDescent="0.3">
      <c r="A68" s="151" t="s">
        <v>38</v>
      </c>
      <c r="B68" s="714"/>
      <c r="C68" s="714"/>
      <c r="D68" s="1887" t="s">
        <v>634</v>
      </c>
      <c r="E68" s="1900"/>
      <c r="F68" s="1900"/>
      <c r="G68" s="1900"/>
      <c r="H68" s="1900"/>
      <c r="I68" s="1900"/>
      <c r="J68" s="1900"/>
      <c r="K68" s="1901"/>
      <c r="L68" s="132">
        <f t="shared" ref="L68:Q69" si="34">SUM(L69)</f>
        <v>172733.52</v>
      </c>
      <c r="M68" s="132">
        <f t="shared" si="34"/>
        <v>25910.03</v>
      </c>
      <c r="N68" s="132">
        <f t="shared" si="34"/>
        <v>0</v>
      </c>
      <c r="O68" s="132">
        <f t="shared" si="34"/>
        <v>0</v>
      </c>
      <c r="P68" s="132">
        <f t="shared" si="34"/>
        <v>0</v>
      </c>
      <c r="Q68" s="132">
        <f t="shared" si="34"/>
        <v>146823.49</v>
      </c>
      <c r="R68" s="132"/>
      <c r="S68" s="132"/>
      <c r="T68" s="133"/>
      <c r="U68" s="133"/>
      <c r="V68" s="133"/>
      <c r="W68" s="168"/>
      <c r="X68" s="36">
        <f>SUM(X69)</f>
        <v>157070.19606142101</v>
      </c>
      <c r="Y68" s="36">
        <f>SUM(Y69)</f>
        <v>188484.23527370521</v>
      </c>
      <c r="Z68" s="36">
        <f>SUM(Z69)</f>
        <v>10246.70606142102</v>
      </c>
    </row>
    <row r="69" spans="1:26" ht="34.5" customHeight="1" thickBot="1" x14ac:dyDescent="0.3">
      <c r="A69" s="327" t="s">
        <v>109</v>
      </c>
      <c r="B69" s="710"/>
      <c r="C69" s="710"/>
      <c r="D69" s="1885" t="s">
        <v>635</v>
      </c>
      <c r="E69" s="1894"/>
      <c r="F69" s="1894"/>
      <c r="G69" s="1894"/>
      <c r="H69" s="1894"/>
      <c r="I69" s="1894"/>
      <c r="J69" s="1894"/>
      <c r="K69" s="1895"/>
      <c r="L69" s="329">
        <f>SUM(L70)</f>
        <v>172733.52</v>
      </c>
      <c r="M69" s="329">
        <f>SUM(M70)</f>
        <v>25910.03</v>
      </c>
      <c r="N69" s="329">
        <f t="shared" si="34"/>
        <v>0</v>
      </c>
      <c r="O69" s="329">
        <f t="shared" si="34"/>
        <v>0</v>
      </c>
      <c r="P69" s="329">
        <f t="shared" si="34"/>
        <v>0</v>
      </c>
      <c r="Q69" s="329">
        <f>SUM(Q70)</f>
        <v>146823.49</v>
      </c>
      <c r="R69" s="329"/>
      <c r="S69" s="91"/>
      <c r="T69" s="329"/>
      <c r="U69" s="329"/>
      <c r="V69" s="329"/>
      <c r="W69" s="329"/>
      <c r="X69" s="37">
        <v>157070.19606142101</v>
      </c>
      <c r="Y69" s="37">
        <f>SUM(X69*120/100)</f>
        <v>188484.23527370521</v>
      </c>
      <c r="Z69" s="37">
        <f>SUM(X69-Q69)</f>
        <v>10246.70606142102</v>
      </c>
    </row>
    <row r="70" spans="1:26" ht="60.75" thickBot="1" x14ac:dyDescent="0.3">
      <c r="A70" s="90" t="str">
        <f>CONCATENATE('3 pr-2'!A162)</f>
        <v>2.1.4.1.1</v>
      </c>
      <c r="B70" s="90" t="str">
        <f>CONCATENATE('3 pr-2'!B162)</f>
        <v>R01-9920-490000-2411</v>
      </c>
      <c r="C70" s="738" t="str">
        <f>CONCATENATE('3 pr-2'!C162)</f>
        <v>10.1.3-ESFA-R-920-11-0001</v>
      </c>
      <c r="D70" s="90" t="s">
        <v>274</v>
      </c>
      <c r="E70" s="90" t="s">
        <v>284</v>
      </c>
      <c r="F70" s="90" t="s">
        <v>75</v>
      </c>
      <c r="G70" s="90" t="s">
        <v>1484</v>
      </c>
      <c r="H70" s="248" t="s">
        <v>1138</v>
      </c>
      <c r="I70" s="15" t="s">
        <v>119</v>
      </c>
      <c r="J70" s="15" t="s">
        <v>66</v>
      </c>
      <c r="K70" s="17" t="s">
        <v>66</v>
      </c>
      <c r="L70" s="17">
        <f>SUM(M70:Q70)</f>
        <v>172733.52</v>
      </c>
      <c r="M70" s="17">
        <v>25910.03</v>
      </c>
      <c r="N70" s="17">
        <v>0</v>
      </c>
      <c r="O70" s="17">
        <v>0</v>
      </c>
      <c r="P70" s="17">
        <v>0</v>
      </c>
      <c r="Q70" s="17">
        <v>146823.49</v>
      </c>
      <c r="R70" s="17"/>
      <c r="S70" s="487">
        <v>43017</v>
      </c>
      <c r="T70" s="357">
        <v>42992</v>
      </c>
      <c r="U70" s="357">
        <v>43039</v>
      </c>
      <c r="V70" s="357">
        <v>43137</v>
      </c>
      <c r="W70" s="357">
        <v>43830</v>
      </c>
      <c r="X70" s="34"/>
      <c r="Y70" s="34"/>
      <c r="Z70" s="34"/>
    </row>
    <row r="71" spans="1:26" ht="38.25" customHeight="1" thickBot="1" x14ac:dyDescent="0.3">
      <c r="A71" s="158" t="s">
        <v>40</v>
      </c>
      <c r="B71" s="715"/>
      <c r="C71" s="715"/>
      <c r="D71" s="1897" t="s">
        <v>1408</v>
      </c>
      <c r="E71" s="1898"/>
      <c r="F71" s="1898"/>
      <c r="G71" s="1898"/>
      <c r="H71" s="1898"/>
      <c r="I71" s="1898"/>
      <c r="J71" s="1898"/>
      <c r="K71" s="1899"/>
      <c r="L71" s="153">
        <f t="shared" ref="L71:Q71" si="35">SUM(L72+L75)</f>
        <v>1494161.1647058823</v>
      </c>
      <c r="M71" s="153">
        <f t="shared" si="35"/>
        <v>253885.18959101971</v>
      </c>
      <c r="N71" s="153">
        <f t="shared" si="35"/>
        <v>0</v>
      </c>
      <c r="O71" s="153">
        <f t="shared" si="35"/>
        <v>0</v>
      </c>
      <c r="P71" s="153">
        <f t="shared" si="35"/>
        <v>0</v>
      </c>
      <c r="Q71" s="153">
        <f t="shared" si="35"/>
        <v>1270036.6399999999</v>
      </c>
      <c r="R71" s="153"/>
      <c r="S71" s="153"/>
      <c r="T71" s="159"/>
      <c r="U71" s="159"/>
      <c r="V71" s="159"/>
      <c r="W71" s="167"/>
      <c r="X71" s="35">
        <f>SUM(X72+X75)</f>
        <v>1005066.94</v>
      </c>
      <c r="Y71" s="35">
        <f>SUM(Y72+Y75)</f>
        <v>1206080.328</v>
      </c>
      <c r="Z71" s="35">
        <f>SUM(Z72+Z75)</f>
        <v>-264969.69999999995</v>
      </c>
    </row>
    <row r="72" spans="1:26" ht="41.25" customHeight="1" thickBot="1" x14ac:dyDescent="0.3">
      <c r="A72" s="151" t="s">
        <v>41</v>
      </c>
      <c r="B72" s="714"/>
      <c r="C72" s="714"/>
      <c r="D72" s="1887" t="s">
        <v>1409</v>
      </c>
      <c r="E72" s="1900"/>
      <c r="F72" s="1900"/>
      <c r="G72" s="1900"/>
      <c r="H72" s="1900"/>
      <c r="I72" s="1900"/>
      <c r="J72" s="1900"/>
      <c r="K72" s="1901"/>
      <c r="L72" s="132">
        <f t="shared" ref="L72:Q72" si="36">SUM(L73)</f>
        <v>630428.16470588231</v>
      </c>
      <c r="M72" s="132">
        <f t="shared" si="36"/>
        <v>124324.88959101972</v>
      </c>
      <c r="N72" s="132">
        <f t="shared" si="36"/>
        <v>0</v>
      </c>
      <c r="O72" s="132">
        <f t="shared" si="36"/>
        <v>0</v>
      </c>
      <c r="P72" s="132">
        <f t="shared" si="36"/>
        <v>0</v>
      </c>
      <c r="Q72" s="132">
        <f t="shared" si="36"/>
        <v>535863.93999999994</v>
      </c>
      <c r="R72" s="132"/>
      <c r="S72" s="132"/>
      <c r="T72" s="133"/>
      <c r="U72" s="133"/>
      <c r="V72" s="133"/>
      <c r="W72" s="168"/>
      <c r="X72" s="36">
        <f>SUM(X73)</f>
        <v>535863.93999999994</v>
      </c>
      <c r="Y72" s="36">
        <f>SUM(Y73)</f>
        <v>643036.728</v>
      </c>
      <c r="Z72" s="36">
        <f>SUM(Z73)</f>
        <v>0</v>
      </c>
    </row>
    <row r="73" spans="1:26" ht="33" customHeight="1" thickBot="1" x14ac:dyDescent="0.3">
      <c r="A73" s="327" t="s">
        <v>42</v>
      </c>
      <c r="B73" s="710"/>
      <c r="C73" s="710"/>
      <c r="D73" s="1885" t="s">
        <v>277</v>
      </c>
      <c r="E73" s="1894"/>
      <c r="F73" s="1894" t="s">
        <v>77</v>
      </c>
      <c r="G73" s="1894"/>
      <c r="H73" s="1894" t="s">
        <v>111</v>
      </c>
      <c r="I73" s="1894"/>
      <c r="J73" s="1894"/>
      <c r="K73" s="1895"/>
      <c r="L73" s="329">
        <f t="shared" ref="L73:Q73" si="37">SUM(L74:L74)</f>
        <v>630428.16470588231</v>
      </c>
      <c r="M73" s="329">
        <f t="shared" si="37"/>
        <v>124324.88959101972</v>
      </c>
      <c r="N73" s="329">
        <f t="shared" si="37"/>
        <v>0</v>
      </c>
      <c r="O73" s="329">
        <f t="shared" si="37"/>
        <v>0</v>
      </c>
      <c r="P73" s="329">
        <f t="shared" si="37"/>
        <v>0</v>
      </c>
      <c r="Q73" s="329">
        <f t="shared" si="37"/>
        <v>535863.93999999994</v>
      </c>
      <c r="R73" s="329"/>
      <c r="S73" s="91"/>
      <c r="T73" s="329"/>
      <c r="U73" s="329"/>
      <c r="V73" s="329"/>
      <c r="W73" s="329"/>
      <c r="X73" s="37">
        <v>535863.93999999994</v>
      </c>
      <c r="Y73" s="37">
        <f>SUM(X73*120/100)</f>
        <v>643036.728</v>
      </c>
      <c r="Z73" s="37">
        <f>SUM(X73-Q73)</f>
        <v>0</v>
      </c>
    </row>
    <row r="74" spans="1:26" s="126" customFormat="1" ht="60.75" thickBot="1" x14ac:dyDescent="0.3">
      <c r="A74" s="125" t="str">
        <f>CONCATENATE('3 pr-2'!A171)</f>
        <v>3.1.1.1.1</v>
      </c>
      <c r="B74" s="125" t="str">
        <f>CONCATENATE('3 pr-2'!B171)</f>
        <v>R01-0008-050000-3111</v>
      </c>
      <c r="C74" s="738" t="str">
        <f>CONCATENATE('3 pr-2'!C171)</f>
        <v>05.2.1-APVA-R-008-11-0001</v>
      </c>
      <c r="D74" s="125" t="s">
        <v>310</v>
      </c>
      <c r="E74" s="125" t="s">
        <v>190</v>
      </c>
      <c r="F74" s="125" t="s">
        <v>77</v>
      </c>
      <c r="G74" s="125" t="s">
        <v>185</v>
      </c>
      <c r="H74" s="352" t="s">
        <v>191</v>
      </c>
      <c r="I74" s="376" t="s">
        <v>119</v>
      </c>
      <c r="J74" s="376" t="s">
        <v>66</v>
      </c>
      <c r="K74" s="306" t="s">
        <v>66</v>
      </c>
      <c r="L74" s="306">
        <v>630428.16470588231</v>
      </c>
      <c r="M74" s="306">
        <v>124324.88959101972</v>
      </c>
      <c r="N74" s="306">
        <v>0</v>
      </c>
      <c r="O74" s="306">
        <v>0</v>
      </c>
      <c r="P74" s="306">
        <v>0</v>
      </c>
      <c r="Q74" s="306">
        <v>535863.93999999994</v>
      </c>
      <c r="R74" s="306"/>
      <c r="S74" s="306"/>
      <c r="T74" s="719">
        <v>42766</v>
      </c>
      <c r="U74" s="719">
        <v>42916</v>
      </c>
      <c r="V74" s="719">
        <v>43008</v>
      </c>
      <c r="W74" s="357">
        <v>43830</v>
      </c>
      <c r="X74" s="55"/>
      <c r="Y74" s="55"/>
      <c r="Z74" s="55"/>
    </row>
    <row r="75" spans="1:26" ht="39.75" customHeight="1" thickBot="1" x14ac:dyDescent="0.3">
      <c r="A75" s="151" t="s">
        <v>43</v>
      </c>
      <c r="B75" s="714"/>
      <c r="C75" s="714"/>
      <c r="D75" s="1887" t="s">
        <v>1410</v>
      </c>
      <c r="E75" s="1900"/>
      <c r="F75" s="1900"/>
      <c r="G75" s="1900"/>
      <c r="H75" s="1900"/>
      <c r="I75" s="1900"/>
      <c r="J75" s="1900"/>
      <c r="K75" s="1901"/>
      <c r="L75" s="132">
        <f t="shared" ref="L75:Q75" si="38">SUM(L76)</f>
        <v>863733</v>
      </c>
      <c r="M75" s="132">
        <f t="shared" si="38"/>
        <v>129560.3</v>
      </c>
      <c r="N75" s="132">
        <f t="shared" si="38"/>
        <v>0</v>
      </c>
      <c r="O75" s="132">
        <f t="shared" si="38"/>
        <v>0</v>
      </c>
      <c r="P75" s="132">
        <f t="shared" si="38"/>
        <v>0</v>
      </c>
      <c r="Q75" s="132">
        <f t="shared" si="38"/>
        <v>734172.7</v>
      </c>
      <c r="R75" s="132"/>
      <c r="S75" s="132"/>
      <c r="T75" s="133"/>
      <c r="U75" s="133"/>
      <c r="V75" s="133"/>
      <c r="W75" s="168"/>
      <c r="X75" s="36">
        <f>SUM(X76)</f>
        <v>469203</v>
      </c>
      <c r="Y75" s="36">
        <f>SUM(Y76)</f>
        <v>563043.6</v>
      </c>
      <c r="Z75" s="36">
        <f>SUM(Z76)</f>
        <v>-264969.69999999995</v>
      </c>
    </row>
    <row r="76" spans="1:26" ht="27.75" customHeight="1" thickBot="1" x14ac:dyDescent="0.3">
      <c r="A76" s="327" t="s">
        <v>113</v>
      </c>
      <c r="B76" s="710"/>
      <c r="C76" s="710"/>
      <c r="D76" s="1885" t="s">
        <v>610</v>
      </c>
      <c r="E76" s="1894"/>
      <c r="F76" s="1894"/>
      <c r="G76" s="1894"/>
      <c r="H76" s="1894"/>
      <c r="I76" s="1894"/>
      <c r="J76" s="1894"/>
      <c r="K76" s="1895"/>
      <c r="L76" s="329">
        <f t="shared" ref="L76:P76" si="39">SUM(L77:L78)</f>
        <v>863733</v>
      </c>
      <c r="M76" s="329">
        <f t="shared" si="39"/>
        <v>129560.3</v>
      </c>
      <c r="N76" s="329">
        <f t="shared" si="39"/>
        <v>0</v>
      </c>
      <c r="O76" s="329">
        <f t="shared" si="39"/>
        <v>0</v>
      </c>
      <c r="P76" s="329">
        <f t="shared" si="39"/>
        <v>0</v>
      </c>
      <c r="Q76" s="329">
        <f>SUM(Q77:Q78)</f>
        <v>734172.7</v>
      </c>
      <c r="R76" s="329"/>
      <c r="S76" s="91"/>
      <c r="T76" s="329"/>
      <c r="U76" s="329"/>
      <c r="V76" s="329"/>
      <c r="W76" s="329"/>
      <c r="X76" s="37">
        <v>469203</v>
      </c>
      <c r="Y76" s="37">
        <f>SUM(X76*120/100)</f>
        <v>563043.6</v>
      </c>
      <c r="Z76" s="38">
        <f>SUM(X76-Q76)</f>
        <v>-264969.69999999995</v>
      </c>
    </row>
    <row r="77" spans="1:26" ht="60.75" thickBot="1" x14ac:dyDescent="0.3">
      <c r="A77" s="90" t="str">
        <f>CONCATENATE('3 pr-2'!A174)</f>
        <v>3.1.2.1.1</v>
      </c>
      <c r="B77" s="90" t="str">
        <f>CONCATENATE('3 pr-2'!B174)</f>
        <v>R01-0019-380000-3211</v>
      </c>
      <c r="C77" s="738" t="str">
        <f>CONCATENATE('3 pr-2'!C174)</f>
        <v>05.5.1-APVA-R-019-11-0002</v>
      </c>
      <c r="D77" s="90" t="s">
        <v>308</v>
      </c>
      <c r="E77" s="90" t="s">
        <v>284</v>
      </c>
      <c r="F77" s="90" t="s">
        <v>77</v>
      </c>
      <c r="G77" s="90" t="s">
        <v>1484</v>
      </c>
      <c r="H77" s="248" t="s">
        <v>193</v>
      </c>
      <c r="I77" s="15" t="s">
        <v>119</v>
      </c>
      <c r="J77" s="15" t="s">
        <v>66</v>
      </c>
      <c r="K77" s="17" t="s">
        <v>66</v>
      </c>
      <c r="L77" s="718">
        <f>SUM(M77:Q77)</f>
        <v>309522</v>
      </c>
      <c r="M77" s="1209">
        <v>46428.3</v>
      </c>
      <c r="N77" s="718">
        <v>0</v>
      </c>
      <c r="O77" s="718">
        <v>0</v>
      </c>
      <c r="P77" s="718">
        <v>0</v>
      </c>
      <c r="Q77" s="1209">
        <v>263093.7</v>
      </c>
      <c r="R77" s="718"/>
      <c r="S77" s="487">
        <v>42598</v>
      </c>
      <c r="T77" s="357">
        <v>42632</v>
      </c>
      <c r="U77" s="357">
        <v>42795</v>
      </c>
      <c r="V77" s="357">
        <v>42901</v>
      </c>
      <c r="W77" s="542">
        <v>43465</v>
      </c>
      <c r="X77" s="34"/>
      <c r="Y77" s="34"/>
      <c r="Z77" s="34"/>
    </row>
    <row r="78" spans="1:26" ht="60.75" thickBot="1" x14ac:dyDescent="0.3">
      <c r="A78" s="90" t="str">
        <f>CONCATENATE('3 pr-2'!A175)</f>
        <v>3.1.2.1.2</v>
      </c>
      <c r="B78" s="90" t="str">
        <f>CONCATENATE('3 pr-2'!B175)</f>
        <v>R01-0019-380000-3212</v>
      </c>
      <c r="C78" s="738" t="str">
        <f>CONCATENATE('3 pr-2'!C175)</f>
        <v/>
      </c>
      <c r="D78" s="90" t="s">
        <v>309</v>
      </c>
      <c r="E78" s="90" t="s">
        <v>284</v>
      </c>
      <c r="F78" s="90" t="s">
        <v>77</v>
      </c>
      <c r="G78" s="90" t="s">
        <v>1484</v>
      </c>
      <c r="H78" s="248" t="s">
        <v>193</v>
      </c>
      <c r="I78" s="15" t="s">
        <v>119</v>
      </c>
      <c r="J78" s="15" t="s">
        <v>66</v>
      </c>
      <c r="K78" s="17" t="s">
        <v>66</v>
      </c>
      <c r="L78" s="718">
        <f>SUM(M78:Q78)</f>
        <v>554211</v>
      </c>
      <c r="M78" s="718">
        <v>83132</v>
      </c>
      <c r="N78" s="718">
        <v>0</v>
      </c>
      <c r="O78" s="718">
        <v>0</v>
      </c>
      <c r="P78" s="718">
        <v>0</v>
      </c>
      <c r="Q78" s="718">
        <v>471079</v>
      </c>
      <c r="R78" s="718"/>
      <c r="S78" s="487">
        <v>43277</v>
      </c>
      <c r="T78" s="357">
        <v>43373</v>
      </c>
      <c r="U78" s="357">
        <v>43465</v>
      </c>
      <c r="V78" s="357">
        <v>43555</v>
      </c>
      <c r="W78" s="357">
        <v>44651</v>
      </c>
      <c r="X78" s="34"/>
      <c r="Y78" s="34"/>
      <c r="Z78" s="34"/>
    </row>
    <row r="79" spans="1:26" ht="15.75" thickBot="1" x14ac:dyDescent="0.3">
      <c r="A79" s="46"/>
      <c r="B79" s="47"/>
      <c r="C79" s="47"/>
      <c r="D79" s="47"/>
      <c r="E79" s="47"/>
      <c r="F79" s="47"/>
      <c r="G79" s="47"/>
      <c r="H79" s="48"/>
      <c r="I79" s="49"/>
      <c r="J79" s="49"/>
      <c r="K79" s="49"/>
      <c r="L79" s="50">
        <f t="shared" ref="L79:Q79" si="40">SUM(L5+L46+L71)</f>
        <v>14982059.046470588</v>
      </c>
      <c r="M79" s="50">
        <f t="shared" si="40"/>
        <v>1606731.8213557254</v>
      </c>
      <c r="N79" s="50">
        <f t="shared" si="40"/>
        <v>644572.77</v>
      </c>
      <c r="O79" s="50">
        <f t="shared" si="40"/>
        <v>863497.97</v>
      </c>
      <c r="P79" s="50">
        <f t="shared" si="40"/>
        <v>62660</v>
      </c>
      <c r="Q79" s="50">
        <f t="shared" si="40"/>
        <v>11834357.15</v>
      </c>
      <c r="R79" s="364"/>
      <c r="S79" s="364"/>
      <c r="T79" s="49"/>
      <c r="U79" s="49"/>
      <c r="V79" s="49"/>
      <c r="W79" s="166"/>
      <c r="X79" s="51">
        <f>SUM(X5+X46+X71)</f>
        <v>12338565.088658733</v>
      </c>
      <c r="Y79" s="51">
        <f>SUM(Y5+Y46+Y71)</f>
        <v>14806278.106390482</v>
      </c>
      <c r="Z79" s="51">
        <f>SUM(Z5+Z46+Z71)</f>
        <v>8738571.1311587337</v>
      </c>
    </row>
    <row r="80" spans="1:26" ht="15.75" thickTop="1" x14ac:dyDescent="0.25"/>
    <row r="81" spans="14:15" x14ac:dyDescent="0.25">
      <c r="N81" s="52"/>
      <c r="O81" s="52"/>
    </row>
    <row r="82" spans="14:15" x14ac:dyDescent="0.25">
      <c r="N82" s="52"/>
      <c r="O82" s="52"/>
    </row>
    <row r="83" spans="14:15" x14ac:dyDescent="0.25">
      <c r="N83" s="69"/>
      <c r="O83" s="52"/>
    </row>
  </sheetData>
  <mergeCells count="41">
    <mergeCell ref="D5:K5"/>
    <mergeCell ref="D46:K46"/>
    <mergeCell ref="Z2:Z3"/>
    <mergeCell ref="A2:K2"/>
    <mergeCell ref="L2:Q2"/>
    <mergeCell ref="X2:X3"/>
    <mergeCell ref="Y2:Y3"/>
    <mergeCell ref="S2:W2"/>
    <mergeCell ref="D40:K40"/>
    <mergeCell ref="D42:K42"/>
    <mergeCell ref="D33:K33"/>
    <mergeCell ref="D35:K35"/>
    <mergeCell ref="D38:K38"/>
    <mergeCell ref="D7:K7"/>
    <mergeCell ref="D6:K6"/>
    <mergeCell ref="D37:K37"/>
    <mergeCell ref="D48:K48"/>
    <mergeCell ref="D73:K73"/>
    <mergeCell ref="D47:K47"/>
    <mergeCell ref="D54:K54"/>
    <mergeCell ref="D63:K63"/>
    <mergeCell ref="D50:K50"/>
    <mergeCell ref="D52:K52"/>
    <mergeCell ref="D55:K55"/>
    <mergeCell ref="D58:K58"/>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x14ac:dyDescent="0.2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x14ac:dyDescent="0.3">
      <c r="A1" s="76" t="s">
        <v>249</v>
      </c>
      <c r="B1" s="76" t="s">
        <v>250</v>
      </c>
      <c r="C1" s="76" t="s">
        <v>376</v>
      </c>
      <c r="D1" s="76" t="s">
        <v>685</v>
      </c>
      <c r="E1" s="76" t="s">
        <v>377</v>
      </c>
    </row>
    <row r="2" spans="1:15" ht="32.25" thickBot="1" x14ac:dyDescent="0.3">
      <c r="A2" s="77"/>
      <c r="B2" s="73" t="s">
        <v>251</v>
      </c>
      <c r="C2" s="83">
        <v>2773894.25</v>
      </c>
      <c r="D2" s="72">
        <f>SUM('3 pr-2'!AA9-'3 pr-2'!AA32)</f>
        <v>2695718</v>
      </c>
      <c r="E2" s="72">
        <f>SUM(C2-D2)</f>
        <v>78176.25</v>
      </c>
      <c r="G2" s="82">
        <v>3263405</v>
      </c>
      <c r="H2" s="82">
        <v>100</v>
      </c>
    </row>
    <row r="3" spans="1:15" ht="16.5" thickBot="1" x14ac:dyDescent="0.3">
      <c r="A3" s="74" t="s">
        <v>146</v>
      </c>
      <c r="B3" s="73" t="s">
        <v>378</v>
      </c>
      <c r="C3" s="78">
        <v>2816452</v>
      </c>
      <c r="D3" s="72">
        <f>SUM('3 pr-2'!AA33)</f>
        <v>2816451.64</v>
      </c>
      <c r="E3" s="72">
        <f t="shared" ref="E3:E26" si="0">SUM(C3-D3)</f>
        <v>0.35999999986961484</v>
      </c>
      <c r="G3" s="82">
        <f>SUM(G2*H3/H2)</f>
        <v>2773894.25</v>
      </c>
      <c r="H3" s="82">
        <v>85</v>
      </c>
      <c r="N3" s="5">
        <v>3263405</v>
      </c>
      <c r="O3">
        <v>100</v>
      </c>
    </row>
    <row r="4" spans="1:15" ht="16.5" thickBot="1" x14ac:dyDescent="0.3">
      <c r="A4" s="74" t="s">
        <v>145</v>
      </c>
      <c r="B4" s="73" t="s">
        <v>379</v>
      </c>
      <c r="C4" s="78">
        <v>3697302</v>
      </c>
      <c r="D4" s="72">
        <f>SUM('3 pr-2'!AA39)</f>
        <v>3697301.8899999997</v>
      </c>
      <c r="E4" s="72">
        <f t="shared" si="0"/>
        <v>0.11000000033527613</v>
      </c>
      <c r="N4">
        <f>SUM(N3*O4/O3)</f>
        <v>2773894.25</v>
      </c>
      <c r="O4">
        <v>85</v>
      </c>
    </row>
    <row r="5" spans="1:15" ht="16.5" thickBot="1" x14ac:dyDescent="0.3">
      <c r="A5" s="74" t="s">
        <v>178</v>
      </c>
      <c r="B5" s="73" t="s">
        <v>252</v>
      </c>
      <c r="C5" s="78">
        <v>1099672.68</v>
      </c>
      <c r="D5" s="72">
        <f>SUM('IV-3'!W45)</f>
        <v>1099672.68</v>
      </c>
      <c r="E5" s="72">
        <f t="shared" si="0"/>
        <v>0</v>
      </c>
    </row>
    <row r="6" spans="1:15" ht="16.5" thickBot="1" x14ac:dyDescent="0.3">
      <c r="A6" s="74" t="s">
        <v>268</v>
      </c>
      <c r="B6" s="73" t="s">
        <v>253</v>
      </c>
      <c r="C6" s="78">
        <v>575485</v>
      </c>
      <c r="D6" s="72">
        <f>SUM('IV-3'!W46+'IV-3'!W47)</f>
        <v>575484.89</v>
      </c>
      <c r="E6" s="72">
        <f t="shared" si="0"/>
        <v>0.10999999998603016</v>
      </c>
    </row>
    <row r="7" spans="1:15" ht="48" thickBot="1" x14ac:dyDescent="0.3">
      <c r="A7" s="74" t="s">
        <v>144</v>
      </c>
      <c r="B7" s="73" t="s">
        <v>380</v>
      </c>
      <c r="C7" s="78">
        <v>9294484.6400000006</v>
      </c>
      <c r="D7" s="79">
        <f>SUM('3 pr-2'!AA50)</f>
        <v>8920392.5700000003</v>
      </c>
      <c r="E7" s="72">
        <f t="shared" si="0"/>
        <v>374092.0700000003</v>
      </c>
    </row>
    <row r="8" spans="1:15" ht="16.5" thickBot="1" x14ac:dyDescent="0.3">
      <c r="A8" s="74" t="s">
        <v>179</v>
      </c>
      <c r="B8" s="73" t="s">
        <v>254</v>
      </c>
      <c r="C8" s="78">
        <v>3399493.48</v>
      </c>
      <c r="D8" s="72">
        <f>SUM('3 pr-2'!AA56)</f>
        <v>3399493.48</v>
      </c>
      <c r="E8" s="72">
        <f t="shared" si="0"/>
        <v>0</v>
      </c>
    </row>
    <row r="9" spans="1:15" ht="48" thickBot="1" x14ac:dyDescent="0.3">
      <c r="A9" s="74" t="s">
        <v>142</v>
      </c>
      <c r="B9" s="73" t="s">
        <v>133</v>
      </c>
      <c r="C9" s="78">
        <v>611420</v>
      </c>
      <c r="D9" s="72">
        <f>SUM('3 pr-2'!AA58)</f>
        <v>611420</v>
      </c>
      <c r="E9" s="72">
        <f t="shared" si="0"/>
        <v>0</v>
      </c>
    </row>
    <row r="10" spans="1:15" ht="32.25" thickBot="1" x14ac:dyDescent="0.3">
      <c r="A10" s="74" t="s">
        <v>143</v>
      </c>
      <c r="B10" s="73" t="s">
        <v>255</v>
      </c>
      <c r="C10" s="78">
        <v>1198165.51</v>
      </c>
      <c r="D10" s="72">
        <f>SUM('3 pr-2'!AA62)</f>
        <v>1198163.7</v>
      </c>
      <c r="E10" s="72">
        <f t="shared" si="0"/>
        <v>1.8100000000558794</v>
      </c>
    </row>
    <row r="11" spans="1:15" ht="32.25" thickBot="1" x14ac:dyDescent="0.3">
      <c r="A11" s="74" t="s">
        <v>182</v>
      </c>
      <c r="B11" s="73" t="s">
        <v>256</v>
      </c>
      <c r="C11" s="78">
        <v>1030281.61</v>
      </c>
      <c r="D11" s="72">
        <f>SUM('3 pr-2'!AA67)</f>
        <v>1030280</v>
      </c>
      <c r="E11" s="72">
        <f t="shared" si="0"/>
        <v>1.6099999999860302</v>
      </c>
    </row>
    <row r="12" spans="1:15" ht="32.25" thickBot="1" x14ac:dyDescent="0.3">
      <c r="A12" s="74" t="s">
        <v>135</v>
      </c>
      <c r="B12" s="73" t="s">
        <v>257</v>
      </c>
      <c r="C12" s="175">
        <v>1263272</v>
      </c>
      <c r="D12" s="72">
        <f>SUM('3 pr-2'!AA74)</f>
        <v>1263272</v>
      </c>
      <c r="E12" s="72">
        <f t="shared" si="0"/>
        <v>0</v>
      </c>
    </row>
    <row r="13" spans="1:15" ht="16.5" thickBot="1" x14ac:dyDescent="0.3">
      <c r="A13" s="74" t="s">
        <v>147</v>
      </c>
      <c r="B13" s="73" t="s">
        <v>258</v>
      </c>
      <c r="C13" s="78">
        <v>1567660</v>
      </c>
      <c r="D13" s="72">
        <f>SUM('3 pr-2'!AA80+'3 pr-2'!AA82+'3 pr-2'!AA84+'3 pr-2'!AA85)</f>
        <v>1567659.8</v>
      </c>
      <c r="E13" s="72">
        <f t="shared" si="0"/>
        <v>0.19999999995343387</v>
      </c>
    </row>
    <row r="14" spans="1:15" ht="16.5" thickBot="1" x14ac:dyDescent="0.3">
      <c r="A14" s="74" t="s">
        <v>270</v>
      </c>
      <c r="B14" s="73" t="s">
        <v>275</v>
      </c>
      <c r="C14" s="78">
        <v>43042.3</v>
      </c>
      <c r="D14" s="72">
        <f>SUM('3 pr-2'!AA81+'3 pr-2'!AA83)</f>
        <v>43042.3</v>
      </c>
      <c r="E14" s="72">
        <f t="shared" si="0"/>
        <v>0</v>
      </c>
    </row>
    <row r="15" spans="1:15" ht="32.25" thickBot="1" x14ac:dyDescent="0.3">
      <c r="A15" s="74" t="s">
        <v>148</v>
      </c>
      <c r="B15" s="73" t="s">
        <v>259</v>
      </c>
      <c r="C15" s="78">
        <v>415732</v>
      </c>
      <c r="D15" s="72">
        <f>SUM('3 pr-2'!AA86)</f>
        <v>412707.13</v>
      </c>
      <c r="E15" s="81">
        <f t="shared" si="0"/>
        <v>3024.8699999999953</v>
      </c>
    </row>
    <row r="16" spans="1:15" ht="16.5" thickBot="1" x14ac:dyDescent="0.3">
      <c r="A16" s="74" t="s">
        <v>141</v>
      </c>
      <c r="B16" s="73" t="s">
        <v>294</v>
      </c>
      <c r="C16" s="78">
        <v>3052809</v>
      </c>
      <c r="D16" s="72">
        <f>SUM('3 pr-2'!AA92)</f>
        <v>3052807</v>
      </c>
      <c r="E16" s="72">
        <f t="shared" si="0"/>
        <v>2</v>
      </c>
    </row>
    <row r="17" spans="1:5" ht="16.5" thickBot="1" x14ac:dyDescent="0.3">
      <c r="A17" s="74" t="s">
        <v>136</v>
      </c>
      <c r="B17" s="73" t="s">
        <v>381</v>
      </c>
      <c r="C17" s="78">
        <v>1142378</v>
      </c>
      <c r="D17" s="72">
        <f>SUM('3 pr-2'!AA102)</f>
        <v>1142377</v>
      </c>
      <c r="E17" s="72">
        <f t="shared" si="0"/>
        <v>1</v>
      </c>
    </row>
    <row r="18" spans="1:5" ht="32.25" thickBot="1" x14ac:dyDescent="0.3">
      <c r="A18" s="74" t="s">
        <v>139</v>
      </c>
      <c r="B18" s="73" t="s">
        <v>260</v>
      </c>
      <c r="C18" s="78">
        <v>1486009</v>
      </c>
      <c r="D18" s="72">
        <f>SUM('3 pr-2'!AA108)</f>
        <v>1486007</v>
      </c>
      <c r="E18" s="72">
        <f t="shared" si="0"/>
        <v>2</v>
      </c>
    </row>
    <row r="19" spans="1:5" ht="32.25" thickBot="1" x14ac:dyDescent="0.3">
      <c r="A19" s="74" t="s">
        <v>140</v>
      </c>
      <c r="B19" s="73" t="s">
        <v>261</v>
      </c>
      <c r="C19" s="78">
        <v>1138588</v>
      </c>
      <c r="D19" s="72">
        <f>SUM('3 pr-2'!AA114)</f>
        <v>1138588</v>
      </c>
      <c r="E19" s="72">
        <f t="shared" si="0"/>
        <v>0</v>
      </c>
    </row>
    <row r="20" spans="1:5" ht="32.25" thickBot="1" x14ac:dyDescent="0.3">
      <c r="A20" s="74" t="s">
        <v>153</v>
      </c>
      <c r="B20" s="73" t="s">
        <v>262</v>
      </c>
      <c r="C20" s="78">
        <v>1230854</v>
      </c>
      <c r="D20" s="72">
        <f>SUM('3 pr-2'!AA121)</f>
        <v>1230854</v>
      </c>
      <c r="E20" s="72">
        <f t="shared" si="0"/>
        <v>0</v>
      </c>
    </row>
    <row r="21" spans="1:5" ht="32.25" thickBot="1" x14ac:dyDescent="0.3">
      <c r="A21" s="74" t="s">
        <v>1193</v>
      </c>
      <c r="B21" s="73" t="s">
        <v>262</v>
      </c>
      <c r="C21" s="78">
        <v>845738</v>
      </c>
      <c r="D21" s="72">
        <f>SUM('3 pr-2'!AA135)</f>
        <v>845736.85</v>
      </c>
      <c r="E21" s="72">
        <f t="shared" si="0"/>
        <v>1.1500000000232831</v>
      </c>
    </row>
    <row r="22" spans="1:5" ht="16.5" thickBot="1" x14ac:dyDescent="0.3">
      <c r="A22" s="74" t="s">
        <v>154</v>
      </c>
      <c r="B22" s="73" t="s">
        <v>263</v>
      </c>
      <c r="C22" s="78">
        <v>885762</v>
      </c>
      <c r="D22" s="72">
        <f>SUM('3 pr-2'!AA148)</f>
        <v>885761.15</v>
      </c>
      <c r="E22" s="72">
        <f t="shared" si="0"/>
        <v>0.84999999997671694</v>
      </c>
    </row>
    <row r="23" spans="1:5" ht="16.5" thickBot="1" x14ac:dyDescent="0.3">
      <c r="A23" s="74" t="s">
        <v>155</v>
      </c>
      <c r="B23" s="73" t="s">
        <v>264</v>
      </c>
      <c r="C23" s="78">
        <v>2520974</v>
      </c>
      <c r="D23" s="72">
        <f>SUM('3 pr-2'!AA154)</f>
        <v>2520973.9900000002</v>
      </c>
      <c r="E23" s="72">
        <f t="shared" si="0"/>
        <v>9.9999997764825821E-3</v>
      </c>
    </row>
    <row r="24" spans="1:5" ht="32.25" thickBot="1" x14ac:dyDescent="0.3">
      <c r="A24" s="74" t="s">
        <v>156</v>
      </c>
      <c r="B24" s="73" t="s">
        <v>265</v>
      </c>
      <c r="C24" s="78">
        <v>982761</v>
      </c>
      <c r="D24" s="72">
        <f>SUM('3 pr-2'!AA161)</f>
        <v>940807.84000000008</v>
      </c>
      <c r="E24" s="72">
        <f t="shared" si="0"/>
        <v>41953.159999999916</v>
      </c>
    </row>
    <row r="25" spans="1:5" ht="32.25" thickBot="1" x14ac:dyDescent="0.3">
      <c r="A25" s="74" t="s">
        <v>191</v>
      </c>
      <c r="B25" s="73" t="s">
        <v>266</v>
      </c>
      <c r="C25" s="78">
        <v>3352807.77</v>
      </c>
      <c r="D25" s="72">
        <f>SUM('3 pr-2'!AA170)</f>
        <v>3352807.77</v>
      </c>
      <c r="E25" s="72">
        <f t="shared" si="0"/>
        <v>0</v>
      </c>
    </row>
    <row r="26" spans="1:5" ht="16.5" thickBot="1" x14ac:dyDescent="0.3">
      <c r="A26" s="74" t="s">
        <v>193</v>
      </c>
      <c r="B26" s="73" t="s">
        <v>267</v>
      </c>
      <c r="C26" s="78">
        <v>2131629</v>
      </c>
      <c r="D26" s="72">
        <f>SUM('3 pr-2'!AA173)</f>
        <v>2131627.75</v>
      </c>
      <c r="E26" s="72">
        <f t="shared" si="0"/>
        <v>1.25</v>
      </c>
    </row>
    <row r="27" spans="1:5" ht="16.5" thickBot="1" x14ac:dyDescent="0.3">
      <c r="C27" s="72"/>
      <c r="D27" s="72">
        <f>SUM(D2:D26)</f>
        <v>48059408.430000007</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tabSelected="1" showRuler="0" zoomScaleNormal="100" workbookViewId="0">
      <selection activeCell="M7" sqref="M7"/>
    </sheetView>
  </sheetViews>
  <sheetFormatPr defaultRowHeight="15" x14ac:dyDescent="0.25"/>
  <cols>
    <col min="1" max="1" width="9.140625" style="148"/>
    <col min="2" max="2" width="40.85546875" style="148" customWidth="1"/>
    <col min="3" max="3" width="39.5703125" style="148" customWidth="1"/>
    <col min="4" max="4" width="9.5703125" style="148" customWidth="1"/>
    <col min="5" max="5" width="15.5703125" style="148" customWidth="1"/>
    <col min="6" max="6" width="25.140625" style="148" customWidth="1"/>
    <col min="7" max="16384" width="9.140625" style="148"/>
  </cols>
  <sheetData>
    <row r="1" spans="1:8" ht="15.75" x14ac:dyDescent="0.25">
      <c r="E1" s="1794" t="s">
        <v>854</v>
      </c>
      <c r="F1" s="1794"/>
      <c r="G1" s="126"/>
      <c r="H1" s="126"/>
    </row>
    <row r="2" spans="1:8" ht="15" customHeight="1" x14ac:dyDescent="0.25">
      <c r="E2" s="2223" t="s">
        <v>855</v>
      </c>
      <c r="F2" s="2038"/>
      <c r="G2" s="2038"/>
      <c r="H2" s="2038"/>
    </row>
    <row r="3" spans="1:8" ht="15" customHeight="1" x14ac:dyDescent="0.25">
      <c r="E3" s="1804" t="s">
        <v>3578</v>
      </c>
      <c r="F3" s="2224"/>
      <c r="G3" s="1794"/>
    </row>
    <row r="4" spans="1:8" ht="15.75" x14ac:dyDescent="0.25">
      <c r="F4" s="1794"/>
      <c r="G4" s="126"/>
      <c r="H4" s="126"/>
    </row>
    <row r="5" spans="1:8" ht="43.5" customHeight="1" x14ac:dyDescent="0.25">
      <c r="E5" s="1804" t="s">
        <v>3577</v>
      </c>
      <c r="F5" s="2224"/>
      <c r="G5" s="1794"/>
    </row>
    <row r="7" spans="1:8" ht="380.25" customHeight="1" x14ac:dyDescent="0.25">
      <c r="A7" s="1963" t="s">
        <v>1231</v>
      </c>
      <c r="B7" s="1963"/>
      <c r="C7" s="1963"/>
      <c r="D7" s="1963"/>
      <c r="E7" s="1963"/>
      <c r="F7" s="1963"/>
    </row>
    <row r="8" spans="1:8" ht="147" customHeight="1" x14ac:dyDescent="0.25">
      <c r="A8" s="1964" t="s">
        <v>1423</v>
      </c>
      <c r="B8" s="1964"/>
      <c r="C8" s="1964"/>
      <c r="D8" s="1964"/>
      <c r="E8" s="1964"/>
      <c r="F8" s="1964"/>
    </row>
    <row r="9" spans="1:8" ht="15" customHeight="1" x14ac:dyDescent="0.25">
      <c r="C9" s="627" t="s">
        <v>860</v>
      </c>
    </row>
    <row r="11" spans="1:8" ht="15.75" thickBot="1" x14ac:dyDescent="0.3">
      <c r="A11" s="627" t="s">
        <v>861</v>
      </c>
    </row>
    <row r="12" spans="1:8" ht="32.25" customHeight="1" thickTop="1" x14ac:dyDescent="0.25">
      <c r="A12" s="1971" t="s">
        <v>371</v>
      </c>
      <c r="B12" s="1971" t="s">
        <v>862</v>
      </c>
      <c r="C12" s="1971" t="s">
        <v>750</v>
      </c>
      <c r="D12" s="1971" t="s">
        <v>863</v>
      </c>
      <c r="E12" s="628" t="s">
        <v>864</v>
      </c>
      <c r="F12" s="1971" t="s">
        <v>866</v>
      </c>
    </row>
    <row r="13" spans="1:8" ht="16.5" thickBot="1" x14ac:dyDescent="0.3">
      <c r="A13" s="1972"/>
      <c r="B13" s="1972"/>
      <c r="C13" s="1972"/>
      <c r="D13" s="1972"/>
      <c r="E13" s="630" t="s">
        <v>865</v>
      </c>
      <c r="F13" s="1972"/>
    </row>
    <row r="14" spans="1:8" ht="32.25" thickBot="1" x14ac:dyDescent="0.3">
      <c r="A14" s="786"/>
      <c r="B14" s="781" t="s">
        <v>867</v>
      </c>
      <c r="C14" s="787"/>
      <c r="D14" s="787"/>
      <c r="E14" s="787"/>
      <c r="F14" s="788"/>
    </row>
    <row r="15" spans="1:8" ht="79.5" thickBot="1" x14ac:dyDescent="0.3">
      <c r="A15" s="631" t="s">
        <v>868</v>
      </c>
      <c r="B15" s="632" t="s">
        <v>869</v>
      </c>
      <c r="C15" s="633" t="s">
        <v>1569</v>
      </c>
      <c r="D15" s="632" t="s">
        <v>1590</v>
      </c>
      <c r="E15" s="633" t="s">
        <v>1591</v>
      </c>
      <c r="F15" s="634" t="s">
        <v>1592</v>
      </c>
    </row>
    <row r="16" spans="1:8" ht="16.5" thickBot="1" x14ac:dyDescent="0.3">
      <c r="A16" s="1188"/>
      <c r="B16" s="630" t="s">
        <v>870</v>
      </c>
      <c r="C16" s="354"/>
      <c r="D16" s="354"/>
      <c r="E16" s="354"/>
      <c r="F16" s="782"/>
    </row>
    <row r="17" spans="1:6" ht="63" customHeight="1" thickBot="1" x14ac:dyDescent="0.3">
      <c r="A17" s="631" t="s">
        <v>871</v>
      </c>
      <c r="B17" s="632" t="s">
        <v>872</v>
      </c>
      <c r="C17" s="633" t="s">
        <v>873</v>
      </c>
      <c r="D17" s="632" t="s">
        <v>879</v>
      </c>
      <c r="E17" s="633" t="s">
        <v>875</v>
      </c>
      <c r="F17" s="634" t="s">
        <v>880</v>
      </c>
    </row>
    <row r="18" spans="1:6" ht="32.25" thickBot="1" x14ac:dyDescent="0.3">
      <c r="A18" s="1188"/>
      <c r="B18" s="630" t="s">
        <v>876</v>
      </c>
      <c r="C18" s="354"/>
      <c r="D18" s="354"/>
      <c r="E18" s="354"/>
      <c r="F18" s="782"/>
    </row>
    <row r="19" spans="1:6" ht="63.75" thickBot="1" x14ac:dyDescent="0.3">
      <c r="A19" s="631" t="s">
        <v>877</v>
      </c>
      <c r="B19" s="633" t="s">
        <v>878</v>
      </c>
      <c r="C19" s="633" t="s">
        <v>1593</v>
      </c>
      <c r="D19" s="633" t="s">
        <v>1594</v>
      </c>
      <c r="E19" s="633" t="s">
        <v>1595</v>
      </c>
      <c r="F19" s="634" t="s">
        <v>1596</v>
      </c>
    </row>
    <row r="21" spans="1:6" ht="15.75" thickBot="1" x14ac:dyDescent="0.3">
      <c r="A21" s="627" t="s">
        <v>881</v>
      </c>
    </row>
    <row r="22" spans="1:6" ht="31.5" x14ac:dyDescent="0.25">
      <c r="A22" s="1965" t="s">
        <v>371</v>
      </c>
      <c r="B22" s="1967" t="s">
        <v>862</v>
      </c>
      <c r="C22" s="1967" t="s">
        <v>750</v>
      </c>
      <c r="D22" s="1967" t="s">
        <v>863</v>
      </c>
      <c r="E22" s="781" t="s">
        <v>864</v>
      </c>
      <c r="F22" s="1969" t="s">
        <v>866</v>
      </c>
    </row>
    <row r="23" spans="1:6" ht="16.5" thickBot="1" x14ac:dyDescent="0.3">
      <c r="A23" s="1966"/>
      <c r="B23" s="1968"/>
      <c r="C23" s="1968"/>
      <c r="D23" s="1968"/>
      <c r="E23" s="629" t="s">
        <v>865</v>
      </c>
      <c r="F23" s="1970"/>
    </row>
    <row r="24" spans="1:6" ht="96" thickTop="1" thickBot="1" x14ac:dyDescent="0.3">
      <c r="A24" s="1188"/>
      <c r="B24" s="630" t="s">
        <v>869</v>
      </c>
      <c r="C24" s="354"/>
      <c r="D24" s="354"/>
      <c r="E24" s="354"/>
      <c r="F24" s="782"/>
    </row>
    <row r="25" spans="1:6" ht="63.75" thickBot="1" x14ac:dyDescent="0.3">
      <c r="A25" s="631" t="s">
        <v>882</v>
      </c>
      <c r="B25" s="633" t="s">
        <v>883</v>
      </c>
      <c r="C25" s="633" t="s">
        <v>884</v>
      </c>
      <c r="D25" s="632" t="s">
        <v>1137</v>
      </c>
      <c r="E25" s="633">
        <v>9394</v>
      </c>
      <c r="F25" s="634" t="s">
        <v>1597</v>
      </c>
    </row>
    <row r="26" spans="1:6" ht="63.75" thickBot="1" x14ac:dyDescent="0.3">
      <c r="A26" s="1188" t="s">
        <v>885</v>
      </c>
      <c r="B26" s="1189" t="s">
        <v>883</v>
      </c>
      <c r="C26" s="1189" t="s">
        <v>886</v>
      </c>
      <c r="D26" s="1021" t="s">
        <v>1547</v>
      </c>
      <c r="E26" s="1189" t="s">
        <v>887</v>
      </c>
      <c r="F26" s="1018" t="s">
        <v>1598</v>
      </c>
    </row>
    <row r="27" spans="1:6" ht="64.5" thickTop="1" thickBot="1" x14ac:dyDescent="0.3">
      <c r="A27" s="1190" t="s">
        <v>888</v>
      </c>
      <c r="B27" s="1191" t="s">
        <v>889</v>
      </c>
      <c r="C27" s="1191" t="s">
        <v>890</v>
      </c>
      <c r="D27" s="1191" t="s">
        <v>1137</v>
      </c>
      <c r="E27" s="1191">
        <v>10</v>
      </c>
      <c r="F27" s="1019" t="s">
        <v>1599</v>
      </c>
    </row>
    <row r="28" spans="1:6" ht="64.5" thickTop="1" thickBot="1" x14ac:dyDescent="0.3">
      <c r="A28" s="1190" t="s">
        <v>891</v>
      </c>
      <c r="B28" s="1191" t="s">
        <v>889</v>
      </c>
      <c r="C28" s="1191" t="s">
        <v>892</v>
      </c>
      <c r="D28" s="1191" t="s">
        <v>1548</v>
      </c>
      <c r="E28" s="1191">
        <v>3</v>
      </c>
      <c r="F28" s="1019" t="s">
        <v>1600</v>
      </c>
    </row>
    <row r="29" spans="1:6" ht="32.25" thickBot="1" x14ac:dyDescent="0.3">
      <c r="A29" s="631"/>
      <c r="B29" s="1038" t="s">
        <v>872</v>
      </c>
      <c r="C29" s="632"/>
      <c r="D29" s="632"/>
      <c r="E29" s="632"/>
      <c r="F29" s="634"/>
    </row>
    <row r="30" spans="1:6" ht="79.5" thickBot="1" x14ac:dyDescent="0.3">
      <c r="A30" s="1188" t="s">
        <v>893</v>
      </c>
      <c r="B30" s="1189" t="s">
        <v>894</v>
      </c>
      <c r="C30" s="1189" t="s">
        <v>895</v>
      </c>
      <c r="D30" s="1189" t="s">
        <v>1549</v>
      </c>
      <c r="E30" s="1189">
        <v>48</v>
      </c>
      <c r="F30" s="1020" t="s">
        <v>1601</v>
      </c>
    </row>
    <row r="31" spans="1:6" ht="80.25" thickTop="1" thickBot="1" x14ac:dyDescent="0.3">
      <c r="A31" s="1190" t="s">
        <v>893</v>
      </c>
      <c r="B31" s="1191" t="s">
        <v>894</v>
      </c>
      <c r="C31" s="1191" t="s">
        <v>897</v>
      </c>
      <c r="D31" s="1191" t="s">
        <v>1137</v>
      </c>
      <c r="E31" s="1191">
        <v>38.4</v>
      </c>
      <c r="F31" s="1019" t="s">
        <v>1602</v>
      </c>
    </row>
    <row r="32" spans="1:6" ht="80.25" thickTop="1" thickBot="1" x14ac:dyDescent="0.3">
      <c r="A32" s="1190" t="s">
        <v>898</v>
      </c>
      <c r="B32" s="1191" t="s">
        <v>894</v>
      </c>
      <c r="C32" s="1191" t="s">
        <v>899</v>
      </c>
      <c r="D32" s="1191" t="s">
        <v>1137</v>
      </c>
      <c r="E32" s="1191">
        <v>46</v>
      </c>
      <c r="F32" s="1019" t="s">
        <v>1603</v>
      </c>
    </row>
    <row r="33" spans="1:6" ht="80.25" thickTop="1" thickBot="1" x14ac:dyDescent="0.3">
      <c r="A33" s="1190" t="s">
        <v>900</v>
      </c>
      <c r="B33" s="1191" t="s">
        <v>901</v>
      </c>
      <c r="C33" s="1191" t="s">
        <v>902</v>
      </c>
      <c r="D33" s="1191" t="s">
        <v>1607</v>
      </c>
      <c r="E33" s="1191">
        <v>3</v>
      </c>
      <c r="F33" s="1019" t="s">
        <v>1604</v>
      </c>
    </row>
    <row r="34" spans="1:6" ht="63.75" thickBot="1" x14ac:dyDescent="0.3">
      <c r="A34" s="631" t="s">
        <v>903</v>
      </c>
      <c r="B34" s="633" t="s">
        <v>901</v>
      </c>
      <c r="C34" s="633" t="s">
        <v>904</v>
      </c>
      <c r="D34" s="633" t="s">
        <v>1612</v>
      </c>
      <c r="E34" s="633">
        <v>82</v>
      </c>
      <c r="F34" s="1024" t="s">
        <v>1605</v>
      </c>
    </row>
    <row r="35" spans="1:6" ht="30.75" customHeight="1" x14ac:dyDescent="0.25">
      <c r="A35" s="1976" t="s">
        <v>905</v>
      </c>
      <c r="B35" s="1978" t="s">
        <v>906</v>
      </c>
      <c r="C35" s="1978" t="s">
        <v>907</v>
      </c>
      <c r="D35" s="354">
        <v>0</v>
      </c>
      <c r="E35" s="1978">
        <v>62</v>
      </c>
      <c r="F35" s="782" t="s">
        <v>1608</v>
      </c>
    </row>
    <row r="36" spans="1:6" ht="15.75" x14ac:dyDescent="0.25">
      <c r="A36" s="1976"/>
      <c r="B36" s="1978"/>
      <c r="C36" s="1978"/>
      <c r="D36" s="354" t="s">
        <v>874</v>
      </c>
      <c r="E36" s="1978"/>
      <c r="F36" s="782" t="s">
        <v>908</v>
      </c>
    </row>
    <row r="37" spans="1:6" ht="15.75" x14ac:dyDescent="0.25">
      <c r="A37" s="1976"/>
      <c r="B37" s="1978"/>
      <c r="C37" s="1978"/>
      <c r="D37" s="635"/>
      <c r="E37" s="1978"/>
      <c r="F37" s="782" t="s">
        <v>909</v>
      </c>
    </row>
    <row r="38" spans="1:6" ht="16.5" thickBot="1" x14ac:dyDescent="0.3">
      <c r="A38" s="1977"/>
      <c r="B38" s="1979"/>
      <c r="C38" s="1979"/>
      <c r="D38" s="636"/>
      <c r="E38" s="1979"/>
      <c r="F38" s="783" t="s">
        <v>896</v>
      </c>
    </row>
    <row r="39" spans="1:6" ht="16.5" thickTop="1" x14ac:dyDescent="0.25">
      <c r="A39" s="1980" t="s">
        <v>910</v>
      </c>
      <c r="B39" s="1973" t="s">
        <v>883</v>
      </c>
      <c r="C39" s="1973" t="s">
        <v>1136</v>
      </c>
      <c r="D39" s="354">
        <v>0</v>
      </c>
      <c r="E39" s="1973">
        <v>47</v>
      </c>
      <c r="F39" s="782" t="s">
        <v>1609</v>
      </c>
    </row>
    <row r="40" spans="1:6" ht="15.75" x14ac:dyDescent="0.25">
      <c r="A40" s="1976"/>
      <c r="B40" s="1978"/>
      <c r="C40" s="1974"/>
      <c r="D40" s="354" t="s">
        <v>874</v>
      </c>
      <c r="E40" s="1978"/>
      <c r="F40" s="782" t="s">
        <v>911</v>
      </c>
    </row>
    <row r="41" spans="1:6" ht="15.75" x14ac:dyDescent="0.25">
      <c r="A41" s="1976"/>
      <c r="B41" s="1978"/>
      <c r="C41" s="1974"/>
      <c r="D41" s="635"/>
      <c r="E41" s="1978"/>
      <c r="F41" s="782" t="s">
        <v>912</v>
      </c>
    </row>
    <row r="42" spans="1:6" ht="16.5" thickBot="1" x14ac:dyDescent="0.3">
      <c r="A42" s="1977"/>
      <c r="B42" s="1979"/>
      <c r="C42" s="1975"/>
      <c r="D42" s="636"/>
      <c r="E42" s="1979"/>
      <c r="F42" s="783" t="s">
        <v>896</v>
      </c>
    </row>
    <row r="43" spans="1:6" ht="33" customHeight="1" thickTop="1" x14ac:dyDescent="0.25">
      <c r="A43" s="1980" t="s">
        <v>913</v>
      </c>
      <c r="B43" s="1973" t="s">
        <v>906</v>
      </c>
      <c r="C43" s="1973" t="s">
        <v>914</v>
      </c>
      <c r="D43" s="354">
        <v>0</v>
      </c>
      <c r="E43" s="1973">
        <v>14</v>
      </c>
      <c r="F43" s="782" t="s">
        <v>1610</v>
      </c>
    </row>
    <row r="44" spans="1:6" ht="15.75" x14ac:dyDescent="0.25">
      <c r="A44" s="1976"/>
      <c r="B44" s="1978"/>
      <c r="C44" s="1978"/>
      <c r="D44" s="354" t="s">
        <v>874</v>
      </c>
      <c r="E44" s="1978"/>
      <c r="F44" s="782" t="s">
        <v>915</v>
      </c>
    </row>
    <row r="45" spans="1:6" ht="15.75" x14ac:dyDescent="0.25">
      <c r="A45" s="1976"/>
      <c r="B45" s="1978"/>
      <c r="C45" s="1978"/>
      <c r="D45" s="635"/>
      <c r="E45" s="1978"/>
      <c r="F45" s="782" t="s">
        <v>916</v>
      </c>
    </row>
    <row r="46" spans="1:6" ht="16.5" thickBot="1" x14ac:dyDescent="0.3">
      <c r="A46" s="1977"/>
      <c r="B46" s="1979"/>
      <c r="C46" s="1979"/>
      <c r="D46" s="636"/>
      <c r="E46" s="1979"/>
      <c r="F46" s="783" t="s">
        <v>896</v>
      </c>
    </row>
    <row r="47" spans="1:6" ht="33" thickTop="1" thickBot="1" x14ac:dyDescent="0.3">
      <c r="A47" s="1188"/>
      <c r="B47" s="630" t="s">
        <v>1232</v>
      </c>
      <c r="C47" s="354"/>
      <c r="D47" s="354"/>
      <c r="E47" s="354"/>
      <c r="F47" s="782"/>
    </row>
    <row r="48" spans="1:6" ht="63.75" thickBot="1" x14ac:dyDescent="0.3">
      <c r="A48" s="631" t="s">
        <v>917</v>
      </c>
      <c r="B48" s="633" t="s">
        <v>918</v>
      </c>
      <c r="C48" s="633" t="s">
        <v>919</v>
      </c>
      <c r="D48" s="633" t="s">
        <v>1137</v>
      </c>
      <c r="E48" s="633">
        <v>44</v>
      </c>
      <c r="F48" s="1024" t="s">
        <v>1606</v>
      </c>
    </row>
    <row r="49" spans="1:6" ht="15.75" x14ac:dyDescent="0.25">
      <c r="A49" s="1976" t="s">
        <v>920</v>
      </c>
      <c r="B49" s="1978" t="s">
        <v>921</v>
      </c>
      <c r="C49" s="1978" t="s">
        <v>922</v>
      </c>
      <c r="D49" s="354">
        <v>55</v>
      </c>
      <c r="E49" s="1978">
        <v>35</v>
      </c>
      <c r="F49" s="782" t="s">
        <v>1611</v>
      </c>
    </row>
    <row r="50" spans="1:6" ht="15.75" x14ac:dyDescent="0.25">
      <c r="A50" s="1976"/>
      <c r="B50" s="1978"/>
      <c r="C50" s="1978"/>
      <c r="D50" s="354" t="s">
        <v>874</v>
      </c>
      <c r="E50" s="1978"/>
      <c r="F50" s="782" t="s">
        <v>923</v>
      </c>
    </row>
    <row r="51" spans="1:6" ht="15.75" x14ac:dyDescent="0.25">
      <c r="A51" s="1976"/>
      <c r="B51" s="1978"/>
      <c r="C51" s="1978"/>
      <c r="D51" s="635"/>
      <c r="E51" s="1978"/>
      <c r="F51" s="782" t="s">
        <v>924</v>
      </c>
    </row>
    <row r="52" spans="1:6" ht="16.5" thickBot="1" x14ac:dyDescent="0.3">
      <c r="A52" s="1981"/>
      <c r="B52" s="1982"/>
      <c r="C52" s="1982"/>
      <c r="D52" s="784"/>
      <c r="E52" s="1982"/>
      <c r="F52" s="785" t="s">
        <v>925</v>
      </c>
    </row>
  </sheetData>
  <mergeCells count="31">
    <mergeCell ref="E2:H2"/>
    <mergeCell ref="E3:F3"/>
    <mergeCell ref="E5:F5"/>
    <mergeCell ref="A49:A52"/>
    <mergeCell ref="B49:B52"/>
    <mergeCell ref="C49:C52"/>
    <mergeCell ref="E49:E52"/>
    <mergeCell ref="A43:A46"/>
    <mergeCell ref="B43:B46"/>
    <mergeCell ref="C43:C46"/>
    <mergeCell ref="E43:E46"/>
    <mergeCell ref="C39:C42"/>
    <mergeCell ref="A35:A38"/>
    <mergeCell ref="B35:B38"/>
    <mergeCell ref="C35:C38"/>
    <mergeCell ref="E35:E38"/>
    <mergeCell ref="A39:A42"/>
    <mergeCell ref="B39:B42"/>
    <mergeCell ref="E39:E42"/>
    <mergeCell ref="A7:F7"/>
    <mergeCell ref="A8:F8"/>
    <mergeCell ref="A22:A23"/>
    <mergeCell ref="B22:B23"/>
    <mergeCell ref="C22:C23"/>
    <mergeCell ref="D22:D23"/>
    <mergeCell ref="F22:F23"/>
    <mergeCell ref="A12:A13"/>
    <mergeCell ref="B12:B13"/>
    <mergeCell ref="C12:C13"/>
    <mergeCell ref="D12:D13"/>
    <mergeCell ref="F12:F13"/>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7"/>
  <sheetViews>
    <sheetView showGridLines="0" showRuler="0" topLeftCell="A7" zoomScaleNormal="100" workbookViewId="0">
      <selection activeCell="O14" sqref="O14"/>
    </sheetView>
  </sheetViews>
  <sheetFormatPr defaultRowHeight="15" x14ac:dyDescent="0.25"/>
  <cols>
    <col min="1" max="1" width="9.140625" style="148"/>
    <col min="2" max="2" width="58.140625" style="148" customWidth="1"/>
    <col min="3" max="16384" width="9.140625" style="148"/>
  </cols>
  <sheetData>
    <row r="2" spans="1:11" ht="15.75" x14ac:dyDescent="0.25">
      <c r="A2" s="502" t="s">
        <v>926</v>
      </c>
    </row>
    <row r="3" spans="1:11" ht="15.75" thickBot="1" x14ac:dyDescent="0.3"/>
    <row r="4" spans="1:11" ht="16.5" thickBot="1" x14ac:dyDescent="0.3">
      <c r="A4" s="1029" t="s">
        <v>371</v>
      </c>
      <c r="B4" s="1038" t="s">
        <v>750</v>
      </c>
      <c r="C4" s="1983" t="s">
        <v>682</v>
      </c>
      <c r="D4" s="1984"/>
      <c r="E4" s="1984"/>
      <c r="F4" s="1984"/>
      <c r="G4" s="1984"/>
      <c r="H4" s="1984"/>
      <c r="I4" s="1984"/>
      <c r="J4" s="1984"/>
      <c r="K4" s="1985"/>
    </row>
    <row r="5" spans="1:11" ht="16.5" thickBot="1" x14ac:dyDescent="0.3">
      <c r="A5" s="1195"/>
      <c r="B5" s="630"/>
      <c r="C5" s="630">
        <v>2015</v>
      </c>
      <c r="D5" s="630">
        <v>2016</v>
      </c>
      <c r="E5" s="630">
        <v>2017</v>
      </c>
      <c r="F5" s="630">
        <v>2018</v>
      </c>
      <c r="G5" s="630">
        <v>2019</v>
      </c>
      <c r="H5" s="630">
        <v>2020</v>
      </c>
      <c r="I5" s="630">
        <v>2021</v>
      </c>
      <c r="J5" s="630">
        <v>2022</v>
      </c>
      <c r="K5" s="1035">
        <v>2023</v>
      </c>
    </row>
    <row r="6" spans="1:11" ht="48" thickBot="1" x14ac:dyDescent="0.3">
      <c r="A6" s="1029" t="s">
        <v>868</v>
      </c>
      <c r="B6" s="1030" t="s">
        <v>1569</v>
      </c>
      <c r="C6" s="633" t="s">
        <v>927</v>
      </c>
      <c r="D6" s="633" t="s">
        <v>927</v>
      </c>
      <c r="E6" s="633" t="s">
        <v>927</v>
      </c>
      <c r="F6" s="633" t="s">
        <v>1570</v>
      </c>
      <c r="G6" s="633" t="s">
        <v>1571</v>
      </c>
      <c r="H6" s="633" t="s">
        <v>1572</v>
      </c>
      <c r="I6" s="633" t="s">
        <v>1573</v>
      </c>
      <c r="J6" s="633" t="s">
        <v>1574</v>
      </c>
      <c r="K6" s="1024" t="s">
        <v>1575</v>
      </c>
    </row>
    <row r="7" spans="1:11" ht="15.75" x14ac:dyDescent="0.25">
      <c r="A7" s="1976" t="s">
        <v>882</v>
      </c>
      <c r="B7" s="1978" t="s">
        <v>884</v>
      </c>
      <c r="C7" s="1978" t="s">
        <v>927</v>
      </c>
      <c r="D7" s="1978" t="s">
        <v>927</v>
      </c>
      <c r="E7" s="1978" t="s">
        <v>927</v>
      </c>
      <c r="F7" s="354" t="s">
        <v>928</v>
      </c>
      <c r="G7" s="354" t="s">
        <v>931</v>
      </c>
      <c r="H7" s="354" t="s">
        <v>934</v>
      </c>
      <c r="I7" s="354" t="s">
        <v>937</v>
      </c>
      <c r="J7" s="354" t="s">
        <v>940</v>
      </c>
      <c r="K7" s="782" t="s">
        <v>943</v>
      </c>
    </row>
    <row r="8" spans="1:11" ht="15.75" x14ac:dyDescent="0.25">
      <c r="A8" s="1976"/>
      <c r="B8" s="1978"/>
      <c r="C8" s="1978"/>
      <c r="D8" s="1978"/>
      <c r="E8" s="1978"/>
      <c r="F8" s="354" t="s">
        <v>929</v>
      </c>
      <c r="G8" s="354" t="s">
        <v>932</v>
      </c>
      <c r="H8" s="354" t="s">
        <v>935</v>
      </c>
      <c r="I8" s="354" t="s">
        <v>938</v>
      </c>
      <c r="J8" s="354" t="s">
        <v>941</v>
      </c>
      <c r="K8" s="782" t="s">
        <v>944</v>
      </c>
    </row>
    <row r="9" spans="1:11" ht="16.5" thickBot="1" x14ac:dyDescent="0.3">
      <c r="A9" s="1977"/>
      <c r="B9" s="1979"/>
      <c r="C9" s="1979"/>
      <c r="D9" s="1979"/>
      <c r="E9" s="1979"/>
      <c r="F9" s="99" t="s">
        <v>930</v>
      </c>
      <c r="G9" s="99" t="s">
        <v>933</v>
      </c>
      <c r="H9" s="99" t="s">
        <v>936</v>
      </c>
      <c r="I9" s="99" t="s">
        <v>939</v>
      </c>
      <c r="J9" s="99" t="s">
        <v>942</v>
      </c>
      <c r="K9" s="783" t="s">
        <v>945</v>
      </c>
    </row>
    <row r="10" spans="1:11" ht="16.5" thickTop="1" x14ac:dyDescent="0.25">
      <c r="A10" s="1980" t="s">
        <v>885</v>
      </c>
      <c r="B10" s="1973" t="s">
        <v>886</v>
      </c>
      <c r="C10" s="354" t="s">
        <v>946</v>
      </c>
      <c r="D10" s="354" t="s">
        <v>949</v>
      </c>
      <c r="E10" s="354" t="s">
        <v>952</v>
      </c>
      <c r="F10" s="354" t="s">
        <v>955</v>
      </c>
      <c r="G10" s="354" t="s">
        <v>958</v>
      </c>
      <c r="H10" s="354" t="s">
        <v>961</v>
      </c>
      <c r="I10" s="354" t="s">
        <v>964</v>
      </c>
      <c r="J10" s="354" t="s">
        <v>967</v>
      </c>
      <c r="K10" s="782" t="s">
        <v>970</v>
      </c>
    </row>
    <row r="11" spans="1:11" ht="15.75" x14ac:dyDescent="0.25">
      <c r="A11" s="1976"/>
      <c r="B11" s="1978"/>
      <c r="C11" s="354" t="s">
        <v>947</v>
      </c>
      <c r="D11" s="354" t="s">
        <v>950</v>
      </c>
      <c r="E11" s="354" t="s">
        <v>953</v>
      </c>
      <c r="F11" s="354" t="s">
        <v>956</v>
      </c>
      <c r="G11" s="354" t="s">
        <v>959</v>
      </c>
      <c r="H11" s="354" t="s">
        <v>962</v>
      </c>
      <c r="I11" s="354" t="s">
        <v>965</v>
      </c>
      <c r="J11" s="354" t="s">
        <v>968</v>
      </c>
      <c r="K11" s="782" t="s">
        <v>971</v>
      </c>
    </row>
    <row r="12" spans="1:11" ht="16.5" thickBot="1" x14ac:dyDescent="0.3">
      <c r="A12" s="1977"/>
      <c r="B12" s="1979"/>
      <c r="C12" s="99" t="s">
        <v>948</v>
      </c>
      <c r="D12" s="99" t="s">
        <v>951</v>
      </c>
      <c r="E12" s="99" t="s">
        <v>954</v>
      </c>
      <c r="F12" s="99" t="s">
        <v>957</v>
      </c>
      <c r="G12" s="99" t="s">
        <v>960</v>
      </c>
      <c r="H12" s="99" t="s">
        <v>963</v>
      </c>
      <c r="I12" s="99" t="s">
        <v>966</v>
      </c>
      <c r="J12" s="99" t="s">
        <v>969</v>
      </c>
      <c r="K12" s="783" t="s">
        <v>972</v>
      </c>
    </row>
    <row r="13" spans="1:11" ht="16.5" thickTop="1" x14ac:dyDescent="0.25">
      <c r="A13" s="1980" t="s">
        <v>888</v>
      </c>
      <c r="B13" s="1986" t="s">
        <v>890</v>
      </c>
      <c r="C13" s="1973" t="s">
        <v>927</v>
      </c>
      <c r="D13" s="1973" t="s">
        <v>927</v>
      </c>
      <c r="E13" s="354" t="s">
        <v>973</v>
      </c>
      <c r="F13" s="354" t="s">
        <v>975</v>
      </c>
      <c r="G13" s="354" t="s">
        <v>978</v>
      </c>
      <c r="H13" s="354" t="s">
        <v>981</v>
      </c>
      <c r="I13" s="354" t="s">
        <v>984</v>
      </c>
      <c r="J13" s="354" t="s">
        <v>987</v>
      </c>
      <c r="K13" s="782" t="s">
        <v>990</v>
      </c>
    </row>
    <row r="14" spans="1:11" ht="15.75" x14ac:dyDescent="0.25">
      <c r="A14" s="1976"/>
      <c r="B14" s="1987"/>
      <c r="C14" s="1978"/>
      <c r="D14" s="1978"/>
      <c r="E14" s="354" t="s">
        <v>974</v>
      </c>
      <c r="F14" s="354" t="s">
        <v>976</v>
      </c>
      <c r="G14" s="354" t="s">
        <v>979</v>
      </c>
      <c r="H14" s="354" t="s">
        <v>982</v>
      </c>
      <c r="I14" s="354" t="s">
        <v>985</v>
      </c>
      <c r="J14" s="354" t="s">
        <v>988</v>
      </c>
      <c r="K14" s="782" t="s">
        <v>991</v>
      </c>
    </row>
    <row r="15" spans="1:11" ht="16.5" thickBot="1" x14ac:dyDescent="0.3">
      <c r="A15" s="1976"/>
      <c r="B15" s="1987"/>
      <c r="C15" s="1978"/>
      <c r="D15" s="1978"/>
      <c r="E15" s="354"/>
      <c r="F15" s="354" t="s">
        <v>977</v>
      </c>
      <c r="G15" s="354" t="s">
        <v>980</v>
      </c>
      <c r="H15" s="354" t="s">
        <v>983</v>
      </c>
      <c r="I15" s="354" t="s">
        <v>986</v>
      </c>
      <c r="J15" s="354" t="s">
        <v>989</v>
      </c>
      <c r="K15" s="782" t="s">
        <v>992</v>
      </c>
    </row>
    <row r="16" spans="1:11" ht="48" thickBot="1" x14ac:dyDescent="0.3">
      <c r="A16" s="631" t="s">
        <v>891</v>
      </c>
      <c r="B16" s="1022" t="s">
        <v>1576</v>
      </c>
      <c r="C16" s="633" t="s">
        <v>927</v>
      </c>
      <c r="D16" s="633" t="s">
        <v>927</v>
      </c>
      <c r="E16" s="633" t="s">
        <v>927</v>
      </c>
      <c r="F16" s="633" t="s">
        <v>927</v>
      </c>
      <c r="G16" s="633" t="s">
        <v>1577</v>
      </c>
      <c r="H16" s="633" t="s">
        <v>1578</v>
      </c>
      <c r="I16" s="633" t="s">
        <v>1579</v>
      </c>
      <c r="J16" s="633" t="s">
        <v>1580</v>
      </c>
      <c r="K16" s="1024" t="s">
        <v>1580</v>
      </c>
    </row>
    <row r="17" spans="1:11" ht="15.75" x14ac:dyDescent="0.25">
      <c r="A17" s="1989" t="s">
        <v>871</v>
      </c>
      <c r="B17" s="1990" t="s">
        <v>873</v>
      </c>
      <c r="C17" s="354" t="s">
        <v>1005</v>
      </c>
      <c r="D17" s="354" t="s">
        <v>1008</v>
      </c>
      <c r="E17" s="354" t="s">
        <v>1011</v>
      </c>
      <c r="F17" s="354" t="s">
        <v>1014</v>
      </c>
      <c r="G17" s="354" t="s">
        <v>1017</v>
      </c>
      <c r="H17" s="354" t="s">
        <v>1020</v>
      </c>
      <c r="I17" s="354" t="s">
        <v>1023</v>
      </c>
      <c r="J17" s="354" t="s">
        <v>1026</v>
      </c>
      <c r="K17" s="782" t="s">
        <v>1029</v>
      </c>
    </row>
    <row r="18" spans="1:11" ht="15.75" x14ac:dyDescent="0.25">
      <c r="A18" s="1989"/>
      <c r="B18" s="1990"/>
      <c r="C18" s="354" t="s">
        <v>1006</v>
      </c>
      <c r="D18" s="354" t="s">
        <v>1009</v>
      </c>
      <c r="E18" s="354" t="s">
        <v>1012</v>
      </c>
      <c r="F18" s="354" t="s">
        <v>1015</v>
      </c>
      <c r="G18" s="354" t="s">
        <v>1018</v>
      </c>
      <c r="H18" s="354" t="s">
        <v>1021</v>
      </c>
      <c r="I18" s="354" t="s">
        <v>1024</v>
      </c>
      <c r="J18" s="354" t="s">
        <v>1027</v>
      </c>
      <c r="K18" s="782" t="s">
        <v>1030</v>
      </c>
    </row>
    <row r="19" spans="1:11" ht="16.5" thickBot="1" x14ac:dyDescent="0.3">
      <c r="A19" s="1989"/>
      <c r="B19" s="1990"/>
      <c r="C19" s="354" t="s">
        <v>1007</v>
      </c>
      <c r="D19" s="354" t="s">
        <v>1010</v>
      </c>
      <c r="E19" s="354" t="s">
        <v>1013</v>
      </c>
      <c r="F19" s="354" t="s">
        <v>1016</v>
      </c>
      <c r="G19" s="354" t="s">
        <v>1019</v>
      </c>
      <c r="H19" s="354" t="s">
        <v>1022</v>
      </c>
      <c r="I19" s="354" t="s">
        <v>1025</v>
      </c>
      <c r="J19" s="354" t="s">
        <v>1028</v>
      </c>
      <c r="K19" s="782" t="s">
        <v>1031</v>
      </c>
    </row>
    <row r="20" spans="1:11" ht="48" thickBot="1" x14ac:dyDescent="0.3">
      <c r="A20" s="631" t="s">
        <v>893</v>
      </c>
      <c r="B20" s="633" t="s">
        <v>895</v>
      </c>
      <c r="C20" s="633" t="s">
        <v>927</v>
      </c>
      <c r="D20" s="632" t="s">
        <v>927</v>
      </c>
      <c r="E20" s="632" t="s">
        <v>927</v>
      </c>
      <c r="F20" s="632" t="s">
        <v>927</v>
      </c>
      <c r="G20" s="632" t="s">
        <v>1581</v>
      </c>
      <c r="H20" s="632" t="s">
        <v>1536</v>
      </c>
      <c r="I20" s="632" t="s">
        <v>1582</v>
      </c>
      <c r="J20" s="632" t="s">
        <v>1582</v>
      </c>
      <c r="K20" s="634" t="s">
        <v>1582</v>
      </c>
    </row>
    <row r="21" spans="1:11" ht="48" thickBot="1" x14ac:dyDescent="0.3">
      <c r="A21" s="631" t="s">
        <v>1033</v>
      </c>
      <c r="B21" s="633" t="s">
        <v>897</v>
      </c>
      <c r="C21" s="632" t="s">
        <v>927</v>
      </c>
      <c r="D21" s="632" t="s">
        <v>927</v>
      </c>
      <c r="E21" s="632" t="s">
        <v>927</v>
      </c>
      <c r="F21" s="632" t="s">
        <v>927</v>
      </c>
      <c r="G21" s="632" t="s">
        <v>1583</v>
      </c>
      <c r="H21" s="632" t="s">
        <v>1584</v>
      </c>
      <c r="I21" s="632" t="s">
        <v>1585</v>
      </c>
      <c r="J21" s="632" t="s">
        <v>1585</v>
      </c>
      <c r="K21" s="634" t="s">
        <v>1585</v>
      </c>
    </row>
    <row r="22" spans="1:11" ht="48" thickBot="1" x14ac:dyDescent="0.3">
      <c r="A22" s="631" t="s">
        <v>898</v>
      </c>
      <c r="B22" s="633" t="s">
        <v>899</v>
      </c>
      <c r="C22" s="633" t="s">
        <v>927</v>
      </c>
      <c r="D22" s="632" t="s">
        <v>927</v>
      </c>
      <c r="E22" s="632" t="s">
        <v>927</v>
      </c>
      <c r="F22" s="632" t="s">
        <v>927</v>
      </c>
      <c r="G22" s="632" t="s">
        <v>1586</v>
      </c>
      <c r="H22" s="632" t="s">
        <v>1587</v>
      </c>
      <c r="I22" s="632" t="s">
        <v>1588</v>
      </c>
      <c r="J22" s="632" t="s">
        <v>1588</v>
      </c>
      <c r="K22" s="634" t="s">
        <v>1588</v>
      </c>
    </row>
    <row r="23" spans="1:11" ht="55.5" customHeight="1" thickBot="1" x14ac:dyDescent="0.3">
      <c r="A23" s="1188" t="s">
        <v>900</v>
      </c>
      <c r="B23" s="1194" t="s">
        <v>902</v>
      </c>
      <c r="C23" s="1192" t="s">
        <v>927</v>
      </c>
      <c r="D23" s="1192" t="s">
        <v>927</v>
      </c>
      <c r="E23" s="1192" t="s">
        <v>927</v>
      </c>
      <c r="F23" s="1192" t="s">
        <v>927</v>
      </c>
      <c r="G23" s="99" t="s">
        <v>1518</v>
      </c>
      <c r="H23" s="1031" t="s">
        <v>1519</v>
      </c>
      <c r="I23" s="1031" t="s">
        <v>1520</v>
      </c>
      <c r="J23" s="1031" t="s">
        <v>1521</v>
      </c>
      <c r="K23" s="1036" t="s">
        <v>1521</v>
      </c>
    </row>
    <row r="24" spans="1:11" ht="48.75" customHeight="1" thickTop="1" thickBot="1" x14ac:dyDescent="0.3">
      <c r="A24" s="1190" t="s">
        <v>903</v>
      </c>
      <c r="B24" s="1193" t="s">
        <v>904</v>
      </c>
      <c r="C24" s="1192" t="s">
        <v>927</v>
      </c>
      <c r="D24" s="1192" t="s">
        <v>927</v>
      </c>
      <c r="E24" s="1192" t="s">
        <v>927</v>
      </c>
      <c r="F24" s="1192" t="s">
        <v>927</v>
      </c>
      <c r="G24" s="99" t="s">
        <v>1522</v>
      </c>
      <c r="H24" s="99" t="s">
        <v>1523</v>
      </c>
      <c r="I24" s="99" t="s">
        <v>1524</v>
      </c>
      <c r="J24" s="99" t="s">
        <v>1525</v>
      </c>
      <c r="K24" s="783" t="s">
        <v>1526</v>
      </c>
    </row>
    <row r="25" spans="1:11" ht="16.5" thickTop="1" x14ac:dyDescent="0.25">
      <c r="A25" s="1980" t="s">
        <v>905</v>
      </c>
      <c r="B25" s="1986" t="s">
        <v>907</v>
      </c>
      <c r="C25" s="1973" t="s">
        <v>927</v>
      </c>
      <c r="D25" s="1973" t="s">
        <v>927</v>
      </c>
      <c r="E25" s="1973" t="s">
        <v>927</v>
      </c>
      <c r="F25" s="1973" t="s">
        <v>927</v>
      </c>
      <c r="G25" s="354" t="s">
        <v>1040</v>
      </c>
      <c r="H25" s="354" t="s">
        <v>1038</v>
      </c>
      <c r="I25" s="354" t="s">
        <v>1042</v>
      </c>
      <c r="J25" s="354" t="s">
        <v>1043</v>
      </c>
      <c r="K25" s="782" t="s">
        <v>1044</v>
      </c>
    </row>
    <row r="26" spans="1:11" ht="15.75" x14ac:dyDescent="0.25">
      <c r="A26" s="1976"/>
      <c r="B26" s="1987"/>
      <c r="C26" s="1978"/>
      <c r="D26" s="1978"/>
      <c r="E26" s="1978"/>
      <c r="F26" s="1978"/>
      <c r="G26" s="354" t="s">
        <v>991</v>
      </c>
      <c r="H26" s="354" t="s">
        <v>995</v>
      </c>
      <c r="I26" s="354" t="s">
        <v>1035</v>
      </c>
      <c r="J26" s="354" t="s">
        <v>1037</v>
      </c>
      <c r="K26" s="782" t="s">
        <v>1045</v>
      </c>
    </row>
    <row r="27" spans="1:11" ht="16.5" thickBot="1" x14ac:dyDescent="0.3">
      <c r="A27" s="1977"/>
      <c r="B27" s="1991"/>
      <c r="C27" s="1979"/>
      <c r="D27" s="1979"/>
      <c r="E27" s="1979"/>
      <c r="F27" s="1979"/>
      <c r="G27" s="99" t="s">
        <v>1032</v>
      </c>
      <c r="H27" s="99" t="s">
        <v>1041</v>
      </c>
      <c r="I27" s="99" t="s">
        <v>994</v>
      </c>
      <c r="J27" s="99" t="s">
        <v>1034</v>
      </c>
      <c r="K27" s="783" t="s">
        <v>1036</v>
      </c>
    </row>
    <row r="28" spans="1:11" ht="32.25" thickTop="1" x14ac:dyDescent="0.25">
      <c r="A28" s="1980" t="s">
        <v>910</v>
      </c>
      <c r="B28" s="354" t="s">
        <v>1136</v>
      </c>
      <c r="C28" s="1973" t="s">
        <v>927</v>
      </c>
      <c r="D28" s="1973" t="s">
        <v>927</v>
      </c>
      <c r="E28" s="1973" t="s">
        <v>927</v>
      </c>
      <c r="F28" s="1973" t="s">
        <v>927</v>
      </c>
      <c r="G28" s="354" t="s">
        <v>990</v>
      </c>
      <c r="H28" s="354" t="s">
        <v>1039</v>
      </c>
      <c r="I28" s="354" t="s">
        <v>1046</v>
      </c>
      <c r="J28" s="354" t="s">
        <v>1048</v>
      </c>
      <c r="K28" s="782" t="s">
        <v>952</v>
      </c>
    </row>
    <row r="29" spans="1:11" ht="15.75" x14ac:dyDescent="0.25">
      <c r="A29" s="1976"/>
      <c r="B29" s="355"/>
      <c r="C29" s="1978"/>
      <c r="D29" s="1978"/>
      <c r="E29" s="1978"/>
      <c r="F29" s="1978"/>
      <c r="G29" s="354" t="s">
        <v>1002</v>
      </c>
      <c r="H29" s="354" t="s">
        <v>998</v>
      </c>
      <c r="I29" s="354" t="s">
        <v>1047</v>
      </c>
      <c r="J29" s="354" t="s">
        <v>1049</v>
      </c>
      <c r="K29" s="782" t="s">
        <v>1051</v>
      </c>
    </row>
    <row r="30" spans="1:11" ht="16.5" thickBot="1" x14ac:dyDescent="0.3">
      <c r="A30" s="1977"/>
      <c r="B30" s="1032"/>
      <c r="C30" s="1979"/>
      <c r="D30" s="1979"/>
      <c r="E30" s="1979"/>
      <c r="F30" s="1979"/>
      <c r="G30" s="99" t="s">
        <v>1032</v>
      </c>
      <c r="H30" s="99" t="s">
        <v>1004</v>
      </c>
      <c r="I30" s="99" t="s">
        <v>999</v>
      </c>
      <c r="J30" s="99" t="s">
        <v>1050</v>
      </c>
      <c r="K30" s="783" t="s">
        <v>1052</v>
      </c>
    </row>
    <row r="31" spans="1:11" ht="16.5" thickTop="1" x14ac:dyDescent="0.25">
      <c r="A31" s="1980" t="s">
        <v>913</v>
      </c>
      <c r="B31" s="1986" t="s">
        <v>1053</v>
      </c>
      <c r="C31" s="354" t="s">
        <v>1054</v>
      </c>
      <c r="D31" s="354" t="s">
        <v>1054</v>
      </c>
      <c r="E31" s="354" t="s">
        <v>1054</v>
      </c>
      <c r="F31" s="354" t="s">
        <v>1054</v>
      </c>
      <c r="G31" s="354" t="s">
        <v>1000</v>
      </c>
      <c r="H31" s="354" t="s">
        <v>997</v>
      </c>
      <c r="I31" s="354" t="s">
        <v>990</v>
      </c>
      <c r="J31" s="354" t="s">
        <v>1040</v>
      </c>
      <c r="K31" s="782" t="s">
        <v>1059</v>
      </c>
    </row>
    <row r="32" spans="1:11" ht="15.75" x14ac:dyDescent="0.25">
      <c r="A32" s="1976"/>
      <c r="B32" s="1987"/>
      <c r="C32" s="354" t="s">
        <v>979</v>
      </c>
      <c r="D32" s="354" t="s">
        <v>979</v>
      </c>
      <c r="E32" s="354" t="s">
        <v>979</v>
      </c>
      <c r="F32" s="354" t="s">
        <v>979</v>
      </c>
      <c r="G32" s="354" t="s">
        <v>985</v>
      </c>
      <c r="H32" s="354" t="s">
        <v>988</v>
      </c>
      <c r="I32" s="354" t="s">
        <v>1058</v>
      </c>
      <c r="J32" s="354" t="s">
        <v>996</v>
      </c>
      <c r="K32" s="782" t="s">
        <v>993</v>
      </c>
    </row>
    <row r="33" spans="1:11" ht="15.75" x14ac:dyDescent="0.25">
      <c r="A33" s="1976"/>
      <c r="B33" s="1987"/>
      <c r="C33" s="354" t="s">
        <v>1055</v>
      </c>
      <c r="D33" s="354" t="s">
        <v>1055</v>
      </c>
      <c r="E33" s="354" t="s">
        <v>1055</v>
      </c>
      <c r="F33" s="354" t="s">
        <v>1055</v>
      </c>
      <c r="G33" s="354" t="s">
        <v>1056</v>
      </c>
      <c r="H33" s="354" t="s">
        <v>1057</v>
      </c>
      <c r="I33" s="354" t="s">
        <v>1003</v>
      </c>
      <c r="J33" s="354" t="s">
        <v>1001</v>
      </c>
      <c r="K33" s="782" t="s">
        <v>1001</v>
      </c>
    </row>
    <row r="34" spans="1:11" ht="16.5" thickBot="1" x14ac:dyDescent="0.3">
      <c r="A34" s="1981"/>
      <c r="B34" s="1988"/>
      <c r="C34" s="354"/>
      <c r="D34" s="1033"/>
      <c r="E34" s="1033"/>
      <c r="F34" s="1033"/>
      <c r="G34" s="1033"/>
      <c r="H34" s="1033"/>
      <c r="I34" s="1033"/>
      <c r="J34" s="1033"/>
      <c r="K34" s="1037"/>
    </row>
    <row r="35" spans="1:11" ht="48" customHeight="1" thickBot="1" x14ac:dyDescent="0.3">
      <c r="A35" s="631" t="s">
        <v>877</v>
      </c>
      <c r="B35" s="1030" t="s">
        <v>1589</v>
      </c>
      <c r="C35" s="1027" t="s">
        <v>927</v>
      </c>
      <c r="D35" s="1028" t="s">
        <v>927</v>
      </c>
      <c r="E35" s="1034" t="s">
        <v>927</v>
      </c>
      <c r="F35" s="1034" t="s">
        <v>1527</v>
      </c>
      <c r="G35" s="1034" t="s">
        <v>1528</v>
      </c>
      <c r="H35" s="1034" t="s">
        <v>1529</v>
      </c>
      <c r="I35" s="1034" t="s">
        <v>1530</v>
      </c>
      <c r="J35" s="1034" t="s">
        <v>1531</v>
      </c>
      <c r="K35" s="1034" t="s">
        <v>1532</v>
      </c>
    </row>
    <row r="36" spans="1:11" ht="48" thickBot="1" x14ac:dyDescent="0.3">
      <c r="A36" s="631" t="s">
        <v>917</v>
      </c>
      <c r="B36" s="633" t="s">
        <v>919</v>
      </c>
      <c r="C36" s="633" t="s">
        <v>927</v>
      </c>
      <c r="D36" s="633" t="s">
        <v>927</v>
      </c>
      <c r="E36" s="632" t="s">
        <v>927</v>
      </c>
      <c r="F36" s="632" t="s">
        <v>1533</v>
      </c>
      <c r="G36" s="632" t="s">
        <v>1534</v>
      </c>
      <c r="H36" s="632" t="s">
        <v>1535</v>
      </c>
      <c r="I36" s="632" t="s">
        <v>1536</v>
      </c>
      <c r="J36" s="632" t="s">
        <v>1537</v>
      </c>
      <c r="K36" s="634" t="s">
        <v>1538</v>
      </c>
    </row>
    <row r="37" spans="1:11" ht="48" thickBot="1" x14ac:dyDescent="0.3">
      <c r="A37" s="631" t="s">
        <v>920</v>
      </c>
      <c r="B37" s="633" t="s">
        <v>922</v>
      </c>
      <c r="C37" s="632" t="s">
        <v>927</v>
      </c>
      <c r="D37" s="632" t="s">
        <v>927</v>
      </c>
      <c r="E37" s="632" t="s">
        <v>1539</v>
      </c>
      <c r="F37" s="632" t="s">
        <v>1540</v>
      </c>
      <c r="G37" s="632" t="s">
        <v>1541</v>
      </c>
      <c r="H37" s="632" t="s">
        <v>1542</v>
      </c>
      <c r="I37" s="632" t="s">
        <v>1543</v>
      </c>
      <c r="J37" s="632" t="s">
        <v>1544</v>
      </c>
      <c r="K37" s="634" t="s">
        <v>1545</v>
      </c>
    </row>
  </sheetData>
  <mergeCells count="27">
    <mergeCell ref="A31:A34"/>
    <mergeCell ref="B31:B34"/>
    <mergeCell ref="A17:A19"/>
    <mergeCell ref="B17:B19"/>
    <mergeCell ref="A25:A27"/>
    <mergeCell ref="B25:B27"/>
    <mergeCell ref="A28:A30"/>
    <mergeCell ref="D13:D15"/>
    <mergeCell ref="C4:K4"/>
    <mergeCell ref="A7:A9"/>
    <mergeCell ref="B7:B9"/>
    <mergeCell ref="C7:C9"/>
    <mergeCell ref="D7:D9"/>
    <mergeCell ref="E7:E9"/>
    <mergeCell ref="A10:A12"/>
    <mergeCell ref="B10:B12"/>
    <mergeCell ref="A13:A15"/>
    <mergeCell ref="B13:B15"/>
    <mergeCell ref="C13:C15"/>
    <mergeCell ref="C28:C30"/>
    <mergeCell ref="D28:D30"/>
    <mergeCell ref="E28:E30"/>
    <mergeCell ref="F28:F30"/>
    <mergeCell ref="C25:C27"/>
    <mergeCell ref="D25:D27"/>
    <mergeCell ref="E25:E27"/>
    <mergeCell ref="F25:F27"/>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showRuler="0" zoomScaleNormal="100" workbookViewId="0">
      <pane ySplit="2535" topLeftCell="A49" activePane="bottomLeft"/>
      <selection activeCell="A3" sqref="A3:XFD3"/>
      <selection pane="bottomLeft" activeCell="F21" sqref="F21:G21"/>
    </sheetView>
  </sheetViews>
  <sheetFormatPr defaultRowHeight="15" x14ac:dyDescent="0.25"/>
  <cols>
    <col min="1" max="1" width="9.140625" style="126"/>
    <col min="2" max="2" width="53.42578125" style="126" customWidth="1"/>
    <col min="3" max="4" width="5.5703125" style="126" bestFit="1" customWidth="1"/>
    <col min="5" max="5" width="7.28515625" style="126" bestFit="1" customWidth="1"/>
    <col min="6" max="6" width="10.140625" style="126" bestFit="1" customWidth="1"/>
    <col min="7" max="7" width="10.140625" style="126" customWidth="1"/>
    <col min="8" max="11" width="10.140625" style="126" bestFit="1" customWidth="1"/>
    <col min="12" max="12" width="19.28515625" style="126" customWidth="1"/>
    <col min="13" max="13" width="10.28515625" style="126" bestFit="1" customWidth="1"/>
    <col min="14" max="16384" width="9.140625" style="126"/>
  </cols>
  <sheetData>
    <row r="1" spans="1:12" ht="31.5" customHeight="1" x14ac:dyDescent="0.25">
      <c r="A1" s="505" t="s">
        <v>1398</v>
      </c>
    </row>
    <row r="2" spans="1:12" ht="15.75" thickBot="1" x14ac:dyDescent="0.3"/>
    <row r="3" spans="1:12" ht="64.5" thickTop="1" thickBot="1" x14ac:dyDescent="0.3">
      <c r="A3" s="943" t="s">
        <v>371</v>
      </c>
      <c r="B3" s="944" t="s">
        <v>549</v>
      </c>
      <c r="C3" s="945">
        <v>2015</v>
      </c>
      <c r="D3" s="945">
        <v>2016</v>
      </c>
      <c r="E3" s="945">
        <v>2017</v>
      </c>
      <c r="F3" s="945">
        <v>2018</v>
      </c>
      <c r="G3" s="945">
        <v>2019</v>
      </c>
      <c r="H3" s="945">
        <v>2020</v>
      </c>
      <c r="I3" s="945">
        <v>2021</v>
      </c>
      <c r="J3" s="945">
        <v>2022</v>
      </c>
      <c r="K3" s="945">
        <v>2023</v>
      </c>
      <c r="L3" s="944" t="s">
        <v>550</v>
      </c>
    </row>
    <row r="4" spans="1:12" ht="48.75" thickTop="1" thickBot="1" x14ac:dyDescent="0.3">
      <c r="A4" s="101" t="s">
        <v>455</v>
      </c>
      <c r="B4" s="102" t="s">
        <v>456</v>
      </c>
      <c r="C4" s="102">
        <v>0</v>
      </c>
      <c r="D4" s="102">
        <v>0</v>
      </c>
      <c r="E4" s="102">
        <f>SUM('3 pr-3'!Y9)</f>
        <v>0</v>
      </c>
      <c r="F4" s="102">
        <f>SUM('3 pr-3'!Z9)</f>
        <v>31</v>
      </c>
      <c r="G4" s="102">
        <f>SUM('3 pr-3'!AA9)</f>
        <v>5</v>
      </c>
      <c r="H4" s="102">
        <f>SUM('3 pr-3'!AB9)</f>
        <v>0</v>
      </c>
      <c r="I4" s="102">
        <f>SUM('3 pr-3'!AC9)</f>
        <v>0</v>
      </c>
      <c r="J4" s="102">
        <f>SUM('3 pr-3'!AD9)</f>
        <v>0</v>
      </c>
      <c r="K4" s="102">
        <f>SUM('3 pr-3'!AE9)</f>
        <v>0</v>
      </c>
      <c r="L4" s="946">
        <f>IF(C4+D4+E4+F4+G4+H4+I4+J4+K4='3 pr-4'!C3,'3 pr-4'!C3,FALSE)</f>
        <v>36</v>
      </c>
    </row>
    <row r="5" spans="1:12" ht="64.5" thickTop="1" thickBot="1" x14ac:dyDescent="0.3">
      <c r="A5" s="101" t="s">
        <v>457</v>
      </c>
      <c r="B5" s="102" t="s">
        <v>458</v>
      </c>
      <c r="C5" s="102">
        <v>0</v>
      </c>
      <c r="D5" s="102">
        <v>0</v>
      </c>
      <c r="E5" s="102">
        <f>SUM('3 pr-3'!AS9)</f>
        <v>0</v>
      </c>
      <c r="F5" s="102">
        <f>SUM('3 pr-3'!AT9)</f>
        <v>6394</v>
      </c>
      <c r="G5" s="102">
        <f>SUM('3 pr-3'!AU9)</f>
        <v>1163</v>
      </c>
      <c r="H5" s="102">
        <f>SUM('3 pr-3'!AV9)</f>
        <v>0</v>
      </c>
      <c r="I5" s="102">
        <f>SUM('3 pr-3'!AW9)</f>
        <v>0</v>
      </c>
      <c r="J5" s="102">
        <f>SUM('3 pr-3'!AX9)</f>
        <v>0</v>
      </c>
      <c r="K5" s="102">
        <f>SUM('3 pr-3'!AY9)</f>
        <v>0</v>
      </c>
      <c r="L5" s="946">
        <f>IF(C5+D5+E5+F5+G5+H5+I5+J5+K5='3 pr-4'!C4,'3 pr-4'!C4,FALSE)</f>
        <v>7557</v>
      </c>
    </row>
    <row r="6" spans="1:12" ht="48.75" thickTop="1" thickBot="1" x14ac:dyDescent="0.3">
      <c r="A6" s="101" t="s">
        <v>459</v>
      </c>
      <c r="B6" s="102" t="s">
        <v>460</v>
      </c>
      <c r="C6" s="102">
        <v>0</v>
      </c>
      <c r="D6" s="102">
        <v>0</v>
      </c>
      <c r="E6" s="102">
        <f>SUM('3 pr-3'!BM9)</f>
        <v>0</v>
      </c>
      <c r="F6" s="102">
        <f>SUM('3 pr-3'!BN9)</f>
        <v>18</v>
      </c>
      <c r="G6" s="102">
        <f>SUM('3 pr-3'!BO9)</f>
        <v>5</v>
      </c>
      <c r="H6" s="102">
        <f>SUM('3 pr-3'!BP9)</f>
        <v>0</v>
      </c>
      <c r="I6" s="102">
        <f>SUM('3 pr-3'!BQ9)</f>
        <v>0</v>
      </c>
      <c r="J6" s="102">
        <f>SUM('3 pr-3'!BR9)</f>
        <v>0</v>
      </c>
      <c r="K6" s="102">
        <f>SUM('3 pr-3'!BS9)</f>
        <v>0</v>
      </c>
      <c r="L6" s="946">
        <f>IF(C6+D6+E6+F6+G6+H6+I6+J6+K6='3 pr-4'!C5,'3 pr-4'!C5,FALSE)</f>
        <v>23</v>
      </c>
    </row>
    <row r="7" spans="1:12" ht="48.75" thickTop="1" thickBot="1" x14ac:dyDescent="0.3">
      <c r="A7" s="101" t="s">
        <v>1402</v>
      </c>
      <c r="B7" s="102" t="s">
        <v>1403</v>
      </c>
      <c r="C7" s="102">
        <v>0</v>
      </c>
      <c r="D7" s="102">
        <v>0</v>
      </c>
      <c r="E7" s="102">
        <f>SUM('3 pr-3'!AS68)</f>
        <v>0</v>
      </c>
      <c r="F7" s="102">
        <f>SUM('3 pr-3'!AT68)</f>
        <v>0</v>
      </c>
      <c r="G7" s="102">
        <f>SUM('3 pr-3'!AU67)</f>
        <v>6000</v>
      </c>
      <c r="H7" s="102">
        <f>SUM('3 pr-3'!AV67)</f>
        <v>3788</v>
      </c>
      <c r="I7" s="102">
        <f>SUM('3 pr-3'!AW67)</f>
        <v>0</v>
      </c>
      <c r="J7" s="102">
        <f>SUM('3 pr-3'!AX67)</f>
        <v>0</v>
      </c>
      <c r="K7" s="102">
        <f>SUM('3 pr-3'!AY67)</f>
        <v>0</v>
      </c>
      <c r="L7" s="946">
        <f>IF(C7+D7+E7+F7+G7+H7+I7+J7+K7='3 pr-4'!C6,'3 pr-4'!C6,FALSE)</f>
        <v>9788</v>
      </c>
    </row>
    <row r="8" spans="1:12" ht="17.25" thickTop="1" thickBot="1" x14ac:dyDescent="0.3">
      <c r="A8" s="101" t="s">
        <v>505</v>
      </c>
      <c r="B8" s="102" t="s">
        <v>506</v>
      </c>
      <c r="C8" s="102">
        <v>0</v>
      </c>
      <c r="D8" s="102">
        <v>0</v>
      </c>
      <c r="E8" s="102">
        <f>SUM('3 pr-3'!Y92)</f>
        <v>0</v>
      </c>
      <c r="F8" s="102">
        <f>SUM('3 pr-3'!Z92)</f>
        <v>0</v>
      </c>
      <c r="G8" s="102">
        <f>SUM('3 pr-3'!AA92)</f>
        <v>2.59</v>
      </c>
      <c r="H8" s="102">
        <f>SUM('3 pr-3'!AB92)</f>
        <v>0.78</v>
      </c>
      <c r="I8" s="102">
        <f>SUM('3 pr-3'!AC92)</f>
        <v>0</v>
      </c>
      <c r="J8" s="102">
        <f>SUM('3 pr-3'!AD92)</f>
        <v>0</v>
      </c>
      <c r="K8" s="102">
        <f>SUM('3 pr-3'!AE92)</f>
        <v>0</v>
      </c>
      <c r="L8" s="947">
        <f>IF(C8+D8+E8+F8+G8+H8+I8+J8+K8='3 pr-4'!C7,'3 pr-4'!C7,FALSE)</f>
        <v>3.37</v>
      </c>
    </row>
    <row r="9" spans="1:12" ht="33" thickTop="1" thickBot="1" x14ac:dyDescent="0.3">
      <c r="A9" s="101" t="s">
        <v>513</v>
      </c>
      <c r="B9" s="102" t="s">
        <v>514</v>
      </c>
      <c r="C9" s="102">
        <v>0</v>
      </c>
      <c r="D9" s="102">
        <v>0</v>
      </c>
      <c r="E9" s="102">
        <f>SUM('3 pr-3'!AS102+'3 pr-3'!AS108+'3 pr-3'!AS114)</f>
        <v>0</v>
      </c>
      <c r="F9" s="102">
        <f>SUM('3 pr-3'!AT102+'3 pr-3'!AT108+'3 pr-3'!AT114)</f>
        <v>380</v>
      </c>
      <c r="G9" s="102">
        <f>SUM('3 pr-3'!AU102+'3 pr-3'!AU108+'3 pr-3'!AU114)</f>
        <v>5012</v>
      </c>
      <c r="H9" s="102">
        <f>SUM('3 pr-3'!AV102+'3 pr-3'!AV108+'3 pr-3'!AV114)</f>
        <v>604</v>
      </c>
      <c r="I9" s="102">
        <f>SUM('3 pr-3'!AW102+'3 pr-3'!AW108+'3 pr-3'!AW114)</f>
        <v>0</v>
      </c>
      <c r="J9" s="102">
        <f>SUM('3 pr-3'!AX102+'3 pr-3'!AX108+'3 pr-3'!AX114)</f>
        <v>0</v>
      </c>
      <c r="K9" s="102">
        <f>SUM('3 pr-3'!AY102+'3 pr-3'!AY108+'3 pr-3'!AY114)</f>
        <v>0</v>
      </c>
      <c r="L9" s="946">
        <f>IF(C9+D9+E9+F9+G9+H9+I9+J9+K9='3 pr-4'!C8,'3 pr-4'!C8,FALSE)</f>
        <v>5996</v>
      </c>
    </row>
    <row r="10" spans="1:12" ht="33" thickTop="1" thickBot="1" x14ac:dyDescent="0.3">
      <c r="A10" s="101" t="s">
        <v>519</v>
      </c>
      <c r="B10" s="102" t="s">
        <v>551</v>
      </c>
      <c r="C10" s="102">
        <v>0</v>
      </c>
      <c r="D10" s="102">
        <v>0</v>
      </c>
      <c r="E10" s="102">
        <f>SUM('3 pr-3'!AS121)</f>
        <v>0</v>
      </c>
      <c r="F10" s="102">
        <f>SUM('3 pr-3'!AT121)</f>
        <v>0</v>
      </c>
      <c r="G10" s="102">
        <f>SUM('3 pr-3'!AU121)</f>
        <v>2458</v>
      </c>
      <c r="H10" s="102">
        <f>SUM('3 pr-3'!AV121)</f>
        <v>22143</v>
      </c>
      <c r="I10" s="102">
        <f>SUM('3 pr-3'!AW121)</f>
        <v>26070</v>
      </c>
      <c r="J10" s="102">
        <f>SUM('3 pr-3'!AX121)</f>
        <v>0</v>
      </c>
      <c r="K10" s="102">
        <f>SUM('3 pr-3'!AY121)</f>
        <v>0</v>
      </c>
      <c r="L10" s="946">
        <f>IF(C10+D10+E10+F10+G10+H10+I10+J10+K10='3 pr-4'!C9,'3 pr-4'!C9,FALSE)</f>
        <v>50671</v>
      </c>
    </row>
    <row r="11" spans="1:12" ht="33" thickTop="1" thickBot="1" x14ac:dyDescent="0.3">
      <c r="A11" s="101" t="s">
        <v>466</v>
      </c>
      <c r="B11" s="102" t="s">
        <v>552</v>
      </c>
      <c r="C11" s="100">
        <v>0</v>
      </c>
      <c r="D11" s="100">
        <v>0</v>
      </c>
      <c r="E11" s="315">
        <f>SUM('3 pr-3'!Y39+'3 pr-3'!Y46)</f>
        <v>0</v>
      </c>
      <c r="F11" s="315">
        <f>SUM('3 pr-3'!Z39+'3 pr-3'!Z46)</f>
        <v>43844.5</v>
      </c>
      <c r="G11" s="315">
        <f>SUM('3 pr-3'!AA39+'3 pr-3'!AA46)</f>
        <v>62250</v>
      </c>
      <c r="H11" s="315">
        <f>SUM('3 pr-3'!AB39+'3 pr-3'!AB46)</f>
        <v>134270.41</v>
      </c>
      <c r="I11" s="315">
        <f>SUM('3 pr-3'!AC39+'3 pr-3'!AC46)</f>
        <v>0</v>
      </c>
      <c r="J11" s="315">
        <f>SUM('3 pr-3'!AD39+'3 pr-3'!AD46)</f>
        <v>0</v>
      </c>
      <c r="K11" s="315">
        <f>SUM('3 pr-3'!AE39+'3 pr-3'!AE46)</f>
        <v>0</v>
      </c>
      <c r="L11" s="946">
        <f>IF(C11+D11+E11+F11+G11+H11+I11+J11+K11='3 pr-4'!C10,'3 pr-4'!C10,FALSE)</f>
        <v>240364.91</v>
      </c>
    </row>
    <row r="12" spans="1:12" ht="33" thickTop="1" thickBot="1" x14ac:dyDescent="0.3">
      <c r="A12" s="101" t="s">
        <v>468</v>
      </c>
      <c r="B12" s="102" t="s">
        <v>469</v>
      </c>
      <c r="C12" s="100">
        <v>0</v>
      </c>
      <c r="D12" s="100">
        <v>0</v>
      </c>
      <c r="E12" s="100">
        <f>SUM('3 pr-3'!AS39+'3 pr-3'!AS46)</f>
        <v>0</v>
      </c>
      <c r="F12" s="100">
        <f>SUM('3 pr-3'!AT39+'3 pr-3'!AT46)</f>
        <v>690.97</v>
      </c>
      <c r="G12" s="100">
        <f>SUM('3 pr-3'!AU39+'3 pr-3'!AU46)</f>
        <v>34.56</v>
      </c>
      <c r="H12" s="100">
        <f>SUM('3 pr-3'!AV39+'3 pr-3'!AV46)</f>
        <v>0</v>
      </c>
      <c r="I12" s="100">
        <f>SUM('3 pr-3'!AW39+'3 pr-3'!AW46)</f>
        <v>0</v>
      </c>
      <c r="J12" s="100">
        <f>SUM('3 pr-3'!AX39+'3 pr-3'!AX46)</f>
        <v>0</v>
      </c>
      <c r="K12" s="100">
        <f>SUM('3 pr-3'!AY39+'3 pr-3'!AY46)</f>
        <v>0</v>
      </c>
      <c r="L12" s="947">
        <f>IF(C12+D12+E12+F12+G12+H12+I12+J12+K12='3 pr-4'!C11,'3 pr-4'!C11,FALSE)</f>
        <v>725.53</v>
      </c>
    </row>
    <row r="13" spans="1:12" ht="33" thickTop="1" thickBot="1" x14ac:dyDescent="0.3">
      <c r="A13" s="101" t="s">
        <v>486</v>
      </c>
      <c r="B13" s="102" t="s">
        <v>553</v>
      </c>
      <c r="C13" s="102">
        <v>0</v>
      </c>
      <c r="D13" s="102">
        <v>0</v>
      </c>
      <c r="E13" s="102">
        <f>SUM('3 pr-3'!AS56)</f>
        <v>0</v>
      </c>
      <c r="F13" s="102">
        <f>SUM('3 pr-3'!AT56)</f>
        <v>0</v>
      </c>
      <c r="G13" s="102">
        <f>SUM('3 pr-3'!AU56)</f>
        <v>0</v>
      </c>
      <c r="H13" s="102">
        <f>SUM('3 pr-3'!AV56)</f>
        <v>26</v>
      </c>
      <c r="I13" s="102">
        <f>SUM('3 pr-3'!AW56)</f>
        <v>0</v>
      </c>
      <c r="J13" s="102">
        <f>SUM('3 pr-3'!AX56)</f>
        <v>0</v>
      </c>
      <c r="K13" s="102">
        <f>SUM('3 pr-3'!AY56)</f>
        <v>0</v>
      </c>
      <c r="L13" s="946">
        <f>IF(C13+D13+E13+F13+G13+H13+I13+J13+K13='3 pr-4'!C12,'3 pr-4'!C12,FALSE)</f>
        <v>26</v>
      </c>
    </row>
    <row r="14" spans="1:12" ht="48.75" thickTop="1" thickBot="1" x14ac:dyDescent="0.3">
      <c r="A14" s="101" t="s">
        <v>471</v>
      </c>
      <c r="B14" s="102" t="s">
        <v>554</v>
      </c>
      <c r="C14" s="102">
        <v>0</v>
      </c>
      <c r="D14" s="102">
        <v>0</v>
      </c>
      <c r="E14" s="102">
        <f>SUM('3 pr-3'!Y50)</f>
        <v>0</v>
      </c>
      <c r="F14" s="102">
        <f>SUM('3 pr-3'!Z50)</f>
        <v>0</v>
      </c>
      <c r="G14" s="102">
        <f>SUM('3 pr-3'!AA50)</f>
        <v>240</v>
      </c>
      <c r="H14" s="102">
        <f>SUM('3 pr-3'!AB50)</f>
        <v>238</v>
      </c>
      <c r="I14" s="102">
        <f>SUM('3 pr-3'!AC50)</f>
        <v>422</v>
      </c>
      <c r="J14" s="102">
        <f>SUM('3 pr-3'!AD50)</f>
        <v>0</v>
      </c>
      <c r="K14" s="102">
        <f>SUM('3 pr-3'!AE50)</f>
        <v>0</v>
      </c>
      <c r="L14" s="946">
        <f>IF(C14+D14+E14+F14+G14+H14+I14+J14+K14='3 pr-4'!C13,'3 pr-4'!C13,FALSE)</f>
        <v>900</v>
      </c>
    </row>
    <row r="15" spans="1:12" ht="48.75" thickTop="1" thickBot="1" x14ac:dyDescent="0.3">
      <c r="A15" s="101" t="s">
        <v>479</v>
      </c>
      <c r="B15" s="102" t="s">
        <v>555</v>
      </c>
      <c r="C15" s="102">
        <v>0</v>
      </c>
      <c r="D15" s="102">
        <v>0</v>
      </c>
      <c r="E15" s="103">
        <f>SUM('3 pr-3'!AS50)</f>
        <v>0</v>
      </c>
      <c r="F15" s="103">
        <f>SUM('3 pr-3'!AT50)</f>
        <v>0</v>
      </c>
      <c r="G15" s="103">
        <f>SUM('3 pr-3'!AU50)</f>
        <v>0</v>
      </c>
      <c r="H15" s="103">
        <f>SUM('3 pr-3'!AV50)</f>
        <v>25450</v>
      </c>
      <c r="I15" s="103">
        <f>SUM('3 pr-3'!AW50)</f>
        <v>15887</v>
      </c>
      <c r="J15" s="103">
        <f>SUM('3 pr-3'!AX50)</f>
        <v>0</v>
      </c>
      <c r="K15" s="103">
        <f>SUM('3 pr-3'!AY50)</f>
        <v>0</v>
      </c>
      <c r="L15" s="946">
        <f>IF(C15+D15+E15+F15+G15+H15+I15+J15+K15='3 pr-4'!C14,'3 pr-4'!C14,FALSE)</f>
        <v>41337</v>
      </c>
    </row>
    <row r="16" spans="1:12" ht="33" thickTop="1" thickBot="1" x14ac:dyDescent="0.3">
      <c r="A16" s="101" t="s">
        <v>473</v>
      </c>
      <c r="B16" s="102" t="s">
        <v>556</v>
      </c>
      <c r="C16" s="102">
        <v>0</v>
      </c>
      <c r="D16" s="102">
        <v>0</v>
      </c>
      <c r="E16" s="102">
        <f>SUM('3 pr-3'!BM50)</f>
        <v>0</v>
      </c>
      <c r="F16" s="102">
        <f>SUM('3 pr-3'!BN50)</f>
        <v>0</v>
      </c>
      <c r="G16" s="102">
        <f>SUM('3 pr-3'!BO50)</f>
        <v>210</v>
      </c>
      <c r="H16" s="102">
        <f>SUM('3 pr-3'!BP50)</f>
        <v>798</v>
      </c>
      <c r="I16" s="102">
        <f>SUM('3 pr-3'!BQ50)</f>
        <v>431</v>
      </c>
      <c r="J16" s="102">
        <f>SUM('3 pr-3'!BR50)</f>
        <v>0</v>
      </c>
      <c r="K16" s="102">
        <f>SUM('3 pr-3'!BS50)</f>
        <v>0</v>
      </c>
      <c r="L16" s="946">
        <f>IF(C16+D16+E16+F16+G16+H16+I16+J16+K16='3 pr-4'!C15,'3 pr-4'!C15,FALSE)</f>
        <v>1439</v>
      </c>
    </row>
    <row r="17" spans="1:12" ht="48.75" thickTop="1" thickBot="1" x14ac:dyDescent="0.3">
      <c r="A17" s="101" t="s">
        <v>475</v>
      </c>
      <c r="B17" s="102" t="s">
        <v>557</v>
      </c>
      <c r="C17" s="102">
        <v>0</v>
      </c>
      <c r="D17" s="102">
        <v>0</v>
      </c>
      <c r="E17" s="102">
        <f>SUM('3 pr-3'!CG50)</f>
        <v>0</v>
      </c>
      <c r="F17" s="102">
        <f>SUM('3 pr-3'!CH50)</f>
        <v>0</v>
      </c>
      <c r="G17" s="102">
        <f>SUM('3 pr-3'!CI50)</f>
        <v>210</v>
      </c>
      <c r="H17" s="102">
        <f>SUM('3 pr-3'!CJ50)</f>
        <v>1239</v>
      </c>
      <c r="I17" s="102">
        <f>SUM('3 pr-3'!CK50)</f>
        <v>0</v>
      </c>
      <c r="J17" s="102">
        <f>SUM('3 pr-3'!CL50)</f>
        <v>0</v>
      </c>
      <c r="K17" s="102">
        <f>SUM('3 pr-3'!CM50)</f>
        <v>0</v>
      </c>
      <c r="L17" s="946">
        <f>IF(C17+D17+E17+F17+G17+H17+I17+J17+K17='3 pr-4'!C16,'3 pr-4'!C16,FALSE)</f>
        <v>1449</v>
      </c>
    </row>
    <row r="18" spans="1:12" ht="48.75" thickTop="1" thickBot="1" x14ac:dyDescent="0.3">
      <c r="A18" s="101" t="s">
        <v>545</v>
      </c>
      <c r="B18" s="102" t="s">
        <v>548</v>
      </c>
      <c r="C18" s="102">
        <v>0</v>
      </c>
      <c r="D18" s="102">
        <v>0</v>
      </c>
      <c r="E18" s="102">
        <f>SUM('3 pr-3'!AS173)</f>
        <v>0</v>
      </c>
      <c r="F18" s="102">
        <f>SUM('3 pr-3'!AT173)</f>
        <v>1</v>
      </c>
      <c r="G18" s="102">
        <f>SUM('3 pr-3'!AU173)</f>
        <v>0</v>
      </c>
      <c r="H18" s="102">
        <f>SUM('3 pr-3'!AV173)</f>
        <v>0</v>
      </c>
      <c r="I18" s="102">
        <f>SUM('3 pr-3'!AW173)</f>
        <v>1</v>
      </c>
      <c r="J18" s="102">
        <f>SUM('3 pr-3'!AX173)</f>
        <v>0</v>
      </c>
      <c r="K18" s="102">
        <f>SUM('3 pr-3'!AY173)</f>
        <v>0</v>
      </c>
      <c r="L18" s="946">
        <f>IF(C18+D18+E18+F18+G18+H18+I18+J18+K18='3 pr-4'!C17,'3 pr-4'!C17,FALSE)</f>
        <v>2</v>
      </c>
    </row>
    <row r="19" spans="1:12" ht="33" thickTop="1" thickBot="1" x14ac:dyDescent="0.3">
      <c r="A19" s="101" t="s">
        <v>540</v>
      </c>
      <c r="B19" s="104" t="s">
        <v>558</v>
      </c>
      <c r="C19" s="102">
        <v>0</v>
      </c>
      <c r="D19" s="102">
        <v>0</v>
      </c>
      <c r="E19" s="102">
        <f>SUM('3 pr-3'!BM173)</f>
        <v>0</v>
      </c>
      <c r="F19" s="1311">
        <f>SUM('3 pr-3'!BN173)</f>
        <v>49</v>
      </c>
      <c r="G19" s="102">
        <f>SUM('3 pr-3'!BO173)</f>
        <v>25</v>
      </c>
      <c r="H19" s="102">
        <f>SUM('3 pr-3'!BP173)</f>
        <v>0</v>
      </c>
      <c r="I19" s="102">
        <f>SUM('3 pr-3'!BQ173)</f>
        <v>8</v>
      </c>
      <c r="J19" s="102">
        <f>SUM('3 pr-3'!BR173)</f>
        <v>30</v>
      </c>
      <c r="K19" s="102">
        <f>SUM('3 pr-3'!BS173)</f>
        <v>0</v>
      </c>
      <c r="L19" s="1791">
        <f>IF(C19+D19+E19+F19+G19+H19+I19+J19+K19='3 pr-4'!C18,'3 pr-4'!C18,FALSE)</f>
        <v>112</v>
      </c>
    </row>
    <row r="20" spans="1:12" ht="17.25" thickTop="1" thickBot="1" x14ac:dyDescent="0.3">
      <c r="A20" s="101" t="s">
        <v>541</v>
      </c>
      <c r="B20" s="104" t="s">
        <v>542</v>
      </c>
      <c r="C20" s="102">
        <v>0</v>
      </c>
      <c r="D20" s="102">
        <v>0</v>
      </c>
      <c r="E20" s="102">
        <f>SUM('3 pr-3'!CG173)</f>
        <v>0</v>
      </c>
      <c r="F20" s="102">
        <f>SUM('3 pr-3'!CH173)</f>
        <v>3</v>
      </c>
      <c r="G20" s="102">
        <f>SUM('3 pr-3'!CI173)</f>
        <v>0</v>
      </c>
      <c r="H20" s="102">
        <f>SUM('3 pr-3'!CJ173)</f>
        <v>0</v>
      </c>
      <c r="I20" s="102">
        <f>SUM('3 pr-3'!CK173)</f>
        <v>0</v>
      </c>
      <c r="J20" s="102">
        <f>SUM('3 pr-3'!CL173)</f>
        <v>0</v>
      </c>
      <c r="K20" s="102">
        <f>SUM('3 pr-3'!CM173)</f>
        <v>0</v>
      </c>
      <c r="L20" s="946">
        <f>IF(C20+D20+E20+F20+G20+H20+I20+J20+K20='3 pr-4'!C19,'3 pr-4'!C19,FALSE)</f>
        <v>3</v>
      </c>
    </row>
    <row r="21" spans="1:12" ht="17.25" thickTop="1" thickBot="1" x14ac:dyDescent="0.3">
      <c r="A21" s="101" t="s">
        <v>490</v>
      </c>
      <c r="B21" s="104" t="s">
        <v>559</v>
      </c>
      <c r="C21" s="102">
        <v>0</v>
      </c>
      <c r="D21" s="102">
        <v>0</v>
      </c>
      <c r="E21" s="102">
        <f>SUM('3 pr-3'!Y62)</f>
        <v>0</v>
      </c>
      <c r="F21" s="102">
        <f>SUM('3 pr-3'!Z62)</f>
        <v>1</v>
      </c>
      <c r="G21" s="102">
        <f>SUM('3 pr-3'!AA62)</f>
        <v>4</v>
      </c>
      <c r="H21" s="102">
        <f>SUM('3 pr-3'!AB62)</f>
        <v>0</v>
      </c>
      <c r="I21" s="102">
        <f>SUM('3 pr-3'!AC62)</f>
        <v>0</v>
      </c>
      <c r="J21" s="102">
        <f>SUM('3 pr-3'!AD62)</f>
        <v>0</v>
      </c>
      <c r="K21" s="102">
        <f>SUM('3 pr-3'!AE62)</f>
        <v>0</v>
      </c>
      <c r="L21" s="946">
        <f>IF(C21+D21+E21+F21+G21+H21+I21+J21+K21='3 pr-4'!C20,'3 pr-4'!C20,FALSE)</f>
        <v>5</v>
      </c>
    </row>
    <row r="22" spans="1:12" ht="17.25" thickTop="1" thickBot="1" x14ac:dyDescent="0.3">
      <c r="A22" s="101" t="s">
        <v>806</v>
      </c>
      <c r="B22" s="104" t="s">
        <v>807</v>
      </c>
      <c r="C22" s="102">
        <v>0</v>
      </c>
      <c r="D22" s="102">
        <v>0</v>
      </c>
      <c r="E22" s="102">
        <f>SUM('3 pr-3'!AS79)</f>
        <v>1</v>
      </c>
      <c r="F22" s="102">
        <f>SUM('3 pr-3'!AT79)</f>
        <v>1</v>
      </c>
      <c r="G22" s="102">
        <f>SUM('3 pr-3'!AU79)</f>
        <v>0</v>
      </c>
      <c r="H22" s="102">
        <f>SUM('3 pr-3'!AV79)</f>
        <v>0</v>
      </c>
      <c r="I22" s="102">
        <f>SUM('3 pr-3'!AW79)</f>
        <v>0</v>
      </c>
      <c r="J22" s="102">
        <f>SUM('3 pr-3'!AX79)</f>
        <v>0</v>
      </c>
      <c r="K22" s="102">
        <f>SUM('3 pr-3'!AY79)</f>
        <v>0</v>
      </c>
      <c r="L22" s="946">
        <f>IF(C22+D22+E22+F22+G22+H22+I22+J22+K22='3 pr-4'!C21,'3 pr-4'!C21,FALSE)</f>
        <v>2</v>
      </c>
    </row>
    <row r="23" spans="1:12" ht="17.25" thickTop="1" thickBot="1" x14ac:dyDescent="0.3">
      <c r="A23" s="101" t="s">
        <v>509</v>
      </c>
      <c r="B23" s="104" t="s">
        <v>510</v>
      </c>
      <c r="C23" s="102">
        <v>0</v>
      </c>
      <c r="D23" s="102">
        <v>0</v>
      </c>
      <c r="E23" s="102">
        <f>SUM('3 pr-3'!BM92)</f>
        <v>0</v>
      </c>
      <c r="F23" s="102">
        <f>SUM('3 pr-3'!BN92)</f>
        <v>0.72</v>
      </c>
      <c r="G23" s="102">
        <f>SUM('3 pr-3'!BO92)</f>
        <v>0</v>
      </c>
      <c r="H23" s="102">
        <f>SUM('3 pr-3'!BP92)</f>
        <v>0</v>
      </c>
      <c r="I23" s="102">
        <f>SUM('3 pr-3'!BQ92)</f>
        <v>0</v>
      </c>
      <c r="J23" s="102">
        <f>SUM('3 pr-3'!BR92)</f>
        <v>0</v>
      </c>
      <c r="K23" s="102">
        <f>SUM('3 pr-3'!BS92)</f>
        <v>0</v>
      </c>
      <c r="L23" s="947">
        <f>IF(C23+D23+E23+F23+G23+H23+I23+J23+K23='3 pr-4'!C22,'3 pr-4'!C22,FALSE)</f>
        <v>0.72</v>
      </c>
    </row>
    <row r="24" spans="1:12" ht="48.75" thickTop="1" thickBot="1" x14ac:dyDescent="0.3">
      <c r="A24" s="101" t="s">
        <v>1211</v>
      </c>
      <c r="B24" s="104" t="s">
        <v>1212</v>
      </c>
      <c r="C24" s="102">
        <v>0</v>
      </c>
      <c r="D24" s="102">
        <v>0</v>
      </c>
      <c r="E24" s="102">
        <f>SUM('3 pr-3'!Y141)</f>
        <v>0</v>
      </c>
      <c r="F24" s="102">
        <f>SUM('3 pr-3'!Z141)</f>
        <v>0</v>
      </c>
      <c r="G24" s="102">
        <f>SUM('3 pr-3'!AA141)</f>
        <v>0</v>
      </c>
      <c r="H24" s="102">
        <f>SUM('3 pr-3'!AB141)</f>
        <v>0</v>
      </c>
      <c r="I24" s="102">
        <f>SUM('3 pr-3'!AC141)</f>
        <v>146</v>
      </c>
      <c r="J24" s="102">
        <f>SUM('3 pr-3'!AD141)</f>
        <v>34</v>
      </c>
      <c r="K24" s="102">
        <f>SUM('3 pr-3'!AE141)</f>
        <v>0</v>
      </c>
      <c r="L24" s="946">
        <f>IF(C24+D24+E24+F24+G24+H24+I24+J24+K24='3 pr-4'!C23,'3 pr-4'!C23,FALSE)</f>
        <v>180</v>
      </c>
    </row>
    <row r="25" spans="1:12" ht="26.25" customHeight="1" thickTop="1" thickBot="1" x14ac:dyDescent="0.3">
      <c r="A25" s="101" t="s">
        <v>1199</v>
      </c>
      <c r="B25" s="101" t="s">
        <v>1200</v>
      </c>
      <c r="C25" s="102">
        <v>0</v>
      </c>
      <c r="D25" s="102">
        <v>0</v>
      </c>
      <c r="E25" s="102">
        <f>SUM('3 pr-3'!AS135)</f>
        <v>0</v>
      </c>
      <c r="F25" s="102">
        <f>SUM('3 pr-3'!AT135)</f>
        <v>1</v>
      </c>
      <c r="G25" s="102">
        <f>SUM('3 pr-3'!AU135)</f>
        <v>0</v>
      </c>
      <c r="H25" s="102">
        <f>SUM('3 pr-3'!AV135)</f>
        <v>0</v>
      </c>
      <c r="I25" s="102">
        <f>SUM('3 pr-3'!AW135)</f>
        <v>1</v>
      </c>
      <c r="J25" s="102">
        <f>SUM('3 pr-3'!AX135)</f>
        <v>0</v>
      </c>
      <c r="K25" s="102">
        <f>SUM('3 pr-3'!AY135)</f>
        <v>0</v>
      </c>
      <c r="L25" s="946">
        <f>IF(C25+D25+E25+F25+G25+H25+I25+J25+K25='3 pr-4'!C24,'3 pr-4'!C24,FALSE)</f>
        <v>2</v>
      </c>
    </row>
    <row r="26" spans="1:12" ht="45.75" customHeight="1" thickTop="1" thickBot="1" x14ac:dyDescent="0.3">
      <c r="A26" s="101" t="s">
        <v>517</v>
      </c>
      <c r="B26" s="104" t="s">
        <v>560</v>
      </c>
      <c r="C26" s="102">
        <v>0</v>
      </c>
      <c r="D26" s="102">
        <v>0</v>
      </c>
      <c r="E26" s="102">
        <f>SUM('3 pr-3'!Y114)</f>
        <v>0</v>
      </c>
      <c r="F26" s="102">
        <f>SUM('3 pr-3'!Z114)</f>
        <v>0</v>
      </c>
      <c r="G26" s="102">
        <f>SUM('3 pr-3'!AA114)</f>
        <v>4</v>
      </c>
      <c r="H26" s="102">
        <f>SUM('3 pr-3'!AB114)</f>
        <v>3</v>
      </c>
      <c r="I26" s="102">
        <f>SUM('3 pr-3'!AC114)</f>
        <v>0</v>
      </c>
      <c r="J26" s="102">
        <f>SUM('3 pr-3'!AD114)</f>
        <v>0</v>
      </c>
      <c r="K26" s="102">
        <f>SUM('3 pr-3'!AE114)</f>
        <v>0</v>
      </c>
      <c r="L26" s="946">
        <f>IF(C26+D26+E26+F26+G26+H26+I26+J26+K26='3 pr-4'!C25,'3 pr-4'!C25,FALSE)</f>
        <v>7</v>
      </c>
    </row>
    <row r="27" spans="1:12" ht="33" thickTop="1" thickBot="1" x14ac:dyDescent="0.3">
      <c r="A27" s="101" t="s">
        <v>561</v>
      </c>
      <c r="B27" s="104" t="s">
        <v>562</v>
      </c>
      <c r="C27" s="102">
        <v>0</v>
      </c>
      <c r="D27" s="102">
        <v>0</v>
      </c>
      <c r="E27" s="102">
        <f>SUM('3 pr-3'!Y102)</f>
        <v>0</v>
      </c>
      <c r="F27" s="102">
        <f>SUM('3 pr-3'!Z102)</f>
        <v>0</v>
      </c>
      <c r="G27" s="102">
        <f>SUM('3 pr-3'!AA102)</f>
        <v>8</v>
      </c>
      <c r="H27" s="102">
        <f>SUM('3 pr-3'!AB102)</f>
        <v>0</v>
      </c>
      <c r="I27" s="102">
        <f>SUM('3 pr-3'!AC102)</f>
        <v>0</v>
      </c>
      <c r="J27" s="102">
        <f>SUM('3 pr-3'!AD102)</f>
        <v>0</v>
      </c>
      <c r="K27" s="102">
        <f>SUM('3 pr-3'!AE102)</f>
        <v>0</v>
      </c>
      <c r="L27" s="946">
        <f>IF(C27+D27+E27+F27+G27+H27+I27+J27+K27='3 pr-4'!C26,'3 pr-4'!C26,FALSE)</f>
        <v>8</v>
      </c>
    </row>
    <row r="28" spans="1:12" ht="33" thickTop="1" thickBot="1" x14ac:dyDescent="0.3">
      <c r="A28" s="101" t="s">
        <v>563</v>
      </c>
      <c r="B28" s="104" t="s">
        <v>564</v>
      </c>
      <c r="C28" s="102">
        <v>0</v>
      </c>
      <c r="D28" s="102">
        <v>0</v>
      </c>
      <c r="E28" s="102">
        <f>SUM('3 pr-3'!Y108)</f>
        <v>0</v>
      </c>
      <c r="F28" s="102">
        <f>SUM('3 pr-3'!Z108)</f>
        <v>1</v>
      </c>
      <c r="G28" s="102">
        <f>SUM('3 pr-3'!AA108)</f>
        <v>3</v>
      </c>
      <c r="H28" s="102">
        <f>SUM('3 pr-3'!AB108)</f>
        <v>1</v>
      </c>
      <c r="I28" s="102">
        <f>SUM('3 pr-3'!AC108)</f>
        <v>0</v>
      </c>
      <c r="J28" s="102">
        <f>SUM('3 pr-3'!AD108)</f>
        <v>0</v>
      </c>
      <c r="K28" s="102">
        <f>SUM('3 pr-3'!AE108)</f>
        <v>0</v>
      </c>
      <c r="L28" s="946">
        <f>IF(C28+D28+E28+F28+G28+H28+I28+J28+K28='3 pr-4'!C27,'3 pr-4'!C27,FALSE)</f>
        <v>5</v>
      </c>
    </row>
    <row r="29" spans="1:12" ht="33" thickTop="1" thickBot="1" x14ac:dyDescent="0.3">
      <c r="A29" s="101" t="s">
        <v>598</v>
      </c>
      <c r="B29" s="104" t="s">
        <v>599</v>
      </c>
      <c r="C29" s="102">
        <v>0</v>
      </c>
      <c r="D29" s="102">
        <v>0</v>
      </c>
      <c r="E29" s="102">
        <f>SUM('3 pr-3'!BM114)</f>
        <v>0</v>
      </c>
      <c r="F29" s="102">
        <f>SUM('3 pr-3'!BN114)</f>
        <v>0</v>
      </c>
      <c r="G29" s="102">
        <f>SUM('3 pr-3'!BO114)</f>
        <v>12</v>
      </c>
      <c r="H29" s="102">
        <f>SUM('3 pr-3'!BP114)</f>
        <v>6</v>
      </c>
      <c r="I29" s="102">
        <f>SUM('3 pr-3'!BQ114)</f>
        <v>0</v>
      </c>
      <c r="J29" s="102">
        <f>SUM('3 pr-3'!BR114)</f>
        <v>0</v>
      </c>
      <c r="K29" s="102">
        <f>SUM('3 pr-3'!BS114)</f>
        <v>0</v>
      </c>
      <c r="L29" s="946">
        <f>IF(C29+D29+E29+F29+G29+H29+I29+J29+K29='3 pr-4'!C28,'3 pr-4'!C28,FALSE)</f>
        <v>18</v>
      </c>
    </row>
    <row r="30" spans="1:12" ht="17.25" thickTop="1" thickBot="1" x14ac:dyDescent="0.3">
      <c r="A30" s="101" t="s">
        <v>597</v>
      </c>
      <c r="B30" s="104" t="s">
        <v>489</v>
      </c>
      <c r="C30" s="102">
        <v>0</v>
      </c>
      <c r="D30" s="102">
        <v>0</v>
      </c>
      <c r="E30" s="102">
        <f>SUM('3 pr-3'!Y58)</f>
        <v>0</v>
      </c>
      <c r="F30" s="102">
        <f>SUM('3 pr-3'!Z58)</f>
        <v>294</v>
      </c>
      <c r="G30" s="102">
        <f>SUM('3 pr-3'!AA58)</f>
        <v>301</v>
      </c>
      <c r="H30" s="102">
        <f>SUM('3 pr-3'!AB58)</f>
        <v>0</v>
      </c>
      <c r="I30" s="102">
        <f>SUM('3 pr-3'!AC58)</f>
        <v>38</v>
      </c>
      <c r="J30" s="102">
        <f>SUM('3 pr-3'!AD58)</f>
        <v>0</v>
      </c>
      <c r="K30" s="102">
        <f>SUM('3 pr-3'!AE58)</f>
        <v>0</v>
      </c>
      <c r="L30" s="946">
        <f>IF(C30+D30+E30+F30+G30+H30+I30+J30+K30='3 pr-4'!C29,'3 pr-4'!C29,FALSE)</f>
        <v>633</v>
      </c>
    </row>
    <row r="31" spans="1:12" ht="17.25" thickTop="1" thickBot="1" x14ac:dyDescent="0.3">
      <c r="A31" s="101" t="s">
        <v>533</v>
      </c>
      <c r="B31" s="104" t="s">
        <v>534</v>
      </c>
      <c r="C31" s="102">
        <v>0</v>
      </c>
      <c r="D31" s="102">
        <v>0</v>
      </c>
      <c r="E31" s="102">
        <f>SUM('3 pr-3'!BM161)</f>
        <v>0</v>
      </c>
      <c r="F31" s="102">
        <f>SUM('3 pr-3'!BN161)</f>
        <v>0</v>
      </c>
      <c r="G31" s="102">
        <f>SUM('3 pr-3'!BO161)</f>
        <v>1</v>
      </c>
      <c r="H31" s="102">
        <f>SUM('3 pr-3'!BP161)</f>
        <v>2</v>
      </c>
      <c r="I31" s="102">
        <f>SUM('3 pr-3'!BQ161)</f>
        <v>0</v>
      </c>
      <c r="J31" s="102">
        <f>SUM('3 pr-3'!BR161)</f>
        <v>0</v>
      </c>
      <c r="K31" s="102">
        <f>SUM('3 pr-3'!BS161)</f>
        <v>0</v>
      </c>
      <c r="L31" s="946">
        <f>IF(C31+D31+E31+F31+G31+H31+I31+J31+K31='3 pr-4'!C30,'3 pr-4'!C30,FALSE)</f>
        <v>3</v>
      </c>
    </row>
    <row r="32" spans="1:12" ht="33" thickTop="1" thickBot="1" x14ac:dyDescent="0.3">
      <c r="A32" s="101" t="s">
        <v>500</v>
      </c>
      <c r="B32" s="104" t="s">
        <v>566</v>
      </c>
      <c r="C32" s="102">
        <v>0</v>
      </c>
      <c r="D32" s="102">
        <v>0</v>
      </c>
      <c r="E32" s="102">
        <f>SUM('3 pr-3'!Y86)</f>
        <v>0</v>
      </c>
      <c r="F32" s="102">
        <f>SUM('3 pr-3'!Z86)</f>
        <v>1.75</v>
      </c>
      <c r="G32" s="102">
        <f>SUM('3 pr-3'!AA86)</f>
        <v>1.96</v>
      </c>
      <c r="H32" s="102">
        <f>SUM('3 pr-3'!AB86)</f>
        <v>0</v>
      </c>
      <c r="I32" s="102">
        <f>SUM('3 pr-3'!AC86)</f>
        <v>0</v>
      </c>
      <c r="J32" s="102">
        <f>SUM('3 pr-3'!AD86)</f>
        <v>0</v>
      </c>
      <c r="K32" s="102">
        <f>SUM('3 pr-3'!AE86)</f>
        <v>0</v>
      </c>
      <c r="L32" s="947">
        <f>IF(C32+D32+E32+F32+G32+H32+I32+J32+K32='3 pr-4'!C31,'3 pr-4'!C31,FALSE)</f>
        <v>3.71</v>
      </c>
    </row>
    <row r="33" spans="1:12" ht="33" thickTop="1" thickBot="1" x14ac:dyDescent="0.3">
      <c r="A33" s="101" t="s">
        <v>503</v>
      </c>
      <c r="B33" s="102" t="s">
        <v>567</v>
      </c>
      <c r="C33" s="102">
        <v>0</v>
      </c>
      <c r="D33" s="102">
        <v>0</v>
      </c>
      <c r="E33" s="102">
        <f>SUM('3 pr-3'!AS86)</f>
        <v>0</v>
      </c>
      <c r="F33" s="102">
        <f>SUM('3 pr-3'!AT86)</f>
        <v>0</v>
      </c>
      <c r="G33" s="102">
        <f>SUM('3 pr-3'!AU86)</f>
        <v>0</v>
      </c>
      <c r="H33" s="102">
        <f>SUM('3 pr-3'!AV86)</f>
        <v>0.69</v>
      </c>
      <c r="I33" s="102">
        <f>SUM('3 pr-3'!AW86)</f>
        <v>0</v>
      </c>
      <c r="J33" s="102">
        <f>SUM('3 pr-3'!AX86)</f>
        <v>0</v>
      </c>
      <c r="K33" s="102">
        <f>SUM('3 pr-3'!AY86)</f>
        <v>0</v>
      </c>
      <c r="L33" s="947">
        <f>IF(C33+D33+E33+F33+G33+H33+I33+J33+K33='3 pr-4'!C32,'3 pr-4'!C32,FALSE)</f>
        <v>0.69</v>
      </c>
    </row>
    <row r="34" spans="1:12" ht="21.75" customHeight="1" thickTop="1" thickBot="1" x14ac:dyDescent="0.3">
      <c r="A34" s="101" t="s">
        <v>498</v>
      </c>
      <c r="B34" s="102" t="s">
        <v>568</v>
      </c>
      <c r="C34" s="102">
        <v>0</v>
      </c>
      <c r="D34" s="102">
        <v>0</v>
      </c>
      <c r="E34" s="102">
        <f>SUM('3 pr-3'!Y79)</f>
        <v>0</v>
      </c>
      <c r="F34" s="102">
        <f>SUM('3 pr-3'!Z79)</f>
        <v>0</v>
      </c>
      <c r="G34" s="102">
        <f>SUM('3 pr-3'!AA79)</f>
        <v>1</v>
      </c>
      <c r="H34" s="102">
        <f>SUM('3 pr-3'!AB79)</f>
        <v>1</v>
      </c>
      <c r="I34" s="102">
        <f>SUM('3 pr-3'!AC79)</f>
        <v>3</v>
      </c>
      <c r="J34" s="102">
        <f>SUM('3 pr-3'!AD79)</f>
        <v>0</v>
      </c>
      <c r="K34" s="102">
        <f>SUM('3 pr-3'!AE79)</f>
        <v>0</v>
      </c>
      <c r="L34" s="946">
        <f>IF(C34+D34+E34+F34+G34+H34+I34+J34+K34='3 pr-4'!C33,'3 pr-4'!C33,FALSE)</f>
        <v>5</v>
      </c>
    </row>
    <row r="35" spans="1:12" ht="22.5" customHeight="1" thickTop="1" thickBot="1" x14ac:dyDescent="0.3">
      <c r="A35" s="101" t="s">
        <v>1431</v>
      </c>
      <c r="B35" s="102" t="s">
        <v>1432</v>
      </c>
      <c r="C35" s="102">
        <v>0</v>
      </c>
      <c r="D35" s="102">
        <v>0</v>
      </c>
      <c r="E35" s="102">
        <f>SUM('3 pr-3'!BM79)</f>
        <v>0</v>
      </c>
      <c r="F35" s="102">
        <f>SUM('3 pr-3'!BN79)</f>
        <v>0</v>
      </c>
      <c r="G35" s="102">
        <f>SUM('3 pr-3'!BO79)</f>
        <v>0</v>
      </c>
      <c r="H35" s="102">
        <f>SUM('3 pr-3'!BP79)</f>
        <v>1</v>
      </c>
      <c r="I35" s="102">
        <f>SUM('3 pr-3'!BQ79)</f>
        <v>0</v>
      </c>
      <c r="J35" s="102">
        <f>SUM('3 pr-3'!BR79)</f>
        <v>0</v>
      </c>
      <c r="K35" s="102">
        <f>SUM('3 pr-3'!BS79)</f>
        <v>0</v>
      </c>
      <c r="L35" s="946">
        <f>IF(C35+D35+E35+F35+G35+H35+I35+J35+K35='3 pr-4'!C34,'3 pr-4'!C34,FALSE)</f>
        <v>1</v>
      </c>
    </row>
    <row r="36" spans="1:12" ht="33" thickTop="1" thickBot="1" x14ac:dyDescent="0.3">
      <c r="A36" s="101" t="s">
        <v>495</v>
      </c>
      <c r="B36" s="102" t="s">
        <v>569</v>
      </c>
      <c r="C36" s="102">
        <v>0</v>
      </c>
      <c r="D36" s="102">
        <v>0</v>
      </c>
      <c r="E36" s="102">
        <f>SUM('3 pr-3'!Y74)</f>
        <v>0</v>
      </c>
      <c r="F36" s="102">
        <f>SUM('3 pr-3'!Z74)</f>
        <v>0</v>
      </c>
      <c r="G36" s="102">
        <f>SUM('3 pr-3'!AA74)</f>
        <v>2</v>
      </c>
      <c r="H36" s="102">
        <f>SUM('3 pr-3'!AB74)</f>
        <v>3</v>
      </c>
      <c r="I36" s="102">
        <f>SUM('3 pr-3'!AC74)</f>
        <v>2</v>
      </c>
      <c r="J36" s="102">
        <f>SUM('3 pr-3'!AD74)</f>
        <v>0</v>
      </c>
      <c r="K36" s="102">
        <f>SUM('3 pr-3'!AE74)</f>
        <v>0</v>
      </c>
      <c r="L36" s="946">
        <f>IF(C36+D36+E36+F36+G36+H36+I36+J36+K36='3 pr-4'!C35,'3 pr-4'!C35,FALSE)</f>
        <v>7</v>
      </c>
    </row>
    <row r="37" spans="1:12" ht="48.75" thickTop="1" thickBot="1" x14ac:dyDescent="0.3">
      <c r="A37" s="101" t="s">
        <v>484</v>
      </c>
      <c r="B37" s="102" t="s">
        <v>485</v>
      </c>
      <c r="C37" s="102">
        <v>0</v>
      </c>
      <c r="D37" s="102">
        <v>0</v>
      </c>
      <c r="E37" s="102">
        <f>SUM('3 pr-3'!Y56)</f>
        <v>0</v>
      </c>
      <c r="F37" s="102">
        <f>SUM('3 pr-3'!Z56)</f>
        <v>0</v>
      </c>
      <c r="G37" s="102">
        <f>SUM('3 pr-3'!AA56)</f>
        <v>0</v>
      </c>
      <c r="H37" s="102">
        <f>SUM('3 pr-3'!AB56)</f>
        <v>262.58999999999997</v>
      </c>
      <c r="I37" s="102">
        <f>SUM('3 pr-3'!AC56)</f>
        <v>0</v>
      </c>
      <c r="J37" s="102">
        <f>SUM('3 pr-3'!AD56)</f>
        <v>0</v>
      </c>
      <c r="K37" s="102">
        <f>SUM('3 pr-3'!AE56)</f>
        <v>0</v>
      </c>
      <c r="L37" s="947">
        <f>IF(C37+D37+E37+F37+G37+H37+I37+J37+K37='3 pr-4'!C36,'3 pr-4'!C36,FALSE)</f>
        <v>262.58999999999997</v>
      </c>
    </row>
    <row r="38" spans="1:12" ht="33" thickTop="1" thickBot="1" x14ac:dyDescent="0.3">
      <c r="A38" s="101" t="s">
        <v>536</v>
      </c>
      <c r="B38" s="102" t="s">
        <v>570</v>
      </c>
      <c r="C38" s="102">
        <v>0</v>
      </c>
      <c r="D38" s="103">
        <v>0</v>
      </c>
      <c r="E38" s="103">
        <f>SUM('3 pr-3'!Y170)</f>
        <v>0</v>
      </c>
      <c r="F38" s="103">
        <f>SUM('3 pr-3'!Z170)</f>
        <v>0</v>
      </c>
      <c r="G38" s="316">
        <f>SUM('3 pr-3'!AA170)</f>
        <v>7187.76</v>
      </c>
      <c r="H38" s="103">
        <f>SUM('3 pr-3'!AB170)</f>
        <v>0</v>
      </c>
      <c r="I38" s="103">
        <f>SUM('3 pr-3'!AC170)</f>
        <v>0</v>
      </c>
      <c r="J38" s="103">
        <f>SUM('3 pr-3'!AD170)</f>
        <v>0</v>
      </c>
      <c r="K38" s="103">
        <f>SUM('3 pr-3'!AE170)</f>
        <v>0</v>
      </c>
      <c r="L38" s="947">
        <f>IF(C38+D38+E38+F38+G38+H38+I38+J38+K38='3 pr-4'!C37,'3 pr-4'!C37,FALSE)</f>
        <v>7187.76</v>
      </c>
    </row>
    <row r="39" spans="1:12" ht="33" thickTop="1" thickBot="1" x14ac:dyDescent="0.3">
      <c r="A39" s="101" t="s">
        <v>477</v>
      </c>
      <c r="B39" s="102" t="s">
        <v>571</v>
      </c>
      <c r="C39" s="102">
        <v>0</v>
      </c>
      <c r="D39" s="102">
        <v>0</v>
      </c>
      <c r="E39" s="102">
        <f>SUM('3 pr-3'!DA50)</f>
        <v>0</v>
      </c>
      <c r="F39" s="102">
        <f>SUM('3 pr-3'!DB50)</f>
        <v>0</v>
      </c>
      <c r="G39" s="102">
        <f>SUM('3 pr-3'!DC50)</f>
        <v>0</v>
      </c>
      <c r="H39" s="102">
        <f>SUM('3 pr-3'!DD50)</f>
        <v>19.32</v>
      </c>
      <c r="I39" s="102">
        <f>SUM('3 pr-3'!DE50)</f>
        <v>3.2</v>
      </c>
      <c r="J39" s="102">
        <f>SUM('3 pr-3'!DF50)</f>
        <v>0</v>
      </c>
      <c r="K39" s="102">
        <f>SUM('3 pr-3'!DG50)</f>
        <v>0</v>
      </c>
      <c r="L39" s="947">
        <f>IF(C39+D39+E39+F39+G39+H39+I39+J39+K39='3 pr-4'!C38,'3 pr-4'!C38,FALSE)</f>
        <v>22.52</v>
      </c>
    </row>
    <row r="40" spans="1:12" ht="33" thickTop="1" thickBot="1" x14ac:dyDescent="0.3">
      <c r="A40" s="101" t="s">
        <v>492</v>
      </c>
      <c r="B40" s="102" t="s">
        <v>493</v>
      </c>
      <c r="C40" s="102">
        <v>0</v>
      </c>
      <c r="D40" s="102">
        <v>0</v>
      </c>
      <c r="E40" s="102">
        <f>SUM('3 pr-3'!Y67)</f>
        <v>0</v>
      </c>
      <c r="F40" s="102">
        <f>SUM('3 pr-3'!Z67)</f>
        <v>0</v>
      </c>
      <c r="G40" s="102">
        <f>SUM('3 pr-3'!AA67)</f>
        <v>2</v>
      </c>
      <c r="H40" s="102">
        <f>SUM('3 pr-3'!AB67)</f>
        <v>3</v>
      </c>
      <c r="I40" s="102">
        <f>SUM('3 pr-3'!AC67)</f>
        <v>0</v>
      </c>
      <c r="J40" s="102">
        <f>SUM('3 pr-3'!AD67)</f>
        <v>0</v>
      </c>
      <c r="K40" s="102">
        <f>SUM('3 pr-3'!AE67)</f>
        <v>0</v>
      </c>
      <c r="L40" s="946">
        <f>IF(C40+D40+E40+F40+G40+H40+I40+J40+K40='3 pr-4'!C39,'3 pr-4'!C39,FALSE)</f>
        <v>5</v>
      </c>
    </row>
    <row r="41" spans="1:12" ht="33" thickTop="1" thickBot="1" x14ac:dyDescent="0.3">
      <c r="A41" s="101" t="s">
        <v>543</v>
      </c>
      <c r="B41" s="102" t="s">
        <v>572</v>
      </c>
      <c r="C41" s="102">
        <v>0</v>
      </c>
      <c r="D41" s="102">
        <v>0</v>
      </c>
      <c r="E41" s="102">
        <f>SUM('3 pr-3'!DA173)</f>
        <v>0</v>
      </c>
      <c r="F41" s="102">
        <f>SUM('3 pr-3'!DB173)</f>
        <v>2</v>
      </c>
      <c r="G41" s="102">
        <f>SUM('3 pr-3'!DC173)</f>
        <v>0</v>
      </c>
      <c r="H41" s="102">
        <f>SUM('3 pr-3'!DD173)</f>
        <v>1</v>
      </c>
      <c r="I41" s="102">
        <f>SUM('3 pr-3'!DE173)</f>
        <v>0</v>
      </c>
      <c r="J41" s="102">
        <f>SUM('3 pr-3'!DF173)</f>
        <v>1</v>
      </c>
      <c r="K41" s="102">
        <f>SUM('3 pr-3'!DG173)</f>
        <v>0</v>
      </c>
      <c r="L41" s="946">
        <f>IF(C41+D41+E41+F41+G41+H41+I41+J41+K41='3 pr-4'!C40,'3 pr-4'!C40,FALSE)</f>
        <v>4</v>
      </c>
    </row>
    <row r="42" spans="1:12" ht="33" thickTop="1" thickBot="1" x14ac:dyDescent="0.3">
      <c r="A42" s="504" t="s">
        <v>507</v>
      </c>
      <c r="B42" s="102" t="s">
        <v>508</v>
      </c>
      <c r="C42" s="102">
        <v>0</v>
      </c>
      <c r="D42" s="102">
        <v>0</v>
      </c>
      <c r="E42" s="102">
        <f>SUM('3 pr-3'!AS92)</f>
        <v>0</v>
      </c>
      <c r="F42" s="102">
        <f>SUM('3 pr-3'!AT92)</f>
        <v>0</v>
      </c>
      <c r="G42" s="1311">
        <f>SUM('3 pr-3'!AU92)</f>
        <v>10</v>
      </c>
      <c r="H42" s="102">
        <f>SUM('3 pr-3'!AV92)</f>
        <v>3</v>
      </c>
      <c r="I42" s="102">
        <f>SUM('3 pr-3'!AW92)</f>
        <v>0</v>
      </c>
      <c r="J42" s="102">
        <f>SUM('3 pr-3'!AX92)</f>
        <v>0</v>
      </c>
      <c r="K42" s="102">
        <f>SUM('3 pr-3'!AY92)</f>
        <v>0</v>
      </c>
      <c r="L42" s="1791">
        <f>IF(C42+D42+E42+F42+G42+H42+I42+J42+K42='3 pr-4'!C41,'3 pr-4'!C41,FALSE)</f>
        <v>13</v>
      </c>
    </row>
    <row r="43" spans="1:12" ht="33" thickTop="1" thickBot="1" x14ac:dyDescent="0.3">
      <c r="A43" s="101" t="s">
        <v>524</v>
      </c>
      <c r="B43" s="102" t="s">
        <v>573</v>
      </c>
      <c r="C43" s="102">
        <v>0</v>
      </c>
      <c r="D43" s="102">
        <v>0</v>
      </c>
      <c r="E43" s="102">
        <f>SUM('3 pr-3'!Y148)</f>
        <v>0</v>
      </c>
      <c r="F43" s="102">
        <f>SUM('3 pr-3'!Z148)</f>
        <v>1</v>
      </c>
      <c r="G43" s="102">
        <f>SUM('3 pr-3'!AA148)</f>
        <v>4</v>
      </c>
      <c r="H43" s="102">
        <f>SUM('3 pr-3'!AB148)</f>
        <v>0</v>
      </c>
      <c r="I43" s="102">
        <f>SUM('3 pr-3'!AC148)</f>
        <v>0</v>
      </c>
      <c r="J43" s="102">
        <f>SUM('3 pr-3'!AD148)</f>
        <v>0</v>
      </c>
      <c r="K43" s="102">
        <f>SUM('3 pr-3'!AE148)</f>
        <v>0</v>
      </c>
      <c r="L43" s="946">
        <f>IF(C43+D43+E43+F43+G43+H43+I43+J43+K43='3 pr-4'!C42,'3 pr-4'!C42,FALSE)</f>
        <v>5</v>
      </c>
    </row>
    <row r="44" spans="1:12" ht="17.25" thickTop="1" thickBot="1" x14ac:dyDescent="0.3">
      <c r="A44" s="101" t="s">
        <v>527</v>
      </c>
      <c r="B44" s="102" t="s">
        <v>574</v>
      </c>
      <c r="C44" s="102">
        <v>0</v>
      </c>
      <c r="D44" s="102">
        <v>0</v>
      </c>
      <c r="E44" s="102">
        <f>SUM('3 pr-3'!Y154)</f>
        <v>0</v>
      </c>
      <c r="F44" s="102">
        <f>SUM('3 pr-3'!Z154)</f>
        <v>6</v>
      </c>
      <c r="G44" s="102">
        <f>SUM('3 pr-3'!AA154)</f>
        <v>100</v>
      </c>
      <c r="H44" s="102">
        <f>SUM('3 pr-3'!AB154)</f>
        <v>0</v>
      </c>
      <c r="I44" s="102">
        <f>SUM('3 pr-3'!AC154)</f>
        <v>0</v>
      </c>
      <c r="J44" s="102">
        <f>SUM('3 pr-3'!AD154)</f>
        <v>0</v>
      </c>
      <c r="K44" s="102">
        <f>SUM('3 pr-3'!AE154)</f>
        <v>0</v>
      </c>
      <c r="L44" s="946">
        <f>IF(C44+D44+E44+F44+G44+H44+I44+J44+K44='3 pr-4'!C43,'3 pr-4'!C43,FALSE)</f>
        <v>106</v>
      </c>
    </row>
    <row r="45" spans="1:12" ht="48.75" thickTop="1" thickBot="1" x14ac:dyDescent="0.3">
      <c r="A45" s="101" t="s">
        <v>1458</v>
      </c>
      <c r="B45" s="102" t="s">
        <v>1459</v>
      </c>
      <c r="C45" s="102">
        <v>0</v>
      </c>
      <c r="D45" s="102">
        <v>0</v>
      </c>
      <c r="E45" s="102">
        <f>SUM('3 pr-3'!Y121)</f>
        <v>0</v>
      </c>
      <c r="F45" s="102">
        <f>SUM('3 pr-3'!Z121)</f>
        <v>0</v>
      </c>
      <c r="G45" s="102">
        <f>SUM('3 pr-3'!AA121)</f>
        <v>3</v>
      </c>
      <c r="H45" s="102">
        <f>SUM('3 pr-3'!AB121)</f>
        <v>7</v>
      </c>
      <c r="I45" s="102">
        <f>SUM('3 pr-3'!AC121)</f>
        <v>7</v>
      </c>
      <c r="J45" s="102">
        <f>SUM('3 pr-3'!AD121)</f>
        <v>0</v>
      </c>
      <c r="K45" s="102">
        <f>SUM('3 pr-3'!AE121)</f>
        <v>0</v>
      </c>
      <c r="L45" s="946">
        <f>IF(C45+D45+E45+F45+G45+H45+I45+J45+K45='3 pr-4'!C44,'3 pr-4'!C44,FALSE)</f>
        <v>17</v>
      </c>
    </row>
    <row r="46" spans="1:12" ht="34.5" thickTop="1" thickBot="1" x14ac:dyDescent="0.3">
      <c r="A46" s="101" t="s">
        <v>387</v>
      </c>
      <c r="B46" s="102" t="s">
        <v>600</v>
      </c>
      <c r="C46" s="102">
        <v>0</v>
      </c>
      <c r="D46" s="103">
        <v>0</v>
      </c>
      <c r="E46" s="103">
        <f>SUM('3 pr-3'!Y33)</f>
        <v>0</v>
      </c>
      <c r="F46" s="103">
        <f>SUM('3 pr-3'!Z33)</f>
        <v>0</v>
      </c>
      <c r="G46" s="1326">
        <f>SUM('3 pr-3'!AA33)</f>
        <v>47400</v>
      </c>
      <c r="H46" s="316">
        <f>SUM('3 pr-3'!AB33)</f>
        <v>35784.449999999997</v>
      </c>
      <c r="I46" s="316">
        <f>SUM('3 pr-3'!AC33)</f>
        <v>7440</v>
      </c>
      <c r="J46" s="316">
        <f>SUM('3 pr-3'!AD33)</f>
        <v>0</v>
      </c>
      <c r="K46" s="316">
        <f>SUM('3 pr-3'!AE33)</f>
        <v>0</v>
      </c>
      <c r="L46" s="1792">
        <f>IF(C46+D46+E46+F46+G46+H46+I46+J46+K46='3 pr-4'!C45,'3 pr-4'!C45,FALSE)</f>
        <v>90624.45</v>
      </c>
    </row>
    <row r="47" spans="1:12" ht="48.75" thickTop="1" thickBot="1" x14ac:dyDescent="0.3">
      <c r="A47" s="101" t="s">
        <v>388</v>
      </c>
      <c r="B47" s="102" t="s">
        <v>389</v>
      </c>
      <c r="C47" s="102">
        <v>0</v>
      </c>
      <c r="D47" s="102">
        <v>0</v>
      </c>
      <c r="E47" s="102">
        <f>SUM('3 pr-3'!AS33)</f>
        <v>0</v>
      </c>
      <c r="F47" s="102">
        <f>SUM('3 pr-3'!AT33)</f>
        <v>0</v>
      </c>
      <c r="G47" s="102">
        <f>SUM('3 pr-3'!AU33)</f>
        <v>0</v>
      </c>
      <c r="H47" s="102">
        <f>SUM('3 pr-3'!AV33)</f>
        <v>539.76</v>
      </c>
      <c r="I47" s="102">
        <f>SUM('3 pr-3'!AW33)</f>
        <v>0</v>
      </c>
      <c r="J47" s="102">
        <f>SUM('3 pr-3'!AX33)</f>
        <v>0</v>
      </c>
      <c r="K47" s="102">
        <f>SUM('3 pr-3'!AY33)</f>
        <v>0</v>
      </c>
      <c r="L47" s="946">
        <f>IF(C47+D47+E47+F47+G47+H47+I47+J47+K47='3 pr-4'!C46,'3 pr-4'!C46,FALSE)</f>
        <v>539.76</v>
      </c>
    </row>
    <row r="48" spans="1:12" ht="48.75" thickTop="1" thickBot="1" x14ac:dyDescent="0.3">
      <c r="A48" s="101" t="s">
        <v>1197</v>
      </c>
      <c r="B48" s="102" t="s">
        <v>1198</v>
      </c>
      <c r="C48" s="102">
        <v>0</v>
      </c>
      <c r="D48" s="102">
        <v>0</v>
      </c>
      <c r="E48" s="102">
        <f>SUM('3 pr-3'!Y135)</f>
        <v>0</v>
      </c>
      <c r="F48" s="102">
        <f>SUM('3 pr-3'!Z135)</f>
        <v>2271</v>
      </c>
      <c r="G48" s="102">
        <f>SUM('3 pr-3'!AA135)</f>
        <v>2827</v>
      </c>
      <c r="H48" s="102">
        <f>SUM('3 pr-3'!AB135)</f>
        <v>2829</v>
      </c>
      <c r="I48" s="102">
        <f>SUM('3 pr-3'!AC135)</f>
        <v>1014</v>
      </c>
      <c r="J48" s="102">
        <f>SUM('3 pr-3'!AD135)</f>
        <v>0</v>
      </c>
      <c r="K48" s="102">
        <f>SUM('3 pr-3'!AE135)</f>
        <v>0</v>
      </c>
      <c r="L48" s="1791">
        <f>IF(C48+D48+E48+F48+G48+H48+I48+J48+K48='3 pr-4'!C47,'3 pr-4'!C47,FALSE)</f>
        <v>8941</v>
      </c>
    </row>
    <row r="49" spans="1:12" ht="33" thickTop="1" thickBot="1" x14ac:dyDescent="0.3">
      <c r="A49" s="101" t="s">
        <v>797</v>
      </c>
      <c r="B49" s="102" t="s">
        <v>798</v>
      </c>
      <c r="C49" s="102">
        <v>0</v>
      </c>
      <c r="D49" s="102">
        <v>0</v>
      </c>
      <c r="E49" s="103">
        <f>SUM('3 pr-3'!CG114)</f>
        <v>0</v>
      </c>
      <c r="F49" s="103">
        <f>SUM('3 pr-3'!CH114)</f>
        <v>0</v>
      </c>
      <c r="G49" s="103">
        <f>SUM('3 pr-3'!CI114)</f>
        <v>81</v>
      </c>
      <c r="H49" s="103">
        <f>SUM('3 pr-3'!CJ114)</f>
        <v>60</v>
      </c>
      <c r="I49" s="103">
        <f>SUM('3 pr-3'!CK114)</f>
        <v>0</v>
      </c>
      <c r="J49" s="103">
        <f>SUM('3 pr-3'!CL114)</f>
        <v>0</v>
      </c>
      <c r="K49" s="103">
        <f>SUM('3 pr-3'!CM114)</f>
        <v>0</v>
      </c>
      <c r="L49" s="946">
        <f>IF(C49+D49+E49+F49+G49+H49+I49+J49+K49='3 pr-4'!C48,'3 pr-4'!C48,FALSE)</f>
        <v>141</v>
      </c>
    </row>
    <row r="50" spans="1:12" ht="48.75" thickTop="1" thickBot="1" x14ac:dyDescent="0.3">
      <c r="A50" s="101" t="s">
        <v>529</v>
      </c>
      <c r="B50" s="102" t="s">
        <v>575</v>
      </c>
      <c r="C50" s="102">
        <v>0</v>
      </c>
      <c r="D50" s="102">
        <v>0</v>
      </c>
      <c r="E50" s="102">
        <f>SUM('3 pr-3'!Y161)</f>
        <v>0</v>
      </c>
      <c r="F50" s="102">
        <f>SUM('3 pr-3'!Z161)</f>
        <v>0</v>
      </c>
      <c r="G50" s="102">
        <f>SUM('3 pr-3'!AA161)</f>
        <v>1</v>
      </c>
      <c r="H50" s="102">
        <f>SUM('3 pr-3'!AB161)</f>
        <v>94</v>
      </c>
      <c r="I50" s="102">
        <f>SUM('3 pr-3'!AC161)</f>
        <v>0</v>
      </c>
      <c r="J50" s="102">
        <f>SUM('3 pr-3'!AD161)</f>
        <v>0</v>
      </c>
      <c r="K50" s="102">
        <f>SUM('3 pr-3'!AE161)</f>
        <v>0</v>
      </c>
      <c r="L50" s="946">
        <f>IF(C50+D50+E50+F50+G50+H50+I50+J50+K50='3 pr-4'!C49,'3 pr-4'!C49,FALSE)</f>
        <v>95</v>
      </c>
    </row>
    <row r="51" spans="1:12" ht="64.5" thickTop="1" thickBot="1" x14ac:dyDescent="0.3">
      <c r="A51" s="101" t="s">
        <v>531</v>
      </c>
      <c r="B51" s="102" t="s">
        <v>576</v>
      </c>
      <c r="C51" s="102">
        <v>0</v>
      </c>
      <c r="D51" s="102">
        <v>0</v>
      </c>
      <c r="E51" s="102">
        <f>SUM('3 pr-3'!AS161)</f>
        <v>0</v>
      </c>
      <c r="F51" s="102">
        <f>SUM('3 pr-3'!AT161)</f>
        <v>0</v>
      </c>
      <c r="G51" s="102">
        <f>SUM('3 pr-3'!AU161)</f>
        <v>38</v>
      </c>
      <c r="H51" s="102">
        <f>SUM('3 pr-3'!AV161)</f>
        <v>387</v>
      </c>
      <c r="I51" s="102">
        <f>SUM('3 pr-3'!AW161)</f>
        <v>0</v>
      </c>
      <c r="J51" s="102">
        <f>SUM('3 pr-3'!AX161)</f>
        <v>0</v>
      </c>
      <c r="K51" s="102">
        <f>SUM('3 pr-3'!AY161)</f>
        <v>0</v>
      </c>
      <c r="L51" s="946">
        <f>IF(C51+D51+E51+F51+G51+H51+I51+J51+K51='3 pr-4'!C50,'3 pr-4'!C50,FALSE)</f>
        <v>425</v>
      </c>
    </row>
    <row r="52" spans="1:12" ht="33" thickTop="1" thickBot="1" x14ac:dyDescent="0.3">
      <c r="A52" s="101" t="s">
        <v>538</v>
      </c>
      <c r="B52" s="105" t="s">
        <v>577</v>
      </c>
      <c r="C52" s="102">
        <v>0</v>
      </c>
      <c r="D52" s="102">
        <v>0</v>
      </c>
      <c r="E52" s="102">
        <f>SUM('3 pr-3'!AS162)</f>
        <v>0</v>
      </c>
      <c r="F52" s="982">
        <f>SUM('3 pr-3'!Z173)</f>
        <v>39.1</v>
      </c>
      <c r="G52" s="1793">
        <f>SUM('3 pr-3'!AA173)</f>
        <v>3.9</v>
      </c>
      <c r="H52" s="982">
        <f>SUM('3 pr-3'!AB173)</f>
        <v>0</v>
      </c>
      <c r="I52" s="982">
        <f>SUM('3 pr-3'!AC173)</f>
        <v>0</v>
      </c>
      <c r="J52" s="982">
        <f>SUM('3 pr-3'!AD173)</f>
        <v>2</v>
      </c>
      <c r="K52" s="982">
        <f>SUM('3 pr-3'!AE173)</f>
        <v>0</v>
      </c>
      <c r="L52" s="1792">
        <f>IF(C52+D52+E52+F52+G52+H52+I52+J52+K52='3 pr-4'!C51,'3 pr-4'!C51,FALSE)</f>
        <v>45</v>
      </c>
    </row>
    <row r="53" spans="1:12" ht="15.75" thickTop="1" x14ac:dyDescent="0.25"/>
    <row r="55" spans="1:12" ht="15.75" thickBot="1" x14ac:dyDescent="0.3">
      <c r="A55" s="1992" t="s">
        <v>1399</v>
      </c>
      <c r="B55" s="1795"/>
      <c r="C55" s="1795"/>
      <c r="D55" s="1795"/>
      <c r="E55" s="1795"/>
      <c r="F55" s="1795"/>
      <c r="G55" s="1795"/>
      <c r="H55" s="1795"/>
      <c r="I55" s="1795"/>
      <c r="J55" s="1795"/>
      <c r="K55" s="1795"/>
      <c r="L55" s="1795"/>
    </row>
    <row r="56" spans="1:12" ht="64.5" thickTop="1" thickBot="1" x14ac:dyDescent="0.3">
      <c r="A56" s="943" t="s">
        <v>371</v>
      </c>
      <c r="B56" s="944" t="s">
        <v>549</v>
      </c>
      <c r="C56" s="944">
        <v>2015</v>
      </c>
      <c r="D56" s="944">
        <v>2016</v>
      </c>
      <c r="E56" s="944">
        <v>2017</v>
      </c>
      <c r="F56" s="944">
        <v>2018</v>
      </c>
      <c r="G56" s="944">
        <v>2019</v>
      </c>
      <c r="H56" s="944">
        <v>2020</v>
      </c>
      <c r="I56" s="944">
        <v>2021</v>
      </c>
      <c r="J56" s="944">
        <v>2022</v>
      </c>
      <c r="K56" s="944">
        <v>2023</v>
      </c>
      <c r="L56" s="944" t="s">
        <v>550</v>
      </c>
    </row>
    <row r="57" spans="1:12" ht="48.75" thickTop="1" thickBot="1" x14ac:dyDescent="0.3">
      <c r="A57" s="101" t="s">
        <v>455</v>
      </c>
      <c r="B57" s="102" t="s">
        <v>456</v>
      </c>
      <c r="C57" s="103">
        <f t="shared" ref="C57:C73" si="0">SUM(C4)</f>
        <v>0</v>
      </c>
      <c r="D57" s="103">
        <f t="shared" ref="D57:K66" si="1">SUM(C57+D4)</f>
        <v>0</v>
      </c>
      <c r="E57" s="103">
        <f t="shared" si="1"/>
        <v>0</v>
      </c>
      <c r="F57" s="103">
        <f t="shared" si="1"/>
        <v>31</v>
      </c>
      <c r="G57" s="103">
        <f t="shared" si="1"/>
        <v>36</v>
      </c>
      <c r="H57" s="103">
        <f t="shared" si="1"/>
        <v>36</v>
      </c>
      <c r="I57" s="103">
        <f t="shared" si="1"/>
        <v>36</v>
      </c>
      <c r="J57" s="103">
        <f t="shared" si="1"/>
        <v>36</v>
      </c>
      <c r="K57" s="103">
        <f t="shared" si="1"/>
        <v>36</v>
      </c>
      <c r="L57" s="946">
        <f t="shared" ref="L57:L104" si="2">SUM(L4)</f>
        <v>36</v>
      </c>
    </row>
    <row r="58" spans="1:12" ht="64.5" thickTop="1" thickBot="1" x14ac:dyDescent="0.3">
      <c r="A58" s="101" t="s">
        <v>457</v>
      </c>
      <c r="B58" s="102" t="s">
        <v>458</v>
      </c>
      <c r="C58" s="103">
        <f t="shared" si="0"/>
        <v>0</v>
      </c>
      <c r="D58" s="103">
        <f t="shared" si="1"/>
        <v>0</v>
      </c>
      <c r="E58" s="103">
        <f t="shared" si="1"/>
        <v>0</v>
      </c>
      <c r="F58" s="103">
        <f t="shared" si="1"/>
        <v>6394</v>
      </c>
      <c r="G58" s="103">
        <f t="shared" si="1"/>
        <v>7557</v>
      </c>
      <c r="H58" s="103">
        <f t="shared" si="1"/>
        <v>7557</v>
      </c>
      <c r="I58" s="103">
        <f t="shared" si="1"/>
        <v>7557</v>
      </c>
      <c r="J58" s="103">
        <f t="shared" si="1"/>
        <v>7557</v>
      </c>
      <c r="K58" s="103">
        <f t="shared" si="1"/>
        <v>7557</v>
      </c>
      <c r="L58" s="946">
        <f t="shared" si="2"/>
        <v>7557</v>
      </c>
    </row>
    <row r="59" spans="1:12" ht="48.75" thickTop="1" thickBot="1" x14ac:dyDescent="0.3">
      <c r="A59" s="101" t="s">
        <v>459</v>
      </c>
      <c r="B59" s="102" t="s">
        <v>460</v>
      </c>
      <c r="C59" s="103">
        <f t="shared" si="0"/>
        <v>0</v>
      </c>
      <c r="D59" s="103">
        <f t="shared" si="1"/>
        <v>0</v>
      </c>
      <c r="E59" s="103">
        <f t="shared" si="1"/>
        <v>0</v>
      </c>
      <c r="F59" s="103">
        <f t="shared" si="1"/>
        <v>18</v>
      </c>
      <c r="G59" s="103">
        <f t="shared" si="1"/>
        <v>23</v>
      </c>
      <c r="H59" s="103">
        <f t="shared" si="1"/>
        <v>23</v>
      </c>
      <c r="I59" s="103">
        <f t="shared" si="1"/>
        <v>23</v>
      </c>
      <c r="J59" s="103">
        <f t="shared" si="1"/>
        <v>23</v>
      </c>
      <c r="K59" s="103">
        <f t="shared" si="1"/>
        <v>23</v>
      </c>
      <c r="L59" s="946">
        <f t="shared" si="2"/>
        <v>23</v>
      </c>
    </row>
    <row r="60" spans="1:12" ht="48.75" thickTop="1" thickBot="1" x14ac:dyDescent="0.3">
      <c r="A60" s="101" t="s">
        <v>1402</v>
      </c>
      <c r="B60" s="102" t="s">
        <v>1403</v>
      </c>
      <c r="C60" s="103">
        <f t="shared" si="0"/>
        <v>0</v>
      </c>
      <c r="D60" s="103">
        <f t="shared" si="1"/>
        <v>0</v>
      </c>
      <c r="E60" s="103">
        <f t="shared" si="1"/>
        <v>0</v>
      </c>
      <c r="F60" s="103">
        <f t="shared" si="1"/>
        <v>0</v>
      </c>
      <c r="G60" s="103">
        <f t="shared" si="1"/>
        <v>6000</v>
      </c>
      <c r="H60" s="103">
        <f t="shared" si="1"/>
        <v>9788</v>
      </c>
      <c r="I60" s="103">
        <f t="shared" si="1"/>
        <v>9788</v>
      </c>
      <c r="J60" s="103">
        <f t="shared" si="1"/>
        <v>9788</v>
      </c>
      <c r="K60" s="103">
        <f t="shared" si="1"/>
        <v>9788</v>
      </c>
      <c r="L60" s="946">
        <f t="shared" si="2"/>
        <v>9788</v>
      </c>
    </row>
    <row r="61" spans="1:12" ht="32.25" customHeight="1" thickTop="1" thickBot="1" x14ac:dyDescent="0.3">
      <c r="A61" s="101" t="s">
        <v>505</v>
      </c>
      <c r="B61" s="102" t="s">
        <v>506</v>
      </c>
      <c r="C61" s="316">
        <f t="shared" si="0"/>
        <v>0</v>
      </c>
      <c r="D61" s="316">
        <f t="shared" si="1"/>
        <v>0</v>
      </c>
      <c r="E61" s="316">
        <f t="shared" si="1"/>
        <v>0</v>
      </c>
      <c r="F61" s="316">
        <f t="shared" si="1"/>
        <v>0</v>
      </c>
      <c r="G61" s="316">
        <f t="shared" si="1"/>
        <v>2.59</v>
      </c>
      <c r="H61" s="316">
        <f t="shared" si="1"/>
        <v>3.37</v>
      </c>
      <c r="I61" s="316">
        <f t="shared" si="1"/>
        <v>3.37</v>
      </c>
      <c r="J61" s="316">
        <f t="shared" si="1"/>
        <v>3.37</v>
      </c>
      <c r="K61" s="316">
        <f t="shared" si="1"/>
        <v>3.37</v>
      </c>
      <c r="L61" s="947">
        <f t="shared" si="2"/>
        <v>3.37</v>
      </c>
    </row>
    <row r="62" spans="1:12" ht="33" thickTop="1" thickBot="1" x14ac:dyDescent="0.3">
      <c r="A62" s="101" t="s">
        <v>513</v>
      </c>
      <c r="B62" s="102" t="s">
        <v>514</v>
      </c>
      <c r="C62" s="103">
        <f t="shared" si="0"/>
        <v>0</v>
      </c>
      <c r="D62" s="103">
        <f t="shared" si="1"/>
        <v>0</v>
      </c>
      <c r="E62" s="103">
        <f t="shared" si="1"/>
        <v>0</v>
      </c>
      <c r="F62" s="103">
        <f t="shared" si="1"/>
        <v>380</v>
      </c>
      <c r="G62" s="103">
        <f t="shared" si="1"/>
        <v>5392</v>
      </c>
      <c r="H62" s="103">
        <f t="shared" si="1"/>
        <v>5996</v>
      </c>
      <c r="I62" s="103">
        <f t="shared" si="1"/>
        <v>5996</v>
      </c>
      <c r="J62" s="103">
        <f t="shared" si="1"/>
        <v>5996</v>
      </c>
      <c r="K62" s="103">
        <f t="shared" si="1"/>
        <v>5996</v>
      </c>
      <c r="L62" s="946">
        <f t="shared" si="2"/>
        <v>5996</v>
      </c>
    </row>
    <row r="63" spans="1:12" ht="33" thickTop="1" thickBot="1" x14ac:dyDescent="0.3">
      <c r="A63" s="101" t="s">
        <v>519</v>
      </c>
      <c r="B63" s="102" t="s">
        <v>551</v>
      </c>
      <c r="C63" s="103">
        <f t="shared" si="0"/>
        <v>0</v>
      </c>
      <c r="D63" s="103">
        <f t="shared" si="1"/>
        <v>0</v>
      </c>
      <c r="E63" s="103">
        <f t="shared" si="1"/>
        <v>0</v>
      </c>
      <c r="F63" s="103">
        <f t="shared" si="1"/>
        <v>0</v>
      </c>
      <c r="G63" s="103">
        <f t="shared" si="1"/>
        <v>2458</v>
      </c>
      <c r="H63" s="103">
        <f t="shared" si="1"/>
        <v>24601</v>
      </c>
      <c r="I63" s="103">
        <f t="shared" si="1"/>
        <v>50671</v>
      </c>
      <c r="J63" s="103">
        <f t="shared" si="1"/>
        <v>50671</v>
      </c>
      <c r="K63" s="103">
        <f t="shared" si="1"/>
        <v>50671</v>
      </c>
      <c r="L63" s="946">
        <f t="shared" si="2"/>
        <v>50671</v>
      </c>
    </row>
    <row r="64" spans="1:12" ht="33" thickTop="1" thickBot="1" x14ac:dyDescent="0.3">
      <c r="A64" s="101" t="s">
        <v>466</v>
      </c>
      <c r="B64" s="102" t="s">
        <v>552</v>
      </c>
      <c r="C64" s="103">
        <f t="shared" si="0"/>
        <v>0</v>
      </c>
      <c r="D64" s="103">
        <f t="shared" si="1"/>
        <v>0</v>
      </c>
      <c r="E64" s="103">
        <f t="shared" si="1"/>
        <v>0</v>
      </c>
      <c r="F64" s="103">
        <f t="shared" si="1"/>
        <v>43844.5</v>
      </c>
      <c r="G64" s="103">
        <f t="shared" si="1"/>
        <v>106094.5</v>
      </c>
      <c r="H64" s="103">
        <f t="shared" si="1"/>
        <v>240364.91</v>
      </c>
      <c r="I64" s="103">
        <f t="shared" si="1"/>
        <v>240364.91</v>
      </c>
      <c r="J64" s="103">
        <f t="shared" si="1"/>
        <v>240364.91</v>
      </c>
      <c r="K64" s="103">
        <f t="shared" si="1"/>
        <v>240364.91</v>
      </c>
      <c r="L64" s="946">
        <f t="shared" si="2"/>
        <v>240364.91</v>
      </c>
    </row>
    <row r="65" spans="1:12" ht="33" thickTop="1" thickBot="1" x14ac:dyDescent="0.3">
      <c r="A65" s="101" t="s">
        <v>468</v>
      </c>
      <c r="B65" s="102" t="s">
        <v>469</v>
      </c>
      <c r="C65" s="103">
        <f t="shared" si="0"/>
        <v>0</v>
      </c>
      <c r="D65" s="103">
        <f t="shared" si="1"/>
        <v>0</v>
      </c>
      <c r="E65" s="103">
        <f t="shared" si="1"/>
        <v>0</v>
      </c>
      <c r="F65" s="103">
        <f t="shared" si="1"/>
        <v>690.97</v>
      </c>
      <c r="G65" s="103">
        <f t="shared" si="1"/>
        <v>725.53</v>
      </c>
      <c r="H65" s="103">
        <f t="shared" si="1"/>
        <v>725.53</v>
      </c>
      <c r="I65" s="103">
        <f t="shared" si="1"/>
        <v>725.53</v>
      </c>
      <c r="J65" s="103">
        <f t="shared" si="1"/>
        <v>725.53</v>
      </c>
      <c r="K65" s="103">
        <f t="shared" si="1"/>
        <v>725.53</v>
      </c>
      <c r="L65" s="947">
        <f t="shared" si="2"/>
        <v>725.53</v>
      </c>
    </row>
    <row r="66" spans="1:12" ht="33" thickTop="1" thickBot="1" x14ac:dyDescent="0.3">
      <c r="A66" s="101" t="s">
        <v>486</v>
      </c>
      <c r="B66" s="102" t="s">
        <v>553</v>
      </c>
      <c r="C66" s="103">
        <f t="shared" si="0"/>
        <v>0</v>
      </c>
      <c r="D66" s="103">
        <f t="shared" si="1"/>
        <v>0</v>
      </c>
      <c r="E66" s="103">
        <f t="shared" si="1"/>
        <v>0</v>
      </c>
      <c r="F66" s="103">
        <f t="shared" si="1"/>
        <v>0</v>
      </c>
      <c r="G66" s="103">
        <f t="shared" si="1"/>
        <v>0</v>
      </c>
      <c r="H66" s="103">
        <f t="shared" si="1"/>
        <v>26</v>
      </c>
      <c r="I66" s="103">
        <f t="shared" si="1"/>
        <v>26</v>
      </c>
      <c r="J66" s="103">
        <f t="shared" si="1"/>
        <v>26</v>
      </c>
      <c r="K66" s="103">
        <f t="shared" si="1"/>
        <v>26</v>
      </c>
      <c r="L66" s="946">
        <f t="shared" si="2"/>
        <v>26</v>
      </c>
    </row>
    <row r="67" spans="1:12" ht="48.75" thickTop="1" thickBot="1" x14ac:dyDescent="0.3">
      <c r="A67" s="101" t="s">
        <v>471</v>
      </c>
      <c r="B67" s="102" t="s">
        <v>554</v>
      </c>
      <c r="C67" s="103">
        <f t="shared" si="0"/>
        <v>0</v>
      </c>
      <c r="D67" s="103">
        <f t="shared" ref="D67:K76" si="3">SUM(C67+D14)</f>
        <v>0</v>
      </c>
      <c r="E67" s="103">
        <f t="shared" si="3"/>
        <v>0</v>
      </c>
      <c r="F67" s="103">
        <f t="shared" si="3"/>
        <v>0</v>
      </c>
      <c r="G67" s="103">
        <f t="shared" si="3"/>
        <v>240</v>
      </c>
      <c r="H67" s="103">
        <f t="shared" si="3"/>
        <v>478</v>
      </c>
      <c r="I67" s="103">
        <f t="shared" si="3"/>
        <v>900</v>
      </c>
      <c r="J67" s="103">
        <f t="shared" si="3"/>
        <v>900</v>
      </c>
      <c r="K67" s="103">
        <f t="shared" si="3"/>
        <v>900</v>
      </c>
      <c r="L67" s="946">
        <f t="shared" si="2"/>
        <v>900</v>
      </c>
    </row>
    <row r="68" spans="1:12" ht="48.75" thickTop="1" thickBot="1" x14ac:dyDescent="0.3">
      <c r="A68" s="101" t="s">
        <v>479</v>
      </c>
      <c r="B68" s="102" t="s">
        <v>555</v>
      </c>
      <c r="C68" s="103">
        <f t="shared" si="0"/>
        <v>0</v>
      </c>
      <c r="D68" s="103">
        <f t="shared" si="3"/>
        <v>0</v>
      </c>
      <c r="E68" s="103">
        <f t="shared" si="3"/>
        <v>0</v>
      </c>
      <c r="F68" s="316">
        <f t="shared" si="3"/>
        <v>0</v>
      </c>
      <c r="G68" s="103">
        <f t="shared" si="3"/>
        <v>0</v>
      </c>
      <c r="H68" s="103">
        <f t="shared" si="3"/>
        <v>25450</v>
      </c>
      <c r="I68" s="103">
        <f t="shared" si="3"/>
        <v>41337</v>
      </c>
      <c r="J68" s="103">
        <f t="shared" si="3"/>
        <v>41337</v>
      </c>
      <c r="K68" s="103">
        <f t="shared" si="3"/>
        <v>41337</v>
      </c>
      <c r="L68" s="946">
        <f t="shared" si="2"/>
        <v>41337</v>
      </c>
    </row>
    <row r="69" spans="1:12" ht="33" thickTop="1" thickBot="1" x14ac:dyDescent="0.3">
      <c r="A69" s="101" t="s">
        <v>473</v>
      </c>
      <c r="B69" s="102" t="s">
        <v>556</v>
      </c>
      <c r="C69" s="103">
        <f t="shared" si="0"/>
        <v>0</v>
      </c>
      <c r="D69" s="103">
        <f t="shared" si="3"/>
        <v>0</v>
      </c>
      <c r="E69" s="103">
        <f t="shared" si="3"/>
        <v>0</v>
      </c>
      <c r="F69" s="103">
        <f t="shared" si="3"/>
        <v>0</v>
      </c>
      <c r="G69" s="103">
        <f t="shared" si="3"/>
        <v>210</v>
      </c>
      <c r="H69" s="103">
        <f t="shared" si="3"/>
        <v>1008</v>
      </c>
      <c r="I69" s="103">
        <f t="shared" si="3"/>
        <v>1439</v>
      </c>
      <c r="J69" s="103">
        <f t="shared" si="3"/>
        <v>1439</v>
      </c>
      <c r="K69" s="103">
        <f t="shared" si="3"/>
        <v>1439</v>
      </c>
      <c r="L69" s="946">
        <f t="shared" si="2"/>
        <v>1439</v>
      </c>
    </row>
    <row r="70" spans="1:12" ht="48.75" thickTop="1" thickBot="1" x14ac:dyDescent="0.3">
      <c r="A70" s="101" t="s">
        <v>475</v>
      </c>
      <c r="B70" s="102" t="s">
        <v>557</v>
      </c>
      <c r="C70" s="103">
        <f t="shared" si="0"/>
        <v>0</v>
      </c>
      <c r="D70" s="103">
        <f t="shared" si="3"/>
        <v>0</v>
      </c>
      <c r="E70" s="103">
        <f t="shared" si="3"/>
        <v>0</v>
      </c>
      <c r="F70" s="103">
        <f t="shared" si="3"/>
        <v>0</v>
      </c>
      <c r="G70" s="103">
        <f t="shared" si="3"/>
        <v>210</v>
      </c>
      <c r="H70" s="103">
        <f t="shared" si="3"/>
        <v>1449</v>
      </c>
      <c r="I70" s="103">
        <f t="shared" si="3"/>
        <v>1449</v>
      </c>
      <c r="J70" s="103">
        <f t="shared" si="3"/>
        <v>1449</v>
      </c>
      <c r="K70" s="103">
        <f t="shared" si="3"/>
        <v>1449</v>
      </c>
      <c r="L70" s="946">
        <f t="shared" si="2"/>
        <v>1449</v>
      </c>
    </row>
    <row r="71" spans="1:12" ht="48.75" thickTop="1" thickBot="1" x14ac:dyDescent="0.3">
      <c r="A71" s="101" t="s">
        <v>545</v>
      </c>
      <c r="B71" s="102" t="s">
        <v>548</v>
      </c>
      <c r="C71" s="103">
        <f t="shared" si="0"/>
        <v>0</v>
      </c>
      <c r="D71" s="103">
        <f t="shared" si="3"/>
        <v>0</v>
      </c>
      <c r="E71" s="103">
        <f t="shared" si="3"/>
        <v>0</v>
      </c>
      <c r="F71" s="103">
        <f t="shared" si="3"/>
        <v>1</v>
      </c>
      <c r="G71" s="103">
        <f t="shared" si="3"/>
        <v>1</v>
      </c>
      <c r="H71" s="103">
        <f t="shared" si="3"/>
        <v>1</v>
      </c>
      <c r="I71" s="103">
        <f t="shared" si="3"/>
        <v>2</v>
      </c>
      <c r="J71" s="103">
        <f t="shared" si="3"/>
        <v>2</v>
      </c>
      <c r="K71" s="103">
        <f t="shared" si="3"/>
        <v>2</v>
      </c>
      <c r="L71" s="946">
        <f t="shared" si="2"/>
        <v>2</v>
      </c>
    </row>
    <row r="72" spans="1:12" ht="33" thickTop="1" thickBot="1" x14ac:dyDescent="0.3">
      <c r="A72" s="101" t="s">
        <v>540</v>
      </c>
      <c r="B72" s="104" t="s">
        <v>558</v>
      </c>
      <c r="C72" s="103">
        <f t="shared" si="0"/>
        <v>0</v>
      </c>
      <c r="D72" s="103">
        <f t="shared" si="3"/>
        <v>0</v>
      </c>
      <c r="E72" s="103">
        <f t="shared" si="3"/>
        <v>0</v>
      </c>
      <c r="F72" s="1325">
        <f t="shared" si="3"/>
        <v>49</v>
      </c>
      <c r="G72" s="1325">
        <f t="shared" si="3"/>
        <v>74</v>
      </c>
      <c r="H72" s="1325">
        <f t="shared" si="3"/>
        <v>74</v>
      </c>
      <c r="I72" s="1325">
        <f t="shared" si="3"/>
        <v>82</v>
      </c>
      <c r="J72" s="1325">
        <f t="shared" si="3"/>
        <v>112</v>
      </c>
      <c r="K72" s="1325">
        <f t="shared" si="3"/>
        <v>112</v>
      </c>
      <c r="L72" s="1791">
        <f t="shared" si="2"/>
        <v>112</v>
      </c>
    </row>
    <row r="73" spans="1:12" ht="17.25" thickTop="1" thickBot="1" x14ac:dyDescent="0.3">
      <c r="A73" s="101" t="s">
        <v>541</v>
      </c>
      <c r="B73" s="104" t="s">
        <v>542</v>
      </c>
      <c r="C73" s="103">
        <f t="shared" si="0"/>
        <v>0</v>
      </c>
      <c r="D73" s="103">
        <f t="shared" si="3"/>
        <v>0</v>
      </c>
      <c r="E73" s="103">
        <f t="shared" si="3"/>
        <v>0</v>
      </c>
      <c r="F73" s="103">
        <f t="shared" si="3"/>
        <v>3</v>
      </c>
      <c r="G73" s="103">
        <f t="shared" si="3"/>
        <v>3</v>
      </c>
      <c r="H73" s="103">
        <f t="shared" si="3"/>
        <v>3</v>
      </c>
      <c r="I73" s="103">
        <f t="shared" si="3"/>
        <v>3</v>
      </c>
      <c r="J73" s="103">
        <f t="shared" si="3"/>
        <v>3</v>
      </c>
      <c r="K73" s="103">
        <f t="shared" si="3"/>
        <v>3</v>
      </c>
      <c r="L73" s="946">
        <f t="shared" si="2"/>
        <v>3</v>
      </c>
    </row>
    <row r="74" spans="1:12" ht="17.25" thickTop="1" thickBot="1" x14ac:dyDescent="0.3">
      <c r="A74" s="101" t="s">
        <v>490</v>
      </c>
      <c r="B74" s="104" t="s">
        <v>559</v>
      </c>
      <c r="C74" s="103">
        <f>SUM(C20)</f>
        <v>0</v>
      </c>
      <c r="D74" s="103">
        <f t="shared" si="3"/>
        <v>0</v>
      </c>
      <c r="E74" s="103">
        <f t="shared" si="3"/>
        <v>0</v>
      </c>
      <c r="F74" s="1325">
        <f t="shared" si="3"/>
        <v>1</v>
      </c>
      <c r="G74" s="1325">
        <f t="shared" si="3"/>
        <v>5</v>
      </c>
      <c r="H74" s="103">
        <f t="shared" si="3"/>
        <v>5</v>
      </c>
      <c r="I74" s="103">
        <f t="shared" si="3"/>
        <v>5</v>
      </c>
      <c r="J74" s="103">
        <f t="shared" si="3"/>
        <v>5</v>
      </c>
      <c r="K74" s="103">
        <f t="shared" si="3"/>
        <v>5</v>
      </c>
      <c r="L74" s="946">
        <f t="shared" si="2"/>
        <v>5</v>
      </c>
    </row>
    <row r="75" spans="1:12" ht="17.25" thickTop="1" thickBot="1" x14ac:dyDescent="0.3">
      <c r="A75" s="101" t="s">
        <v>806</v>
      </c>
      <c r="B75" s="104" t="s">
        <v>807</v>
      </c>
      <c r="C75" s="103">
        <f>SUM(C21)</f>
        <v>0</v>
      </c>
      <c r="D75" s="103">
        <f t="shared" si="3"/>
        <v>0</v>
      </c>
      <c r="E75" s="103">
        <f t="shared" si="3"/>
        <v>1</v>
      </c>
      <c r="F75" s="103">
        <f t="shared" si="3"/>
        <v>2</v>
      </c>
      <c r="G75" s="103">
        <f t="shared" si="3"/>
        <v>2</v>
      </c>
      <c r="H75" s="103">
        <f t="shared" si="3"/>
        <v>2</v>
      </c>
      <c r="I75" s="103">
        <f t="shared" si="3"/>
        <v>2</v>
      </c>
      <c r="J75" s="103">
        <f t="shared" si="3"/>
        <v>2</v>
      </c>
      <c r="K75" s="103">
        <f t="shared" si="3"/>
        <v>2</v>
      </c>
      <c r="L75" s="946">
        <f t="shared" si="2"/>
        <v>2</v>
      </c>
    </row>
    <row r="76" spans="1:12" ht="17.25" thickTop="1" thickBot="1" x14ac:dyDescent="0.3">
      <c r="A76" s="101" t="s">
        <v>509</v>
      </c>
      <c r="B76" s="104" t="s">
        <v>510</v>
      </c>
      <c r="C76" s="103">
        <f t="shared" ref="C76:C105" si="4">SUM(C23)</f>
        <v>0</v>
      </c>
      <c r="D76" s="103">
        <f t="shared" si="3"/>
        <v>0</v>
      </c>
      <c r="E76" s="103">
        <f t="shared" si="3"/>
        <v>0</v>
      </c>
      <c r="F76" s="103">
        <f t="shared" si="3"/>
        <v>0.72</v>
      </c>
      <c r="G76" s="103">
        <f t="shared" si="3"/>
        <v>0.72</v>
      </c>
      <c r="H76" s="103">
        <f t="shared" si="3"/>
        <v>0.72</v>
      </c>
      <c r="I76" s="103">
        <f t="shared" si="3"/>
        <v>0.72</v>
      </c>
      <c r="J76" s="103">
        <f t="shared" si="3"/>
        <v>0.72</v>
      </c>
      <c r="K76" s="103">
        <f t="shared" si="3"/>
        <v>0.72</v>
      </c>
      <c r="L76" s="946">
        <f t="shared" si="2"/>
        <v>0.72</v>
      </c>
    </row>
    <row r="77" spans="1:12" ht="48.75" thickTop="1" thickBot="1" x14ac:dyDescent="0.3">
      <c r="A77" s="101" t="s">
        <v>1211</v>
      </c>
      <c r="B77" s="104" t="s">
        <v>1212</v>
      </c>
      <c r="C77" s="103">
        <f t="shared" si="4"/>
        <v>0</v>
      </c>
      <c r="D77" s="103">
        <f t="shared" ref="D77:K86" si="5">SUM(C77+D24)</f>
        <v>0</v>
      </c>
      <c r="E77" s="103">
        <f t="shared" si="5"/>
        <v>0</v>
      </c>
      <c r="F77" s="103">
        <f t="shared" si="5"/>
        <v>0</v>
      </c>
      <c r="G77" s="103">
        <f t="shared" si="5"/>
        <v>0</v>
      </c>
      <c r="H77" s="103">
        <f t="shared" si="5"/>
        <v>0</v>
      </c>
      <c r="I77" s="103">
        <f t="shared" si="5"/>
        <v>146</v>
      </c>
      <c r="J77" s="103">
        <f t="shared" si="5"/>
        <v>180</v>
      </c>
      <c r="K77" s="103">
        <f t="shared" si="5"/>
        <v>180</v>
      </c>
      <c r="L77" s="946">
        <f t="shared" si="2"/>
        <v>180</v>
      </c>
    </row>
    <row r="78" spans="1:12" ht="28.5" customHeight="1" thickTop="1" thickBot="1" x14ac:dyDescent="0.3">
      <c r="A78" s="101" t="str">
        <f>CONCATENATE(A25)</f>
        <v>P.N.671</v>
      </c>
      <c r="B78" s="101" t="str">
        <f>CONCATENATE(B25)</f>
        <v>Modernizuoti savivaldybių visuomenės sveikatos biurai</v>
      </c>
      <c r="C78" s="103">
        <f t="shared" si="4"/>
        <v>0</v>
      </c>
      <c r="D78" s="103">
        <f t="shared" si="5"/>
        <v>0</v>
      </c>
      <c r="E78" s="103">
        <f t="shared" si="5"/>
        <v>0</v>
      </c>
      <c r="F78" s="103">
        <f t="shared" si="5"/>
        <v>1</v>
      </c>
      <c r="G78" s="103">
        <f t="shared" si="5"/>
        <v>1</v>
      </c>
      <c r="H78" s="103">
        <f t="shared" si="5"/>
        <v>1</v>
      </c>
      <c r="I78" s="103">
        <f t="shared" si="5"/>
        <v>2</v>
      </c>
      <c r="J78" s="103">
        <f t="shared" si="5"/>
        <v>2</v>
      </c>
      <c r="K78" s="103">
        <f t="shared" si="5"/>
        <v>2</v>
      </c>
      <c r="L78" s="946">
        <f t="shared" si="2"/>
        <v>2</v>
      </c>
    </row>
    <row r="79" spans="1:12" ht="33" thickTop="1" thickBot="1" x14ac:dyDescent="0.3">
      <c r="A79" s="101" t="s">
        <v>517</v>
      </c>
      <c r="B79" s="104" t="s">
        <v>560</v>
      </c>
      <c r="C79" s="103">
        <f t="shared" si="4"/>
        <v>0</v>
      </c>
      <c r="D79" s="103">
        <f t="shared" si="5"/>
        <v>0</v>
      </c>
      <c r="E79" s="103">
        <f t="shared" si="5"/>
        <v>0</v>
      </c>
      <c r="F79" s="103">
        <f t="shared" si="5"/>
        <v>0</v>
      </c>
      <c r="G79" s="103">
        <f t="shared" si="5"/>
        <v>4</v>
      </c>
      <c r="H79" s="103">
        <f t="shared" si="5"/>
        <v>7</v>
      </c>
      <c r="I79" s="103">
        <f t="shared" si="5"/>
        <v>7</v>
      </c>
      <c r="J79" s="103">
        <f t="shared" si="5"/>
        <v>7</v>
      </c>
      <c r="K79" s="103">
        <f t="shared" si="5"/>
        <v>7</v>
      </c>
      <c r="L79" s="946">
        <f t="shared" si="2"/>
        <v>7</v>
      </c>
    </row>
    <row r="80" spans="1:12" ht="33" thickTop="1" thickBot="1" x14ac:dyDescent="0.3">
      <c r="A80" s="101" t="s">
        <v>561</v>
      </c>
      <c r="B80" s="104" t="s">
        <v>562</v>
      </c>
      <c r="C80" s="103">
        <f t="shared" si="4"/>
        <v>0</v>
      </c>
      <c r="D80" s="103">
        <f t="shared" si="5"/>
        <v>0</v>
      </c>
      <c r="E80" s="103">
        <f t="shared" si="5"/>
        <v>0</v>
      </c>
      <c r="F80" s="103">
        <f t="shared" si="5"/>
        <v>0</v>
      </c>
      <c r="G80" s="103">
        <f t="shared" si="5"/>
        <v>8</v>
      </c>
      <c r="H80" s="103">
        <f t="shared" si="5"/>
        <v>8</v>
      </c>
      <c r="I80" s="103">
        <f t="shared" si="5"/>
        <v>8</v>
      </c>
      <c r="J80" s="103">
        <f t="shared" si="5"/>
        <v>8</v>
      </c>
      <c r="K80" s="103">
        <f t="shared" si="5"/>
        <v>8</v>
      </c>
      <c r="L80" s="946">
        <f t="shared" si="2"/>
        <v>8</v>
      </c>
    </row>
    <row r="81" spans="1:12" ht="33" thickTop="1" thickBot="1" x14ac:dyDescent="0.3">
      <c r="A81" s="101" t="s">
        <v>563</v>
      </c>
      <c r="B81" s="104" t="s">
        <v>564</v>
      </c>
      <c r="C81" s="103">
        <f t="shared" si="4"/>
        <v>0</v>
      </c>
      <c r="D81" s="103">
        <f t="shared" si="5"/>
        <v>0</v>
      </c>
      <c r="E81" s="103">
        <f t="shared" si="5"/>
        <v>0</v>
      </c>
      <c r="F81" s="103">
        <f t="shared" si="5"/>
        <v>1</v>
      </c>
      <c r="G81" s="103">
        <f t="shared" si="5"/>
        <v>4</v>
      </c>
      <c r="H81" s="103">
        <f t="shared" si="5"/>
        <v>5</v>
      </c>
      <c r="I81" s="103">
        <f t="shared" si="5"/>
        <v>5</v>
      </c>
      <c r="J81" s="103">
        <f t="shared" si="5"/>
        <v>5</v>
      </c>
      <c r="K81" s="103">
        <f t="shared" si="5"/>
        <v>5</v>
      </c>
      <c r="L81" s="946">
        <f t="shared" si="2"/>
        <v>5</v>
      </c>
    </row>
    <row r="82" spans="1:12" ht="33" thickTop="1" thickBot="1" x14ac:dyDescent="0.3">
      <c r="A82" s="101" t="s">
        <v>598</v>
      </c>
      <c r="B82" s="104" t="s">
        <v>599</v>
      </c>
      <c r="C82" s="103">
        <f t="shared" si="4"/>
        <v>0</v>
      </c>
      <c r="D82" s="103">
        <f t="shared" si="5"/>
        <v>0</v>
      </c>
      <c r="E82" s="103">
        <f t="shared" si="5"/>
        <v>0</v>
      </c>
      <c r="F82" s="103">
        <f t="shared" si="5"/>
        <v>0</v>
      </c>
      <c r="G82" s="103">
        <f t="shared" si="5"/>
        <v>12</v>
      </c>
      <c r="H82" s="103">
        <f t="shared" si="5"/>
        <v>18</v>
      </c>
      <c r="I82" s="103">
        <f t="shared" si="5"/>
        <v>18</v>
      </c>
      <c r="J82" s="103">
        <f t="shared" si="5"/>
        <v>18</v>
      </c>
      <c r="K82" s="103">
        <f t="shared" si="5"/>
        <v>18</v>
      </c>
      <c r="L82" s="946">
        <f t="shared" si="2"/>
        <v>18</v>
      </c>
    </row>
    <row r="83" spans="1:12" ht="17.25" thickTop="1" thickBot="1" x14ac:dyDescent="0.3">
      <c r="A83" s="101" t="s">
        <v>565</v>
      </c>
      <c r="B83" s="104" t="s">
        <v>489</v>
      </c>
      <c r="C83" s="103">
        <f t="shared" si="4"/>
        <v>0</v>
      </c>
      <c r="D83" s="103">
        <f t="shared" si="5"/>
        <v>0</v>
      </c>
      <c r="E83" s="103">
        <f t="shared" si="5"/>
        <v>0</v>
      </c>
      <c r="F83" s="103">
        <f t="shared" si="5"/>
        <v>294</v>
      </c>
      <c r="G83" s="103">
        <f t="shared" si="5"/>
        <v>595</v>
      </c>
      <c r="H83" s="103">
        <f t="shared" si="5"/>
        <v>595</v>
      </c>
      <c r="I83" s="103">
        <f t="shared" si="5"/>
        <v>633</v>
      </c>
      <c r="J83" s="103">
        <f t="shared" si="5"/>
        <v>633</v>
      </c>
      <c r="K83" s="103">
        <f t="shared" si="5"/>
        <v>633</v>
      </c>
      <c r="L83" s="946">
        <f t="shared" si="2"/>
        <v>633</v>
      </c>
    </row>
    <row r="84" spans="1:12" ht="17.25" thickTop="1" thickBot="1" x14ac:dyDescent="0.3">
      <c r="A84" s="101" t="s">
        <v>533</v>
      </c>
      <c r="B84" s="104" t="s">
        <v>534</v>
      </c>
      <c r="C84" s="103">
        <f t="shared" si="4"/>
        <v>0</v>
      </c>
      <c r="D84" s="103">
        <f t="shared" si="5"/>
        <v>0</v>
      </c>
      <c r="E84" s="103">
        <f t="shared" si="5"/>
        <v>0</v>
      </c>
      <c r="F84" s="103">
        <f t="shared" si="5"/>
        <v>0</v>
      </c>
      <c r="G84" s="103">
        <f t="shared" si="5"/>
        <v>1</v>
      </c>
      <c r="H84" s="103">
        <f t="shared" si="5"/>
        <v>3</v>
      </c>
      <c r="I84" s="103">
        <f t="shared" si="5"/>
        <v>3</v>
      </c>
      <c r="J84" s="103">
        <f t="shared" si="5"/>
        <v>3</v>
      </c>
      <c r="K84" s="103">
        <f t="shared" si="5"/>
        <v>3</v>
      </c>
      <c r="L84" s="946">
        <f t="shared" si="2"/>
        <v>3</v>
      </c>
    </row>
    <row r="85" spans="1:12" ht="33" thickTop="1" thickBot="1" x14ac:dyDescent="0.3">
      <c r="A85" s="101" t="s">
        <v>500</v>
      </c>
      <c r="B85" s="104" t="s">
        <v>566</v>
      </c>
      <c r="C85" s="103">
        <f t="shared" si="4"/>
        <v>0</v>
      </c>
      <c r="D85" s="103">
        <f t="shared" si="5"/>
        <v>0</v>
      </c>
      <c r="E85" s="103">
        <f t="shared" si="5"/>
        <v>0</v>
      </c>
      <c r="F85" s="316">
        <f t="shared" si="5"/>
        <v>1.75</v>
      </c>
      <c r="G85" s="316">
        <f t="shared" si="5"/>
        <v>3.71</v>
      </c>
      <c r="H85" s="316">
        <f t="shared" si="5"/>
        <v>3.71</v>
      </c>
      <c r="I85" s="316">
        <f t="shared" si="5"/>
        <v>3.71</v>
      </c>
      <c r="J85" s="316">
        <f t="shared" si="5"/>
        <v>3.71</v>
      </c>
      <c r="K85" s="316">
        <f t="shared" si="5"/>
        <v>3.71</v>
      </c>
      <c r="L85" s="947">
        <f t="shared" si="2"/>
        <v>3.71</v>
      </c>
    </row>
    <row r="86" spans="1:12" ht="33" thickTop="1" thickBot="1" x14ac:dyDescent="0.3">
      <c r="A86" s="101" t="s">
        <v>503</v>
      </c>
      <c r="B86" s="102" t="s">
        <v>567</v>
      </c>
      <c r="C86" s="103">
        <f t="shared" si="4"/>
        <v>0</v>
      </c>
      <c r="D86" s="103">
        <f t="shared" si="5"/>
        <v>0</v>
      </c>
      <c r="E86" s="103">
        <f t="shared" si="5"/>
        <v>0</v>
      </c>
      <c r="F86" s="316">
        <f t="shared" si="5"/>
        <v>0</v>
      </c>
      <c r="G86" s="316">
        <f t="shared" si="5"/>
        <v>0</v>
      </c>
      <c r="H86" s="316">
        <f t="shared" si="5"/>
        <v>0.69</v>
      </c>
      <c r="I86" s="316">
        <f t="shared" si="5"/>
        <v>0.69</v>
      </c>
      <c r="J86" s="316">
        <f t="shared" si="5"/>
        <v>0.69</v>
      </c>
      <c r="K86" s="316">
        <f t="shared" si="5"/>
        <v>0.69</v>
      </c>
      <c r="L86" s="947">
        <f t="shared" si="2"/>
        <v>0.69</v>
      </c>
    </row>
    <row r="87" spans="1:12" ht="22.5" customHeight="1" thickTop="1" thickBot="1" x14ac:dyDescent="0.3">
      <c r="A87" s="101" t="s">
        <v>498</v>
      </c>
      <c r="B87" s="102" t="s">
        <v>568</v>
      </c>
      <c r="C87" s="103">
        <f t="shared" si="4"/>
        <v>0</v>
      </c>
      <c r="D87" s="103">
        <f t="shared" ref="D87:K96" si="6">SUM(C87+D34)</f>
        <v>0</v>
      </c>
      <c r="E87" s="103">
        <f t="shared" si="6"/>
        <v>0</v>
      </c>
      <c r="F87" s="103">
        <f t="shared" si="6"/>
        <v>0</v>
      </c>
      <c r="G87" s="103">
        <f t="shared" si="6"/>
        <v>1</v>
      </c>
      <c r="H87" s="103">
        <f t="shared" si="6"/>
        <v>2</v>
      </c>
      <c r="I87" s="103">
        <f t="shared" si="6"/>
        <v>5</v>
      </c>
      <c r="J87" s="103">
        <f t="shared" si="6"/>
        <v>5</v>
      </c>
      <c r="K87" s="103">
        <f t="shared" si="6"/>
        <v>5</v>
      </c>
      <c r="L87" s="946">
        <f t="shared" si="2"/>
        <v>5</v>
      </c>
    </row>
    <row r="88" spans="1:12" ht="22.5" customHeight="1" thickTop="1" thickBot="1" x14ac:dyDescent="0.3">
      <c r="A88" s="101" t="s">
        <v>1431</v>
      </c>
      <c r="B88" s="102" t="s">
        <v>1432</v>
      </c>
      <c r="C88" s="103">
        <f t="shared" si="4"/>
        <v>0</v>
      </c>
      <c r="D88" s="103">
        <f t="shared" si="6"/>
        <v>0</v>
      </c>
      <c r="E88" s="103">
        <f t="shared" si="6"/>
        <v>0</v>
      </c>
      <c r="F88" s="103">
        <f t="shared" si="6"/>
        <v>0</v>
      </c>
      <c r="G88" s="103">
        <f t="shared" si="6"/>
        <v>0</v>
      </c>
      <c r="H88" s="103">
        <f t="shared" si="6"/>
        <v>1</v>
      </c>
      <c r="I88" s="103">
        <f t="shared" si="6"/>
        <v>1</v>
      </c>
      <c r="J88" s="103">
        <f t="shared" si="6"/>
        <v>1</v>
      </c>
      <c r="K88" s="103">
        <f t="shared" si="6"/>
        <v>1</v>
      </c>
      <c r="L88" s="946">
        <f t="shared" si="2"/>
        <v>1</v>
      </c>
    </row>
    <row r="89" spans="1:12" ht="33" thickTop="1" thickBot="1" x14ac:dyDescent="0.3">
      <c r="A89" s="101" t="s">
        <v>495</v>
      </c>
      <c r="B89" s="102" t="s">
        <v>569</v>
      </c>
      <c r="C89" s="103">
        <f t="shared" si="4"/>
        <v>0</v>
      </c>
      <c r="D89" s="103">
        <f t="shared" si="6"/>
        <v>0</v>
      </c>
      <c r="E89" s="103">
        <f t="shared" si="6"/>
        <v>0</v>
      </c>
      <c r="F89" s="103">
        <f t="shared" si="6"/>
        <v>0</v>
      </c>
      <c r="G89" s="103">
        <f t="shared" si="6"/>
        <v>2</v>
      </c>
      <c r="H89" s="103">
        <f t="shared" si="6"/>
        <v>5</v>
      </c>
      <c r="I89" s="103">
        <f t="shared" si="6"/>
        <v>7</v>
      </c>
      <c r="J89" s="103">
        <f t="shared" si="6"/>
        <v>7</v>
      </c>
      <c r="K89" s="103">
        <f t="shared" si="6"/>
        <v>7</v>
      </c>
      <c r="L89" s="946">
        <f t="shared" si="2"/>
        <v>7</v>
      </c>
    </row>
    <row r="90" spans="1:12" ht="48.75" thickTop="1" thickBot="1" x14ac:dyDescent="0.3">
      <c r="A90" s="101" t="s">
        <v>484</v>
      </c>
      <c r="B90" s="102" t="s">
        <v>485</v>
      </c>
      <c r="C90" s="103">
        <f t="shared" si="4"/>
        <v>0</v>
      </c>
      <c r="D90" s="103">
        <f t="shared" si="6"/>
        <v>0</v>
      </c>
      <c r="E90" s="103">
        <f t="shared" si="6"/>
        <v>0</v>
      </c>
      <c r="F90" s="103">
        <f t="shared" si="6"/>
        <v>0</v>
      </c>
      <c r="G90" s="103">
        <f t="shared" si="6"/>
        <v>0</v>
      </c>
      <c r="H90" s="316">
        <f t="shared" si="6"/>
        <v>262.58999999999997</v>
      </c>
      <c r="I90" s="316">
        <f t="shared" si="6"/>
        <v>262.58999999999997</v>
      </c>
      <c r="J90" s="316">
        <f t="shared" si="6"/>
        <v>262.58999999999997</v>
      </c>
      <c r="K90" s="316">
        <f t="shared" si="6"/>
        <v>262.58999999999997</v>
      </c>
      <c r="L90" s="947">
        <f t="shared" si="2"/>
        <v>262.58999999999997</v>
      </c>
    </row>
    <row r="91" spans="1:12" ht="33" thickTop="1" thickBot="1" x14ac:dyDescent="0.3">
      <c r="A91" s="101" t="s">
        <v>536</v>
      </c>
      <c r="B91" s="102" t="s">
        <v>570</v>
      </c>
      <c r="C91" s="103">
        <f t="shared" si="4"/>
        <v>0</v>
      </c>
      <c r="D91" s="103">
        <f t="shared" si="6"/>
        <v>0</v>
      </c>
      <c r="E91" s="103">
        <f t="shared" si="6"/>
        <v>0</v>
      </c>
      <c r="F91" s="316">
        <f t="shared" si="6"/>
        <v>0</v>
      </c>
      <c r="G91" s="316">
        <f t="shared" si="6"/>
        <v>7187.76</v>
      </c>
      <c r="H91" s="316">
        <f t="shared" si="6"/>
        <v>7187.76</v>
      </c>
      <c r="I91" s="316">
        <f t="shared" si="6"/>
        <v>7187.76</v>
      </c>
      <c r="J91" s="316">
        <f t="shared" si="6"/>
        <v>7187.76</v>
      </c>
      <c r="K91" s="316">
        <f t="shared" si="6"/>
        <v>7187.76</v>
      </c>
      <c r="L91" s="947">
        <f t="shared" si="2"/>
        <v>7187.76</v>
      </c>
    </row>
    <row r="92" spans="1:12" ht="33" thickTop="1" thickBot="1" x14ac:dyDescent="0.3">
      <c r="A92" s="101" t="s">
        <v>477</v>
      </c>
      <c r="B92" s="102" t="s">
        <v>571</v>
      </c>
      <c r="C92" s="103">
        <f t="shared" si="4"/>
        <v>0</v>
      </c>
      <c r="D92" s="103">
        <f t="shared" si="6"/>
        <v>0</v>
      </c>
      <c r="E92" s="103">
        <f t="shared" si="6"/>
        <v>0</v>
      </c>
      <c r="F92" s="316">
        <f t="shared" si="6"/>
        <v>0</v>
      </c>
      <c r="G92" s="316">
        <f t="shared" si="6"/>
        <v>0</v>
      </c>
      <c r="H92" s="316">
        <f t="shared" si="6"/>
        <v>19.32</v>
      </c>
      <c r="I92" s="316">
        <f t="shared" si="6"/>
        <v>22.52</v>
      </c>
      <c r="J92" s="316">
        <f t="shared" si="6"/>
        <v>22.52</v>
      </c>
      <c r="K92" s="316">
        <f t="shared" si="6"/>
        <v>22.52</v>
      </c>
      <c r="L92" s="947">
        <f t="shared" si="2"/>
        <v>22.52</v>
      </c>
    </row>
    <row r="93" spans="1:12" ht="33" thickTop="1" thickBot="1" x14ac:dyDescent="0.3">
      <c r="A93" s="101" t="s">
        <v>492</v>
      </c>
      <c r="B93" s="102" t="s">
        <v>493</v>
      </c>
      <c r="C93" s="103">
        <f t="shared" si="4"/>
        <v>0</v>
      </c>
      <c r="D93" s="103">
        <f t="shared" si="6"/>
        <v>0</v>
      </c>
      <c r="E93" s="103">
        <f t="shared" si="6"/>
        <v>0</v>
      </c>
      <c r="F93" s="103">
        <f t="shared" si="6"/>
        <v>0</v>
      </c>
      <c r="G93" s="103">
        <f t="shared" si="6"/>
        <v>2</v>
      </c>
      <c r="H93" s="103">
        <f t="shared" si="6"/>
        <v>5</v>
      </c>
      <c r="I93" s="103">
        <f t="shared" si="6"/>
        <v>5</v>
      </c>
      <c r="J93" s="103">
        <f t="shared" si="6"/>
        <v>5</v>
      </c>
      <c r="K93" s="103">
        <f t="shared" si="6"/>
        <v>5</v>
      </c>
      <c r="L93" s="946">
        <f t="shared" si="2"/>
        <v>5</v>
      </c>
    </row>
    <row r="94" spans="1:12" ht="33" thickTop="1" thickBot="1" x14ac:dyDescent="0.3">
      <c r="A94" s="101" t="s">
        <v>543</v>
      </c>
      <c r="B94" s="102" t="s">
        <v>572</v>
      </c>
      <c r="C94" s="103">
        <f t="shared" si="4"/>
        <v>0</v>
      </c>
      <c r="D94" s="103">
        <f t="shared" si="6"/>
        <v>0</v>
      </c>
      <c r="E94" s="103">
        <f t="shared" si="6"/>
        <v>0</v>
      </c>
      <c r="F94" s="103">
        <f t="shared" si="6"/>
        <v>2</v>
      </c>
      <c r="G94" s="103">
        <f t="shared" si="6"/>
        <v>2</v>
      </c>
      <c r="H94" s="103">
        <f t="shared" si="6"/>
        <v>3</v>
      </c>
      <c r="I94" s="103">
        <f t="shared" si="6"/>
        <v>3</v>
      </c>
      <c r="J94" s="103">
        <f t="shared" si="6"/>
        <v>4</v>
      </c>
      <c r="K94" s="103">
        <f t="shared" si="6"/>
        <v>4</v>
      </c>
      <c r="L94" s="946">
        <f t="shared" si="2"/>
        <v>4</v>
      </c>
    </row>
    <row r="95" spans="1:12" ht="33" thickTop="1" thickBot="1" x14ac:dyDescent="0.3">
      <c r="A95" s="504" t="s">
        <v>507</v>
      </c>
      <c r="B95" s="102" t="s">
        <v>508</v>
      </c>
      <c r="C95" s="103">
        <f t="shared" si="4"/>
        <v>0</v>
      </c>
      <c r="D95" s="103">
        <f t="shared" si="6"/>
        <v>0</v>
      </c>
      <c r="E95" s="103">
        <f t="shared" si="6"/>
        <v>0</v>
      </c>
      <c r="F95" s="103">
        <f t="shared" si="6"/>
        <v>0</v>
      </c>
      <c r="G95" s="1325">
        <f t="shared" si="6"/>
        <v>10</v>
      </c>
      <c r="H95" s="1325">
        <f t="shared" si="6"/>
        <v>13</v>
      </c>
      <c r="I95" s="1325">
        <f t="shared" si="6"/>
        <v>13</v>
      </c>
      <c r="J95" s="1325">
        <f t="shared" si="6"/>
        <v>13</v>
      </c>
      <c r="K95" s="1325">
        <f t="shared" si="6"/>
        <v>13</v>
      </c>
      <c r="L95" s="1791">
        <f t="shared" si="2"/>
        <v>13</v>
      </c>
    </row>
    <row r="96" spans="1:12" ht="33" thickTop="1" thickBot="1" x14ac:dyDescent="0.3">
      <c r="A96" s="101" t="s">
        <v>524</v>
      </c>
      <c r="B96" s="102" t="s">
        <v>573</v>
      </c>
      <c r="C96" s="103">
        <f t="shared" si="4"/>
        <v>0</v>
      </c>
      <c r="D96" s="103">
        <f t="shared" si="6"/>
        <v>0</v>
      </c>
      <c r="E96" s="103">
        <f t="shared" si="6"/>
        <v>0</v>
      </c>
      <c r="F96" s="103">
        <f t="shared" si="6"/>
        <v>1</v>
      </c>
      <c r="G96" s="103">
        <f t="shared" si="6"/>
        <v>5</v>
      </c>
      <c r="H96" s="103">
        <f t="shared" si="6"/>
        <v>5</v>
      </c>
      <c r="I96" s="103">
        <f t="shared" si="6"/>
        <v>5</v>
      </c>
      <c r="J96" s="103">
        <f t="shared" si="6"/>
        <v>5</v>
      </c>
      <c r="K96" s="103">
        <f t="shared" si="6"/>
        <v>5</v>
      </c>
      <c r="L96" s="946">
        <f t="shared" si="2"/>
        <v>5</v>
      </c>
    </row>
    <row r="97" spans="1:12" ht="17.25" thickTop="1" thickBot="1" x14ac:dyDescent="0.3">
      <c r="A97" s="101" t="s">
        <v>527</v>
      </c>
      <c r="B97" s="102" t="s">
        <v>574</v>
      </c>
      <c r="C97" s="103">
        <f t="shared" si="4"/>
        <v>0</v>
      </c>
      <c r="D97" s="103">
        <f t="shared" ref="D97:K105" si="7">SUM(C97+D44)</f>
        <v>0</v>
      </c>
      <c r="E97" s="103">
        <f t="shared" si="7"/>
        <v>0</v>
      </c>
      <c r="F97" s="103">
        <f t="shared" si="7"/>
        <v>6</v>
      </c>
      <c r="G97" s="103">
        <f t="shared" si="7"/>
        <v>106</v>
      </c>
      <c r="H97" s="103">
        <f t="shared" si="7"/>
        <v>106</v>
      </c>
      <c r="I97" s="103">
        <f t="shared" si="7"/>
        <v>106</v>
      </c>
      <c r="J97" s="103">
        <f t="shared" si="7"/>
        <v>106</v>
      </c>
      <c r="K97" s="103">
        <f t="shared" si="7"/>
        <v>106</v>
      </c>
      <c r="L97" s="946">
        <f t="shared" si="2"/>
        <v>106</v>
      </c>
    </row>
    <row r="98" spans="1:12" ht="48.75" thickTop="1" thickBot="1" x14ac:dyDescent="0.3">
      <c r="A98" s="101" t="s">
        <v>1458</v>
      </c>
      <c r="B98" s="102" t="s">
        <v>1459</v>
      </c>
      <c r="C98" s="103">
        <f t="shared" si="4"/>
        <v>0</v>
      </c>
      <c r="D98" s="103">
        <f t="shared" si="7"/>
        <v>0</v>
      </c>
      <c r="E98" s="103">
        <f t="shared" si="7"/>
        <v>0</v>
      </c>
      <c r="F98" s="103">
        <f t="shared" si="7"/>
        <v>0</v>
      </c>
      <c r="G98" s="103">
        <f t="shared" si="7"/>
        <v>3</v>
      </c>
      <c r="H98" s="103">
        <f t="shared" si="7"/>
        <v>10</v>
      </c>
      <c r="I98" s="103">
        <f t="shared" si="7"/>
        <v>17</v>
      </c>
      <c r="J98" s="103">
        <f t="shared" si="7"/>
        <v>17</v>
      </c>
      <c r="K98" s="103">
        <f t="shared" si="7"/>
        <v>17</v>
      </c>
      <c r="L98" s="946">
        <f t="shared" si="2"/>
        <v>17</v>
      </c>
    </row>
    <row r="99" spans="1:12" ht="34.5" thickTop="1" thickBot="1" x14ac:dyDescent="0.3">
      <c r="A99" s="101" t="s">
        <v>387</v>
      </c>
      <c r="B99" s="102" t="s">
        <v>600</v>
      </c>
      <c r="C99" s="103">
        <f t="shared" si="4"/>
        <v>0</v>
      </c>
      <c r="D99" s="103">
        <f t="shared" si="7"/>
        <v>0</v>
      </c>
      <c r="E99" s="103">
        <f t="shared" si="7"/>
        <v>0</v>
      </c>
      <c r="F99" s="103">
        <f t="shared" si="7"/>
        <v>0</v>
      </c>
      <c r="G99" s="1326">
        <f t="shared" si="7"/>
        <v>47400</v>
      </c>
      <c r="H99" s="1326">
        <f t="shared" si="7"/>
        <v>83184.45</v>
      </c>
      <c r="I99" s="1326">
        <f t="shared" si="7"/>
        <v>90624.45</v>
      </c>
      <c r="J99" s="1326">
        <f t="shared" si="7"/>
        <v>90624.45</v>
      </c>
      <c r="K99" s="1326">
        <f t="shared" si="7"/>
        <v>90624.45</v>
      </c>
      <c r="L99" s="1792">
        <f t="shared" si="2"/>
        <v>90624.45</v>
      </c>
    </row>
    <row r="100" spans="1:12" ht="48.75" thickTop="1" thickBot="1" x14ac:dyDescent="0.3">
      <c r="A100" s="101" t="s">
        <v>388</v>
      </c>
      <c r="B100" s="102" t="s">
        <v>389</v>
      </c>
      <c r="C100" s="103">
        <f t="shared" si="4"/>
        <v>0</v>
      </c>
      <c r="D100" s="103">
        <f t="shared" si="7"/>
        <v>0</v>
      </c>
      <c r="E100" s="103">
        <f t="shared" si="7"/>
        <v>0</v>
      </c>
      <c r="F100" s="103">
        <f t="shared" si="7"/>
        <v>0</v>
      </c>
      <c r="G100" s="316">
        <f t="shared" si="7"/>
        <v>0</v>
      </c>
      <c r="H100" s="316">
        <f t="shared" si="7"/>
        <v>539.76</v>
      </c>
      <c r="I100" s="316">
        <f t="shared" si="7"/>
        <v>539.76</v>
      </c>
      <c r="J100" s="316">
        <f t="shared" si="7"/>
        <v>539.76</v>
      </c>
      <c r="K100" s="316">
        <f t="shared" si="7"/>
        <v>539.76</v>
      </c>
      <c r="L100" s="947">
        <f t="shared" si="2"/>
        <v>539.76</v>
      </c>
    </row>
    <row r="101" spans="1:12" ht="48.75" thickTop="1" thickBot="1" x14ac:dyDescent="0.3">
      <c r="A101" s="101" t="str">
        <f>CONCATENATE(A48)</f>
        <v>P.S.372</v>
      </c>
      <c r="B101" s="101" t="str">
        <f>CONCATENATE(B48)</f>
        <v>Tikslinių grupių asmenys, kurie dalyvavo informavimo, švietimo ir mokymo renginiuose bei sveikatos raštingumą didinančiose veiklose</v>
      </c>
      <c r="C101" s="103">
        <f t="shared" si="4"/>
        <v>0</v>
      </c>
      <c r="D101" s="103">
        <f t="shared" si="7"/>
        <v>0</v>
      </c>
      <c r="E101" s="103">
        <f t="shared" si="7"/>
        <v>0</v>
      </c>
      <c r="F101" s="1325">
        <f t="shared" si="7"/>
        <v>2271</v>
      </c>
      <c r="G101" s="1325">
        <f t="shared" si="7"/>
        <v>5098</v>
      </c>
      <c r="H101" s="1325">
        <f>SUM(G101+H48)</f>
        <v>7927</v>
      </c>
      <c r="I101" s="1325">
        <f t="shared" si="7"/>
        <v>8941</v>
      </c>
      <c r="J101" s="1325">
        <f t="shared" si="7"/>
        <v>8941</v>
      </c>
      <c r="K101" s="1325">
        <f t="shared" si="7"/>
        <v>8941</v>
      </c>
      <c r="L101" s="1791">
        <f t="shared" si="2"/>
        <v>8941</v>
      </c>
    </row>
    <row r="102" spans="1:12" ht="33" thickTop="1" thickBot="1" x14ac:dyDescent="0.3">
      <c r="A102" s="101" t="s">
        <v>797</v>
      </c>
      <c r="B102" s="102" t="s">
        <v>798</v>
      </c>
      <c r="C102" s="103">
        <f t="shared" si="4"/>
        <v>0</v>
      </c>
      <c r="D102" s="103">
        <f t="shared" si="7"/>
        <v>0</v>
      </c>
      <c r="E102" s="103">
        <f t="shared" si="7"/>
        <v>0</v>
      </c>
      <c r="F102" s="103">
        <f t="shared" si="7"/>
        <v>0</v>
      </c>
      <c r="G102" s="103">
        <f t="shared" si="7"/>
        <v>81</v>
      </c>
      <c r="H102" s="103">
        <f t="shared" si="7"/>
        <v>141</v>
      </c>
      <c r="I102" s="103">
        <f t="shared" si="7"/>
        <v>141</v>
      </c>
      <c r="J102" s="103">
        <f t="shared" si="7"/>
        <v>141</v>
      </c>
      <c r="K102" s="103">
        <f t="shared" si="7"/>
        <v>141</v>
      </c>
      <c r="L102" s="946">
        <f t="shared" si="2"/>
        <v>141</v>
      </c>
    </row>
    <row r="103" spans="1:12" ht="48.75" thickTop="1" thickBot="1" x14ac:dyDescent="0.3">
      <c r="A103" s="101" t="s">
        <v>529</v>
      </c>
      <c r="B103" s="102" t="s">
        <v>575</v>
      </c>
      <c r="C103" s="103">
        <f t="shared" si="4"/>
        <v>0</v>
      </c>
      <c r="D103" s="103">
        <f t="shared" si="7"/>
        <v>0</v>
      </c>
      <c r="E103" s="103">
        <f t="shared" si="7"/>
        <v>0</v>
      </c>
      <c r="F103" s="103">
        <f t="shared" si="7"/>
        <v>0</v>
      </c>
      <c r="G103" s="103">
        <f t="shared" si="7"/>
        <v>1</v>
      </c>
      <c r="H103" s="103">
        <f t="shared" si="7"/>
        <v>95</v>
      </c>
      <c r="I103" s="103">
        <f t="shared" si="7"/>
        <v>95</v>
      </c>
      <c r="J103" s="103">
        <f t="shared" si="7"/>
        <v>95</v>
      </c>
      <c r="K103" s="103">
        <f t="shared" si="7"/>
        <v>95</v>
      </c>
      <c r="L103" s="946">
        <f t="shared" si="2"/>
        <v>95</v>
      </c>
    </row>
    <row r="104" spans="1:12" ht="64.5" thickTop="1" thickBot="1" x14ac:dyDescent="0.3">
      <c r="A104" s="101" t="s">
        <v>531</v>
      </c>
      <c r="B104" s="102" t="s">
        <v>576</v>
      </c>
      <c r="C104" s="103">
        <f t="shared" si="4"/>
        <v>0</v>
      </c>
      <c r="D104" s="103">
        <f t="shared" si="7"/>
        <v>0</v>
      </c>
      <c r="E104" s="103">
        <f t="shared" si="7"/>
        <v>0</v>
      </c>
      <c r="F104" s="103">
        <f t="shared" si="7"/>
        <v>0</v>
      </c>
      <c r="G104" s="103">
        <f t="shared" si="7"/>
        <v>38</v>
      </c>
      <c r="H104" s="103">
        <f t="shared" si="7"/>
        <v>425</v>
      </c>
      <c r="I104" s="103">
        <f t="shared" si="7"/>
        <v>425</v>
      </c>
      <c r="J104" s="103">
        <f t="shared" si="7"/>
        <v>425</v>
      </c>
      <c r="K104" s="103">
        <f t="shared" si="7"/>
        <v>425</v>
      </c>
      <c r="L104" s="946">
        <f t="shared" si="2"/>
        <v>425</v>
      </c>
    </row>
    <row r="105" spans="1:12" ht="33" thickTop="1" thickBot="1" x14ac:dyDescent="0.3">
      <c r="A105" s="101" t="s">
        <v>538</v>
      </c>
      <c r="B105" s="105" t="s">
        <v>577</v>
      </c>
      <c r="C105" s="103">
        <f t="shared" si="4"/>
        <v>0</v>
      </c>
      <c r="D105" s="103">
        <f t="shared" si="7"/>
        <v>0</v>
      </c>
      <c r="E105" s="103">
        <f t="shared" si="7"/>
        <v>0</v>
      </c>
      <c r="F105" s="316">
        <f t="shared" si="7"/>
        <v>39.1</v>
      </c>
      <c r="G105" s="1326">
        <f t="shared" si="7"/>
        <v>43</v>
      </c>
      <c r="H105" s="1326">
        <f t="shared" si="7"/>
        <v>43</v>
      </c>
      <c r="I105" s="1326">
        <f t="shared" si="7"/>
        <v>43</v>
      </c>
      <c r="J105" s="1326">
        <f t="shared" si="7"/>
        <v>45</v>
      </c>
      <c r="K105" s="1326">
        <f t="shared" si="7"/>
        <v>45</v>
      </c>
      <c r="L105" s="1792">
        <f t="shared" ref="L105" si="8">SUM(L52)</f>
        <v>45</v>
      </c>
    </row>
    <row r="106" spans="1:12" ht="15.75" thickTop="1" x14ac:dyDescent="0.25"/>
  </sheetData>
  <mergeCells count="1">
    <mergeCell ref="A55:L55"/>
  </mergeCells>
  <pageMargins left="0.23622047244094491" right="0.23622047244094491" top="0.74803149606299213" bottom="0.74803149606299213" header="0.31496062992125984" footer="0.31496062992125984"/>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showGridLines="0" showRuler="0" zoomScaleNormal="100" workbookViewId="0">
      <selection activeCell="O14" sqref="O14"/>
    </sheetView>
  </sheetViews>
  <sheetFormatPr defaultRowHeight="15" x14ac:dyDescent="0.25"/>
  <cols>
    <col min="1" max="1" width="8.28515625" style="148" customWidth="1"/>
    <col min="2" max="2" width="15.85546875" style="148" customWidth="1"/>
    <col min="3" max="3" width="39" style="148" customWidth="1"/>
    <col min="4" max="4" width="16.28515625" style="148" customWidth="1"/>
    <col min="5" max="5" width="16.42578125" style="148" customWidth="1"/>
    <col min="6" max="6" width="22.5703125" style="148" customWidth="1"/>
    <col min="7" max="7" width="20.28515625" style="148" customWidth="1"/>
    <col min="8" max="8" width="17" style="148" customWidth="1"/>
    <col min="9" max="16384" width="9.140625" style="148"/>
  </cols>
  <sheetData>
    <row r="2" spans="1:8" x14ac:dyDescent="0.25">
      <c r="A2" s="627" t="s">
        <v>1400</v>
      </c>
    </row>
    <row r="3" spans="1:8" x14ac:dyDescent="0.25">
      <c r="A3" s="627"/>
    </row>
    <row r="4" spans="1:8" ht="15.75" x14ac:dyDescent="0.25">
      <c r="A4" s="1196" t="s">
        <v>1639</v>
      </c>
    </row>
    <row r="6" spans="1:8" x14ac:dyDescent="0.25">
      <c r="A6" s="627" t="s">
        <v>1060</v>
      </c>
    </row>
    <row r="7" spans="1:8" ht="15.75" thickBot="1" x14ac:dyDescent="0.3"/>
    <row r="8" spans="1:8" ht="143.25" thickTop="1" thickBot="1" x14ac:dyDescent="0.3">
      <c r="A8" s="1197" t="s">
        <v>1061</v>
      </c>
      <c r="B8" s="1198" t="s">
        <v>750</v>
      </c>
      <c r="C8" s="1198" t="s">
        <v>1062</v>
      </c>
      <c r="D8" s="1198" t="s">
        <v>1063</v>
      </c>
      <c r="E8" s="1198" t="s">
        <v>1064</v>
      </c>
      <c r="F8" s="1198" t="s">
        <v>1065</v>
      </c>
      <c r="G8" s="1198" t="s">
        <v>1066</v>
      </c>
      <c r="H8" s="1198" t="s">
        <v>1067</v>
      </c>
    </row>
    <row r="9" spans="1:8" ht="127.5" thickTop="1" thickBot="1" x14ac:dyDescent="0.3">
      <c r="A9" s="1192" t="s">
        <v>1068</v>
      </c>
      <c r="B9" s="1025" t="s">
        <v>1552</v>
      </c>
      <c r="C9" s="1025" t="s">
        <v>1553</v>
      </c>
      <c r="D9" s="99" t="s">
        <v>1563</v>
      </c>
      <c r="E9" s="99" t="s">
        <v>1069</v>
      </c>
      <c r="F9" s="99" t="s">
        <v>1070</v>
      </c>
      <c r="G9" s="99" t="s">
        <v>1071</v>
      </c>
      <c r="H9" s="99" t="s">
        <v>682</v>
      </c>
    </row>
    <row r="10" spans="1:8" ht="16.5" thickTop="1" x14ac:dyDescent="0.25">
      <c r="A10" s="1973" t="s">
        <v>1072</v>
      </c>
      <c r="B10" s="1993" t="s">
        <v>884</v>
      </c>
      <c r="C10" s="1993" t="s">
        <v>1073</v>
      </c>
      <c r="D10" s="1973" t="s">
        <v>1568</v>
      </c>
      <c r="E10" s="1973" t="s">
        <v>1074</v>
      </c>
      <c r="F10" s="1199" t="s">
        <v>1075</v>
      </c>
      <c r="G10" s="1973" t="s">
        <v>75</v>
      </c>
      <c r="H10" s="1973" t="s">
        <v>1078</v>
      </c>
    </row>
    <row r="11" spans="1:8" ht="78.75" x14ac:dyDescent="0.25">
      <c r="A11" s="1978"/>
      <c r="B11" s="1994"/>
      <c r="C11" s="1994"/>
      <c r="D11" s="1978"/>
      <c r="E11" s="1978"/>
      <c r="F11" s="354" t="s">
        <v>1076</v>
      </c>
      <c r="G11" s="1978"/>
      <c r="H11" s="1978"/>
    </row>
    <row r="12" spans="1:8" ht="15.75" x14ac:dyDescent="0.25">
      <c r="A12" s="1978"/>
      <c r="B12" s="1994"/>
      <c r="C12" s="1994"/>
      <c r="D12" s="1978"/>
      <c r="E12" s="1978"/>
      <c r="F12" s="354"/>
      <c r="G12" s="1978"/>
      <c r="H12" s="1978"/>
    </row>
    <row r="13" spans="1:8" ht="63" x14ac:dyDescent="0.25">
      <c r="A13" s="1978"/>
      <c r="B13" s="1994"/>
      <c r="C13" s="1994"/>
      <c r="D13" s="1978"/>
      <c r="E13" s="1978"/>
      <c r="F13" s="1199" t="s">
        <v>1640</v>
      </c>
      <c r="G13" s="1978"/>
      <c r="H13" s="1978"/>
    </row>
    <row r="14" spans="1:8" ht="79.5" thickBot="1" x14ac:dyDescent="0.3">
      <c r="A14" s="1979"/>
      <c r="B14" s="1995"/>
      <c r="C14" s="1995"/>
      <c r="D14" s="1979"/>
      <c r="E14" s="1979"/>
      <c r="F14" s="99" t="s">
        <v>1077</v>
      </c>
      <c r="G14" s="1979"/>
      <c r="H14" s="1979"/>
    </row>
    <row r="15" spans="1:8" ht="72.75" customHeight="1" thickTop="1" x14ac:dyDescent="0.25">
      <c r="A15" s="1973">
        <v>3</v>
      </c>
      <c r="B15" s="1993" t="s">
        <v>886</v>
      </c>
      <c r="C15" s="1993" t="s">
        <v>1079</v>
      </c>
      <c r="D15" s="1973" t="s">
        <v>1563</v>
      </c>
      <c r="E15" s="1973" t="s">
        <v>1080</v>
      </c>
      <c r="F15" s="1199" t="s">
        <v>1075</v>
      </c>
      <c r="G15" s="1973" t="s">
        <v>75</v>
      </c>
      <c r="H15" s="1973" t="s">
        <v>1083</v>
      </c>
    </row>
    <row r="16" spans="1:8" ht="63" x14ac:dyDescent="0.25">
      <c r="A16" s="1978"/>
      <c r="B16" s="1994"/>
      <c r="C16" s="1994"/>
      <c r="D16" s="1978"/>
      <c r="E16" s="1978"/>
      <c r="F16" s="354" t="s">
        <v>1081</v>
      </c>
      <c r="G16" s="1978"/>
      <c r="H16" s="1978"/>
    </row>
    <row r="17" spans="1:8" ht="31.5" x14ac:dyDescent="0.25">
      <c r="A17" s="1978"/>
      <c r="B17" s="1994"/>
      <c r="C17" s="1994"/>
      <c r="D17" s="1978"/>
      <c r="E17" s="1978"/>
      <c r="F17" s="354" t="s">
        <v>1082</v>
      </c>
      <c r="G17" s="1978"/>
      <c r="H17" s="1978"/>
    </row>
    <row r="18" spans="1:8" ht="15.75" x14ac:dyDescent="0.25">
      <c r="A18" s="1978"/>
      <c r="B18" s="1994"/>
      <c r="C18" s="1994"/>
      <c r="D18" s="1978"/>
      <c r="E18" s="1978"/>
      <c r="F18" s="354"/>
      <c r="G18" s="1978"/>
      <c r="H18" s="1978"/>
    </row>
    <row r="19" spans="1:8" ht="63" x14ac:dyDescent="0.25">
      <c r="A19" s="1978"/>
      <c r="B19" s="1994"/>
      <c r="C19" s="1994"/>
      <c r="D19" s="1978"/>
      <c r="E19" s="1978"/>
      <c r="F19" s="1199" t="s">
        <v>1640</v>
      </c>
      <c r="G19" s="1978"/>
      <c r="H19" s="1978"/>
    </row>
    <row r="20" spans="1:8" ht="79.5" thickBot="1" x14ac:dyDescent="0.3">
      <c r="A20" s="1979"/>
      <c r="B20" s="1995"/>
      <c r="C20" s="1995"/>
      <c r="D20" s="1979"/>
      <c r="E20" s="1979"/>
      <c r="F20" s="99" t="s">
        <v>1077</v>
      </c>
      <c r="G20" s="1979"/>
      <c r="H20" s="1979"/>
    </row>
    <row r="21" spans="1:8" ht="127.5" thickTop="1" thickBot="1" x14ac:dyDescent="0.3">
      <c r="A21" s="1192" t="s">
        <v>859</v>
      </c>
      <c r="B21" s="1025" t="s">
        <v>890</v>
      </c>
      <c r="C21" s="1025" t="s">
        <v>1084</v>
      </c>
      <c r="D21" s="99" t="s">
        <v>1567</v>
      </c>
      <c r="E21" s="99" t="s">
        <v>1085</v>
      </c>
      <c r="F21" s="99" t="s">
        <v>1070</v>
      </c>
      <c r="G21" s="99" t="s">
        <v>1071</v>
      </c>
      <c r="H21" s="99" t="s">
        <v>682</v>
      </c>
    </row>
    <row r="22" spans="1:8" ht="64.5" thickTop="1" thickBot="1" x14ac:dyDescent="0.3">
      <c r="A22" s="1192" t="s">
        <v>1086</v>
      </c>
      <c r="B22" s="1025" t="s">
        <v>1087</v>
      </c>
      <c r="C22" s="1025" t="s">
        <v>1088</v>
      </c>
      <c r="D22" s="99"/>
      <c r="E22" s="99" t="s">
        <v>1089</v>
      </c>
      <c r="F22" s="99" t="s">
        <v>1090</v>
      </c>
      <c r="G22" s="99" t="s">
        <v>1071</v>
      </c>
      <c r="H22" s="99" t="s">
        <v>682</v>
      </c>
    </row>
    <row r="23" spans="1:8" ht="15.75" thickTop="1" x14ac:dyDescent="0.25"/>
    <row r="25" spans="1:8" x14ac:dyDescent="0.25">
      <c r="A25" s="627" t="s">
        <v>1091</v>
      </c>
    </row>
    <row r="26" spans="1:8" ht="16.5" thickBot="1" x14ac:dyDescent="0.3">
      <c r="A26" s="1200"/>
    </row>
    <row r="27" spans="1:8" ht="143.25" thickTop="1" thickBot="1" x14ac:dyDescent="0.3">
      <c r="A27" s="1197" t="s">
        <v>1061</v>
      </c>
      <c r="B27" s="1198" t="s">
        <v>750</v>
      </c>
      <c r="C27" s="1198" t="s">
        <v>1062</v>
      </c>
      <c r="D27" s="1198" t="s">
        <v>1063</v>
      </c>
      <c r="E27" s="1198" t="s">
        <v>1064</v>
      </c>
      <c r="F27" s="1198" t="s">
        <v>1065</v>
      </c>
      <c r="G27" s="1198" t="s">
        <v>1066</v>
      </c>
      <c r="H27" s="1198" t="s">
        <v>1067</v>
      </c>
    </row>
    <row r="28" spans="1:8" ht="111.75" thickTop="1" thickBot="1" x14ac:dyDescent="0.3">
      <c r="A28" s="1192" t="s">
        <v>1068</v>
      </c>
      <c r="B28" s="1025" t="s">
        <v>873</v>
      </c>
      <c r="C28" s="1025" t="s">
        <v>1092</v>
      </c>
      <c r="D28" s="99" t="s">
        <v>1093</v>
      </c>
      <c r="E28" s="99" t="s">
        <v>1094</v>
      </c>
      <c r="F28" s="99" t="s">
        <v>1095</v>
      </c>
      <c r="G28" s="99" t="s">
        <v>1071</v>
      </c>
      <c r="H28" s="99" t="s">
        <v>682</v>
      </c>
    </row>
    <row r="29" spans="1:8" ht="16.5" thickTop="1" x14ac:dyDescent="0.25">
      <c r="A29" s="1973" t="s">
        <v>1072</v>
      </c>
      <c r="B29" s="1993" t="s">
        <v>895</v>
      </c>
      <c r="C29" s="1993" t="s">
        <v>1096</v>
      </c>
      <c r="D29" s="1973" t="s">
        <v>1563</v>
      </c>
      <c r="E29" s="1973" t="s">
        <v>1097</v>
      </c>
      <c r="F29" s="1199" t="s">
        <v>1098</v>
      </c>
      <c r="G29" s="1973" t="s">
        <v>97</v>
      </c>
      <c r="H29" s="1973" t="s">
        <v>682</v>
      </c>
    </row>
    <row r="30" spans="1:8" ht="189" x14ac:dyDescent="0.25">
      <c r="A30" s="1978"/>
      <c r="B30" s="1994"/>
      <c r="C30" s="1994"/>
      <c r="D30" s="1978"/>
      <c r="E30" s="1978"/>
      <c r="F30" s="354" t="s">
        <v>1099</v>
      </c>
      <c r="G30" s="1978"/>
      <c r="H30" s="1978"/>
    </row>
    <row r="31" spans="1:8" ht="94.5" x14ac:dyDescent="0.25">
      <c r="A31" s="1978"/>
      <c r="B31" s="1994"/>
      <c r="C31" s="1994"/>
      <c r="D31" s="1978"/>
      <c r="E31" s="1978"/>
      <c r="F31" s="354" t="s">
        <v>1100</v>
      </c>
      <c r="G31" s="1978"/>
      <c r="H31" s="1978"/>
    </row>
    <row r="32" spans="1:8" ht="15.75" x14ac:dyDescent="0.25">
      <c r="A32" s="1978"/>
      <c r="B32" s="1994"/>
      <c r="C32" s="1994"/>
      <c r="D32" s="1978"/>
      <c r="E32" s="1978"/>
      <c r="F32" s="354"/>
      <c r="G32" s="1978"/>
      <c r="H32" s="1978"/>
    </row>
    <row r="33" spans="1:8" ht="15.75" x14ac:dyDescent="0.25">
      <c r="A33" s="1978"/>
      <c r="B33" s="1994"/>
      <c r="C33" s="1994"/>
      <c r="D33" s="1978"/>
      <c r="E33" s="1978"/>
      <c r="F33" s="1199" t="s">
        <v>1101</v>
      </c>
      <c r="G33" s="1978"/>
      <c r="H33" s="1978"/>
    </row>
    <row r="34" spans="1:8" ht="47.25" x14ac:dyDescent="0.25">
      <c r="A34" s="1978"/>
      <c r="B34" s="1994"/>
      <c r="C34" s="1994"/>
      <c r="D34" s="1978"/>
      <c r="E34" s="1978"/>
      <c r="F34" s="354" t="s">
        <v>1102</v>
      </c>
      <c r="G34" s="1978"/>
      <c r="H34" s="1978"/>
    </row>
    <row r="35" spans="1:8" ht="79.5" thickBot="1" x14ac:dyDescent="0.3">
      <c r="A35" s="1979"/>
      <c r="B35" s="1995"/>
      <c r="C35" s="1995"/>
      <c r="D35" s="1979"/>
      <c r="E35" s="1979"/>
      <c r="F35" s="99" t="s">
        <v>1077</v>
      </c>
      <c r="G35" s="1979"/>
      <c r="H35" s="1979"/>
    </row>
    <row r="36" spans="1:8" ht="16.5" thickTop="1" x14ac:dyDescent="0.25">
      <c r="A36" s="1973" t="s">
        <v>1103</v>
      </c>
      <c r="B36" s="1993" t="s">
        <v>897</v>
      </c>
      <c r="C36" s="1993" t="s">
        <v>1104</v>
      </c>
      <c r="D36" s="1973" t="s">
        <v>1563</v>
      </c>
      <c r="E36" s="1973" t="s">
        <v>1097</v>
      </c>
      <c r="F36" s="1199" t="s">
        <v>1098</v>
      </c>
      <c r="G36" s="1973" t="s">
        <v>97</v>
      </c>
      <c r="H36" s="1973" t="s">
        <v>682</v>
      </c>
    </row>
    <row r="37" spans="1:8" ht="126" x14ac:dyDescent="0.25">
      <c r="A37" s="1978"/>
      <c r="B37" s="1994"/>
      <c r="C37" s="1994"/>
      <c r="D37" s="1978"/>
      <c r="E37" s="1978"/>
      <c r="F37" s="354" t="s">
        <v>1105</v>
      </c>
      <c r="G37" s="1978"/>
      <c r="H37" s="1978"/>
    </row>
    <row r="38" spans="1:8" ht="94.5" x14ac:dyDescent="0.25">
      <c r="A38" s="1978"/>
      <c r="B38" s="1994"/>
      <c r="C38" s="1994"/>
      <c r="D38" s="1978"/>
      <c r="E38" s="1978"/>
      <c r="F38" s="354" t="s">
        <v>1100</v>
      </c>
      <c r="G38" s="1978"/>
      <c r="H38" s="1978"/>
    </row>
    <row r="39" spans="1:8" ht="15.75" x14ac:dyDescent="0.25">
      <c r="A39" s="1978"/>
      <c r="B39" s="1994"/>
      <c r="C39" s="1994"/>
      <c r="D39" s="1978"/>
      <c r="E39" s="1978"/>
      <c r="F39" s="354"/>
      <c r="G39" s="1978"/>
      <c r="H39" s="1978"/>
    </row>
    <row r="40" spans="1:8" ht="15.75" x14ac:dyDescent="0.25">
      <c r="A40" s="1978"/>
      <c r="B40" s="1994"/>
      <c r="C40" s="1994"/>
      <c r="D40" s="1978"/>
      <c r="E40" s="1978"/>
      <c r="F40" s="1199" t="s">
        <v>1101</v>
      </c>
      <c r="G40" s="1978"/>
      <c r="H40" s="1978"/>
    </row>
    <row r="41" spans="1:8" ht="47.25" x14ac:dyDescent="0.25">
      <c r="A41" s="1978"/>
      <c r="B41" s="1994"/>
      <c r="C41" s="1994"/>
      <c r="D41" s="1978"/>
      <c r="E41" s="1978"/>
      <c r="F41" s="354" t="s">
        <v>1102</v>
      </c>
      <c r="G41" s="1978"/>
      <c r="H41" s="1978"/>
    </row>
    <row r="42" spans="1:8" ht="79.5" thickBot="1" x14ac:dyDescent="0.3">
      <c r="A42" s="1979"/>
      <c r="B42" s="1995"/>
      <c r="C42" s="1995"/>
      <c r="D42" s="1979"/>
      <c r="E42" s="1979"/>
      <c r="F42" s="99" t="s">
        <v>1077</v>
      </c>
      <c r="G42" s="1979"/>
      <c r="H42" s="1979"/>
    </row>
    <row r="43" spans="1:8" ht="16.5" thickTop="1" x14ac:dyDescent="0.25">
      <c r="A43" s="1973" t="s">
        <v>859</v>
      </c>
      <c r="B43" s="1993" t="s">
        <v>899</v>
      </c>
      <c r="C43" s="1993" t="s">
        <v>1106</v>
      </c>
      <c r="D43" s="1973" t="s">
        <v>1563</v>
      </c>
      <c r="E43" s="1973" t="s">
        <v>1097</v>
      </c>
      <c r="F43" s="1199" t="s">
        <v>1098</v>
      </c>
      <c r="G43" s="1973" t="s">
        <v>97</v>
      </c>
      <c r="H43" s="1973" t="s">
        <v>682</v>
      </c>
    </row>
    <row r="44" spans="1:8" ht="126" x14ac:dyDescent="0.25">
      <c r="A44" s="1978"/>
      <c r="B44" s="1994"/>
      <c r="C44" s="1994"/>
      <c r="D44" s="1978"/>
      <c r="E44" s="1978"/>
      <c r="F44" s="354" t="s">
        <v>1105</v>
      </c>
      <c r="G44" s="1978"/>
      <c r="H44" s="1978"/>
    </row>
    <row r="45" spans="1:8" ht="94.5" x14ac:dyDescent="0.25">
      <c r="A45" s="1978"/>
      <c r="B45" s="1994"/>
      <c r="C45" s="1994"/>
      <c r="D45" s="1978"/>
      <c r="E45" s="1978"/>
      <c r="F45" s="354" t="s">
        <v>1100</v>
      </c>
      <c r="G45" s="1978"/>
      <c r="H45" s="1978"/>
    </row>
    <row r="46" spans="1:8" ht="15.75" x14ac:dyDescent="0.25">
      <c r="A46" s="1978"/>
      <c r="B46" s="1994"/>
      <c r="C46" s="1994"/>
      <c r="D46" s="1978"/>
      <c r="E46" s="1978"/>
      <c r="F46" s="354"/>
      <c r="G46" s="1978"/>
      <c r="H46" s="1978"/>
    </row>
    <row r="47" spans="1:8" ht="15.75" x14ac:dyDescent="0.25">
      <c r="A47" s="1978"/>
      <c r="B47" s="1994"/>
      <c r="C47" s="1994"/>
      <c r="D47" s="1978"/>
      <c r="E47" s="1978"/>
      <c r="F47" s="1199" t="s">
        <v>1101</v>
      </c>
      <c r="G47" s="1978"/>
      <c r="H47" s="1978"/>
    </row>
    <row r="48" spans="1:8" ht="47.25" x14ac:dyDescent="0.25">
      <c r="A48" s="1978"/>
      <c r="B48" s="1994"/>
      <c r="C48" s="1994"/>
      <c r="D48" s="1978"/>
      <c r="E48" s="1978"/>
      <c r="F48" s="354" t="s">
        <v>1102</v>
      </c>
      <c r="G48" s="1978"/>
      <c r="H48" s="1978"/>
    </row>
    <row r="49" spans="1:8" ht="79.5" thickBot="1" x14ac:dyDescent="0.3">
      <c r="A49" s="1978"/>
      <c r="B49" s="1994"/>
      <c r="C49" s="1994"/>
      <c r="D49" s="1978"/>
      <c r="E49" s="1978"/>
      <c r="F49" s="354" t="s">
        <v>1077</v>
      </c>
      <c r="G49" s="1978"/>
      <c r="H49" s="1978"/>
    </row>
    <row r="50" spans="1:8" ht="363" thickBot="1" x14ac:dyDescent="0.3">
      <c r="A50" s="631" t="s">
        <v>1086</v>
      </c>
      <c r="B50" s="1026" t="s">
        <v>902</v>
      </c>
      <c r="C50" s="1023" t="s">
        <v>1546</v>
      </c>
      <c r="D50" s="633" t="s">
        <v>1566</v>
      </c>
      <c r="E50" s="633"/>
      <c r="F50" s="632" t="s">
        <v>1641</v>
      </c>
      <c r="G50" s="633"/>
      <c r="H50" s="1024"/>
    </row>
    <row r="51" spans="1:8" ht="347.25" thickBot="1" x14ac:dyDescent="0.3">
      <c r="A51" s="631" t="s">
        <v>1109</v>
      </c>
      <c r="B51" s="1022" t="s">
        <v>904</v>
      </c>
      <c r="C51" s="633" t="s">
        <v>1555</v>
      </c>
      <c r="D51" s="633"/>
      <c r="E51" s="633"/>
      <c r="F51" s="632" t="s">
        <v>1554</v>
      </c>
      <c r="G51" s="633" t="s">
        <v>1107</v>
      </c>
      <c r="H51" s="1024" t="s">
        <v>1108</v>
      </c>
    </row>
    <row r="52" spans="1:8" ht="110.25" x14ac:dyDescent="0.25">
      <c r="A52" s="1978" t="s">
        <v>1110</v>
      </c>
      <c r="B52" s="1994" t="s">
        <v>1156</v>
      </c>
      <c r="C52" s="1994" t="s">
        <v>1564</v>
      </c>
      <c r="D52" s="1978" t="s">
        <v>1565</v>
      </c>
      <c r="E52" s="1978" t="s">
        <v>1111</v>
      </c>
      <c r="F52" s="630" t="s">
        <v>1642</v>
      </c>
      <c r="G52" s="1978" t="s">
        <v>1111</v>
      </c>
      <c r="H52" s="1978" t="s">
        <v>1108</v>
      </c>
    </row>
    <row r="53" spans="1:8" ht="15.75" x14ac:dyDescent="0.25">
      <c r="A53" s="1978"/>
      <c r="B53" s="1994"/>
      <c r="C53" s="1994"/>
      <c r="D53" s="1978"/>
      <c r="E53" s="1978"/>
      <c r="F53" s="354"/>
      <c r="G53" s="1978"/>
      <c r="H53" s="1978"/>
    </row>
    <row r="54" spans="1:8" ht="48" thickBot="1" x14ac:dyDescent="0.3">
      <c r="A54" s="1979"/>
      <c r="B54" s="1995"/>
      <c r="C54" s="1995"/>
      <c r="D54" s="1979"/>
      <c r="E54" s="1979"/>
      <c r="F54" s="629" t="s">
        <v>1643</v>
      </c>
      <c r="G54" s="1979"/>
      <c r="H54" s="1979"/>
    </row>
    <row r="55" spans="1:8" ht="221.25" thickTop="1" x14ac:dyDescent="0.25">
      <c r="A55" s="1973" t="s">
        <v>1112</v>
      </c>
      <c r="B55" s="1993" t="s">
        <v>1053</v>
      </c>
      <c r="C55" s="1993" t="s">
        <v>1113</v>
      </c>
      <c r="D55" s="1973" t="s">
        <v>1563</v>
      </c>
      <c r="E55" s="1973" t="s">
        <v>1114</v>
      </c>
      <c r="F55" s="1199" t="s">
        <v>1644</v>
      </c>
      <c r="G55" s="1973" t="s">
        <v>1071</v>
      </c>
      <c r="H55" s="1973" t="s">
        <v>1108</v>
      </c>
    </row>
    <row r="56" spans="1:8" ht="15.75" x14ac:dyDescent="0.25">
      <c r="A56" s="1978"/>
      <c r="B56" s="1994"/>
      <c r="C56" s="1994"/>
      <c r="D56" s="1978"/>
      <c r="E56" s="1978"/>
      <c r="F56" s="1201"/>
      <c r="G56" s="1978"/>
      <c r="H56" s="1978"/>
    </row>
    <row r="57" spans="1:8" ht="15.75" x14ac:dyDescent="0.25">
      <c r="A57" s="1978"/>
      <c r="B57" s="1994"/>
      <c r="C57" s="1994"/>
      <c r="D57" s="1978"/>
      <c r="E57" s="1978"/>
      <c r="F57" s="1199" t="s">
        <v>1645</v>
      </c>
      <c r="G57" s="1978"/>
      <c r="H57" s="1978"/>
    </row>
    <row r="58" spans="1:8" ht="47.25" x14ac:dyDescent="0.25">
      <c r="A58" s="1978"/>
      <c r="B58" s="1994"/>
      <c r="C58" s="1994"/>
      <c r="D58" s="1978"/>
      <c r="E58" s="1978"/>
      <c r="F58" s="354" t="s">
        <v>1102</v>
      </c>
      <c r="G58" s="1978"/>
      <c r="H58" s="1978"/>
    </row>
    <row r="59" spans="1:8" ht="79.5" thickBot="1" x14ac:dyDescent="0.3">
      <c r="A59" s="1979"/>
      <c r="B59" s="1995"/>
      <c r="C59" s="1995"/>
      <c r="D59" s="1979"/>
      <c r="E59" s="1979"/>
      <c r="F59" s="99" t="s">
        <v>1077</v>
      </c>
      <c r="G59" s="1979"/>
      <c r="H59" s="1979"/>
    </row>
    <row r="60" spans="1:8" ht="16.5" thickTop="1" x14ac:dyDescent="0.25">
      <c r="A60" s="1202"/>
      <c r="B60" s="358"/>
      <c r="C60" s="1202"/>
      <c r="D60" s="1202"/>
      <c r="E60" s="1202"/>
      <c r="F60" s="1202"/>
      <c r="G60" s="1202"/>
      <c r="H60" s="1202"/>
    </row>
    <row r="61" spans="1:8" ht="15.75" x14ac:dyDescent="0.25">
      <c r="A61" s="1202"/>
      <c r="B61" s="358"/>
      <c r="C61" s="1202"/>
      <c r="D61" s="1202"/>
      <c r="E61" s="1202"/>
      <c r="F61" s="1202"/>
      <c r="G61" s="1202"/>
      <c r="H61" s="1202"/>
    </row>
    <row r="62" spans="1:8" ht="15.75" x14ac:dyDescent="0.25">
      <c r="A62" s="1202"/>
      <c r="B62" s="358"/>
      <c r="C62" s="1202"/>
      <c r="D62" s="1202"/>
      <c r="E62" s="1202"/>
      <c r="F62" s="1202"/>
      <c r="G62" s="1202"/>
      <c r="H62" s="1202"/>
    </row>
    <row r="63" spans="1:8" ht="15.75" x14ac:dyDescent="0.25">
      <c r="A63" s="1202"/>
      <c r="B63" s="358"/>
      <c r="C63" s="1202"/>
      <c r="D63" s="1202"/>
      <c r="E63" s="1202"/>
      <c r="F63" s="1202"/>
      <c r="G63" s="1202"/>
      <c r="H63" s="1202"/>
    </row>
    <row r="64" spans="1:8" ht="15.75" x14ac:dyDescent="0.25">
      <c r="A64" s="1202"/>
      <c r="B64" s="358"/>
      <c r="C64" s="1202"/>
      <c r="D64" s="1202"/>
      <c r="E64" s="1202"/>
      <c r="F64" s="1202"/>
      <c r="G64" s="1202"/>
      <c r="H64" s="1202"/>
    </row>
    <row r="65" spans="1:8" ht="15.75" x14ac:dyDescent="0.25">
      <c r="A65" s="1202"/>
      <c r="B65" s="358"/>
      <c r="C65" s="1202"/>
      <c r="D65" s="1202"/>
      <c r="E65" s="1202"/>
      <c r="F65" s="1202"/>
      <c r="G65" s="1202"/>
      <c r="H65" s="1202"/>
    </row>
    <row r="68" spans="1:8" ht="15.75" x14ac:dyDescent="0.25">
      <c r="A68" s="502" t="s">
        <v>1115</v>
      </c>
    </row>
    <row r="69" spans="1:8" ht="15.75" thickBot="1" x14ac:dyDescent="0.3"/>
    <row r="70" spans="1:8" ht="143.25" thickTop="1" thickBot="1" x14ac:dyDescent="0.3">
      <c r="A70" s="1197" t="s">
        <v>1061</v>
      </c>
      <c r="B70" s="1198" t="s">
        <v>750</v>
      </c>
      <c r="C70" s="1198" t="s">
        <v>1062</v>
      </c>
      <c r="D70" s="1198" t="s">
        <v>1063</v>
      </c>
      <c r="E70" s="1198" t="s">
        <v>1064</v>
      </c>
      <c r="F70" s="1198" t="s">
        <v>1065</v>
      </c>
      <c r="G70" s="1198" t="s">
        <v>1066</v>
      </c>
      <c r="H70" s="1198" t="s">
        <v>1067</v>
      </c>
    </row>
    <row r="71" spans="1:8" ht="80.25" thickTop="1" thickBot="1" x14ac:dyDescent="0.3">
      <c r="A71" s="1192" t="s">
        <v>1068</v>
      </c>
      <c r="B71" s="1025" t="s">
        <v>1559</v>
      </c>
      <c r="C71" s="1025" t="s">
        <v>1557</v>
      </c>
      <c r="D71" s="354" t="s">
        <v>1563</v>
      </c>
      <c r="E71" s="99" t="s">
        <v>1560</v>
      </c>
      <c r="F71" s="99" t="s">
        <v>1556</v>
      </c>
      <c r="G71" s="99" t="s">
        <v>1071</v>
      </c>
      <c r="H71" s="99" t="s">
        <v>682</v>
      </c>
    </row>
    <row r="72" spans="1:8" ht="115.5" customHeight="1" thickTop="1" thickBot="1" x14ac:dyDescent="0.3">
      <c r="A72" s="1189">
        <v>2</v>
      </c>
      <c r="B72" s="1203" t="s">
        <v>919</v>
      </c>
      <c r="C72" s="1204"/>
      <c r="D72" s="1034" t="s">
        <v>1562</v>
      </c>
      <c r="E72" s="354" t="s">
        <v>1116</v>
      </c>
      <c r="F72" s="354" t="s">
        <v>1561</v>
      </c>
      <c r="G72" s="354" t="s">
        <v>1071</v>
      </c>
      <c r="H72" s="354" t="s">
        <v>682</v>
      </c>
    </row>
    <row r="73" spans="1:8" ht="268.5" thickBot="1" x14ac:dyDescent="0.3">
      <c r="A73" s="631" t="s">
        <v>1103</v>
      </c>
      <c r="B73" s="1026" t="s">
        <v>922</v>
      </c>
      <c r="C73" s="1023" t="s">
        <v>1558</v>
      </c>
      <c r="D73" s="99" t="s">
        <v>1563</v>
      </c>
      <c r="E73" s="633" t="s">
        <v>1116</v>
      </c>
      <c r="F73" s="632" t="s">
        <v>1646</v>
      </c>
      <c r="G73" s="633" t="s">
        <v>1071</v>
      </c>
      <c r="H73" s="1024" t="s">
        <v>682</v>
      </c>
    </row>
  </sheetData>
  <mergeCells count="49">
    <mergeCell ref="A52:A54"/>
    <mergeCell ref="B52:B54"/>
    <mergeCell ref="A55:A59"/>
    <mergeCell ref="B55:B59"/>
    <mergeCell ref="C55:C59"/>
    <mergeCell ref="C52:C54"/>
    <mergeCell ref="H43:H49"/>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D52:D54"/>
    <mergeCell ref="E52:E54"/>
    <mergeCell ref="G52:G54"/>
    <mergeCell ref="H52:H54"/>
    <mergeCell ref="D55:D59"/>
    <mergeCell ref="E55:E59"/>
    <mergeCell ref="G55:G59"/>
    <mergeCell ref="H55:H59"/>
  </mergeCells>
  <hyperlinks>
    <hyperlink ref="F28" r:id="rId1" display="http://www.llri.lt/"/>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Ruler="0" zoomScaleNormal="100" workbookViewId="0">
      <selection activeCell="C18" sqref="C18"/>
    </sheetView>
  </sheetViews>
  <sheetFormatPr defaultRowHeight="15" x14ac:dyDescent="0.25"/>
  <cols>
    <col min="1" max="1" width="19.42578125" style="148" customWidth="1"/>
    <col min="2" max="2" width="16.85546875" style="148" customWidth="1"/>
    <col min="3" max="3" width="11" style="148" customWidth="1"/>
    <col min="4" max="4" width="11.7109375" style="148" customWidth="1"/>
    <col min="5" max="6" width="12.42578125" style="148" customWidth="1"/>
    <col min="7" max="7" width="12.140625" style="148" customWidth="1"/>
    <col min="8" max="8" width="15.140625" style="148" customWidth="1"/>
    <col min="9" max="9" width="12.140625" style="148" customWidth="1"/>
    <col min="10" max="10" width="14.7109375" style="148" customWidth="1"/>
    <col min="11" max="16384" width="9.140625" style="148"/>
  </cols>
  <sheetData>
    <row r="1" spans="1:10" ht="15.75" x14ac:dyDescent="0.25">
      <c r="A1" s="1196" t="s">
        <v>1647</v>
      </c>
    </row>
    <row r="3" spans="1:10" x14ac:dyDescent="0.25">
      <c r="A3" s="627" t="s">
        <v>1117</v>
      </c>
    </row>
    <row r="4" spans="1:10" ht="15.75" thickBot="1" x14ac:dyDescent="0.3"/>
    <row r="5" spans="1:10" ht="17.25" thickTop="1" thickBot="1" x14ac:dyDescent="0.3">
      <c r="A5" s="1971" t="s">
        <v>1118</v>
      </c>
      <c r="B5" s="1971" t="s">
        <v>1119</v>
      </c>
      <c r="C5" s="1996" t="s">
        <v>1120</v>
      </c>
      <c r="D5" s="1997"/>
      <c r="E5" s="1997"/>
      <c r="F5" s="1997"/>
      <c r="G5" s="1997"/>
      <c r="H5" s="1997"/>
      <c r="I5" s="1998"/>
      <c r="J5" s="1971" t="s">
        <v>1121</v>
      </c>
    </row>
    <row r="6" spans="1:10" ht="33" thickTop="1" thickBot="1" x14ac:dyDescent="0.3">
      <c r="A6" s="1968"/>
      <c r="B6" s="1968"/>
      <c r="C6" s="629" t="s">
        <v>1122</v>
      </c>
      <c r="D6" s="629" t="s">
        <v>1123</v>
      </c>
      <c r="E6" s="629" t="s">
        <v>1124</v>
      </c>
      <c r="F6" s="629" t="s">
        <v>1125</v>
      </c>
      <c r="G6" s="629" t="s">
        <v>1126</v>
      </c>
      <c r="H6" s="629" t="s">
        <v>1127</v>
      </c>
      <c r="I6" s="629" t="s">
        <v>1128</v>
      </c>
      <c r="J6" s="1968"/>
    </row>
    <row r="7" spans="1:10" ht="33" thickTop="1" thickBot="1" x14ac:dyDescent="0.3">
      <c r="A7" s="1192" t="s">
        <v>1129</v>
      </c>
      <c r="B7" s="99" t="s">
        <v>1130</v>
      </c>
      <c r="C7" s="99" t="s">
        <v>1131</v>
      </c>
      <c r="D7" s="99" t="s">
        <v>66</v>
      </c>
      <c r="E7" s="99" t="s">
        <v>66</v>
      </c>
      <c r="F7" s="99" t="s">
        <v>66</v>
      </c>
      <c r="G7" s="99" t="s">
        <v>66</v>
      </c>
      <c r="H7" s="99" t="s">
        <v>66</v>
      </c>
      <c r="I7" s="99" t="s">
        <v>66</v>
      </c>
      <c r="J7" s="99" t="s">
        <v>66</v>
      </c>
    </row>
    <row r="8" spans="1:10" ht="64.5" thickTop="1" thickBot="1" x14ac:dyDescent="0.3">
      <c r="A8" s="1192" t="s">
        <v>1132</v>
      </c>
      <c r="B8" s="99" t="s">
        <v>1551</v>
      </c>
      <c r="C8" s="99" t="s">
        <v>1131</v>
      </c>
      <c r="D8" s="99" t="s">
        <v>66</v>
      </c>
      <c r="E8" s="99" t="s">
        <v>66</v>
      </c>
      <c r="F8" s="99" t="s">
        <v>66</v>
      </c>
      <c r="G8" s="99" t="s">
        <v>66</v>
      </c>
      <c r="H8" s="99" t="s">
        <v>66</v>
      </c>
      <c r="I8" s="99" t="s">
        <v>66</v>
      </c>
      <c r="J8" s="99" t="s">
        <v>66</v>
      </c>
    </row>
    <row r="9" spans="1:10" ht="48.75" thickTop="1" thickBot="1" x14ac:dyDescent="0.3">
      <c r="A9" s="1192" t="s">
        <v>1133</v>
      </c>
      <c r="B9" s="99" t="s">
        <v>1130</v>
      </c>
      <c r="C9" s="99" t="s">
        <v>1131</v>
      </c>
      <c r="D9" s="99" t="s">
        <v>66</v>
      </c>
      <c r="E9" s="99" t="s">
        <v>66</v>
      </c>
      <c r="F9" s="99" t="s">
        <v>66</v>
      </c>
      <c r="G9" s="99" t="s">
        <v>66</v>
      </c>
      <c r="H9" s="99" t="s">
        <v>66</v>
      </c>
      <c r="I9" s="99" t="s">
        <v>66</v>
      </c>
      <c r="J9" s="99" t="s">
        <v>66</v>
      </c>
    </row>
    <row r="10" spans="1:10" ht="80.25" thickTop="1" thickBot="1" x14ac:dyDescent="0.3">
      <c r="A10" s="1192" t="s">
        <v>1134</v>
      </c>
      <c r="B10" s="99" t="s">
        <v>1135</v>
      </c>
      <c r="C10" s="99" t="s">
        <v>1131</v>
      </c>
      <c r="D10" s="99" t="s">
        <v>66</v>
      </c>
      <c r="E10" s="99" t="s">
        <v>66</v>
      </c>
      <c r="F10" s="99" t="s">
        <v>66</v>
      </c>
      <c r="G10" s="99" t="s">
        <v>66</v>
      </c>
      <c r="H10" s="99" t="s">
        <v>66</v>
      </c>
      <c r="I10" s="99" t="s">
        <v>66</v>
      </c>
      <c r="J10" s="99" t="s">
        <v>66</v>
      </c>
    </row>
    <row r="11" spans="1:10" ht="15.75" thickTop="1" x14ac:dyDescent="0.25"/>
    <row r="16" spans="1:10" ht="63" x14ac:dyDescent="0.25">
      <c r="A16" s="1329" t="s">
        <v>3576</v>
      </c>
    </row>
    <row r="19" spans="1:1" x14ac:dyDescent="0.25">
      <c r="A19" s="1205"/>
    </row>
    <row r="24" spans="1:1" x14ac:dyDescent="0.25">
      <c r="A24" s="1206"/>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88"/>
  <sheetViews>
    <sheetView topLeftCell="AJ2" zoomScaleNormal="100" workbookViewId="0">
      <pane ySplit="2055" topLeftCell="A173" activePane="bottomLeft"/>
      <selection activeCell="W2" sqref="W2:AB2"/>
      <selection pane="bottomLeft" activeCell="W180" sqref="W180"/>
    </sheetView>
  </sheetViews>
  <sheetFormatPr defaultRowHeight="29.25" customHeight="1" x14ac:dyDescent="0.25"/>
  <cols>
    <col min="1" max="1" width="8.28515625" style="126" bestFit="1" customWidth="1"/>
    <col min="2" max="2" width="29.140625" style="112" customWidth="1"/>
    <col min="3" max="3" width="6" style="25" bestFit="1" customWidth="1"/>
    <col min="4" max="4" width="7.7109375" style="25" bestFit="1" customWidth="1"/>
    <col min="5" max="5" width="8" style="25" bestFit="1" customWidth="1"/>
    <col min="6" max="6" width="10.85546875" style="25" bestFit="1" customWidth="1"/>
    <col min="7" max="7" width="8.7109375" style="25" bestFit="1" customWidth="1"/>
    <col min="8" max="8" width="8.42578125" style="25" bestFit="1" customWidth="1"/>
    <col min="9" max="9" width="9.7109375" style="25" customWidth="1"/>
    <col min="10" max="10" width="7.7109375" style="25" bestFit="1" customWidth="1"/>
    <col min="11" max="11" width="9" style="25" bestFit="1" customWidth="1"/>
    <col min="12" max="12" width="10.7109375" style="176" customWidth="1"/>
    <col min="13" max="13" width="8.5703125" style="176" customWidth="1"/>
    <col min="14" max="14" width="8.28515625" style="176" customWidth="1"/>
    <col min="15" max="15" width="9.28515625" style="176" customWidth="1"/>
    <col min="16" max="16" width="9" style="25" bestFit="1" customWidth="1"/>
    <col min="17" max="17" width="10" style="25" bestFit="1" customWidth="1"/>
    <col min="18" max="18" width="8" style="176" bestFit="1" customWidth="1"/>
    <col min="19" max="19" width="6.7109375" style="176" bestFit="1" customWidth="1"/>
    <col min="20" max="20" width="8" style="176" bestFit="1" customWidth="1"/>
    <col min="21" max="21" width="7.28515625" style="176" customWidth="1"/>
    <col min="22" max="22" width="10" style="25" bestFit="1" customWidth="1"/>
    <col min="23" max="23" width="9.85546875" style="25" bestFit="1" customWidth="1"/>
    <col min="24" max="25" width="6.7109375" style="176" bestFit="1" customWidth="1"/>
    <col min="26" max="26" width="7.140625" style="176" bestFit="1" customWidth="1"/>
    <col min="27" max="27" width="6.42578125" style="176" customWidth="1"/>
    <col min="28" max="28" width="9.85546875" style="25" bestFit="1" customWidth="1"/>
    <col min="29" max="29" width="9" style="25" bestFit="1" customWidth="1"/>
    <col min="30" max="30" width="6.5703125" style="176" bestFit="1" customWidth="1"/>
    <col min="31" max="31" width="5.85546875" style="176" bestFit="1" customWidth="1"/>
    <col min="32" max="32" width="7.140625" style="176" bestFit="1" customWidth="1"/>
    <col min="33" max="33" width="6.28515625" style="176" customWidth="1"/>
    <col min="34" max="34" width="11.42578125" style="25" customWidth="1"/>
    <col min="35" max="35" width="12.5703125" style="25" customWidth="1"/>
    <col min="36" max="36" width="8" style="25" bestFit="1" customWidth="1"/>
    <col min="37" max="37" width="10.85546875" style="25" bestFit="1" customWidth="1"/>
    <col min="38" max="38" width="7.85546875" style="25" bestFit="1" customWidth="1"/>
    <col min="39" max="39" width="8.7109375" style="25" bestFit="1" customWidth="1"/>
    <col min="40" max="40" width="6.7109375" style="25" bestFit="1" customWidth="1"/>
    <col min="41" max="41" width="8.42578125" style="25" bestFit="1" customWidth="1"/>
    <col min="42" max="42" width="8" style="25" bestFit="1" customWidth="1"/>
    <col min="43" max="43" width="8.5703125" style="25" customWidth="1"/>
    <col min="44" max="44" width="7.140625" style="25" customWidth="1"/>
    <col min="45" max="46" width="14.42578125" style="25" customWidth="1"/>
    <col min="47" max="47" width="7.85546875" style="25" hidden="1" customWidth="1"/>
    <col min="48" max="48" width="8.85546875" style="25" hidden="1" customWidth="1"/>
    <col min="49" max="49" width="4.85546875" style="25" hidden="1" customWidth="1"/>
    <col min="50" max="53" width="4.5703125" style="25" hidden="1" customWidth="1"/>
    <col min="54" max="54" width="3.7109375" style="25" hidden="1" customWidth="1"/>
    <col min="55" max="55" width="4.85546875" style="25" hidden="1" customWidth="1"/>
    <col min="56" max="59" width="4.5703125" style="25" hidden="1" customWidth="1"/>
    <col min="60" max="61" width="4" style="25" hidden="1" customWidth="1"/>
    <col min="62" max="65" width="4.5703125" style="25" hidden="1" customWidth="1"/>
    <col min="66" max="66" width="4" style="25" hidden="1" customWidth="1"/>
    <col min="67" max="67" width="3.7109375" style="25" hidden="1" customWidth="1"/>
    <col min="68" max="71" width="4.5703125" style="25" hidden="1" customWidth="1"/>
    <col min="72" max="72" width="3.5703125" style="25" hidden="1" customWidth="1"/>
    <col min="73" max="73" width="3.85546875" style="25" hidden="1" customWidth="1"/>
    <col min="74" max="77" width="4.5703125" style="25" hidden="1" customWidth="1"/>
    <col min="78" max="78" width="3" style="25" hidden="1" customWidth="1"/>
    <col min="79" max="79" width="3.5703125" style="25" hidden="1" customWidth="1"/>
    <col min="80" max="83" width="4.5703125" style="25" hidden="1" customWidth="1"/>
    <col min="84" max="84" width="3.5703125" style="25" hidden="1" customWidth="1"/>
    <col min="85" max="86" width="10.5703125" style="25" bestFit="1" customWidth="1"/>
    <col min="87" max="87" width="9.28515625" style="25" bestFit="1" customWidth="1"/>
    <col min="88" max="88" width="9.7109375" style="25" bestFit="1" customWidth="1"/>
    <col min="89" max="89" width="9.28515625" style="25" bestFit="1" customWidth="1"/>
    <col min="90" max="90" width="11.5703125" style="25" bestFit="1" customWidth="1"/>
    <col min="91" max="96" width="9.28515625" style="25" bestFit="1" customWidth="1"/>
    <col min="97" max="98" width="10.5703125" style="25" bestFit="1" customWidth="1"/>
    <col min="99" max="99" width="9.28515625" style="25" bestFit="1" customWidth="1"/>
    <col min="100" max="16384" width="9.140625" style="25"/>
  </cols>
  <sheetData>
    <row r="1" spans="1:96" ht="29.25" customHeight="1" thickBot="1" x14ac:dyDescent="0.3">
      <c r="I1" s="25" t="s">
        <v>61</v>
      </c>
      <c r="O1" s="176" t="s">
        <v>61</v>
      </c>
      <c r="U1" s="176" t="s">
        <v>61</v>
      </c>
      <c r="AA1" s="176" t="s">
        <v>61</v>
      </c>
      <c r="AG1" s="176" t="s">
        <v>61</v>
      </c>
      <c r="AQ1" s="25" t="s">
        <v>61</v>
      </c>
      <c r="AV1" s="25">
        <v>40</v>
      </c>
      <c r="AW1" s="25">
        <v>40</v>
      </c>
      <c r="BA1" s="25" t="s">
        <v>61</v>
      </c>
      <c r="BB1" s="25">
        <v>20</v>
      </c>
      <c r="BG1" s="25" t="s">
        <v>61</v>
      </c>
      <c r="BM1" s="25" t="s">
        <v>61</v>
      </c>
      <c r="BS1" s="25" t="s">
        <v>61</v>
      </c>
      <c r="BY1" s="25" t="s">
        <v>61</v>
      </c>
      <c r="CE1" s="25" t="s">
        <v>61</v>
      </c>
    </row>
    <row r="2" spans="1:96" ht="29.25" customHeight="1" thickTop="1" thickBot="1" x14ac:dyDescent="0.3">
      <c r="A2" s="127"/>
      <c r="B2" s="113"/>
      <c r="C2" s="1825">
        <v>42369</v>
      </c>
      <c r="D2" s="1826"/>
      <c r="E2" s="1827">
        <v>42370</v>
      </c>
      <c r="F2" s="1819"/>
      <c r="G2" s="1819"/>
      <c r="H2" s="1819"/>
      <c r="I2" s="1819"/>
      <c r="J2" s="1826"/>
      <c r="K2" s="1827">
        <v>42736</v>
      </c>
      <c r="L2" s="1819"/>
      <c r="M2" s="1819"/>
      <c r="N2" s="1819"/>
      <c r="O2" s="1819"/>
      <c r="P2" s="1826"/>
      <c r="Q2" s="1827">
        <v>43101</v>
      </c>
      <c r="R2" s="1819"/>
      <c r="S2" s="1819"/>
      <c r="T2" s="1819"/>
      <c r="U2" s="1819"/>
      <c r="V2" s="1826"/>
      <c r="W2" s="1827">
        <v>43466</v>
      </c>
      <c r="X2" s="1819"/>
      <c r="Y2" s="1819"/>
      <c r="Z2" s="1819"/>
      <c r="AA2" s="1819"/>
      <c r="AB2" s="1826"/>
      <c r="AC2" s="1827">
        <v>43831</v>
      </c>
      <c r="AD2" s="1819"/>
      <c r="AE2" s="1819"/>
      <c r="AF2" s="1819"/>
      <c r="AG2" s="1819"/>
      <c r="AH2" s="1826"/>
      <c r="AI2" s="1818" t="s">
        <v>6</v>
      </c>
      <c r="AJ2" s="1819"/>
      <c r="AK2" s="1819"/>
      <c r="AL2" s="1819"/>
      <c r="AM2" s="1819"/>
      <c r="AN2" s="1819"/>
      <c r="AO2" s="1819"/>
      <c r="AP2" s="1819"/>
      <c r="AQ2" s="1819"/>
      <c r="AR2" s="1819"/>
      <c r="AS2" s="1820"/>
      <c r="AT2" s="1039"/>
      <c r="AX2" s="282"/>
      <c r="AY2" s="282"/>
      <c r="AZ2" s="282"/>
      <c r="BA2" s="282"/>
      <c r="BD2" s="282"/>
      <c r="BE2" s="282"/>
      <c r="BF2" s="282"/>
      <c r="BG2" s="282"/>
      <c r="BJ2" s="282"/>
      <c r="BK2" s="282"/>
      <c r="BL2" s="282"/>
      <c r="BM2" s="282"/>
      <c r="BP2" s="282"/>
      <c r="BQ2" s="282"/>
      <c r="BR2" s="282"/>
      <c r="BS2" s="282"/>
      <c r="BV2" s="282"/>
      <c r="BW2" s="282"/>
      <c r="BX2" s="282"/>
      <c r="BY2" s="282"/>
      <c r="CB2" s="282"/>
      <c r="CC2" s="282"/>
      <c r="CD2" s="282"/>
      <c r="CE2" s="282"/>
      <c r="CG2" s="1040"/>
      <c r="CH2" s="1040"/>
    </row>
    <row r="3" spans="1:96" ht="29.25" customHeight="1" thickTop="1" thickBot="1" x14ac:dyDescent="0.3">
      <c r="A3" s="127"/>
      <c r="B3" s="113"/>
      <c r="C3" s="1825">
        <v>42369</v>
      </c>
      <c r="D3" s="1826"/>
      <c r="E3" s="1827">
        <v>42735</v>
      </c>
      <c r="F3" s="1819"/>
      <c r="G3" s="1819"/>
      <c r="H3" s="1819"/>
      <c r="I3" s="1819"/>
      <c r="J3" s="1826"/>
      <c r="K3" s="1827">
        <v>43100</v>
      </c>
      <c r="L3" s="1819"/>
      <c r="M3" s="1819"/>
      <c r="N3" s="1819"/>
      <c r="O3" s="1819"/>
      <c r="P3" s="1826"/>
      <c r="Q3" s="1827">
        <v>43465</v>
      </c>
      <c r="R3" s="1819"/>
      <c r="S3" s="1819"/>
      <c r="T3" s="1819"/>
      <c r="U3" s="1819"/>
      <c r="V3" s="1826"/>
      <c r="W3" s="1827">
        <v>43830</v>
      </c>
      <c r="X3" s="1819"/>
      <c r="Y3" s="1819"/>
      <c r="Z3" s="1819"/>
      <c r="AA3" s="1819"/>
      <c r="AB3" s="1826"/>
      <c r="AC3" s="1827">
        <v>44196</v>
      </c>
      <c r="AD3" s="1819"/>
      <c r="AE3" s="1819"/>
      <c r="AF3" s="1819"/>
      <c r="AG3" s="1819"/>
      <c r="AH3" s="1826"/>
      <c r="AI3" s="1818" t="s">
        <v>6</v>
      </c>
      <c r="AJ3" s="1819"/>
      <c r="AK3" s="1819"/>
      <c r="AL3" s="1819"/>
      <c r="AM3" s="1819"/>
      <c r="AN3" s="1819"/>
      <c r="AO3" s="1819"/>
      <c r="AP3" s="1819"/>
      <c r="AQ3" s="1819"/>
      <c r="AR3" s="1819"/>
      <c r="AS3" s="1820"/>
      <c r="AT3" s="1039"/>
      <c r="AX3" s="282"/>
      <c r="AY3" s="282"/>
      <c r="AZ3" s="282"/>
      <c r="BA3" s="282"/>
      <c r="BD3" s="282"/>
      <c r="BE3" s="282"/>
      <c r="BF3" s="282"/>
      <c r="BG3" s="282"/>
      <c r="BJ3" s="282"/>
      <c r="BK3" s="282"/>
      <c r="BL3" s="282"/>
      <c r="BM3" s="282"/>
      <c r="BP3" s="282"/>
      <c r="BQ3" s="282"/>
      <c r="BR3" s="282"/>
      <c r="BS3" s="282"/>
      <c r="BV3" s="282"/>
      <c r="BW3" s="282"/>
      <c r="BX3" s="282"/>
      <c r="BY3" s="282"/>
      <c r="CB3" s="282"/>
      <c r="CC3" s="282"/>
      <c r="CD3" s="282"/>
      <c r="CE3" s="282"/>
      <c r="CG3" s="1040"/>
      <c r="CH3" s="1040"/>
    </row>
    <row r="4" spans="1:96" ht="29.25" customHeight="1" thickBot="1" x14ac:dyDescent="0.3">
      <c r="A4" s="128" t="s">
        <v>7</v>
      </c>
      <c r="B4" s="114" t="s">
        <v>8</v>
      </c>
      <c r="C4" s="1041" t="s">
        <v>9</v>
      </c>
      <c r="D4" s="1041" t="s">
        <v>10</v>
      </c>
      <c r="E4" s="1041" t="s">
        <v>9</v>
      </c>
      <c r="F4" s="1042" t="s">
        <v>58</v>
      </c>
      <c r="G4" s="1042" t="s">
        <v>59</v>
      </c>
      <c r="H4" s="1042" t="s">
        <v>60</v>
      </c>
      <c r="I4" s="1043" t="s">
        <v>61</v>
      </c>
      <c r="J4" s="1041" t="s">
        <v>10</v>
      </c>
      <c r="K4" s="1041" t="s">
        <v>9</v>
      </c>
      <c r="L4" s="1044" t="s">
        <v>58</v>
      </c>
      <c r="M4" s="1044" t="s">
        <v>59</v>
      </c>
      <c r="N4" s="1044" t="s">
        <v>60</v>
      </c>
      <c r="O4" s="1045" t="s">
        <v>61</v>
      </c>
      <c r="P4" s="1041" t="s">
        <v>10</v>
      </c>
      <c r="Q4" s="1041" t="s">
        <v>9</v>
      </c>
      <c r="R4" s="1044" t="s">
        <v>1417</v>
      </c>
      <c r="S4" s="1044" t="s">
        <v>1418</v>
      </c>
      <c r="T4" s="1044" t="s">
        <v>1419</v>
      </c>
      <c r="U4" s="1045" t="s">
        <v>1420</v>
      </c>
      <c r="V4" s="1041" t="s">
        <v>10</v>
      </c>
      <c r="W4" s="1041" t="s">
        <v>9</v>
      </c>
      <c r="X4" s="1044" t="s">
        <v>1417</v>
      </c>
      <c r="Y4" s="1044" t="s">
        <v>1418</v>
      </c>
      <c r="Z4" s="1044" t="s">
        <v>1419</v>
      </c>
      <c r="AA4" s="1045" t="s">
        <v>1420</v>
      </c>
      <c r="AB4" s="1041" t="s">
        <v>10</v>
      </c>
      <c r="AC4" s="1041" t="s">
        <v>9</v>
      </c>
      <c r="AD4" s="1044" t="s">
        <v>1417</v>
      </c>
      <c r="AE4" s="1044" t="s">
        <v>1418</v>
      </c>
      <c r="AF4" s="1044" t="s">
        <v>1419</v>
      </c>
      <c r="AG4" s="1045" t="s">
        <v>1420</v>
      </c>
      <c r="AH4" s="1041" t="s">
        <v>10</v>
      </c>
      <c r="AI4" s="1046" t="s">
        <v>9</v>
      </c>
      <c r="AJ4" s="1041"/>
      <c r="AK4" s="1042" t="s">
        <v>58</v>
      </c>
      <c r="AL4" s="1042"/>
      <c r="AM4" s="1042" t="s">
        <v>59</v>
      </c>
      <c r="AN4" s="1042"/>
      <c r="AO4" s="1042" t="s">
        <v>60</v>
      </c>
      <c r="AP4" s="1042"/>
      <c r="AQ4" s="1043" t="s">
        <v>61</v>
      </c>
      <c r="AR4" s="1043"/>
      <c r="AS4" s="1047" t="s">
        <v>10</v>
      </c>
      <c r="AT4" s="1048"/>
      <c r="AU4" s="1816">
        <v>42369</v>
      </c>
      <c r="AV4" s="1817"/>
      <c r="AW4" s="1831">
        <v>42735</v>
      </c>
      <c r="AX4" s="1817"/>
      <c r="AY4" s="1817"/>
      <c r="AZ4" s="1817"/>
      <c r="BA4" s="1817"/>
      <c r="BB4" s="1817"/>
      <c r="BC4" s="1832">
        <v>43100</v>
      </c>
      <c r="BD4" s="1832"/>
      <c r="BE4" s="1832"/>
      <c r="BF4" s="1832"/>
      <c r="BG4" s="1832"/>
      <c r="BH4" s="1832"/>
      <c r="BI4" s="1832">
        <v>43465</v>
      </c>
      <c r="BJ4" s="1832"/>
      <c r="BK4" s="1832"/>
      <c r="BL4" s="1832"/>
      <c r="BM4" s="1832"/>
      <c r="BN4" s="1832"/>
      <c r="BO4" s="1833">
        <v>43830</v>
      </c>
      <c r="BP4" s="1834"/>
      <c r="BQ4" s="1834"/>
      <c r="BR4" s="1834"/>
      <c r="BS4" s="1834"/>
      <c r="BT4" s="1834"/>
      <c r="BU4" s="1835">
        <v>44196</v>
      </c>
      <c r="BV4" s="1836"/>
      <c r="BW4" s="1836"/>
      <c r="BX4" s="1836"/>
      <c r="BY4" s="1836"/>
      <c r="BZ4" s="1837"/>
      <c r="CG4" s="1040" t="s">
        <v>1139</v>
      </c>
      <c r="CH4" s="1040" t="s">
        <v>1140</v>
      </c>
    </row>
    <row r="5" spans="1:96" ht="29.25" customHeight="1" thickBot="1" x14ac:dyDescent="0.3">
      <c r="A5" s="129"/>
      <c r="B5" s="115"/>
      <c r="C5" s="1049"/>
      <c r="D5" s="1049"/>
      <c r="E5" s="1049"/>
      <c r="F5" s="1049"/>
      <c r="G5" s="1049"/>
      <c r="H5" s="1049"/>
      <c r="I5" s="1049"/>
      <c r="J5" s="1049"/>
      <c r="K5" s="1049"/>
      <c r="L5" s="1050"/>
      <c r="M5" s="1050"/>
      <c r="N5" s="1050"/>
      <c r="O5" s="1050"/>
      <c r="P5" s="1049"/>
      <c r="Q5" s="1049"/>
      <c r="R5" s="1050"/>
      <c r="S5" s="1050"/>
      <c r="T5" s="1050"/>
      <c r="U5" s="1050"/>
      <c r="V5" s="1049"/>
      <c r="W5" s="1049"/>
      <c r="X5" s="1050"/>
      <c r="Y5" s="1050"/>
      <c r="Z5" s="1050"/>
      <c r="AA5" s="1050"/>
      <c r="AB5" s="1049"/>
      <c r="AC5" s="1049"/>
      <c r="AD5" s="1050"/>
      <c r="AE5" s="1050"/>
      <c r="AF5" s="1050"/>
      <c r="AG5" s="1050"/>
      <c r="AH5" s="1049"/>
      <c r="AI5" s="1051"/>
      <c r="AJ5" s="1049"/>
      <c r="AK5" s="1049"/>
      <c r="AL5" s="1049"/>
      <c r="AM5" s="1049"/>
      <c r="AN5" s="1049"/>
      <c r="AO5" s="1049"/>
      <c r="AP5" s="1049"/>
      <c r="AQ5" s="1049"/>
      <c r="AR5" s="1052"/>
      <c r="AS5" s="1053"/>
      <c r="AT5" s="1054"/>
      <c r="AX5" s="1049"/>
      <c r="AY5" s="1049"/>
      <c r="AZ5" s="1049"/>
      <c r="BA5" s="1049"/>
      <c r="BD5" s="1049"/>
      <c r="BE5" s="1049"/>
      <c r="BF5" s="1049"/>
      <c r="BG5" s="1049"/>
      <c r="BJ5" s="1049"/>
      <c r="BK5" s="1049"/>
      <c r="BL5" s="1049"/>
      <c r="BM5" s="1049"/>
      <c r="BP5" s="1049"/>
      <c r="BQ5" s="1049"/>
      <c r="BR5" s="1049"/>
      <c r="BS5" s="1049"/>
      <c r="BV5" s="1049"/>
      <c r="BW5" s="1049"/>
      <c r="BX5" s="1049"/>
      <c r="BY5" s="1049"/>
      <c r="CB5" s="1049"/>
      <c r="CC5" s="1049"/>
      <c r="CD5" s="1049"/>
      <c r="CE5" s="1049"/>
      <c r="CG5" s="23"/>
      <c r="CH5" s="23"/>
    </row>
    <row r="6" spans="1:96" ht="75" customHeight="1" thickBot="1" x14ac:dyDescent="0.3">
      <c r="A6" s="130" t="str">
        <f>CONCATENATE('3 pr-2'!A7)</f>
        <v>1.1.</v>
      </c>
      <c r="B6" s="116" t="s">
        <v>827</v>
      </c>
      <c r="C6" s="1055">
        <f>SUM(C7+C72)</f>
        <v>0</v>
      </c>
      <c r="D6" s="1055">
        <f>SUM(D7+D72)</f>
        <v>0</v>
      </c>
      <c r="E6" s="1055">
        <f>SUM(E7+E72)</f>
        <v>835238.47455074196</v>
      </c>
      <c r="F6" s="1055"/>
      <c r="G6" s="1055"/>
      <c r="H6" s="1055"/>
      <c r="I6" s="1055"/>
      <c r="J6" s="1055">
        <f>SUM(J7+J72)</f>
        <v>368715.55</v>
      </c>
      <c r="K6" s="1055">
        <f>SUM(K7+K72)</f>
        <v>5934899.0399999991</v>
      </c>
      <c r="L6" s="1056"/>
      <c r="M6" s="1056"/>
      <c r="N6" s="1056"/>
      <c r="O6" s="1056"/>
      <c r="P6" s="1055">
        <f>SUM(P7+P72)</f>
        <v>4932178.7699999996</v>
      </c>
      <c r="Q6" s="1055">
        <f>SUM(Q7+Q72)</f>
        <v>16937867.987609576</v>
      </c>
      <c r="R6" s="1056"/>
      <c r="S6" s="1056"/>
      <c r="T6" s="1056"/>
      <c r="U6" s="1056"/>
      <c r="V6" s="1055">
        <f>SUM(V7+V72)</f>
        <v>10654952.216504991</v>
      </c>
      <c r="W6" s="1055">
        <f>SUM(W7+W72)</f>
        <v>13998870.402944421</v>
      </c>
      <c r="X6" s="1056"/>
      <c r="Y6" s="1056"/>
      <c r="Z6" s="1056"/>
      <c r="AA6" s="1056"/>
      <c r="AB6" s="1055">
        <f>SUM(AB7+AB72)</f>
        <v>9418261.780125495</v>
      </c>
      <c r="AC6" s="1055">
        <f>SUM(AC7+AC72)</f>
        <v>10287651.781954087</v>
      </c>
      <c r="AD6" s="1056"/>
      <c r="AE6" s="1056"/>
      <c r="AF6" s="1056"/>
      <c r="AG6" s="1056"/>
      <c r="AH6" s="1055">
        <f>SUM(AH7+AH72)</f>
        <v>7009758.7633695127</v>
      </c>
      <c r="AI6" s="1057">
        <f>SUM(AI7+AI72)</f>
        <v>47994527.687058821</v>
      </c>
      <c r="AJ6" s="1055"/>
      <c r="AK6" s="1055"/>
      <c r="AL6" s="1055"/>
      <c r="AM6" s="1055"/>
      <c r="AN6" s="1055"/>
      <c r="AO6" s="1055"/>
      <c r="AP6" s="1055"/>
      <c r="AQ6" s="1055"/>
      <c r="AR6" s="1055"/>
      <c r="AS6" s="1055">
        <f>SUM(AS7+AS72)</f>
        <v>32383867.080000002</v>
      </c>
      <c r="AT6" s="1058"/>
      <c r="AU6" s="68">
        <f>SUM('3 pr-2'!AA7-'IV-1 su proj'!AS6)</f>
        <v>108833</v>
      </c>
      <c r="AX6" s="1055"/>
      <c r="AY6" s="1055"/>
      <c r="AZ6" s="1055"/>
      <c r="BA6" s="1055"/>
      <c r="BD6" s="1055"/>
      <c r="BE6" s="1055"/>
      <c r="BF6" s="1055"/>
      <c r="BG6" s="1055"/>
      <c r="BJ6" s="1055"/>
      <c r="BK6" s="1055"/>
      <c r="BL6" s="1055"/>
      <c r="BM6" s="1055"/>
      <c r="BP6" s="1055"/>
      <c r="BQ6" s="1055"/>
      <c r="BR6" s="1055"/>
      <c r="BS6" s="1055"/>
      <c r="BV6" s="1055"/>
      <c r="BW6" s="1055"/>
      <c r="BX6" s="1055"/>
      <c r="BY6" s="1055"/>
      <c r="CB6" s="1055"/>
      <c r="CC6" s="1055"/>
      <c r="CD6" s="1055"/>
      <c r="CE6" s="1055"/>
      <c r="CG6" s="23"/>
      <c r="CH6" s="23"/>
    </row>
    <row r="7" spans="1:96" ht="91.5" customHeight="1" thickBot="1" x14ac:dyDescent="0.3">
      <c r="A7" s="130" t="str">
        <f>CONCATENATE('3 pr-2'!A8)</f>
        <v>1.1.1.</v>
      </c>
      <c r="B7" s="117" t="str">
        <f>CONCATENATE('3 pr-2'!B8)</f>
        <v>Uždavinys: 
Sudaryti sąlygas darbo vietų kūrimui, kuriant ir atnaujinant viešąją ir ekoinžinerinę  infrastruktūrą,  gamtos, kultūros paveldo objektus ir kultūros įstaigas</v>
      </c>
      <c r="C7" s="1059">
        <f>SUM(C8+C32+C38+C45+C49+C55+C57+C61+C66)</f>
        <v>0</v>
      </c>
      <c r="D7" s="1059">
        <f>SUM(D8+D32+D38+D45+D49+D55+D57+D61+D66)</f>
        <v>0</v>
      </c>
      <c r="E7" s="1059">
        <f>SUM(E8+E32+E38+E45+E49+E55+E57+E61+E66)</f>
        <v>835238.47455074196</v>
      </c>
      <c r="F7" s="1059"/>
      <c r="G7" s="1059"/>
      <c r="H7" s="1059"/>
      <c r="I7" s="1059"/>
      <c r="J7" s="1059">
        <f>SUM(J8+J32+J38+J45+J49+J55+J57+J61+J66)</f>
        <v>368715.55</v>
      </c>
      <c r="K7" s="1059">
        <f>SUM(K8+K32+K38+K45+K49+K55+K57+K61+K66)</f>
        <v>4975229.8599999994</v>
      </c>
      <c r="L7" s="1060"/>
      <c r="M7" s="1060"/>
      <c r="N7" s="1060"/>
      <c r="O7" s="1060"/>
      <c r="P7" s="1059">
        <f>SUM(P8+P32+P38+P45+P49+P55+P57+P61+P66)</f>
        <v>4116460.1699999995</v>
      </c>
      <c r="Q7" s="1059">
        <f>SUM(Q8+Q32+Q38+Q45+Q49+Q55+Q57+Q61+Q66)</f>
        <v>14379277.474172223</v>
      </c>
      <c r="R7" s="1060"/>
      <c r="S7" s="1060"/>
      <c r="T7" s="1060"/>
      <c r="U7" s="1060"/>
      <c r="V7" s="1059">
        <f>SUM(V8+V32+V38+V45+V49+V55+V57+V61+V66)</f>
        <v>9300112.6796384063</v>
      </c>
      <c r="W7" s="1059">
        <f>SUM(W8+W32+W38+W45+W49+W55+W57+W61+W66)</f>
        <v>10338176.949988114</v>
      </c>
      <c r="X7" s="1060"/>
      <c r="Y7" s="1060"/>
      <c r="Z7" s="1060"/>
      <c r="AA7" s="1060"/>
      <c r="AB7" s="1059">
        <f>SUM(AB8+AB32+AB38+AB45+AB49+AB55+AB57+AB61+AB66)</f>
        <v>6967124.1675212076</v>
      </c>
      <c r="AC7" s="1059">
        <f>SUM(AC8+AC32+AC38+AC45+AC49+AC55+AC57+AC61+AC66)</f>
        <v>8264853.3083477458</v>
      </c>
      <c r="AD7" s="1060"/>
      <c r="AE7" s="1060"/>
      <c r="AF7" s="1060"/>
      <c r="AG7" s="1060"/>
      <c r="AH7" s="1059">
        <f>SUM(AH8+AH32+AH38+AH45+AH49+AH55+AH57+AH61+AH66)</f>
        <v>5291966.282840387</v>
      </c>
      <c r="AI7" s="1061">
        <f>SUM(AI8+AI32+AI38+AI45+AI49+AI55+AI57+AI61+AI66)</f>
        <v>38792776.067058824</v>
      </c>
      <c r="AJ7" s="1059"/>
      <c r="AK7" s="1059"/>
      <c r="AL7" s="1059"/>
      <c r="AM7" s="1059"/>
      <c r="AN7" s="1059"/>
      <c r="AO7" s="1059"/>
      <c r="AP7" s="1059"/>
      <c r="AQ7" s="1059"/>
      <c r="AR7" s="1059"/>
      <c r="AS7" s="1059">
        <f>SUM(AS8+AS32+AS38+AS45+AS49+AS55+AS57+AS61+AS66)</f>
        <v>26044378.850000001</v>
      </c>
      <c r="AT7" s="1062"/>
      <c r="AX7" s="1059"/>
      <c r="AY7" s="1059"/>
      <c r="AZ7" s="1059"/>
      <c r="BA7" s="1059"/>
      <c r="BD7" s="1059"/>
      <c r="BE7" s="1059"/>
      <c r="BF7" s="1059"/>
      <c r="BG7" s="1059"/>
      <c r="BJ7" s="1059"/>
      <c r="BK7" s="1059"/>
      <c r="BL7" s="1059"/>
      <c r="BM7" s="1059"/>
      <c r="BP7" s="1059"/>
      <c r="BQ7" s="1059"/>
      <c r="BR7" s="1059"/>
      <c r="BS7" s="1059"/>
      <c r="BV7" s="1059"/>
      <c r="BW7" s="1059"/>
      <c r="BX7" s="1059"/>
      <c r="BY7" s="1059"/>
      <c r="CB7" s="1059"/>
      <c r="CC7" s="1059"/>
      <c r="CD7" s="1059"/>
      <c r="CE7" s="1059"/>
      <c r="CG7" s="23"/>
      <c r="CH7" s="23"/>
    </row>
    <row r="8" spans="1:96" ht="53.25" thickTop="1" thickBot="1" x14ac:dyDescent="0.3">
      <c r="A8" s="277" t="str">
        <f>CONCATENATE('3 pr-2'!A9)</f>
        <v>1.1.1.1</v>
      </c>
      <c r="B8" s="118" t="str">
        <f>CONCATENATE('3 pr-2'!B9)</f>
        <v>Priemonė:
Kaimo gyvenamųjų vietovių (turinčių iki 1 tūkst. gyventojų) atnaujinimas</v>
      </c>
      <c r="C8" s="1063">
        <f>SUM(C9:C31)</f>
        <v>0</v>
      </c>
      <c r="D8" s="1063">
        <f t="shared" ref="D8:AS8" si="0">SUM(D9:D31)</f>
        <v>0</v>
      </c>
      <c r="E8" s="1063">
        <f t="shared" si="0"/>
        <v>0</v>
      </c>
      <c r="F8" s="1063"/>
      <c r="G8" s="1063"/>
      <c r="H8" s="1063"/>
      <c r="I8" s="1063"/>
      <c r="J8" s="1063">
        <f t="shared" si="0"/>
        <v>0</v>
      </c>
      <c r="K8" s="1063">
        <f>SUM(K9:K31)</f>
        <v>0</v>
      </c>
      <c r="L8" s="1064"/>
      <c r="M8" s="1064"/>
      <c r="N8" s="1064"/>
      <c r="O8" s="1064"/>
      <c r="P8" s="1063">
        <f>SUM(P9:P31)</f>
        <v>0</v>
      </c>
      <c r="Q8" s="1063">
        <f t="shared" si="0"/>
        <v>3630830.8983516484</v>
      </c>
      <c r="R8" s="1064"/>
      <c r="S8" s="1064"/>
      <c r="T8" s="1064"/>
      <c r="U8" s="1064"/>
      <c r="V8" s="1063">
        <f t="shared" si="0"/>
        <v>2412248.3708791211</v>
      </c>
      <c r="W8" s="1063">
        <f t="shared" si="0"/>
        <v>416867.10164835159</v>
      </c>
      <c r="X8" s="1064"/>
      <c r="Y8" s="1064"/>
      <c r="Z8" s="1064"/>
      <c r="AA8" s="1064"/>
      <c r="AB8" s="1063">
        <f t="shared" si="0"/>
        <v>283469.62912087911</v>
      </c>
      <c r="AC8" s="1063">
        <f t="shared" si="0"/>
        <v>0</v>
      </c>
      <c r="AD8" s="1064"/>
      <c r="AE8" s="1064"/>
      <c r="AF8" s="1064"/>
      <c r="AG8" s="1064"/>
      <c r="AH8" s="1063">
        <f t="shared" si="0"/>
        <v>0</v>
      </c>
      <c r="AI8" s="1065">
        <f t="shared" si="0"/>
        <v>4047698</v>
      </c>
      <c r="AJ8" s="1063"/>
      <c r="AK8" s="1063"/>
      <c r="AL8" s="1063"/>
      <c r="AM8" s="1063"/>
      <c r="AN8" s="1063"/>
      <c r="AO8" s="1063"/>
      <c r="AP8" s="1063"/>
      <c r="AQ8" s="1063"/>
      <c r="AR8" s="1063"/>
      <c r="AS8" s="1063">
        <f t="shared" si="0"/>
        <v>2695718</v>
      </c>
      <c r="AT8" s="1063"/>
      <c r="AU8" s="1066">
        <v>0</v>
      </c>
      <c r="AV8" s="24">
        <v>0</v>
      </c>
      <c r="AW8" s="24">
        <v>0</v>
      </c>
      <c r="AX8" s="1063">
        <v>0</v>
      </c>
      <c r="AY8" s="1063">
        <v>0</v>
      </c>
      <c r="AZ8" s="1063">
        <v>0</v>
      </c>
      <c r="BA8" s="1063">
        <v>0</v>
      </c>
      <c r="BB8" s="24">
        <v>0</v>
      </c>
      <c r="BC8" s="24">
        <v>0</v>
      </c>
      <c r="BD8" s="1063">
        <v>0</v>
      </c>
      <c r="BE8" s="1063">
        <v>0</v>
      </c>
      <c r="BF8" s="1063">
        <v>0</v>
      </c>
      <c r="BG8" s="1063">
        <v>0</v>
      </c>
      <c r="BH8" s="24">
        <v>0</v>
      </c>
      <c r="BI8" s="24">
        <v>100</v>
      </c>
      <c r="BJ8" s="1063">
        <v>100</v>
      </c>
      <c r="BK8" s="1063">
        <v>100</v>
      </c>
      <c r="BL8" s="1063">
        <v>100</v>
      </c>
      <c r="BM8" s="1063">
        <v>100</v>
      </c>
      <c r="BN8" s="24">
        <v>100</v>
      </c>
      <c r="BO8" s="24">
        <v>0</v>
      </c>
      <c r="BP8" s="1063">
        <v>0</v>
      </c>
      <c r="BQ8" s="1063">
        <v>0</v>
      </c>
      <c r="BR8" s="1063">
        <v>0</v>
      </c>
      <c r="BS8" s="1063">
        <v>0</v>
      </c>
      <c r="BT8" s="24">
        <v>0</v>
      </c>
      <c r="BU8" s="24">
        <v>0</v>
      </c>
      <c r="BV8" s="1063">
        <v>0</v>
      </c>
      <c r="BW8" s="1063">
        <v>0</v>
      </c>
      <c r="BX8" s="1063">
        <v>0</v>
      </c>
      <c r="BY8" s="1063">
        <v>0</v>
      </c>
      <c r="BZ8" s="24">
        <v>0</v>
      </c>
      <c r="CA8" s="24">
        <v>100</v>
      </c>
      <c r="CB8" s="1063">
        <v>100</v>
      </c>
      <c r="CC8" s="1063">
        <v>100</v>
      </c>
      <c r="CD8" s="1063">
        <v>100</v>
      </c>
      <c r="CE8" s="1063">
        <v>100</v>
      </c>
      <c r="CF8" s="359">
        <v>100</v>
      </c>
      <c r="CG8" s="1067"/>
      <c r="CH8" s="23"/>
    </row>
    <row r="9" spans="1:96" ht="37.5" thickTop="1" thickBot="1" x14ac:dyDescent="0.3">
      <c r="A9" s="119" t="str">
        <f>CONCATENATE('3 pr-2'!A10)</f>
        <v>1.1.1.1.1</v>
      </c>
      <c r="B9" s="119" t="str">
        <f>CONCATENATE('3 pr-2'!D10)</f>
        <v xml:space="preserve">Druskininkų savivaldybės Viečiūnų seniūnijos Ilgio ir Raigardo seniūnaitijų kelių būklės gerinimas  </v>
      </c>
      <c r="C9" s="85">
        <f>IF($E$2&gt;=$CG$9,($CG$9-$C$2)*AH9,0)</f>
        <v>0</v>
      </c>
      <c r="D9" s="85">
        <f>IF($E$2&gt;=$CG$9,($CG$9-$C$2)*AI9,0)</f>
        <v>0</v>
      </c>
      <c r="E9" s="85">
        <f>IF(YEAR($E$2)=YEAR($CG$9),($CG$9-$C$2)*$AJ$9,0)</f>
        <v>0</v>
      </c>
      <c r="F9" s="282">
        <f>IF(YEAR($E$2)=YEAR($CG$9),($CG$9-$C$2)*AL9,0)</f>
        <v>0</v>
      </c>
      <c r="G9" s="282">
        <f>IF(YEAR($E$2)=YEAR($CG$9),($CG$9-$C$2)*AN9,0)</f>
        <v>0</v>
      </c>
      <c r="H9" s="282">
        <f>IF(YEAR($E$2)=YEAR($CG$9),($CG$9-$C$2)*AP9,0)</f>
        <v>0</v>
      </c>
      <c r="I9" s="282">
        <f>IF(YEAR($E$2)=YEAR($CG$9),($CG$9-$C$2)*AR9,0)</f>
        <v>0</v>
      </c>
      <c r="J9" s="85">
        <f>IF(YEAR($E$2)=YEAR($CG$9),($CG$9-$C$2)*AT9,0)</f>
        <v>0</v>
      </c>
      <c r="K9" s="85">
        <f>IF(YEAR($K$3)=YEAR($CG$9),($CG$9-$E$3)*AJ9,0)</f>
        <v>0</v>
      </c>
      <c r="L9" s="282">
        <f>IF(YEAR($K$3)=YEAR($CG$9),($CG$9-$E$3)*AL9,0)</f>
        <v>0</v>
      </c>
      <c r="M9" s="282">
        <f>IF(YEAR($K$3)=YEAR($CG$9),($CG$9-$E$3)*AN9,0)</f>
        <v>0</v>
      </c>
      <c r="N9" s="282">
        <f>IF(YEAR($K$3)=YEAR($CG$9),($CG$9-$E$3)*AP9,0)</f>
        <v>0</v>
      </c>
      <c r="O9" s="282">
        <f>IF(YEAR($K$2)=YEAR($CG$9),($CG$9-$E$3)*AR9,0)</f>
        <v>0</v>
      </c>
      <c r="P9" s="85">
        <f>IF(YEAR($K$2)=YEAR($CG$9),($CG$9-$E$3)*AT9,0)</f>
        <v>0</v>
      </c>
      <c r="Q9" s="85">
        <f t="shared" ref="Q9:Q11" si="1">IF(YEAR($Q$2)=YEAR($CG$9),($CH$30-$CG$30)*AJ9,0)</f>
        <v>198893</v>
      </c>
      <c r="R9" s="282">
        <f t="shared" ref="R9:R11" si="2">IF(YEAR($Q$2)=YEAR($CG$9),($CH$30-$CG$30)*AL9,0)</f>
        <v>39779</v>
      </c>
      <c r="S9" s="282">
        <f t="shared" ref="S9:S11" si="3">IF(YEAR($Q$2)=YEAR($CG$9),($CH$30-$CG$30)*AN9,0)</f>
        <v>23867.000000000004</v>
      </c>
      <c r="T9" s="282">
        <f t="shared" ref="T9:T12" si="4">IF(YEAR($Q$2)=YEAR($CG$9),($CH$30-$CG$30)*AP9,0)</f>
        <v>0</v>
      </c>
      <c r="U9" s="282">
        <f t="shared" ref="U9:U12" si="5">IF(YEAR($Q$2)=YEAR($CG$9),($CH$30-$CG$30)*AR9,0)</f>
        <v>0</v>
      </c>
      <c r="V9" s="85">
        <f t="shared" ref="V9:V11" si="6">IF(YEAR($Q$2)=YEAR($CG$9),($CH$30-$CG$30)*AT9,0)</f>
        <v>135247</v>
      </c>
      <c r="W9" s="85">
        <f>IF(YEAR($W$2)=YEAR($CG$9),($CH$9-$CG$9)*AP9,0)</f>
        <v>0</v>
      </c>
      <c r="X9" s="282">
        <f t="shared" ref="X9:AB9" si="7">IF(YEAR($W$2)=YEAR($CG$9),($CH$9-$CG$9)*AQ9,0)</f>
        <v>0</v>
      </c>
      <c r="Y9" s="282">
        <f t="shared" si="7"/>
        <v>0</v>
      </c>
      <c r="Z9" s="282">
        <f t="shared" si="7"/>
        <v>0</v>
      </c>
      <c r="AA9" s="282">
        <f t="shared" si="7"/>
        <v>0</v>
      </c>
      <c r="AB9" s="85">
        <f t="shared" si="7"/>
        <v>0</v>
      </c>
      <c r="AC9" s="85">
        <f>IF(YEAR($W$2)=YEAR($CG$9),($CH$9-$CG$9)*AV9,0)</f>
        <v>0</v>
      </c>
      <c r="AD9" s="282">
        <f t="shared" ref="AD9" si="8">IF(YEAR($W$2)=YEAR($CG$9),($CH$9-$CG$9)*AW9,0)</f>
        <v>0</v>
      </c>
      <c r="AE9" s="282">
        <f t="shared" ref="AE9" si="9">IF(YEAR($W$2)=YEAR($CG$9),($CH$9-$CG$9)*AX9,0)</f>
        <v>0</v>
      </c>
      <c r="AF9" s="282">
        <f t="shared" ref="AF9" si="10">IF(YEAR($W$2)=YEAR($CG$9),($CH$9-$CG$9)*AY9,0)</f>
        <v>0</v>
      </c>
      <c r="AG9" s="282">
        <f t="shared" ref="AG9" si="11">IF(YEAR($W$2)=YEAR($CG$9),($CH$9-$CG$9)*AZ9,0)</f>
        <v>0</v>
      </c>
      <c r="AH9" s="85">
        <f t="shared" ref="AH9" si="12">IF(YEAR($W$2)=YEAR($CG$9),($CH$9-$CG$9)*BA9,0)</f>
        <v>0</v>
      </c>
      <c r="AI9" s="762">
        <f>SUM('3 pr-2'!L10)</f>
        <v>198893</v>
      </c>
      <c r="AJ9" s="85">
        <f>SUM(AI9/(CH9-CG9))</f>
        <v>547.91460055096422</v>
      </c>
      <c r="AK9" s="282">
        <f>SUM('3 pr-2'!O10)</f>
        <v>39779</v>
      </c>
      <c r="AL9" s="282">
        <f>SUM(AK9/(CH9-CG9))</f>
        <v>109.5840220385675</v>
      </c>
      <c r="AM9" s="282">
        <f>SUM('3 pr-2'!R10)</f>
        <v>23867</v>
      </c>
      <c r="AN9" s="282">
        <f>SUM(AM9/(CH9-CG9))</f>
        <v>65.749311294765846</v>
      </c>
      <c r="AO9" s="282">
        <f>SUM('3 pr-2'!U10)</f>
        <v>0</v>
      </c>
      <c r="AP9" s="774">
        <f>SUM(AO9/(CH9-CG9))</f>
        <v>0</v>
      </c>
      <c r="AQ9" s="282">
        <f>SUM('3 pr-2'!X10)</f>
        <v>0</v>
      </c>
      <c r="AR9" s="761">
        <f>SUM(AQ9/(CH9-CG9))</f>
        <v>0</v>
      </c>
      <c r="AS9" s="13">
        <f>SUM('3 pr-2'!AA10)</f>
        <v>135247</v>
      </c>
      <c r="AT9" s="760">
        <f>SUM(AS9/(CH9-CG9))</f>
        <v>372.58126721763085</v>
      </c>
      <c r="AU9" s="1066">
        <v>0</v>
      </c>
      <c r="AV9" s="24">
        <v>0</v>
      </c>
      <c r="AW9" s="24">
        <v>0</v>
      </c>
      <c r="AX9" s="282">
        <v>0</v>
      </c>
      <c r="AY9" s="282">
        <v>0</v>
      </c>
      <c r="AZ9" s="282">
        <v>0</v>
      </c>
      <c r="BA9" s="282">
        <v>0</v>
      </c>
      <c r="BB9" s="24">
        <v>0</v>
      </c>
      <c r="BC9" s="24">
        <v>0</v>
      </c>
      <c r="BD9" s="282">
        <v>0</v>
      </c>
      <c r="BE9" s="282">
        <v>0</v>
      </c>
      <c r="BF9" s="282">
        <v>0</v>
      </c>
      <c r="BG9" s="282">
        <v>0</v>
      </c>
      <c r="BH9" s="24">
        <v>0</v>
      </c>
      <c r="BI9" s="24">
        <v>100</v>
      </c>
      <c r="BJ9" s="282">
        <v>100</v>
      </c>
      <c r="BK9" s="282">
        <v>100</v>
      </c>
      <c r="BL9" s="282">
        <v>100</v>
      </c>
      <c r="BM9" s="282">
        <v>100</v>
      </c>
      <c r="BN9" s="24">
        <v>100</v>
      </c>
      <c r="BO9" s="24">
        <v>0</v>
      </c>
      <c r="BP9" s="282">
        <v>0</v>
      </c>
      <c r="BQ9" s="282">
        <v>0</v>
      </c>
      <c r="BR9" s="282">
        <v>0</v>
      </c>
      <c r="BS9" s="282">
        <v>0</v>
      </c>
      <c r="BT9" s="24">
        <v>0</v>
      </c>
      <c r="BU9" s="24">
        <v>0</v>
      </c>
      <c r="BV9" s="282">
        <v>0</v>
      </c>
      <c r="BW9" s="282">
        <v>0</v>
      </c>
      <c r="BX9" s="282">
        <v>0</v>
      </c>
      <c r="BY9" s="282">
        <v>0</v>
      </c>
      <c r="BZ9" s="24">
        <v>0</v>
      </c>
      <c r="CA9" s="24">
        <v>100</v>
      </c>
      <c r="CB9" s="282">
        <v>100</v>
      </c>
      <c r="CC9" s="282">
        <v>100</v>
      </c>
      <c r="CD9" s="282">
        <v>100</v>
      </c>
      <c r="CE9" s="282">
        <v>100</v>
      </c>
      <c r="CF9" s="359">
        <v>100</v>
      </c>
      <c r="CG9" s="1068">
        <f>SUM('3 pr-2'!AI10)</f>
        <v>43102</v>
      </c>
      <c r="CH9" s="1068">
        <f>SUM('3 pr-2'!AK10)</f>
        <v>43465</v>
      </c>
      <c r="CI9" s="68">
        <f>SUM(P9+V9+AB9)</f>
        <v>135247</v>
      </c>
      <c r="CJ9" s="68">
        <f>SUM(CI9-AS9)</f>
        <v>0</v>
      </c>
      <c r="CQ9" s="1069">
        <f t="shared" ref="CQ9:CQ12" si="13">SUM(E9+K9+Q9+W9+AC9)</f>
        <v>198893</v>
      </c>
      <c r="CR9" s="1070">
        <f t="shared" ref="CR9:CR24" si="14">SUM(J9+P9+V9+AB9+AH9)</f>
        <v>135247</v>
      </c>
    </row>
    <row r="10" spans="1:96" ht="37.5" thickTop="1" thickBot="1" x14ac:dyDescent="0.3">
      <c r="A10" s="119" t="str">
        <f>CONCATENATE('3 pr-2'!A11)</f>
        <v>1.1.1.1.2</v>
      </c>
      <c r="B10" s="119" t="str">
        <f>CONCATENATE('3 pr-2'!D11)</f>
        <v>Druskininkų savivaldybės Viečiūnų seniūnijos Ratnyčėlės seniūnaitijos kelių būklės gerinimas</v>
      </c>
      <c r="C10" s="85">
        <f>IF($E$2&gt;=$CG$9,($CG$9-$C$2)*AH10,0)</f>
        <v>0</v>
      </c>
      <c r="D10" s="85">
        <f>IF($E$2&gt;=$CG$9,($CG$9-$C$2)*AI10,0)</f>
        <v>0</v>
      </c>
      <c r="E10" s="85">
        <f>IF(YEAR($E$2)=YEAR($CG$9),($CG$9-$C$2)*$AJ$9,0)</f>
        <v>0</v>
      </c>
      <c r="F10" s="282">
        <f>IF(YEAR($E$2)=YEAR($CG$9),($CG$9-$C$2)*AL10,0)</f>
        <v>0</v>
      </c>
      <c r="G10" s="282">
        <f>IF(YEAR($E$2)=YEAR($CG$9),($CG$9-$C$2)*AN10,0)</f>
        <v>0</v>
      </c>
      <c r="H10" s="282">
        <f>IF(YEAR($E$2)=YEAR($CG$9),($CG$9-$C$2)*AP10,0)</f>
        <v>0</v>
      </c>
      <c r="I10" s="282">
        <f>IF(YEAR($E$2)=YEAR($CG$9),($CG$9-$C$2)*AR10,0)</f>
        <v>0</v>
      </c>
      <c r="J10" s="85">
        <f>IF(YEAR($E$2)=YEAR($CG$9),($CG$9-$C$2)*AT10,0)</f>
        <v>0</v>
      </c>
      <c r="K10" s="85">
        <f>IF(YEAR($K$3)=YEAR($CG$9),($CG$9-$E$3)*AJ10,0)</f>
        <v>0</v>
      </c>
      <c r="L10" s="282">
        <f>IF(YEAR($K$3)=YEAR($CG$9),($CG$9-$E$3)*AL10,0)</f>
        <v>0</v>
      </c>
      <c r="M10" s="282">
        <f>IF(YEAR($K$3)=YEAR($CG$9),($CG$9-$E$3)*AN10,0)</f>
        <v>0</v>
      </c>
      <c r="N10" s="282">
        <f>IF(YEAR($K$3)=YEAR($CG$9),($CG$9-$E$3)*AP10,0)</f>
        <v>0</v>
      </c>
      <c r="O10" s="282">
        <f>IF(YEAR($K$2)=YEAR($CG$9),($CG$9-$E$3)*AR10,0)</f>
        <v>0</v>
      </c>
      <c r="P10" s="85">
        <f>IF(YEAR($K$2)=YEAR($CG$9),($CG$9-$E$3)*AT10,0)</f>
        <v>0</v>
      </c>
      <c r="Q10" s="85">
        <f t="shared" si="1"/>
        <v>151340</v>
      </c>
      <c r="R10" s="282">
        <f t="shared" si="2"/>
        <v>30268</v>
      </c>
      <c r="S10" s="282">
        <f t="shared" si="3"/>
        <v>18161</v>
      </c>
      <c r="T10" s="282">
        <f t="shared" si="4"/>
        <v>0</v>
      </c>
      <c r="U10" s="282">
        <f t="shared" si="5"/>
        <v>0</v>
      </c>
      <c r="V10" s="85">
        <f t="shared" si="6"/>
        <v>102911</v>
      </c>
      <c r="W10" s="85">
        <f>IF(YEAR($W$2)=YEAR($CG$9),($CH$9-$CG$9)*AP10,0)</f>
        <v>0</v>
      </c>
      <c r="X10" s="282">
        <f t="shared" ref="X10" si="15">IF(YEAR($W$2)=YEAR($CG$9),($CH$9-$CG$9)*AQ10,0)</f>
        <v>0</v>
      </c>
      <c r="Y10" s="282">
        <f t="shared" ref="Y10" si="16">IF(YEAR($W$2)=YEAR($CG$9),($CH$9-$CG$9)*AR10,0)</f>
        <v>0</v>
      </c>
      <c r="Z10" s="282">
        <f t="shared" ref="Z10" si="17">IF(YEAR($W$2)=YEAR($CG$9),($CH$9-$CG$9)*AS10,0)</f>
        <v>0</v>
      </c>
      <c r="AA10" s="282">
        <f t="shared" ref="AA10" si="18">IF(YEAR($W$2)=YEAR($CG$9),($CH$9-$CG$9)*AT10,0)</f>
        <v>0</v>
      </c>
      <c r="AB10" s="85">
        <f t="shared" ref="AB10" si="19">IF(YEAR($W$2)=YEAR($CG$9),($CH$9-$CG$9)*AU10,0)</f>
        <v>0</v>
      </c>
      <c r="AC10" s="85">
        <f>IF(YEAR($W$2)=YEAR($CG$9),($CH$9-$CG$9)*AV10,0)</f>
        <v>0</v>
      </c>
      <c r="AD10" s="282">
        <f t="shared" ref="AD10" si="20">IF(YEAR($W$2)=YEAR($CG$9),($CH$9-$CG$9)*AW10,0)</f>
        <v>0</v>
      </c>
      <c r="AE10" s="282">
        <f t="shared" ref="AE10" si="21">IF(YEAR($W$2)=YEAR($CG$9),($CH$9-$CG$9)*AX10,0)</f>
        <v>0</v>
      </c>
      <c r="AF10" s="282">
        <f t="shared" ref="AF10" si="22">IF(YEAR($W$2)=YEAR($CG$9),($CH$9-$CG$9)*AY10,0)</f>
        <v>0</v>
      </c>
      <c r="AG10" s="282">
        <f t="shared" ref="AG10" si="23">IF(YEAR($W$2)=YEAR($CG$9),($CH$9-$CG$9)*AZ10,0)</f>
        <v>0</v>
      </c>
      <c r="AH10" s="85">
        <f t="shared" ref="AH10" si="24">IF(YEAR($W$2)=YEAR($CG$9),($CH$9-$CG$9)*BA10,0)</f>
        <v>0</v>
      </c>
      <c r="AI10" s="762">
        <f>SUM('3 pr-2'!L11)</f>
        <v>151340</v>
      </c>
      <c r="AJ10" s="85">
        <f t="shared" ref="AJ10:AJ30" si="25">SUM(AI10/(CH10-CG10))</f>
        <v>416.91460055096417</v>
      </c>
      <c r="AK10" s="282">
        <f>SUM('3 pr-2'!O11)</f>
        <v>30268</v>
      </c>
      <c r="AL10" s="282">
        <f t="shared" ref="AL10:AL30" si="26">SUM(AK10/(CH10-CG10))</f>
        <v>83.382920110192842</v>
      </c>
      <c r="AM10" s="282">
        <f>SUM('3 pr-2'!R11)</f>
        <v>18161</v>
      </c>
      <c r="AN10" s="282">
        <f t="shared" ref="AN10:AN30" si="27">SUM(AM10/(CH10-CG10))</f>
        <v>50.030303030303031</v>
      </c>
      <c r="AO10" s="282">
        <f>SUM('3 pr-2'!U11)</f>
        <v>0</v>
      </c>
      <c r="AP10" s="774">
        <f t="shared" ref="AP10:AP30" si="28">SUM(AO10/(CH10-CG10))</f>
        <v>0</v>
      </c>
      <c r="AQ10" s="282">
        <f>SUM('3 pr-2'!X11)</f>
        <v>0</v>
      </c>
      <c r="AR10" s="761">
        <f t="shared" ref="AR10:AR30" si="29">SUM(AQ10/(CH10-CG10))</f>
        <v>0</v>
      </c>
      <c r="AS10" s="13">
        <f>SUM('3 pr-2'!AA11)</f>
        <v>102911</v>
      </c>
      <c r="AT10" s="760">
        <f t="shared" ref="AT10:AT30" si="30">SUM(AS10/(CH10-CG10))</f>
        <v>283.50137741046831</v>
      </c>
      <c r="AU10" s="1066">
        <v>0</v>
      </c>
      <c r="AV10" s="24">
        <v>0</v>
      </c>
      <c r="AW10" s="24">
        <v>0</v>
      </c>
      <c r="AX10" s="282">
        <v>0</v>
      </c>
      <c r="AY10" s="282">
        <v>0</v>
      </c>
      <c r="AZ10" s="282">
        <v>0</v>
      </c>
      <c r="BA10" s="282">
        <v>0</v>
      </c>
      <c r="BB10" s="24">
        <v>0</v>
      </c>
      <c r="BC10" s="24">
        <v>0</v>
      </c>
      <c r="BD10" s="282">
        <v>0</v>
      </c>
      <c r="BE10" s="282">
        <v>0</v>
      </c>
      <c r="BF10" s="282">
        <v>0</v>
      </c>
      <c r="BG10" s="282">
        <v>0</v>
      </c>
      <c r="BH10" s="24">
        <v>0</v>
      </c>
      <c r="BI10" s="24">
        <v>100</v>
      </c>
      <c r="BJ10" s="282">
        <v>100</v>
      </c>
      <c r="BK10" s="282">
        <v>100</v>
      </c>
      <c r="BL10" s="282">
        <v>100</v>
      </c>
      <c r="BM10" s="282">
        <v>100</v>
      </c>
      <c r="BN10" s="24">
        <v>100</v>
      </c>
      <c r="BO10" s="24">
        <v>0</v>
      </c>
      <c r="BP10" s="282">
        <v>0</v>
      </c>
      <c r="BQ10" s="282">
        <v>0</v>
      </c>
      <c r="BR10" s="282">
        <v>0</v>
      </c>
      <c r="BS10" s="282">
        <v>0</v>
      </c>
      <c r="BT10" s="24">
        <v>0</v>
      </c>
      <c r="BU10" s="24">
        <v>0</v>
      </c>
      <c r="BV10" s="282">
        <v>0</v>
      </c>
      <c r="BW10" s="282">
        <v>0</v>
      </c>
      <c r="BX10" s="282">
        <v>0</v>
      </c>
      <c r="BY10" s="282">
        <v>0</v>
      </c>
      <c r="BZ10" s="24">
        <v>0</v>
      </c>
      <c r="CA10" s="24">
        <v>100</v>
      </c>
      <c r="CB10" s="282">
        <v>100</v>
      </c>
      <c r="CC10" s="282">
        <v>100</v>
      </c>
      <c r="CD10" s="282">
        <v>100</v>
      </c>
      <c r="CE10" s="282">
        <v>100</v>
      </c>
      <c r="CF10" s="359">
        <v>100</v>
      </c>
      <c r="CG10" s="1068">
        <f>SUM('3 pr-2'!AI11)</f>
        <v>43102</v>
      </c>
      <c r="CH10" s="1068">
        <f>SUM('3 pr-2'!AK11)</f>
        <v>43465</v>
      </c>
      <c r="CI10" s="68">
        <f>SUM(P10+V10+AB10)</f>
        <v>102911</v>
      </c>
      <c r="CJ10" s="68">
        <f>SUM(CI10-AS10)</f>
        <v>0</v>
      </c>
      <c r="CQ10" s="1069">
        <f t="shared" si="13"/>
        <v>151340</v>
      </c>
      <c r="CR10" s="1070">
        <f t="shared" si="14"/>
        <v>102911</v>
      </c>
    </row>
    <row r="11" spans="1:96" ht="37.5" thickTop="1" thickBot="1" x14ac:dyDescent="0.3">
      <c r="A11" s="119" t="str">
        <f>CONCATENATE('3 pr-2'!A12)</f>
        <v>1.1.1.1.3</v>
      </c>
      <c r="B11" s="119" t="str">
        <f>CONCATENATE('3 pr-2'!D12)</f>
        <v>Druskininkų savivaldybės Leipalingio seniūnijos Klonio seniūnaitijos kelių būklės gerinimas</v>
      </c>
      <c r="C11" s="85">
        <f t="shared" ref="C11:C21" si="31">IF($E$2&gt;=$CG$9,($CG$9-$C$2)*AH11,0)</f>
        <v>0</v>
      </c>
      <c r="D11" s="85">
        <f t="shared" ref="D11:D21" si="32">IF($E$2&gt;=$CG$9,($CG$9-$C$2)*AI11,0)</f>
        <v>0</v>
      </c>
      <c r="E11" s="85">
        <f t="shared" ref="E11:E21" si="33">IF(YEAR($E$2)=YEAR($CG$9),($CG$9-$C$2)*$AJ$9,0)</f>
        <v>0</v>
      </c>
      <c r="F11" s="282">
        <f t="shared" ref="F11:F21" si="34">IF(YEAR($E$2)=YEAR($CG$9),($CG$9-$C$2)*AL11,0)</f>
        <v>0</v>
      </c>
      <c r="G11" s="282">
        <f t="shared" ref="G11:G21" si="35">IF(YEAR($E$2)=YEAR($CG$9),($CG$9-$C$2)*AN11,0)</f>
        <v>0</v>
      </c>
      <c r="H11" s="282">
        <f t="shared" ref="H11:H21" si="36">IF(YEAR($E$2)=YEAR($CG$9),($CG$9-$C$2)*AP11,0)</f>
        <v>0</v>
      </c>
      <c r="I11" s="282">
        <f t="shared" ref="I11:I21" si="37">IF(YEAR($E$2)=YEAR($CG$9),($CG$9-$C$2)*AR11,0)</f>
        <v>0</v>
      </c>
      <c r="J11" s="85">
        <f t="shared" ref="J11:J21" si="38">IF(YEAR($E$2)=YEAR($CG$9),($CG$9-$C$2)*AT11,0)</f>
        <v>0</v>
      </c>
      <c r="K11" s="85">
        <f t="shared" ref="K11:K21" si="39">IF(YEAR($K$3)=YEAR($CG$9),($CG$9-$E$3)*AJ11,0)</f>
        <v>0</v>
      </c>
      <c r="L11" s="282">
        <f t="shared" ref="L11:L21" si="40">IF(YEAR($K$3)=YEAR($CG$9),($CG$9-$E$3)*AL11,0)</f>
        <v>0</v>
      </c>
      <c r="M11" s="282">
        <f t="shared" ref="M11:M21" si="41">IF(YEAR($K$3)=YEAR($CG$9),($CG$9-$E$3)*AN11,0)</f>
        <v>0</v>
      </c>
      <c r="N11" s="282">
        <f t="shared" ref="N11:N21" si="42">IF(YEAR($K$3)=YEAR($CG$9),($CG$9-$E$3)*AP11,0)</f>
        <v>0</v>
      </c>
      <c r="O11" s="282">
        <f t="shared" ref="O11:O21" si="43">IF(YEAR($K$2)=YEAR($CG$9),($CG$9-$E$3)*AR11,0)</f>
        <v>0</v>
      </c>
      <c r="P11" s="85">
        <f t="shared" ref="P11:P21" si="44">IF(YEAR($K$2)=YEAR($CG$9),($CG$9-$E$3)*AT11,0)</f>
        <v>0</v>
      </c>
      <c r="Q11" s="85">
        <f t="shared" si="1"/>
        <v>193058.99999999997</v>
      </c>
      <c r="R11" s="282">
        <f t="shared" si="2"/>
        <v>38612</v>
      </c>
      <c r="S11" s="282">
        <f t="shared" si="3"/>
        <v>23167</v>
      </c>
      <c r="T11" s="282">
        <f t="shared" si="4"/>
        <v>0</v>
      </c>
      <c r="U11" s="282">
        <f t="shared" si="5"/>
        <v>0</v>
      </c>
      <c r="V11" s="85">
        <f t="shared" si="6"/>
        <v>131280</v>
      </c>
      <c r="W11" s="85">
        <f t="shared" ref="W11:W21" si="45">IF(YEAR($W$2)=YEAR($CG$9),($CH$9-$CG$9)*AP11,0)</f>
        <v>0</v>
      </c>
      <c r="X11" s="282">
        <f t="shared" ref="X11:X21" si="46">IF(YEAR($W$2)=YEAR($CG$9),($CH$9-$CG$9)*AQ11,0)</f>
        <v>0</v>
      </c>
      <c r="Y11" s="282">
        <f t="shared" ref="Y11:Y21" si="47">IF(YEAR($W$2)=YEAR($CG$9),($CH$9-$CG$9)*AR11,0)</f>
        <v>0</v>
      </c>
      <c r="Z11" s="282">
        <f t="shared" ref="Z11:Z21" si="48">IF(YEAR($W$2)=YEAR($CG$9),($CH$9-$CG$9)*AS11,0)</f>
        <v>0</v>
      </c>
      <c r="AA11" s="282">
        <f t="shared" ref="AA11:AA21" si="49">IF(YEAR($W$2)=YEAR($CG$9),($CH$9-$CG$9)*AT11,0)</f>
        <v>0</v>
      </c>
      <c r="AB11" s="85">
        <f t="shared" ref="AB11:AB21" si="50">IF(YEAR($W$2)=YEAR($CG$9),($CH$9-$CG$9)*AU11,0)</f>
        <v>0</v>
      </c>
      <c r="AC11" s="85">
        <f t="shared" ref="AC11:AC21" si="51">IF(YEAR($W$2)=YEAR($CG$9),($CH$9-$CG$9)*AV11,0)</f>
        <v>0</v>
      </c>
      <c r="AD11" s="282">
        <f t="shared" ref="AD11:AD21" si="52">IF(YEAR($W$2)=YEAR($CG$9),($CH$9-$CG$9)*AW11,0)</f>
        <v>0</v>
      </c>
      <c r="AE11" s="282">
        <f t="shared" ref="AE11:AE21" si="53">IF(YEAR($W$2)=YEAR($CG$9),($CH$9-$CG$9)*AX11,0)</f>
        <v>0</v>
      </c>
      <c r="AF11" s="282">
        <f t="shared" ref="AF11:AF21" si="54">IF(YEAR($W$2)=YEAR($CG$9),($CH$9-$CG$9)*AY11,0)</f>
        <v>0</v>
      </c>
      <c r="AG11" s="282">
        <f t="shared" ref="AG11:AG21" si="55">IF(YEAR($W$2)=YEAR($CG$9),($CH$9-$CG$9)*AZ11,0)</f>
        <v>0</v>
      </c>
      <c r="AH11" s="85">
        <f t="shared" ref="AH11:AH21" si="56">IF(YEAR($W$2)=YEAR($CG$9),($CH$9-$CG$9)*BA11,0)</f>
        <v>0</v>
      </c>
      <c r="AI11" s="762">
        <f>SUM('3 pr-2'!L12)</f>
        <v>193059</v>
      </c>
      <c r="AJ11" s="85">
        <f t="shared" si="25"/>
        <v>531.84297520661153</v>
      </c>
      <c r="AK11" s="282">
        <f>SUM('3 pr-2'!O12)</f>
        <v>38612</v>
      </c>
      <c r="AL11" s="282">
        <f t="shared" si="26"/>
        <v>106.36914600550965</v>
      </c>
      <c r="AM11" s="282">
        <f>SUM('3 pr-2'!R12)</f>
        <v>23167</v>
      </c>
      <c r="AN11" s="282">
        <f t="shared" si="27"/>
        <v>63.820936639118457</v>
      </c>
      <c r="AO11" s="282">
        <f>SUM('3 pr-2'!U12)</f>
        <v>0</v>
      </c>
      <c r="AP11" s="774">
        <f t="shared" si="28"/>
        <v>0</v>
      </c>
      <c r="AQ11" s="282">
        <f>SUM('3 pr-2'!X12)</f>
        <v>0</v>
      </c>
      <c r="AR11" s="761">
        <f t="shared" si="29"/>
        <v>0</v>
      </c>
      <c r="AS11" s="13">
        <f>SUM('3 pr-2'!AA12)</f>
        <v>131280</v>
      </c>
      <c r="AT11" s="760">
        <f t="shared" si="30"/>
        <v>361.65289256198349</v>
      </c>
      <c r="AU11" s="1066">
        <v>0</v>
      </c>
      <c r="AV11" s="24">
        <v>0</v>
      </c>
      <c r="AW11" s="24">
        <v>0</v>
      </c>
      <c r="AX11" s="282">
        <v>0</v>
      </c>
      <c r="AY11" s="282">
        <v>0</v>
      </c>
      <c r="AZ11" s="282">
        <v>0</v>
      </c>
      <c r="BA11" s="282">
        <v>0</v>
      </c>
      <c r="BB11" s="24">
        <v>0</v>
      </c>
      <c r="BC11" s="24">
        <v>0</v>
      </c>
      <c r="BD11" s="282">
        <v>0</v>
      </c>
      <c r="BE11" s="282">
        <v>0</v>
      </c>
      <c r="BF11" s="282">
        <v>0</v>
      </c>
      <c r="BG11" s="282">
        <v>0</v>
      </c>
      <c r="BH11" s="24">
        <v>0</v>
      </c>
      <c r="BI11" s="24">
        <v>100</v>
      </c>
      <c r="BJ11" s="282">
        <v>100</v>
      </c>
      <c r="BK11" s="282">
        <v>100</v>
      </c>
      <c r="BL11" s="282">
        <v>100</v>
      </c>
      <c r="BM11" s="282">
        <v>100</v>
      </c>
      <c r="BN11" s="24">
        <v>100</v>
      </c>
      <c r="BO11" s="24">
        <v>0</v>
      </c>
      <c r="BP11" s="282">
        <v>0</v>
      </c>
      <c r="BQ11" s="282">
        <v>0</v>
      </c>
      <c r="BR11" s="282">
        <v>0</v>
      </c>
      <c r="BS11" s="282">
        <v>0</v>
      </c>
      <c r="BT11" s="24">
        <v>0</v>
      </c>
      <c r="BU11" s="24">
        <v>0</v>
      </c>
      <c r="BV11" s="282">
        <v>0</v>
      </c>
      <c r="BW11" s="282">
        <v>0</v>
      </c>
      <c r="BX11" s="282">
        <v>0</v>
      </c>
      <c r="BY11" s="282">
        <v>0</v>
      </c>
      <c r="BZ11" s="24">
        <v>0</v>
      </c>
      <c r="CA11" s="24">
        <v>100</v>
      </c>
      <c r="CB11" s="282">
        <v>100</v>
      </c>
      <c r="CC11" s="282">
        <v>100</v>
      </c>
      <c r="CD11" s="282">
        <v>100</v>
      </c>
      <c r="CE11" s="282">
        <v>100</v>
      </c>
      <c r="CF11" s="359">
        <v>100</v>
      </c>
      <c r="CG11" s="1068">
        <f>SUM('3 pr-2'!AI12)</f>
        <v>43102</v>
      </c>
      <c r="CH11" s="1068">
        <f>SUM('3 pr-2'!AK12)</f>
        <v>43465</v>
      </c>
      <c r="CI11" s="68">
        <f t="shared" ref="CI11:CI30" si="57">SUM(P11+V11+AB11)</f>
        <v>131280</v>
      </c>
      <c r="CJ11" s="68">
        <f t="shared" ref="CJ11:CJ30" si="58">SUM(CI11-AS11)</f>
        <v>0</v>
      </c>
      <c r="CQ11" s="1069">
        <f t="shared" si="13"/>
        <v>193058.99999999997</v>
      </c>
      <c r="CR11" s="1070">
        <f t="shared" si="14"/>
        <v>131280</v>
      </c>
    </row>
    <row r="12" spans="1:96" ht="37.5" thickTop="1" thickBot="1" x14ac:dyDescent="0.3">
      <c r="A12" s="119" t="str">
        <f>CONCATENATE('3 pr-2'!A13)</f>
        <v>1.1.1.1.4</v>
      </c>
      <c r="B12" s="119" t="str">
        <f>CONCATENATE('3 pr-2'!D13)</f>
        <v>Rudaminos laisvalaikio salės pritaikymas bendruomenės poreikiams ir liaudies amatų plėtrai</v>
      </c>
      <c r="C12" s="85">
        <f t="shared" si="31"/>
        <v>0</v>
      </c>
      <c r="D12" s="85">
        <f t="shared" si="32"/>
        <v>0</v>
      </c>
      <c r="E12" s="85">
        <f t="shared" si="33"/>
        <v>0</v>
      </c>
      <c r="F12" s="282">
        <f t="shared" si="34"/>
        <v>0</v>
      </c>
      <c r="G12" s="282">
        <f t="shared" si="35"/>
        <v>0</v>
      </c>
      <c r="H12" s="282">
        <f t="shared" si="36"/>
        <v>0</v>
      </c>
      <c r="I12" s="282">
        <f t="shared" si="37"/>
        <v>0</v>
      </c>
      <c r="J12" s="85">
        <f t="shared" si="38"/>
        <v>0</v>
      </c>
      <c r="K12" s="85">
        <f t="shared" si="39"/>
        <v>0</v>
      </c>
      <c r="L12" s="282">
        <f t="shared" si="40"/>
        <v>0</v>
      </c>
      <c r="M12" s="282">
        <f t="shared" si="41"/>
        <v>0</v>
      </c>
      <c r="N12" s="282">
        <f t="shared" si="42"/>
        <v>0</v>
      </c>
      <c r="O12" s="282">
        <f t="shared" si="43"/>
        <v>0</v>
      </c>
      <c r="P12" s="85">
        <f t="shared" si="44"/>
        <v>0</v>
      </c>
      <c r="Q12" s="85">
        <f>SUM(R12:V12)</f>
        <v>125000</v>
      </c>
      <c r="R12" s="282">
        <f>SUM(AK12)</f>
        <v>25000</v>
      </c>
      <c r="S12" s="282">
        <f>SUM(AM12)</f>
        <v>15000</v>
      </c>
      <c r="T12" s="282">
        <f t="shared" si="4"/>
        <v>0</v>
      </c>
      <c r="U12" s="282">
        <f t="shared" si="5"/>
        <v>0</v>
      </c>
      <c r="V12" s="85">
        <f>SUM(AS12)</f>
        <v>85000</v>
      </c>
      <c r="W12" s="85">
        <f t="shared" si="45"/>
        <v>0</v>
      </c>
      <c r="X12" s="282">
        <f t="shared" si="46"/>
        <v>0</v>
      </c>
      <c r="Y12" s="282">
        <f t="shared" si="47"/>
        <v>0</v>
      </c>
      <c r="Z12" s="282">
        <f t="shared" si="48"/>
        <v>0</v>
      </c>
      <c r="AA12" s="282">
        <f t="shared" si="49"/>
        <v>0</v>
      </c>
      <c r="AB12" s="85">
        <f t="shared" si="50"/>
        <v>0</v>
      </c>
      <c r="AC12" s="85">
        <f t="shared" si="51"/>
        <v>0</v>
      </c>
      <c r="AD12" s="282">
        <f t="shared" si="52"/>
        <v>0</v>
      </c>
      <c r="AE12" s="282">
        <f t="shared" si="53"/>
        <v>0</v>
      </c>
      <c r="AF12" s="282">
        <f t="shared" si="54"/>
        <v>0</v>
      </c>
      <c r="AG12" s="282">
        <f t="shared" si="55"/>
        <v>0</v>
      </c>
      <c r="AH12" s="85">
        <f t="shared" si="56"/>
        <v>0</v>
      </c>
      <c r="AI12" s="762">
        <f>SUM('3 pr-2'!L13)</f>
        <v>125000</v>
      </c>
      <c r="AJ12" s="85">
        <f t="shared" si="25"/>
        <v>461.25461254612549</v>
      </c>
      <c r="AK12" s="282">
        <f>SUM('3 pr-2'!O13)</f>
        <v>25000</v>
      </c>
      <c r="AL12" s="282">
        <f t="shared" si="26"/>
        <v>92.250922509225092</v>
      </c>
      <c r="AM12" s="282">
        <f>SUM('3 pr-2'!R13)</f>
        <v>15000</v>
      </c>
      <c r="AN12" s="282">
        <f t="shared" si="27"/>
        <v>55.350553505535053</v>
      </c>
      <c r="AO12" s="282">
        <f>SUM('3 pr-2'!U13)</f>
        <v>0</v>
      </c>
      <c r="AP12" s="774">
        <f t="shared" si="28"/>
        <v>0</v>
      </c>
      <c r="AQ12" s="282">
        <f>SUM('3 pr-2'!X13)</f>
        <v>0</v>
      </c>
      <c r="AR12" s="761">
        <f t="shared" si="29"/>
        <v>0</v>
      </c>
      <c r="AS12" s="13">
        <f>SUM('3 pr-2'!AA13)</f>
        <v>85000</v>
      </c>
      <c r="AT12" s="760">
        <f t="shared" si="30"/>
        <v>313.65313653136531</v>
      </c>
      <c r="AU12" s="1066"/>
      <c r="AV12" s="24"/>
      <c r="AW12" s="24"/>
      <c r="AX12" s="282"/>
      <c r="AY12" s="282"/>
      <c r="AZ12" s="282"/>
      <c r="BA12" s="282"/>
      <c r="BB12" s="24"/>
      <c r="BC12" s="24"/>
      <c r="BD12" s="282"/>
      <c r="BE12" s="282"/>
      <c r="BF12" s="282"/>
      <c r="BG12" s="282"/>
      <c r="BH12" s="24"/>
      <c r="BI12" s="24"/>
      <c r="BJ12" s="282"/>
      <c r="BK12" s="282"/>
      <c r="BL12" s="282"/>
      <c r="BM12" s="282"/>
      <c r="BN12" s="24"/>
      <c r="BO12" s="24"/>
      <c r="BP12" s="282"/>
      <c r="BQ12" s="282"/>
      <c r="BR12" s="282"/>
      <c r="BS12" s="282"/>
      <c r="BT12" s="24"/>
      <c r="BU12" s="24"/>
      <c r="BV12" s="282"/>
      <c r="BW12" s="282"/>
      <c r="BX12" s="282"/>
      <c r="BY12" s="282"/>
      <c r="BZ12" s="24"/>
      <c r="CA12" s="24"/>
      <c r="CB12" s="282"/>
      <c r="CC12" s="282"/>
      <c r="CD12" s="282"/>
      <c r="CE12" s="282"/>
      <c r="CF12" s="359"/>
      <c r="CG12" s="1068">
        <f>SUM('3 pr-2'!AI13)</f>
        <v>43102</v>
      </c>
      <c r="CH12" s="1068">
        <f>SUM('3 pr-2'!AK13)</f>
        <v>43373</v>
      </c>
      <c r="CI12" s="68">
        <f t="shared" si="57"/>
        <v>85000</v>
      </c>
      <c r="CJ12" s="68">
        <f t="shared" si="58"/>
        <v>0</v>
      </c>
      <c r="CQ12" s="1069">
        <f t="shared" si="13"/>
        <v>125000</v>
      </c>
      <c r="CR12" s="1070">
        <f t="shared" si="14"/>
        <v>85000</v>
      </c>
    </row>
    <row r="13" spans="1:96" ht="37.5" thickTop="1" thickBot="1" x14ac:dyDescent="0.3">
      <c r="A13" s="119" t="str">
        <f>CONCATENATE('3 pr-2'!A14)</f>
        <v>1.1.1.1.5</v>
      </c>
      <c r="B13" s="119" t="str">
        <f>CONCATENATE('3 pr-2'!D14)</f>
        <v>Druskininkų savivaldybės Leipalingio seniūnijos Bilso seniūnaitijos kelių būklės gerinimas</v>
      </c>
      <c r="C13" s="85">
        <f t="shared" si="31"/>
        <v>0</v>
      </c>
      <c r="D13" s="85">
        <f t="shared" si="32"/>
        <v>0</v>
      </c>
      <c r="E13" s="85">
        <f t="shared" si="33"/>
        <v>0</v>
      </c>
      <c r="F13" s="282">
        <f t="shared" si="34"/>
        <v>0</v>
      </c>
      <c r="G13" s="282">
        <f t="shared" si="35"/>
        <v>0</v>
      </c>
      <c r="H13" s="282">
        <f t="shared" si="36"/>
        <v>0</v>
      </c>
      <c r="I13" s="282">
        <f t="shared" si="37"/>
        <v>0</v>
      </c>
      <c r="J13" s="85">
        <f t="shared" si="38"/>
        <v>0</v>
      </c>
      <c r="K13" s="85">
        <f t="shared" si="39"/>
        <v>0</v>
      </c>
      <c r="L13" s="282">
        <f t="shared" si="40"/>
        <v>0</v>
      </c>
      <c r="M13" s="282">
        <f t="shared" si="41"/>
        <v>0</v>
      </c>
      <c r="N13" s="282">
        <f t="shared" si="42"/>
        <v>0</v>
      </c>
      <c r="O13" s="282">
        <f t="shared" si="43"/>
        <v>0</v>
      </c>
      <c r="P13" s="85">
        <f t="shared" si="44"/>
        <v>0</v>
      </c>
      <c r="Q13" s="85">
        <f t="shared" ref="Q13:Q20" si="59">IF(YEAR($Q$2)=YEAR($CG$9),($CH$30-$CG$30)*AJ13,0)</f>
        <v>240940</v>
      </c>
      <c r="R13" s="282">
        <f t="shared" ref="R13:R20" si="60">IF(YEAR($Q$2)=YEAR($CG$9),($CH$30-$CG$30)*AL13,0)</f>
        <v>112896</v>
      </c>
      <c r="S13" s="282">
        <f t="shared" ref="S13:S20" si="61">IF(YEAR($Q$2)=YEAR($CG$9),($CH$30-$CG$30)*AN13,0)</f>
        <v>19207</v>
      </c>
      <c r="T13" s="282">
        <f t="shared" ref="T13:T20" si="62">IF(YEAR($Q$2)=YEAR($CG$9),($CH$30-$CG$30)*AP13,0)</f>
        <v>0</v>
      </c>
      <c r="U13" s="282">
        <f t="shared" ref="U13:U20" si="63">IF(YEAR($Q$2)=YEAR($CG$9),($CH$30-$CG$30)*AR13,0)</f>
        <v>0</v>
      </c>
      <c r="V13" s="85">
        <f t="shared" ref="V13:V20" si="64">IF(YEAR($Q$2)=YEAR($CG$9),($CH$30-$CG$30)*AT13,0)</f>
        <v>108837</v>
      </c>
      <c r="W13" s="85">
        <f t="shared" si="45"/>
        <v>0</v>
      </c>
      <c r="X13" s="282">
        <f t="shared" si="46"/>
        <v>0</v>
      </c>
      <c r="Y13" s="282">
        <f t="shared" si="47"/>
        <v>0</v>
      </c>
      <c r="Z13" s="282">
        <f t="shared" si="48"/>
        <v>0</v>
      </c>
      <c r="AA13" s="282">
        <f t="shared" si="49"/>
        <v>0</v>
      </c>
      <c r="AB13" s="85">
        <f t="shared" si="50"/>
        <v>0</v>
      </c>
      <c r="AC13" s="85">
        <f t="shared" si="51"/>
        <v>0</v>
      </c>
      <c r="AD13" s="282">
        <f t="shared" si="52"/>
        <v>0</v>
      </c>
      <c r="AE13" s="282">
        <f t="shared" si="53"/>
        <v>0</v>
      </c>
      <c r="AF13" s="282">
        <f t="shared" si="54"/>
        <v>0</v>
      </c>
      <c r="AG13" s="282">
        <f t="shared" si="55"/>
        <v>0</v>
      </c>
      <c r="AH13" s="85">
        <f t="shared" si="56"/>
        <v>0</v>
      </c>
      <c r="AI13" s="762">
        <f>SUM('3 pr-2'!L14)</f>
        <v>240940</v>
      </c>
      <c r="AJ13" s="85">
        <f t="shared" si="25"/>
        <v>663.74655647382917</v>
      </c>
      <c r="AK13" s="282">
        <f>SUM('3 pr-2'!O14)</f>
        <v>112896</v>
      </c>
      <c r="AL13" s="282">
        <f t="shared" si="26"/>
        <v>311.0082644628099</v>
      </c>
      <c r="AM13" s="282">
        <f>SUM('3 pr-2'!R14)</f>
        <v>19207</v>
      </c>
      <c r="AN13" s="282">
        <f t="shared" si="27"/>
        <v>52.911845730027551</v>
      </c>
      <c r="AO13" s="282">
        <f>SUM('3 pr-2'!U14)</f>
        <v>0</v>
      </c>
      <c r="AP13" s="774">
        <f t="shared" si="28"/>
        <v>0</v>
      </c>
      <c r="AQ13" s="282">
        <f>SUM('3 pr-2'!X14)</f>
        <v>0</v>
      </c>
      <c r="AR13" s="761">
        <f t="shared" si="29"/>
        <v>0</v>
      </c>
      <c r="AS13" s="13">
        <f>SUM('3 pr-2'!AA14)</f>
        <v>108837</v>
      </c>
      <c r="AT13" s="760">
        <f t="shared" si="30"/>
        <v>299.82644628099172</v>
      </c>
      <c r="AU13" s="1066">
        <v>0</v>
      </c>
      <c r="AV13" s="24">
        <v>0</v>
      </c>
      <c r="AW13" s="24">
        <v>0</v>
      </c>
      <c r="AX13" s="282">
        <v>0</v>
      </c>
      <c r="AY13" s="282">
        <v>0</v>
      </c>
      <c r="AZ13" s="282">
        <v>0</v>
      </c>
      <c r="BA13" s="282">
        <v>0</v>
      </c>
      <c r="BB13" s="24">
        <v>0</v>
      </c>
      <c r="BC13" s="24">
        <v>0</v>
      </c>
      <c r="BD13" s="282">
        <v>0</v>
      </c>
      <c r="BE13" s="282">
        <v>0</v>
      </c>
      <c r="BF13" s="282">
        <v>0</v>
      </c>
      <c r="BG13" s="282">
        <v>0</v>
      </c>
      <c r="BH13" s="24">
        <v>0</v>
      </c>
      <c r="BI13" s="24">
        <v>100</v>
      </c>
      <c r="BJ13" s="282">
        <v>100</v>
      </c>
      <c r="BK13" s="282">
        <v>100</v>
      </c>
      <c r="BL13" s="282">
        <v>100</v>
      </c>
      <c r="BM13" s="282">
        <v>100</v>
      </c>
      <c r="BN13" s="24">
        <v>100</v>
      </c>
      <c r="BO13" s="24">
        <v>0</v>
      </c>
      <c r="BP13" s="282">
        <v>0</v>
      </c>
      <c r="BQ13" s="282">
        <v>0</v>
      </c>
      <c r="BR13" s="282">
        <v>0</v>
      </c>
      <c r="BS13" s="282">
        <v>0</v>
      </c>
      <c r="BT13" s="24">
        <v>0</v>
      </c>
      <c r="BU13" s="24">
        <v>0</v>
      </c>
      <c r="BV13" s="282">
        <v>0</v>
      </c>
      <c r="BW13" s="282">
        <v>0</v>
      </c>
      <c r="BX13" s="282">
        <v>0</v>
      </c>
      <c r="BY13" s="282">
        <v>0</v>
      </c>
      <c r="BZ13" s="24">
        <v>0</v>
      </c>
      <c r="CA13" s="24">
        <v>100</v>
      </c>
      <c r="CB13" s="282">
        <v>100</v>
      </c>
      <c r="CC13" s="282">
        <v>100</v>
      </c>
      <c r="CD13" s="282">
        <v>100</v>
      </c>
      <c r="CE13" s="282">
        <v>100</v>
      </c>
      <c r="CF13" s="359">
        <v>100</v>
      </c>
      <c r="CG13" s="1068">
        <f>SUM('3 pr-2'!AI14)</f>
        <v>43102</v>
      </c>
      <c r="CH13" s="1068">
        <f>SUM('3 pr-2'!AK14)</f>
        <v>43465</v>
      </c>
      <c r="CI13" s="68">
        <f t="shared" si="57"/>
        <v>108837</v>
      </c>
      <c r="CJ13" s="68">
        <f t="shared" si="58"/>
        <v>0</v>
      </c>
      <c r="CQ13" s="1069">
        <f t="shared" ref="CQ13:CQ14" si="65">SUM(E13+K13+Q13+W13+AC13)</f>
        <v>240940</v>
      </c>
      <c r="CR13" s="1070">
        <f t="shared" si="14"/>
        <v>108837</v>
      </c>
    </row>
    <row r="14" spans="1:96" ht="25.5" thickTop="1" thickBot="1" x14ac:dyDescent="0.3">
      <c r="A14" s="119" t="str">
        <f>CONCATENATE('3 pr-2'!A15)</f>
        <v>1.1.1.1.6</v>
      </c>
      <c r="B14" s="119" t="str">
        <f>CONCATENATE('3 pr-2'!D15)</f>
        <v>Lazdijų rajono kaimų patrauklumo didinimas atnaujinant bibliotekas</v>
      </c>
      <c r="C14" s="85">
        <f t="shared" si="31"/>
        <v>0</v>
      </c>
      <c r="D14" s="85">
        <f t="shared" si="32"/>
        <v>0</v>
      </c>
      <c r="E14" s="85">
        <f t="shared" si="33"/>
        <v>0</v>
      </c>
      <c r="F14" s="282">
        <f t="shared" si="34"/>
        <v>0</v>
      </c>
      <c r="G14" s="282">
        <f t="shared" si="35"/>
        <v>0</v>
      </c>
      <c r="H14" s="282">
        <f t="shared" si="36"/>
        <v>0</v>
      </c>
      <c r="I14" s="282">
        <f t="shared" si="37"/>
        <v>0</v>
      </c>
      <c r="J14" s="85">
        <f t="shared" si="38"/>
        <v>0</v>
      </c>
      <c r="K14" s="85">
        <f t="shared" si="39"/>
        <v>0</v>
      </c>
      <c r="L14" s="282">
        <f t="shared" si="40"/>
        <v>0</v>
      </c>
      <c r="M14" s="282">
        <f t="shared" si="41"/>
        <v>0</v>
      </c>
      <c r="N14" s="282">
        <f t="shared" si="42"/>
        <v>0</v>
      </c>
      <c r="O14" s="282">
        <f t="shared" si="43"/>
        <v>0</v>
      </c>
      <c r="P14" s="85">
        <f t="shared" si="44"/>
        <v>0</v>
      </c>
      <c r="Q14" s="85">
        <f>SUM(R14:V14)</f>
        <v>201000</v>
      </c>
      <c r="R14" s="282">
        <f>SUM(AK14)</f>
        <v>40200</v>
      </c>
      <c r="S14" s="282">
        <f>SUM(AM14)</f>
        <v>24120</v>
      </c>
      <c r="T14" s="282">
        <v>0</v>
      </c>
      <c r="U14" s="282">
        <v>0</v>
      </c>
      <c r="V14" s="85">
        <f>SUM(AS14)</f>
        <v>136680</v>
      </c>
      <c r="W14" s="85">
        <f t="shared" si="45"/>
        <v>0</v>
      </c>
      <c r="X14" s="282">
        <f t="shared" si="46"/>
        <v>0</v>
      </c>
      <c r="Y14" s="282">
        <f t="shared" si="47"/>
        <v>0</v>
      </c>
      <c r="Z14" s="282">
        <f t="shared" si="48"/>
        <v>0</v>
      </c>
      <c r="AA14" s="282">
        <f t="shared" si="49"/>
        <v>0</v>
      </c>
      <c r="AB14" s="85">
        <f t="shared" si="50"/>
        <v>0</v>
      </c>
      <c r="AC14" s="85">
        <f t="shared" si="51"/>
        <v>0</v>
      </c>
      <c r="AD14" s="282">
        <f t="shared" si="52"/>
        <v>0</v>
      </c>
      <c r="AE14" s="282">
        <f t="shared" si="53"/>
        <v>0</v>
      </c>
      <c r="AF14" s="282">
        <f t="shared" si="54"/>
        <v>0</v>
      </c>
      <c r="AG14" s="282">
        <f t="shared" si="55"/>
        <v>0</v>
      </c>
      <c r="AH14" s="85">
        <f t="shared" si="56"/>
        <v>0</v>
      </c>
      <c r="AI14" s="762">
        <f>SUM('3 pr-2'!L15)</f>
        <v>201000</v>
      </c>
      <c r="AJ14" s="85">
        <f t="shared" si="25"/>
        <v>741.69741697416976</v>
      </c>
      <c r="AK14" s="282">
        <f>SUM('3 pr-2'!O15)</f>
        <v>40200</v>
      </c>
      <c r="AL14" s="282">
        <f t="shared" si="26"/>
        <v>148.33948339483396</v>
      </c>
      <c r="AM14" s="282">
        <f>SUM('3 pr-2'!R15)</f>
        <v>24120</v>
      </c>
      <c r="AN14" s="282">
        <f t="shared" si="27"/>
        <v>89.003690036900366</v>
      </c>
      <c r="AO14" s="282">
        <f>SUM('3 pr-2'!U15)</f>
        <v>0</v>
      </c>
      <c r="AP14" s="774">
        <f t="shared" si="28"/>
        <v>0</v>
      </c>
      <c r="AQ14" s="282">
        <f>SUM('3 pr-2'!X15)</f>
        <v>0</v>
      </c>
      <c r="AR14" s="761">
        <f t="shared" si="29"/>
        <v>0</v>
      </c>
      <c r="AS14" s="13">
        <f>SUM('3 pr-2'!AA15)</f>
        <v>136680</v>
      </c>
      <c r="AT14" s="760">
        <f t="shared" si="30"/>
        <v>504.35424354243543</v>
      </c>
      <c r="AU14" s="1066"/>
      <c r="AV14" s="24"/>
      <c r="AW14" s="24"/>
      <c r="AX14" s="282"/>
      <c r="AY14" s="282"/>
      <c r="AZ14" s="282"/>
      <c r="BA14" s="282"/>
      <c r="BB14" s="24"/>
      <c r="BC14" s="24"/>
      <c r="BD14" s="282"/>
      <c r="BE14" s="282"/>
      <c r="BF14" s="282"/>
      <c r="BG14" s="282"/>
      <c r="BH14" s="24"/>
      <c r="BI14" s="24"/>
      <c r="BJ14" s="282"/>
      <c r="BK14" s="282"/>
      <c r="BL14" s="282"/>
      <c r="BM14" s="282"/>
      <c r="BN14" s="24"/>
      <c r="BO14" s="24"/>
      <c r="BP14" s="282"/>
      <c r="BQ14" s="282"/>
      <c r="BR14" s="282"/>
      <c r="BS14" s="282"/>
      <c r="BT14" s="24"/>
      <c r="BU14" s="24"/>
      <c r="BV14" s="282"/>
      <c r="BW14" s="282"/>
      <c r="BX14" s="282"/>
      <c r="BY14" s="282"/>
      <c r="BZ14" s="24"/>
      <c r="CA14" s="24"/>
      <c r="CB14" s="282"/>
      <c r="CC14" s="282"/>
      <c r="CD14" s="282"/>
      <c r="CE14" s="282"/>
      <c r="CF14" s="359"/>
      <c r="CG14" s="1068">
        <f>SUM('3 pr-2'!AI15)</f>
        <v>43102</v>
      </c>
      <c r="CH14" s="1068">
        <f>SUM('3 pr-2'!AK15)</f>
        <v>43373</v>
      </c>
      <c r="CI14" s="68">
        <f t="shared" si="57"/>
        <v>136680</v>
      </c>
      <c r="CJ14" s="68">
        <f t="shared" si="58"/>
        <v>0</v>
      </c>
      <c r="CQ14" s="1069">
        <f t="shared" si="65"/>
        <v>201000</v>
      </c>
      <c r="CR14" s="1070">
        <f t="shared" si="14"/>
        <v>136680</v>
      </c>
    </row>
    <row r="15" spans="1:96" ht="37.5" thickTop="1" thickBot="1" x14ac:dyDescent="0.3">
      <c r="A15" s="119" t="str">
        <f>CONCATENATE('3 pr-2'!A16)</f>
        <v>1.1.1.1.7</v>
      </c>
      <c r="B15" s="119" t="str">
        <f>CONCATENATE('3 pr-2'!D16)</f>
        <v>Alytaus rajono Miroslavo kaimo multifunkcinės sporto aikštės įrengimas ir gatvių bei šaligatvių rekonstrukcija</v>
      </c>
      <c r="C15" s="85">
        <f t="shared" si="31"/>
        <v>0</v>
      </c>
      <c r="D15" s="85">
        <f t="shared" si="32"/>
        <v>0</v>
      </c>
      <c r="E15" s="85">
        <f t="shared" si="33"/>
        <v>0</v>
      </c>
      <c r="F15" s="282">
        <f t="shared" si="34"/>
        <v>0</v>
      </c>
      <c r="G15" s="282">
        <f t="shared" si="35"/>
        <v>0</v>
      </c>
      <c r="H15" s="282">
        <f t="shared" si="36"/>
        <v>0</v>
      </c>
      <c r="I15" s="282">
        <f t="shared" si="37"/>
        <v>0</v>
      </c>
      <c r="J15" s="85">
        <f t="shared" si="38"/>
        <v>0</v>
      </c>
      <c r="K15" s="85">
        <f t="shared" si="39"/>
        <v>0</v>
      </c>
      <c r="L15" s="282">
        <f t="shared" si="40"/>
        <v>0</v>
      </c>
      <c r="M15" s="282">
        <f t="shared" si="41"/>
        <v>0</v>
      </c>
      <c r="N15" s="282">
        <f t="shared" si="42"/>
        <v>0</v>
      </c>
      <c r="O15" s="282">
        <f t="shared" si="43"/>
        <v>0</v>
      </c>
      <c r="P15" s="85">
        <f t="shared" si="44"/>
        <v>0</v>
      </c>
      <c r="Q15" s="85">
        <f>SUM(R15:V15)</f>
        <v>252212</v>
      </c>
      <c r="R15" s="282">
        <f>SUM(AK15)</f>
        <v>52212</v>
      </c>
      <c r="S15" s="282">
        <f>SUM(AM15)</f>
        <v>30000</v>
      </c>
      <c r="T15" s="282">
        <v>0</v>
      </c>
      <c r="U15" s="282">
        <v>0</v>
      </c>
      <c r="V15" s="85">
        <f>SUM(AS15)</f>
        <v>170000</v>
      </c>
      <c r="W15" s="85">
        <f t="shared" si="45"/>
        <v>0</v>
      </c>
      <c r="X15" s="282">
        <f t="shared" si="46"/>
        <v>0</v>
      </c>
      <c r="Y15" s="282">
        <f t="shared" si="47"/>
        <v>0</v>
      </c>
      <c r="Z15" s="282">
        <f t="shared" si="48"/>
        <v>0</v>
      </c>
      <c r="AA15" s="282">
        <f t="shared" si="49"/>
        <v>0</v>
      </c>
      <c r="AB15" s="85">
        <f t="shared" si="50"/>
        <v>0</v>
      </c>
      <c r="AC15" s="85">
        <f t="shared" si="51"/>
        <v>0</v>
      </c>
      <c r="AD15" s="282">
        <f t="shared" si="52"/>
        <v>0</v>
      </c>
      <c r="AE15" s="282">
        <f t="shared" si="53"/>
        <v>0</v>
      </c>
      <c r="AF15" s="282">
        <f t="shared" si="54"/>
        <v>0</v>
      </c>
      <c r="AG15" s="282">
        <f t="shared" si="55"/>
        <v>0</v>
      </c>
      <c r="AH15" s="85">
        <f t="shared" si="56"/>
        <v>0</v>
      </c>
      <c r="AI15" s="762">
        <f>SUM('3 pr-2'!L16)</f>
        <v>252212</v>
      </c>
      <c r="AJ15" s="85">
        <f t="shared" si="25"/>
        <v>694.79889807162533</v>
      </c>
      <c r="AK15" s="282">
        <f>SUM('3 pr-2'!O16)</f>
        <v>52212</v>
      </c>
      <c r="AL15" s="282">
        <f t="shared" si="26"/>
        <v>143.83471074380165</v>
      </c>
      <c r="AM15" s="282">
        <f>SUM('3 pr-2'!R16)</f>
        <v>30000</v>
      </c>
      <c r="AN15" s="282">
        <f t="shared" si="27"/>
        <v>82.644628099173559</v>
      </c>
      <c r="AO15" s="282">
        <f>SUM('3 pr-2'!U16)</f>
        <v>0</v>
      </c>
      <c r="AP15" s="774">
        <f t="shared" si="28"/>
        <v>0</v>
      </c>
      <c r="AQ15" s="282">
        <f>SUM('3 pr-2'!X16)</f>
        <v>0</v>
      </c>
      <c r="AR15" s="761">
        <f t="shared" si="29"/>
        <v>0</v>
      </c>
      <c r="AS15" s="13">
        <f>SUM('3 pr-2'!AA16)</f>
        <v>170000</v>
      </c>
      <c r="AT15" s="760">
        <f t="shared" si="30"/>
        <v>468.31955922865012</v>
      </c>
      <c r="AU15" s="1066">
        <v>0</v>
      </c>
      <c r="AV15" s="24">
        <v>0</v>
      </c>
      <c r="AW15" s="24">
        <v>0</v>
      </c>
      <c r="AX15" s="282">
        <v>0</v>
      </c>
      <c r="AY15" s="282">
        <v>0</v>
      </c>
      <c r="AZ15" s="282">
        <v>0</v>
      </c>
      <c r="BA15" s="282">
        <v>0</v>
      </c>
      <c r="BB15" s="24">
        <v>0</v>
      </c>
      <c r="BC15" s="24">
        <v>100</v>
      </c>
      <c r="BD15" s="282">
        <v>100</v>
      </c>
      <c r="BE15" s="282">
        <v>100</v>
      </c>
      <c r="BF15" s="282">
        <v>100</v>
      </c>
      <c r="BG15" s="282">
        <v>100</v>
      </c>
      <c r="BH15" s="24">
        <v>100</v>
      </c>
      <c r="BI15" s="24">
        <v>0</v>
      </c>
      <c r="BJ15" s="282">
        <v>0</v>
      </c>
      <c r="BK15" s="282">
        <v>0</v>
      </c>
      <c r="BL15" s="282">
        <v>0</v>
      </c>
      <c r="BM15" s="282">
        <v>0</v>
      </c>
      <c r="BN15" s="24">
        <v>0</v>
      </c>
      <c r="BO15" s="24">
        <v>0</v>
      </c>
      <c r="BP15" s="282">
        <v>0</v>
      </c>
      <c r="BQ15" s="282">
        <v>0</v>
      </c>
      <c r="BR15" s="282">
        <v>0</v>
      </c>
      <c r="BS15" s="282">
        <v>0</v>
      </c>
      <c r="BT15" s="24">
        <v>0</v>
      </c>
      <c r="BU15" s="24">
        <v>0</v>
      </c>
      <c r="BV15" s="282">
        <v>0</v>
      </c>
      <c r="BW15" s="282">
        <v>0</v>
      </c>
      <c r="BX15" s="282">
        <v>0</v>
      </c>
      <c r="BY15" s="282">
        <v>0</v>
      </c>
      <c r="BZ15" s="24">
        <v>0</v>
      </c>
      <c r="CA15" s="24">
        <v>100</v>
      </c>
      <c r="CB15" s="282">
        <v>100</v>
      </c>
      <c r="CC15" s="282">
        <v>100</v>
      </c>
      <c r="CD15" s="282">
        <v>100</v>
      </c>
      <c r="CE15" s="282">
        <v>100</v>
      </c>
      <c r="CF15" s="359">
        <v>100</v>
      </c>
      <c r="CG15" s="1068">
        <f>SUM('3 pr-2'!AI16)</f>
        <v>43102</v>
      </c>
      <c r="CH15" s="1068">
        <f>SUM('3 pr-2'!AK16)</f>
        <v>43465</v>
      </c>
      <c r="CI15" s="68">
        <f t="shared" si="57"/>
        <v>170000</v>
      </c>
      <c r="CJ15" s="68">
        <f t="shared" si="58"/>
        <v>0</v>
      </c>
      <c r="CQ15" s="1069">
        <f t="shared" ref="CQ15:CQ17" si="66">SUM(E15+K15+Q15+W15+AC15)</f>
        <v>252212</v>
      </c>
      <c r="CR15" s="1070">
        <f t="shared" si="14"/>
        <v>170000</v>
      </c>
    </row>
    <row r="16" spans="1:96" ht="37.5" thickTop="1" thickBot="1" x14ac:dyDescent="0.3">
      <c r="A16" s="119" t="str">
        <f>CONCATENATE('3 pr-2'!A17)</f>
        <v>1.1.1.1.8</v>
      </c>
      <c r="B16" s="119" t="str">
        <f>CONCATENATE('3 pr-2'!D17)</f>
        <v>Alytaus rajono Luksnėnų kaimo multifunkcinės sporto aikštės įrengimas ir gatvių rekonstrukcija</v>
      </c>
      <c r="C16" s="85">
        <f t="shared" si="31"/>
        <v>0</v>
      </c>
      <c r="D16" s="85">
        <f t="shared" si="32"/>
        <v>0</v>
      </c>
      <c r="E16" s="85">
        <f t="shared" si="33"/>
        <v>0</v>
      </c>
      <c r="F16" s="282">
        <f t="shared" si="34"/>
        <v>0</v>
      </c>
      <c r="G16" s="282">
        <f t="shared" si="35"/>
        <v>0</v>
      </c>
      <c r="H16" s="282">
        <f t="shared" si="36"/>
        <v>0</v>
      </c>
      <c r="I16" s="282">
        <f t="shared" si="37"/>
        <v>0</v>
      </c>
      <c r="J16" s="85">
        <f t="shared" si="38"/>
        <v>0</v>
      </c>
      <c r="K16" s="85">
        <f t="shared" si="39"/>
        <v>0</v>
      </c>
      <c r="L16" s="282">
        <f t="shared" si="40"/>
        <v>0</v>
      </c>
      <c r="M16" s="282">
        <f t="shared" si="41"/>
        <v>0</v>
      </c>
      <c r="N16" s="282">
        <f t="shared" si="42"/>
        <v>0</v>
      </c>
      <c r="O16" s="282">
        <f t="shared" si="43"/>
        <v>0</v>
      </c>
      <c r="P16" s="85">
        <f t="shared" si="44"/>
        <v>0</v>
      </c>
      <c r="Q16" s="85">
        <f t="shared" si="59"/>
        <v>250309</v>
      </c>
      <c r="R16" s="282">
        <f t="shared" si="60"/>
        <v>50309</v>
      </c>
      <c r="S16" s="282">
        <f t="shared" si="61"/>
        <v>30000.000000000004</v>
      </c>
      <c r="T16" s="282">
        <f t="shared" si="62"/>
        <v>0</v>
      </c>
      <c r="U16" s="282">
        <f t="shared" si="63"/>
        <v>0</v>
      </c>
      <c r="V16" s="85">
        <f t="shared" si="64"/>
        <v>170000</v>
      </c>
      <c r="W16" s="85">
        <f t="shared" si="45"/>
        <v>0</v>
      </c>
      <c r="X16" s="282">
        <f t="shared" si="46"/>
        <v>0</v>
      </c>
      <c r="Y16" s="282">
        <f t="shared" si="47"/>
        <v>0</v>
      </c>
      <c r="Z16" s="282">
        <f t="shared" si="48"/>
        <v>0</v>
      </c>
      <c r="AA16" s="282">
        <f t="shared" si="49"/>
        <v>0</v>
      </c>
      <c r="AB16" s="85">
        <f t="shared" si="50"/>
        <v>0</v>
      </c>
      <c r="AC16" s="85">
        <f t="shared" si="51"/>
        <v>0</v>
      </c>
      <c r="AD16" s="282">
        <f t="shared" si="52"/>
        <v>0</v>
      </c>
      <c r="AE16" s="282">
        <f t="shared" si="53"/>
        <v>0</v>
      </c>
      <c r="AF16" s="282">
        <f t="shared" si="54"/>
        <v>0</v>
      </c>
      <c r="AG16" s="282">
        <f t="shared" si="55"/>
        <v>0</v>
      </c>
      <c r="AH16" s="85">
        <f t="shared" si="56"/>
        <v>0</v>
      </c>
      <c r="AI16" s="762">
        <f>SUM('3 pr-2'!L17)</f>
        <v>250309</v>
      </c>
      <c r="AJ16" s="85">
        <f t="shared" si="25"/>
        <v>689.55647382920108</v>
      </c>
      <c r="AK16" s="282">
        <f>SUM('3 pr-2'!O17)</f>
        <v>50309</v>
      </c>
      <c r="AL16" s="282">
        <f t="shared" si="26"/>
        <v>138.5922865013774</v>
      </c>
      <c r="AM16" s="282">
        <f>SUM('3 pr-2'!R17)</f>
        <v>30000</v>
      </c>
      <c r="AN16" s="282">
        <f t="shared" si="27"/>
        <v>82.644628099173559</v>
      </c>
      <c r="AO16" s="282">
        <f>SUM('3 pr-2'!U17)</f>
        <v>0</v>
      </c>
      <c r="AP16" s="774">
        <f t="shared" si="28"/>
        <v>0</v>
      </c>
      <c r="AQ16" s="282">
        <f>SUM('3 pr-2'!X17)</f>
        <v>0</v>
      </c>
      <c r="AR16" s="761">
        <f t="shared" si="29"/>
        <v>0</v>
      </c>
      <c r="AS16" s="13">
        <f>SUM('3 pr-2'!AA17)</f>
        <v>170000</v>
      </c>
      <c r="AT16" s="760">
        <f t="shared" si="30"/>
        <v>468.31955922865012</v>
      </c>
      <c r="AU16" s="1066"/>
      <c r="AV16" s="24"/>
      <c r="AW16" s="24"/>
      <c r="AX16" s="282"/>
      <c r="AY16" s="282"/>
      <c r="AZ16" s="282"/>
      <c r="BA16" s="282"/>
      <c r="BB16" s="24"/>
      <c r="BC16" s="24"/>
      <c r="BD16" s="282"/>
      <c r="BE16" s="282"/>
      <c r="BF16" s="282"/>
      <c r="BG16" s="282"/>
      <c r="BH16" s="24"/>
      <c r="BI16" s="24"/>
      <c r="BJ16" s="282"/>
      <c r="BK16" s="282"/>
      <c r="BL16" s="282"/>
      <c r="BM16" s="282"/>
      <c r="BN16" s="24"/>
      <c r="BO16" s="24"/>
      <c r="BP16" s="282"/>
      <c r="BQ16" s="282"/>
      <c r="BR16" s="282"/>
      <c r="BS16" s="282"/>
      <c r="BT16" s="24"/>
      <c r="BU16" s="24"/>
      <c r="BV16" s="282"/>
      <c r="BW16" s="282"/>
      <c r="BX16" s="282"/>
      <c r="BY16" s="282"/>
      <c r="BZ16" s="24"/>
      <c r="CA16" s="24"/>
      <c r="CB16" s="282"/>
      <c r="CC16" s="282"/>
      <c r="CD16" s="282"/>
      <c r="CE16" s="282"/>
      <c r="CF16" s="359"/>
      <c r="CG16" s="1068">
        <f>SUM('3 pr-2'!AI17)</f>
        <v>43102</v>
      </c>
      <c r="CH16" s="1068">
        <f>SUM('3 pr-2'!AK17)</f>
        <v>43465</v>
      </c>
      <c r="CI16" s="68">
        <f t="shared" si="57"/>
        <v>170000</v>
      </c>
      <c r="CJ16" s="68">
        <f t="shared" si="58"/>
        <v>0</v>
      </c>
      <c r="CQ16" s="1069">
        <f t="shared" si="66"/>
        <v>250309</v>
      </c>
      <c r="CR16" s="1070">
        <f t="shared" si="14"/>
        <v>170000</v>
      </c>
    </row>
    <row r="17" spans="1:96" ht="25.5" thickTop="1" thickBot="1" x14ac:dyDescent="0.3">
      <c r="A17" s="119" t="str">
        <f>CONCATENATE('3 pr-2'!A18)</f>
        <v>1.1.1.1.9</v>
      </c>
      <c r="B17" s="119" t="str">
        <f>CONCATENATE('3 pr-2'!D18)</f>
        <v>Krikštonių laisvalaikio salės pritaikymas bendruomenės poreikiams</v>
      </c>
      <c r="C17" s="85">
        <f t="shared" si="31"/>
        <v>0</v>
      </c>
      <c r="D17" s="85">
        <f t="shared" si="32"/>
        <v>0</v>
      </c>
      <c r="E17" s="85">
        <f t="shared" si="33"/>
        <v>0</v>
      </c>
      <c r="F17" s="282">
        <f t="shared" si="34"/>
        <v>0</v>
      </c>
      <c r="G17" s="282">
        <f t="shared" si="35"/>
        <v>0</v>
      </c>
      <c r="H17" s="282">
        <f t="shared" si="36"/>
        <v>0</v>
      </c>
      <c r="I17" s="282">
        <f t="shared" si="37"/>
        <v>0</v>
      </c>
      <c r="J17" s="85">
        <f t="shared" si="38"/>
        <v>0</v>
      </c>
      <c r="K17" s="85">
        <f t="shared" si="39"/>
        <v>0</v>
      </c>
      <c r="L17" s="282">
        <f t="shared" si="40"/>
        <v>0</v>
      </c>
      <c r="M17" s="282">
        <f t="shared" si="41"/>
        <v>0</v>
      </c>
      <c r="N17" s="282">
        <f t="shared" si="42"/>
        <v>0</v>
      </c>
      <c r="O17" s="282">
        <f t="shared" si="43"/>
        <v>0</v>
      </c>
      <c r="P17" s="85">
        <f t="shared" si="44"/>
        <v>0</v>
      </c>
      <c r="Q17" s="85">
        <f>SUM(R17:V17)</f>
        <v>250000</v>
      </c>
      <c r="R17" s="282">
        <f>SUM(AK17)</f>
        <v>50000</v>
      </c>
      <c r="S17" s="282">
        <f>SUM(AM17)</f>
        <v>30000</v>
      </c>
      <c r="T17" s="282">
        <v>0</v>
      </c>
      <c r="U17" s="282">
        <v>0</v>
      </c>
      <c r="V17" s="85">
        <f>SUM(AS17)</f>
        <v>170000</v>
      </c>
      <c r="W17" s="85">
        <f t="shared" si="45"/>
        <v>0</v>
      </c>
      <c r="X17" s="282">
        <f t="shared" si="46"/>
        <v>0</v>
      </c>
      <c r="Y17" s="282">
        <f t="shared" si="47"/>
        <v>0</v>
      </c>
      <c r="Z17" s="282">
        <f t="shared" si="48"/>
        <v>0</v>
      </c>
      <c r="AA17" s="282">
        <f t="shared" si="49"/>
        <v>0</v>
      </c>
      <c r="AB17" s="85">
        <f t="shared" si="50"/>
        <v>0</v>
      </c>
      <c r="AC17" s="85">
        <f t="shared" si="51"/>
        <v>0</v>
      </c>
      <c r="AD17" s="282">
        <f t="shared" si="52"/>
        <v>0</v>
      </c>
      <c r="AE17" s="282">
        <f t="shared" si="53"/>
        <v>0</v>
      </c>
      <c r="AF17" s="282">
        <f t="shared" si="54"/>
        <v>0</v>
      </c>
      <c r="AG17" s="282">
        <f t="shared" si="55"/>
        <v>0</v>
      </c>
      <c r="AH17" s="85">
        <f t="shared" si="56"/>
        <v>0</v>
      </c>
      <c r="AI17" s="762">
        <f>SUM('3 pr-2'!L18)</f>
        <v>250000</v>
      </c>
      <c r="AJ17" s="85">
        <f t="shared" si="25"/>
        <v>922.50922509225097</v>
      </c>
      <c r="AK17" s="282">
        <f>SUM('3 pr-2'!O18)</f>
        <v>50000</v>
      </c>
      <c r="AL17" s="282">
        <f t="shared" si="26"/>
        <v>184.50184501845018</v>
      </c>
      <c r="AM17" s="282">
        <f>SUM('3 pr-2'!R18)</f>
        <v>30000</v>
      </c>
      <c r="AN17" s="282">
        <f t="shared" si="27"/>
        <v>110.70110701107011</v>
      </c>
      <c r="AO17" s="282">
        <f>SUM('3 pr-2'!U18)</f>
        <v>0</v>
      </c>
      <c r="AP17" s="774">
        <f t="shared" si="28"/>
        <v>0</v>
      </c>
      <c r="AQ17" s="282">
        <f>SUM('3 pr-2'!X18)</f>
        <v>0</v>
      </c>
      <c r="AR17" s="761">
        <f t="shared" si="29"/>
        <v>0</v>
      </c>
      <c r="AS17" s="13">
        <f>SUM('3 pr-2'!AA18)</f>
        <v>170000</v>
      </c>
      <c r="AT17" s="760">
        <f t="shared" si="30"/>
        <v>627.30627306273061</v>
      </c>
      <c r="AU17" s="1066"/>
      <c r="AV17" s="24"/>
      <c r="AW17" s="24"/>
      <c r="AX17" s="282"/>
      <c r="AY17" s="282"/>
      <c r="AZ17" s="282"/>
      <c r="BA17" s="282"/>
      <c r="BB17" s="24"/>
      <c r="BC17" s="24"/>
      <c r="BD17" s="282"/>
      <c r="BE17" s="282"/>
      <c r="BF17" s="282"/>
      <c r="BG17" s="282"/>
      <c r="BH17" s="24"/>
      <c r="BI17" s="24"/>
      <c r="BJ17" s="282"/>
      <c r="BK17" s="282"/>
      <c r="BL17" s="282"/>
      <c r="BM17" s="282"/>
      <c r="BN17" s="24"/>
      <c r="BO17" s="24"/>
      <c r="BP17" s="282"/>
      <c r="BQ17" s="282"/>
      <c r="BR17" s="282"/>
      <c r="BS17" s="282"/>
      <c r="BT17" s="24"/>
      <c r="BU17" s="24"/>
      <c r="BV17" s="282"/>
      <c r="BW17" s="282"/>
      <c r="BX17" s="282"/>
      <c r="BY17" s="282"/>
      <c r="BZ17" s="24"/>
      <c r="CA17" s="24"/>
      <c r="CB17" s="282"/>
      <c r="CC17" s="282"/>
      <c r="CD17" s="282"/>
      <c r="CE17" s="282"/>
      <c r="CF17" s="359"/>
      <c r="CG17" s="1068">
        <f>SUM('3 pr-2'!AI18)</f>
        <v>43102</v>
      </c>
      <c r="CH17" s="1068">
        <f>SUM('3 pr-2'!AK18)</f>
        <v>43373</v>
      </c>
      <c r="CI17" s="68">
        <f t="shared" si="57"/>
        <v>170000</v>
      </c>
      <c r="CJ17" s="68">
        <f t="shared" si="58"/>
        <v>0</v>
      </c>
      <c r="CQ17" s="1069">
        <f t="shared" si="66"/>
        <v>250000</v>
      </c>
      <c r="CR17" s="1070">
        <f t="shared" si="14"/>
        <v>170000</v>
      </c>
    </row>
    <row r="18" spans="1:96" ht="25.5" thickTop="1" thickBot="1" x14ac:dyDescent="0.3">
      <c r="A18" s="119" t="str">
        <f>CONCATENATE('3 pr-2'!A19)</f>
        <v>1.1.1.1.10</v>
      </c>
      <c r="B18" s="119" t="str">
        <f>CONCATENATE('3 pr-2'!D19)</f>
        <v>Kučiūnų laisvalaikio salės pritaikymas bendruomenės poreikiams</v>
      </c>
      <c r="C18" s="85">
        <f t="shared" si="31"/>
        <v>0</v>
      </c>
      <c r="D18" s="85">
        <f t="shared" si="32"/>
        <v>0</v>
      </c>
      <c r="E18" s="85">
        <f t="shared" si="33"/>
        <v>0</v>
      </c>
      <c r="F18" s="282">
        <f t="shared" si="34"/>
        <v>0</v>
      </c>
      <c r="G18" s="282">
        <f t="shared" si="35"/>
        <v>0</v>
      </c>
      <c r="H18" s="282">
        <f t="shared" si="36"/>
        <v>0</v>
      </c>
      <c r="I18" s="282">
        <f t="shared" si="37"/>
        <v>0</v>
      </c>
      <c r="J18" s="85">
        <f t="shared" si="38"/>
        <v>0</v>
      </c>
      <c r="K18" s="85">
        <f t="shared" si="39"/>
        <v>0</v>
      </c>
      <c r="L18" s="282">
        <f t="shared" si="40"/>
        <v>0</v>
      </c>
      <c r="M18" s="282">
        <f t="shared" si="41"/>
        <v>0</v>
      </c>
      <c r="N18" s="282">
        <f t="shared" si="42"/>
        <v>0</v>
      </c>
      <c r="O18" s="282">
        <f t="shared" si="43"/>
        <v>0</v>
      </c>
      <c r="P18" s="85">
        <f t="shared" si="44"/>
        <v>0</v>
      </c>
      <c r="Q18" s="85">
        <f>SUM(R18:V18)</f>
        <v>250000</v>
      </c>
      <c r="R18" s="282">
        <f>SUM(AK18)</f>
        <v>50000</v>
      </c>
      <c r="S18" s="282">
        <f>SUM(AM18)</f>
        <v>30000</v>
      </c>
      <c r="T18" s="282">
        <v>0</v>
      </c>
      <c r="U18" s="282">
        <v>0</v>
      </c>
      <c r="V18" s="85">
        <f>SUM(AS18)</f>
        <v>170000</v>
      </c>
      <c r="W18" s="85">
        <f t="shared" si="45"/>
        <v>0</v>
      </c>
      <c r="X18" s="282">
        <f t="shared" si="46"/>
        <v>0</v>
      </c>
      <c r="Y18" s="282">
        <f t="shared" si="47"/>
        <v>0</v>
      </c>
      <c r="Z18" s="282">
        <f t="shared" si="48"/>
        <v>0</v>
      </c>
      <c r="AA18" s="282">
        <f t="shared" si="49"/>
        <v>0</v>
      </c>
      <c r="AB18" s="85">
        <f t="shared" si="50"/>
        <v>0</v>
      </c>
      <c r="AC18" s="85">
        <f t="shared" si="51"/>
        <v>0</v>
      </c>
      <c r="AD18" s="282">
        <f t="shared" si="52"/>
        <v>0</v>
      </c>
      <c r="AE18" s="282">
        <f t="shared" si="53"/>
        <v>0</v>
      </c>
      <c r="AF18" s="282">
        <f t="shared" si="54"/>
        <v>0</v>
      </c>
      <c r="AG18" s="282">
        <f t="shared" si="55"/>
        <v>0</v>
      </c>
      <c r="AH18" s="85">
        <f t="shared" si="56"/>
        <v>0</v>
      </c>
      <c r="AI18" s="762">
        <f>SUM('3 pr-2'!L19)</f>
        <v>250000</v>
      </c>
      <c r="AJ18" s="85">
        <f t="shared" si="25"/>
        <v>1322.7513227513227</v>
      </c>
      <c r="AK18" s="282">
        <f>SUM('3 pr-2'!O19)</f>
        <v>50000</v>
      </c>
      <c r="AL18" s="282">
        <f t="shared" si="26"/>
        <v>264.55026455026456</v>
      </c>
      <c r="AM18" s="282">
        <f>SUM('3 pr-2'!R19)</f>
        <v>30000</v>
      </c>
      <c r="AN18" s="282">
        <f t="shared" si="27"/>
        <v>158.73015873015873</v>
      </c>
      <c r="AO18" s="282">
        <f>SUM('3 pr-2'!U19)</f>
        <v>0</v>
      </c>
      <c r="AP18" s="774">
        <f t="shared" si="28"/>
        <v>0</v>
      </c>
      <c r="AQ18" s="282">
        <f>SUM('3 pr-2'!X19)</f>
        <v>0</v>
      </c>
      <c r="AR18" s="761">
        <f t="shared" si="29"/>
        <v>0</v>
      </c>
      <c r="AS18" s="13">
        <f>SUM('3 pr-2'!AA19)</f>
        <v>170000</v>
      </c>
      <c r="AT18" s="760">
        <f t="shared" si="30"/>
        <v>899.47089947089944</v>
      </c>
      <c r="AU18" s="1066"/>
      <c r="AV18" s="24"/>
      <c r="AW18" s="24"/>
      <c r="AX18" s="282"/>
      <c r="AY18" s="282"/>
      <c r="AZ18" s="282"/>
      <c r="BA18" s="282"/>
      <c r="BB18" s="24"/>
      <c r="BC18" s="24"/>
      <c r="BD18" s="282"/>
      <c r="BE18" s="282"/>
      <c r="BF18" s="282"/>
      <c r="BG18" s="282"/>
      <c r="BH18" s="24"/>
      <c r="BI18" s="24"/>
      <c r="BJ18" s="282"/>
      <c r="BK18" s="282"/>
      <c r="BL18" s="282"/>
      <c r="BM18" s="282"/>
      <c r="BN18" s="24"/>
      <c r="BO18" s="24"/>
      <c r="BP18" s="282"/>
      <c r="BQ18" s="282"/>
      <c r="BR18" s="282"/>
      <c r="BS18" s="282"/>
      <c r="BT18" s="24"/>
      <c r="BU18" s="24"/>
      <c r="BV18" s="282"/>
      <c r="BW18" s="282"/>
      <c r="BX18" s="282"/>
      <c r="BY18" s="282"/>
      <c r="BZ18" s="24"/>
      <c r="CA18" s="24"/>
      <c r="CB18" s="282"/>
      <c r="CC18" s="282"/>
      <c r="CD18" s="282"/>
      <c r="CE18" s="282"/>
      <c r="CF18" s="359"/>
      <c r="CG18" s="1068">
        <f>SUM('3 pr-2'!AI19)</f>
        <v>43102</v>
      </c>
      <c r="CH18" s="1068">
        <f>SUM('3 pr-2'!AK19)</f>
        <v>43291</v>
      </c>
      <c r="CI18" s="68">
        <f t="shared" si="57"/>
        <v>170000</v>
      </c>
      <c r="CJ18" s="68">
        <f t="shared" si="58"/>
        <v>0</v>
      </c>
      <c r="CQ18" s="1069">
        <f t="shared" ref="CQ18:CQ20" si="67">SUM(E18+K18+Q18+W18+AC18)</f>
        <v>250000</v>
      </c>
      <c r="CR18" s="1070">
        <f t="shared" si="14"/>
        <v>170000</v>
      </c>
    </row>
    <row r="19" spans="1:96" ht="37.5" thickTop="1" thickBot="1" x14ac:dyDescent="0.3">
      <c r="A19" s="119" t="str">
        <f>CONCATENATE('3 pr-2'!A20)</f>
        <v>1.1.1.1.11</v>
      </c>
      <c r="B19" s="119" t="str">
        <f>CONCATENATE('3 pr-2'!D20)</f>
        <v>Laisvalaikio infrastruktūros sukūrimas Lazdijų rajono kaimo gyvenamosiose vietovėse</v>
      </c>
      <c r="C19" s="85">
        <f t="shared" si="31"/>
        <v>0</v>
      </c>
      <c r="D19" s="85">
        <f t="shared" si="32"/>
        <v>0</v>
      </c>
      <c r="E19" s="85">
        <f t="shared" si="33"/>
        <v>0</v>
      </c>
      <c r="F19" s="282">
        <f t="shared" si="34"/>
        <v>0</v>
      </c>
      <c r="G19" s="282">
        <f t="shared" si="35"/>
        <v>0</v>
      </c>
      <c r="H19" s="282">
        <f t="shared" si="36"/>
        <v>0</v>
      </c>
      <c r="I19" s="282">
        <f t="shared" si="37"/>
        <v>0</v>
      </c>
      <c r="J19" s="85">
        <f t="shared" si="38"/>
        <v>0</v>
      </c>
      <c r="K19" s="85">
        <f t="shared" si="39"/>
        <v>0</v>
      </c>
      <c r="L19" s="282">
        <f t="shared" si="40"/>
        <v>0</v>
      </c>
      <c r="M19" s="282">
        <f t="shared" si="41"/>
        <v>0</v>
      </c>
      <c r="N19" s="282">
        <f t="shared" si="42"/>
        <v>0</v>
      </c>
      <c r="O19" s="282">
        <f t="shared" si="43"/>
        <v>0</v>
      </c>
      <c r="P19" s="85">
        <f t="shared" si="44"/>
        <v>0</v>
      </c>
      <c r="Q19" s="85">
        <f>SUM(R19:V19)</f>
        <v>125000</v>
      </c>
      <c r="R19" s="282">
        <f>SUM(AK19)</f>
        <v>25000</v>
      </c>
      <c r="S19" s="282">
        <f>SUM(AM19)</f>
        <v>15000</v>
      </c>
      <c r="T19" s="282">
        <v>0</v>
      </c>
      <c r="U19" s="282">
        <v>0</v>
      </c>
      <c r="V19" s="85">
        <f>SUM(AS19)</f>
        <v>85000</v>
      </c>
      <c r="W19" s="85">
        <f t="shared" si="45"/>
        <v>0</v>
      </c>
      <c r="X19" s="282">
        <f t="shared" si="46"/>
        <v>0</v>
      </c>
      <c r="Y19" s="282">
        <f t="shared" si="47"/>
        <v>0</v>
      </c>
      <c r="Z19" s="282">
        <f t="shared" si="48"/>
        <v>0</v>
      </c>
      <c r="AA19" s="282">
        <f t="shared" si="49"/>
        <v>0</v>
      </c>
      <c r="AB19" s="85">
        <f t="shared" si="50"/>
        <v>0</v>
      </c>
      <c r="AC19" s="85">
        <f t="shared" si="51"/>
        <v>0</v>
      </c>
      <c r="AD19" s="282">
        <f t="shared" si="52"/>
        <v>0</v>
      </c>
      <c r="AE19" s="282">
        <f t="shared" si="53"/>
        <v>0</v>
      </c>
      <c r="AF19" s="282">
        <f t="shared" si="54"/>
        <v>0</v>
      </c>
      <c r="AG19" s="282">
        <f t="shared" si="55"/>
        <v>0</v>
      </c>
      <c r="AH19" s="85">
        <f t="shared" si="56"/>
        <v>0</v>
      </c>
      <c r="AI19" s="762">
        <f>SUM('3 pr-2'!L20)</f>
        <v>125000</v>
      </c>
      <c r="AJ19" s="85">
        <f t="shared" si="25"/>
        <v>657.89473684210532</v>
      </c>
      <c r="AK19" s="282">
        <f>SUM('3 pr-2'!O20)</f>
        <v>25000</v>
      </c>
      <c r="AL19" s="282">
        <f t="shared" si="26"/>
        <v>131.57894736842104</v>
      </c>
      <c r="AM19" s="282">
        <f>SUM('3 pr-2'!R20)</f>
        <v>15000</v>
      </c>
      <c r="AN19" s="282">
        <f t="shared" si="27"/>
        <v>78.94736842105263</v>
      </c>
      <c r="AO19" s="282">
        <f>SUM('3 pr-2'!U20)</f>
        <v>0</v>
      </c>
      <c r="AP19" s="774">
        <f t="shared" si="28"/>
        <v>0</v>
      </c>
      <c r="AQ19" s="282">
        <f>SUM('3 pr-2'!X20)</f>
        <v>0</v>
      </c>
      <c r="AR19" s="761">
        <f t="shared" si="29"/>
        <v>0</v>
      </c>
      <c r="AS19" s="13">
        <f>SUM('3 pr-2'!AA20)</f>
        <v>85000</v>
      </c>
      <c r="AT19" s="760">
        <f t="shared" si="30"/>
        <v>447.36842105263156</v>
      </c>
      <c r="AU19" s="1066"/>
      <c r="AV19" s="1066"/>
      <c r="AW19" s="1066"/>
      <c r="AX19" s="282"/>
      <c r="AY19" s="282"/>
      <c r="AZ19" s="282"/>
      <c r="BA19" s="282"/>
      <c r="BB19" s="1066"/>
      <c r="BC19" s="24"/>
      <c r="BD19" s="282"/>
      <c r="BE19" s="282"/>
      <c r="BF19" s="282"/>
      <c r="BG19" s="282"/>
      <c r="BH19" s="24"/>
      <c r="BI19" s="24"/>
      <c r="BJ19" s="282"/>
      <c r="BK19" s="282"/>
      <c r="BL19" s="282"/>
      <c r="BM19" s="282"/>
      <c r="BN19" s="24"/>
      <c r="BO19" s="24"/>
      <c r="BP19" s="282"/>
      <c r="BQ19" s="282"/>
      <c r="BR19" s="282"/>
      <c r="BS19" s="282"/>
      <c r="BT19" s="24"/>
      <c r="BU19" s="1066"/>
      <c r="BV19" s="282"/>
      <c r="BW19" s="282"/>
      <c r="BX19" s="282"/>
      <c r="BY19" s="282"/>
      <c r="BZ19" s="1066"/>
      <c r="CA19" s="24"/>
      <c r="CB19" s="282"/>
      <c r="CC19" s="282"/>
      <c r="CD19" s="282"/>
      <c r="CE19" s="282"/>
      <c r="CF19" s="359"/>
      <c r="CG19" s="1068">
        <f>SUM('3 pr-2'!AI20)</f>
        <v>43102</v>
      </c>
      <c r="CH19" s="1068">
        <f>SUM('3 pr-2'!AK20)</f>
        <v>43292</v>
      </c>
      <c r="CI19" s="68">
        <f t="shared" si="57"/>
        <v>85000</v>
      </c>
      <c r="CJ19" s="68">
        <f t="shared" si="58"/>
        <v>0</v>
      </c>
      <c r="CQ19" s="1069">
        <f t="shared" si="67"/>
        <v>125000</v>
      </c>
      <c r="CR19" s="1070">
        <f t="shared" si="14"/>
        <v>85000</v>
      </c>
    </row>
    <row r="20" spans="1:96" ht="37.5" thickTop="1" thickBot="1" x14ac:dyDescent="0.3">
      <c r="A20" s="119" t="str">
        <f>CONCATENATE('3 pr-2'!A21)</f>
        <v>1.1.1.1.12</v>
      </c>
      <c r="B20" s="119" t="str">
        <f>CONCATENATE('3 pr-2'!D21)</f>
        <v>Alytaus rajono Butrimonių miestelio šaligatvių kapitalinis remontas ir gyvenvietės apšvietimo įrengimas</v>
      </c>
      <c r="C20" s="85">
        <f t="shared" si="31"/>
        <v>0</v>
      </c>
      <c r="D20" s="85">
        <f t="shared" si="32"/>
        <v>0</v>
      </c>
      <c r="E20" s="85">
        <f t="shared" si="33"/>
        <v>0</v>
      </c>
      <c r="F20" s="282">
        <f t="shared" si="34"/>
        <v>0</v>
      </c>
      <c r="G20" s="282">
        <f t="shared" si="35"/>
        <v>0</v>
      </c>
      <c r="H20" s="282">
        <f t="shared" si="36"/>
        <v>0</v>
      </c>
      <c r="I20" s="282">
        <f t="shared" si="37"/>
        <v>0</v>
      </c>
      <c r="J20" s="85">
        <f t="shared" si="38"/>
        <v>0</v>
      </c>
      <c r="K20" s="85">
        <f t="shared" si="39"/>
        <v>0</v>
      </c>
      <c r="L20" s="282">
        <f t="shared" si="40"/>
        <v>0</v>
      </c>
      <c r="M20" s="282">
        <f t="shared" si="41"/>
        <v>0</v>
      </c>
      <c r="N20" s="282">
        <f t="shared" si="42"/>
        <v>0</v>
      </c>
      <c r="O20" s="282">
        <f t="shared" si="43"/>
        <v>0</v>
      </c>
      <c r="P20" s="85">
        <f t="shared" si="44"/>
        <v>0</v>
      </c>
      <c r="Q20" s="85">
        <f t="shared" si="59"/>
        <v>153566</v>
      </c>
      <c r="R20" s="282">
        <f t="shared" si="60"/>
        <v>30712.999999999996</v>
      </c>
      <c r="S20" s="282">
        <f t="shared" si="61"/>
        <v>18428</v>
      </c>
      <c r="T20" s="282">
        <f t="shared" si="62"/>
        <v>0</v>
      </c>
      <c r="U20" s="282">
        <f t="shared" si="63"/>
        <v>0</v>
      </c>
      <c r="V20" s="85">
        <f t="shared" si="64"/>
        <v>104424.99999999999</v>
      </c>
      <c r="W20" s="85">
        <f t="shared" si="45"/>
        <v>0</v>
      </c>
      <c r="X20" s="282">
        <f t="shared" si="46"/>
        <v>0</v>
      </c>
      <c r="Y20" s="282">
        <f t="shared" si="47"/>
        <v>0</v>
      </c>
      <c r="Z20" s="282">
        <f t="shared" si="48"/>
        <v>0</v>
      </c>
      <c r="AA20" s="282">
        <f t="shared" si="49"/>
        <v>0</v>
      </c>
      <c r="AB20" s="85">
        <f t="shared" si="50"/>
        <v>0</v>
      </c>
      <c r="AC20" s="85">
        <f t="shared" si="51"/>
        <v>0</v>
      </c>
      <c r="AD20" s="282">
        <f t="shared" si="52"/>
        <v>0</v>
      </c>
      <c r="AE20" s="282">
        <f t="shared" si="53"/>
        <v>0</v>
      </c>
      <c r="AF20" s="282">
        <f t="shared" si="54"/>
        <v>0</v>
      </c>
      <c r="AG20" s="282">
        <f t="shared" si="55"/>
        <v>0</v>
      </c>
      <c r="AH20" s="85">
        <f t="shared" si="56"/>
        <v>0</v>
      </c>
      <c r="AI20" s="762">
        <f>SUM('3 pr-2'!L21)</f>
        <v>153566</v>
      </c>
      <c r="AJ20" s="85">
        <f t="shared" si="25"/>
        <v>423.04683195592287</v>
      </c>
      <c r="AK20" s="282">
        <f>SUM('3 pr-2'!O21)</f>
        <v>30713</v>
      </c>
      <c r="AL20" s="282">
        <f t="shared" si="26"/>
        <v>84.608815426997239</v>
      </c>
      <c r="AM20" s="282">
        <f>SUM('3 pr-2'!R21)</f>
        <v>18428</v>
      </c>
      <c r="AN20" s="282">
        <f t="shared" si="27"/>
        <v>50.765840220385677</v>
      </c>
      <c r="AO20" s="282">
        <f>SUM('3 pr-2'!U21)</f>
        <v>0</v>
      </c>
      <c r="AP20" s="774">
        <f t="shared" si="28"/>
        <v>0</v>
      </c>
      <c r="AQ20" s="282">
        <f>SUM('3 pr-2'!X21)</f>
        <v>0</v>
      </c>
      <c r="AR20" s="761">
        <f t="shared" si="29"/>
        <v>0</v>
      </c>
      <c r="AS20" s="13">
        <f>SUM('3 pr-2'!AA21)</f>
        <v>104425</v>
      </c>
      <c r="AT20" s="760">
        <f t="shared" si="30"/>
        <v>287.67217630853992</v>
      </c>
      <c r="AU20" s="1066"/>
      <c r="AV20" s="24"/>
      <c r="AW20" s="24"/>
      <c r="AX20" s="282"/>
      <c r="AY20" s="282"/>
      <c r="AZ20" s="282"/>
      <c r="BA20" s="282"/>
      <c r="BB20" s="24"/>
      <c r="BC20" s="24"/>
      <c r="BD20" s="282"/>
      <c r="BE20" s="282"/>
      <c r="BF20" s="282"/>
      <c r="BG20" s="282"/>
      <c r="BH20" s="24"/>
      <c r="BI20" s="24"/>
      <c r="BJ20" s="282"/>
      <c r="BK20" s="282"/>
      <c r="BL20" s="282"/>
      <c r="BM20" s="282"/>
      <c r="BN20" s="24"/>
      <c r="BO20" s="24"/>
      <c r="BP20" s="282"/>
      <c r="BQ20" s="282"/>
      <c r="BR20" s="282"/>
      <c r="BS20" s="282"/>
      <c r="BT20" s="24"/>
      <c r="BU20" s="24"/>
      <c r="BV20" s="282"/>
      <c r="BW20" s="282"/>
      <c r="BX20" s="282"/>
      <c r="BY20" s="282"/>
      <c r="BZ20" s="24"/>
      <c r="CA20" s="24"/>
      <c r="CB20" s="282"/>
      <c r="CC20" s="282"/>
      <c r="CD20" s="282"/>
      <c r="CE20" s="282"/>
      <c r="CF20" s="359"/>
      <c r="CG20" s="1068">
        <f>SUM('3 pr-2'!AI21)</f>
        <v>43102</v>
      </c>
      <c r="CH20" s="1068">
        <f>SUM('3 pr-2'!AK21)</f>
        <v>43465</v>
      </c>
      <c r="CI20" s="68">
        <f t="shared" si="57"/>
        <v>104424.99999999999</v>
      </c>
      <c r="CJ20" s="68">
        <f t="shared" si="58"/>
        <v>-1.4551915228366852E-11</v>
      </c>
      <c r="CQ20" s="1069">
        <f t="shared" si="67"/>
        <v>153566</v>
      </c>
      <c r="CR20" s="1070">
        <f t="shared" si="14"/>
        <v>104424.99999999999</v>
      </c>
    </row>
    <row r="21" spans="1:96" ht="37.5" thickTop="1" thickBot="1" x14ac:dyDescent="0.3">
      <c r="A21" s="119" t="str">
        <f>CONCATENATE('3 pr-2'!A22)</f>
        <v>1.1.1.1.13</v>
      </c>
      <c r="B21" s="119" t="str">
        <f>CONCATENATE('3 pr-2'!D22)</f>
        <v>Alytaus rajono Genių kaimo sporto aikštės įrengimas ir gatvių rekonstrukcija</v>
      </c>
      <c r="C21" s="85">
        <f t="shared" si="31"/>
        <v>0</v>
      </c>
      <c r="D21" s="85">
        <f t="shared" si="32"/>
        <v>0</v>
      </c>
      <c r="E21" s="85">
        <f t="shared" si="33"/>
        <v>0</v>
      </c>
      <c r="F21" s="282">
        <f t="shared" si="34"/>
        <v>0</v>
      </c>
      <c r="G21" s="282">
        <f t="shared" si="35"/>
        <v>0</v>
      </c>
      <c r="H21" s="282">
        <f t="shared" si="36"/>
        <v>0</v>
      </c>
      <c r="I21" s="282">
        <f t="shared" si="37"/>
        <v>0</v>
      </c>
      <c r="J21" s="85">
        <f t="shared" si="38"/>
        <v>0</v>
      </c>
      <c r="K21" s="85">
        <f t="shared" si="39"/>
        <v>0</v>
      </c>
      <c r="L21" s="282">
        <f t="shared" si="40"/>
        <v>0</v>
      </c>
      <c r="M21" s="282">
        <f t="shared" si="41"/>
        <v>0</v>
      </c>
      <c r="N21" s="282">
        <f t="shared" si="42"/>
        <v>0</v>
      </c>
      <c r="O21" s="282">
        <f t="shared" si="43"/>
        <v>0</v>
      </c>
      <c r="P21" s="85">
        <f t="shared" si="44"/>
        <v>0</v>
      </c>
      <c r="Q21" s="85">
        <f>SUM(R21:V21)</f>
        <v>250000</v>
      </c>
      <c r="R21" s="282">
        <f>SUM(AK21)</f>
        <v>50000</v>
      </c>
      <c r="S21" s="282">
        <f>SUM(AM21)</f>
        <v>30000</v>
      </c>
      <c r="T21" s="282">
        <v>0</v>
      </c>
      <c r="U21" s="282">
        <v>0</v>
      </c>
      <c r="V21" s="85">
        <f>SUM(AS21)</f>
        <v>170000</v>
      </c>
      <c r="W21" s="85">
        <f t="shared" si="45"/>
        <v>0</v>
      </c>
      <c r="X21" s="282">
        <f t="shared" si="46"/>
        <v>0</v>
      </c>
      <c r="Y21" s="282">
        <f t="shared" si="47"/>
        <v>0</v>
      </c>
      <c r="Z21" s="282">
        <f t="shared" si="48"/>
        <v>0</v>
      </c>
      <c r="AA21" s="282">
        <f t="shared" si="49"/>
        <v>0</v>
      </c>
      <c r="AB21" s="85">
        <f t="shared" si="50"/>
        <v>0</v>
      </c>
      <c r="AC21" s="85">
        <f t="shared" si="51"/>
        <v>0</v>
      </c>
      <c r="AD21" s="282">
        <f t="shared" si="52"/>
        <v>0</v>
      </c>
      <c r="AE21" s="282">
        <f t="shared" si="53"/>
        <v>0</v>
      </c>
      <c r="AF21" s="282">
        <f t="shared" si="54"/>
        <v>0</v>
      </c>
      <c r="AG21" s="282">
        <f t="shared" si="55"/>
        <v>0</v>
      </c>
      <c r="AH21" s="85">
        <f t="shared" si="56"/>
        <v>0</v>
      </c>
      <c r="AI21" s="762">
        <f>SUM('3 pr-2'!L22)</f>
        <v>250000</v>
      </c>
      <c r="AJ21" s="85">
        <f t="shared" si="25"/>
        <v>688.70523415977959</v>
      </c>
      <c r="AK21" s="282">
        <f>SUM('3 pr-2'!O22)</f>
        <v>50000</v>
      </c>
      <c r="AL21" s="282">
        <f t="shared" si="26"/>
        <v>137.74104683195591</v>
      </c>
      <c r="AM21" s="282">
        <f>SUM('3 pr-2'!R22)</f>
        <v>30000</v>
      </c>
      <c r="AN21" s="282">
        <f t="shared" si="27"/>
        <v>82.644628099173559</v>
      </c>
      <c r="AO21" s="282">
        <f>SUM('3 pr-2'!U22)</f>
        <v>0</v>
      </c>
      <c r="AP21" s="774">
        <f t="shared" si="28"/>
        <v>0</v>
      </c>
      <c r="AQ21" s="282">
        <f>SUM('3 pr-2'!X22)</f>
        <v>0</v>
      </c>
      <c r="AR21" s="761">
        <f t="shared" si="29"/>
        <v>0</v>
      </c>
      <c r="AS21" s="13">
        <f>SUM('3 pr-2'!AA22)</f>
        <v>170000</v>
      </c>
      <c r="AT21" s="760">
        <f t="shared" si="30"/>
        <v>468.31955922865012</v>
      </c>
      <c r="AU21" s="1066"/>
      <c r="AV21" s="24"/>
      <c r="AW21" s="24"/>
      <c r="AX21" s="282"/>
      <c r="AY21" s="282"/>
      <c r="AZ21" s="282"/>
      <c r="BA21" s="282"/>
      <c r="BB21" s="24"/>
      <c r="BC21" s="24"/>
      <c r="BD21" s="282"/>
      <c r="BE21" s="282"/>
      <c r="BF21" s="282"/>
      <c r="BG21" s="282"/>
      <c r="BH21" s="24"/>
      <c r="BI21" s="24"/>
      <c r="BJ21" s="282"/>
      <c r="BK21" s="282"/>
      <c r="BL21" s="282"/>
      <c r="BM21" s="282"/>
      <c r="BN21" s="24"/>
      <c r="BO21" s="24"/>
      <c r="BP21" s="282"/>
      <c r="BQ21" s="282"/>
      <c r="BR21" s="282"/>
      <c r="BS21" s="282"/>
      <c r="BT21" s="24"/>
      <c r="BU21" s="24"/>
      <c r="BV21" s="282"/>
      <c r="BW21" s="282"/>
      <c r="BX21" s="282"/>
      <c r="BY21" s="282"/>
      <c r="BZ21" s="24"/>
      <c r="CA21" s="24"/>
      <c r="CB21" s="282"/>
      <c r="CC21" s="282"/>
      <c r="CD21" s="282"/>
      <c r="CE21" s="282"/>
      <c r="CF21" s="359"/>
      <c r="CG21" s="1068">
        <f>SUM('3 pr-2'!AI22)</f>
        <v>43102</v>
      </c>
      <c r="CH21" s="1068">
        <f>SUM('3 pr-2'!AK22)</f>
        <v>43465</v>
      </c>
      <c r="CI21" s="68">
        <f t="shared" si="57"/>
        <v>170000</v>
      </c>
      <c r="CJ21" s="68">
        <f t="shared" si="58"/>
        <v>0</v>
      </c>
      <c r="CQ21" s="1069">
        <f t="shared" ref="CQ21:CQ22" si="68">SUM(E21+K21+Q21+W21+AC21)</f>
        <v>250000</v>
      </c>
      <c r="CR21" s="1070">
        <f t="shared" si="14"/>
        <v>170000</v>
      </c>
    </row>
    <row r="22" spans="1:96" ht="25.5" thickTop="1" thickBot="1" x14ac:dyDescent="0.3">
      <c r="A22" s="119" t="str">
        <f>CONCATENATE('3 pr-2'!A23)</f>
        <v>1.1.1.1.14</v>
      </c>
      <c r="B22" s="773" t="str">
        <f>CONCATENATE('3 pr-2'!D23)</f>
        <v>Varėnos r. Dargužių kaimo Liepų gatvės ir viešosios erdvės įrengimas</v>
      </c>
      <c r="C22" s="85">
        <f t="shared" ref="C22:C30" si="69">IF($E$2&gt;=$CG$9,($CG$9-$C$2)*AH22,0)</f>
        <v>0</v>
      </c>
      <c r="D22" s="85">
        <f t="shared" ref="D22:D30" si="70">IF($E$2&gt;=$CG$9,($CG$9-$C$2)*AI22,0)</f>
        <v>0</v>
      </c>
      <c r="E22" s="85">
        <f t="shared" ref="E22:E30" si="71">IF(YEAR($E$2)=YEAR($CG$9),($CG$9-$C$2)*$AJ$9,0)</f>
        <v>0</v>
      </c>
      <c r="F22" s="282">
        <f t="shared" ref="F22:F30" si="72">IF(YEAR($E$2)=YEAR($CG$9),($CG$9-$C$2)*AL22,0)</f>
        <v>0</v>
      </c>
      <c r="G22" s="282">
        <f t="shared" ref="G22:G30" si="73">IF(YEAR($E$2)=YEAR($CG$9),($CG$9-$C$2)*AN22,0)</f>
        <v>0</v>
      </c>
      <c r="H22" s="282">
        <f t="shared" ref="H22:H30" si="74">IF(YEAR($E$2)=YEAR($CG$9),($CG$9-$C$2)*AP22,0)</f>
        <v>0</v>
      </c>
      <c r="I22" s="282">
        <f t="shared" ref="I22:I30" si="75">IF(YEAR($E$2)=YEAR($CG$9),($CG$9-$C$2)*AR22,0)</f>
        <v>0</v>
      </c>
      <c r="J22" s="85">
        <f t="shared" ref="J22:J30" si="76">IF(YEAR($E$2)=YEAR($CG$9),($CG$9-$C$2)*AT22,0)</f>
        <v>0</v>
      </c>
      <c r="K22" s="85">
        <f t="shared" ref="K22:K30" si="77">IF(YEAR($K$3)=YEAR($CG$9),($CG$9-$E$3)*AJ22,0)</f>
        <v>0</v>
      </c>
      <c r="L22" s="282">
        <f t="shared" ref="L22:L30" si="78">IF(YEAR($K$3)=YEAR($CG$9),($CG$9-$E$3)*AL22,0)</f>
        <v>0</v>
      </c>
      <c r="M22" s="282">
        <f t="shared" ref="M22:M30" si="79">IF(YEAR($K$3)=YEAR($CG$9),($CG$9-$E$3)*AN22,0)</f>
        <v>0</v>
      </c>
      <c r="N22" s="282">
        <f t="shared" ref="N22:N30" si="80">IF(YEAR($K$3)=YEAR($CG$9),($CG$9-$E$3)*AP22,0)</f>
        <v>0</v>
      </c>
      <c r="O22" s="282">
        <f t="shared" ref="O22:O30" si="81">IF(YEAR($K$2)=YEAR($CG$9),($CG$9-$E$3)*AR22,0)</f>
        <v>0</v>
      </c>
      <c r="P22" s="85">
        <f t="shared" ref="P22:P30" si="82">IF(YEAR($K$2)=YEAR($CG$9),($CG$9-$E$3)*AT22,0)</f>
        <v>0</v>
      </c>
      <c r="Q22" s="85">
        <f>IF(YEAR($Q$2)=YEAR($CG$9),($Q$3-$CG$22)*AJ22,0)</f>
        <v>107516.81043956045</v>
      </c>
      <c r="R22" s="282">
        <f>IF(YEAR($Q$2)=YEAR($CG$9),($Q$3-$CG$22)*AL22,0)</f>
        <v>21503.262362637364</v>
      </c>
      <c r="S22" s="282">
        <f>IF(YEAR($Q$2)=YEAR($CG$9),($Q$3-$CG$22)*AN22,0)</f>
        <v>12901.957417582416</v>
      </c>
      <c r="T22" s="282">
        <f>IF(YEAR($Q$2)=YEAR($CG$9),($Q$3-$CG$22)*AP22,0)</f>
        <v>0</v>
      </c>
      <c r="U22" s="282">
        <f>IF(YEAR($Q$2)=YEAR($CG$9),($Q$3-$CG$22)*AR22,0)</f>
        <v>0</v>
      </c>
      <c r="V22" s="85">
        <f>IF(YEAR($Q$2)=YEAR($CG$9),($Q$3-$CG$22)*AT22,0)</f>
        <v>73111.590659340669</v>
      </c>
      <c r="W22" s="85">
        <f>IF(YEAR($CH$22)=2019,($CH$22-$BI$4)*AI$22/($CH$22-$CG$22),0)</f>
        <v>108109.18956043955</v>
      </c>
      <c r="X22" s="286">
        <f>IF(YEAR($CH$22)=2019,($CH$22-$BI$4)*AK$22/($CH$22-$CG$22),0)</f>
        <v>21621.737637362636</v>
      </c>
      <c r="Y22" s="286">
        <f>IF(YEAR($CH$22)=2019,($CH$22-$BI$4)*AM$22/($CH$22-$CG$22),0)</f>
        <v>12973.042582417582</v>
      </c>
      <c r="Z22" s="286">
        <f>IF(YEAR($CH$22)=2019,($CH$22-$BI$4)*AO$22/($CH$22-$CG$22),0)</f>
        <v>0</v>
      </c>
      <c r="AA22" s="286">
        <f>IF(YEAR($CH$22)=2019,($CH$22-$BI$4)*AQ$22/($CH$22-$CG$22),0)</f>
        <v>0</v>
      </c>
      <c r="AB22" s="85">
        <f>IF(YEAR($CH$22)=2019,($CH$22-$BI$4)*AS$22/($CH$22-$CG$22),0)</f>
        <v>73514.409340659346</v>
      </c>
      <c r="AC22" s="85">
        <v>0</v>
      </c>
      <c r="AD22" s="286">
        <v>0</v>
      </c>
      <c r="AE22" s="286">
        <v>0</v>
      </c>
      <c r="AF22" s="286">
        <v>0</v>
      </c>
      <c r="AG22" s="286">
        <v>0</v>
      </c>
      <c r="AH22" s="85">
        <v>0</v>
      </c>
      <c r="AI22" s="772">
        <f>SUM('3 pr-2'!L23)</f>
        <v>215626</v>
      </c>
      <c r="AJ22" s="85">
        <f t="shared" si="25"/>
        <v>296.18956043956047</v>
      </c>
      <c r="AK22" s="282">
        <f>SUM('3 pr-2'!O23)</f>
        <v>43125</v>
      </c>
      <c r="AL22" s="282">
        <f t="shared" si="26"/>
        <v>59.237637362637365</v>
      </c>
      <c r="AM22" s="282">
        <f>SUM('3 pr-2'!R23)</f>
        <v>25875</v>
      </c>
      <c r="AN22" s="282">
        <f t="shared" si="27"/>
        <v>35.542582417582416</v>
      </c>
      <c r="AO22" s="282">
        <f>SUM('3 pr-2'!U23)</f>
        <v>0</v>
      </c>
      <c r="AP22" s="774">
        <f t="shared" si="28"/>
        <v>0</v>
      </c>
      <c r="AQ22" s="282">
        <f>SUM('3 pr-2'!X23)</f>
        <v>0</v>
      </c>
      <c r="AR22" s="761">
        <f t="shared" si="29"/>
        <v>0</v>
      </c>
      <c r="AS22" s="771">
        <f>SUM('3 pr-2'!AA23)</f>
        <v>146626</v>
      </c>
      <c r="AT22" s="760">
        <f t="shared" si="30"/>
        <v>201.40934065934067</v>
      </c>
      <c r="AU22" s="1071"/>
      <c r="AV22" s="1066"/>
      <c r="AW22" s="1066"/>
      <c r="AX22" s="282"/>
      <c r="AY22" s="282"/>
      <c r="AZ22" s="282"/>
      <c r="BA22" s="282"/>
      <c r="BB22" s="1066"/>
      <c r="BC22" s="1066"/>
      <c r="BD22" s="282"/>
      <c r="BE22" s="282"/>
      <c r="BF22" s="282"/>
      <c r="BG22" s="282"/>
      <c r="BH22" s="1066"/>
      <c r="BI22" s="1066"/>
      <c r="BJ22" s="282"/>
      <c r="BK22" s="282"/>
      <c r="BL22" s="282"/>
      <c r="BM22" s="282"/>
      <c r="BN22" s="1066"/>
      <c r="BO22" s="24"/>
      <c r="BP22" s="282"/>
      <c r="BQ22" s="282"/>
      <c r="BR22" s="282"/>
      <c r="BS22" s="282"/>
      <c r="BT22" s="24"/>
      <c r="BU22" s="1066"/>
      <c r="BV22" s="282"/>
      <c r="BW22" s="282"/>
      <c r="BX22" s="282"/>
      <c r="BY22" s="282"/>
      <c r="BZ22" s="1066"/>
      <c r="CA22" s="24"/>
      <c r="CB22" s="282"/>
      <c r="CC22" s="282"/>
      <c r="CD22" s="282"/>
      <c r="CE22" s="282"/>
      <c r="CF22" s="359"/>
      <c r="CG22" s="1068">
        <f>SUM('3 pr-2'!AI23)</f>
        <v>43102</v>
      </c>
      <c r="CH22" s="1068">
        <f>SUM('3 pr-2'!AK23)</f>
        <v>43830</v>
      </c>
      <c r="CI22" s="1072">
        <f t="shared" si="57"/>
        <v>146626</v>
      </c>
      <c r="CJ22" s="68">
        <f t="shared" si="58"/>
        <v>0</v>
      </c>
      <c r="CQ22" s="1069">
        <f t="shared" si="68"/>
        <v>215626</v>
      </c>
      <c r="CR22" s="1070">
        <f t="shared" si="14"/>
        <v>146626</v>
      </c>
    </row>
    <row r="23" spans="1:96" ht="37.5" thickTop="1" thickBot="1" x14ac:dyDescent="0.3">
      <c r="A23" s="119" t="str">
        <f>CONCATENATE('3 pr-2'!A24)</f>
        <v>1.1.1.1.15</v>
      </c>
      <c r="B23" s="119" t="str">
        <f>CONCATENATE('3 pr-2'!D24)</f>
        <v>Alytaus rajono Vaisodžių kaimo sporto aikštės įrengimas ir gatvių apšvietimo atnaujinimas bei plėtra</v>
      </c>
      <c r="C23" s="85">
        <f>IF($E$2&gt;=$CG$9,($CG$9-$C$2)*AH23,0)</f>
        <v>0</v>
      </c>
      <c r="D23" s="85">
        <f>IF($E$2&gt;=$CG$9,($CG$9-$C$2)*AI23,0)</f>
        <v>0</v>
      </c>
      <c r="E23" s="85">
        <f>IF(YEAR($E$2)=YEAR($CG$9),($CG$9-$C$2)*$AJ$9,0)</f>
        <v>0</v>
      </c>
      <c r="F23" s="282">
        <f>IF(YEAR($E$2)=YEAR($CG$9),($CG$9-$C$2)*AL23,0)</f>
        <v>0</v>
      </c>
      <c r="G23" s="282">
        <f>IF(YEAR($E$2)=YEAR($CG$9),($CG$9-$C$2)*AN23,0)</f>
        <v>0</v>
      </c>
      <c r="H23" s="282">
        <f>IF(YEAR($E$2)=YEAR($CG$9),($CG$9-$C$2)*AP23,0)</f>
        <v>0</v>
      </c>
      <c r="I23" s="282">
        <f>IF(YEAR($E$2)=YEAR($CG$9),($CG$9-$C$2)*AR23,0)</f>
        <v>0</v>
      </c>
      <c r="J23" s="85">
        <f>IF(YEAR($E$2)=YEAR($CG$9),($CG$9-$C$2)*AT23,0)</f>
        <v>0</v>
      </c>
      <c r="K23" s="85">
        <f>IF(YEAR($K$3)=YEAR($CG$9),($CG$9-$E$3)*AJ23,0)</f>
        <v>0</v>
      </c>
      <c r="L23" s="282">
        <f>IF(YEAR($K$3)=YEAR($CG$9),($CG$9-$E$3)*AL23,0)</f>
        <v>0</v>
      </c>
      <c r="M23" s="282">
        <f>IF(YEAR($K$3)=YEAR($CG$9),($CG$9-$E$3)*AN23,0)</f>
        <v>0</v>
      </c>
      <c r="N23" s="282">
        <f>IF(YEAR($K$3)=YEAR($CG$9),($CG$9-$E$3)*AP23,0)</f>
        <v>0</v>
      </c>
      <c r="O23" s="282">
        <f>IF(YEAR($K$2)=YEAR($CG$9),($CG$9-$E$3)*AR23,0)</f>
        <v>0</v>
      </c>
      <c r="P23" s="85">
        <f>IF(YEAR($K$2)=YEAR($CG$9),($CG$9-$E$3)*AT23,0)</f>
        <v>0</v>
      </c>
      <c r="Q23" s="85">
        <f>IF(YEAR($Q$2)=YEAR($CG$9),($CH$30-$CG$30)*AJ23,0)</f>
        <v>76480</v>
      </c>
      <c r="R23" s="282">
        <f>IF(YEAR($Q$2)=YEAR($CG$9),($CH$30-$CG$30)*AL23,0)</f>
        <v>15296</v>
      </c>
      <c r="S23" s="282">
        <f>IF(YEAR($Q$2)=YEAR($CG$9),($CH$30-$CG$30)*AN23,0)</f>
        <v>9178</v>
      </c>
      <c r="T23" s="282">
        <f>IF(YEAR($Q$2)=YEAR($CG$9),($CH$30-$CG$30)*AP23,0)</f>
        <v>0</v>
      </c>
      <c r="U23" s="282">
        <f>IF(YEAR($Q$2)=YEAR($CG$9),($CH$30-$CG$30)*AR23,0)</f>
        <v>0</v>
      </c>
      <c r="V23" s="85">
        <f>IF(YEAR($Q$2)=YEAR($CG$9),($CH$30-$CG$30)*AT23,0)</f>
        <v>52006</v>
      </c>
      <c r="W23" s="85">
        <f>IF(YEAR($W$2)=YEAR($CG$9),($CH$9-$CG$9)*AP23,0)</f>
        <v>0</v>
      </c>
      <c r="X23" s="282">
        <f t="shared" ref="X23:X24" si="83">IF(YEAR($W$2)=YEAR($CG$9),($CH$9-$CG$9)*AQ23,0)</f>
        <v>0</v>
      </c>
      <c r="Y23" s="282">
        <f t="shared" ref="Y23:Y24" si="84">IF(YEAR($W$2)=YEAR($CG$9),($CH$9-$CG$9)*AR23,0)</f>
        <v>0</v>
      </c>
      <c r="Z23" s="282">
        <f t="shared" ref="Z23:Z24" si="85">IF(YEAR($W$2)=YEAR($CG$9),($CH$9-$CG$9)*AS23,0)</f>
        <v>0</v>
      </c>
      <c r="AA23" s="282">
        <f t="shared" ref="AA23:AA24" si="86">IF(YEAR($W$2)=YEAR($CG$9),($CH$9-$CG$9)*AT23,0)</f>
        <v>0</v>
      </c>
      <c r="AB23" s="85">
        <f t="shared" ref="AB23:AB24" si="87">IF(YEAR($W$2)=YEAR($CG$9),($CH$9-$CG$9)*AU23,0)</f>
        <v>0</v>
      </c>
      <c r="AC23" s="85">
        <f>IF(YEAR($W$2)=YEAR($CG$9),($CH$9-$CG$9)*AV23,0)</f>
        <v>0</v>
      </c>
      <c r="AD23" s="282">
        <f t="shared" ref="AD23:AD24" si="88">IF(YEAR($W$2)=YEAR($CG$9),($CH$9-$CG$9)*AW23,0)</f>
        <v>0</v>
      </c>
      <c r="AE23" s="282">
        <f t="shared" ref="AE23:AE24" si="89">IF(YEAR($W$2)=YEAR($CG$9),($CH$9-$CG$9)*AX23,0)</f>
        <v>0</v>
      </c>
      <c r="AF23" s="282">
        <f t="shared" ref="AF23:AF24" si="90">IF(YEAR($W$2)=YEAR($CG$9),($CH$9-$CG$9)*AY23,0)</f>
        <v>0</v>
      </c>
      <c r="AG23" s="282">
        <f t="shared" ref="AG23:AG24" si="91">IF(YEAR($W$2)=YEAR($CG$9),($CH$9-$CG$9)*AZ23,0)</f>
        <v>0</v>
      </c>
      <c r="AH23" s="85">
        <f t="shared" ref="AH23:AH24" si="92">IF(YEAR($W$2)=YEAR($CG$9),($CH$9-$CG$9)*BA23,0)</f>
        <v>0</v>
      </c>
      <c r="AI23" s="762">
        <f>SUM('3 pr-2'!L24)</f>
        <v>76480</v>
      </c>
      <c r="AJ23" s="85">
        <f t="shared" si="25"/>
        <v>210.68870523415978</v>
      </c>
      <c r="AK23" s="282">
        <f>SUM('3 pr-2'!O24)</f>
        <v>15296</v>
      </c>
      <c r="AL23" s="282">
        <f t="shared" si="26"/>
        <v>42.137741046831955</v>
      </c>
      <c r="AM23" s="282">
        <f>SUM('3 pr-2'!R24)</f>
        <v>9178</v>
      </c>
      <c r="AN23" s="282">
        <f t="shared" si="27"/>
        <v>25.28374655647383</v>
      </c>
      <c r="AO23" s="282">
        <f>SUM('3 pr-2'!U24)</f>
        <v>0</v>
      </c>
      <c r="AP23" s="774">
        <f t="shared" si="28"/>
        <v>0</v>
      </c>
      <c r="AQ23" s="282">
        <f>SUM('3 pr-2'!X24)</f>
        <v>0</v>
      </c>
      <c r="AR23" s="761">
        <f t="shared" si="29"/>
        <v>0</v>
      </c>
      <c r="AS23" s="13">
        <f>SUM('3 pr-2'!AA24)</f>
        <v>52006</v>
      </c>
      <c r="AT23" s="760">
        <f t="shared" si="30"/>
        <v>143.26721763085399</v>
      </c>
      <c r="AU23" s="1066"/>
      <c r="AV23" s="24"/>
      <c r="AW23" s="24"/>
      <c r="AX23" s="282"/>
      <c r="AY23" s="282"/>
      <c r="AZ23" s="282"/>
      <c r="BA23" s="282"/>
      <c r="BB23" s="24"/>
      <c r="BC23" s="24"/>
      <c r="BD23" s="282"/>
      <c r="BE23" s="282"/>
      <c r="BF23" s="282"/>
      <c r="BG23" s="282"/>
      <c r="BH23" s="24"/>
      <c r="BI23" s="24"/>
      <c r="BJ23" s="282"/>
      <c r="BK23" s="282"/>
      <c r="BL23" s="282"/>
      <c r="BM23" s="282"/>
      <c r="BN23" s="24"/>
      <c r="BO23" s="24"/>
      <c r="BP23" s="282"/>
      <c r="BQ23" s="282"/>
      <c r="BR23" s="282"/>
      <c r="BS23" s="282"/>
      <c r="BT23" s="24"/>
      <c r="BU23" s="24"/>
      <c r="BV23" s="282"/>
      <c r="BW23" s="282"/>
      <c r="BX23" s="282"/>
      <c r="BY23" s="282"/>
      <c r="BZ23" s="24"/>
      <c r="CA23" s="24"/>
      <c r="CB23" s="282"/>
      <c r="CC23" s="282"/>
      <c r="CD23" s="282"/>
      <c r="CE23" s="282"/>
      <c r="CF23" s="359"/>
      <c r="CG23" s="1068">
        <f>SUM('3 pr-2'!AI24)</f>
        <v>43102</v>
      </c>
      <c r="CH23" s="1068">
        <f>SUM('3 pr-2'!AK24)</f>
        <v>43465</v>
      </c>
      <c r="CI23" s="68">
        <f t="shared" si="57"/>
        <v>52006</v>
      </c>
      <c r="CJ23" s="68">
        <f t="shared" si="58"/>
        <v>0</v>
      </c>
      <c r="CQ23" s="1069">
        <f t="shared" ref="CQ23:CQ30" si="93">SUM(E23+K23+Q23+W23+AC23)</f>
        <v>76480</v>
      </c>
      <c r="CR23" s="1070">
        <f t="shared" si="14"/>
        <v>52006</v>
      </c>
    </row>
    <row r="24" spans="1:96" ht="37.5" thickTop="1" thickBot="1" x14ac:dyDescent="0.3">
      <c r="A24" s="119" t="str">
        <f>CONCATENATE('3 pr-2'!A25)</f>
        <v>1.1.1.1.16</v>
      </c>
      <c r="B24" s="119" t="str">
        <f>CONCATENATE('3 pr-2'!D25)</f>
        <v>Alytaus rajono Talokių kaimo sporto aikštės įrengimas ir Plytinės gatvės apšvietimas</v>
      </c>
      <c r="C24" s="85">
        <f>IF($E$2&gt;=$CG$9,($CG$9-$C$2)*AH24,0)</f>
        <v>0</v>
      </c>
      <c r="D24" s="85">
        <f>IF($E$2&gt;=$CG$9,($CG$9-$C$2)*AI24,0)</f>
        <v>0</v>
      </c>
      <c r="E24" s="85">
        <f>IF(YEAR($E$2)=YEAR($CG$9),($CG$9-$C$2)*$AJ$9,0)</f>
        <v>0</v>
      </c>
      <c r="F24" s="282">
        <f>IF(YEAR($E$2)=YEAR($CG$9),($CG$9-$C$2)*AL24,0)</f>
        <v>0</v>
      </c>
      <c r="G24" s="282">
        <f>IF(YEAR($E$2)=YEAR($CG$9),($CG$9-$C$2)*AN24,0)</f>
        <v>0</v>
      </c>
      <c r="H24" s="282">
        <f>IF(YEAR($E$2)=YEAR($CG$9),($CG$9-$C$2)*AP24,0)</f>
        <v>0</v>
      </c>
      <c r="I24" s="282">
        <f>IF(YEAR($E$2)=YEAR($CG$9),($CG$9-$C$2)*AR24,0)</f>
        <v>0</v>
      </c>
      <c r="J24" s="85">
        <f>IF(YEAR($E$2)=YEAR($CG$9),($CG$9-$C$2)*AT24,0)</f>
        <v>0</v>
      </c>
      <c r="K24" s="85">
        <f>IF(YEAR($K$3)=YEAR($CG$9),($CG$9-$E$3)*AJ24,0)</f>
        <v>0</v>
      </c>
      <c r="L24" s="282">
        <f>IF(YEAR($K$3)=YEAR($CG$9),($CG$9-$E$3)*AL24,0)</f>
        <v>0</v>
      </c>
      <c r="M24" s="282">
        <f>IF(YEAR($K$3)=YEAR($CG$9),($CG$9-$E$3)*AN24,0)</f>
        <v>0</v>
      </c>
      <c r="N24" s="282">
        <f>IF(YEAR($K$3)=YEAR($CG$9),($CG$9-$E$3)*AP24,0)</f>
        <v>0</v>
      </c>
      <c r="O24" s="282">
        <f>IF(YEAR($K$2)=YEAR($CG$9),($CG$9-$E$3)*AR24,0)</f>
        <v>0</v>
      </c>
      <c r="P24" s="85">
        <f>IF(YEAR($K$2)=YEAR($CG$9),($CG$9-$E$3)*AT24,0)</f>
        <v>0</v>
      </c>
      <c r="Q24" s="85">
        <f>IF(YEAR($Q$2)=YEAR($CG$9),($CH$30-$CG$30)*AJ24,0)</f>
        <v>139472</v>
      </c>
      <c r="R24" s="282">
        <f>IF(YEAR($Q$2)=YEAR($CG$9),($CH$30-$CG$30)*AL24,0)</f>
        <v>27894</v>
      </c>
      <c r="S24" s="282">
        <f>IF(YEAR($Q$2)=YEAR($CG$9),($CH$30-$CG$30)*AN24,0)</f>
        <v>16737</v>
      </c>
      <c r="T24" s="282">
        <f>IF(YEAR($Q$2)=YEAR($CG$9),($CH$30-$CG$30)*AP24,0)</f>
        <v>0</v>
      </c>
      <c r="U24" s="282">
        <f>IF(YEAR($Q$2)=YEAR($CG$9),($CH$30-$CG$30)*AR24,0)</f>
        <v>0</v>
      </c>
      <c r="V24" s="85">
        <f>IF(YEAR($Q$2)=YEAR($CG$9),($CH$30-$CG$30)*AT24,0)</f>
        <v>94841</v>
      </c>
      <c r="W24" s="85">
        <f>IF(YEAR($W$2)=YEAR($CG$9),($CH$9-$CG$9)*AP24,0)</f>
        <v>0</v>
      </c>
      <c r="X24" s="282">
        <f t="shared" si="83"/>
        <v>0</v>
      </c>
      <c r="Y24" s="282">
        <f t="shared" si="84"/>
        <v>0</v>
      </c>
      <c r="Z24" s="282">
        <f t="shared" si="85"/>
        <v>0</v>
      </c>
      <c r="AA24" s="282">
        <f t="shared" si="86"/>
        <v>0</v>
      </c>
      <c r="AB24" s="85">
        <f t="shared" si="87"/>
        <v>0</v>
      </c>
      <c r="AC24" s="85">
        <f>IF(YEAR($W$2)=YEAR($CG$9),($CH$9-$CG$9)*AV24,0)</f>
        <v>0</v>
      </c>
      <c r="AD24" s="282">
        <f t="shared" si="88"/>
        <v>0</v>
      </c>
      <c r="AE24" s="282">
        <f t="shared" si="89"/>
        <v>0</v>
      </c>
      <c r="AF24" s="282">
        <f t="shared" si="90"/>
        <v>0</v>
      </c>
      <c r="AG24" s="282">
        <f t="shared" si="91"/>
        <v>0</v>
      </c>
      <c r="AH24" s="85">
        <f t="shared" si="92"/>
        <v>0</v>
      </c>
      <c r="AI24" s="762">
        <f>SUM('3 pr-2'!L25)</f>
        <v>139472</v>
      </c>
      <c r="AJ24" s="85">
        <f t="shared" si="25"/>
        <v>384.22038567493115</v>
      </c>
      <c r="AK24" s="282">
        <f>SUM('3 pr-2'!O25)</f>
        <v>27894</v>
      </c>
      <c r="AL24" s="282">
        <f t="shared" si="26"/>
        <v>76.84297520661157</v>
      </c>
      <c r="AM24" s="282">
        <f>SUM('3 pr-2'!R25)</f>
        <v>16737</v>
      </c>
      <c r="AN24" s="282">
        <f t="shared" si="27"/>
        <v>46.107438016528924</v>
      </c>
      <c r="AO24" s="282">
        <f>SUM('3 pr-2'!U25)</f>
        <v>0</v>
      </c>
      <c r="AP24" s="774">
        <f t="shared" si="28"/>
        <v>0</v>
      </c>
      <c r="AQ24" s="282">
        <f>SUM('3 pr-2'!X25)</f>
        <v>0</v>
      </c>
      <c r="AR24" s="761">
        <f t="shared" si="29"/>
        <v>0</v>
      </c>
      <c r="AS24" s="13">
        <f>SUM('3 pr-2'!AA25)</f>
        <v>94841</v>
      </c>
      <c r="AT24" s="760">
        <f t="shared" si="30"/>
        <v>261.26997245179064</v>
      </c>
      <c r="AU24" s="1066"/>
      <c r="AV24" s="24"/>
      <c r="AW24" s="24"/>
      <c r="AX24" s="282"/>
      <c r="AY24" s="282"/>
      <c r="AZ24" s="282"/>
      <c r="BA24" s="282"/>
      <c r="BB24" s="24"/>
      <c r="BC24" s="24"/>
      <c r="BD24" s="282"/>
      <c r="BE24" s="282"/>
      <c r="BF24" s="282"/>
      <c r="BG24" s="282"/>
      <c r="BH24" s="24"/>
      <c r="BI24" s="24"/>
      <c r="BJ24" s="282"/>
      <c r="BK24" s="282"/>
      <c r="BL24" s="282"/>
      <c r="BM24" s="282"/>
      <c r="BN24" s="24"/>
      <c r="BO24" s="24"/>
      <c r="BP24" s="282"/>
      <c r="BQ24" s="282"/>
      <c r="BR24" s="282"/>
      <c r="BS24" s="282"/>
      <c r="BT24" s="24"/>
      <c r="BU24" s="24"/>
      <c r="BV24" s="282"/>
      <c r="BW24" s="282"/>
      <c r="BX24" s="282"/>
      <c r="BY24" s="282"/>
      <c r="BZ24" s="24"/>
      <c r="CA24" s="24"/>
      <c r="CB24" s="282"/>
      <c r="CC24" s="282"/>
      <c r="CD24" s="282"/>
      <c r="CE24" s="282"/>
      <c r="CF24" s="359"/>
      <c r="CG24" s="1068">
        <f>SUM('3 pr-2'!AI25)</f>
        <v>43102</v>
      </c>
      <c r="CH24" s="1068">
        <f>SUM('3 pr-2'!AK25)</f>
        <v>43465</v>
      </c>
      <c r="CI24" s="68">
        <f t="shared" si="57"/>
        <v>94841</v>
      </c>
      <c r="CJ24" s="68">
        <f t="shared" si="58"/>
        <v>0</v>
      </c>
      <c r="CQ24" s="1069">
        <f t="shared" si="93"/>
        <v>139472</v>
      </c>
      <c r="CR24" s="1070">
        <f t="shared" si="14"/>
        <v>94841</v>
      </c>
    </row>
    <row r="25" spans="1:96" ht="25.5" thickTop="1" thickBot="1" x14ac:dyDescent="0.3">
      <c r="A25" s="119" t="str">
        <f>CONCATENATE('3 pr-2'!A26)</f>
        <v>1.1.1.1.17</v>
      </c>
      <c r="B25" s="773" t="str">
        <f>CONCATENATE('3 pr-2'!D26)</f>
        <v>Varėnos r. Rudnios kaimo Pušyno gatvės įrengimas</v>
      </c>
      <c r="C25" s="85">
        <f t="shared" si="69"/>
        <v>0</v>
      </c>
      <c r="D25" s="85">
        <f t="shared" si="70"/>
        <v>0</v>
      </c>
      <c r="E25" s="85">
        <f t="shared" si="71"/>
        <v>0</v>
      </c>
      <c r="F25" s="282">
        <f t="shared" si="72"/>
        <v>0</v>
      </c>
      <c r="G25" s="282">
        <f t="shared" si="73"/>
        <v>0</v>
      </c>
      <c r="H25" s="282">
        <f t="shared" si="74"/>
        <v>0</v>
      </c>
      <c r="I25" s="282">
        <f t="shared" si="75"/>
        <v>0</v>
      </c>
      <c r="J25" s="85">
        <f t="shared" si="76"/>
        <v>0</v>
      </c>
      <c r="K25" s="85">
        <f t="shared" si="77"/>
        <v>0</v>
      </c>
      <c r="L25" s="282">
        <f t="shared" si="78"/>
        <v>0</v>
      </c>
      <c r="M25" s="282">
        <f t="shared" si="79"/>
        <v>0</v>
      </c>
      <c r="N25" s="282">
        <f t="shared" si="80"/>
        <v>0</v>
      </c>
      <c r="O25" s="282">
        <f t="shared" si="81"/>
        <v>0</v>
      </c>
      <c r="P25" s="85">
        <f t="shared" si="82"/>
        <v>0</v>
      </c>
      <c r="Q25" s="85">
        <f>IF(YEAR($Q$2)=YEAR($CG$9),($Q$3-$CG$22)*AJ25,0)</f>
        <v>57752.9010989011</v>
      </c>
      <c r="R25" s="282">
        <f>IF(YEAR($Q$2)=YEAR($CG$9),($Q$3-$CG$22)*AL25,0)</f>
        <v>11550.679945054944</v>
      </c>
      <c r="S25" s="282">
        <f>IF(YEAR($Q$2)=YEAR($CG$9),($Q$3-$CG$22)*AN25,0)</f>
        <v>6930.4079670329675</v>
      </c>
      <c r="T25" s="282">
        <f>IF(YEAR($Q$2)=YEAR($CG$9),($Q$3-$CG$22)*AP25,0)</f>
        <v>0</v>
      </c>
      <c r="U25" s="282">
        <f>IF(YEAR($Q$2)=YEAR($CG$9),($Q$3-$CG$22)*AR25,0)</f>
        <v>0</v>
      </c>
      <c r="V25" s="85">
        <f>IF(YEAR($Q$2)=YEAR($CG$9),($Q$3-$CG$22)*AT25,0)</f>
        <v>39271.813186813182</v>
      </c>
      <c r="W25" s="85">
        <f>IF(YEAR($CH$25)=2019,($CH$25-$BI$4)*AI$25/($CH$25-$CG$25),0)</f>
        <v>58071.0989010989</v>
      </c>
      <c r="X25" s="286">
        <f>IF(YEAR($CH$25)=2019,($CH$25-$BI$4)*AK$25/($CH$25-$CG$25),0)</f>
        <v>11614.320054945056</v>
      </c>
      <c r="Y25" s="286">
        <f>IF(YEAR($CH$25)=2019,($CH$25-$BI$4)*AM$25/($CH$25-$CG$25),0)</f>
        <v>6968.5920329670325</v>
      </c>
      <c r="Z25" s="286">
        <f>IF(YEAR($CH$25)=2019,($CH$25-$BI$4)*AO$25/($CH$25-$CG$25),0)</f>
        <v>0</v>
      </c>
      <c r="AA25" s="286">
        <f>IF(YEAR($CH$25)=2019,($CH$25-$BI$4)*AQ$25/($CH$25-$CG$25),0)</f>
        <v>0</v>
      </c>
      <c r="AB25" s="85">
        <f>IF(YEAR($CH$25)=2019,($CH$25-$BI$4)*AS$25/($CH$25-$CG$25),0)</f>
        <v>39488.18681318681</v>
      </c>
      <c r="AC25" s="85">
        <v>0</v>
      </c>
      <c r="AD25" s="286">
        <v>0</v>
      </c>
      <c r="AE25" s="286">
        <v>0</v>
      </c>
      <c r="AF25" s="286">
        <v>0</v>
      </c>
      <c r="AG25" s="286">
        <v>0</v>
      </c>
      <c r="AH25" s="85">
        <v>0</v>
      </c>
      <c r="AI25" s="772">
        <f>SUM('3 pr-2'!L26)</f>
        <v>115824</v>
      </c>
      <c r="AJ25" s="85">
        <f t="shared" si="25"/>
        <v>159.09890109890111</v>
      </c>
      <c r="AK25" s="282">
        <f>SUM('3 pr-2'!O26)</f>
        <v>23165</v>
      </c>
      <c r="AL25" s="282">
        <f t="shared" si="26"/>
        <v>31.820054945054945</v>
      </c>
      <c r="AM25" s="282">
        <f>SUM('3 pr-2'!R26)</f>
        <v>13899</v>
      </c>
      <c r="AN25" s="282">
        <f t="shared" si="27"/>
        <v>19.092032967032967</v>
      </c>
      <c r="AO25" s="282">
        <f>SUM('3 pr-2'!U26)</f>
        <v>0</v>
      </c>
      <c r="AP25" s="774">
        <f t="shared" si="28"/>
        <v>0</v>
      </c>
      <c r="AQ25" s="282">
        <f>SUM('3 pr-2'!X26)</f>
        <v>0</v>
      </c>
      <c r="AR25" s="761">
        <f t="shared" si="29"/>
        <v>0</v>
      </c>
      <c r="AS25" s="13">
        <f>SUM('3 pr-2'!AA26)</f>
        <v>78760</v>
      </c>
      <c r="AT25" s="760">
        <f t="shared" si="30"/>
        <v>108.18681318681318</v>
      </c>
      <c r="AU25" s="1071"/>
      <c r="AV25" s="1066"/>
      <c r="AW25" s="1066"/>
      <c r="AX25" s="282"/>
      <c r="AY25" s="282"/>
      <c r="AZ25" s="282"/>
      <c r="BA25" s="282"/>
      <c r="BB25" s="1066"/>
      <c r="BC25" s="1066"/>
      <c r="BD25" s="282"/>
      <c r="BE25" s="282"/>
      <c r="BF25" s="282"/>
      <c r="BG25" s="282"/>
      <c r="BH25" s="1066"/>
      <c r="BI25" s="1066"/>
      <c r="BJ25" s="282"/>
      <c r="BK25" s="282"/>
      <c r="BL25" s="282"/>
      <c r="BM25" s="282"/>
      <c r="BN25" s="1066"/>
      <c r="BO25" s="24"/>
      <c r="BP25" s="282"/>
      <c r="BQ25" s="282"/>
      <c r="BR25" s="282"/>
      <c r="BS25" s="282"/>
      <c r="BT25" s="24"/>
      <c r="BU25" s="1066"/>
      <c r="BV25" s="282"/>
      <c r="BW25" s="282"/>
      <c r="BX25" s="282"/>
      <c r="BY25" s="282"/>
      <c r="BZ25" s="1066"/>
      <c r="CA25" s="24"/>
      <c r="CB25" s="282"/>
      <c r="CC25" s="282"/>
      <c r="CD25" s="282"/>
      <c r="CE25" s="282"/>
      <c r="CF25" s="359"/>
      <c r="CG25" s="1068">
        <f>SUM('3 pr-2'!AI26)</f>
        <v>43102</v>
      </c>
      <c r="CH25" s="1068">
        <f>SUM('3 pr-2'!AK26)</f>
        <v>43830</v>
      </c>
      <c r="CI25" s="1072">
        <f t="shared" si="57"/>
        <v>78760</v>
      </c>
      <c r="CJ25" s="68">
        <f t="shared" si="58"/>
        <v>0</v>
      </c>
      <c r="CQ25" s="1069">
        <f t="shared" si="93"/>
        <v>115824</v>
      </c>
      <c r="CR25" s="1070">
        <f t="shared" ref="CR25:CR30" si="94">SUM(J25+P25+V25+AB25+AH25)</f>
        <v>78760</v>
      </c>
    </row>
    <row r="26" spans="1:96" ht="37.5" thickTop="1" thickBot="1" x14ac:dyDescent="0.3">
      <c r="A26" s="119" t="str">
        <f>CONCATENATE('3 pr-2'!A27)</f>
        <v>1.1.1.1.18</v>
      </c>
      <c r="B26" s="773" t="str">
        <f>CONCATENATE('3 pr-2'!D27)</f>
        <v>Varėnos kultūros centro Žilinų filialo pastato atnaujinimas ir pritaikymas bendruomenės poreikiams</v>
      </c>
      <c r="C26" s="85">
        <f t="shared" si="69"/>
        <v>0</v>
      </c>
      <c r="D26" s="85">
        <f t="shared" si="70"/>
        <v>0</v>
      </c>
      <c r="E26" s="85">
        <f t="shared" si="71"/>
        <v>0</v>
      </c>
      <c r="F26" s="282">
        <f t="shared" si="72"/>
        <v>0</v>
      </c>
      <c r="G26" s="282">
        <f t="shared" si="73"/>
        <v>0</v>
      </c>
      <c r="H26" s="282">
        <f t="shared" si="74"/>
        <v>0</v>
      </c>
      <c r="I26" s="282">
        <f t="shared" si="75"/>
        <v>0</v>
      </c>
      <c r="J26" s="85">
        <f t="shared" si="76"/>
        <v>0</v>
      </c>
      <c r="K26" s="85">
        <f t="shared" si="77"/>
        <v>0</v>
      </c>
      <c r="L26" s="282">
        <f t="shared" si="78"/>
        <v>0</v>
      </c>
      <c r="M26" s="282">
        <f t="shared" si="79"/>
        <v>0</v>
      </c>
      <c r="N26" s="282">
        <f t="shared" si="80"/>
        <v>0</v>
      </c>
      <c r="O26" s="282">
        <f t="shared" si="81"/>
        <v>0</v>
      </c>
      <c r="P26" s="85">
        <f t="shared" si="82"/>
        <v>0</v>
      </c>
      <c r="Q26" s="85">
        <f>IF(YEAR($Q$2)=YEAR($CG$9),($Q$3-$CG$22)*AJ26,0)</f>
        <v>124656.5934065934</v>
      </c>
      <c r="R26" s="282">
        <f>IF(YEAR($Q$2)=YEAR($CG$9),($Q$3-$CG$22)*AL26,0)</f>
        <v>24931.318681318684</v>
      </c>
      <c r="S26" s="282">
        <f>IF(YEAR($Q$2)=YEAR($CG$9),($Q$3-$CG$22)*AN26,0)</f>
        <v>14958.79120879121</v>
      </c>
      <c r="T26" s="282">
        <f>IF(YEAR($Q$2)=YEAR($CG$9),($Q$3-$CG$22)*AP26,0)</f>
        <v>0</v>
      </c>
      <c r="U26" s="282">
        <f>IF(YEAR($Q$2)=YEAR($CG$9),($Q$3-$CG$22)*AR26,0)</f>
        <v>0</v>
      </c>
      <c r="V26" s="85">
        <f>IF(YEAR($Q$2)=YEAR($CG$9),($Q$3-$CG$22)*AT26,0)</f>
        <v>84766.483516483509</v>
      </c>
      <c r="W26" s="85">
        <f>IF(YEAR($CH$26)=2019,($CH$26-$BI$4)*AI$26/($CH$26-$CG$26),0)</f>
        <v>125343.40659340659</v>
      </c>
      <c r="X26" s="286">
        <f>IF(YEAR($CH$26)=2019,($CH$26-$BI$4)*AK$26/($CH$26-$CG$26),0)</f>
        <v>25068.68131868132</v>
      </c>
      <c r="Y26" s="286">
        <f>IF(YEAR($CH$26)=2019,($CH$26-$BI$4)*AM$26/($CH$26-$CG$26),0)</f>
        <v>15041.208791208792</v>
      </c>
      <c r="Z26" s="286">
        <f>IF(YEAR($CH$26)=2019,($CH$26-$BI$4)*AO$26/($CH$26-$CG$26),0)</f>
        <v>0</v>
      </c>
      <c r="AA26" s="286">
        <f>IF(YEAR($CH$26)=2019,($CH$26-$BI$4)*AQ$26/($CH$26-$CG$26),0)</f>
        <v>0</v>
      </c>
      <c r="AB26" s="85">
        <f>IF(YEAR($CH$26)=2019,($CH$26-$BI$4)*AS$26/($CH$26-$CG$26),0)</f>
        <v>85233.516483516491</v>
      </c>
      <c r="AC26" s="85">
        <v>0</v>
      </c>
      <c r="AD26" s="286">
        <v>0</v>
      </c>
      <c r="AE26" s="286">
        <v>0</v>
      </c>
      <c r="AF26" s="286">
        <v>0</v>
      </c>
      <c r="AG26" s="286">
        <v>0</v>
      </c>
      <c r="AH26" s="85">
        <v>0</v>
      </c>
      <c r="AI26" s="772">
        <f>SUM('3 pr-2'!L27)</f>
        <v>250000</v>
      </c>
      <c r="AJ26" s="85">
        <f t="shared" si="25"/>
        <v>343.4065934065934</v>
      </c>
      <c r="AK26" s="282">
        <f>SUM('3 pr-2'!O27)</f>
        <v>50000</v>
      </c>
      <c r="AL26" s="282">
        <f t="shared" si="26"/>
        <v>68.681318681318686</v>
      </c>
      <c r="AM26" s="282">
        <f>SUM('3 pr-2'!R27)</f>
        <v>30000</v>
      </c>
      <c r="AN26" s="282">
        <f t="shared" si="27"/>
        <v>41.208791208791212</v>
      </c>
      <c r="AO26" s="282">
        <f>SUM('3 pr-2'!U27)</f>
        <v>0</v>
      </c>
      <c r="AP26" s="774">
        <f t="shared" si="28"/>
        <v>0</v>
      </c>
      <c r="AQ26" s="282">
        <f>SUM('3 pr-2'!X27)</f>
        <v>0</v>
      </c>
      <c r="AR26" s="761">
        <f t="shared" si="29"/>
        <v>0</v>
      </c>
      <c r="AS26" s="13">
        <f>SUM('3 pr-2'!AA27)</f>
        <v>170000</v>
      </c>
      <c r="AT26" s="760">
        <f t="shared" si="30"/>
        <v>233.5164835164835</v>
      </c>
      <c r="AU26" s="1071"/>
      <c r="AV26" s="1066"/>
      <c r="AW26" s="1066"/>
      <c r="AX26" s="282"/>
      <c r="AY26" s="282"/>
      <c r="AZ26" s="282"/>
      <c r="BA26" s="282"/>
      <c r="BB26" s="1066"/>
      <c r="BC26" s="1066"/>
      <c r="BD26" s="282"/>
      <c r="BE26" s="282"/>
      <c r="BF26" s="282"/>
      <c r="BG26" s="282"/>
      <c r="BH26" s="1066"/>
      <c r="BI26" s="1066"/>
      <c r="BJ26" s="282"/>
      <c r="BK26" s="282"/>
      <c r="BL26" s="282"/>
      <c r="BM26" s="282"/>
      <c r="BN26" s="1066"/>
      <c r="BO26" s="24"/>
      <c r="BP26" s="282"/>
      <c r="BQ26" s="282"/>
      <c r="BR26" s="282"/>
      <c r="BS26" s="282"/>
      <c r="BT26" s="24"/>
      <c r="BU26" s="1066"/>
      <c r="BV26" s="282"/>
      <c r="BW26" s="282"/>
      <c r="BX26" s="282"/>
      <c r="BY26" s="282"/>
      <c r="BZ26" s="1066"/>
      <c r="CA26" s="24"/>
      <c r="CB26" s="282"/>
      <c r="CC26" s="282"/>
      <c r="CD26" s="282"/>
      <c r="CE26" s="282"/>
      <c r="CF26" s="359"/>
      <c r="CG26" s="1068">
        <f>SUM('3 pr-2'!AI27)</f>
        <v>43102</v>
      </c>
      <c r="CH26" s="1068">
        <f>SUM('3 pr-2'!AK27)</f>
        <v>43830</v>
      </c>
      <c r="CI26" s="1072">
        <f t="shared" si="57"/>
        <v>170000</v>
      </c>
      <c r="CJ26" s="68">
        <f t="shared" si="58"/>
        <v>0</v>
      </c>
      <c r="CQ26" s="1069">
        <f t="shared" si="93"/>
        <v>250000</v>
      </c>
      <c r="CR26" s="1070">
        <f t="shared" si="94"/>
        <v>170000</v>
      </c>
    </row>
    <row r="27" spans="1:96" ht="37.5" thickTop="1" thickBot="1" x14ac:dyDescent="0.3">
      <c r="A27" s="119" t="str">
        <f>CONCATENATE('3 pr-2'!A28)</f>
        <v>1.1.1.1.19</v>
      </c>
      <c r="B27" s="119" t="str">
        <f>CONCATENATE('3 pr-2'!D28)</f>
        <v>Alytaus rajono Pivašiūnų kaimo šaligatvių, laiptų kapitalinis remontas ir gyvenvietės apšvietimo įrengimas</v>
      </c>
      <c r="C27" s="85">
        <f>IF($E$2&gt;=$CG$9,($CG$9-$C$2)*AH27,0)</f>
        <v>0</v>
      </c>
      <c r="D27" s="85">
        <f>IF($E$2&gt;=$CG$9,($CG$9-$C$2)*AI27,0)</f>
        <v>0</v>
      </c>
      <c r="E27" s="85">
        <f>IF(YEAR($E$2)=YEAR($CG$9),($CG$9-$C$2)*$AJ$9,0)</f>
        <v>0</v>
      </c>
      <c r="F27" s="282">
        <f>IF(YEAR($E$2)=YEAR($CG$9),($CG$9-$C$2)*AL27,0)</f>
        <v>0</v>
      </c>
      <c r="G27" s="282">
        <f>IF(YEAR($E$2)=YEAR($CG$9),($CG$9-$C$2)*AN27,0)</f>
        <v>0</v>
      </c>
      <c r="H27" s="282">
        <f>IF(YEAR($E$2)=YEAR($CG$9),($CG$9-$C$2)*AP27,0)</f>
        <v>0</v>
      </c>
      <c r="I27" s="282">
        <f>IF(YEAR($E$2)=YEAR($CG$9),($CG$9-$C$2)*AR27,0)</f>
        <v>0</v>
      </c>
      <c r="J27" s="85">
        <f>IF(YEAR($E$2)=YEAR($CG$9),($CG$9-$C$2)*AT27,0)</f>
        <v>0</v>
      </c>
      <c r="K27" s="85">
        <f>IF(YEAR($K$3)=YEAR($CG$9),($CG$9-$E$3)*AJ27,0)</f>
        <v>0</v>
      </c>
      <c r="L27" s="282">
        <f>IF(YEAR($K$3)=YEAR($CG$9),($CG$9-$E$3)*AL27,0)</f>
        <v>0</v>
      </c>
      <c r="M27" s="282">
        <f>IF(YEAR($K$3)=YEAR($CG$9),($CG$9-$E$3)*AN27,0)</f>
        <v>0</v>
      </c>
      <c r="N27" s="282">
        <f>IF(YEAR($K$3)=YEAR($CG$9),($CG$9-$E$3)*AP27,0)</f>
        <v>0</v>
      </c>
      <c r="O27" s="282">
        <f>IF(YEAR($K$2)=YEAR($CG$9),($CG$9-$E$3)*AR27,0)</f>
        <v>0</v>
      </c>
      <c r="P27" s="85">
        <f>IF(YEAR($K$2)=YEAR($CG$9),($CG$9-$E$3)*AT27,0)</f>
        <v>0</v>
      </c>
      <c r="Q27" s="85">
        <f>IF(YEAR($Q$2)=YEAR($CG$9),($CH$30-$CG$30)*AJ27,0)</f>
        <v>117985.99999999999</v>
      </c>
      <c r="R27" s="282">
        <f>IF(YEAR($Q$2)=YEAR($CG$9),($CH$30-$CG$30)*AL27,0)</f>
        <v>23597</v>
      </c>
      <c r="S27" s="282">
        <f>IF(YEAR($Q$2)=YEAR($CG$9),($CH$30-$CG$30)*AN27,0)</f>
        <v>14158</v>
      </c>
      <c r="T27" s="282">
        <f>IF(YEAR($Q$2)=YEAR($CG$9),($CH$30-$CG$30)*AP27,0)</f>
        <v>0</v>
      </c>
      <c r="U27" s="282">
        <f>IF(YEAR($Q$2)=YEAR($CG$9),($CH$30-$CG$30)*AR27,0)</f>
        <v>0</v>
      </c>
      <c r="V27" s="85">
        <f>IF(YEAR($Q$2)=YEAR($CG$9),($CH$30-$CG$30)*AT27,0)</f>
        <v>80231</v>
      </c>
      <c r="W27" s="85">
        <f>IF(YEAR($W$2)=YEAR($CG$9),($CH$9-$CG$9)*AP27,0)</f>
        <v>0</v>
      </c>
      <c r="X27" s="282">
        <f t="shared" ref="X27" si="95">IF(YEAR($W$2)=YEAR($CG$9),($CH$9-$CG$9)*AQ27,0)</f>
        <v>0</v>
      </c>
      <c r="Y27" s="282">
        <f t="shared" ref="Y27" si="96">IF(YEAR($W$2)=YEAR($CG$9),($CH$9-$CG$9)*AR27,0)</f>
        <v>0</v>
      </c>
      <c r="Z27" s="282">
        <f t="shared" ref="Z27" si="97">IF(YEAR($W$2)=YEAR($CG$9),($CH$9-$CG$9)*AS27,0)</f>
        <v>0</v>
      </c>
      <c r="AA27" s="282">
        <f t="shared" ref="AA27" si="98">IF(YEAR($W$2)=YEAR($CG$9),($CH$9-$CG$9)*AT27,0)</f>
        <v>0</v>
      </c>
      <c r="AB27" s="85">
        <f t="shared" ref="AB27" si="99">IF(YEAR($W$2)=YEAR($CG$9),($CH$9-$CG$9)*AU27,0)</f>
        <v>0</v>
      </c>
      <c r="AC27" s="85">
        <f>IF(YEAR($W$2)=YEAR($CG$9),($CH$9-$CG$9)*AV27,0)</f>
        <v>0</v>
      </c>
      <c r="AD27" s="282">
        <f t="shared" ref="AD27" si="100">IF(YEAR($W$2)=YEAR($CG$9),($CH$9-$CG$9)*AW27,0)</f>
        <v>0</v>
      </c>
      <c r="AE27" s="282">
        <f t="shared" ref="AE27" si="101">IF(YEAR($W$2)=YEAR($CG$9),($CH$9-$CG$9)*AX27,0)</f>
        <v>0</v>
      </c>
      <c r="AF27" s="282">
        <f t="shared" ref="AF27" si="102">IF(YEAR($W$2)=YEAR($CG$9),($CH$9-$CG$9)*AY27,0)</f>
        <v>0</v>
      </c>
      <c r="AG27" s="282">
        <f t="shared" ref="AG27" si="103">IF(YEAR($W$2)=YEAR($CG$9),($CH$9-$CG$9)*AZ27,0)</f>
        <v>0</v>
      </c>
      <c r="AH27" s="85">
        <f t="shared" ref="AH27" si="104">IF(YEAR($W$2)=YEAR($CG$9),($CH$9-$CG$9)*BA27,0)</f>
        <v>0</v>
      </c>
      <c r="AI27" s="762">
        <f>SUM('3 pr-2'!L28)</f>
        <v>117986</v>
      </c>
      <c r="AJ27" s="85">
        <f t="shared" si="25"/>
        <v>325.030303030303</v>
      </c>
      <c r="AK27" s="282">
        <f>SUM('3 pr-2'!O28)</f>
        <v>23597</v>
      </c>
      <c r="AL27" s="282">
        <f t="shared" si="26"/>
        <v>65.005509641873275</v>
      </c>
      <c r="AM27" s="282">
        <f>SUM('3 pr-2'!R28)</f>
        <v>14158</v>
      </c>
      <c r="AN27" s="282">
        <f t="shared" si="27"/>
        <v>39.002754820936637</v>
      </c>
      <c r="AO27" s="282">
        <f>SUM('3 pr-2'!U28)</f>
        <v>0</v>
      </c>
      <c r="AP27" s="774">
        <f t="shared" si="28"/>
        <v>0</v>
      </c>
      <c r="AQ27" s="282">
        <f>SUM('3 pr-2'!X28)</f>
        <v>0</v>
      </c>
      <c r="AR27" s="761">
        <f t="shared" si="29"/>
        <v>0</v>
      </c>
      <c r="AS27" s="13">
        <f>SUM('3 pr-2'!AA28)</f>
        <v>80231</v>
      </c>
      <c r="AT27" s="760">
        <f t="shared" si="30"/>
        <v>221.02203856749313</v>
      </c>
      <c r="AU27" s="1066"/>
      <c r="AV27" s="24"/>
      <c r="AW27" s="24"/>
      <c r="AX27" s="282"/>
      <c r="AY27" s="282"/>
      <c r="AZ27" s="282"/>
      <c r="BA27" s="282"/>
      <c r="BB27" s="24"/>
      <c r="BC27" s="24"/>
      <c r="BD27" s="282"/>
      <c r="BE27" s="282"/>
      <c r="BF27" s="282"/>
      <c r="BG27" s="282"/>
      <c r="BH27" s="24"/>
      <c r="BI27" s="24"/>
      <c r="BJ27" s="282"/>
      <c r="BK27" s="282"/>
      <c r="BL27" s="282"/>
      <c r="BM27" s="282"/>
      <c r="BN27" s="24"/>
      <c r="BO27" s="24"/>
      <c r="BP27" s="282"/>
      <c r="BQ27" s="282"/>
      <c r="BR27" s="282"/>
      <c r="BS27" s="282"/>
      <c r="BT27" s="24"/>
      <c r="BU27" s="24"/>
      <c r="BV27" s="282"/>
      <c r="BW27" s="282"/>
      <c r="BX27" s="282"/>
      <c r="BY27" s="282"/>
      <c r="BZ27" s="24"/>
      <c r="CA27" s="24"/>
      <c r="CB27" s="282"/>
      <c r="CC27" s="282"/>
      <c r="CD27" s="282"/>
      <c r="CE27" s="282"/>
      <c r="CF27" s="359"/>
      <c r="CG27" s="1068">
        <f>SUM('3 pr-2'!AI28)</f>
        <v>43102</v>
      </c>
      <c r="CH27" s="1068">
        <f>SUM('3 pr-2'!AK28)</f>
        <v>43465</v>
      </c>
      <c r="CI27" s="68">
        <f t="shared" si="57"/>
        <v>80231</v>
      </c>
      <c r="CJ27" s="68">
        <f t="shared" si="58"/>
        <v>0</v>
      </c>
      <c r="CQ27" s="1069">
        <f t="shared" si="93"/>
        <v>117985.99999999999</v>
      </c>
      <c r="CR27" s="1070">
        <f t="shared" si="94"/>
        <v>80231</v>
      </c>
    </row>
    <row r="28" spans="1:96" ht="49.5" thickTop="1" thickBot="1" x14ac:dyDescent="0.3">
      <c r="A28" s="119" t="str">
        <f>CONCATENATE('3 pr-2'!A29)</f>
        <v>1.1.1.1.20</v>
      </c>
      <c r="B28" s="773" t="str">
        <f>CONCATENATE('3 pr-2'!D29)</f>
        <v>Pastato, esančio Pušelės g. 11, Naujųjų Valkininkų k., Varėnos r., atnaujinimas ir pritaikymas bendruomenės poreikiams</v>
      </c>
      <c r="C28" s="85">
        <f t="shared" si="69"/>
        <v>0</v>
      </c>
      <c r="D28" s="85">
        <f t="shared" si="70"/>
        <v>0</v>
      </c>
      <c r="E28" s="85">
        <f t="shared" si="71"/>
        <v>0</v>
      </c>
      <c r="F28" s="282">
        <f t="shared" si="72"/>
        <v>0</v>
      </c>
      <c r="G28" s="282">
        <f t="shared" si="73"/>
        <v>0</v>
      </c>
      <c r="H28" s="282">
        <f t="shared" si="74"/>
        <v>0</v>
      </c>
      <c r="I28" s="282">
        <f t="shared" si="75"/>
        <v>0</v>
      </c>
      <c r="J28" s="85">
        <f t="shared" si="76"/>
        <v>0</v>
      </c>
      <c r="K28" s="85">
        <f t="shared" si="77"/>
        <v>0</v>
      </c>
      <c r="L28" s="282">
        <f t="shared" si="78"/>
        <v>0</v>
      </c>
      <c r="M28" s="282">
        <f t="shared" si="79"/>
        <v>0</v>
      </c>
      <c r="N28" s="282">
        <f t="shared" si="80"/>
        <v>0</v>
      </c>
      <c r="O28" s="282">
        <f t="shared" si="81"/>
        <v>0</v>
      </c>
      <c r="P28" s="85">
        <f t="shared" si="82"/>
        <v>0</v>
      </c>
      <c r="Q28" s="85">
        <f>IF(YEAR($Q$2)=YEAR($CG$9),($Q$3-$CG$22)*AJ28,0)</f>
        <v>124656.5934065934</v>
      </c>
      <c r="R28" s="282">
        <f>IF(YEAR($Q$2)=YEAR($CG$9),($Q$3-$CG$22)*AL28,0)</f>
        <v>24931.318681318684</v>
      </c>
      <c r="S28" s="282">
        <f>IF(YEAR($Q$2)=YEAR($CG$9),($Q$3-$CG$22)*AN28,0)</f>
        <v>14958.79120879121</v>
      </c>
      <c r="T28" s="282">
        <f>IF(YEAR($Q$2)=YEAR($CG$9),($Q$3-$CG$22)*AP28,0)</f>
        <v>0</v>
      </c>
      <c r="U28" s="282">
        <f>IF(YEAR($Q$2)=YEAR($CG$9),($Q$3-$CG$22)*AR28,0)</f>
        <v>0</v>
      </c>
      <c r="V28" s="85">
        <f>IF(YEAR($Q$2)=YEAR($CG$9),($Q$3-$CG$22)*AT28,0)</f>
        <v>84766.483516483509</v>
      </c>
      <c r="W28" s="85">
        <f>IF(YEAR($CH$28)=2019,($CH$28-$BI$4)*AI$28/($CH$28-$CG$28),0)</f>
        <v>125343.40659340659</v>
      </c>
      <c r="X28" s="286">
        <f>IF(YEAR($CH$28)=2019,($CH$28-$BI$4)*AK$28/($CH$28-$CG$28),0)</f>
        <v>25068.68131868132</v>
      </c>
      <c r="Y28" s="286">
        <f>IF(YEAR($CH$28)=2019,($CH$28-$BI$4)*AM$28/($CH$28-$CG$28),0)</f>
        <v>15041.208791208792</v>
      </c>
      <c r="Z28" s="286">
        <f>IF(YEAR($CH$28)=2019,($CH$28-$BI$4)*AO$28/($CH$28-$CG$28),0)</f>
        <v>0</v>
      </c>
      <c r="AA28" s="286">
        <f>IF(YEAR($CH$28)=2019,($CH$28-$BI$4)*AQ$28/($CH$28-$CG$28),0)</f>
        <v>0</v>
      </c>
      <c r="AB28" s="85">
        <f>IF(YEAR($CH$28)=2019,($CH$28-$BI$4)*AS$28/($CH$28-$CG$28),0)</f>
        <v>85233.516483516491</v>
      </c>
      <c r="AC28" s="85">
        <v>0</v>
      </c>
      <c r="AD28" s="286">
        <v>0</v>
      </c>
      <c r="AE28" s="286">
        <v>0</v>
      </c>
      <c r="AF28" s="286">
        <v>0</v>
      </c>
      <c r="AG28" s="286">
        <v>0</v>
      </c>
      <c r="AH28" s="85">
        <v>0</v>
      </c>
      <c r="AI28" s="772">
        <f>SUM('3 pr-2'!L29)</f>
        <v>250000</v>
      </c>
      <c r="AJ28" s="85">
        <f t="shared" si="25"/>
        <v>343.4065934065934</v>
      </c>
      <c r="AK28" s="282">
        <f>SUM('3 pr-2'!O29)</f>
        <v>50000</v>
      </c>
      <c r="AL28" s="282">
        <f t="shared" si="26"/>
        <v>68.681318681318686</v>
      </c>
      <c r="AM28" s="282">
        <f>SUM('3 pr-2'!R29)</f>
        <v>30000</v>
      </c>
      <c r="AN28" s="282">
        <f t="shared" si="27"/>
        <v>41.208791208791212</v>
      </c>
      <c r="AO28" s="282">
        <f>SUM('3 pr-2'!U29)</f>
        <v>0</v>
      </c>
      <c r="AP28" s="774">
        <f t="shared" si="28"/>
        <v>0</v>
      </c>
      <c r="AQ28" s="282">
        <f>SUM('3 pr-2'!X29)</f>
        <v>0</v>
      </c>
      <c r="AR28" s="761">
        <f t="shared" si="29"/>
        <v>0</v>
      </c>
      <c r="AS28" s="13">
        <f>SUM('3 pr-2'!AA29)</f>
        <v>170000</v>
      </c>
      <c r="AT28" s="760">
        <f t="shared" si="30"/>
        <v>233.5164835164835</v>
      </c>
      <c r="AU28" s="1071"/>
      <c r="AV28" s="1066"/>
      <c r="AW28" s="1066"/>
      <c r="AX28" s="282"/>
      <c r="AY28" s="282"/>
      <c r="AZ28" s="282"/>
      <c r="BA28" s="282"/>
      <c r="BB28" s="1066"/>
      <c r="BC28" s="1066"/>
      <c r="BD28" s="282"/>
      <c r="BE28" s="282"/>
      <c r="BF28" s="282"/>
      <c r="BG28" s="282"/>
      <c r="BH28" s="1066"/>
      <c r="BI28" s="1066"/>
      <c r="BJ28" s="282"/>
      <c r="BK28" s="282"/>
      <c r="BL28" s="282"/>
      <c r="BM28" s="282"/>
      <c r="BN28" s="1066"/>
      <c r="BO28" s="24"/>
      <c r="BP28" s="282"/>
      <c r="BQ28" s="282"/>
      <c r="BR28" s="282"/>
      <c r="BS28" s="282"/>
      <c r="BT28" s="24"/>
      <c r="BU28" s="1066"/>
      <c r="BV28" s="282"/>
      <c r="BW28" s="282"/>
      <c r="BX28" s="282"/>
      <c r="BY28" s="282"/>
      <c r="BZ28" s="1066"/>
      <c r="CA28" s="24"/>
      <c r="CB28" s="282"/>
      <c r="CC28" s="282"/>
      <c r="CD28" s="282"/>
      <c r="CE28" s="282"/>
      <c r="CF28" s="359"/>
      <c r="CG28" s="1068">
        <f>SUM('3 pr-2'!AI29)</f>
        <v>43102</v>
      </c>
      <c r="CH28" s="1068">
        <f>SUM('3 pr-2'!AK29)</f>
        <v>43830</v>
      </c>
      <c r="CI28" s="1072">
        <f t="shared" si="57"/>
        <v>170000</v>
      </c>
      <c r="CJ28" s="68">
        <f t="shared" si="58"/>
        <v>0</v>
      </c>
      <c r="CQ28" s="1069">
        <f t="shared" si="93"/>
        <v>250000</v>
      </c>
      <c r="CR28" s="1070">
        <f t="shared" si="94"/>
        <v>170000</v>
      </c>
    </row>
    <row r="29" spans="1:96" ht="37.5" thickTop="1" thickBot="1" x14ac:dyDescent="0.3">
      <c r="A29" s="119" t="str">
        <f>CONCATENATE('3 pr-2'!A30)</f>
        <v>1.1.1.1.21</v>
      </c>
      <c r="B29" s="119" t="str">
        <f>CONCATENATE('3 pr-2'!D30)</f>
        <v>Kaimo gyvenamųjų vietovių Lazdijų rajono savivaldybėje patrauklumo gerinimas</v>
      </c>
      <c r="C29" s="85">
        <f t="shared" si="69"/>
        <v>0</v>
      </c>
      <c r="D29" s="85">
        <f t="shared" si="70"/>
        <v>0</v>
      </c>
      <c r="E29" s="85">
        <f t="shared" si="71"/>
        <v>0</v>
      </c>
      <c r="F29" s="282">
        <f t="shared" si="72"/>
        <v>0</v>
      </c>
      <c r="G29" s="282">
        <f t="shared" si="73"/>
        <v>0</v>
      </c>
      <c r="H29" s="282">
        <f t="shared" si="74"/>
        <v>0</v>
      </c>
      <c r="I29" s="282">
        <f t="shared" si="75"/>
        <v>0</v>
      </c>
      <c r="J29" s="85">
        <f t="shared" si="76"/>
        <v>0</v>
      </c>
      <c r="K29" s="85">
        <f t="shared" si="77"/>
        <v>0</v>
      </c>
      <c r="L29" s="282">
        <f t="shared" si="78"/>
        <v>0</v>
      </c>
      <c r="M29" s="282">
        <f t="shared" si="79"/>
        <v>0</v>
      </c>
      <c r="N29" s="282">
        <f t="shared" si="80"/>
        <v>0</v>
      </c>
      <c r="O29" s="282">
        <f t="shared" si="81"/>
        <v>0</v>
      </c>
      <c r="P29" s="85">
        <f t="shared" si="82"/>
        <v>0</v>
      </c>
      <c r="Q29" s="85">
        <f>IF(YEAR($Q$2)=YEAR($CG$9),($CH$29-$CG$29)*AJ29,0)</f>
        <v>170000</v>
      </c>
      <c r="R29" s="282">
        <f>IF(YEAR($Q$2)=YEAR($CG$9),($CH$29-$CG$29)*AL29,0)</f>
        <v>34000</v>
      </c>
      <c r="S29" s="282">
        <f>IF(YEAR($Q$2)=YEAR($CG$9),($CH$29-$CG$29)*AN29,0)</f>
        <v>20400</v>
      </c>
      <c r="T29" s="282">
        <f>IF(YEAR($Q$2)=YEAR($CG$9),($CH$29-$CG$29)*AP29,0)</f>
        <v>0</v>
      </c>
      <c r="U29" s="282">
        <f>IF(YEAR($Q$2)=YEAR($CG$9),($CH$29-$CG$29)*AR29,0)</f>
        <v>0</v>
      </c>
      <c r="V29" s="85">
        <f>IF(YEAR($Q$2)=YEAR($CG$9),(CH29-CG29)*AT29,0)</f>
        <v>115600</v>
      </c>
      <c r="W29" s="85">
        <f t="shared" ref="W29:W30" si="105">IF(YEAR($W$2)=YEAR($CG$9),($CH$9-$CG$9)*AP29,0)</f>
        <v>0</v>
      </c>
      <c r="X29" s="282">
        <f t="shared" ref="X29:X30" si="106">IF(YEAR($W$2)=YEAR($CG$9),($CH$9-$CG$9)*AQ29,0)</f>
        <v>0</v>
      </c>
      <c r="Y29" s="282">
        <f t="shared" ref="Y29:Y30" si="107">IF(YEAR($W$2)=YEAR($CG$9),($CH$9-$CG$9)*AR29,0)</f>
        <v>0</v>
      </c>
      <c r="Z29" s="282">
        <f t="shared" ref="Z29:Z30" si="108">IF(YEAR($W$2)=YEAR($CG$9),($CH$9-$CG$9)*AS29,0)</f>
        <v>0</v>
      </c>
      <c r="AA29" s="282">
        <f t="shared" ref="AA29:AA30" si="109">IF(YEAR($W$2)=YEAR($CG$9),($CH$9-$CG$9)*AT29,0)</f>
        <v>0</v>
      </c>
      <c r="AB29" s="85">
        <f t="shared" ref="AB29:AB30" si="110">IF(YEAR($W$2)=YEAR($CG$9),($CH$9-$CG$9)*AU29,0)</f>
        <v>0</v>
      </c>
      <c r="AC29" s="85">
        <f t="shared" ref="AC29:AC30" si="111">IF(YEAR($W$2)=YEAR($CG$9),($CH$9-$CG$9)*AV29,0)</f>
        <v>0</v>
      </c>
      <c r="AD29" s="282">
        <f t="shared" ref="AD29:AD30" si="112">IF(YEAR($W$2)=YEAR($CG$9),($CH$9-$CG$9)*AW29,0)</f>
        <v>0</v>
      </c>
      <c r="AE29" s="282">
        <f t="shared" ref="AE29:AE30" si="113">IF(YEAR($W$2)=YEAR($CG$9),($CH$9-$CG$9)*AX29,0)</f>
        <v>0</v>
      </c>
      <c r="AF29" s="282">
        <f t="shared" ref="AF29:AF30" si="114">IF(YEAR($W$2)=YEAR($CG$9),($CH$9-$CG$9)*AY29,0)</f>
        <v>0</v>
      </c>
      <c r="AG29" s="282">
        <f t="shared" ref="AG29:AG30" si="115">IF(YEAR($W$2)=YEAR($CG$9),($CH$9-$CG$9)*AZ29,0)</f>
        <v>0</v>
      </c>
      <c r="AH29" s="85">
        <f t="shared" ref="AH29:AH30" si="116">IF(YEAR($W$2)=YEAR($CG$9),($CH$9-$CG$9)*BA29,0)</f>
        <v>0</v>
      </c>
      <c r="AI29" s="762">
        <f>SUM('3 pr-2'!L30)</f>
        <v>170000</v>
      </c>
      <c r="AJ29" s="85">
        <f t="shared" si="25"/>
        <v>899.47089947089944</v>
      </c>
      <c r="AK29" s="282">
        <f>SUM('3 pr-2'!O30)</f>
        <v>34000</v>
      </c>
      <c r="AL29" s="282">
        <f t="shared" si="26"/>
        <v>179.8941798941799</v>
      </c>
      <c r="AM29" s="282">
        <f>SUM('3 pr-2'!R30)</f>
        <v>20400</v>
      </c>
      <c r="AN29" s="282">
        <f t="shared" si="27"/>
        <v>107.93650793650794</v>
      </c>
      <c r="AO29" s="282">
        <f>SUM('3 pr-2'!U30)</f>
        <v>0</v>
      </c>
      <c r="AP29" s="774">
        <f t="shared" si="28"/>
        <v>0</v>
      </c>
      <c r="AQ29" s="282">
        <f>SUM('3 pr-2'!X30)</f>
        <v>0</v>
      </c>
      <c r="AR29" s="761">
        <f t="shared" si="29"/>
        <v>0</v>
      </c>
      <c r="AS29" s="13">
        <f>SUM('3 pr-2'!AA30)</f>
        <v>115600</v>
      </c>
      <c r="AT29" s="760">
        <f t="shared" si="30"/>
        <v>611.64021164021165</v>
      </c>
      <c r="AU29" s="1066"/>
      <c r="AV29" s="24"/>
      <c r="AW29" s="24"/>
      <c r="AX29" s="282"/>
      <c r="AY29" s="282"/>
      <c r="AZ29" s="282"/>
      <c r="BA29" s="282"/>
      <c r="BB29" s="24"/>
      <c r="BC29" s="24"/>
      <c r="BD29" s="282"/>
      <c r="BE29" s="282"/>
      <c r="BF29" s="282"/>
      <c r="BG29" s="282"/>
      <c r="BH29" s="24"/>
      <c r="BI29" s="24"/>
      <c r="BJ29" s="282"/>
      <c r="BK29" s="282"/>
      <c r="BL29" s="282"/>
      <c r="BM29" s="282"/>
      <c r="BN29" s="24"/>
      <c r="BO29" s="24"/>
      <c r="BP29" s="282"/>
      <c r="BQ29" s="282"/>
      <c r="BR29" s="282"/>
      <c r="BS29" s="282"/>
      <c r="BT29" s="24"/>
      <c r="BU29" s="24"/>
      <c r="BV29" s="282"/>
      <c r="BW29" s="282"/>
      <c r="BX29" s="282"/>
      <c r="BY29" s="282"/>
      <c r="BZ29" s="24"/>
      <c r="CA29" s="24"/>
      <c r="CB29" s="282"/>
      <c r="CC29" s="282"/>
      <c r="CD29" s="282"/>
      <c r="CE29" s="282"/>
      <c r="CF29" s="359"/>
      <c r="CG29" s="1068">
        <f>SUM('3 pr-2'!AI30)</f>
        <v>43102</v>
      </c>
      <c r="CH29" s="1068">
        <f>SUM('3 pr-2'!AK30)</f>
        <v>43291</v>
      </c>
      <c r="CI29" s="68">
        <f t="shared" si="57"/>
        <v>115600</v>
      </c>
      <c r="CJ29" s="68">
        <f t="shared" si="58"/>
        <v>0</v>
      </c>
      <c r="CQ29" s="1069">
        <f t="shared" si="93"/>
        <v>170000</v>
      </c>
      <c r="CR29" s="1070">
        <f t="shared" si="94"/>
        <v>115600</v>
      </c>
    </row>
    <row r="30" spans="1:96" ht="25.5" thickTop="1" thickBot="1" x14ac:dyDescent="0.3">
      <c r="A30" s="119" t="str">
        <f>CONCATENATE('3 pr-2'!A31)</f>
        <v>1.1.1.1.22</v>
      </c>
      <c r="B30" s="119" t="str">
        <f>CONCATENATE('3 pr-2'!D31)</f>
        <v>Alytaus rajono Makniūnų kaimo šaligatvių atnaujinimas ir plėtra</v>
      </c>
      <c r="C30" s="85">
        <f t="shared" si="69"/>
        <v>0</v>
      </c>
      <c r="D30" s="85">
        <f t="shared" si="70"/>
        <v>0</v>
      </c>
      <c r="E30" s="85">
        <f t="shared" si="71"/>
        <v>0</v>
      </c>
      <c r="F30" s="282">
        <f t="shared" si="72"/>
        <v>0</v>
      </c>
      <c r="G30" s="282">
        <f t="shared" si="73"/>
        <v>0</v>
      </c>
      <c r="H30" s="282">
        <f t="shared" si="74"/>
        <v>0</v>
      </c>
      <c r="I30" s="282">
        <f t="shared" si="75"/>
        <v>0</v>
      </c>
      <c r="J30" s="85">
        <f t="shared" si="76"/>
        <v>0</v>
      </c>
      <c r="K30" s="85">
        <f t="shared" si="77"/>
        <v>0</v>
      </c>
      <c r="L30" s="282">
        <f t="shared" si="78"/>
        <v>0</v>
      </c>
      <c r="M30" s="282">
        <f t="shared" si="79"/>
        <v>0</v>
      </c>
      <c r="N30" s="282">
        <f t="shared" si="80"/>
        <v>0</v>
      </c>
      <c r="O30" s="282">
        <f t="shared" si="81"/>
        <v>0</v>
      </c>
      <c r="P30" s="85">
        <f t="shared" si="82"/>
        <v>0</v>
      </c>
      <c r="Q30" s="85">
        <f>IF(YEAR($Q$2)=YEAR($CG$9),($CH$30-$CG$30)*AJ30,0)</f>
        <v>70991</v>
      </c>
      <c r="R30" s="282">
        <f>IF(YEAR($Q$2)=YEAR($CG$9),($CH$30-$CG$30)*AL30,0)</f>
        <v>14198</v>
      </c>
      <c r="S30" s="282">
        <f>IF(YEAR($Q$2)=YEAR($CG$9),($CH$30-$CG$30)*AN30,0)</f>
        <v>8519</v>
      </c>
      <c r="T30" s="282">
        <f>IF(YEAR($Q$2)=YEAR($CG$9),($CH$30-$CG$30)*AP30,0)</f>
        <v>0</v>
      </c>
      <c r="U30" s="282">
        <f>IF(YEAR($Q$2)=YEAR($CG$9),($CH$30-$CG$30)*AR30,0)</f>
        <v>0</v>
      </c>
      <c r="V30" s="85">
        <f>IF(YEAR($Q$2)=YEAR($CG$9),($CH$30-$CG$30)*AT30,0)</f>
        <v>48274</v>
      </c>
      <c r="W30" s="85">
        <f t="shared" si="105"/>
        <v>0</v>
      </c>
      <c r="X30" s="282">
        <f t="shared" si="106"/>
        <v>0</v>
      </c>
      <c r="Y30" s="282">
        <f t="shared" si="107"/>
        <v>0</v>
      </c>
      <c r="Z30" s="282">
        <f t="shared" si="108"/>
        <v>0</v>
      </c>
      <c r="AA30" s="282">
        <f t="shared" si="109"/>
        <v>0</v>
      </c>
      <c r="AB30" s="85">
        <f t="shared" si="110"/>
        <v>0</v>
      </c>
      <c r="AC30" s="85">
        <f t="shared" si="111"/>
        <v>0</v>
      </c>
      <c r="AD30" s="282">
        <f t="shared" si="112"/>
        <v>0</v>
      </c>
      <c r="AE30" s="282">
        <f t="shared" si="113"/>
        <v>0</v>
      </c>
      <c r="AF30" s="282">
        <f t="shared" si="114"/>
        <v>0</v>
      </c>
      <c r="AG30" s="282">
        <f t="shared" si="115"/>
        <v>0</v>
      </c>
      <c r="AH30" s="85">
        <f t="shared" si="116"/>
        <v>0</v>
      </c>
      <c r="AI30" s="762">
        <f>SUM('3 pr-2'!L31)</f>
        <v>70991</v>
      </c>
      <c r="AJ30" s="85">
        <f t="shared" si="25"/>
        <v>195.56749311294766</v>
      </c>
      <c r="AK30" s="282">
        <f>SUM('3 pr-2'!O31)</f>
        <v>14198</v>
      </c>
      <c r="AL30" s="282">
        <f t="shared" si="26"/>
        <v>39.112947658402206</v>
      </c>
      <c r="AM30" s="282">
        <f>SUM('3 pr-2'!R31)</f>
        <v>8519</v>
      </c>
      <c r="AN30" s="282">
        <f t="shared" si="27"/>
        <v>23.46831955922865</v>
      </c>
      <c r="AO30" s="282">
        <f>SUM('3 pr-2'!U31)</f>
        <v>0</v>
      </c>
      <c r="AP30" s="774">
        <f t="shared" si="28"/>
        <v>0</v>
      </c>
      <c r="AQ30" s="282">
        <f>SUM('3 pr-2'!X31)</f>
        <v>0</v>
      </c>
      <c r="AR30" s="761">
        <f t="shared" si="29"/>
        <v>0</v>
      </c>
      <c r="AS30" s="13">
        <f>SUM('3 pr-2'!AA31)</f>
        <v>48274</v>
      </c>
      <c r="AT30" s="760">
        <f t="shared" si="30"/>
        <v>132.98622589531681</v>
      </c>
      <c r="AU30" s="1066"/>
      <c r="AV30" s="24"/>
      <c r="AW30" s="24"/>
      <c r="AX30" s="282"/>
      <c r="AY30" s="282"/>
      <c r="AZ30" s="282"/>
      <c r="BA30" s="282"/>
      <c r="BB30" s="24"/>
      <c r="BC30" s="24"/>
      <c r="BD30" s="282"/>
      <c r="BE30" s="282"/>
      <c r="BF30" s="282"/>
      <c r="BG30" s="282"/>
      <c r="BH30" s="24"/>
      <c r="BI30" s="24"/>
      <c r="BJ30" s="282"/>
      <c r="BK30" s="282"/>
      <c r="BL30" s="282"/>
      <c r="BM30" s="282"/>
      <c r="BN30" s="24"/>
      <c r="BO30" s="24"/>
      <c r="BP30" s="282"/>
      <c r="BQ30" s="282"/>
      <c r="BR30" s="282"/>
      <c r="BS30" s="282"/>
      <c r="BT30" s="24"/>
      <c r="BU30" s="24"/>
      <c r="BV30" s="282"/>
      <c r="BW30" s="282"/>
      <c r="BX30" s="282"/>
      <c r="BY30" s="282"/>
      <c r="BZ30" s="24"/>
      <c r="CA30" s="24"/>
      <c r="CB30" s="282"/>
      <c r="CC30" s="282"/>
      <c r="CD30" s="282"/>
      <c r="CE30" s="282"/>
      <c r="CF30" s="359"/>
      <c r="CG30" s="1068">
        <f>SUM('3 pr-2'!AI31)</f>
        <v>43102</v>
      </c>
      <c r="CH30" s="1068">
        <f>SUM('3 pr-2'!AK31)</f>
        <v>43465</v>
      </c>
      <c r="CI30" s="68">
        <f t="shared" si="57"/>
        <v>48274</v>
      </c>
      <c r="CJ30" s="68">
        <f t="shared" si="58"/>
        <v>0</v>
      </c>
      <c r="CM30" s="25">
        <f>SUM(CH37-CG37)</f>
        <v>518</v>
      </c>
      <c r="CN30" s="25">
        <v>365</v>
      </c>
      <c r="CO30" s="25">
        <f>SUM(CM30-CN30)</f>
        <v>153</v>
      </c>
      <c r="CQ30" s="1069">
        <f t="shared" si="93"/>
        <v>70991</v>
      </c>
      <c r="CR30" s="1070">
        <f t="shared" si="94"/>
        <v>48274</v>
      </c>
    </row>
    <row r="31" spans="1:96" ht="17.25" thickTop="1" thickBot="1" x14ac:dyDescent="0.3">
      <c r="A31" s="125"/>
      <c r="B31" s="120"/>
      <c r="C31" s="85"/>
      <c r="D31" s="85"/>
      <c r="E31" s="85"/>
      <c r="F31" s="85"/>
      <c r="G31" s="85"/>
      <c r="H31" s="85"/>
      <c r="I31" s="85"/>
      <c r="J31" s="85"/>
      <c r="K31" s="85"/>
      <c r="L31" s="361"/>
      <c r="M31" s="361"/>
      <c r="N31" s="361"/>
      <c r="O31" s="361"/>
      <c r="P31" s="85"/>
      <c r="Q31" s="85"/>
      <c r="R31" s="361"/>
      <c r="S31" s="361"/>
      <c r="T31" s="361"/>
      <c r="U31" s="361"/>
      <c r="V31" s="85"/>
      <c r="W31" s="85"/>
      <c r="X31" s="361"/>
      <c r="Y31" s="361"/>
      <c r="Z31" s="361"/>
      <c r="AA31" s="361"/>
      <c r="AB31" s="85"/>
      <c r="AC31" s="85"/>
      <c r="AD31" s="361"/>
      <c r="AE31" s="361"/>
      <c r="AF31" s="361"/>
      <c r="AG31" s="361"/>
      <c r="AH31" s="85"/>
      <c r="AI31" s="762"/>
      <c r="AJ31" s="85"/>
      <c r="AK31" s="85"/>
      <c r="AL31" s="85"/>
      <c r="AM31" s="85"/>
      <c r="AN31" s="85"/>
      <c r="AO31" s="85"/>
      <c r="AP31" s="85"/>
      <c r="AQ31" s="85"/>
      <c r="AR31" s="85"/>
      <c r="AS31" s="17"/>
      <c r="AT31" s="17"/>
      <c r="AU31" s="1066"/>
      <c r="AV31" s="24"/>
      <c r="AW31" s="24"/>
      <c r="AX31" s="85"/>
      <c r="AY31" s="85"/>
      <c r="AZ31" s="85"/>
      <c r="BA31" s="85"/>
      <c r="BB31" s="24"/>
      <c r="BC31" s="24"/>
      <c r="BD31" s="85"/>
      <c r="BE31" s="85"/>
      <c r="BF31" s="85"/>
      <c r="BG31" s="85"/>
      <c r="BH31" s="24"/>
      <c r="BI31" s="24"/>
      <c r="BJ31" s="85"/>
      <c r="BK31" s="85"/>
      <c r="BL31" s="85"/>
      <c r="BM31" s="85"/>
      <c r="BN31" s="24"/>
      <c r="BO31" s="24"/>
      <c r="BP31" s="85"/>
      <c r="BQ31" s="85"/>
      <c r="BR31" s="85"/>
      <c r="BS31" s="85"/>
      <c r="BT31" s="24"/>
      <c r="BU31" s="24"/>
      <c r="BV31" s="85"/>
      <c r="BW31" s="85"/>
      <c r="BX31" s="85"/>
      <c r="BY31" s="85"/>
      <c r="BZ31" s="24"/>
      <c r="CA31" s="24"/>
      <c r="CB31" s="85"/>
      <c r="CC31" s="85"/>
      <c r="CD31" s="85"/>
      <c r="CE31" s="85"/>
      <c r="CF31" s="359"/>
      <c r="CG31" s="1067"/>
      <c r="CH31" s="23"/>
      <c r="CO31" s="25">
        <f>SUM(W2-CG37)</f>
        <v>154</v>
      </c>
    </row>
    <row r="32" spans="1:96" ht="52.5" thickBot="1" x14ac:dyDescent="0.3">
      <c r="A32" s="278" t="str">
        <f>CONCATENATE('3 pr-2'!A33)</f>
        <v>1.1.1.2</v>
      </c>
      <c r="B32" s="118" t="str">
        <f>CONCATENATE('3 pr-2'!B33)</f>
        <v>Priemonė:
Kaimo gyvenamųjų vietovių (turinčių 1-6 tūkst. gyventojų) atnaujinimas ir plėtra</v>
      </c>
      <c r="C32" s="1063">
        <f>SUM(C33:C37)</f>
        <v>0</v>
      </c>
      <c r="D32" s="1063">
        <f t="shared" ref="D32:AS32" si="117">SUM(D33:D37)</f>
        <v>0</v>
      </c>
      <c r="E32" s="1063">
        <f t="shared" si="117"/>
        <v>0</v>
      </c>
      <c r="F32" s="1063"/>
      <c r="G32" s="1063"/>
      <c r="H32" s="1063"/>
      <c r="I32" s="1063"/>
      <c r="J32" s="1063">
        <f t="shared" si="117"/>
        <v>0</v>
      </c>
      <c r="K32" s="1063">
        <f t="shared" si="117"/>
        <v>0</v>
      </c>
      <c r="L32" s="1064">
        <f t="shared" ref="L32:O32" si="118">SUM(L33:L37)</f>
        <v>0</v>
      </c>
      <c r="M32" s="1064">
        <f t="shared" si="118"/>
        <v>0</v>
      </c>
      <c r="N32" s="1064">
        <f t="shared" si="118"/>
        <v>0</v>
      </c>
      <c r="O32" s="1064">
        <f t="shared" si="118"/>
        <v>0</v>
      </c>
      <c r="P32" s="1063">
        <f t="shared" si="117"/>
        <v>0</v>
      </c>
      <c r="Q32" s="1063">
        <f t="shared" si="117"/>
        <v>699237.79724132735</v>
      </c>
      <c r="R32" s="1064"/>
      <c r="S32" s="1064"/>
      <c r="T32" s="1064"/>
      <c r="U32" s="1064"/>
      <c r="V32" s="1063">
        <f t="shared" si="117"/>
        <v>518531.05570913188</v>
      </c>
      <c r="W32" s="1063">
        <f t="shared" si="117"/>
        <v>1791466.5037266624</v>
      </c>
      <c r="X32" s="1064"/>
      <c r="Y32" s="1064"/>
      <c r="Z32" s="1064"/>
      <c r="AA32" s="1064"/>
      <c r="AB32" s="1063">
        <f t="shared" si="117"/>
        <v>1337638.6643318413</v>
      </c>
      <c r="AC32" s="1063">
        <f t="shared" si="117"/>
        <v>1226621.4990320103</v>
      </c>
      <c r="AD32" s="1064"/>
      <c r="AE32" s="1064"/>
      <c r="AF32" s="1064"/>
      <c r="AG32" s="1064"/>
      <c r="AH32" s="1063">
        <f t="shared" si="117"/>
        <v>960281.91995902697</v>
      </c>
      <c r="AI32" s="1065">
        <f t="shared" si="117"/>
        <v>3717325.8</v>
      </c>
      <c r="AJ32" s="1063"/>
      <c r="AK32" s="1063"/>
      <c r="AL32" s="1063"/>
      <c r="AM32" s="1063"/>
      <c r="AN32" s="1063"/>
      <c r="AO32" s="1063"/>
      <c r="AP32" s="1063"/>
      <c r="AQ32" s="1063"/>
      <c r="AR32" s="1063"/>
      <c r="AS32" s="1063">
        <f t="shared" si="117"/>
        <v>2816451.64</v>
      </c>
      <c r="AT32" s="1063"/>
      <c r="AU32" s="1066">
        <v>0</v>
      </c>
      <c r="AV32" s="24">
        <v>0</v>
      </c>
      <c r="AW32" s="24">
        <v>0</v>
      </c>
      <c r="AX32" s="1063">
        <v>0</v>
      </c>
      <c r="AY32" s="1063">
        <v>0</v>
      </c>
      <c r="AZ32" s="1063">
        <v>0</v>
      </c>
      <c r="BA32" s="1063">
        <v>0</v>
      </c>
      <c r="BB32" s="24">
        <v>0</v>
      </c>
      <c r="BC32" s="24">
        <v>0</v>
      </c>
      <c r="BD32" s="1063">
        <v>0</v>
      </c>
      <c r="BE32" s="1063">
        <v>0</v>
      </c>
      <c r="BF32" s="1063">
        <v>0</v>
      </c>
      <c r="BG32" s="1063">
        <v>0</v>
      </c>
      <c r="BH32" s="1073">
        <v>0</v>
      </c>
      <c r="BI32" s="1073">
        <v>0</v>
      </c>
      <c r="BJ32" s="1063">
        <v>0</v>
      </c>
      <c r="BK32" s="1063">
        <v>0</v>
      </c>
      <c r="BL32" s="1063">
        <v>0</v>
      </c>
      <c r="BM32" s="1063">
        <v>0</v>
      </c>
      <c r="BN32" s="24">
        <v>0</v>
      </c>
      <c r="BO32" s="24">
        <v>0</v>
      </c>
      <c r="BP32" s="1063">
        <v>0</v>
      </c>
      <c r="BQ32" s="1063">
        <v>0</v>
      </c>
      <c r="BR32" s="1063">
        <v>0</v>
      </c>
      <c r="BS32" s="1063">
        <v>0</v>
      </c>
      <c r="BT32" s="1073">
        <v>0</v>
      </c>
      <c r="BU32" s="1073">
        <v>0</v>
      </c>
      <c r="BV32" s="1063">
        <v>0</v>
      </c>
      <c r="BW32" s="1063">
        <v>0</v>
      </c>
      <c r="BX32" s="1063">
        <v>0</v>
      </c>
      <c r="BY32" s="1063">
        <v>0</v>
      </c>
      <c r="BZ32" s="1073">
        <v>0</v>
      </c>
      <c r="CA32" s="1073">
        <v>100</v>
      </c>
      <c r="CB32" s="1063">
        <v>100</v>
      </c>
      <c r="CC32" s="1063">
        <v>100</v>
      </c>
      <c r="CD32" s="1063">
        <v>100</v>
      </c>
      <c r="CE32" s="1063">
        <v>100</v>
      </c>
      <c r="CF32" s="359">
        <v>100</v>
      </c>
      <c r="CG32" s="1067"/>
      <c r="CH32" s="23"/>
      <c r="CL32" s="25" t="s">
        <v>336</v>
      </c>
      <c r="CM32" s="25" t="s">
        <v>1417</v>
      </c>
      <c r="CN32" s="25" t="s">
        <v>1418</v>
      </c>
      <c r="CO32" s="25" t="s">
        <v>1460</v>
      </c>
    </row>
    <row r="33" spans="1:99" s="1078" customFormat="1" ht="37.5" thickTop="1" thickBot="1" x14ac:dyDescent="0.3">
      <c r="A33" s="121" t="str">
        <f>CONCATENATE('3 pr-2'!A34:J34)</f>
        <v>1.1.1.2.1</v>
      </c>
      <c r="B33" s="121" t="str">
        <f>CONCATENATE('3 pr-2'!D34)</f>
        <v>Matuizų kaimo viešosios infrastruktūros atnaujinimas ir pritaikymas bendruomenės poreikiams</v>
      </c>
      <c r="C33" s="71">
        <v>0</v>
      </c>
      <c r="D33" s="71">
        <v>0</v>
      </c>
      <c r="E33" s="71">
        <v>0</v>
      </c>
      <c r="F33" s="282">
        <v>0</v>
      </c>
      <c r="G33" s="282">
        <v>0</v>
      </c>
      <c r="H33" s="282">
        <v>0</v>
      </c>
      <c r="I33" s="282">
        <v>0</v>
      </c>
      <c r="J33" s="71">
        <v>0</v>
      </c>
      <c r="K33" s="71">
        <v>0</v>
      </c>
      <c r="L33" s="286">
        <v>0</v>
      </c>
      <c r="M33" s="286">
        <v>0</v>
      </c>
      <c r="N33" s="286">
        <v>0</v>
      </c>
      <c r="O33" s="286">
        <v>0</v>
      </c>
      <c r="P33" s="71">
        <v>0</v>
      </c>
      <c r="Q33" s="85">
        <f>IF(YEAR($CG$33)=2018,($BI$4-$CG$33)*AI$33/($CH$33-$CG$33),0)</f>
        <v>163998.81993442625</v>
      </c>
      <c r="R33" s="286">
        <f>IF(YEAR($CG$33)=2018,($BI$4-$CG$33)*AK$33/($CH$33-$CG$33),0)</f>
        <v>57350.811191256827</v>
      </c>
      <c r="S33" s="286">
        <f>IF(YEAR($CG$33)=2018,($BI$4-$CG$33)*AM$33/($CH$33-$CG$33),0)</f>
        <v>8647.1956284153002</v>
      </c>
      <c r="T33" s="286">
        <f>IF(YEAR($CG$33)=2018,($BI$4-$CG$33)*AO$33/($CH$33-$CG$33),0)</f>
        <v>0</v>
      </c>
      <c r="U33" s="286">
        <f>IF(YEAR($CG$33)=2018,($BI$4-$CG$33)*AQ$33/($CH$33-$CG$33),0)</f>
        <v>0</v>
      </c>
      <c r="V33" s="85">
        <f>IF(YEAR($CG$33)=2018,($BI$4-$CG$33)*AS$33/($CH$33-$CG$33),0)</f>
        <v>98000.813114754099</v>
      </c>
      <c r="W33" s="85">
        <f>IF(YEAR($CH$33)=2020,($BO$4-$BI$4)*AI$33/($CH$33-$CG$33),0)</f>
        <v>325323.74606557377</v>
      </c>
      <c r="X33" s="286">
        <f>IF(YEAR($CH$33)=2020,($BO$4-$BI$4)*AK$33/($CH$33-$CG$33),0)</f>
        <v>113766.55480874315</v>
      </c>
      <c r="Y33" s="286">
        <f>IF(YEAR($CH$33)=2020,($BO$4-$BI$4)*AM$33/($CH$33-$CG$33),0)</f>
        <v>17153.4043715847</v>
      </c>
      <c r="Z33" s="286">
        <f>IF(YEAR($CH$33)=2020,($BO$4-$BI$4)*AO$33/($CH$33-$CG$33),0)</f>
        <v>0</v>
      </c>
      <c r="AA33" s="286">
        <f>IF(YEAR($CH$33)=2020,($BO$4-$BI$4)*AQ$33/($CH$33-$CG$33),0)</f>
        <v>0</v>
      </c>
      <c r="AB33" s="85">
        <f>IF(YEAR($CH$33)=2020,($BO$4-$BI$4)*AS$33/($CH$33-$CG$33),0)</f>
        <v>194403.78688524591</v>
      </c>
      <c r="AC33" s="85">
        <f>IF(YEAR($CH$33)=2020,($CH$33-$BO$4)*AI$33/($CH$33-$CG$33),0)</f>
        <v>326215.04399999999</v>
      </c>
      <c r="AD33" s="286">
        <f>IF(YEAR($CH$33)=2020,($CH$33-$BO$4)*AK$33/($CH$33-$CG$33),0)</f>
        <v>114078.24399999999</v>
      </c>
      <c r="AE33" s="286">
        <f>IF(YEAR($CH$33)=2020,($CH$33-$BO$4)*AM$33/($CH$33-$CG$33),0)</f>
        <v>17200.400000000001</v>
      </c>
      <c r="AF33" s="286">
        <f>IF(YEAR($CH$33)=2020,($CH$33-$BO$4)*AO$33/($CH$33-$CG$33),0)</f>
        <v>0</v>
      </c>
      <c r="AG33" s="286">
        <f>IF(YEAR($CH$33)=2020,($CH$33-$BO$4)*AQ$33/($CH$33-$CG$33),0)</f>
        <v>0</v>
      </c>
      <c r="AH33" s="85">
        <f>IF(YEAR($CH$33)=2020,($CH$33-$BO$4)*AS$33/($CH$33-$CG$33),0)</f>
        <v>194936.4</v>
      </c>
      <c r="AI33" s="1074">
        <f>SUM('3 pr-2'!L34)</f>
        <v>815537.61</v>
      </c>
      <c r="AJ33" s="1075"/>
      <c r="AK33" s="282">
        <f>SUM('3 pr-2'!O34)</f>
        <v>285195.61</v>
      </c>
      <c r="AL33" s="282"/>
      <c r="AM33" s="282">
        <f>SUM('3 pr-2'!R34)</f>
        <v>43001</v>
      </c>
      <c r="AN33" s="282"/>
      <c r="AO33" s="282">
        <f>SUM('3 pr-2'!U34)</f>
        <v>0</v>
      </c>
      <c r="AP33" s="282"/>
      <c r="AQ33" s="282">
        <f>SUM('3 pr-2'!X34)</f>
        <v>0</v>
      </c>
      <c r="AR33" s="543"/>
      <c r="AS33" s="1076">
        <f>SUM('3 pr-2'!AA34)</f>
        <v>487341</v>
      </c>
      <c r="AT33" s="1077"/>
      <c r="AU33" s="1066"/>
      <c r="AV33" s="24"/>
      <c r="AW33" s="24"/>
      <c r="AX33" s="282"/>
      <c r="AY33" s="282"/>
      <c r="AZ33" s="282"/>
      <c r="BA33" s="282"/>
      <c r="BB33" s="24"/>
      <c r="BC33" s="24"/>
      <c r="BD33" s="282"/>
      <c r="BE33" s="282"/>
      <c r="BF33" s="282"/>
      <c r="BG33" s="282"/>
      <c r="BH33" s="1073"/>
      <c r="BI33" s="1073"/>
      <c r="BJ33" s="282"/>
      <c r="BK33" s="282"/>
      <c r="BL33" s="282"/>
      <c r="BM33" s="282"/>
      <c r="BN33" s="1073"/>
      <c r="BO33" s="1073"/>
      <c r="BP33" s="282"/>
      <c r="BQ33" s="282"/>
      <c r="BR33" s="282"/>
      <c r="BS33" s="282"/>
      <c r="BT33" s="1073"/>
      <c r="BU33" s="1073"/>
      <c r="BV33" s="282"/>
      <c r="BW33" s="282"/>
      <c r="BX33" s="282"/>
      <c r="BY33" s="282"/>
      <c r="BZ33" s="1073"/>
      <c r="CA33" s="1073"/>
      <c r="CB33" s="282"/>
      <c r="CC33" s="282"/>
      <c r="CD33" s="282"/>
      <c r="CE33" s="282"/>
      <c r="CF33" s="359"/>
      <c r="CG33" s="1068">
        <f>SUM('3 pr-2'!AI34)</f>
        <v>43281</v>
      </c>
      <c r="CH33" s="1068">
        <f>SUM('3 pr-2'!AK34)</f>
        <v>44196</v>
      </c>
      <c r="CI33" s="68">
        <f>SUM(P33+V33+AB33+AH33)</f>
        <v>487341</v>
      </c>
      <c r="CJ33" s="68">
        <f t="shared" ref="CJ33:CJ42" si="119">SUM(CI33-AS33)</f>
        <v>0</v>
      </c>
      <c r="CQ33" s="1069">
        <f t="shared" ref="CQ33:CQ37" si="120">SUM(E33+K33+Q33+W33+AC33)</f>
        <v>815537.61</v>
      </c>
      <c r="CR33" s="1070">
        <f t="shared" ref="CR33:CR37" si="121">SUM(J33+P33+V33+AB33+AH33)</f>
        <v>487341</v>
      </c>
    </row>
    <row r="34" spans="1:99" s="1078" customFormat="1" ht="37.5" thickTop="1" thickBot="1" x14ac:dyDescent="0.3">
      <c r="A34" s="121" t="str">
        <f>CONCATENATE('3 pr-2'!A35:J35)</f>
        <v>1.1.1.2.2</v>
      </c>
      <c r="B34" s="122" t="str">
        <f>CONCATENATE('3 pr-2'!D35)</f>
        <v>Senosios Varėnos kaimo viešosios infrastruktūros atnaujinimas ir pritaikymas bendruomenės poreikiams</v>
      </c>
      <c r="C34" s="71">
        <v>0</v>
      </c>
      <c r="D34" s="71">
        <v>0</v>
      </c>
      <c r="E34" s="71">
        <v>0</v>
      </c>
      <c r="F34" s="282">
        <v>0</v>
      </c>
      <c r="G34" s="282">
        <v>0</v>
      </c>
      <c r="H34" s="282">
        <v>0</v>
      </c>
      <c r="I34" s="282">
        <v>0</v>
      </c>
      <c r="J34" s="71">
        <v>0</v>
      </c>
      <c r="K34" s="71">
        <v>0</v>
      </c>
      <c r="L34" s="286">
        <v>0</v>
      </c>
      <c r="M34" s="286">
        <v>0</v>
      </c>
      <c r="N34" s="286">
        <v>0</v>
      </c>
      <c r="O34" s="286">
        <v>0</v>
      </c>
      <c r="P34" s="71">
        <v>0</v>
      </c>
      <c r="Q34" s="85">
        <f>IF(YEAR($CG$34)=2018,($BI$4-$CG$34)*AI$34/($CH$34-$CG$34),0)</f>
        <v>189744.67868544598</v>
      </c>
      <c r="R34" s="286">
        <f>IF(YEAR($CG$34)=2018,($BI$4-$CG$34)*AK$34/($CH$34-$CG$34),0)</f>
        <v>14230.852469483569</v>
      </c>
      <c r="S34" s="286">
        <f>IF(YEAR($CG$34)=2018,($BI$4-$CG$34)*AM$34/($CH$34-$CG$34),0)</f>
        <v>14230.849333333332</v>
      </c>
      <c r="T34" s="286">
        <f>IF(YEAR($CG$34)=2018,($BI$4-$CG$34)*AO$34/($CH$34-$CG$34),0)</f>
        <v>0</v>
      </c>
      <c r="U34" s="286">
        <f>IF(YEAR($CG$34)=2018,($BI$4-$CG$34)*AQ$34/($CH$34-$CG$34),0)</f>
        <v>0</v>
      </c>
      <c r="V34" s="85">
        <f>IF(YEAR($CG$34)=2018,($BI$4-$CG$34)*AS$34/($CH$34-$CG$34),0)</f>
        <v>161282.9768826291</v>
      </c>
      <c r="W34" s="85">
        <f>IF(YEAR($CH$34)=2020,($BO$4-$BI$4)*AI$34/($CH$34-$CG$34),0)</f>
        <v>207355.71173708918</v>
      </c>
      <c r="X34" s="286">
        <f>IF(YEAR($CH$34)=2020,($BO$4-$BI$4)*AK$34/($CH$34-$CG$34),0)</f>
        <v>15551.680093896714</v>
      </c>
      <c r="Y34" s="286">
        <f>IF(YEAR($CH$34)=2020,($BO$4-$BI$4)*AM$34/($CH$34-$CG$34),0)</f>
        <v>15551.676666666664</v>
      </c>
      <c r="Z34" s="286">
        <f>IF(YEAR($CH$34)=2020,($BO$4-$BI$4)*AO$34/($CH$34-$CG$34),0)</f>
        <v>0</v>
      </c>
      <c r="AA34" s="286">
        <f>IF(YEAR($CH$34)=2020,($BO$4-$BI$4)*AQ$34/($CH$34-$CG$34),0)</f>
        <v>0</v>
      </c>
      <c r="AB34" s="85">
        <f>IF(YEAR($CH$34)=2020,($BO$4-$BI$4)*AS$34/($CH$34-$CG$34),0)</f>
        <v>176252.35497652582</v>
      </c>
      <c r="AC34" s="85">
        <f>IF(YEAR($CH$34)=2020,($CH$34-$BO$4)*AI$34/($CH$34-$CG$34),0)</f>
        <v>207923.80957746477</v>
      </c>
      <c r="AD34" s="286">
        <f>IF(YEAR($CH$34)=2020,($CH$34-$BO$4)*AK$34/($CH$34-$CG$34),0)</f>
        <v>15594.287436619717</v>
      </c>
      <c r="AE34" s="286">
        <f>IF(YEAR($CH$34)=2020,($CH$34-$BO$4)*AM$34/($CH$34-$CG$34),0)</f>
        <v>15594.284</v>
      </c>
      <c r="AF34" s="286">
        <f>IF(YEAR($CH$34)=2020,($CH$34-$BO$4)*AO$34/($CH$34-$CG$34),0)</f>
        <v>0</v>
      </c>
      <c r="AG34" s="286">
        <f>IF(YEAR($CH$34)=2020,($CH$34-$BO$4)*AQ$34/($CH$34-$CG$34),0)</f>
        <v>0</v>
      </c>
      <c r="AH34" s="85">
        <f>IF(YEAR($CH$34)=2020,($CH$34-$BO$4)*AS$34/($CH$34-$CG$34),0)</f>
        <v>176735.23814084509</v>
      </c>
      <c r="AI34" s="1074">
        <f>SUM('3 pr-2'!L35)</f>
        <v>605024.19999999995</v>
      </c>
      <c r="AJ34" s="1075"/>
      <c r="AK34" s="282">
        <f>SUM('3 pr-2'!O35)</f>
        <v>45376.82</v>
      </c>
      <c r="AL34" s="282"/>
      <c r="AM34" s="282">
        <f>SUM('3 pr-2'!R35)</f>
        <v>45376.81</v>
      </c>
      <c r="AN34" s="282"/>
      <c r="AO34" s="282">
        <f>SUM('3 pr-2'!U35)</f>
        <v>0</v>
      </c>
      <c r="AP34" s="282"/>
      <c r="AQ34" s="282">
        <f>SUM('3 pr-2'!X35)</f>
        <v>0</v>
      </c>
      <c r="AR34" s="543"/>
      <c r="AS34" s="1076">
        <f>SUM('3 pr-2'!AA35)</f>
        <v>514270.57</v>
      </c>
      <c r="AT34" s="1077"/>
      <c r="AU34" s="1066"/>
      <c r="AV34" s="24"/>
      <c r="AW34" s="24"/>
      <c r="AX34" s="282"/>
      <c r="AY34" s="282"/>
      <c r="AZ34" s="282"/>
      <c r="BA34" s="282"/>
      <c r="BB34" s="24"/>
      <c r="BC34" s="24"/>
      <c r="BD34" s="282"/>
      <c r="BE34" s="282"/>
      <c r="BF34" s="282"/>
      <c r="BG34" s="282"/>
      <c r="BH34" s="1073"/>
      <c r="BI34" s="1073"/>
      <c r="BJ34" s="282"/>
      <c r="BK34" s="282"/>
      <c r="BL34" s="282"/>
      <c r="BM34" s="282"/>
      <c r="BN34" s="1073"/>
      <c r="BO34" s="1073"/>
      <c r="BP34" s="282"/>
      <c r="BQ34" s="282"/>
      <c r="BR34" s="282"/>
      <c r="BS34" s="282"/>
      <c r="BT34" s="1073"/>
      <c r="BU34" s="1073"/>
      <c r="BV34" s="282"/>
      <c r="BW34" s="282"/>
      <c r="BX34" s="282"/>
      <c r="BY34" s="282"/>
      <c r="BZ34" s="1073"/>
      <c r="CA34" s="1073"/>
      <c r="CB34" s="282"/>
      <c r="CC34" s="282"/>
      <c r="CD34" s="282"/>
      <c r="CE34" s="282"/>
      <c r="CF34" s="359"/>
      <c r="CG34" s="1068">
        <f>SUM('3 pr-2'!AI35)</f>
        <v>43131</v>
      </c>
      <c r="CH34" s="1068">
        <f>SUM('3 pr-2'!AK35)</f>
        <v>44196</v>
      </c>
      <c r="CI34" s="68">
        <f>SUM(P34+V34+AB34+AH34)</f>
        <v>514270.57</v>
      </c>
      <c r="CJ34" s="68">
        <f t="shared" si="119"/>
        <v>0</v>
      </c>
      <c r="CK34" s="1078">
        <v>24</v>
      </c>
      <c r="CL34" s="1078">
        <v>365</v>
      </c>
      <c r="CM34" s="1078">
        <v>12</v>
      </c>
      <c r="CQ34" s="1069">
        <f t="shared" si="120"/>
        <v>605024.19999999995</v>
      </c>
      <c r="CR34" s="1070">
        <f t="shared" si="121"/>
        <v>514270.57</v>
      </c>
      <c r="CT34" s="1078">
        <f>SUM(CL34/CM34)</f>
        <v>30.416666666666668</v>
      </c>
      <c r="CU34" s="1078">
        <f>SUM(CK34*CT34)</f>
        <v>730</v>
      </c>
    </row>
    <row r="35" spans="1:99" s="1078" customFormat="1" ht="25.5" thickTop="1" thickBot="1" x14ac:dyDescent="0.3">
      <c r="A35" s="121" t="str">
        <f>CONCATENATE('3 pr-2'!A36:J36)</f>
        <v>1.1.1.2.3</v>
      </c>
      <c r="B35" s="122" t="str">
        <f>CONCATENATE('3 pr-2'!D36)</f>
        <v>Kompleksinė Miklusėnų gyvenvietės plėtra</v>
      </c>
      <c r="C35" s="71">
        <v>0</v>
      </c>
      <c r="D35" s="71">
        <v>0</v>
      </c>
      <c r="E35" s="71">
        <v>0</v>
      </c>
      <c r="F35" s="282">
        <v>0</v>
      </c>
      <c r="G35" s="282">
        <v>0</v>
      </c>
      <c r="H35" s="282">
        <v>0</v>
      </c>
      <c r="I35" s="282">
        <v>0</v>
      </c>
      <c r="J35" s="71">
        <v>0</v>
      </c>
      <c r="K35" s="71">
        <v>0</v>
      </c>
      <c r="L35" s="286">
        <v>0</v>
      </c>
      <c r="M35" s="286">
        <v>0</v>
      </c>
      <c r="N35" s="286">
        <v>0</v>
      </c>
      <c r="O35" s="286">
        <v>0</v>
      </c>
      <c r="P35" s="71">
        <v>0</v>
      </c>
      <c r="Q35" s="85">
        <v>0</v>
      </c>
      <c r="R35" s="286">
        <v>0</v>
      </c>
      <c r="S35" s="286">
        <v>0</v>
      </c>
      <c r="T35" s="286">
        <v>0</v>
      </c>
      <c r="U35" s="286">
        <v>0</v>
      </c>
      <c r="V35" s="85">
        <v>0</v>
      </c>
      <c r="W35" s="85">
        <f>SUM(($AC$2-$CG$35)*CL35)</f>
        <v>350984.35454545455</v>
      </c>
      <c r="X35" s="286">
        <f>SUM(($AC$2-$CG$35)*CM35)</f>
        <v>26323.81818181818</v>
      </c>
      <c r="Y35" s="286">
        <f>SUM(($AC$2-$CG$35)*CN35)</f>
        <v>26323.81818181818</v>
      </c>
      <c r="Z35" s="286">
        <f>IF(YEAR($CH$35)=2020,($BO$4-$BI$4)*AO$35/($CH$35-$CG$35),0)</f>
        <v>0</v>
      </c>
      <c r="AA35" s="286">
        <f>IF(YEAR($CH$35)=2020,($BO$4-$BI$4)*AQ$35/($CH$35-$CG$35),0)</f>
        <v>0</v>
      </c>
      <c r="AB35" s="85">
        <f>SUM(($AC$2-$CG$35)*CO35)</f>
        <v>298336.7181818182</v>
      </c>
      <c r="AC35" s="85">
        <f>SUM(($CH$35-$AC$2)*CL35)</f>
        <v>692482.64545454551</v>
      </c>
      <c r="AD35" s="286">
        <f>SUM(($CH$35-$AC$2)*CM35)</f>
        <v>51936.181818181816</v>
      </c>
      <c r="AE35" s="286">
        <f>SUM(($CH$35-$AC$2)*CN35)</f>
        <v>51936.181818181816</v>
      </c>
      <c r="AF35" s="286">
        <f>IF(YEAR($CH$35)=2020,($CH$35-$BO$4)*AO$35/($CH$35-$CG$35),0)</f>
        <v>0</v>
      </c>
      <c r="AG35" s="286">
        <f>IF(YEAR($CH$35)=2020,($CH$35-$BO$4)*AQ$35/($CH$35-$CG$35),0)</f>
        <v>0</v>
      </c>
      <c r="AH35" s="85">
        <f>SUM(($CH$35-$AC$2)*CO35)</f>
        <v>588610.28181818186</v>
      </c>
      <c r="AI35" s="1074">
        <f>SUM('3 pr-2'!L36)</f>
        <v>1043467</v>
      </c>
      <c r="AJ35" s="1075"/>
      <c r="AK35" s="282">
        <f>SUM('3 pr-2'!O36)</f>
        <v>78260</v>
      </c>
      <c r="AL35" s="282"/>
      <c r="AM35" s="282">
        <f>SUM('3 pr-2'!R36)</f>
        <v>78260</v>
      </c>
      <c r="AN35" s="282"/>
      <c r="AO35" s="282">
        <f>SUM('3 pr-2'!U36)</f>
        <v>0</v>
      </c>
      <c r="AP35" s="282"/>
      <c r="AQ35" s="282">
        <f>SUM('3 pr-2'!X36)</f>
        <v>0</v>
      </c>
      <c r="AR35" s="543"/>
      <c r="AS35" s="1076">
        <f>SUM('3 pr-2'!AA36)</f>
        <v>886947</v>
      </c>
      <c r="AT35" s="1077"/>
      <c r="AU35" s="1066"/>
      <c r="AV35" s="24"/>
      <c r="AW35" s="24"/>
      <c r="AX35" s="282"/>
      <c r="AY35" s="282"/>
      <c r="AZ35" s="282"/>
      <c r="BA35" s="282"/>
      <c r="BB35" s="24"/>
      <c r="BC35" s="24"/>
      <c r="BD35" s="282"/>
      <c r="BE35" s="282"/>
      <c r="BF35" s="282"/>
      <c r="BG35" s="282"/>
      <c r="BH35" s="1073"/>
      <c r="BI35" s="1073"/>
      <c r="BJ35" s="282"/>
      <c r="BK35" s="282"/>
      <c r="BL35" s="282"/>
      <c r="BM35" s="282"/>
      <c r="BN35" s="1073"/>
      <c r="BO35" s="1073"/>
      <c r="BP35" s="282"/>
      <c r="BQ35" s="282"/>
      <c r="BR35" s="282"/>
      <c r="BS35" s="282"/>
      <c r="BT35" s="1073"/>
      <c r="BU35" s="1073"/>
      <c r="BV35" s="282"/>
      <c r="BW35" s="282"/>
      <c r="BX35" s="282"/>
      <c r="BY35" s="282"/>
      <c r="BZ35" s="1073"/>
      <c r="CA35" s="1073"/>
      <c r="CB35" s="282"/>
      <c r="CC35" s="282"/>
      <c r="CD35" s="282"/>
      <c r="CE35" s="282"/>
      <c r="CF35" s="359"/>
      <c r="CG35" s="1068">
        <f>SUM('3 pr-2'!AI36)</f>
        <v>43646</v>
      </c>
      <c r="CH35" s="1068">
        <v>44196</v>
      </c>
      <c r="CI35" s="68">
        <f>SUM(P35+V35+AB35+AH35)</f>
        <v>886947</v>
      </c>
      <c r="CJ35" s="68">
        <f t="shared" si="119"/>
        <v>0</v>
      </c>
      <c r="CK35" s="1078">
        <v>24</v>
      </c>
      <c r="CL35" s="1169">
        <f>SUM(AI35/(CH35-CG35))</f>
        <v>1897.2127272727273</v>
      </c>
      <c r="CM35" s="1171">
        <f>SUM(AK35/($CH$35-$CG$35))</f>
        <v>142.29090909090908</v>
      </c>
      <c r="CN35" s="1171">
        <f>SUM(AM35/($CH$35-$CG$35))</f>
        <v>142.29090909090908</v>
      </c>
      <c r="CO35" s="1171">
        <f>SUM(AS35/($CH$35-$CG$35))</f>
        <v>1612.6309090909092</v>
      </c>
      <c r="CQ35" s="1069">
        <f t="shared" si="120"/>
        <v>1043467</v>
      </c>
      <c r="CR35" s="1070">
        <f t="shared" si="121"/>
        <v>886947</v>
      </c>
      <c r="CT35" s="1078">
        <f>SUM(CL35/CM35)</f>
        <v>13.33333759263992</v>
      </c>
      <c r="CU35" s="1078">
        <f>SUM(CK35*CT35)</f>
        <v>320.00010222335806</v>
      </c>
    </row>
    <row r="36" spans="1:99" s="1078" customFormat="1" ht="25.5" thickTop="1" thickBot="1" x14ac:dyDescent="0.3">
      <c r="A36" s="121" t="str">
        <f>CONCATENATE('3 pr-2'!A37:J37)</f>
        <v>1.1.1.2.4</v>
      </c>
      <c r="B36" s="92" t="str">
        <f>CONCATENATE('3 pr-2'!D37)</f>
        <v>Leipalingio viešosios erdvės pritaikymas bendruomenės poreikiams</v>
      </c>
      <c r="C36" s="71">
        <v>0</v>
      </c>
      <c r="D36" s="71">
        <v>0</v>
      </c>
      <c r="E36" s="71">
        <v>0</v>
      </c>
      <c r="F36" s="282">
        <v>0</v>
      </c>
      <c r="G36" s="282">
        <v>0</v>
      </c>
      <c r="H36" s="282">
        <v>0</v>
      </c>
      <c r="I36" s="282">
        <v>0</v>
      </c>
      <c r="J36" s="71">
        <v>0</v>
      </c>
      <c r="K36" s="71">
        <v>0</v>
      </c>
      <c r="L36" s="286">
        <v>0</v>
      </c>
      <c r="M36" s="286">
        <v>0</v>
      </c>
      <c r="N36" s="286">
        <v>0</v>
      </c>
      <c r="O36" s="286">
        <v>0</v>
      </c>
      <c r="P36" s="71">
        <v>0</v>
      </c>
      <c r="Q36" s="85">
        <f>IF(YEAR($CG$36)=2018,($BI$4-$CG$36)*AI$36/($CH$36-$CG$36),0)</f>
        <v>145152.19051334701</v>
      </c>
      <c r="R36" s="286">
        <f>IF(YEAR($CG$36)=2018,($BI$4-$CG$36)*AK$36/($CH$36-$CG$36),0)</f>
        <v>48346.568336755641</v>
      </c>
      <c r="S36" s="286">
        <f>IF(YEAR($CG$36)=2018,($BI$4-$CG$36)*AM$36/($CH$36-$CG$36),0)</f>
        <v>7849.1067351129359</v>
      </c>
      <c r="T36" s="286">
        <f>IF(YEAR($CG$36)=2018,($BI$4-$CG$36)*AO$36/($CH$36-$CG$36),0)</f>
        <v>0</v>
      </c>
      <c r="U36" s="286">
        <f>IF(YEAR($CG$36)=2018,($BI$4-$CG$36)*AQ$36/($CH$36-$CG$36),0)</f>
        <v>0</v>
      </c>
      <c r="V36" s="71">
        <f>IF(YEAR($CG$36)=2018,($BI$4-$CG$36)*AS$36/($CH$36-$CG$36),0)</f>
        <v>88956.515441478434</v>
      </c>
      <c r="W36" s="85">
        <f>IF(YEAR($CH$36)=2019,($CH$36-$BI$4)*AI$36/($CH$36-$CG$36),0)</f>
        <v>434266.79948665295</v>
      </c>
      <c r="X36" s="287">
        <f>IF(YEAR($CH$36)=2019,($CH$36-$BI$4)*AK$36/($CH$36-$CG$36),0)</f>
        <v>144643.42166324434</v>
      </c>
      <c r="Y36" s="287">
        <f>IF(YEAR($CH$36)=2019,($CH$36-$BI$4)*AM$36/($CH$36-$CG$36),0)</f>
        <v>23482.983264887062</v>
      </c>
      <c r="Z36" s="287">
        <f>IF(YEAR($CH$36)=2019,($CH$36-$BI$4)*AO$36/($CH$36-$CG$36),0)</f>
        <v>0</v>
      </c>
      <c r="AA36" s="287">
        <f>IF(YEAR($CH$36)=2019,($CH$36-$BI$4)*AQ$36/($CH$36-$CG$36),0)</f>
        <v>0</v>
      </c>
      <c r="AB36" s="71">
        <f>IF(YEAR($CH$36)=2019,($CH$36-$BI$4)*AS$36/($CH$36-$CG$36),0)</f>
        <v>266140.39455852157</v>
      </c>
      <c r="AC36" s="71">
        <v>0</v>
      </c>
      <c r="AD36" s="287">
        <v>0</v>
      </c>
      <c r="AE36" s="287">
        <v>0</v>
      </c>
      <c r="AF36" s="287">
        <v>0</v>
      </c>
      <c r="AG36" s="287">
        <v>0</v>
      </c>
      <c r="AH36" s="71">
        <v>0</v>
      </c>
      <c r="AI36" s="763">
        <f>SUM('3 pr-2'!L37)</f>
        <v>579418.99</v>
      </c>
      <c r="AJ36" s="106"/>
      <c r="AK36" s="282">
        <f>SUM('3 pr-2'!O37)</f>
        <v>192989.99</v>
      </c>
      <c r="AL36" s="282"/>
      <c r="AM36" s="282">
        <f>SUM('3 pr-2'!R37)</f>
        <v>31332.09</v>
      </c>
      <c r="AN36" s="282"/>
      <c r="AO36" s="282">
        <f>SUM('3 pr-2'!U37)</f>
        <v>0</v>
      </c>
      <c r="AP36" s="282"/>
      <c r="AQ36" s="282">
        <f>SUM('3 pr-2'!X37)</f>
        <v>0</v>
      </c>
      <c r="AR36" s="543"/>
      <c r="AS36" s="107">
        <f>SUM('3 pr-2'!AA37)</f>
        <v>355096.91</v>
      </c>
      <c r="AT36" s="497"/>
      <c r="AU36" s="1066"/>
      <c r="AV36" s="24"/>
      <c r="AW36" s="24"/>
      <c r="AX36" s="282"/>
      <c r="AY36" s="282"/>
      <c r="AZ36" s="282"/>
      <c r="BA36" s="282"/>
      <c r="BB36" s="24"/>
      <c r="BC36" s="24"/>
      <c r="BD36" s="282"/>
      <c r="BE36" s="282"/>
      <c r="BF36" s="282"/>
      <c r="BG36" s="282"/>
      <c r="BH36" s="1073"/>
      <c r="BI36" s="1073"/>
      <c r="BJ36" s="282"/>
      <c r="BK36" s="282"/>
      <c r="BL36" s="282"/>
      <c r="BM36" s="282"/>
      <c r="BN36" s="1073"/>
      <c r="BO36" s="1073"/>
      <c r="BP36" s="282"/>
      <c r="BQ36" s="282"/>
      <c r="BR36" s="282"/>
      <c r="BS36" s="282"/>
      <c r="BT36" s="1073"/>
      <c r="BU36" s="1073"/>
      <c r="BV36" s="282"/>
      <c r="BW36" s="282"/>
      <c r="BX36" s="282"/>
      <c r="BY36" s="282"/>
      <c r="BZ36" s="1073"/>
      <c r="CA36" s="1073"/>
      <c r="CB36" s="282"/>
      <c r="CC36" s="282"/>
      <c r="CD36" s="282"/>
      <c r="CE36" s="282"/>
      <c r="CF36" s="359"/>
      <c r="CG36" s="1068">
        <f>SUM('3 pr-2'!AI37)</f>
        <v>43343</v>
      </c>
      <c r="CH36" s="1068">
        <f>SUM('3 pr-2'!AK37)</f>
        <v>43830</v>
      </c>
      <c r="CI36" s="68">
        <f>SUM(P36+V36+AB36+AH36)</f>
        <v>355096.91000000003</v>
      </c>
      <c r="CJ36" s="68">
        <f t="shared" si="119"/>
        <v>5.8207660913467407E-11</v>
      </c>
      <c r="CK36" s="1078">
        <v>21</v>
      </c>
      <c r="CL36" s="1078">
        <v>365</v>
      </c>
      <c r="CM36" s="1078">
        <v>12</v>
      </c>
      <c r="CQ36" s="1069">
        <f t="shared" si="120"/>
        <v>579418.99</v>
      </c>
      <c r="CR36" s="1070">
        <f t="shared" si="121"/>
        <v>355096.91000000003</v>
      </c>
      <c r="CT36" s="1078">
        <f>SUM(CL36/CM36)</f>
        <v>30.416666666666668</v>
      </c>
      <c r="CU36" s="1078">
        <f>SUM(CK36*CT36)</f>
        <v>638.75</v>
      </c>
    </row>
    <row r="37" spans="1:99" s="1078" customFormat="1" ht="29.25" customHeight="1" thickTop="1" thickBot="1" x14ac:dyDescent="0.3">
      <c r="A37" s="121" t="str">
        <f>CONCATENATE('3 pr-2'!A38:J38)</f>
        <v>1.1.1.2.5</v>
      </c>
      <c r="B37" s="93" t="str">
        <f>CONCATENATE('3 pr-2'!D38)</f>
        <v>Viečiūnų viešosios erdvės pritaikymas bendruomenės poreikiams</v>
      </c>
      <c r="C37" s="71">
        <v>0</v>
      </c>
      <c r="D37" s="71">
        <v>0</v>
      </c>
      <c r="E37" s="71">
        <v>0</v>
      </c>
      <c r="F37" s="282">
        <v>0</v>
      </c>
      <c r="G37" s="282">
        <v>0</v>
      </c>
      <c r="H37" s="282">
        <v>0</v>
      </c>
      <c r="I37" s="282">
        <v>0</v>
      </c>
      <c r="J37" s="71">
        <v>0</v>
      </c>
      <c r="K37" s="71">
        <v>0</v>
      </c>
      <c r="L37" s="286">
        <v>0</v>
      </c>
      <c r="M37" s="286">
        <v>0</v>
      </c>
      <c r="N37" s="286">
        <v>0</v>
      </c>
      <c r="O37" s="286">
        <v>0</v>
      </c>
      <c r="P37" s="75">
        <f>SUM('ketv. 7 '!AK36)</f>
        <v>0</v>
      </c>
      <c r="Q37" s="85">
        <f>SUM(CL37*(W2-CG37))</f>
        <v>200342.10810810811</v>
      </c>
      <c r="R37" s="286">
        <f>SUM(CM37*($W$2-CG37))</f>
        <v>15025.702702702702</v>
      </c>
      <c r="S37" s="286">
        <f>SUM(CN37*($W$2-CG37))</f>
        <v>15025.655135135135</v>
      </c>
      <c r="T37" s="286">
        <v>0</v>
      </c>
      <c r="U37" s="286">
        <v>0</v>
      </c>
      <c r="V37" s="85">
        <f>SUM(CO37*(W$2-CG$37))</f>
        <v>170290.75027027028</v>
      </c>
      <c r="W37" s="85">
        <f>SUM(CL37*($AC$2-$W$2))-CL37</f>
        <v>473535.89189189189</v>
      </c>
      <c r="X37" s="286">
        <f>SUM(CM37*($AC$2-$W$2))-CM37</f>
        <v>35515.2972972973</v>
      </c>
      <c r="Y37" s="286">
        <f>SUM(CN37*($AC$2-$W$2))-CN37</f>
        <v>35515.184864864859</v>
      </c>
      <c r="Z37" s="286">
        <v>0</v>
      </c>
      <c r="AA37" s="286">
        <v>0</v>
      </c>
      <c r="AB37" s="85">
        <f>SUM(CO37*($AC$2-$W$2))-CO37</f>
        <v>402505.40972972976</v>
      </c>
      <c r="AC37" s="71">
        <v>0</v>
      </c>
      <c r="AD37" s="287">
        <v>0</v>
      </c>
      <c r="AE37" s="287">
        <v>0</v>
      </c>
      <c r="AF37" s="287">
        <v>0</v>
      </c>
      <c r="AG37" s="287">
        <v>0</v>
      </c>
      <c r="AH37" s="71">
        <v>0</v>
      </c>
      <c r="AI37" s="763">
        <f>SUM('3 pr-2'!L38)</f>
        <v>673878</v>
      </c>
      <c r="AJ37" s="106"/>
      <c r="AK37" s="282">
        <f>SUM('3 pr-2'!O38)</f>
        <v>50541</v>
      </c>
      <c r="AL37" s="282"/>
      <c r="AM37" s="282">
        <f>SUM('3 pr-2'!R38)</f>
        <v>50540.84</v>
      </c>
      <c r="AN37" s="282"/>
      <c r="AO37" s="282">
        <f>SUM('3 pr-2'!U38)</f>
        <v>0</v>
      </c>
      <c r="AP37" s="282"/>
      <c r="AQ37" s="282">
        <f>SUM('3 pr-2'!X38)</f>
        <v>0</v>
      </c>
      <c r="AR37" s="543"/>
      <c r="AS37" s="107">
        <f>SUM('3 pr-2'!AA38)</f>
        <v>572796.16000000003</v>
      </c>
      <c r="AT37" s="497"/>
      <c r="AU37" s="1066"/>
      <c r="AV37" s="24"/>
      <c r="AW37" s="24"/>
      <c r="AX37" s="282"/>
      <c r="AY37" s="282"/>
      <c r="AZ37" s="282"/>
      <c r="BA37" s="282"/>
      <c r="BB37" s="24"/>
      <c r="BC37" s="24"/>
      <c r="BD37" s="282"/>
      <c r="BE37" s="282"/>
      <c r="BF37" s="282"/>
      <c r="BG37" s="282"/>
      <c r="BH37" s="1073"/>
      <c r="BI37" s="1073"/>
      <c r="BJ37" s="282"/>
      <c r="BK37" s="282"/>
      <c r="BL37" s="282"/>
      <c r="BM37" s="282"/>
      <c r="BN37" s="1073"/>
      <c r="BO37" s="1073"/>
      <c r="BP37" s="282"/>
      <c r="BQ37" s="282"/>
      <c r="BR37" s="282"/>
      <c r="BS37" s="282"/>
      <c r="BT37" s="1073"/>
      <c r="BU37" s="1073"/>
      <c r="BV37" s="282"/>
      <c r="BW37" s="282"/>
      <c r="BX37" s="282"/>
      <c r="BY37" s="282"/>
      <c r="BZ37" s="1073"/>
      <c r="CA37" s="1073"/>
      <c r="CB37" s="282"/>
      <c r="CC37" s="282"/>
      <c r="CD37" s="282"/>
      <c r="CE37" s="282"/>
      <c r="CF37" s="359"/>
      <c r="CG37" s="1068">
        <f>SUM('3 pr-2'!AI38)</f>
        <v>43312</v>
      </c>
      <c r="CH37" s="1068">
        <f>SUM('3 pr-2'!AK38)</f>
        <v>43830</v>
      </c>
      <c r="CI37" s="68">
        <f>SUM(P37+V37+AB37+AH37)</f>
        <v>572796.16000000003</v>
      </c>
      <c r="CJ37" s="68">
        <f t="shared" si="119"/>
        <v>0</v>
      </c>
      <c r="CK37" s="1078">
        <f>SUM(Q3-CG37)</f>
        <v>153</v>
      </c>
      <c r="CL37" s="1169">
        <f>SUM(AI37/518)</f>
        <v>1300.9227799227799</v>
      </c>
      <c r="CM37" s="1171">
        <f>SUM(AK37/518)</f>
        <v>97.569498069498067</v>
      </c>
      <c r="CN37" s="1171">
        <f>SUM(AM37/518)</f>
        <v>97.569189189189188</v>
      </c>
      <c r="CO37" s="1171">
        <f>SUM(AS37/518)</f>
        <v>1105.7840926640927</v>
      </c>
      <c r="CP37" s="1078">
        <f>SUM(AS37/(CK37+CL37+CM37))</f>
        <v>369.19046786441754</v>
      </c>
      <c r="CQ37" s="1069">
        <f t="shared" si="120"/>
        <v>673878</v>
      </c>
      <c r="CR37" s="1070">
        <f t="shared" si="121"/>
        <v>572796.16000000003</v>
      </c>
      <c r="CT37" s="1078">
        <f>SUM(CL37/CM37)</f>
        <v>13.333293761500563</v>
      </c>
      <c r="CU37" s="1078">
        <f>SUM(CK37*CT37)</f>
        <v>2039.9939455095862</v>
      </c>
    </row>
    <row r="38" spans="1:99" ht="27" thickBot="1" x14ac:dyDescent="0.3">
      <c r="A38" s="278" t="str">
        <f>CONCATENATE('3 pr-2'!A39)</f>
        <v>1.1.1.3</v>
      </c>
      <c r="B38" s="118" t="str">
        <f>CONCATENATE('3 pr-2'!B39)</f>
        <v>Priemonė:
Varėnos miesto kompleksinė plėtra</v>
      </c>
      <c r="C38" s="1079">
        <f t="shared" ref="C38:J38" si="122">SUM(C39:C43)</f>
        <v>0</v>
      </c>
      <c r="D38" s="1079">
        <f t="shared" si="122"/>
        <v>0</v>
      </c>
      <c r="E38" s="1079">
        <f t="shared" si="122"/>
        <v>0</v>
      </c>
      <c r="F38" s="1079"/>
      <c r="G38" s="1079"/>
      <c r="H38" s="1079"/>
      <c r="I38" s="1079"/>
      <c r="J38" s="1079">
        <f t="shared" si="122"/>
        <v>0</v>
      </c>
      <c r="K38" s="1079">
        <f t="shared" ref="K38:P38" si="123">SUM(K39:K44)</f>
        <v>1186280.8599999999</v>
      </c>
      <c r="L38" s="1079">
        <f t="shared" si="123"/>
        <v>38985.35</v>
      </c>
      <c r="M38" s="1079">
        <f t="shared" si="123"/>
        <v>117616.09999999999</v>
      </c>
      <c r="N38" s="1079">
        <f t="shared" si="123"/>
        <v>0</v>
      </c>
      <c r="O38" s="1079">
        <f t="shared" si="123"/>
        <v>0</v>
      </c>
      <c r="P38" s="1079">
        <f t="shared" si="123"/>
        <v>1029679.4099999999</v>
      </c>
      <c r="Q38" s="1079">
        <f>SUM(Q39:Q44)</f>
        <v>1355025.158382643</v>
      </c>
      <c r="R38" s="1079">
        <f t="shared" ref="R38:AS38" si="124">SUM(R39:R44)</f>
        <v>115877.53708699626</v>
      </c>
      <c r="S38" s="1079">
        <f t="shared" si="124"/>
        <v>110727.5374549332</v>
      </c>
      <c r="T38" s="1079">
        <f t="shared" si="124"/>
        <v>0</v>
      </c>
      <c r="U38" s="1079">
        <f t="shared" si="124"/>
        <v>0</v>
      </c>
      <c r="V38" s="1079">
        <f t="shared" si="124"/>
        <v>1128420.0838407136</v>
      </c>
      <c r="W38" s="1079">
        <f t="shared" si="124"/>
        <v>1331701.1805531092</v>
      </c>
      <c r="X38" s="1079">
        <f t="shared" si="124"/>
        <v>105815.85763596691</v>
      </c>
      <c r="Y38" s="1079">
        <f t="shared" si="124"/>
        <v>99395.907268029987</v>
      </c>
      <c r="Z38" s="1079">
        <f t="shared" si="124"/>
        <v>0</v>
      </c>
      <c r="AA38" s="1079">
        <f t="shared" si="124"/>
        <v>0</v>
      </c>
      <c r="AB38" s="1079">
        <f t="shared" si="124"/>
        <v>1126489.4156491125</v>
      </c>
      <c r="AC38" s="1079">
        <f t="shared" si="124"/>
        <v>485544.71106424753</v>
      </c>
      <c r="AD38" s="1079">
        <f t="shared" si="124"/>
        <v>36415.865277036821</v>
      </c>
      <c r="AE38" s="1079">
        <f t="shared" si="124"/>
        <v>36415.865277036821</v>
      </c>
      <c r="AF38" s="1079">
        <f t="shared" si="124"/>
        <v>0</v>
      </c>
      <c r="AG38" s="1079">
        <f t="shared" si="124"/>
        <v>0</v>
      </c>
      <c r="AH38" s="1079">
        <f t="shared" si="124"/>
        <v>412712.98051017383</v>
      </c>
      <c r="AI38" s="1080">
        <f t="shared" si="124"/>
        <v>4358551.91</v>
      </c>
      <c r="AJ38" s="1079"/>
      <c r="AK38" s="1079">
        <f t="shared" si="124"/>
        <v>297094.61</v>
      </c>
      <c r="AL38" s="1079"/>
      <c r="AM38" s="1079">
        <f t="shared" si="124"/>
        <v>364155.41000000003</v>
      </c>
      <c r="AN38" s="1079"/>
      <c r="AO38" s="1079">
        <f t="shared" si="124"/>
        <v>0</v>
      </c>
      <c r="AP38" s="1079"/>
      <c r="AQ38" s="1079">
        <f t="shared" si="124"/>
        <v>0</v>
      </c>
      <c r="AR38" s="1079"/>
      <c r="AS38" s="1079">
        <f t="shared" si="124"/>
        <v>3697301.8899999997</v>
      </c>
      <c r="AT38" s="1079"/>
      <c r="AU38" s="1066">
        <v>0</v>
      </c>
      <c r="AV38" s="24">
        <v>0</v>
      </c>
      <c r="AW38" s="24">
        <v>0</v>
      </c>
      <c r="AX38" s="1079">
        <v>0</v>
      </c>
      <c r="AY38" s="1079">
        <v>0</v>
      </c>
      <c r="AZ38" s="1079">
        <v>0</v>
      </c>
      <c r="BA38" s="1079">
        <v>0</v>
      </c>
      <c r="BB38" s="24">
        <v>0</v>
      </c>
      <c r="BC38" s="24">
        <v>50</v>
      </c>
      <c r="BD38" s="1079">
        <v>50</v>
      </c>
      <c r="BE38" s="1079">
        <v>50</v>
      </c>
      <c r="BF38" s="1079">
        <v>50</v>
      </c>
      <c r="BG38" s="1079">
        <v>50</v>
      </c>
      <c r="BH38" s="24">
        <v>50</v>
      </c>
      <c r="BI38" s="24">
        <v>25</v>
      </c>
      <c r="BJ38" s="1079">
        <v>25</v>
      </c>
      <c r="BK38" s="1079">
        <v>25</v>
      </c>
      <c r="BL38" s="1079">
        <v>25</v>
      </c>
      <c r="BM38" s="1079">
        <v>25</v>
      </c>
      <c r="BN38" s="24">
        <v>25</v>
      </c>
      <c r="BO38" s="24">
        <v>25</v>
      </c>
      <c r="BP38" s="1079">
        <v>25</v>
      </c>
      <c r="BQ38" s="1079">
        <v>25</v>
      </c>
      <c r="BR38" s="1079">
        <v>25</v>
      </c>
      <c r="BS38" s="1079">
        <v>25</v>
      </c>
      <c r="BT38" s="24">
        <v>25</v>
      </c>
      <c r="BU38" s="24">
        <v>0</v>
      </c>
      <c r="BV38" s="1079">
        <v>0</v>
      </c>
      <c r="BW38" s="1079">
        <v>0</v>
      </c>
      <c r="BX38" s="1079">
        <v>0</v>
      </c>
      <c r="BY38" s="1079">
        <v>0</v>
      </c>
      <c r="BZ38" s="24">
        <v>0</v>
      </c>
      <c r="CA38" s="24">
        <v>100</v>
      </c>
      <c r="CB38" s="1079">
        <v>100</v>
      </c>
      <c r="CC38" s="1079">
        <v>100</v>
      </c>
      <c r="CD38" s="1079">
        <v>100</v>
      </c>
      <c r="CE38" s="1079">
        <v>100</v>
      </c>
      <c r="CF38" s="359">
        <v>100</v>
      </c>
      <c r="CG38" s="1067"/>
      <c r="CH38" s="23"/>
    </row>
    <row r="39" spans="1:99" ht="37.5" thickTop="1" thickBot="1" x14ac:dyDescent="0.3">
      <c r="A39" s="121" t="str">
        <f>CONCATENATE('3 pr-2'!A40:J40)</f>
        <v>1.1.1.3.1</v>
      </c>
      <c r="B39" s="93" t="str">
        <f>CONCATENATE('3 pr-2'!D40)</f>
        <v>Varėnos miesto centrinės dalies modernizavimas ir pritaikymas visuomenės poreikiams (I etapas)</v>
      </c>
      <c r="C39" s="85">
        <v>0</v>
      </c>
      <c r="D39" s="85">
        <v>0</v>
      </c>
      <c r="E39" s="75">
        <v>0</v>
      </c>
      <c r="F39" s="282">
        <v>0</v>
      </c>
      <c r="G39" s="282">
        <v>0</v>
      </c>
      <c r="H39" s="282">
        <f>IF(YEAR($CG$39)=2016,($AW$4-$CG$39)*AO$39/($CH$39-$CG$39),0)</f>
        <v>0</v>
      </c>
      <c r="I39" s="282">
        <f>IF(YEAR($CG$39)=2016,($AW$4-$CG$39)*AQ$39/($CH$39-$CG$39),0)</f>
        <v>0</v>
      </c>
      <c r="J39" s="75">
        <v>0</v>
      </c>
      <c r="K39" s="75">
        <f>SUM('ketv. 7 '!M38)</f>
        <v>1049428.6299999999</v>
      </c>
      <c r="L39" s="286">
        <f>SUM('ketv. 7 '!R38)</f>
        <v>32471.439999999999</v>
      </c>
      <c r="M39" s="286">
        <f>SUM('ketv. 7 '!W38)</f>
        <v>107048.12</v>
      </c>
      <c r="N39" s="286">
        <v>0</v>
      </c>
      <c r="O39" s="286">
        <v>0</v>
      </c>
      <c r="P39" s="75">
        <f>SUM('ketv. 7 '!AL38)</f>
        <v>909909.07</v>
      </c>
      <c r="Q39" s="75">
        <f>SUM(V39+S39+R39)</f>
        <v>467503.38</v>
      </c>
      <c r="R39" s="286">
        <f>SUM(AK39-L39)</f>
        <v>43375.17</v>
      </c>
      <c r="S39" s="286">
        <f>SUM(AM39-M39)</f>
        <v>44645.080000000016</v>
      </c>
      <c r="T39" s="286">
        <v>0</v>
      </c>
      <c r="U39" s="286">
        <v>0</v>
      </c>
      <c r="V39" s="75">
        <f>SUM(AS39-P39)</f>
        <v>379483.13</v>
      </c>
      <c r="W39" s="85">
        <v>0</v>
      </c>
      <c r="X39" s="286">
        <v>0</v>
      </c>
      <c r="Y39" s="286">
        <v>0</v>
      </c>
      <c r="Z39" s="286">
        <v>0</v>
      </c>
      <c r="AA39" s="286">
        <v>0</v>
      </c>
      <c r="AB39" s="85">
        <v>0</v>
      </c>
      <c r="AC39" s="85">
        <v>0</v>
      </c>
      <c r="AD39" s="286">
        <v>0</v>
      </c>
      <c r="AE39" s="286">
        <v>0</v>
      </c>
      <c r="AF39" s="286">
        <v>0</v>
      </c>
      <c r="AG39" s="286">
        <v>0</v>
      </c>
      <c r="AH39" s="85">
        <v>0</v>
      </c>
      <c r="AI39" s="1081">
        <f>SUM('3 pr-2'!L40)</f>
        <v>1516932.01</v>
      </c>
      <c r="AJ39" s="1082"/>
      <c r="AK39" s="282">
        <f>SUM('3 pr-2'!O40)</f>
        <v>75846.61</v>
      </c>
      <c r="AL39" s="503"/>
      <c r="AM39" s="282">
        <f>SUM('3 pr-2'!R40)</f>
        <v>151693.20000000001</v>
      </c>
      <c r="AN39" s="503"/>
      <c r="AO39" s="282">
        <f>SUM('3 pr-2'!U40)</f>
        <v>0</v>
      </c>
      <c r="AP39" s="282"/>
      <c r="AQ39" s="282">
        <f>SUM('3 pr-2'!X40)</f>
        <v>0</v>
      </c>
      <c r="AR39" s="282"/>
      <c r="AS39" s="13">
        <f>SUM('3 pr-2'!AA40)</f>
        <v>1289392.2</v>
      </c>
      <c r="AT39" s="1083"/>
      <c r="AU39" s="1066"/>
      <c r="AV39" s="24"/>
      <c r="AW39" s="24"/>
      <c r="AX39" s="282"/>
      <c r="AY39" s="282"/>
      <c r="AZ39" s="282"/>
      <c r="BA39" s="282"/>
      <c r="BB39" s="24"/>
      <c r="BC39" s="24"/>
      <c r="BD39" s="282"/>
      <c r="BE39" s="282"/>
      <c r="BF39" s="282"/>
      <c r="BG39" s="282"/>
      <c r="BH39" s="24"/>
      <c r="BI39" s="24"/>
      <c r="BJ39" s="282"/>
      <c r="BK39" s="282"/>
      <c r="BL39" s="282"/>
      <c r="BM39" s="282"/>
      <c r="BN39" s="24"/>
      <c r="BO39" s="24"/>
      <c r="BP39" s="282"/>
      <c r="BQ39" s="282"/>
      <c r="BR39" s="282"/>
      <c r="BS39" s="282"/>
      <c r="BT39" s="24"/>
      <c r="BU39" s="24"/>
      <c r="BV39" s="282"/>
      <c r="BW39" s="282"/>
      <c r="BX39" s="282"/>
      <c r="BY39" s="282"/>
      <c r="BZ39" s="24"/>
      <c r="CA39" s="24"/>
      <c r="CB39" s="282"/>
      <c r="CC39" s="282"/>
      <c r="CD39" s="282"/>
      <c r="CE39" s="282"/>
      <c r="CF39" s="359"/>
      <c r="CG39" s="1068">
        <f>SUM('3 pr-2'!AI40)</f>
        <v>42735</v>
      </c>
      <c r="CH39" s="1068">
        <f>SUM('3 pr-2'!AK40)</f>
        <v>43465</v>
      </c>
      <c r="CI39" s="68">
        <f>SUM(J39+P39+V39+AB39+AH39)</f>
        <v>1289392.2</v>
      </c>
      <c r="CJ39" s="68">
        <f t="shared" si="119"/>
        <v>0</v>
      </c>
      <c r="CK39" s="1078">
        <v>24</v>
      </c>
      <c r="CL39" s="1078">
        <v>365</v>
      </c>
      <c r="CM39" s="1078">
        <v>12</v>
      </c>
      <c r="CN39" s="1078"/>
      <c r="CO39" s="1078"/>
      <c r="CP39" s="1078"/>
      <c r="CQ39" s="1078"/>
      <c r="CR39" s="1078">
        <f>SUM(CL39/CM39)</f>
        <v>30.416666666666668</v>
      </c>
      <c r="CS39" s="1078">
        <f>SUM(CK39*CR39)</f>
        <v>730</v>
      </c>
    </row>
    <row r="40" spans="1:99" ht="37.5" thickTop="1" thickBot="1" x14ac:dyDescent="0.3">
      <c r="A40" s="121" t="str">
        <f>CONCATENATE('3 pr-2'!A41:J41)</f>
        <v>1.1.1.3.2</v>
      </c>
      <c r="B40" s="93" t="str">
        <f>CONCATENATE('3 pr-2'!D41)</f>
        <v>Varėnos miesto centrinės dalies modernizavimas ir pritaikymas visuomenės poreikiams (II etapas)</v>
      </c>
      <c r="C40" s="85">
        <v>0</v>
      </c>
      <c r="D40" s="85">
        <v>0</v>
      </c>
      <c r="E40" s="85">
        <v>0</v>
      </c>
      <c r="F40" s="282">
        <v>0</v>
      </c>
      <c r="G40" s="282">
        <v>0</v>
      </c>
      <c r="H40" s="282">
        <v>0</v>
      </c>
      <c r="I40" s="282">
        <v>0</v>
      </c>
      <c r="J40" s="85">
        <v>0</v>
      </c>
      <c r="K40" s="75">
        <f>SUM('ketv. 7 '!M39)</f>
        <v>136852.22999999998</v>
      </c>
      <c r="L40" s="286">
        <f>SUM('ketv. 7 '!R39)</f>
        <v>6513.91</v>
      </c>
      <c r="M40" s="286">
        <f>SUM('ketv. 7 '!W39)</f>
        <v>10567.98</v>
      </c>
      <c r="N40" s="286">
        <v>0</v>
      </c>
      <c r="O40" s="286">
        <v>0</v>
      </c>
      <c r="P40" s="75">
        <f>SUM('ketv. 7 '!AL39)</f>
        <v>119770.34</v>
      </c>
      <c r="Q40" s="85">
        <f>IF(YEAR($CH$40)&gt;2017,($BI$4-$BC$4)*AJ40/($CH$40-$BC$4),0)</f>
        <v>433574.33499999996</v>
      </c>
      <c r="R40" s="286">
        <f>IF(YEAR($CH$40)&gt;2017,($BI$4-$BC$4)*AL40/($CH$40-$BC$4),0)</f>
        <v>38456.044999999998</v>
      </c>
      <c r="S40" s="286">
        <f>IF(YEAR($CH$40)&gt;2017,($BI$4-$BC$4)*AN40/($CH$40-$BC$4),0)</f>
        <v>32036.615000000005</v>
      </c>
      <c r="T40" s="286">
        <f>IF(YEAR($CH$40)&gt;2017,($BI$4-$BC$4)*AO$40/($CH$40-$CG$40),0)</f>
        <v>0</v>
      </c>
      <c r="U40" s="286">
        <f>IF(YEAR($CH$40)&gt;2017,($BI$4-$BC$4)*AQ$40/($CH$40-$CG$40),0)</f>
        <v>0</v>
      </c>
      <c r="V40" s="85">
        <f>IF(YEAR($CH$40)&gt;2017,($BI$4-$BC$4)*AT40/($CH$40-$BC$4),0)</f>
        <v>363081.67499999999</v>
      </c>
      <c r="W40" s="85">
        <f>IF(YEAR($CH$40)=2019,($CH$40-$BI$4)*AJ40/($CH$40-$BC$4),0)</f>
        <v>433574.33499999996</v>
      </c>
      <c r="X40" s="286">
        <f>IF(YEAR($CH$40)=2019,($CH$40-$BI$4)*AL40/($CH$40-$BC$4),0)</f>
        <v>38456.044999999998</v>
      </c>
      <c r="Y40" s="286">
        <f>IF(YEAR($CH$40)=2019,($CH$40-$BI$4)*AN40/($CH$40-$BC$4),0)</f>
        <v>32036.615000000005</v>
      </c>
      <c r="Z40" s="286">
        <f>IF(YEAR($CH$40)=2019,($CH$40-$BI$4)*AO$40/($CH$40-$CG$40),0)</f>
        <v>0</v>
      </c>
      <c r="AA40" s="286">
        <f>IF(YEAR($CH$40)=2019,($CH$40-$BI$4)*AQ$40/($CH$40-$CG$40),0)</f>
        <v>0</v>
      </c>
      <c r="AB40" s="85">
        <f>IF(YEAR($CH$40)=2019,($CH$40-$BI$4)*AT40/($CH$40-$BC$4),0)</f>
        <v>363081.67499999999</v>
      </c>
      <c r="AC40" s="85">
        <v>0</v>
      </c>
      <c r="AD40" s="286">
        <v>0</v>
      </c>
      <c r="AE40" s="286">
        <v>0</v>
      </c>
      <c r="AF40" s="286">
        <v>0</v>
      </c>
      <c r="AG40" s="286">
        <v>0</v>
      </c>
      <c r="AH40" s="85">
        <v>0</v>
      </c>
      <c r="AI40" s="1081">
        <f>SUM('3 pr-2'!L41)</f>
        <v>1004000.8999999999</v>
      </c>
      <c r="AJ40" s="1082">
        <f>SUM(AI40-K40)</f>
        <v>867148.66999999993</v>
      </c>
      <c r="AK40" s="282">
        <f>SUM('3 pr-2'!O41)</f>
        <v>83426</v>
      </c>
      <c r="AL40" s="503">
        <f>SUM(AK40-L40)</f>
        <v>76912.09</v>
      </c>
      <c r="AM40" s="282">
        <f>SUM('3 pr-2'!R41)</f>
        <v>74641.210000000006</v>
      </c>
      <c r="AN40" s="503">
        <f>SUM(AM40-M40)</f>
        <v>64073.23000000001</v>
      </c>
      <c r="AO40" s="282">
        <f>SUM('3 pr-2'!U41)</f>
        <v>0</v>
      </c>
      <c r="AP40" s="282"/>
      <c r="AQ40" s="282">
        <f>SUM('3 pr-2'!X41)</f>
        <v>0</v>
      </c>
      <c r="AR40" s="282"/>
      <c r="AS40" s="13">
        <f>SUM('3 pr-2'!AA41)</f>
        <v>845933.69</v>
      </c>
      <c r="AT40" s="1083">
        <f>SUM(AS40-P40)</f>
        <v>726163.35</v>
      </c>
      <c r="AU40" s="1066"/>
      <c r="AV40" s="24"/>
      <c r="AW40" s="24"/>
      <c r="AX40" s="282"/>
      <c r="AY40" s="282"/>
      <c r="AZ40" s="282"/>
      <c r="BA40" s="282"/>
      <c r="BB40" s="24"/>
      <c r="BC40" s="24"/>
      <c r="BD40" s="282"/>
      <c r="BE40" s="282"/>
      <c r="BF40" s="282"/>
      <c r="BG40" s="282"/>
      <c r="BH40" s="24"/>
      <c r="BI40" s="24"/>
      <c r="BJ40" s="282"/>
      <c r="BK40" s="282"/>
      <c r="BL40" s="282"/>
      <c r="BM40" s="282"/>
      <c r="BN40" s="24"/>
      <c r="BO40" s="24"/>
      <c r="BP40" s="282"/>
      <c r="BQ40" s="282"/>
      <c r="BR40" s="282"/>
      <c r="BS40" s="282"/>
      <c r="BT40" s="24"/>
      <c r="BU40" s="24"/>
      <c r="BV40" s="282"/>
      <c r="BW40" s="282"/>
      <c r="BX40" s="282"/>
      <c r="BY40" s="282"/>
      <c r="BZ40" s="24"/>
      <c r="CA40" s="24"/>
      <c r="CB40" s="282"/>
      <c r="CC40" s="282"/>
      <c r="CD40" s="282"/>
      <c r="CE40" s="282"/>
      <c r="CF40" s="359"/>
      <c r="CG40" s="1068">
        <f>SUM('3 pr-2'!AI41)</f>
        <v>42978</v>
      </c>
      <c r="CH40" s="1068">
        <f>SUM('3 pr-2'!AK41)</f>
        <v>43830</v>
      </c>
      <c r="CI40" s="68">
        <f>SUM(P40+V40+AB40)</f>
        <v>845933.69</v>
      </c>
      <c r="CJ40" s="68">
        <f t="shared" si="119"/>
        <v>0</v>
      </c>
      <c r="CK40" s="1078">
        <v>24</v>
      </c>
      <c r="CL40" s="1078">
        <v>365</v>
      </c>
      <c r="CM40" s="1078">
        <v>12</v>
      </c>
      <c r="CN40" s="1078"/>
      <c r="CO40" s="1078"/>
      <c r="CP40" s="1078"/>
      <c r="CQ40" s="1078"/>
      <c r="CR40" s="1078">
        <f>SUM(CL40/CM40)</f>
        <v>30.416666666666668</v>
      </c>
      <c r="CS40" s="1078">
        <f>SUM(CK40*CR40)</f>
        <v>730</v>
      </c>
    </row>
    <row r="41" spans="1:99" ht="37.5" thickTop="1" thickBot="1" x14ac:dyDescent="0.3">
      <c r="A41" s="121" t="str">
        <f>CONCATENATE('3 pr-2'!A42:J42)</f>
        <v>1.1.1.3.3</v>
      </c>
      <c r="B41" s="93" t="str">
        <f>CONCATENATE('3 pr-2'!D42)</f>
        <v xml:space="preserve">Varėnos miesto Dainų slėnio infrastruktūros atnaujinimas ir pritaikymas visuomenės poreikiams </v>
      </c>
      <c r="C41" s="85">
        <v>0</v>
      </c>
      <c r="D41" s="85">
        <v>0</v>
      </c>
      <c r="E41" s="85">
        <v>0</v>
      </c>
      <c r="F41" s="282">
        <v>0</v>
      </c>
      <c r="G41" s="282">
        <v>0</v>
      </c>
      <c r="H41" s="282">
        <v>0</v>
      </c>
      <c r="I41" s="282">
        <v>0</v>
      </c>
      <c r="J41" s="85">
        <v>0</v>
      </c>
      <c r="K41" s="75">
        <f>SUM('ketv. 7 '!M40)</f>
        <v>0</v>
      </c>
      <c r="L41" s="286">
        <f>SUM('ketv. 7 '!R40)</f>
        <v>0</v>
      </c>
      <c r="M41" s="286">
        <f>SUM('ketv. 7 '!W40)</f>
        <v>0</v>
      </c>
      <c r="N41" s="286">
        <v>0</v>
      </c>
      <c r="O41" s="286">
        <v>0</v>
      </c>
      <c r="P41" s="75">
        <f>SUM('ketv. 7 '!AL40)</f>
        <v>0</v>
      </c>
      <c r="Q41" s="85">
        <f>IF(YEAR($Q$3)=YEAR($CG$41),($Q$3-$CG$41)*AI41/($CH$41-$CG$41),0)</f>
        <v>90105.509964830009</v>
      </c>
      <c r="R41" s="286">
        <f>IF(YEAR($Q$3)=YEAR($CG$41),($Q$3-$CG$41)*AK41/($CH$41-$CG$41),0)</f>
        <v>6757.9132473622512</v>
      </c>
      <c r="S41" s="286">
        <f>IF(YEAR($Q$3)=YEAR($CG$41),($Q$3-$CG$41)*AM41/($CH$41-$CG$41),0)</f>
        <v>6757.9132473622512</v>
      </c>
      <c r="T41" s="286">
        <f>IF(YEAR($Q$3)=YEAR($CG$41),($Q$3-$CG$41)*AO41/($CH$41-$CG$41),0)</f>
        <v>0</v>
      </c>
      <c r="U41" s="286">
        <f>IF(YEAR($Q$3)=YEAR($CG$41),($Q$3-$CG$41)*AQ41/($CH$41-$CG$41),0)</f>
        <v>0</v>
      </c>
      <c r="V41" s="85">
        <f>IF(YEAR($Q$3)=YEAR($CG$41),(Q3-CG41)*AS41/($CH$41-$CG$41),0)</f>
        <v>76589.683470105505</v>
      </c>
      <c r="W41" s="85">
        <f>IF(YEAR($W$3)&lt;YEAR($CH$41),($W$3-$Q$3)*AI41/($CH$41-$CG$41),0)</f>
        <v>269577.96014067996</v>
      </c>
      <c r="X41" s="286">
        <f>IF(YEAR($W$3)&lt;YEAR($CH$41),($W$3-$Q$3)*AK41/($CH$41-$CG$41),0)</f>
        <v>20218.347010550995</v>
      </c>
      <c r="Y41" s="286">
        <f>IF(YEAR($W$3)&lt;YEAR($CH$41),($W$3-$Q$3)*AM41/($CH$41-$CG$41),0)</f>
        <v>20218.347010550995</v>
      </c>
      <c r="Z41" s="286">
        <f>IF(YEAR($W$3)&lt;YEAR($CH$41),($W$3-$Q$3)*AP41/($CH$41-$CG$41),0)</f>
        <v>0</v>
      </c>
      <c r="AA41" s="286">
        <f>IF(YEAR($W$3)&lt;YEAR($CH$41),($W$3-$Q$3)*AQ41/($CH$41-$CG$41),0)</f>
        <v>0</v>
      </c>
      <c r="AB41" s="85">
        <f>IF(YEAR($W$3)&lt;YEAR($CH$41),($W$3-$Q$3)*AS41/($CH$41-$CG$41),0)</f>
        <v>229141.26611957795</v>
      </c>
      <c r="AC41" s="85">
        <f>IF(YEAR($AC$3)=YEAR($CH$41),($CH$41-$W$3)*AI41/($CH$41-$CG$41),0)</f>
        <v>270316.52989449003</v>
      </c>
      <c r="AD41" s="286">
        <f>IF(YEAR($AC$3)=YEAR($CH$41),($CH$41-$W$3)*AK41/($CH$41-$CG$41),0)</f>
        <v>20273.739742086753</v>
      </c>
      <c r="AE41" s="286">
        <f>IF(YEAR($AC$3)=YEAR($CH$41),($CH$41-$W$3)*AM41/($CH$41-$CG$41),0)</f>
        <v>20273.739742086753</v>
      </c>
      <c r="AF41" s="286">
        <f>IF(YEAR($AC$3)=YEAR($CH$41),($CH$41-$W$3)*AP41/($CH$41-$CG$41),0)</f>
        <v>0</v>
      </c>
      <c r="AG41" s="286">
        <f>IF(YEAR($AC$3)=YEAR($CH$41),($CH$41-$W$3)*AQ41/($CH$41-$CG$41),0)</f>
        <v>0</v>
      </c>
      <c r="AH41" s="85">
        <f>IF(YEAR($AC$3)=YEAR($CH$41),($CH$41-$W$3)*AS41/($CH$41-$CG$41),0)</f>
        <v>229769.05041031653</v>
      </c>
      <c r="AI41" s="762">
        <f>SUM('3 pr-2'!L42)</f>
        <v>630000</v>
      </c>
      <c r="AJ41" s="1082"/>
      <c r="AK41" s="282">
        <f>SUM('3 pr-2'!O42)</f>
        <v>47250</v>
      </c>
      <c r="AL41" s="503"/>
      <c r="AM41" s="282">
        <f>SUM('3 pr-2'!R42)</f>
        <v>47250</v>
      </c>
      <c r="AN41" s="503"/>
      <c r="AO41" s="282">
        <f>SUM('3 pr-2'!U42)</f>
        <v>0</v>
      </c>
      <c r="AP41" s="282"/>
      <c r="AQ41" s="282">
        <f>SUM('3 pr-2'!X42)</f>
        <v>0</v>
      </c>
      <c r="AR41" s="282"/>
      <c r="AS41" s="17">
        <f>SUM('3 pr-2'!AA42)</f>
        <v>535500</v>
      </c>
      <c r="AT41" s="1082"/>
      <c r="AU41" s="1066">
        <v>0</v>
      </c>
      <c r="AV41" s="24">
        <v>0</v>
      </c>
      <c r="AW41" s="24">
        <v>0</v>
      </c>
      <c r="AX41" s="282"/>
      <c r="AY41" s="282"/>
      <c r="AZ41" s="282"/>
      <c r="BA41" s="282"/>
      <c r="BB41" s="24"/>
      <c r="BC41" s="24"/>
      <c r="BD41" s="282"/>
      <c r="BE41" s="282"/>
      <c r="BF41" s="282"/>
      <c r="BG41" s="282"/>
      <c r="BH41" s="24"/>
      <c r="BI41" s="24"/>
      <c r="BJ41" s="282"/>
      <c r="BK41" s="282"/>
      <c r="BL41" s="282"/>
      <c r="BM41" s="282"/>
      <c r="BN41" s="24"/>
      <c r="BO41" s="24"/>
      <c r="BP41" s="282"/>
      <c r="BQ41" s="282"/>
      <c r="BR41" s="282"/>
      <c r="BS41" s="282"/>
      <c r="BT41" s="24"/>
      <c r="BU41" s="24"/>
      <c r="BV41" s="282"/>
      <c r="BW41" s="282"/>
      <c r="BX41" s="282"/>
      <c r="BY41" s="282"/>
      <c r="BZ41" s="24"/>
      <c r="CA41" s="24"/>
      <c r="CB41" s="282"/>
      <c r="CC41" s="282"/>
      <c r="CD41" s="282"/>
      <c r="CE41" s="282"/>
      <c r="CF41" s="359"/>
      <c r="CG41" s="1068">
        <f>SUM('3 pr-2'!AI42)</f>
        <v>43343</v>
      </c>
      <c r="CH41" s="1068">
        <f>SUM('3 pr-2'!AK42)</f>
        <v>44196</v>
      </c>
      <c r="CI41" s="68">
        <f>SUM(V41+AB41+AH41)</f>
        <v>535500</v>
      </c>
      <c r="CJ41" s="68">
        <f t="shared" si="119"/>
        <v>0</v>
      </c>
    </row>
    <row r="42" spans="1:99" ht="37.5" thickTop="1" thickBot="1" x14ac:dyDescent="0.3">
      <c r="A42" s="121" t="str">
        <f>CONCATENATE('3 pr-2'!A43:J43)</f>
        <v>1.1.1.3.4</v>
      </c>
      <c r="B42" s="93" t="str">
        <f>CONCATENATE('3 pr-2'!D43)</f>
        <v>Karloniškės ežero ir jo prieigų sutvarkymas ir pritaikymas aktyviam poilsiui</v>
      </c>
      <c r="C42" s="85">
        <v>0</v>
      </c>
      <c r="D42" s="85">
        <v>0</v>
      </c>
      <c r="E42" s="85">
        <v>0</v>
      </c>
      <c r="F42" s="282">
        <v>0</v>
      </c>
      <c r="G42" s="282">
        <v>0</v>
      </c>
      <c r="H42" s="282">
        <v>0</v>
      </c>
      <c r="I42" s="282">
        <v>0</v>
      </c>
      <c r="J42" s="85">
        <v>0</v>
      </c>
      <c r="K42" s="75">
        <f>SUM('ketv. 7 '!M41)</f>
        <v>0</v>
      </c>
      <c r="L42" s="286">
        <f>SUM('ketv. 7 '!R41)</f>
        <v>0</v>
      </c>
      <c r="M42" s="286">
        <f>SUM('ketv. 7 '!W41)</f>
        <v>0</v>
      </c>
      <c r="N42" s="286">
        <v>0</v>
      </c>
      <c r="O42" s="286">
        <v>0</v>
      </c>
      <c r="P42" s="75">
        <f>SUM('ketv. 7 '!AL41)</f>
        <v>0</v>
      </c>
      <c r="Q42" s="85">
        <f>SUM(($Q$3-$CG$42)*CN42)</f>
        <v>363199.46123521682</v>
      </c>
      <c r="R42" s="286">
        <f>SUM(($Q$3-$CG$42)*CO42)</f>
        <v>27240.223390275954</v>
      </c>
      <c r="S42" s="286">
        <f>SUM(($Q$3-$CG$42)*CP42)</f>
        <v>27239.74375821288</v>
      </c>
      <c r="T42" s="286">
        <f>IF(YEAR($CH$42)&gt;2017,($BI$4-$BC$4)*AO$42/($CH$42-$CG$42),0)</f>
        <v>0</v>
      </c>
      <c r="U42" s="286">
        <f>IF(YEAR($CH$42)&gt;2017,($BI$4-$BC$4)*AQ$42/($CH$42-$CG$42),0)</f>
        <v>0</v>
      </c>
      <c r="V42" s="85">
        <f>SUM(($Q$3-$CG$42)*CQ42)</f>
        <v>308719.49408672797</v>
      </c>
      <c r="W42" s="85">
        <f>SUM(($CH$42-$Q$3)*CN42)</f>
        <v>394046.53876478318</v>
      </c>
      <c r="X42" s="286">
        <f>SUM(($CH$42-$Q$3)*CO42)</f>
        <v>29553.776609724046</v>
      </c>
      <c r="Y42" s="286">
        <f>SUM(($CH$42-$Q$3)*CP42)</f>
        <v>29553.256241787123</v>
      </c>
      <c r="Z42" s="286">
        <f>IF(YEAR($CH$42)=2019,($CH$42-$BI$4)*AO$42/($CH$42-$CG$42),0)</f>
        <v>0</v>
      </c>
      <c r="AA42" s="286">
        <f>IF(YEAR($CH$42)=2019,($CH$42-$BI$4)*AQ$42/($CH$42-$CG$42),0)</f>
        <v>0</v>
      </c>
      <c r="AB42" s="85">
        <f>SUM(($CH$42-$Q$3)*CQ42)</f>
        <v>334939.50591327198</v>
      </c>
      <c r="AC42" s="85">
        <v>0</v>
      </c>
      <c r="AD42" s="286">
        <v>0</v>
      </c>
      <c r="AE42" s="286">
        <v>0</v>
      </c>
      <c r="AF42" s="286">
        <v>0</v>
      </c>
      <c r="AG42" s="286">
        <v>0</v>
      </c>
      <c r="AH42" s="85">
        <v>0</v>
      </c>
      <c r="AI42" s="1084">
        <f>SUM('3 pr-2'!L43)</f>
        <v>757246</v>
      </c>
      <c r="AJ42" s="1085"/>
      <c r="AK42" s="282">
        <f>SUM('3 pr-2'!O43)</f>
        <v>56794</v>
      </c>
      <c r="AL42" s="503"/>
      <c r="AM42" s="282">
        <f>SUM('3 pr-2'!R43)</f>
        <v>56793</v>
      </c>
      <c r="AN42" s="503"/>
      <c r="AO42" s="282">
        <f>SUM('3 pr-2'!U43)</f>
        <v>0</v>
      </c>
      <c r="AP42" s="282"/>
      <c r="AQ42" s="282">
        <f>SUM('3 pr-2'!X43)</f>
        <v>0</v>
      </c>
      <c r="AR42" s="544"/>
      <c r="AS42" s="1086">
        <f>SUM('3 pr-2'!AA43)</f>
        <v>643659</v>
      </c>
      <c r="AT42" s="1087"/>
      <c r="AU42" s="1066"/>
      <c r="AV42" s="24"/>
      <c r="AW42" s="24"/>
      <c r="AX42" s="282"/>
      <c r="AY42" s="282"/>
      <c r="AZ42" s="282"/>
      <c r="BA42" s="282"/>
      <c r="BB42" s="24"/>
      <c r="BC42" s="24"/>
      <c r="BD42" s="282"/>
      <c r="BE42" s="282"/>
      <c r="BF42" s="282"/>
      <c r="BG42" s="282"/>
      <c r="BH42" s="24"/>
      <c r="BI42" s="24"/>
      <c r="BJ42" s="282"/>
      <c r="BK42" s="282"/>
      <c r="BL42" s="282"/>
      <c r="BM42" s="282"/>
      <c r="BN42" s="24"/>
      <c r="BO42" s="24"/>
      <c r="BP42" s="282"/>
      <c r="BQ42" s="282"/>
      <c r="BR42" s="282"/>
      <c r="BS42" s="282"/>
      <c r="BT42" s="24"/>
      <c r="BU42" s="24"/>
      <c r="BV42" s="282"/>
      <c r="BW42" s="282"/>
      <c r="BX42" s="282"/>
      <c r="BY42" s="282"/>
      <c r="BZ42" s="24"/>
      <c r="CA42" s="24"/>
      <c r="CB42" s="282"/>
      <c r="CC42" s="282"/>
      <c r="CD42" s="282"/>
      <c r="CE42" s="282"/>
      <c r="CF42" s="359"/>
      <c r="CG42" s="1068">
        <f>SUM('3 pr-2'!AI43)</f>
        <v>43100</v>
      </c>
      <c r="CH42" s="1068">
        <f>SUM('3 pr-2'!AK43)</f>
        <v>43861</v>
      </c>
      <c r="CI42" s="68">
        <f>SUM(J42+P42+V42+AB42+AH42)</f>
        <v>643659</v>
      </c>
      <c r="CJ42" s="1072">
        <f t="shared" si="119"/>
        <v>0</v>
      </c>
      <c r="CK42" s="1078">
        <v>24</v>
      </c>
      <c r="CL42" s="1078">
        <v>365</v>
      </c>
      <c r="CM42" s="1078">
        <v>12</v>
      </c>
      <c r="CN42" s="1167">
        <f>SUM(AI42/($CH$42-$CG$42))</f>
        <v>995.06701708278581</v>
      </c>
      <c r="CO42" s="1167">
        <f>SUM(AK42/($CH$42-$CG$42))</f>
        <v>74.630749014454665</v>
      </c>
      <c r="CP42" s="1167">
        <f>SUM(AM42/($CH$42-$CG$42))</f>
        <v>74.629434954007891</v>
      </c>
      <c r="CQ42" s="1168">
        <f>SUM(AS42/($CH$42-$CG$42))</f>
        <v>845.80683311432324</v>
      </c>
      <c r="CR42" s="1078">
        <f>SUM(CL42/CM42)</f>
        <v>30.416666666666668</v>
      </c>
      <c r="CS42" s="1078">
        <f>SUM(CK42*CR42)</f>
        <v>730</v>
      </c>
      <c r="CT42" s="1072">
        <f>SUM(K42+Q42+W42+AC42)</f>
        <v>757246</v>
      </c>
      <c r="CU42" s="1072">
        <f>SUM(CT42-AI42)</f>
        <v>0</v>
      </c>
    </row>
    <row r="43" spans="1:99" ht="25.5" thickTop="1" thickBot="1" x14ac:dyDescent="0.3">
      <c r="A43" s="121" t="str">
        <f>CONCATENATE('3 pr-2'!A44:J44)</f>
        <v>1.1.1.3.5</v>
      </c>
      <c r="B43" s="93" t="str">
        <f>CONCATENATE('3 pr-2'!D44)</f>
        <v xml:space="preserve">Nenaudojamų teritorijų Varėnos mieste sutvarkymas ir pritaikymas verslui </v>
      </c>
      <c r="C43" s="85">
        <v>0</v>
      </c>
      <c r="D43" s="85">
        <v>0</v>
      </c>
      <c r="E43" s="85">
        <v>0</v>
      </c>
      <c r="F43" s="282">
        <v>0</v>
      </c>
      <c r="G43" s="282">
        <v>0</v>
      </c>
      <c r="H43" s="282">
        <v>0</v>
      </c>
      <c r="I43" s="282">
        <v>0</v>
      </c>
      <c r="J43" s="85">
        <v>0</v>
      </c>
      <c r="K43" s="75">
        <f>SUM('ketv. 7 '!M42)</f>
        <v>0</v>
      </c>
      <c r="L43" s="286">
        <f>SUM('ketv. 7 '!R42)</f>
        <v>0</v>
      </c>
      <c r="M43" s="286">
        <f>SUM('ketv. 7 '!W42)</f>
        <v>0</v>
      </c>
      <c r="N43" s="286">
        <v>0</v>
      </c>
      <c r="O43" s="286">
        <v>0</v>
      </c>
      <c r="P43" s="75">
        <f>SUM('ketv. 7 '!AL42)</f>
        <v>0</v>
      </c>
      <c r="Q43" s="85">
        <f>IF(YEAR($Q$3)=YEAR($CG43),($Q$3-$CG43)*AI43/($CH43-$CG43),0)</f>
        <v>213.98002853067047</v>
      </c>
      <c r="R43" s="286">
        <f>IF(YEAR($Q$3)=YEAR($CG43),($Q$3-$CG43)*AK43/($CH43-$CG43),0)</f>
        <v>16.048502139800284</v>
      </c>
      <c r="S43" s="286">
        <f>IF(YEAR($Q$3)=YEAR($CG43),($Q$3-$CG43)*AM43/($CH43-$CG43),0)</f>
        <v>16.048502139800284</v>
      </c>
      <c r="T43" s="286">
        <f>IF(YEAR($Q$3)=YEAR($CG43),($Q$3-$CG43)*AO43/($CH43-$CG43),0)</f>
        <v>0</v>
      </c>
      <c r="U43" s="286">
        <f>IF(YEAR($Q$3)=YEAR($CG43),($Q$3-$CG43)*AQ43/($CH43-$CG43),0)</f>
        <v>0</v>
      </c>
      <c r="V43" s="85">
        <f>IF(YEAR($Q$3)=YEAR($CG43),($Q$3-$CG43)*AS43/($CH43-$CG43),0)</f>
        <v>181.88302425106991</v>
      </c>
      <c r="W43" s="85">
        <f>IF(YEAR($W$3)&lt;YEAR($CH43),($W$3-$Q$3)*AI43/($CH43-$CG43),0)</f>
        <v>78102.710413694716</v>
      </c>
      <c r="X43" s="286">
        <f>IF(YEAR($W$3)&lt;YEAR($CH43),($W$3-$Q$3)*AK43/($CH43-$CG43),0)</f>
        <v>5857.7032810271039</v>
      </c>
      <c r="Y43" s="286">
        <f>IF(YEAR($W$3)&lt;YEAR($CH43),($W$3-$Q$3)*AM43/($CH43-$CG43),0)</f>
        <v>5857.7032810271039</v>
      </c>
      <c r="Z43" s="286">
        <f>IF(YEAR($W$3)&lt;YEAR($CH43),($W$3-$Q$3)*AO43/($CH43-$CG43),0)</f>
        <v>0</v>
      </c>
      <c r="AA43" s="286">
        <f>IF(YEAR($W$3)&lt;YEAR($CH43),($W$3-$Q$3)*AQ43/($CH43-$CG43),0)</f>
        <v>0</v>
      </c>
      <c r="AB43" s="85">
        <f>IF(YEAR($W$3)&lt;YEAR($CH43),($W$3-$Q$3)*AS43/($CH43-$CG43),0)</f>
        <v>66387.303851640507</v>
      </c>
      <c r="AC43" s="85">
        <f>IF(YEAR($AC$3)=YEAR($CH43),($CH43-$W$3)*AI43/($CH43-$CG43),0)</f>
        <v>71683.309557774613</v>
      </c>
      <c r="AD43" s="286">
        <f>IF(YEAR($AC$3)=YEAR($CH43),($CH43-$W$3)*AK43/($CH43-$CG43),0)</f>
        <v>5376.2482168330953</v>
      </c>
      <c r="AE43" s="286">
        <f>IF(YEAR($AC$3)=YEAR($CH43),($CH43-$W$3)*AM43/($CH43-$CG43),0)</f>
        <v>5376.2482168330953</v>
      </c>
      <c r="AF43" s="286">
        <f>IF(YEAR($AC$3)=YEAR($CH43),($CH43-$W$3)*AP43/($CH43-$CG43),0)</f>
        <v>0</v>
      </c>
      <c r="AG43" s="286">
        <f>IF(YEAR($AC$3)=YEAR($CH43),($CH43-$W$3)*AQ43/($CH43-$CG43),0)</f>
        <v>0</v>
      </c>
      <c r="AH43" s="85">
        <f>IF(YEAR($AC$3)=YEAR($CH43),($CH43-$W$3)*AS43/($CH43-$CG43),0)</f>
        <v>60930.813124108419</v>
      </c>
      <c r="AI43" s="766">
        <f>SUM('3 pr-2'!L44)</f>
        <v>150000</v>
      </c>
      <c r="AJ43" s="1088"/>
      <c r="AK43" s="282">
        <f>SUM('3 pr-2'!O44)</f>
        <v>11250</v>
      </c>
      <c r="AL43" s="503"/>
      <c r="AM43" s="282">
        <f>SUM('3 pr-2'!R44)</f>
        <v>11250</v>
      </c>
      <c r="AN43" s="503"/>
      <c r="AO43" s="282">
        <f>SUM('3 pr-2'!U44)</f>
        <v>0</v>
      </c>
      <c r="AP43" s="282"/>
      <c r="AQ43" s="282">
        <f>SUM('3 pr-2'!X44)</f>
        <v>0</v>
      </c>
      <c r="AR43" s="282"/>
      <c r="AS43" s="13">
        <f>SUM('3 pr-2'!AA44)</f>
        <v>127500</v>
      </c>
      <c r="AT43" s="1083"/>
      <c r="AU43" s="1066"/>
      <c r="AV43" s="24"/>
      <c r="AW43" s="24"/>
      <c r="AX43" s="282"/>
      <c r="AY43" s="282"/>
      <c r="AZ43" s="282"/>
      <c r="BA43" s="282"/>
      <c r="BB43" s="24"/>
      <c r="BC43" s="24"/>
      <c r="BD43" s="282"/>
      <c r="BE43" s="282"/>
      <c r="BF43" s="282"/>
      <c r="BG43" s="282"/>
      <c r="BH43" s="24"/>
      <c r="BI43" s="24"/>
      <c r="BJ43" s="282"/>
      <c r="BK43" s="282"/>
      <c r="BL43" s="282"/>
      <c r="BM43" s="282"/>
      <c r="BN43" s="24"/>
      <c r="BO43" s="24"/>
      <c r="BP43" s="282"/>
      <c r="BQ43" s="282"/>
      <c r="BR43" s="282"/>
      <c r="BS43" s="282"/>
      <c r="BT43" s="24"/>
      <c r="BU43" s="24"/>
      <c r="BV43" s="282"/>
      <c r="BW43" s="282"/>
      <c r="BX43" s="282"/>
      <c r="BY43" s="282"/>
      <c r="BZ43" s="24"/>
      <c r="CA43" s="24"/>
      <c r="CB43" s="282"/>
      <c r="CC43" s="282"/>
      <c r="CD43" s="282"/>
      <c r="CE43" s="282"/>
      <c r="CF43" s="359"/>
      <c r="CG43" s="1068">
        <f>SUM('3 pr-2'!AI44)</f>
        <v>43464</v>
      </c>
      <c r="CH43" s="1068">
        <f>SUM('3 pr-2'!AK44)</f>
        <v>44165</v>
      </c>
      <c r="CI43" s="68">
        <f>SUM(V43+AB43+AH43)</f>
        <v>127500</v>
      </c>
      <c r="CJ43" s="68">
        <f t="shared" ref="CJ43" si="125">SUM(CI43-AS43)</f>
        <v>0</v>
      </c>
    </row>
    <row r="44" spans="1:99" ht="45.75" customHeight="1" thickTop="1" thickBot="1" x14ac:dyDescent="0.3">
      <c r="A44" s="121" t="str">
        <f>CONCATENATE('3 pr-2'!A45:J45)</f>
        <v>1.1.1.3.6</v>
      </c>
      <c r="B44" s="93" t="str">
        <f>CONCATENATE('3 pr-2'!D45)</f>
        <v xml:space="preserve">Teritorijų prie daugiabučių gyvenamųjų pastatų Varėnos mieste sutvarkymas ir pritaikymas visuomenės poreikiams  </v>
      </c>
      <c r="C44" s="85">
        <v>0</v>
      </c>
      <c r="D44" s="85">
        <v>0</v>
      </c>
      <c r="E44" s="85">
        <v>0</v>
      </c>
      <c r="F44" s="282">
        <v>0</v>
      </c>
      <c r="G44" s="282">
        <v>0</v>
      </c>
      <c r="H44" s="282">
        <v>0</v>
      </c>
      <c r="I44" s="282">
        <v>0</v>
      </c>
      <c r="J44" s="85">
        <v>0</v>
      </c>
      <c r="K44" s="75">
        <f>SUM('ketv. 7 '!M43)</f>
        <v>0</v>
      </c>
      <c r="L44" s="286">
        <f>SUM('ketv. 7 '!R43)</f>
        <v>0</v>
      </c>
      <c r="M44" s="286">
        <f>SUM('ketv. 7 '!W43)</f>
        <v>0</v>
      </c>
      <c r="N44" s="286">
        <v>0</v>
      </c>
      <c r="O44" s="286">
        <v>0</v>
      </c>
      <c r="P44" s="75">
        <f>SUM('ketv. 7 '!AL43)</f>
        <v>0</v>
      </c>
      <c r="Q44" s="85">
        <f>IF(YEAR($Q$3)=YEAR($CG44),($Q$3-$CG44)*AI44/($CH44-$CG44),0)</f>
        <v>428.49215406562053</v>
      </c>
      <c r="R44" s="286">
        <f>IF(YEAR($Q$3)=YEAR($CG44),($Q$3-$CG44)*AK44/($CH44-$CG44),0)</f>
        <v>32.136947218259628</v>
      </c>
      <c r="S44" s="286">
        <f>IF(YEAR($Q$3)=YEAR($CG44),($Q$3-$CG44)*AM44/($CH44-$CG44),0)</f>
        <v>32.136947218259628</v>
      </c>
      <c r="T44" s="286">
        <f>IF(YEAR($Q$3)=YEAR($CG44),($Q$3-$CG44)*AO44/($CH44-$CG44),0)</f>
        <v>0</v>
      </c>
      <c r="U44" s="286">
        <f>IF(YEAR($Q$3)=YEAR($CG44),($Q$3-$CG44)*AQ44/($CH44-$CG44),0)</f>
        <v>0</v>
      </c>
      <c r="V44" s="85">
        <f>IF(YEAR($Q$3)=YEAR($CG44),($Q$3-$CG44)*AS44/($CH44-$CG44),0)</f>
        <v>364.21825962910128</v>
      </c>
      <c r="W44" s="85">
        <f>IF(YEAR($W$3)&lt;YEAR($CH44),($W$3-$Q$3)*AI44/($CH44-$CG44),0)</f>
        <v>156399.63623395149</v>
      </c>
      <c r="X44" s="286">
        <f>IF(YEAR($W$3)&lt;YEAR($CH44),($W$3-$Q$3)*AK44/($CH44-$CG44),0)</f>
        <v>11729.985734664764</v>
      </c>
      <c r="Y44" s="286">
        <f>IF(YEAR($W$3)&lt;YEAR($CH44),($W$3-$Q$3)*AM44/($CH44-$CG44),0)</f>
        <v>11729.985734664764</v>
      </c>
      <c r="Z44" s="286">
        <f>IF(YEAR($W$3)&lt;YEAR($CH44),($W$3-$Q$3)*AO44/($CH44-$CG44),0)</f>
        <v>0</v>
      </c>
      <c r="AA44" s="286">
        <f>IF(YEAR($W$3)&lt;YEAR($CH44),($W$3-$Q$3)*AQ44/($CH44-$CG44),0)</f>
        <v>0</v>
      </c>
      <c r="AB44" s="85">
        <f>IF(YEAR($W$3)&lt;YEAR($CH44),($W$3-$Q$3)*AS44/($CH44-$CG44),0)</f>
        <v>132939.66476462196</v>
      </c>
      <c r="AC44" s="85">
        <f>IF(YEAR($AC$3)=YEAR($CH44),($CH44-$W$3)*AI44/($CH44-$CG44),0)</f>
        <v>143544.87161198288</v>
      </c>
      <c r="AD44" s="286">
        <f>IF(YEAR($AC$3)=YEAR($CH44),($CH44-$W$3)*AK44/($CH44-$CG44),0)</f>
        <v>10765.877318116976</v>
      </c>
      <c r="AE44" s="286">
        <f>IF(YEAR($AC$3)=YEAR($CH44),($CH44-$W$3)*AM44/($CH44-$CG44),0)</f>
        <v>10765.877318116976</v>
      </c>
      <c r="AF44" s="286">
        <f>IF(YEAR($AC$3)=YEAR($CH44),($CH44-$W$3)*AP44/($CH44-$CG44),0)</f>
        <v>0</v>
      </c>
      <c r="AG44" s="286">
        <f>IF(YEAR($AC$3)=YEAR($CH44),($CH44-$W$3)*AQ44/($CH44-$CG44),0)</f>
        <v>0</v>
      </c>
      <c r="AH44" s="85">
        <f>IF(YEAR($AC$3)=YEAR($CH44),($CH44-$W$3)*AS44/($CH44-$CG44),0)</f>
        <v>122013.11697574893</v>
      </c>
      <c r="AI44" s="766">
        <f>SUM('3 pr-2'!L45)</f>
        <v>300373</v>
      </c>
      <c r="AJ44" s="1082"/>
      <c r="AK44" s="282">
        <f>SUM('3 pr-2'!O45)</f>
        <v>22528</v>
      </c>
      <c r="AL44" s="503"/>
      <c r="AM44" s="282">
        <f>SUM('3 pr-2'!R45)</f>
        <v>22528</v>
      </c>
      <c r="AN44" s="503"/>
      <c r="AO44" s="282">
        <f>SUM('3 pr-2'!U45)</f>
        <v>0</v>
      </c>
      <c r="AP44" s="282"/>
      <c r="AQ44" s="282">
        <f>SUM('3 pr-2'!X45)</f>
        <v>0</v>
      </c>
      <c r="AR44" s="282"/>
      <c r="AS44" s="13">
        <f>SUM('3 pr-2'!AA45)</f>
        <v>255317</v>
      </c>
      <c r="AT44" s="1083"/>
      <c r="AU44" s="1066">
        <v>0</v>
      </c>
      <c r="AV44" s="24">
        <v>0</v>
      </c>
      <c r="AW44" s="24">
        <v>0</v>
      </c>
      <c r="AX44" s="282"/>
      <c r="AY44" s="282"/>
      <c r="AZ44" s="282"/>
      <c r="BA44" s="282"/>
      <c r="BB44" s="24"/>
      <c r="BC44" s="24"/>
      <c r="BD44" s="282"/>
      <c r="BE44" s="282"/>
      <c r="BF44" s="282"/>
      <c r="BG44" s="282"/>
      <c r="BH44" s="24"/>
      <c r="BI44" s="24"/>
      <c r="BJ44" s="282"/>
      <c r="BK44" s="282"/>
      <c r="BL44" s="282"/>
      <c r="BM44" s="282"/>
      <c r="BN44" s="24"/>
      <c r="BO44" s="24"/>
      <c r="BP44" s="282"/>
      <c r="BQ44" s="282"/>
      <c r="BR44" s="282"/>
      <c r="BS44" s="282"/>
      <c r="BT44" s="24"/>
      <c r="BU44" s="24"/>
      <c r="BV44" s="282"/>
      <c r="BW44" s="282"/>
      <c r="BX44" s="282"/>
      <c r="BY44" s="282"/>
      <c r="BZ44" s="24"/>
      <c r="CA44" s="24"/>
      <c r="CB44" s="282"/>
      <c r="CC44" s="282"/>
      <c r="CD44" s="282"/>
      <c r="CE44" s="282"/>
      <c r="CF44" s="359">
        <v>100</v>
      </c>
      <c r="CG44" s="1068">
        <f>SUM('3 pr-2'!AI45)</f>
        <v>43464</v>
      </c>
      <c r="CH44" s="1068">
        <f>SUM('3 pr-2'!AK45)</f>
        <v>44165</v>
      </c>
      <c r="CI44" s="68">
        <f>SUM(V44+AB44+AH44)</f>
        <v>255317</v>
      </c>
      <c r="CJ44" s="68">
        <f t="shared" ref="CJ44" si="126">SUM(CI44-AS44)</f>
        <v>0</v>
      </c>
    </row>
    <row r="45" spans="1:99" ht="42" customHeight="1" thickBot="1" x14ac:dyDescent="0.3">
      <c r="A45" s="278" t="str">
        <f>CONCATENATE('3 pr-2'!A46)</f>
        <v>1.1.1.4</v>
      </c>
      <c r="B45" s="118" t="str">
        <f>CONCATENATE('3 pr-2'!B46)</f>
        <v xml:space="preserve">Priemonė:
Alytaus, Druskininkų ir Lazdijų miestų kompleksinė plėtra
</v>
      </c>
      <c r="C45" s="1089">
        <f>SUM(C46:C48)</f>
        <v>0</v>
      </c>
      <c r="D45" s="1089">
        <f>SUM(D46:D48)</f>
        <v>0</v>
      </c>
      <c r="E45" s="1089">
        <f>SUM(E46:E48)</f>
        <v>0</v>
      </c>
      <c r="F45" s="1089">
        <f t="shared" ref="F45:I45" si="127">SUM(F46:F48)</f>
        <v>0</v>
      </c>
      <c r="G45" s="1089">
        <f t="shared" si="127"/>
        <v>0</v>
      </c>
      <c r="H45" s="1089">
        <f t="shared" si="127"/>
        <v>0</v>
      </c>
      <c r="I45" s="1089">
        <f t="shared" si="127"/>
        <v>0</v>
      </c>
      <c r="J45" s="1089">
        <f t="shared" ref="J45:Q45" si="128">SUM(J46:J48)</f>
        <v>0</v>
      </c>
      <c r="K45" s="1089">
        <f t="shared" si="128"/>
        <v>1263963.08</v>
      </c>
      <c r="L45" s="1090">
        <f t="shared" si="128"/>
        <v>68638.62000000001</v>
      </c>
      <c r="M45" s="1090">
        <f t="shared" si="128"/>
        <v>96918.01</v>
      </c>
      <c r="N45" s="1090">
        <f t="shared" si="128"/>
        <v>0</v>
      </c>
      <c r="O45" s="1090">
        <f t="shared" si="128"/>
        <v>0</v>
      </c>
      <c r="P45" s="1089">
        <f t="shared" si="128"/>
        <v>1098406.45</v>
      </c>
      <c r="Q45" s="1089">
        <f t="shared" si="128"/>
        <v>848060.48999999976</v>
      </c>
      <c r="R45" s="1090"/>
      <c r="S45" s="1090"/>
      <c r="T45" s="1090"/>
      <c r="U45" s="1090"/>
      <c r="V45" s="1089">
        <f>SUM(V46:V48)</f>
        <v>576751.12000000011</v>
      </c>
      <c r="W45" s="1089">
        <f>SUM(W46:W48)</f>
        <v>0</v>
      </c>
      <c r="X45" s="1090"/>
      <c r="Y45" s="1090"/>
      <c r="Z45" s="1090"/>
      <c r="AA45" s="1090"/>
      <c r="AB45" s="1089">
        <f>SUM(AB46:AB48)</f>
        <v>0</v>
      </c>
      <c r="AC45" s="1089">
        <f>SUM(AC46:AC48)</f>
        <v>0</v>
      </c>
      <c r="AD45" s="1090"/>
      <c r="AE45" s="1090"/>
      <c r="AF45" s="1090"/>
      <c r="AG45" s="1090"/>
      <c r="AH45" s="1089">
        <f>SUM(AH46:AH48)</f>
        <v>0</v>
      </c>
      <c r="AI45" s="1091">
        <f>SUM(AI46:AI48)</f>
        <v>2112023.5699999998</v>
      </c>
      <c r="AJ45" s="1089"/>
      <c r="AK45" s="1089"/>
      <c r="AL45" s="1089"/>
      <c r="AM45" s="1089"/>
      <c r="AN45" s="1089"/>
      <c r="AO45" s="1089"/>
      <c r="AP45" s="1089"/>
      <c r="AQ45" s="1089"/>
      <c r="AR45" s="1089"/>
      <c r="AS45" s="1089">
        <f>SUM(AS46:AS48)</f>
        <v>1675157.5699999998</v>
      </c>
      <c r="AT45" s="1089"/>
      <c r="AU45" s="1066">
        <v>0</v>
      </c>
      <c r="AV45" s="24">
        <v>0</v>
      </c>
      <c r="AW45" s="24">
        <v>25.000000122557147</v>
      </c>
      <c r="AX45" s="1089">
        <v>25.000000122557147</v>
      </c>
      <c r="AY45" s="1089">
        <v>25.000000122557147</v>
      </c>
      <c r="AZ45" s="1089">
        <v>25.000000122557147</v>
      </c>
      <c r="BA45" s="1089">
        <v>25.000000122557147</v>
      </c>
      <c r="BB45" s="24">
        <v>25</v>
      </c>
      <c r="BC45" s="24">
        <v>25.000000122557147</v>
      </c>
      <c r="BD45" s="1089">
        <v>25.000000122557147</v>
      </c>
      <c r="BE45" s="1089">
        <v>25.000000122557147</v>
      </c>
      <c r="BF45" s="1089">
        <v>25.000000122557147</v>
      </c>
      <c r="BG45" s="1089">
        <v>25.000000122557147</v>
      </c>
      <c r="BH45" s="24">
        <v>25</v>
      </c>
      <c r="BI45" s="24">
        <v>25.000000122557147</v>
      </c>
      <c r="BJ45" s="1089">
        <v>25.000000122557147</v>
      </c>
      <c r="BK45" s="1089">
        <v>25.000000122557147</v>
      </c>
      <c r="BL45" s="1089">
        <v>25.000000122557147</v>
      </c>
      <c r="BM45" s="1089">
        <v>25.000000122557147</v>
      </c>
      <c r="BN45" s="24">
        <v>25</v>
      </c>
      <c r="BO45" s="24">
        <v>25.000000122557147</v>
      </c>
      <c r="BP45" s="1089">
        <v>25.000000122557147</v>
      </c>
      <c r="BQ45" s="1089">
        <v>25.000000122557147</v>
      </c>
      <c r="BR45" s="1089">
        <v>25.000000122557147</v>
      </c>
      <c r="BS45" s="1089">
        <v>25.000000122557147</v>
      </c>
      <c r="BT45" s="24">
        <v>25</v>
      </c>
      <c r="BU45" s="24">
        <v>0</v>
      </c>
      <c r="BV45" s="1089">
        <v>0</v>
      </c>
      <c r="BW45" s="1089">
        <v>0</v>
      </c>
      <c r="BX45" s="1089">
        <v>0</v>
      </c>
      <c r="BY45" s="1089">
        <v>0</v>
      </c>
      <c r="BZ45" s="24">
        <v>0</v>
      </c>
      <c r="CA45" s="24">
        <v>100</v>
      </c>
      <c r="CB45" s="1089">
        <v>100</v>
      </c>
      <c r="CC45" s="1089">
        <v>100</v>
      </c>
      <c r="CD45" s="1089">
        <v>100</v>
      </c>
      <c r="CE45" s="1089">
        <v>100</v>
      </c>
      <c r="CF45" s="359">
        <v>100</v>
      </c>
      <c r="CG45" s="23"/>
      <c r="CH45" s="23"/>
    </row>
    <row r="46" spans="1:99" s="126" customFormat="1" ht="37.5" thickTop="1" thickBot="1" x14ac:dyDescent="0.3">
      <c r="A46" s="121" t="str">
        <f>CONCATENATE('3 pr-2'!A47:J47)</f>
        <v>1.1.1.4.1</v>
      </c>
      <c r="B46" s="120" t="str">
        <f>CONCATENATE('3 pr-2'!D47)</f>
        <v>Buvusios pramoninės teritorijos Pramonės g. 1 Alytuje, pritaikymas verslo vystymui ir plėtrai.</v>
      </c>
      <c r="C46" s="85">
        <v>0</v>
      </c>
      <c r="D46" s="85">
        <v>0</v>
      </c>
      <c r="E46" s="85">
        <v>0</v>
      </c>
      <c r="F46" s="282">
        <v>0</v>
      </c>
      <c r="G46" s="282">
        <v>0</v>
      </c>
      <c r="H46" s="282">
        <v>0</v>
      </c>
      <c r="I46" s="282">
        <v>0</v>
      </c>
      <c r="J46" s="85">
        <v>0</v>
      </c>
      <c r="K46" s="75">
        <f>SUM(P46+M46+L46)</f>
        <v>1252365.01</v>
      </c>
      <c r="L46" s="286">
        <f>SUM('ketv. 7 '!R45)</f>
        <v>67751.570000000007</v>
      </c>
      <c r="M46" s="286">
        <f>SUM('ketv. 7 '!W45)</f>
        <v>96049.55</v>
      </c>
      <c r="N46" s="286">
        <f>IF(YEAR($CG$39)=2016,($BC$4-$AW$4)*AO$39/($CH$39-$CG$39),0)</f>
        <v>0</v>
      </c>
      <c r="O46" s="286">
        <f>IF(YEAR($CG$39)=2016,($BC$4-$AW$4)*AQ$39/($CH$39-$CG$39),0)</f>
        <v>0</v>
      </c>
      <c r="P46" s="75">
        <f>SUM('ketv. 7 '!AL45)</f>
        <v>1088563.8899999999</v>
      </c>
      <c r="Q46" s="85">
        <f>SUM(AI46-K46)</f>
        <v>41367.559999999823</v>
      </c>
      <c r="R46" s="286">
        <f>SUM(AK46-L46)</f>
        <v>29278.37999999999</v>
      </c>
      <c r="S46" s="286">
        <f>SUM(AM46-M46)</f>
        <v>980.38999999999942</v>
      </c>
      <c r="T46" s="286">
        <f>SUM(AO46-N46)</f>
        <v>0</v>
      </c>
      <c r="U46" s="286">
        <f>SUM(AQ46-O46)</f>
        <v>0</v>
      </c>
      <c r="V46" s="85">
        <f>SUM(AS46-P46)</f>
        <v>11108.790000000037</v>
      </c>
      <c r="W46" s="85">
        <v>0</v>
      </c>
      <c r="X46" s="286">
        <v>0</v>
      </c>
      <c r="Y46" s="286">
        <v>0</v>
      </c>
      <c r="Z46" s="286">
        <v>0</v>
      </c>
      <c r="AA46" s="286">
        <v>0</v>
      </c>
      <c r="AB46" s="85">
        <v>0</v>
      </c>
      <c r="AC46" s="85">
        <v>0</v>
      </c>
      <c r="AD46" s="286">
        <v>0</v>
      </c>
      <c r="AE46" s="286">
        <v>0</v>
      </c>
      <c r="AF46" s="286">
        <v>0</v>
      </c>
      <c r="AG46" s="286">
        <v>0</v>
      </c>
      <c r="AH46" s="85">
        <v>0</v>
      </c>
      <c r="AI46" s="762">
        <f>SUM('3 pr-2'!L47)</f>
        <v>1293732.5699999998</v>
      </c>
      <c r="AJ46" s="1092"/>
      <c r="AK46" s="282">
        <f>SUM('3 pr-2'!O47)</f>
        <v>97029.95</v>
      </c>
      <c r="AL46" s="503"/>
      <c r="AM46" s="282">
        <f>SUM('3 pr-2'!R47)</f>
        <v>97029.94</v>
      </c>
      <c r="AN46" s="503"/>
      <c r="AO46" s="282">
        <f>SUM('3 pr-2'!U47)</f>
        <v>0</v>
      </c>
      <c r="AP46" s="282"/>
      <c r="AQ46" s="282">
        <f>SUM('3 pr-2'!X47)</f>
        <v>0</v>
      </c>
      <c r="AR46" s="282"/>
      <c r="AS46" s="3">
        <f>SUM('3 pr-2'!AA47)</f>
        <v>1099672.68</v>
      </c>
      <c r="AT46" s="1092"/>
      <c r="AU46" s="1066"/>
      <c r="AV46" s="24"/>
      <c r="AW46" s="24"/>
      <c r="AX46" s="282"/>
      <c r="AY46" s="282"/>
      <c r="AZ46" s="282"/>
      <c r="BA46" s="282"/>
      <c r="BB46" s="24"/>
      <c r="BC46" s="24"/>
      <c r="BD46" s="282"/>
      <c r="BE46" s="282"/>
      <c r="BF46" s="282"/>
      <c r="BG46" s="282"/>
      <c r="BH46" s="24"/>
      <c r="BI46" s="24"/>
      <c r="BJ46" s="282"/>
      <c r="BK46" s="282"/>
      <c r="BL46" s="282"/>
      <c r="BM46" s="282"/>
      <c r="BN46" s="24"/>
      <c r="BO46" s="24"/>
      <c r="BP46" s="282"/>
      <c r="BQ46" s="282"/>
      <c r="BR46" s="282"/>
      <c r="BS46" s="282"/>
      <c r="BT46" s="24"/>
      <c r="BU46" s="24"/>
      <c r="BV46" s="282"/>
      <c r="BW46" s="282"/>
      <c r="BX46" s="282"/>
      <c r="BY46" s="282"/>
      <c r="BZ46" s="24"/>
      <c r="CA46" s="24"/>
      <c r="CB46" s="282"/>
      <c r="CC46" s="282"/>
      <c r="CD46" s="282"/>
      <c r="CE46" s="282"/>
      <c r="CF46" s="359"/>
      <c r="CG46" s="1068">
        <f>SUM('3 pr-2'!AI47)</f>
        <v>42735</v>
      </c>
      <c r="CH46" s="1068">
        <f>SUM('3 pr-2'!AK47)</f>
        <v>43281</v>
      </c>
      <c r="CI46" s="68">
        <f>SUM(P46+V46)</f>
        <v>1099672.68</v>
      </c>
      <c r="CJ46" s="68">
        <f t="shared" ref="CJ46:CJ54" si="129">SUM(CI46-AS46)</f>
        <v>0</v>
      </c>
    </row>
    <row r="47" spans="1:99" s="126" customFormat="1" ht="25.5" thickTop="1" thickBot="1" x14ac:dyDescent="0.3">
      <c r="A47" s="121" t="str">
        <f>CONCATENATE('3 pr-2'!A48:J48)</f>
        <v>1.1.1.4.2</v>
      </c>
      <c r="B47" s="120" t="str">
        <f>CONCATENATE('3 pr-2'!D48)</f>
        <v>Amatų centro „Menų kalvė“ Druskininkuose įkūrimas</v>
      </c>
      <c r="C47" s="71">
        <v>0</v>
      </c>
      <c r="D47" s="71">
        <v>0</v>
      </c>
      <c r="E47" s="85">
        <v>0</v>
      </c>
      <c r="F47" s="282">
        <v>0</v>
      </c>
      <c r="G47" s="282">
        <v>0</v>
      </c>
      <c r="H47" s="282">
        <v>0</v>
      </c>
      <c r="I47" s="282">
        <v>0</v>
      </c>
      <c r="J47" s="85">
        <v>0</v>
      </c>
      <c r="K47" s="75">
        <f>SUM(P47+M47+L47)</f>
        <v>62.480000000000004</v>
      </c>
      <c r="L47" s="286">
        <f>SUM('ketv. 7 '!R46)</f>
        <v>21.88</v>
      </c>
      <c r="M47" s="286">
        <f>SUM('ketv. 7 '!W46)</f>
        <v>3.29</v>
      </c>
      <c r="N47" s="286">
        <f>IF(YEAR($CG$39)=2016,($BC$4-$AW$4)*AO$39/($CH$39-$CG$39),0)</f>
        <v>0</v>
      </c>
      <c r="O47" s="286">
        <f>IF(YEAR($CG$39)=2016,($BC$4-$AW$4)*AQ$39/($CH$39-$CG$39),0)</f>
        <v>0</v>
      </c>
      <c r="P47" s="75">
        <f>SUM('ketv. 7 '!AL46)</f>
        <v>37.31</v>
      </c>
      <c r="Q47" s="85">
        <f t="shared" ref="Q47:S47" si="130">SUM(CL47*($W$2-$Q$2))</f>
        <v>474721.52</v>
      </c>
      <c r="R47" s="286">
        <f t="shared" si="130"/>
        <v>166243.12</v>
      </c>
      <c r="S47" s="286">
        <f t="shared" si="130"/>
        <v>25011.77</v>
      </c>
      <c r="T47" s="286">
        <f t="shared" ref="T47:T48" si="131">SUM(AO47-N47)</f>
        <v>0</v>
      </c>
      <c r="U47" s="286">
        <f t="shared" ref="U47:U48" si="132">SUM(AQ47-O47)</f>
        <v>0</v>
      </c>
      <c r="V47" s="85">
        <f>SUM(CO47*($W$2-$Q$2))</f>
        <v>283466.63</v>
      </c>
      <c r="W47" s="85">
        <f>SUM(CL47*($CH$47-$W$2))+CL47</f>
        <v>0</v>
      </c>
      <c r="X47" s="286">
        <f>SUM(CM47*($CH$47-$W$2))+CM47</f>
        <v>0</v>
      </c>
      <c r="Y47" s="286">
        <f>SUM(CN47*($CH$47-$W$2))+CN47</f>
        <v>0</v>
      </c>
      <c r="Z47" s="286">
        <v>0</v>
      </c>
      <c r="AA47" s="286">
        <v>0</v>
      </c>
      <c r="AB47" s="85">
        <f>SUM(CO47*($CH$47-$W$2))+CO47</f>
        <v>0</v>
      </c>
      <c r="AC47" s="71">
        <v>0</v>
      </c>
      <c r="AD47" s="287">
        <v>0</v>
      </c>
      <c r="AE47" s="287">
        <v>0</v>
      </c>
      <c r="AF47" s="287">
        <v>0</v>
      </c>
      <c r="AG47" s="287">
        <v>0</v>
      </c>
      <c r="AH47" s="85">
        <v>0</v>
      </c>
      <c r="AI47" s="762">
        <f>SUM('3 pr-2'!L48)</f>
        <v>474784</v>
      </c>
      <c r="AJ47" s="1092">
        <f>SUM(AI47-K47)</f>
        <v>474721.52</v>
      </c>
      <c r="AK47" s="282">
        <f>SUM('3 pr-2'!O48)</f>
        <v>166265</v>
      </c>
      <c r="AL47" s="503">
        <f>SUM(AK47-L47)</f>
        <v>166243.12</v>
      </c>
      <c r="AM47" s="282">
        <f>SUM('3 pr-2'!R48)</f>
        <v>25015.06</v>
      </c>
      <c r="AN47" s="503">
        <f>SUM(AM47-M47)</f>
        <v>25011.77</v>
      </c>
      <c r="AO47" s="282">
        <f>SUM('3 pr-2'!U48)</f>
        <v>0</v>
      </c>
      <c r="AP47" s="282"/>
      <c r="AQ47" s="282">
        <f>SUM('3 pr-2'!X48)</f>
        <v>0</v>
      </c>
      <c r="AR47" s="282"/>
      <c r="AS47" s="3">
        <f>SUM('3 pr-2'!AA48)</f>
        <v>283503.94</v>
      </c>
      <c r="AT47" s="1092">
        <f>SUM(AS47-P47)</f>
        <v>283466.63</v>
      </c>
      <c r="AU47" s="1066"/>
      <c r="AV47" s="24"/>
      <c r="AW47" s="24"/>
      <c r="AX47" s="282"/>
      <c r="AY47" s="282"/>
      <c r="AZ47" s="282"/>
      <c r="BA47" s="282"/>
      <c r="BB47" s="24"/>
      <c r="BC47" s="1093"/>
      <c r="BD47" s="282"/>
      <c r="BE47" s="282"/>
      <c r="BF47" s="282"/>
      <c r="BG47" s="282"/>
      <c r="BH47" s="1093"/>
      <c r="BI47" s="1093"/>
      <c r="BJ47" s="282"/>
      <c r="BK47" s="282"/>
      <c r="BL47" s="282"/>
      <c r="BM47" s="282"/>
      <c r="BN47" s="1093"/>
      <c r="BO47" s="1093"/>
      <c r="BP47" s="282"/>
      <c r="BQ47" s="282"/>
      <c r="BR47" s="282"/>
      <c r="BS47" s="282"/>
      <c r="BT47" s="24"/>
      <c r="BU47" s="24"/>
      <c r="BV47" s="282"/>
      <c r="BW47" s="282"/>
      <c r="BX47" s="282"/>
      <c r="BY47" s="282"/>
      <c r="BZ47" s="24"/>
      <c r="CA47" s="24"/>
      <c r="CB47" s="282"/>
      <c r="CC47" s="282"/>
      <c r="CD47" s="282"/>
      <c r="CE47" s="282"/>
      <c r="CF47" s="359"/>
      <c r="CG47" s="1068">
        <f>SUM('3 pr-2'!AI48)</f>
        <v>42675</v>
      </c>
      <c r="CH47" s="1068">
        <f>SUM('3 pr-2'!AK48)</f>
        <v>43465</v>
      </c>
      <c r="CI47" s="68">
        <f>SUM(P47+V47+AB47)</f>
        <v>283503.94</v>
      </c>
      <c r="CJ47" s="68">
        <f t="shared" si="129"/>
        <v>0</v>
      </c>
      <c r="CL47" s="1169">
        <f>SUM(AJ47/($CH$47-$K$3))</f>
        <v>1300.6069041095891</v>
      </c>
      <c r="CM47" s="1169">
        <f>SUM(AL47/($CH$47-$K$3))</f>
        <v>455.46060273972603</v>
      </c>
      <c r="CN47" s="1169">
        <f>SUM(AN47/($CH$47-$K$3))</f>
        <v>68.525397260273976</v>
      </c>
      <c r="CO47" s="1169">
        <f>SUM(AT47/($CH$47-$K$3))</f>
        <v>776.62090410958911</v>
      </c>
    </row>
    <row r="48" spans="1:99" s="126" customFormat="1" ht="25.5" thickTop="1" thickBot="1" x14ac:dyDescent="0.3">
      <c r="A48" s="121" t="str">
        <f>CONCATENATE('3 pr-2'!A49:J49)</f>
        <v>1.1.1.4.3</v>
      </c>
      <c r="B48" s="120" t="str">
        <f>CONCATENATE('3 pr-2'!D49)</f>
        <v>Lazdijų miesto kompleksinė infrastruktūros plėtra, III etapas</v>
      </c>
      <c r="C48" s="71">
        <v>0</v>
      </c>
      <c r="D48" s="71">
        <v>0</v>
      </c>
      <c r="E48" s="85">
        <v>0</v>
      </c>
      <c r="F48" s="282">
        <v>0</v>
      </c>
      <c r="G48" s="282">
        <v>0</v>
      </c>
      <c r="H48" s="282">
        <v>0</v>
      </c>
      <c r="I48" s="282">
        <v>0</v>
      </c>
      <c r="J48" s="85">
        <v>0</v>
      </c>
      <c r="K48" s="75">
        <f>SUM(P48+M48+L48)</f>
        <v>11535.59</v>
      </c>
      <c r="L48" s="286">
        <f>SUM('ketv. 7 '!R47)</f>
        <v>865.17</v>
      </c>
      <c r="M48" s="286">
        <f>SUM('ketv. 7 '!W47)</f>
        <v>865.17</v>
      </c>
      <c r="N48" s="286">
        <f>IF(YEAR($CG$39)=2016,($BC$4-$AW$4)*AO$39/($CH$39-$CG$39),0)</f>
        <v>0</v>
      </c>
      <c r="O48" s="286">
        <f>IF(YEAR($CG$39)=2016,($BC$4-$AW$4)*AQ$39/($CH$39-$CG$39),0)</f>
        <v>0</v>
      </c>
      <c r="P48" s="75">
        <f>SUM('ketv. 7 '!AL47)</f>
        <v>9805.25</v>
      </c>
      <c r="Q48" s="85">
        <f>SUM(AJ48)</f>
        <v>331971.40999999997</v>
      </c>
      <c r="R48" s="286">
        <f>SUM(AL48)</f>
        <v>24897.86</v>
      </c>
      <c r="S48" s="286">
        <f>SUM(AN48)</f>
        <v>24897.850000000002</v>
      </c>
      <c r="T48" s="286">
        <f t="shared" si="131"/>
        <v>0</v>
      </c>
      <c r="U48" s="286">
        <f t="shared" si="132"/>
        <v>0</v>
      </c>
      <c r="V48" s="85">
        <f>SUM(AT48)</f>
        <v>282175.7</v>
      </c>
      <c r="W48" s="85">
        <v>0</v>
      </c>
      <c r="X48" s="286">
        <v>0</v>
      </c>
      <c r="Y48" s="286">
        <v>0</v>
      </c>
      <c r="Z48" s="286">
        <v>0</v>
      </c>
      <c r="AA48" s="286">
        <v>0</v>
      </c>
      <c r="AB48" s="85">
        <v>0</v>
      </c>
      <c r="AC48" s="71">
        <v>0</v>
      </c>
      <c r="AD48" s="287">
        <v>0</v>
      </c>
      <c r="AE48" s="287">
        <v>0</v>
      </c>
      <c r="AF48" s="287">
        <v>0</v>
      </c>
      <c r="AG48" s="287">
        <v>0</v>
      </c>
      <c r="AH48" s="85">
        <v>0</v>
      </c>
      <c r="AI48" s="762">
        <f>SUM('3 pr-2'!L49)</f>
        <v>343507</v>
      </c>
      <c r="AJ48" s="1092">
        <f>SUM(AI48-K48)</f>
        <v>331971.40999999997</v>
      </c>
      <c r="AK48" s="282">
        <f>SUM('3 pr-2'!O49)</f>
        <v>25763.03</v>
      </c>
      <c r="AL48" s="503">
        <f>SUM(AK48-L48)</f>
        <v>24897.86</v>
      </c>
      <c r="AM48" s="282">
        <f>SUM('3 pr-2'!R49)</f>
        <v>25763.02</v>
      </c>
      <c r="AN48" s="503">
        <f>SUM(AM48-M48)</f>
        <v>24897.850000000002</v>
      </c>
      <c r="AO48" s="282">
        <f>SUM('3 pr-2'!U49)</f>
        <v>0</v>
      </c>
      <c r="AP48" s="282"/>
      <c r="AQ48" s="282">
        <f>SUM('3 pr-2'!X49)</f>
        <v>0</v>
      </c>
      <c r="AR48" s="282"/>
      <c r="AS48" s="3">
        <f>SUM('3 pr-2'!AA49)</f>
        <v>291980.95</v>
      </c>
      <c r="AT48" s="1092">
        <f>SUM(AS48-P48)</f>
        <v>282175.7</v>
      </c>
      <c r="AU48" s="1066"/>
      <c r="AV48" s="24"/>
      <c r="AW48" s="1093"/>
      <c r="AX48" s="282"/>
      <c r="AY48" s="282"/>
      <c r="AZ48" s="282"/>
      <c r="BA48" s="282"/>
      <c r="BB48" s="1093"/>
      <c r="BC48" s="1093"/>
      <c r="BD48" s="282"/>
      <c r="BE48" s="282"/>
      <c r="BF48" s="282"/>
      <c r="BG48" s="282"/>
      <c r="BH48" s="1093"/>
      <c r="BI48" s="24"/>
      <c r="BJ48" s="282"/>
      <c r="BK48" s="282"/>
      <c r="BL48" s="282"/>
      <c r="BM48" s="282"/>
      <c r="BN48" s="24"/>
      <c r="BO48" s="24"/>
      <c r="BP48" s="282"/>
      <c r="BQ48" s="282"/>
      <c r="BR48" s="282"/>
      <c r="BS48" s="282"/>
      <c r="BT48" s="24"/>
      <c r="BU48" s="24"/>
      <c r="BV48" s="282"/>
      <c r="BW48" s="282"/>
      <c r="BX48" s="282"/>
      <c r="BY48" s="282"/>
      <c r="BZ48" s="24"/>
      <c r="CA48" s="24"/>
      <c r="CB48" s="282"/>
      <c r="CC48" s="282"/>
      <c r="CD48" s="282"/>
      <c r="CE48" s="282"/>
      <c r="CF48" s="359"/>
      <c r="CG48" s="1068">
        <f>SUM('3 pr-2'!AI49)</f>
        <v>42674</v>
      </c>
      <c r="CH48" s="1068">
        <f>SUM('3 pr-2'!AK49)</f>
        <v>43465</v>
      </c>
      <c r="CI48" s="68">
        <f>SUM(P48+V48+AB48)</f>
        <v>291980.95</v>
      </c>
      <c r="CJ48" s="68">
        <f t="shared" si="129"/>
        <v>0</v>
      </c>
      <c r="CL48" s="1169">
        <f>SUM(AJ48/($CH$48-$Q$2))</f>
        <v>912.00936813186809</v>
      </c>
      <c r="CM48" s="1169">
        <f>SUM(AL48/($CH$48-$Q$2))</f>
        <v>68.400714285714287</v>
      </c>
      <c r="CN48" s="1169">
        <f>SUM(AN48/($CH$48-$Q$2))</f>
        <v>68.400686813186823</v>
      </c>
      <c r="CO48" s="1169">
        <f>SUM(AT48/($CH$48-$Q$2))</f>
        <v>775.20796703296708</v>
      </c>
      <c r="CP48" s="940">
        <f>SUM(K48+Q48+W48+AC48)-K48</f>
        <v>331971.40999999997</v>
      </c>
      <c r="CQ48" s="940">
        <f>SUM(CP48-AJ48)</f>
        <v>0</v>
      </c>
    </row>
    <row r="49" spans="1:98" ht="65.25" thickBot="1" x14ac:dyDescent="0.3">
      <c r="A49" s="278" t="str">
        <f>CONCATENATE('3 pr-2'!A50)</f>
        <v>1.1.1.5</v>
      </c>
      <c r="B49" s="118" t="str">
        <f>CONCATENATE('3 pr-2'!B50)</f>
        <v xml:space="preserve">Priemonė:
Geriamojo vandens tiekimo ir nuotekų tvarkymo sistemų renovavimas ir plėtra, įmonių valdymo tobulinimas </v>
      </c>
      <c r="C49" s="1089">
        <f t="shared" ref="C49:AS49" si="133">SUM(C50:C54)</f>
        <v>0</v>
      </c>
      <c r="D49" s="1089">
        <f t="shared" si="133"/>
        <v>0</v>
      </c>
      <c r="E49" s="1089">
        <f t="shared" si="133"/>
        <v>835238.47455074196</v>
      </c>
      <c r="F49" s="1089">
        <f t="shared" si="133"/>
        <v>0</v>
      </c>
      <c r="G49" s="1089">
        <f t="shared" si="133"/>
        <v>0</v>
      </c>
      <c r="H49" s="1089">
        <f t="shared" si="133"/>
        <v>466522.92455074203</v>
      </c>
      <c r="I49" s="1089">
        <f t="shared" si="133"/>
        <v>0</v>
      </c>
      <c r="J49" s="1089">
        <f t="shared" si="133"/>
        <v>368715.55</v>
      </c>
      <c r="K49" s="1089">
        <f t="shared" si="133"/>
        <v>1269656.6399999999</v>
      </c>
      <c r="L49" s="1090">
        <f t="shared" ref="L49:O49" si="134">SUM(L50:L54)</f>
        <v>0</v>
      </c>
      <c r="M49" s="1090">
        <f t="shared" si="134"/>
        <v>0</v>
      </c>
      <c r="N49" s="1090">
        <f t="shared" si="134"/>
        <v>370917.82</v>
      </c>
      <c r="O49" s="1090">
        <f t="shared" si="134"/>
        <v>0</v>
      </c>
      <c r="P49" s="1089">
        <f t="shared" si="133"/>
        <v>898738.82000000007</v>
      </c>
      <c r="Q49" s="1089">
        <f t="shared" si="133"/>
        <v>4779409.3159166919</v>
      </c>
      <c r="R49" s="1090"/>
      <c r="S49" s="1090"/>
      <c r="T49" s="1090"/>
      <c r="U49" s="1090"/>
      <c r="V49" s="1089">
        <f t="shared" si="133"/>
        <v>2562095.3524298347</v>
      </c>
      <c r="W49" s="1089">
        <f t="shared" si="133"/>
        <v>4504896.5457921484</v>
      </c>
      <c r="X49" s="1090"/>
      <c r="Y49" s="1090"/>
      <c r="Z49" s="1090"/>
      <c r="AA49" s="1090"/>
      <c r="AB49" s="1089">
        <f t="shared" si="133"/>
        <v>2426064.5070173806</v>
      </c>
      <c r="AC49" s="1089">
        <f t="shared" si="133"/>
        <v>4989227.9937404189</v>
      </c>
      <c r="AD49" s="1090"/>
      <c r="AE49" s="1090"/>
      <c r="AF49" s="1090"/>
      <c r="AG49" s="1090"/>
      <c r="AH49" s="1089">
        <f t="shared" si="133"/>
        <v>2664778.340552785</v>
      </c>
      <c r="AI49" s="1091">
        <f t="shared" si="133"/>
        <v>16378428.970000001</v>
      </c>
      <c r="AJ49" s="1089"/>
      <c r="AK49" s="1089"/>
      <c r="AL49" s="1089"/>
      <c r="AM49" s="1089"/>
      <c r="AN49" s="1089"/>
      <c r="AO49" s="1089"/>
      <c r="AP49" s="1089"/>
      <c r="AQ49" s="1089"/>
      <c r="AR49" s="1089"/>
      <c r="AS49" s="1089">
        <f t="shared" si="133"/>
        <v>8920392.5700000003</v>
      </c>
      <c r="AT49" s="1089"/>
      <c r="AU49" s="1066">
        <v>0</v>
      </c>
      <c r="AV49" s="24">
        <v>0</v>
      </c>
      <c r="AW49" s="24">
        <v>0</v>
      </c>
      <c r="AX49" s="1089">
        <v>0</v>
      </c>
      <c r="AY49" s="1089">
        <v>0</v>
      </c>
      <c r="AZ49" s="1089">
        <v>0</v>
      </c>
      <c r="BA49" s="1089">
        <v>0</v>
      </c>
      <c r="BB49" s="24">
        <v>0</v>
      </c>
      <c r="BC49" s="24">
        <v>40</v>
      </c>
      <c r="BD49" s="1089">
        <v>40</v>
      </c>
      <c r="BE49" s="1089">
        <v>40</v>
      </c>
      <c r="BF49" s="1089">
        <v>40</v>
      </c>
      <c r="BG49" s="1089">
        <v>40</v>
      </c>
      <c r="BH49" s="24">
        <v>40</v>
      </c>
      <c r="BI49" s="24">
        <v>40</v>
      </c>
      <c r="BJ49" s="1089">
        <v>40</v>
      </c>
      <c r="BK49" s="1089">
        <v>40</v>
      </c>
      <c r="BL49" s="1089">
        <v>40</v>
      </c>
      <c r="BM49" s="1089">
        <v>40</v>
      </c>
      <c r="BN49" s="24">
        <v>40</v>
      </c>
      <c r="BO49" s="24">
        <v>20</v>
      </c>
      <c r="BP49" s="1089">
        <v>20</v>
      </c>
      <c r="BQ49" s="1089">
        <v>20</v>
      </c>
      <c r="BR49" s="1089">
        <v>20</v>
      </c>
      <c r="BS49" s="1089">
        <v>20</v>
      </c>
      <c r="BT49" s="24">
        <v>20</v>
      </c>
      <c r="BU49" s="24">
        <v>0</v>
      </c>
      <c r="BV49" s="1089">
        <v>0</v>
      </c>
      <c r="BW49" s="1089">
        <v>0</v>
      </c>
      <c r="BX49" s="1089">
        <v>0</v>
      </c>
      <c r="BY49" s="1089">
        <v>0</v>
      </c>
      <c r="BZ49" s="24">
        <v>0</v>
      </c>
      <c r="CA49" s="24">
        <v>100</v>
      </c>
      <c r="CB49" s="1089">
        <v>100</v>
      </c>
      <c r="CC49" s="1089">
        <v>100</v>
      </c>
      <c r="CD49" s="1089">
        <v>100</v>
      </c>
      <c r="CE49" s="1089">
        <v>100</v>
      </c>
      <c r="CF49" s="359">
        <v>100</v>
      </c>
      <c r="CG49" s="1067"/>
      <c r="CH49" s="23"/>
    </row>
    <row r="50" spans="1:98" ht="36.75" thickBot="1" x14ac:dyDescent="0.3">
      <c r="A50" s="58" t="str">
        <f>CONCATENATE('3 pr-2'!A51)</f>
        <v>1.1.1.5.1</v>
      </c>
      <c r="B50" s="58" t="str">
        <f>CONCATENATE('3 pr-2'!D51)</f>
        <v>Geriamojo vandens tiekimo ir nuotekų tvarkymo sistemų renovavimas ir plėtra Varėnos rajone</v>
      </c>
      <c r="C50" s="85">
        <v>0</v>
      </c>
      <c r="D50" s="85">
        <v>0</v>
      </c>
      <c r="E50" s="75">
        <v>0</v>
      </c>
      <c r="F50" s="282">
        <v>0</v>
      </c>
      <c r="G50" s="282">
        <v>0</v>
      </c>
      <c r="H50" s="282">
        <v>0</v>
      </c>
      <c r="I50" s="282">
        <v>0</v>
      </c>
      <c r="J50" s="75">
        <v>0</v>
      </c>
      <c r="K50" s="75">
        <v>302669.49</v>
      </c>
      <c r="L50" s="286">
        <v>0</v>
      </c>
      <c r="M50" s="286">
        <v>0</v>
      </c>
      <c r="N50" s="286">
        <v>140468.96</v>
      </c>
      <c r="O50" s="286">
        <v>0</v>
      </c>
      <c r="P50" s="75">
        <v>162200.53</v>
      </c>
      <c r="Q50" s="85">
        <f>IF(YEAR($CG50)=2017,($Q$3-$K$3)*$AJ50/($CH50-$BC$4),0)</f>
        <v>870250.345504386</v>
      </c>
      <c r="R50" s="282">
        <v>0</v>
      </c>
      <c r="S50" s="282">
        <v>0</v>
      </c>
      <c r="T50" s="282">
        <f>IF(YEAR($CG50)=2017,($Q$3-$K$3)*$AP50/($CH50-$BC$4),0)</f>
        <v>289120.82637061406</v>
      </c>
      <c r="U50" s="282">
        <v>0</v>
      </c>
      <c r="V50" s="75">
        <f>IF(YEAR($CG50)=2017,($Q$3-$K$3)*$AT50/($CH50-$BC$4),0)</f>
        <v>581129.51913377189</v>
      </c>
      <c r="W50" s="75">
        <f>IF(YEAR($CH50)=2020,($W$3-$Q$3)*$AJ50/($CH50-$BC$4),0)</f>
        <v>870250.345504386</v>
      </c>
      <c r="X50" s="286">
        <v>0</v>
      </c>
      <c r="Y50" s="286">
        <v>0</v>
      </c>
      <c r="Z50" s="286">
        <f>IF(YEAR($CH50)=2020,($W$3-$Q$3)*$AP50/($CH50-$BC$4),0)</f>
        <v>289120.82637061406</v>
      </c>
      <c r="AA50" s="286">
        <v>0</v>
      </c>
      <c r="AB50" s="75">
        <f>IF(YEAR($CH50)=2020,($W$3-$Q$3)*$AT50/($CH50-$BC$4),0)</f>
        <v>581129.51913377189</v>
      </c>
      <c r="AC50" s="75">
        <f>IF(YEAR($AC$3)=YEAR($CH50),($CH50-$W$3)*AJ50/($CH50-$K$3),0)</f>
        <v>433933.04899122816</v>
      </c>
      <c r="AD50" s="286">
        <f>IF(YEAR($AC$3)=YEAR($CH$50),($CH$50-$W$3)*AL50/($CH$50-$K$3),0)</f>
        <v>0</v>
      </c>
      <c r="AE50" s="286">
        <f>IF(YEAR($AC$3)=YEAR($CH$50),($CH$50-$W$3)*AN50/($CH$50-$K$3),0)</f>
        <v>0</v>
      </c>
      <c r="AF50" s="286">
        <f>IF(YEAR($AC$3)=YEAR($CH50),($CH50-$W$3)*$AP50/($CH50-$K$3),0)</f>
        <v>144164.35725877192</v>
      </c>
      <c r="AG50" s="286">
        <f>IF(YEAR($AC$3)=YEAR($CH$50),($CH$50-$W$3)*AR50/($CH$50-$K$3),0)</f>
        <v>0</v>
      </c>
      <c r="AH50" s="75">
        <f>IF(YEAR($AC$3)=YEAR($CH50),($CH50-$W$3)*AT50/($CH50-$K$3),0)</f>
        <v>289768.69173245615</v>
      </c>
      <c r="AI50" s="764">
        <f>SUM('3 pr-2'!L51)</f>
        <v>2477103.23</v>
      </c>
      <c r="AJ50" s="1082">
        <f>SUM(AI50-K50)</f>
        <v>2174433.7400000002</v>
      </c>
      <c r="AK50" s="282">
        <f>SUM('3 pr-2'!O51)</f>
        <v>0</v>
      </c>
      <c r="AL50" s="503"/>
      <c r="AM50" s="282">
        <f>SUM('3 pr-2'!R51)</f>
        <v>0</v>
      </c>
      <c r="AN50" s="503"/>
      <c r="AO50" s="282">
        <f>SUM('3 pr-2'!U51)</f>
        <v>862874.97</v>
      </c>
      <c r="AP50" s="503">
        <f>SUM(AO50-N50)</f>
        <v>722406.01</v>
      </c>
      <c r="AQ50" s="282">
        <f>SUM('3 pr-2'!X51)</f>
        <v>0</v>
      </c>
      <c r="AR50" s="282"/>
      <c r="AS50" s="20">
        <f>SUM('3 pr-2'!AA51)</f>
        <v>1614228.26</v>
      </c>
      <c r="AT50" s="1083">
        <f>SUM(AS50-P50)</f>
        <v>1452027.73</v>
      </c>
      <c r="AU50" s="1066"/>
      <c r="AV50" s="24"/>
      <c r="AW50" s="1093"/>
      <c r="AX50" s="282"/>
      <c r="AY50" s="282"/>
      <c r="AZ50" s="282"/>
      <c r="BA50" s="282"/>
      <c r="BB50" s="1093"/>
      <c r="BC50" s="1093"/>
      <c r="BD50" s="282"/>
      <c r="BE50" s="282"/>
      <c r="BF50" s="282"/>
      <c r="BG50" s="282"/>
      <c r="BH50" s="1093"/>
      <c r="BI50" s="1093"/>
      <c r="BJ50" s="282"/>
      <c r="BK50" s="282"/>
      <c r="BL50" s="282"/>
      <c r="BM50" s="282"/>
      <c r="BN50" s="1093"/>
      <c r="BO50" s="1093"/>
      <c r="BP50" s="282"/>
      <c r="BQ50" s="282"/>
      <c r="BR50" s="282"/>
      <c r="BS50" s="282"/>
      <c r="BT50" s="1093"/>
      <c r="BU50" s="24"/>
      <c r="BV50" s="282"/>
      <c r="BW50" s="282"/>
      <c r="BX50" s="282"/>
      <c r="BY50" s="282"/>
      <c r="BZ50" s="24"/>
      <c r="CA50" s="24"/>
      <c r="CB50" s="282"/>
      <c r="CC50" s="282"/>
      <c r="CD50" s="282"/>
      <c r="CE50" s="282"/>
      <c r="CF50" s="359"/>
      <c r="CG50" s="1068">
        <f>SUM('3 pr-2'!AI51)</f>
        <v>42766</v>
      </c>
      <c r="CH50" s="1068">
        <f>SUM('3 pr-2'!AK51)</f>
        <v>44012</v>
      </c>
      <c r="CI50" s="68">
        <f>SUM(J50+P50+V50+AB50+AH50)</f>
        <v>1614228.26</v>
      </c>
      <c r="CJ50" s="68">
        <f t="shared" si="129"/>
        <v>0</v>
      </c>
      <c r="CQ50" s="1069">
        <f t="shared" ref="CQ50:CQ52" si="135">SUM(E50+K50+Q50+W50+AC50)</f>
        <v>2477103.23</v>
      </c>
      <c r="CR50" s="1070">
        <f>SUM(J50+P50+V50+AB50+AH50)</f>
        <v>1614228.26</v>
      </c>
    </row>
    <row r="51" spans="1:98" ht="29.25" customHeight="1" thickBot="1" x14ac:dyDescent="0.3">
      <c r="A51" s="58" t="str">
        <f>CONCATENATE('3 pr-2'!A52)</f>
        <v>1.1.1.5.2.</v>
      </c>
      <c r="B51" s="58" t="str">
        <f>CONCATENATE('3 pr-2'!D52)</f>
        <v>Geriamojo vandens ir nuotekų tvarkymo sistemų renovavimas Alytaus mieste</v>
      </c>
      <c r="C51" s="85">
        <v>0</v>
      </c>
      <c r="D51" s="85">
        <v>0</v>
      </c>
      <c r="E51" s="75">
        <f>SUM(F51:J51)</f>
        <v>835238.47455074196</v>
      </c>
      <c r="F51" s="282">
        <v>0</v>
      </c>
      <c r="G51" s="282">
        <v>0</v>
      </c>
      <c r="H51" s="282">
        <v>466522.92455074203</v>
      </c>
      <c r="I51" s="282">
        <v>0</v>
      </c>
      <c r="J51" s="75">
        <v>368715.55</v>
      </c>
      <c r="K51" s="75">
        <v>369436.50000000006</v>
      </c>
      <c r="L51" s="286">
        <v>0</v>
      </c>
      <c r="M51" s="286">
        <v>0</v>
      </c>
      <c r="N51" s="286"/>
      <c r="O51" s="286">
        <v>0</v>
      </c>
      <c r="P51" s="75">
        <v>369436.50000000006</v>
      </c>
      <c r="Q51" s="85">
        <f>IF(YEAR($CG51)=2017,($BI$4-$BC$4)*$AJ51/($CH51-$BC$4),0)</f>
        <v>1500471.008483086</v>
      </c>
      <c r="R51" s="286">
        <v>0</v>
      </c>
      <c r="S51" s="286">
        <v>0</v>
      </c>
      <c r="T51" s="282">
        <f>IF(YEAR($CG51)=2017,($BI$4-$BC$4)*$AP51/($CH51-$BC$4),0)</f>
        <v>847526.92181641934</v>
      </c>
      <c r="U51" s="286">
        <v>0</v>
      </c>
      <c r="V51" s="75">
        <f>IF(YEAR($CG51)=2017,($BI$4-$BC$4)*$AT51/($CH51-$BC$4),0)</f>
        <v>652944.08666666679</v>
      </c>
      <c r="W51" s="75">
        <f>IF(YEAR($CH51)=2020,($W$3-$Q$3)*$AJ51/($CH51-$BC$4),0)</f>
        <v>1500471.008483086</v>
      </c>
      <c r="X51" s="286">
        <v>0</v>
      </c>
      <c r="Y51" s="286">
        <v>0</v>
      </c>
      <c r="Z51" s="286">
        <f>IF(YEAR($CH51)=2020,($W$3-$Q$3)*$AP51/($CH51-$BC$4),0)</f>
        <v>847526.92181641934</v>
      </c>
      <c r="AA51" s="286">
        <v>0</v>
      </c>
      <c r="AB51" s="75">
        <f>IF(YEAR($CH51)=2020,($W$3-$Q$3)*$AT51/($CH51-$BC$4),0)</f>
        <v>652944.08666666679</v>
      </c>
      <c r="AC51" s="75">
        <f>IF(YEAR($AC$3)=YEAR($CH51),($CH51-$W$3)*AJ51/($CH51-$K$3),0)</f>
        <v>1500471.008483086</v>
      </c>
      <c r="AD51" s="286">
        <f>IF(YEAR($AC$3)=YEAR($CH$50),($CH$50-$W$3)*AL51/($CH$50-$K$3),0)</f>
        <v>0</v>
      </c>
      <c r="AE51" s="286">
        <f>IF(YEAR($AC$3)=YEAR($CH$50),($CH$50-$W$3)*AN51/($CH$50-$K$3),0)</f>
        <v>0</v>
      </c>
      <c r="AF51" s="286">
        <f>IF(YEAR($AC$3)=YEAR($CH51),($CH51-$W$3)*$AP51/($CH51-$K$3),0)</f>
        <v>847526.92181641934</v>
      </c>
      <c r="AG51" s="286">
        <f>IF(YEAR($AC$3)=YEAR($CH$50),($CH$50-$W$3)*AR51/($CH$50-$K$3),0)</f>
        <v>0</v>
      </c>
      <c r="AH51" s="75">
        <f>IF(YEAR($AC$3)=YEAR($CH51),($CH51-$W$3)*AT51/($CH51-$K$3),0)</f>
        <v>652944.08666666679</v>
      </c>
      <c r="AI51" s="764">
        <f>SUM('3 pr-2'!L52)</f>
        <v>5706088</v>
      </c>
      <c r="AJ51" s="1082">
        <f>SUM(AI51-E51-K51)</f>
        <v>4501413.0254492583</v>
      </c>
      <c r="AK51" s="282">
        <f>SUM('3 pr-2'!O52)</f>
        <v>0</v>
      </c>
      <c r="AL51" s="503"/>
      <c r="AM51" s="282">
        <f>SUM('3 pr-2'!R52)</f>
        <v>0</v>
      </c>
      <c r="AN51" s="503"/>
      <c r="AO51" s="282">
        <f>SUM('3 pr-2'!U52)</f>
        <v>3009103.69</v>
      </c>
      <c r="AP51" s="1082">
        <f>SUM(AO51-H51-N51)</f>
        <v>2542580.765449258</v>
      </c>
      <c r="AQ51" s="282">
        <f>SUM('3 pr-2'!X52)</f>
        <v>0</v>
      </c>
      <c r="AR51" s="282"/>
      <c r="AS51" s="20">
        <f>SUM('3 pr-2'!AA52)</f>
        <v>2696984.31</v>
      </c>
      <c r="AT51" s="1083">
        <f>SUM(AS51-J51-P51)</f>
        <v>1958832.2600000002</v>
      </c>
      <c r="AU51" s="1066"/>
      <c r="AV51" s="24"/>
      <c r="AW51" s="24"/>
      <c r="AX51" s="282"/>
      <c r="AY51" s="282"/>
      <c r="AZ51" s="282"/>
      <c r="BA51" s="282"/>
      <c r="BB51" s="24"/>
      <c r="BC51" s="1093"/>
      <c r="BD51" s="282"/>
      <c r="BE51" s="282"/>
      <c r="BF51" s="282"/>
      <c r="BG51" s="282"/>
      <c r="BH51" s="1093"/>
      <c r="BI51" s="1093"/>
      <c r="BJ51" s="282"/>
      <c r="BK51" s="282"/>
      <c r="BL51" s="282"/>
      <c r="BM51" s="282"/>
      <c r="BN51" s="1093"/>
      <c r="BO51" s="24"/>
      <c r="BP51" s="282"/>
      <c r="BQ51" s="282"/>
      <c r="BR51" s="282"/>
      <c r="BS51" s="282"/>
      <c r="BT51" s="24"/>
      <c r="BU51" s="24"/>
      <c r="BV51" s="282"/>
      <c r="BW51" s="282"/>
      <c r="BX51" s="282"/>
      <c r="BY51" s="282"/>
      <c r="BZ51" s="24"/>
      <c r="CA51" s="24"/>
      <c r="CB51" s="282"/>
      <c r="CC51" s="282"/>
      <c r="CD51" s="282"/>
      <c r="CE51" s="282"/>
      <c r="CF51" s="359"/>
      <c r="CG51" s="1068">
        <f>SUM('3 pr-2'!AI52)</f>
        <v>42736</v>
      </c>
      <c r="CH51" s="1068">
        <f>SUM('3 pr-2'!AK52)</f>
        <v>44195</v>
      </c>
      <c r="CI51" s="68">
        <f t="shared" ref="CI51:CI54" si="136">SUM(J51+P51+V51+AB51+AH51)</f>
        <v>2696984.3100000005</v>
      </c>
      <c r="CJ51" s="68">
        <f t="shared" si="129"/>
        <v>4.6566128730773926E-10</v>
      </c>
      <c r="CQ51" s="1069">
        <f t="shared" si="135"/>
        <v>5706088</v>
      </c>
      <c r="CR51" s="1070">
        <f>SUM(J51+P51+V51+AB51+AH51)</f>
        <v>2696984.3100000005</v>
      </c>
    </row>
    <row r="52" spans="1:98" ht="36.75" thickBot="1" x14ac:dyDescent="0.3">
      <c r="A52" s="58" t="str">
        <f>CONCATENATE('3 pr-2'!A53)</f>
        <v>1.1.1.5.3</v>
      </c>
      <c r="B52" s="58" t="str">
        <f>CONCATENATE('3 pr-2'!D53)</f>
        <v>Geriamojo vandens tiekimo ir nuotekų tvarkymo sistemų renovavimas ir plėtra Lazdijų rajono savivaldybėje</v>
      </c>
      <c r="C52" s="85">
        <v>0</v>
      </c>
      <c r="D52" s="85">
        <v>0</v>
      </c>
      <c r="E52" s="75">
        <v>0</v>
      </c>
      <c r="F52" s="282">
        <v>0</v>
      </c>
      <c r="G52" s="282">
        <v>0</v>
      </c>
      <c r="H52" s="282">
        <v>0</v>
      </c>
      <c r="I52" s="282">
        <v>0</v>
      </c>
      <c r="J52" s="75">
        <v>0</v>
      </c>
      <c r="K52" s="75">
        <v>419547</v>
      </c>
      <c r="L52" s="286">
        <v>0</v>
      </c>
      <c r="M52" s="286">
        <v>0</v>
      </c>
      <c r="N52" s="286">
        <v>146096.98000000001</v>
      </c>
      <c r="O52" s="286">
        <v>0</v>
      </c>
      <c r="P52" s="75">
        <v>273450.02</v>
      </c>
      <c r="Q52" s="85">
        <f>IF(YEAR($CG52)=2017,($BI$4-$BC$4)*$AJ52/($CH52-$BC$4),0)</f>
        <v>680450.07344322349</v>
      </c>
      <c r="R52" s="286">
        <v>0</v>
      </c>
      <c r="S52" s="286">
        <v>0</v>
      </c>
      <c r="T52" s="282">
        <f>IF(YEAR($CG52)=2017,($BI$4-$BC$4)*$AP52/($CH52-$BC$4),0)</f>
        <v>331058.18205128209</v>
      </c>
      <c r="U52" s="286">
        <v>0</v>
      </c>
      <c r="V52" s="75">
        <f>IF(YEAR($CG52)=2017,($BI$4-$BC$4)*$AT52/($CH52-$BC$4),0)</f>
        <v>349391.89139194135</v>
      </c>
      <c r="W52" s="75">
        <f>IF(YEAR($CH52)=2019,($CH52-$BI$4)*$AJ52/($CH52-$BC$4),0)</f>
        <v>337428.66655677656</v>
      </c>
      <c r="X52" s="286">
        <v>0</v>
      </c>
      <c r="Y52" s="286">
        <v>0</v>
      </c>
      <c r="Z52" s="286">
        <f>IF(YEAR($CH52)=2019,($CH52-$BI$4)*$AP52/($CH52-$BC$4),0)</f>
        <v>164168.57794871795</v>
      </c>
      <c r="AA52" s="286">
        <v>0</v>
      </c>
      <c r="AB52" s="75">
        <f>IF(YEAR($CH52)=2019,($CH52-$BI$4)*$AT52/($CH52-$BC$4),0)</f>
        <v>173260.08860805861</v>
      </c>
      <c r="AC52" s="75">
        <v>0</v>
      </c>
      <c r="AD52" s="286">
        <v>0</v>
      </c>
      <c r="AE52" s="286">
        <v>0</v>
      </c>
      <c r="AF52" s="286">
        <v>0</v>
      </c>
      <c r="AG52" s="286">
        <v>0</v>
      </c>
      <c r="AH52" s="75">
        <v>0</v>
      </c>
      <c r="AI52" s="764">
        <f>SUM('3 pr-2'!L53)</f>
        <v>1437425.74</v>
      </c>
      <c r="AJ52" s="1082">
        <f>SUM(AI52-E52-K52)</f>
        <v>1017878.74</v>
      </c>
      <c r="AK52" s="282">
        <f>SUM('3 pr-2'!O53)</f>
        <v>0</v>
      </c>
      <c r="AL52" s="503"/>
      <c r="AM52" s="282">
        <f>SUM('3 pr-2'!R53)</f>
        <v>0</v>
      </c>
      <c r="AN52" s="503"/>
      <c r="AO52" s="282">
        <f>SUM('3 pr-2'!U53)</f>
        <v>641323.74</v>
      </c>
      <c r="AP52" s="1082">
        <f>SUM(AO52-H52-N52)</f>
        <v>495226.76</v>
      </c>
      <c r="AQ52" s="282">
        <f>SUM('3 pr-2'!X53)</f>
        <v>0</v>
      </c>
      <c r="AR52" s="282"/>
      <c r="AS52" s="20">
        <f>SUM('3 pr-2'!AA53)</f>
        <v>796102</v>
      </c>
      <c r="AT52" s="1083">
        <f>SUM(AS52-J52-P52)</f>
        <v>522651.98</v>
      </c>
      <c r="AU52" s="1066"/>
      <c r="AV52" s="24"/>
      <c r="AW52" s="1093"/>
      <c r="AX52" s="282"/>
      <c r="AY52" s="282"/>
      <c r="AZ52" s="282"/>
      <c r="BA52" s="282"/>
      <c r="BB52" s="1093"/>
      <c r="BC52" s="1093"/>
      <c r="BD52" s="282"/>
      <c r="BE52" s="282"/>
      <c r="BF52" s="282"/>
      <c r="BG52" s="282"/>
      <c r="BH52" s="1093"/>
      <c r="BI52" s="1093"/>
      <c r="BJ52" s="282"/>
      <c r="BK52" s="282"/>
      <c r="BL52" s="282"/>
      <c r="BM52" s="282"/>
      <c r="BN52" s="1093"/>
      <c r="BO52" s="24"/>
      <c r="BP52" s="282"/>
      <c r="BQ52" s="282"/>
      <c r="BR52" s="282"/>
      <c r="BS52" s="282"/>
      <c r="BT52" s="24"/>
      <c r="BU52" s="24"/>
      <c r="BV52" s="282"/>
      <c r="BW52" s="282"/>
      <c r="BX52" s="282"/>
      <c r="BY52" s="282"/>
      <c r="BZ52" s="24"/>
      <c r="CA52" s="24"/>
      <c r="CB52" s="282"/>
      <c r="CC52" s="282"/>
      <c r="CD52" s="282"/>
      <c r="CE52" s="282"/>
      <c r="CF52" s="359"/>
      <c r="CG52" s="1068">
        <f>SUM('3 pr-2'!AI53)</f>
        <v>42825</v>
      </c>
      <c r="CH52" s="1068">
        <f>SUM('3 pr-2'!AK53)</f>
        <v>43646</v>
      </c>
      <c r="CI52" s="68">
        <f t="shared" si="136"/>
        <v>796102</v>
      </c>
      <c r="CJ52" s="68">
        <f t="shared" si="129"/>
        <v>0</v>
      </c>
      <c r="CQ52" s="1069">
        <f t="shared" si="135"/>
        <v>1437425.74</v>
      </c>
      <c r="CR52" s="1070">
        <f>SUM(J52+P52+V52+AB52+AH52)</f>
        <v>796102</v>
      </c>
    </row>
    <row r="53" spans="1:98" ht="36.75" thickBot="1" x14ac:dyDescent="0.3">
      <c r="A53" s="58" t="str">
        <f>CONCATENATE('3 pr-2'!A54)</f>
        <v>1.1.1.5.4.</v>
      </c>
      <c r="B53" s="58" t="str">
        <f>CONCATENATE('3 pr-2'!D54)</f>
        <v>Vandens tiekimo ir nuotekų šalinimo infrastruktūros renovavimas ir plėtra Druskininkų savivaldybėje</v>
      </c>
      <c r="C53" s="85">
        <v>0</v>
      </c>
      <c r="D53" s="85">
        <v>0</v>
      </c>
      <c r="E53" s="75">
        <v>0</v>
      </c>
      <c r="F53" s="282">
        <v>0</v>
      </c>
      <c r="G53" s="282">
        <v>0</v>
      </c>
      <c r="H53" s="282">
        <v>0</v>
      </c>
      <c r="I53" s="282">
        <v>0</v>
      </c>
      <c r="J53" s="75">
        <v>0</v>
      </c>
      <c r="K53" s="75">
        <v>170787.75</v>
      </c>
      <c r="L53" s="286">
        <v>0</v>
      </c>
      <c r="M53" s="286">
        <v>0</v>
      </c>
      <c r="N53" s="286">
        <v>82263.039999999994</v>
      </c>
      <c r="O53" s="286">
        <v>0</v>
      </c>
      <c r="P53" s="75">
        <v>88524.71</v>
      </c>
      <c r="Q53" s="85">
        <f>SUM(CJ53*CN53)</f>
        <v>1253145.3857240905</v>
      </c>
      <c r="R53" s="286">
        <v>0</v>
      </c>
      <c r="S53" s="286">
        <v>0</v>
      </c>
      <c r="T53" s="282">
        <f>SUM(CO53*CJ53)</f>
        <v>552606.95225806441</v>
      </c>
      <c r="U53" s="286">
        <v>0</v>
      </c>
      <c r="V53" s="75">
        <f>SUM(CJ53*CP53)</f>
        <v>700538.43346602609</v>
      </c>
      <c r="W53" s="75">
        <f>SUM(CK53*CN53)</f>
        <v>1253145.3857240905</v>
      </c>
      <c r="X53" s="286">
        <v>0</v>
      </c>
      <c r="Y53" s="286">
        <v>0</v>
      </c>
      <c r="Z53" s="286">
        <f>SUM(CK53*CO53)</f>
        <v>552606.95225806441</v>
      </c>
      <c r="AA53" s="286">
        <v>0</v>
      </c>
      <c r="AB53" s="75">
        <f>SUM(CK53*CP53)</f>
        <v>700538.43346602609</v>
      </c>
      <c r="AC53" s="75">
        <f>SUM(CN53*(CL53+CM53))</f>
        <v>2509733.4785518185</v>
      </c>
      <c r="AD53" s="286">
        <v>0</v>
      </c>
      <c r="AE53" s="286">
        <v>0</v>
      </c>
      <c r="AF53" s="286">
        <f>SUM(CO53*(CL53+CM53))</f>
        <v>1106732.0554838709</v>
      </c>
      <c r="AG53" s="286">
        <v>0</v>
      </c>
      <c r="AH53" s="75">
        <f>SUM(CP53*(CL53+CM53))</f>
        <v>1403001.4230679478</v>
      </c>
      <c r="AI53" s="764">
        <f>SUM('3 pr-2'!L54)</f>
        <v>5186812</v>
      </c>
      <c r="AJ53" s="1082">
        <f>SUM(AI53-E53-K53)</f>
        <v>5016024.25</v>
      </c>
      <c r="AK53" s="282">
        <f>SUM('3 pr-2'!O54)</f>
        <v>0</v>
      </c>
      <c r="AL53" s="503"/>
      <c r="AM53" s="282">
        <f>SUM('3 pr-2'!R54)</f>
        <v>0</v>
      </c>
      <c r="AN53" s="503"/>
      <c r="AO53" s="282">
        <f>SUM('3 pr-2'!U54)</f>
        <v>2294209</v>
      </c>
      <c r="AP53" s="1082">
        <f>SUM(AO53-H53-N53)</f>
        <v>2211945.96</v>
      </c>
      <c r="AQ53" s="282">
        <f>SUM('3 pr-2'!X54)</f>
        <v>0</v>
      </c>
      <c r="AR53" s="282"/>
      <c r="AS53" s="20">
        <f>SUM('3 pr-2'!AA54)</f>
        <v>2892603</v>
      </c>
      <c r="AT53" s="1083">
        <f>SUM(AS53-J53-P53)</f>
        <v>2804078.29</v>
      </c>
      <c r="AU53" s="1066"/>
      <c r="AV53" s="24"/>
      <c r="AW53" s="1093"/>
      <c r="AX53" s="282"/>
      <c r="AY53" s="282"/>
      <c r="AZ53" s="282"/>
      <c r="BA53" s="282"/>
      <c r="BB53" s="1093"/>
      <c r="BC53" s="1093"/>
      <c r="BD53" s="282"/>
      <c r="BE53" s="282"/>
      <c r="BF53" s="282"/>
      <c r="BG53" s="282"/>
      <c r="BH53" s="1093"/>
      <c r="BI53" s="1093"/>
      <c r="BJ53" s="282"/>
      <c r="BK53" s="282"/>
      <c r="BL53" s="282"/>
      <c r="BM53" s="282"/>
      <c r="BN53" s="1093"/>
      <c r="BO53" s="24"/>
      <c r="BP53" s="282"/>
      <c r="BQ53" s="282"/>
      <c r="BR53" s="282"/>
      <c r="BS53" s="282"/>
      <c r="BT53" s="24"/>
      <c r="BU53" s="24"/>
      <c r="BV53" s="282"/>
      <c r="BW53" s="282"/>
      <c r="BX53" s="282"/>
      <c r="BY53" s="282"/>
      <c r="BZ53" s="24"/>
      <c r="CA53" s="24"/>
      <c r="CB53" s="282"/>
      <c r="CC53" s="282"/>
      <c r="CD53" s="282"/>
      <c r="CE53" s="282"/>
      <c r="CF53" s="359"/>
      <c r="CG53" s="1068">
        <f>SUM('3 pr-2'!AI54)</f>
        <v>42824</v>
      </c>
      <c r="CH53" s="1068">
        <f>SUM('3 pr-2'!AK54)</f>
        <v>44440</v>
      </c>
      <c r="CI53" s="68">
        <f t="shared" si="136"/>
        <v>2892603</v>
      </c>
      <c r="CJ53" s="68">
        <f>SUM(Q3-Q2)</f>
        <v>364</v>
      </c>
      <c r="CK53" s="25">
        <f>SUM(W3-W2)</f>
        <v>364</v>
      </c>
      <c r="CL53" s="1094">
        <f>SUM(AC3-AC2)</f>
        <v>365</v>
      </c>
      <c r="CM53" s="25">
        <f>SUM(CS53-CT53)</f>
        <v>364</v>
      </c>
      <c r="CN53" s="25">
        <f>SUM(AJ53/(CJ53+CK53+CL53+CM53))</f>
        <v>3442.7071036376115</v>
      </c>
      <c r="CO53" s="25">
        <f>SUM(AP53/(CJ53+CK53+CL53+CM53))</f>
        <v>1518.1509677419353</v>
      </c>
      <c r="CP53" s="25">
        <f>SUM(AT53/(CJ53+CK53+CL53+CM53))</f>
        <v>1924.5561358956761</v>
      </c>
      <c r="CQ53" s="1069">
        <f t="shared" ref="CQ53:CQ54" si="137">SUM(E53+K53+Q53+W53+AC53)</f>
        <v>5186812</v>
      </c>
      <c r="CR53" s="1070">
        <f>SUM(J53+P53+V53+AB53+AH53)</f>
        <v>2892603</v>
      </c>
      <c r="CS53" s="1095">
        <v>44561</v>
      </c>
      <c r="CT53" s="1095">
        <v>44197</v>
      </c>
    </row>
    <row r="54" spans="1:98" ht="36.75" thickBot="1" x14ac:dyDescent="0.3">
      <c r="A54" s="58" t="str">
        <f>CONCATENATE('3 pr-2'!A55)</f>
        <v>1.1.1.5.5.</v>
      </c>
      <c r="B54" s="58" t="str">
        <f>CONCATENATE('3 pr-2'!D55)</f>
        <v>Vandens tiekimo ir nuotekų tvarkymo infrastruktūros plėtra Alytaus rajone (Krokialaukyje)</v>
      </c>
      <c r="C54" s="85">
        <v>0</v>
      </c>
      <c r="D54" s="85">
        <v>0</v>
      </c>
      <c r="E54" s="75">
        <v>0</v>
      </c>
      <c r="F54" s="282">
        <v>0</v>
      </c>
      <c r="G54" s="282">
        <v>0</v>
      </c>
      <c r="H54" s="282">
        <v>0</v>
      </c>
      <c r="I54" s="282">
        <v>0</v>
      </c>
      <c r="J54" s="75">
        <v>0</v>
      </c>
      <c r="K54" s="75">
        <f>SUM(L54:P54)</f>
        <v>7215.9000000000005</v>
      </c>
      <c r="L54" s="286">
        <f>SUM('ketv. 7 '!Q53)</f>
        <v>0</v>
      </c>
      <c r="M54" s="286">
        <f>SUM('ketv. 7 '!V53)</f>
        <v>0</v>
      </c>
      <c r="N54" s="286">
        <f>SUM('ketv. 7 '!AA53)</f>
        <v>2088.84</v>
      </c>
      <c r="O54" s="286">
        <f>SUM('ketv. 7 '!AF53)</f>
        <v>0</v>
      </c>
      <c r="P54" s="75">
        <f>SUM('ketv. 7 '!AK53)</f>
        <v>5127.0600000000004</v>
      </c>
      <c r="Q54" s="85">
        <f>SUM(($Q$3-$CG$54)*CL54)</f>
        <v>475092.50276190473</v>
      </c>
      <c r="R54" s="286">
        <f>SUM(($Q$3-$CG$54)*CM54)</f>
        <v>0</v>
      </c>
      <c r="S54" s="286">
        <f>SUM(($Q$3-$CG$54)*CN54)</f>
        <v>0</v>
      </c>
      <c r="T54" s="282">
        <f>SUM(($Q$3-$CG$54)*CO54)</f>
        <v>197001.08099047618</v>
      </c>
      <c r="U54" s="286">
        <f>SUM(($Q$3-$CG$54)*CS54)</f>
        <v>0</v>
      </c>
      <c r="V54" s="75">
        <f>SUM(($Q$3-$CG$54)*CP54)</f>
        <v>278091.42177142855</v>
      </c>
      <c r="W54" s="75">
        <f>SUM($W$3-$Q$3)*CL54</f>
        <v>543601.13952380954</v>
      </c>
      <c r="X54" s="286">
        <f>SUM($W$3-$Q$3)*CM54</f>
        <v>0</v>
      </c>
      <c r="Y54" s="286">
        <f>SUM($W$3-$Q$3)*CN54</f>
        <v>0</v>
      </c>
      <c r="Z54" s="286">
        <f>SUM($W$3-$Q$3)*CO54</f>
        <v>225408.76038095239</v>
      </c>
      <c r="AA54" s="286">
        <f>SUM($W$3-$Q$3)*CS54</f>
        <v>0</v>
      </c>
      <c r="AB54" s="75">
        <f>SUM($W$3-$Q$3)*CP54</f>
        <v>318192.37914285716</v>
      </c>
      <c r="AC54" s="75">
        <f>SUM($CH$54-$W$3)*CL54</f>
        <v>545090.4577142857</v>
      </c>
      <c r="AD54" s="286">
        <f>SUM($CH$54-$W$3)*CM54</f>
        <v>0</v>
      </c>
      <c r="AE54" s="286">
        <f>SUM($CH$54-$W$3)*CN54</f>
        <v>0</v>
      </c>
      <c r="AF54" s="286">
        <f>SUM($CH$54-$W$3)*CO54</f>
        <v>226026.31862857143</v>
      </c>
      <c r="AG54" s="286">
        <f>SUM($CH$54-$W$3)*CS54</f>
        <v>0</v>
      </c>
      <c r="AH54" s="75">
        <f>SUM($CH$54-$W$3)*CP54</f>
        <v>319064.1390857143</v>
      </c>
      <c r="AI54" s="764">
        <f>SUM('3 pr-2'!L55)</f>
        <v>1571000</v>
      </c>
      <c r="AJ54" s="1082">
        <f>SUM(AI54-E54-K54)</f>
        <v>1563784.1</v>
      </c>
      <c r="AK54" s="282">
        <f>SUM('3 pr-2'!O55)</f>
        <v>0</v>
      </c>
      <c r="AL54" s="503">
        <f>SUM(AK54-L54)</f>
        <v>0</v>
      </c>
      <c r="AM54" s="282">
        <f>SUM('3 pr-2'!R55)</f>
        <v>0</v>
      </c>
      <c r="AN54" s="503"/>
      <c r="AO54" s="282">
        <f>SUM('3 pr-2'!U55)</f>
        <v>650525</v>
      </c>
      <c r="AP54" s="1082">
        <f>SUM(AO54-H54-N54)</f>
        <v>648436.16</v>
      </c>
      <c r="AQ54" s="282">
        <f>SUM('3 pr-2'!X55)</f>
        <v>0</v>
      </c>
      <c r="AR54" s="282"/>
      <c r="AS54" s="20">
        <f>SUM('3 pr-2'!AA55)</f>
        <v>920475</v>
      </c>
      <c r="AT54" s="1083">
        <f>SUM(AS54-J54-P54)</f>
        <v>915347.94</v>
      </c>
      <c r="AU54" s="1066"/>
      <c r="AV54" s="24"/>
      <c r="AW54" s="1093"/>
      <c r="AX54" s="282"/>
      <c r="AY54" s="282"/>
      <c r="AZ54" s="282"/>
      <c r="BA54" s="282"/>
      <c r="BB54" s="1093"/>
      <c r="BC54" s="1093"/>
      <c r="BD54" s="282"/>
      <c r="BE54" s="282"/>
      <c r="BF54" s="282"/>
      <c r="BG54" s="282"/>
      <c r="BH54" s="1093"/>
      <c r="BI54" s="1093"/>
      <c r="BJ54" s="282"/>
      <c r="BK54" s="282"/>
      <c r="BL54" s="282"/>
      <c r="BM54" s="282"/>
      <c r="BN54" s="1093"/>
      <c r="BO54" s="24"/>
      <c r="BP54" s="282"/>
      <c r="BQ54" s="282"/>
      <c r="BR54" s="282"/>
      <c r="BS54" s="282"/>
      <c r="BT54" s="24"/>
      <c r="BU54" s="24"/>
      <c r="BV54" s="282"/>
      <c r="BW54" s="282"/>
      <c r="BX54" s="282"/>
      <c r="BY54" s="282"/>
      <c r="BZ54" s="24"/>
      <c r="CA54" s="24"/>
      <c r="CB54" s="282"/>
      <c r="CC54" s="282"/>
      <c r="CD54" s="282"/>
      <c r="CE54" s="282"/>
      <c r="CF54" s="359"/>
      <c r="CG54" s="1068">
        <f>SUM('3 pr-2'!AI55)</f>
        <v>43146</v>
      </c>
      <c r="CH54" s="1068">
        <f>SUM('3 pr-2'!AK55)</f>
        <v>44196</v>
      </c>
      <c r="CI54" s="68">
        <f t="shared" si="136"/>
        <v>920475</v>
      </c>
      <c r="CJ54" s="68">
        <f t="shared" si="129"/>
        <v>0</v>
      </c>
      <c r="CL54" s="1169">
        <f>SUM(AJ54/($CH$54-$CG$54))</f>
        <v>1489.3181904761905</v>
      </c>
      <c r="CM54" s="1169">
        <f>SUM(AL54/($CH$54-$CG$54))</f>
        <v>0</v>
      </c>
      <c r="CN54" s="1170">
        <f>SUM(AN54/($CH$54-$CG$54))</f>
        <v>0</v>
      </c>
      <c r="CO54" s="1171">
        <f>SUM(AP54/($CH$54-$CG$54))</f>
        <v>617.55824761904762</v>
      </c>
      <c r="CP54" s="1171">
        <f>SUM(AT54/($CH$54-$CG$54))</f>
        <v>871.75994285714285</v>
      </c>
      <c r="CQ54" s="1069">
        <f t="shared" si="137"/>
        <v>1571000</v>
      </c>
      <c r="CR54" s="1070">
        <f>SUM(J54+P54+V54+AB54+AH54)</f>
        <v>920475</v>
      </c>
    </row>
    <row r="55" spans="1:98" ht="29.25" customHeight="1" thickBot="1" x14ac:dyDescent="0.3">
      <c r="A55" s="278" t="str">
        <f>CONCATENATE('3 pr-2'!A56)</f>
        <v>1.1.1.6</v>
      </c>
      <c r="B55" s="118" t="str">
        <f>CONCATENATE('3 pr-2'!B56)</f>
        <v>Priemonė:
Paviršinių nuotekų sistemų tvarkymas</v>
      </c>
      <c r="C55" s="1089">
        <f t="shared" ref="C55:D55" si="138">SUM(C56:C56)</f>
        <v>0</v>
      </c>
      <c r="D55" s="1089">
        <f t="shared" si="138"/>
        <v>0</v>
      </c>
      <c r="E55" s="1089">
        <f t="shared" ref="E55:AS55" si="139">SUM(E56:E56)</f>
        <v>0</v>
      </c>
      <c r="F55" s="1089"/>
      <c r="G55" s="1089"/>
      <c r="H55" s="1089"/>
      <c r="I55" s="1089"/>
      <c r="J55" s="1089">
        <f t="shared" si="139"/>
        <v>0</v>
      </c>
      <c r="K55" s="1089">
        <f t="shared" si="139"/>
        <v>915098.59000000008</v>
      </c>
      <c r="L55" s="1090">
        <f t="shared" si="139"/>
        <v>0</v>
      </c>
      <c r="M55" s="1090">
        <f t="shared" si="139"/>
        <v>0</v>
      </c>
      <c r="N55" s="1090">
        <f t="shared" si="139"/>
        <v>137264.79</v>
      </c>
      <c r="O55" s="1090">
        <f t="shared" si="139"/>
        <v>0</v>
      </c>
      <c r="P55" s="1089">
        <f t="shared" si="139"/>
        <v>777833.8</v>
      </c>
      <c r="Q55" s="1089">
        <f t="shared" si="139"/>
        <v>1027163.7842153284</v>
      </c>
      <c r="R55" s="1090"/>
      <c r="S55" s="1090"/>
      <c r="T55" s="1090"/>
      <c r="U55" s="1090"/>
      <c r="V55" s="1089">
        <f t="shared" si="139"/>
        <v>873089.21824817511</v>
      </c>
      <c r="W55" s="1089">
        <f t="shared" si="139"/>
        <v>1027163.7842153284</v>
      </c>
      <c r="X55" s="1090"/>
      <c r="Y55" s="1090"/>
      <c r="Z55" s="1090"/>
      <c r="AA55" s="1090"/>
      <c r="AB55" s="1089">
        <f t="shared" si="139"/>
        <v>873089.21824817511</v>
      </c>
      <c r="AC55" s="1089">
        <f t="shared" si="139"/>
        <v>1029977.9315693431</v>
      </c>
      <c r="AD55" s="1090"/>
      <c r="AE55" s="1090"/>
      <c r="AF55" s="1090"/>
      <c r="AG55" s="1090"/>
      <c r="AH55" s="1089">
        <f t="shared" si="139"/>
        <v>875481.2435036496</v>
      </c>
      <c r="AI55" s="1091">
        <f t="shared" si="139"/>
        <v>3999404.09</v>
      </c>
      <c r="AJ55" s="1089"/>
      <c r="AK55" s="1089"/>
      <c r="AL55" s="1089"/>
      <c r="AM55" s="1089"/>
      <c r="AN55" s="1089"/>
      <c r="AO55" s="1089"/>
      <c r="AP55" s="1089"/>
      <c r="AQ55" s="1089"/>
      <c r="AR55" s="1089"/>
      <c r="AS55" s="1089">
        <f t="shared" si="139"/>
        <v>3399493.48</v>
      </c>
      <c r="AT55" s="1089"/>
      <c r="AU55" s="1066">
        <v>0</v>
      </c>
      <c r="AV55" s="24">
        <v>0</v>
      </c>
      <c r="AW55" s="24">
        <v>100</v>
      </c>
      <c r="AX55" s="1089">
        <v>100</v>
      </c>
      <c r="AY55" s="1089">
        <v>100</v>
      </c>
      <c r="AZ55" s="1089">
        <v>100</v>
      </c>
      <c r="BA55" s="1089">
        <v>100</v>
      </c>
      <c r="BB55" s="24">
        <v>100</v>
      </c>
      <c r="BC55" s="24">
        <v>0</v>
      </c>
      <c r="BD55" s="1089">
        <v>0</v>
      </c>
      <c r="BE55" s="1089">
        <v>0</v>
      </c>
      <c r="BF55" s="1089">
        <v>0</v>
      </c>
      <c r="BG55" s="1089">
        <v>0</v>
      </c>
      <c r="BH55" s="24">
        <v>0</v>
      </c>
      <c r="BI55" s="24">
        <v>0</v>
      </c>
      <c r="BJ55" s="1089">
        <v>0</v>
      </c>
      <c r="BK55" s="1089">
        <v>0</v>
      </c>
      <c r="BL55" s="1089">
        <v>0</v>
      </c>
      <c r="BM55" s="1089">
        <v>0</v>
      </c>
      <c r="BN55" s="24">
        <v>0</v>
      </c>
      <c r="BO55" s="24">
        <v>0</v>
      </c>
      <c r="BP55" s="1089">
        <v>0</v>
      </c>
      <c r="BQ55" s="1089">
        <v>0</v>
      </c>
      <c r="BR55" s="1089">
        <v>0</v>
      </c>
      <c r="BS55" s="1089">
        <v>0</v>
      </c>
      <c r="BT55" s="24">
        <v>0</v>
      </c>
      <c r="BU55" s="24">
        <v>0</v>
      </c>
      <c r="BV55" s="1089">
        <v>0</v>
      </c>
      <c r="BW55" s="1089">
        <v>0</v>
      </c>
      <c r="BX55" s="1089">
        <v>0</v>
      </c>
      <c r="BY55" s="1089">
        <v>0</v>
      </c>
      <c r="BZ55" s="24">
        <v>0</v>
      </c>
      <c r="CA55" s="24">
        <v>100</v>
      </c>
      <c r="CB55" s="1089">
        <v>100</v>
      </c>
      <c r="CC55" s="1089">
        <v>100</v>
      </c>
      <c r="CD55" s="1089">
        <v>100</v>
      </c>
      <c r="CE55" s="1089">
        <v>100</v>
      </c>
      <c r="CF55" s="359">
        <v>100</v>
      </c>
      <c r="CG55" s="23"/>
      <c r="CH55" s="23"/>
    </row>
    <row r="56" spans="1:98" s="1096" customFormat="1" ht="29.25" customHeight="1" thickBot="1" x14ac:dyDescent="0.3">
      <c r="A56" s="58" t="str">
        <f>CONCATENATE('3 pr-2'!A57)</f>
        <v>1.1.1.6.1</v>
      </c>
      <c r="B56" s="58" t="str">
        <f>CONCATENATE('3 pr-2'!D57)</f>
        <v>Paviršinių nuotekų sistemų tvarkymas Alytaus mieste</v>
      </c>
      <c r="C56" s="71">
        <f>SUM(AI56*AU56/CA56)</f>
        <v>0</v>
      </c>
      <c r="D56" s="71">
        <f t="shared" ref="D56" si="140">SUM(AS56*AV56/CF56)</f>
        <v>0</v>
      </c>
      <c r="E56" s="71">
        <f>SUM(AI56*AW56/CA56)</f>
        <v>0</v>
      </c>
      <c r="F56" s="282">
        <f t="shared" ref="F56" si="141">SUM(AK56*AX56/CB56)</f>
        <v>0</v>
      </c>
      <c r="G56" s="282">
        <f t="shared" ref="G56" si="142">SUM(AM56*AY56/CC56)</f>
        <v>0</v>
      </c>
      <c r="H56" s="282">
        <f t="shared" ref="H56" si="143">SUM(AO56*AZ56/CD56)</f>
        <v>0</v>
      </c>
      <c r="I56" s="282">
        <f t="shared" ref="I56" si="144">SUM(AQ56*BA56/CE56)</f>
        <v>0</v>
      </c>
      <c r="J56" s="71">
        <f t="shared" ref="J56" si="145">SUM(AS56*BB56/CF56)</f>
        <v>0</v>
      </c>
      <c r="K56" s="75">
        <f>SUM('ketv. 7 '!M55)</f>
        <v>915098.59000000008</v>
      </c>
      <c r="L56" s="286">
        <f t="shared" ref="L56" si="146">SUM(AK56*BD56/CB56)</f>
        <v>0</v>
      </c>
      <c r="M56" s="286">
        <f t="shared" ref="M56" si="147">SUM(AM56*BE56/CC56)</f>
        <v>0</v>
      </c>
      <c r="N56" s="286">
        <f>SUM('ketv. 7 '!AB55)</f>
        <v>137264.79</v>
      </c>
      <c r="O56" s="286">
        <f t="shared" ref="O56" si="148">SUM(AQ56*BG56/CE56)</f>
        <v>0</v>
      </c>
      <c r="P56" s="75">
        <f>SUM('ketv. 7 '!AL55)</f>
        <v>777833.8</v>
      </c>
      <c r="Q56" s="85">
        <f>SUM(CL56*(W2-Q2))</f>
        <v>1027163.7842153284</v>
      </c>
      <c r="R56" s="282">
        <v>0</v>
      </c>
      <c r="S56" s="282">
        <v>0</v>
      </c>
      <c r="T56" s="282">
        <f>SUM(CO56*(W2-Q2))</f>
        <v>154074.56596715326</v>
      </c>
      <c r="U56" s="282">
        <v>0</v>
      </c>
      <c r="V56" s="75">
        <f>SUM(CP56*(W2-Q2))</f>
        <v>873089.21824817511</v>
      </c>
      <c r="W56" s="75">
        <f>SUM(CL56*(AC2-W2))</f>
        <v>1027163.7842153284</v>
      </c>
      <c r="X56" s="282">
        <v>0</v>
      </c>
      <c r="Y56" s="282">
        <v>0</v>
      </c>
      <c r="Z56" s="282">
        <f>SUM(CO56*(AC2-W2))</f>
        <v>154074.56596715326</v>
      </c>
      <c r="AA56" s="282">
        <v>0</v>
      </c>
      <c r="AB56" s="75">
        <f>SUM(CP56*(AC2-W2))</f>
        <v>873089.21824817511</v>
      </c>
      <c r="AC56" s="75">
        <f>SUM(CL56*(CH56-W3))</f>
        <v>1029977.9315693431</v>
      </c>
      <c r="AD56" s="286">
        <v>0</v>
      </c>
      <c r="AE56" s="286">
        <v>0</v>
      </c>
      <c r="AF56" s="286">
        <f>SUM(CO56*(CH56-W3))</f>
        <v>154496.68806569342</v>
      </c>
      <c r="AG56" s="286">
        <v>0</v>
      </c>
      <c r="AH56" s="75">
        <f>SUM(CP56*(CH56-W3))</f>
        <v>875481.2435036496</v>
      </c>
      <c r="AI56" s="765">
        <f>SUM('3 pr-2'!L57)</f>
        <v>3999404.09</v>
      </c>
      <c r="AJ56" s="1082">
        <f>SUM(AI56-E56-K56)</f>
        <v>3084305.5</v>
      </c>
      <c r="AK56" s="282">
        <f>SUM('3 pr-2'!O57)</f>
        <v>0</v>
      </c>
      <c r="AL56" s="503">
        <f>SUM(AK56-L56)</f>
        <v>0</v>
      </c>
      <c r="AM56" s="282">
        <f>SUM('3 pr-2'!R57)</f>
        <v>0</v>
      </c>
      <c r="AN56" s="503"/>
      <c r="AO56" s="282">
        <f>SUM('3 pr-2'!U57)</f>
        <v>599910.61</v>
      </c>
      <c r="AP56" s="1082">
        <f>SUM(AO56-H56-N56)</f>
        <v>462645.81999999995</v>
      </c>
      <c r="AQ56" s="282">
        <f>SUM('3 pr-2'!X57)</f>
        <v>0</v>
      </c>
      <c r="AR56" s="543"/>
      <c r="AS56" s="108">
        <f>SUM('3 pr-2'!AA57)</f>
        <v>3399493.48</v>
      </c>
      <c r="AT56" s="1083">
        <f>SUM(AS56-J56-P56)</f>
        <v>2621659.6799999997</v>
      </c>
      <c r="AU56" s="1066">
        <v>0</v>
      </c>
      <c r="AV56" s="24">
        <v>0</v>
      </c>
      <c r="AW56" s="24">
        <v>0</v>
      </c>
      <c r="AX56" s="283">
        <v>0</v>
      </c>
      <c r="AY56" s="283">
        <v>0</v>
      </c>
      <c r="AZ56" s="283">
        <v>0</v>
      </c>
      <c r="BA56" s="283">
        <v>0</v>
      </c>
      <c r="BB56" s="24">
        <v>0</v>
      </c>
      <c r="BC56" s="1093">
        <v>20</v>
      </c>
      <c r="BD56" s="283">
        <v>20</v>
      </c>
      <c r="BE56" s="283">
        <v>20</v>
      </c>
      <c r="BF56" s="283">
        <v>20</v>
      </c>
      <c r="BG56" s="283">
        <v>20</v>
      </c>
      <c r="BH56" s="1093">
        <v>20</v>
      </c>
      <c r="BI56" s="1093">
        <v>30</v>
      </c>
      <c r="BJ56" s="283">
        <v>30</v>
      </c>
      <c r="BK56" s="283">
        <v>30</v>
      </c>
      <c r="BL56" s="283">
        <v>30</v>
      </c>
      <c r="BM56" s="283">
        <v>30</v>
      </c>
      <c r="BN56" s="1093">
        <v>30</v>
      </c>
      <c r="BO56" s="1093">
        <v>30</v>
      </c>
      <c r="BP56" s="283">
        <v>30</v>
      </c>
      <c r="BQ56" s="283">
        <v>30</v>
      </c>
      <c r="BR56" s="283">
        <v>30</v>
      </c>
      <c r="BS56" s="283">
        <v>30</v>
      </c>
      <c r="BT56" s="1093">
        <v>30</v>
      </c>
      <c r="BU56" s="1093">
        <v>10</v>
      </c>
      <c r="BV56" s="283">
        <v>10</v>
      </c>
      <c r="BW56" s="283">
        <v>10</v>
      </c>
      <c r="BX56" s="283">
        <v>10</v>
      </c>
      <c r="BY56" s="283">
        <v>10</v>
      </c>
      <c r="BZ56" s="1093">
        <v>10</v>
      </c>
      <c r="CA56" s="24">
        <v>100</v>
      </c>
      <c r="CB56" s="283">
        <v>100</v>
      </c>
      <c r="CC56" s="283">
        <v>100</v>
      </c>
      <c r="CD56" s="283">
        <v>100</v>
      </c>
      <c r="CE56" s="283">
        <v>100</v>
      </c>
      <c r="CF56" s="359">
        <v>100</v>
      </c>
      <c r="CG56" s="1068">
        <f>SUM('3 pr-2'!AI57)</f>
        <v>42825</v>
      </c>
      <c r="CH56" s="1068">
        <f>SUM('3 pr-2'!AK57)</f>
        <v>44196</v>
      </c>
      <c r="CI56" s="68">
        <f>SUM(J56+P56+V56+AB56+AH56)</f>
        <v>3399493.48</v>
      </c>
      <c r="CJ56" s="1096">
        <v>0</v>
      </c>
      <c r="CL56" s="1169">
        <f>SUM(AJ56/($CH$56-$K$3))</f>
        <v>2814.1473540145985</v>
      </c>
      <c r="CM56" s="1169">
        <f>SUM(AL56/($CH$56-$K$3))</f>
        <v>0</v>
      </c>
      <c r="CN56" s="1170">
        <f>SUM(AN56/($CH$67-$CG$67))</f>
        <v>0</v>
      </c>
      <c r="CO56" s="1171">
        <f>SUM(AP56/($CH$56-$K$3))</f>
        <v>422.12209854014594</v>
      </c>
      <c r="CP56" s="1171">
        <f>SUM(AT56/($CH$56-$K$3))</f>
        <v>2392.0252554744525</v>
      </c>
      <c r="CQ56" s="1069">
        <f t="shared" ref="CQ56" si="149">SUM(E56+K56+Q56+W56+AC56)</f>
        <v>3999404.09</v>
      </c>
      <c r="CR56" s="1070">
        <f>SUM(J56+P56+V56+AB56+AH56)</f>
        <v>3399493.48</v>
      </c>
    </row>
    <row r="57" spans="1:98" ht="16.5" thickBot="1" x14ac:dyDescent="0.3">
      <c r="A57" s="278" t="str">
        <f>CONCATENATE('3 pr-2'!A58)</f>
        <v>1.1.1.7</v>
      </c>
      <c r="B57" s="118" t="str">
        <f>CONCATENATE('3 pr-2'!D58)</f>
        <v/>
      </c>
      <c r="C57" s="1089">
        <f t="shared" ref="C57:AS57" si="150">SUM(C58:C60)</f>
        <v>0</v>
      </c>
      <c r="D57" s="1089">
        <f t="shared" si="150"/>
        <v>0</v>
      </c>
      <c r="E57" s="1089">
        <f t="shared" si="150"/>
        <v>0</v>
      </c>
      <c r="F57" s="1089"/>
      <c r="G57" s="1089"/>
      <c r="H57" s="1089"/>
      <c r="I57" s="1089"/>
      <c r="J57" s="1089">
        <f t="shared" si="150"/>
        <v>0</v>
      </c>
      <c r="K57" s="1089">
        <f t="shared" si="150"/>
        <v>56149.929999999993</v>
      </c>
      <c r="L57" s="1090">
        <f t="shared" ref="L57:O57" si="151">SUM(L58:L60)</f>
        <v>8422.49</v>
      </c>
      <c r="M57" s="1090">
        <f t="shared" si="151"/>
        <v>0</v>
      </c>
      <c r="N57" s="1090">
        <f t="shared" si="151"/>
        <v>0</v>
      </c>
      <c r="O57" s="1090">
        <f t="shared" si="151"/>
        <v>0</v>
      </c>
      <c r="P57" s="1089">
        <f t="shared" si="150"/>
        <v>47727.439999999995</v>
      </c>
      <c r="Q57" s="1089">
        <f t="shared" si="150"/>
        <v>382788.40683444508</v>
      </c>
      <c r="R57" s="1090"/>
      <c r="S57" s="1090"/>
      <c r="T57" s="1090"/>
      <c r="U57" s="1090"/>
      <c r="V57" s="1089">
        <f t="shared" si="150"/>
        <v>325370.14618556702</v>
      </c>
      <c r="W57" s="1089">
        <f t="shared" si="150"/>
        <v>132664.85842551006</v>
      </c>
      <c r="X57" s="1090"/>
      <c r="Y57" s="1090"/>
      <c r="Z57" s="1090"/>
      <c r="AA57" s="1090"/>
      <c r="AB57" s="1089">
        <f t="shared" si="150"/>
        <v>112765.12978539488</v>
      </c>
      <c r="AC57" s="1089">
        <f t="shared" si="150"/>
        <v>147714.45179886839</v>
      </c>
      <c r="AD57" s="1090"/>
      <c r="AE57" s="1090"/>
      <c r="AF57" s="1090"/>
      <c r="AG57" s="1090"/>
      <c r="AH57" s="1089">
        <f t="shared" si="150"/>
        <v>125557.28402903811</v>
      </c>
      <c r="AI57" s="1091">
        <f t="shared" si="150"/>
        <v>719317.64705882361</v>
      </c>
      <c r="AJ57" s="1089"/>
      <c r="AK57" s="1089"/>
      <c r="AL57" s="1089"/>
      <c r="AM57" s="1089"/>
      <c r="AN57" s="1089"/>
      <c r="AO57" s="1089"/>
      <c r="AP57" s="1089"/>
      <c r="AQ57" s="1089"/>
      <c r="AR57" s="1089"/>
      <c r="AS57" s="1089">
        <f t="shared" si="150"/>
        <v>611420</v>
      </c>
      <c r="AT57" s="1089"/>
      <c r="AU57" s="1066">
        <v>0</v>
      </c>
      <c r="AV57" s="24">
        <v>0</v>
      </c>
      <c r="AW57" s="24"/>
      <c r="AX57" s="1089"/>
      <c r="AY57" s="1089"/>
      <c r="AZ57" s="1089"/>
      <c r="BA57" s="1089"/>
      <c r="BB57" s="24"/>
      <c r="BC57" s="24"/>
      <c r="BD57" s="1089"/>
      <c r="BE57" s="1089"/>
      <c r="BF57" s="1089"/>
      <c r="BG57" s="1089"/>
      <c r="BH57" s="24"/>
      <c r="BI57" s="24"/>
      <c r="BJ57" s="1089"/>
      <c r="BK57" s="1089"/>
      <c r="BL57" s="1089"/>
      <c r="BM57" s="1089"/>
      <c r="BN57" s="24"/>
      <c r="BO57" s="24">
        <v>0</v>
      </c>
      <c r="BP57" s="1089">
        <v>0</v>
      </c>
      <c r="BQ57" s="1089">
        <v>0</v>
      </c>
      <c r="BR57" s="1089">
        <v>0</v>
      </c>
      <c r="BS57" s="1089">
        <v>0</v>
      </c>
      <c r="BT57" s="24">
        <v>0</v>
      </c>
      <c r="BU57" s="24">
        <v>0</v>
      </c>
      <c r="BV57" s="1089">
        <v>0</v>
      </c>
      <c r="BW57" s="1089">
        <v>0</v>
      </c>
      <c r="BX57" s="1089">
        <v>0</v>
      </c>
      <c r="BY57" s="1089">
        <v>0</v>
      </c>
      <c r="BZ57" s="24">
        <v>0</v>
      </c>
      <c r="CA57" s="24">
        <v>100</v>
      </c>
      <c r="CB57" s="1089">
        <v>100</v>
      </c>
      <c r="CC57" s="1089">
        <v>100</v>
      </c>
      <c r="CD57" s="1089">
        <v>100</v>
      </c>
      <c r="CE57" s="1089">
        <v>100</v>
      </c>
      <c r="CF57" s="359">
        <v>100</v>
      </c>
      <c r="CG57" s="23"/>
      <c r="CH57" s="23"/>
      <c r="CR57" s="68">
        <f>SUM(AS56-CR56)</f>
        <v>0</v>
      </c>
    </row>
    <row r="58" spans="1:98" ht="36.75" customHeight="1" thickBot="1" x14ac:dyDescent="0.3">
      <c r="A58" s="58" t="str">
        <f>CONCATENATE('3 pr-2'!A59)</f>
        <v>1.1.1.7.1</v>
      </c>
      <c r="B58" s="58" t="str">
        <f>CONCATENATE('3 pr-2'!D59)</f>
        <v>Alytaus regiono turizmo informacinės infrastruktūros plėtra</v>
      </c>
      <c r="C58" s="85">
        <v>0</v>
      </c>
      <c r="D58" s="85">
        <v>0</v>
      </c>
      <c r="E58" s="85">
        <v>0</v>
      </c>
      <c r="F58" s="282">
        <v>0</v>
      </c>
      <c r="G58" s="282">
        <v>0</v>
      </c>
      <c r="H58" s="282">
        <v>0</v>
      </c>
      <c r="I58" s="282">
        <v>0</v>
      </c>
      <c r="J58" s="85">
        <v>0</v>
      </c>
      <c r="K58" s="75">
        <f>SUM(L58:P58)</f>
        <v>0</v>
      </c>
      <c r="L58" s="286">
        <f>SUM('ketv. 7 '!Q57)</f>
        <v>0</v>
      </c>
      <c r="M58" s="286">
        <f>SUM('ketv. 7 '!V57)</f>
        <v>0</v>
      </c>
      <c r="N58" s="286">
        <f>SUM('ketv. 7 '!AA57)</f>
        <v>0</v>
      </c>
      <c r="O58" s="286">
        <f>SUM('ketv. 7 '!AF57)</f>
        <v>0</v>
      </c>
      <c r="P58" s="75">
        <f>SUM('ketv. 7 '!AK57)</f>
        <v>0</v>
      </c>
      <c r="Q58" s="85">
        <f>IF(YEAR($CG58)=2017,($BI$4-$BC$4)*$AJ58/($CH58-$BC$4),0)</f>
        <v>208223.5294117647</v>
      </c>
      <c r="R58" s="286">
        <f>IF(YEAR($CG58)=2017,($BI$4-$BC$4)*$AL58/($CH58-$BC$4),0)</f>
        <v>31233.52941176471</v>
      </c>
      <c r="S58" s="286">
        <f>IF(YEAR($CG58)=2017,($BI$4-$BC$4)*$AN58/($CH58-$BC$4),0)</f>
        <v>0</v>
      </c>
      <c r="T58" s="282">
        <f>IF(YEAR($CG58)=2017,($BI$4-$BC$4)*$AP58/($CH58-$BC$4),0)</f>
        <v>0</v>
      </c>
      <c r="U58" s="282">
        <f>IF(YEAR($CG58)=2017,($BI$4-$BC$4)*$AR58/($CH58-$BC$4),0)</f>
        <v>0</v>
      </c>
      <c r="V58" s="75">
        <f>IF(YEAR($CG58)=2017,($BI$4-$BC$4)*$AT58/($CH58-$BC$4),0)</f>
        <v>176990</v>
      </c>
      <c r="W58" s="75">
        <f>IF(YEAR($CH58)=2019,($CH58-$BI$4)*$AJ58/($CH58-$BC$4),0)</f>
        <v>0</v>
      </c>
      <c r="X58" s="286">
        <f>IF(YEAR($CH58)=2019,($CH58-$BI$4)*$AL58/($CH58-$BC$4),0)</f>
        <v>0</v>
      </c>
      <c r="Y58" s="286">
        <f>IF(YEAR($CH58)=2019,($CH58-$BI$4)*$AN58/($CH58-$BC$4),0)</f>
        <v>0</v>
      </c>
      <c r="Z58" s="286">
        <f>IF(YEAR($CH58)=2019,($CH58-$BI$4)*$AP58/($CH58-$BC$4),0)</f>
        <v>0</v>
      </c>
      <c r="AA58" s="286">
        <f>IF(YEAR($CH58)=2019,($CH58-$BI$4)*$AR58/($CH58-$BC$4),0)</f>
        <v>0</v>
      </c>
      <c r="AB58" s="75">
        <f>IF(YEAR($CH58)=2019,($CH58-$BI$4)*$AT58/($CH58-$BC$4),0)</f>
        <v>0</v>
      </c>
      <c r="AC58" s="75">
        <v>0</v>
      </c>
      <c r="AD58" s="286">
        <v>0</v>
      </c>
      <c r="AE58" s="286">
        <v>0</v>
      </c>
      <c r="AF58" s="286">
        <v>0</v>
      </c>
      <c r="AG58" s="286">
        <v>0</v>
      </c>
      <c r="AH58" s="75">
        <v>0</v>
      </c>
      <c r="AI58" s="1081">
        <f>SUM('3 pr-2'!L59)</f>
        <v>208223.52941176473</v>
      </c>
      <c r="AJ58" s="1082">
        <f t="shared" ref="AJ58:AJ60" si="152">SUM(AI58-E58-K58)</f>
        <v>208223.52941176473</v>
      </c>
      <c r="AK58" s="282">
        <f>SUM('3 pr-2'!O59)</f>
        <v>31233.529411764706</v>
      </c>
      <c r="AL58" s="503">
        <f t="shared" ref="AL58:AN60" si="153">SUM(AK58-L58)</f>
        <v>31233.529411764706</v>
      </c>
      <c r="AM58" s="282">
        <f>SUM('3 pr-2'!R59)</f>
        <v>0</v>
      </c>
      <c r="AN58" s="503">
        <f t="shared" si="153"/>
        <v>0</v>
      </c>
      <c r="AO58" s="282">
        <f>SUM('3 pr-2'!U59)</f>
        <v>0</v>
      </c>
      <c r="AP58" s="1082">
        <f t="shared" ref="AP58:AP60" si="154">SUM(AO58-H58-N58)</f>
        <v>0</v>
      </c>
      <c r="AQ58" s="282">
        <f>SUM('3 pr-2'!X59)</f>
        <v>0</v>
      </c>
      <c r="AR58" s="282"/>
      <c r="AS58" s="13">
        <f>SUM('3 pr-2'!AA59)</f>
        <v>176990</v>
      </c>
      <c r="AT58" s="1083">
        <f t="shared" ref="AT58:AT60" si="155">SUM(AS58-J58-P58)</f>
        <v>176990</v>
      </c>
      <c r="AU58" s="1066"/>
      <c r="AV58" s="24"/>
      <c r="AW58" s="24"/>
      <c r="AX58" s="282"/>
      <c r="AY58" s="282"/>
      <c r="AZ58" s="282"/>
      <c r="BA58" s="282"/>
      <c r="BB58" s="24"/>
      <c r="BC58" s="24"/>
      <c r="BD58" s="282"/>
      <c r="BE58" s="282"/>
      <c r="BF58" s="282"/>
      <c r="BG58" s="282"/>
      <c r="BH58" s="24"/>
      <c r="BI58" s="24"/>
      <c r="BJ58" s="282"/>
      <c r="BK58" s="282"/>
      <c r="BL58" s="282"/>
      <c r="BM58" s="282"/>
      <c r="BN58" s="24"/>
      <c r="BO58" s="24"/>
      <c r="BP58" s="282"/>
      <c r="BQ58" s="282"/>
      <c r="BR58" s="282"/>
      <c r="BS58" s="282"/>
      <c r="BT58" s="24"/>
      <c r="BU58" s="24"/>
      <c r="BV58" s="282"/>
      <c r="BW58" s="282"/>
      <c r="BX58" s="282"/>
      <c r="BY58" s="282"/>
      <c r="BZ58" s="24"/>
      <c r="CA58" s="24"/>
      <c r="CB58" s="282"/>
      <c r="CC58" s="282"/>
      <c r="CD58" s="282"/>
      <c r="CE58" s="282"/>
      <c r="CF58" s="359"/>
      <c r="CG58" s="1068">
        <f>SUM('3 pr-2'!AI59)</f>
        <v>42855</v>
      </c>
      <c r="CH58" s="1068">
        <f>SUM('3 pr-2'!AK59)</f>
        <v>43465</v>
      </c>
      <c r="CI58" s="68">
        <f t="shared" ref="CI58" si="156">SUM(J58+P58+V58+AB58+AH58)</f>
        <v>176990</v>
      </c>
      <c r="CJ58" s="68">
        <f t="shared" ref="CJ58" si="157">SUM(CI58-AS58)</f>
        <v>0</v>
      </c>
    </row>
    <row r="59" spans="1:98" ht="48.75" thickBot="1" x14ac:dyDescent="0.3">
      <c r="A59" s="58" t="str">
        <f>CONCATENATE('3 pr-2'!A60)</f>
        <v>1.1.1.7.2</v>
      </c>
      <c r="B59" s="58" t="str">
        <f>CONCATENATE('3 pr-2'!D60)</f>
        <v>„Turizmo trasų ir maršrutų informacinės infrastruktūros plėtra  Lazdijų, Varėnos rajonų ir Druskininkų savivaldybėse“</v>
      </c>
      <c r="C59" s="85">
        <v>0</v>
      </c>
      <c r="D59" s="85">
        <v>0</v>
      </c>
      <c r="E59" s="85">
        <v>0</v>
      </c>
      <c r="F59" s="282">
        <v>0</v>
      </c>
      <c r="G59" s="282">
        <v>0</v>
      </c>
      <c r="H59" s="282">
        <v>0</v>
      </c>
      <c r="I59" s="282">
        <v>0</v>
      </c>
      <c r="J59" s="85">
        <v>0</v>
      </c>
      <c r="K59" s="75">
        <f>SUM(L59:P59)</f>
        <v>56149.929999999993</v>
      </c>
      <c r="L59" s="286">
        <f>SUM('ketv. 7 '!Q58)</f>
        <v>8422.49</v>
      </c>
      <c r="M59" s="286">
        <f>SUM('ketv. 7 '!V58)</f>
        <v>0</v>
      </c>
      <c r="N59" s="286">
        <f>SUM('ketv. 7 '!AA58)</f>
        <v>0</v>
      </c>
      <c r="O59" s="286">
        <f>SUM('ketv. 7 '!AF58)</f>
        <v>0</v>
      </c>
      <c r="P59" s="75">
        <f>SUM('ketv. 7 '!AK58)</f>
        <v>47727.439999999995</v>
      </c>
      <c r="Q59" s="85">
        <f>IF(YEAR($CG59)=2017,($BI$4-$BC$4)*$AJ59/($CH59-$BC$4),0)</f>
        <v>174564.87742268041</v>
      </c>
      <c r="R59" s="286">
        <f>IF(YEAR($CG59)=2017,($BI$4-$BC$4)*$AL59/($CH59-$BC$4),0)</f>
        <v>26184.731237113403</v>
      </c>
      <c r="S59" s="286">
        <f>IF(YEAR($CG59)=2017,($BI$4-$BC$4)*$AN59/($CH59-$BC$4),0)</f>
        <v>0</v>
      </c>
      <c r="T59" s="282">
        <f>IF(YEAR($CG59)=2017,($BI$4-$BC$4)*$AP59/($CH59-$BC$4),0)</f>
        <v>0</v>
      </c>
      <c r="U59" s="282">
        <f>IF(YEAR($CG59)=2017,($BI$4-$BC$4)*$AR59/($CH59-$BC$4),0)</f>
        <v>0</v>
      </c>
      <c r="V59" s="75">
        <f>IF(YEAR($CG59)=2017,($BI$4-$BC$4)*$AT59/($CH59-$BC$4),0)</f>
        <v>148380.14618556702</v>
      </c>
      <c r="W59" s="75">
        <f t="shared" ref="W59" si="158">IF(YEAR($CH59)=2019,($CH59-$BI$4)*$AJ59/($CH59-$BC$4),0)</f>
        <v>57391.192577319591</v>
      </c>
      <c r="X59" s="286">
        <f>IF(YEAR($CH59)=2019,($CH59-$BI$4)*$AL59/($CH59-$BC$4),0)</f>
        <v>8608.6787628865986</v>
      </c>
      <c r="Y59" s="286">
        <f>IF(YEAR($CH59)=2019,($CH59-$BI$4)*$AN59/($CH59-$BC$4),0)</f>
        <v>0</v>
      </c>
      <c r="Z59" s="286">
        <f>IF(YEAR($CH59)=2019,($CH59-$BI$4)*$AP59/($CH59-$BC$4),0)</f>
        <v>0</v>
      </c>
      <c r="AA59" s="286">
        <f>IF(YEAR($CH59)=2019,($CH59-$BI$4)*$AR59/($CH59-$BC$4),0)</f>
        <v>0</v>
      </c>
      <c r="AB59" s="75">
        <f>IF(YEAR($CH59)=2019,($CH59-$BI$4)*$AT59/($CH59-$BC$4),0)</f>
        <v>48782.51381443299</v>
      </c>
      <c r="AC59" s="75">
        <v>0</v>
      </c>
      <c r="AD59" s="286">
        <v>0</v>
      </c>
      <c r="AE59" s="286">
        <v>0</v>
      </c>
      <c r="AF59" s="286">
        <v>0</v>
      </c>
      <c r="AG59" s="286">
        <v>0</v>
      </c>
      <c r="AH59" s="75">
        <v>0</v>
      </c>
      <c r="AI59" s="1081">
        <f>SUM('3 pr-2'!L60)</f>
        <v>288106</v>
      </c>
      <c r="AJ59" s="1082">
        <f t="shared" si="152"/>
        <v>231956.07</v>
      </c>
      <c r="AK59" s="282">
        <f>SUM('3 pr-2'!O60)</f>
        <v>43215.9</v>
      </c>
      <c r="AL59" s="503">
        <f t="shared" si="153"/>
        <v>34793.410000000003</v>
      </c>
      <c r="AM59" s="282">
        <f>SUM('3 pr-2'!R60)</f>
        <v>0</v>
      </c>
      <c r="AN59" s="503">
        <f t="shared" si="153"/>
        <v>0</v>
      </c>
      <c r="AO59" s="282">
        <f>SUM('3 pr-2'!U60)</f>
        <v>0</v>
      </c>
      <c r="AP59" s="1082">
        <f t="shared" si="154"/>
        <v>0</v>
      </c>
      <c r="AQ59" s="282">
        <f>SUM('3 pr-2'!X60)</f>
        <v>0</v>
      </c>
      <c r="AR59" s="282"/>
      <c r="AS59" s="13">
        <f>SUM('3 pr-2'!AA60)</f>
        <v>244890.1</v>
      </c>
      <c r="AT59" s="1083">
        <f t="shared" si="155"/>
        <v>197162.66</v>
      </c>
      <c r="AU59" s="1066"/>
      <c r="AV59" s="24"/>
      <c r="AW59" s="24"/>
      <c r="AX59" s="282"/>
      <c r="AY59" s="282"/>
      <c r="AZ59" s="282"/>
      <c r="BA59" s="282"/>
      <c r="BB59" s="24"/>
      <c r="BC59" s="24"/>
      <c r="BD59" s="282"/>
      <c r="BE59" s="282"/>
      <c r="BF59" s="282"/>
      <c r="BG59" s="282"/>
      <c r="BH59" s="24"/>
      <c r="BI59" s="24"/>
      <c r="BJ59" s="282"/>
      <c r="BK59" s="282"/>
      <c r="BL59" s="282"/>
      <c r="BM59" s="282"/>
      <c r="BN59" s="24"/>
      <c r="BO59" s="24"/>
      <c r="BP59" s="282"/>
      <c r="BQ59" s="282"/>
      <c r="BR59" s="282"/>
      <c r="BS59" s="282"/>
      <c r="BT59" s="24"/>
      <c r="BU59" s="24"/>
      <c r="BV59" s="282"/>
      <c r="BW59" s="282"/>
      <c r="BX59" s="282"/>
      <c r="BY59" s="282"/>
      <c r="BZ59" s="24"/>
      <c r="CA59" s="24"/>
      <c r="CB59" s="282"/>
      <c r="CC59" s="282"/>
      <c r="CD59" s="282"/>
      <c r="CE59" s="282"/>
      <c r="CF59" s="359"/>
      <c r="CG59" s="1068">
        <f>SUM('3 pr-2'!AI60)</f>
        <v>42825</v>
      </c>
      <c r="CH59" s="1068">
        <f>SUM('3 pr-2'!AK60)</f>
        <v>43585</v>
      </c>
      <c r="CI59" s="68">
        <f t="shared" ref="CI59:CI60" si="159">SUM(J59+P59+V59+AB59+AH59)</f>
        <v>244890.1</v>
      </c>
      <c r="CJ59" s="68">
        <f t="shared" ref="CJ59:CJ71" si="160">SUM(CI59-AS59)</f>
        <v>0</v>
      </c>
    </row>
    <row r="60" spans="1:98" ht="48.75" thickBot="1" x14ac:dyDescent="0.3">
      <c r="A60" s="58" t="str">
        <f>CONCATENATE('3 pr-2'!A61)</f>
        <v>1.1.1.7.3</v>
      </c>
      <c r="B60" s="58" t="str">
        <f>CONCATENATE('3 pr-2'!D61)</f>
        <v>„Turizmo trasų ir maršrutų informacinės infrastruktūros plėtra  Lazdijų, Varėnos rajonų ir Druskininkų savivaldybėse II etapas“</v>
      </c>
      <c r="C60" s="85">
        <v>0</v>
      </c>
      <c r="D60" s="85">
        <v>0</v>
      </c>
      <c r="E60" s="85">
        <v>0</v>
      </c>
      <c r="F60" s="282">
        <v>0</v>
      </c>
      <c r="G60" s="282">
        <v>0</v>
      </c>
      <c r="H60" s="282">
        <v>0</v>
      </c>
      <c r="I60" s="282">
        <v>0</v>
      </c>
      <c r="J60" s="85">
        <v>0</v>
      </c>
      <c r="K60" s="85">
        <v>0</v>
      </c>
      <c r="L60" s="286">
        <v>0</v>
      </c>
      <c r="M60" s="286">
        <v>0</v>
      </c>
      <c r="N60" s="286">
        <v>0</v>
      </c>
      <c r="O60" s="286">
        <v>0</v>
      </c>
      <c r="P60" s="361">
        <v>0</v>
      </c>
      <c r="Q60" s="361">
        <v>0</v>
      </c>
      <c r="R60" s="286">
        <v>0</v>
      </c>
      <c r="S60" s="286">
        <v>0</v>
      </c>
      <c r="T60" s="286">
        <v>0</v>
      </c>
      <c r="U60" s="286">
        <v>0</v>
      </c>
      <c r="V60" s="361">
        <v>0</v>
      </c>
      <c r="W60" s="75">
        <f>SUM(($AC$2-$CG$60)*CL60)</f>
        <v>75273.66584819046</v>
      </c>
      <c r="X60" s="286">
        <f>SUM(($AC$2-$CG$60)*CM60)</f>
        <v>11291.049877228568</v>
      </c>
      <c r="Y60" s="286">
        <f>IF(YEAR($CH$60)=2020,($W$3-$CG$60)*$AN60/($CH$60-$CG$60),0)</f>
        <v>0</v>
      </c>
      <c r="Z60" s="286">
        <f>IF(YEAR($CH$60)=2020,($W$3-$CG$60)*$AP60/($CH$60-$CG$60),0)</f>
        <v>0</v>
      </c>
      <c r="AA60" s="286">
        <f>IF(YEAR($CH$60)=2020,($W$3-$CG$60)*$AR60/($CH$60-$CG$60),0)</f>
        <v>0</v>
      </c>
      <c r="AB60" s="75">
        <f>SUM(($AC$2-$CG$60)*CP60)</f>
        <v>63982.615970961888</v>
      </c>
      <c r="AC60" s="75">
        <f>SUM(($CH$60-$AC$2)*CL60)</f>
        <v>147714.45179886839</v>
      </c>
      <c r="AD60" s="286">
        <f>SUM(($CH$60-$AC$2)*CM60)</f>
        <v>22157.167769830256</v>
      </c>
      <c r="AE60" s="286">
        <f>IF(YEAR($AC$3)=YEAR($CH60),($CH60-$W$3)*AN60/($CH$60-$CG$60),0)</f>
        <v>0</v>
      </c>
      <c r="AF60" s="286">
        <f>IF(YEAR($AC$3)=YEAR($CH60),($CH60-$W$3)*AP60/($CH$60-$CG$60),0)</f>
        <v>0</v>
      </c>
      <c r="AG60" s="286">
        <f>IF(YEAR($AC$3)=YEAR($CH60),($CH60-$W$3)*AR60/($CH$60-$CG$60),0)</f>
        <v>0</v>
      </c>
      <c r="AH60" s="75">
        <f>SUM(($CH$60-$AC$2)*CP60)</f>
        <v>125557.28402903811</v>
      </c>
      <c r="AI60" s="1081">
        <f>SUM('3 pr-2'!L61)</f>
        <v>222988.11764705885</v>
      </c>
      <c r="AJ60" s="1082">
        <f t="shared" si="152"/>
        <v>222988.11764705885</v>
      </c>
      <c r="AK60" s="282">
        <f>SUM('3 pr-2'!O61)</f>
        <v>33448.217647058824</v>
      </c>
      <c r="AL60" s="503">
        <f t="shared" si="153"/>
        <v>33448.217647058824</v>
      </c>
      <c r="AM60" s="282">
        <f>SUM('3 pr-2'!R61)</f>
        <v>0</v>
      </c>
      <c r="AN60" s="503">
        <f t="shared" si="153"/>
        <v>0</v>
      </c>
      <c r="AO60" s="282">
        <f>SUM('3 pr-2'!U61)</f>
        <v>0</v>
      </c>
      <c r="AP60" s="1082">
        <f t="shared" si="154"/>
        <v>0</v>
      </c>
      <c r="AQ60" s="282">
        <f>SUM('3 pr-2'!X61)</f>
        <v>0</v>
      </c>
      <c r="AR60" s="282"/>
      <c r="AS60" s="13">
        <f>SUM('3 pr-2'!AA61)</f>
        <v>189539.9</v>
      </c>
      <c r="AT60" s="1083">
        <f t="shared" si="155"/>
        <v>189539.9</v>
      </c>
      <c r="AU60" s="1066">
        <v>0</v>
      </c>
      <c r="AV60" s="24">
        <v>0</v>
      </c>
      <c r="AW60" s="24">
        <v>0</v>
      </c>
      <c r="AX60" s="282">
        <v>0</v>
      </c>
      <c r="AY60" s="282">
        <v>0</v>
      </c>
      <c r="AZ60" s="282">
        <v>0</v>
      </c>
      <c r="BA60" s="282">
        <v>0</v>
      </c>
      <c r="BB60" s="24">
        <v>0</v>
      </c>
      <c r="BC60" s="24">
        <v>0</v>
      </c>
      <c r="BD60" s="282">
        <v>0</v>
      </c>
      <c r="BE60" s="282">
        <v>0</v>
      </c>
      <c r="BF60" s="282">
        <v>0</v>
      </c>
      <c r="BG60" s="282">
        <v>0</v>
      </c>
      <c r="BH60" s="24">
        <v>0</v>
      </c>
      <c r="BI60" s="24">
        <v>10</v>
      </c>
      <c r="BJ60" s="282">
        <v>10</v>
      </c>
      <c r="BK60" s="282">
        <v>10</v>
      </c>
      <c r="BL60" s="282">
        <v>10</v>
      </c>
      <c r="BM60" s="282">
        <v>10</v>
      </c>
      <c r="BN60" s="24">
        <v>10</v>
      </c>
      <c r="BO60" s="24">
        <v>60</v>
      </c>
      <c r="BP60" s="282">
        <v>60</v>
      </c>
      <c r="BQ60" s="282">
        <v>60</v>
      </c>
      <c r="BR60" s="282">
        <v>60</v>
      </c>
      <c r="BS60" s="282">
        <v>60</v>
      </c>
      <c r="BT60" s="24">
        <v>60</v>
      </c>
      <c r="BU60" s="24">
        <v>30</v>
      </c>
      <c r="BV60" s="282">
        <v>30</v>
      </c>
      <c r="BW60" s="282">
        <v>30</v>
      </c>
      <c r="BX60" s="282">
        <v>30</v>
      </c>
      <c r="BY60" s="282">
        <v>30</v>
      </c>
      <c r="BZ60" s="24">
        <v>30</v>
      </c>
      <c r="CA60" s="24">
        <v>100</v>
      </c>
      <c r="CB60" s="282">
        <v>100</v>
      </c>
      <c r="CC60" s="282">
        <v>100</v>
      </c>
      <c r="CD60" s="282">
        <v>100</v>
      </c>
      <c r="CE60" s="282">
        <v>100</v>
      </c>
      <c r="CF60" s="359">
        <v>100</v>
      </c>
      <c r="CG60" s="1068">
        <f>SUM('3 pr-2'!AI61)</f>
        <v>43645</v>
      </c>
      <c r="CH60" s="1068">
        <v>44196</v>
      </c>
      <c r="CI60" s="68">
        <f t="shared" si="159"/>
        <v>189539.9</v>
      </c>
      <c r="CJ60" s="68">
        <f t="shared" si="160"/>
        <v>0</v>
      </c>
      <c r="CK60" s="25">
        <f>SUM(CH60-CG60)</f>
        <v>551</v>
      </c>
      <c r="CL60" s="1169">
        <f>SUM(AI60/($CH$60-$CG$60))</f>
        <v>404.69712821607777</v>
      </c>
      <c r="CM60" s="1171">
        <f>SUM(AK60/($CH$60-$CG$60))</f>
        <v>60.704569232411657</v>
      </c>
      <c r="CN60" s="1171">
        <f>SUM(AM60/($CH$60-$CG$60))</f>
        <v>0</v>
      </c>
      <c r="CO60" s="1171">
        <f>SUM(AO60/($CH$60-$CG$60))</f>
        <v>0</v>
      </c>
      <c r="CP60" s="1171">
        <f>SUM(AS60/($CH$60-$CG$60))</f>
        <v>343.99255898366607</v>
      </c>
      <c r="CR60" s="25">
        <f>SUM(CM60*CL60)</f>
        <v>24566.964837951069</v>
      </c>
    </row>
    <row r="61" spans="1:98" ht="39.75" thickBot="1" x14ac:dyDescent="0.3">
      <c r="A61" s="278" t="str">
        <f>CONCATENATE('3 pr-2'!A62)</f>
        <v>1.1.1.8</v>
      </c>
      <c r="B61" s="118" t="str">
        <f>CONCATENATE('3 pr-2'!B62)</f>
        <v>Priemonė:
Modernizuoti savivaldybių kultūros infrastruktūrą</v>
      </c>
      <c r="C61" s="1089">
        <f>SUM(C62:C65)</f>
        <v>0</v>
      </c>
      <c r="D61" s="1089">
        <f>SUM(D62:D65)</f>
        <v>0</v>
      </c>
      <c r="E61" s="1089">
        <f>SUM(E62:E65)</f>
        <v>0</v>
      </c>
      <c r="F61" s="1089">
        <f t="shared" ref="F61:I61" si="161">SUM(F62:F65)</f>
        <v>0</v>
      </c>
      <c r="G61" s="1089">
        <f t="shared" si="161"/>
        <v>0</v>
      </c>
      <c r="H61" s="1089">
        <f t="shared" si="161"/>
        <v>0</v>
      </c>
      <c r="I61" s="1089">
        <f t="shared" si="161"/>
        <v>0</v>
      </c>
      <c r="J61" s="1089">
        <f t="shared" ref="J61:U61" si="162">SUM(J62:J65)</f>
        <v>0</v>
      </c>
      <c r="K61" s="1089">
        <f t="shared" si="162"/>
        <v>284080.76</v>
      </c>
      <c r="L61" s="1090">
        <f t="shared" si="162"/>
        <v>14354.630000000001</v>
      </c>
      <c r="M61" s="1090">
        <f t="shared" si="162"/>
        <v>5651.88</v>
      </c>
      <c r="N61" s="1090">
        <f t="shared" si="162"/>
        <v>0</v>
      </c>
      <c r="O61" s="1090">
        <f t="shared" si="162"/>
        <v>0</v>
      </c>
      <c r="P61" s="1089">
        <f t="shared" si="162"/>
        <v>264074.25</v>
      </c>
      <c r="Q61" s="1089">
        <f t="shared" si="162"/>
        <v>1270009.7496220472</v>
      </c>
      <c r="R61" s="1089">
        <f t="shared" si="162"/>
        <v>318340.94530152372</v>
      </c>
      <c r="S61" s="1089">
        <f t="shared" si="162"/>
        <v>-5651.88</v>
      </c>
      <c r="T61" s="1089">
        <f t="shared" si="162"/>
        <v>0</v>
      </c>
      <c r="U61" s="1089">
        <f t="shared" si="162"/>
        <v>0</v>
      </c>
      <c r="V61" s="1089">
        <f>SUM(V62:V65)</f>
        <v>631313.68407361</v>
      </c>
      <c r="W61" s="1089">
        <f>SUM(W62:W65)</f>
        <v>418745.0003779527</v>
      </c>
      <c r="X61" s="1089">
        <f t="shared" ref="X61:AA61" si="163">SUM(X62:X65)</f>
        <v>115969.23445156266</v>
      </c>
      <c r="Y61" s="1089">
        <f t="shared" si="163"/>
        <v>0</v>
      </c>
      <c r="Z61" s="1089">
        <f t="shared" si="163"/>
        <v>0</v>
      </c>
      <c r="AA61" s="1089">
        <f t="shared" si="163"/>
        <v>0</v>
      </c>
      <c r="AB61" s="1089">
        <f>SUM(AB62:AB65)</f>
        <v>302775.76592639001</v>
      </c>
      <c r="AC61" s="1089">
        <f>SUM(AC62:AC65)</f>
        <v>0</v>
      </c>
      <c r="AD61" s="1089">
        <f t="shared" ref="AD61:AG61" si="164">SUM(AD62:AD65)</f>
        <v>0</v>
      </c>
      <c r="AE61" s="1089">
        <f t="shared" si="164"/>
        <v>0</v>
      </c>
      <c r="AF61" s="1089">
        <f t="shared" si="164"/>
        <v>0</v>
      </c>
      <c r="AG61" s="1089">
        <f t="shared" si="164"/>
        <v>0</v>
      </c>
      <c r="AH61" s="1089">
        <f>SUM(AH62:AH65)</f>
        <v>0</v>
      </c>
      <c r="AI61" s="1091">
        <f>SUM(AI62:AI65)</f>
        <v>1972835.5100000002</v>
      </c>
      <c r="AJ61" s="1089"/>
      <c r="AK61" s="1089">
        <f t="shared" ref="AK61:AQ61" si="165">SUM(AK62:AK65)</f>
        <v>422270.99</v>
      </c>
      <c r="AL61" s="1089"/>
      <c r="AM61" s="1089">
        <f t="shared" si="165"/>
        <v>0</v>
      </c>
      <c r="AN61" s="1089"/>
      <c r="AO61" s="1089">
        <f t="shared" si="165"/>
        <v>0</v>
      </c>
      <c r="AP61" s="1089"/>
      <c r="AQ61" s="1089">
        <f t="shared" si="165"/>
        <v>352400.82</v>
      </c>
      <c r="AR61" s="1089"/>
      <c r="AS61" s="1089">
        <f>SUM(AS62:AS65)</f>
        <v>1198163.7</v>
      </c>
      <c r="AT61" s="1089"/>
      <c r="AU61" s="1071">
        <v>0</v>
      </c>
      <c r="AV61" s="1093">
        <v>0</v>
      </c>
      <c r="AW61" s="1093"/>
      <c r="AX61" s="1089"/>
      <c r="AY61" s="1089"/>
      <c r="AZ61" s="1089"/>
      <c r="BA61" s="1089"/>
      <c r="BB61" s="1093"/>
      <c r="BC61" s="1093"/>
      <c r="BD61" s="1089"/>
      <c r="BE61" s="1089"/>
      <c r="BF61" s="1089"/>
      <c r="BG61" s="1089"/>
      <c r="BH61" s="1093"/>
      <c r="BI61" s="1093"/>
      <c r="BJ61" s="1089"/>
      <c r="BK61" s="1089"/>
      <c r="BL61" s="1089"/>
      <c r="BM61" s="1089"/>
      <c r="BN61" s="1093"/>
      <c r="BO61" s="1093"/>
      <c r="BP61" s="1089"/>
      <c r="BQ61" s="1089"/>
      <c r="BR61" s="1089"/>
      <c r="BS61" s="1089"/>
      <c r="BT61" s="1093"/>
      <c r="BU61" s="1093"/>
      <c r="BV61" s="1089"/>
      <c r="BW61" s="1089"/>
      <c r="BX61" s="1089"/>
      <c r="BY61" s="1089"/>
      <c r="BZ61" s="1093"/>
      <c r="CA61" s="24">
        <v>100</v>
      </c>
      <c r="CB61" s="1089">
        <v>100</v>
      </c>
      <c r="CC61" s="1089">
        <v>100</v>
      </c>
      <c r="CD61" s="1089">
        <v>100</v>
      </c>
      <c r="CE61" s="1089">
        <v>100</v>
      </c>
      <c r="CF61" s="359">
        <v>100</v>
      </c>
      <c r="CG61" s="23"/>
      <c r="CH61" s="23"/>
    </row>
    <row r="62" spans="1:98" ht="24.75" thickBot="1" x14ac:dyDescent="0.3">
      <c r="A62" s="58" t="str">
        <f>CONCATENATE('3 pr-2'!A63)</f>
        <v>1.1.1.8.1</v>
      </c>
      <c r="B62" s="58" t="str">
        <f>CONCATENATE('3 pr-2'!D63)</f>
        <v>Kultūros įstaigų infrastruktūros modernizavimas Varėnos mieste</v>
      </c>
      <c r="C62" s="85">
        <v>0</v>
      </c>
      <c r="D62" s="85">
        <v>0</v>
      </c>
      <c r="E62" s="85">
        <v>0</v>
      </c>
      <c r="F62" s="282">
        <v>0</v>
      </c>
      <c r="G62" s="282">
        <v>0</v>
      </c>
      <c r="H62" s="282">
        <v>0</v>
      </c>
      <c r="I62" s="282">
        <v>0</v>
      </c>
      <c r="J62" s="85">
        <v>0</v>
      </c>
      <c r="K62" s="75">
        <f>SUM('ketv. 7 '!M61)</f>
        <v>171518.59000000003</v>
      </c>
      <c r="L62" s="286">
        <f>SUM('ketv. 7 '!R61)</f>
        <v>12248.45</v>
      </c>
      <c r="M62" s="286">
        <f>SUM('ketv. 7 '!W61)</f>
        <v>0</v>
      </c>
      <c r="N62" s="286">
        <v>0</v>
      </c>
      <c r="O62" s="286">
        <v>0</v>
      </c>
      <c r="P62" s="75">
        <f>SUM('ketv. 7 '!AL61)</f>
        <v>159270.14000000001</v>
      </c>
      <c r="Q62" s="85">
        <f>SUM(($W$2-$Q$2)*CL62)</f>
        <v>136409.25547520659</v>
      </c>
      <c r="R62" s="286">
        <f>SUM(($W$2-Q2)*CM62)</f>
        <v>30626.59194214876</v>
      </c>
      <c r="S62" s="286">
        <f>SUM(($W$2-$Q$2)*CN62)</f>
        <v>0</v>
      </c>
      <c r="T62" s="282">
        <v>0</v>
      </c>
      <c r="U62" s="282">
        <v>0</v>
      </c>
      <c r="V62" s="75">
        <f>SUM(($W$2-Q2)*CP62)</f>
        <v>105782.66353305783</v>
      </c>
      <c r="W62" s="85">
        <f>SUM(($CH$62-W2)*CL62)</f>
        <v>44473.154524793383</v>
      </c>
      <c r="X62" s="286">
        <f>SUM(($CH$62-W2)*CM62)</f>
        <v>9985.1080578512392</v>
      </c>
      <c r="Y62" s="286">
        <f>SUM(($CH$62-$Q$3)*CN62)</f>
        <v>0</v>
      </c>
      <c r="Z62" s="286">
        <v>0</v>
      </c>
      <c r="AA62" s="286">
        <v>0</v>
      </c>
      <c r="AB62" s="85">
        <f>SUM(($CH$62-W2)*CP62)</f>
        <v>34488.046466942142</v>
      </c>
      <c r="AC62" s="85">
        <v>0</v>
      </c>
      <c r="AD62" s="286">
        <v>0</v>
      </c>
      <c r="AE62" s="286">
        <v>0</v>
      </c>
      <c r="AF62" s="286">
        <v>0</v>
      </c>
      <c r="AG62" s="286">
        <v>0</v>
      </c>
      <c r="AH62" s="85">
        <v>0</v>
      </c>
      <c r="AI62" s="766">
        <f>SUM('3 pr-2'!L63)</f>
        <v>352401</v>
      </c>
      <c r="AJ62" s="1082">
        <f>SUM(AI62-E62-K62)</f>
        <v>180882.40999999997</v>
      </c>
      <c r="AK62" s="282">
        <f>SUM('3 pr-2'!O63)</f>
        <v>52860.15</v>
      </c>
      <c r="AL62" s="503">
        <f>SUM(AK62-L62)</f>
        <v>40611.699999999997</v>
      </c>
      <c r="AM62" s="282">
        <f>SUM('3 pr-2'!R63)</f>
        <v>0</v>
      </c>
      <c r="AN62" s="503">
        <f>SUM(AM62-M62)</f>
        <v>0</v>
      </c>
      <c r="AO62" s="282">
        <f>SUM('3 pr-2'!U63)</f>
        <v>0</v>
      </c>
      <c r="AP62" s="1082">
        <f>SUM(AO62-H62-N62)</f>
        <v>0</v>
      </c>
      <c r="AQ62" s="282">
        <f>SUM('3 pr-2'!X63)</f>
        <v>0</v>
      </c>
      <c r="AR62" s="282"/>
      <c r="AS62" s="6">
        <f>SUM('3 pr-2'!AA63)</f>
        <v>299540.84999999998</v>
      </c>
      <c r="AT62" s="1083">
        <f>SUM(AS62-J62-P62)</f>
        <v>140270.70999999996</v>
      </c>
      <c r="AU62" s="1097">
        <f>SUM(J62+P62+V62)</f>
        <v>265052.80353305786</v>
      </c>
      <c r="AV62" s="1073"/>
      <c r="AW62" s="1073"/>
      <c r="AX62" s="282"/>
      <c r="AY62" s="282"/>
      <c r="AZ62" s="282"/>
      <c r="BA62" s="282"/>
      <c r="BB62" s="1073"/>
      <c r="BC62" s="1073"/>
      <c r="BD62" s="282"/>
      <c r="BE62" s="282"/>
      <c r="BF62" s="282"/>
      <c r="BG62" s="282"/>
      <c r="BH62" s="1073"/>
      <c r="BI62" s="1073"/>
      <c r="BJ62" s="282"/>
      <c r="BK62" s="282"/>
      <c r="BL62" s="282"/>
      <c r="BM62" s="282"/>
      <c r="BN62" s="1073"/>
      <c r="BO62" s="1073"/>
      <c r="BP62" s="282"/>
      <c r="BQ62" s="282"/>
      <c r="BR62" s="282"/>
      <c r="BS62" s="282"/>
      <c r="BT62" s="1073"/>
      <c r="BU62" s="1073"/>
      <c r="BV62" s="282"/>
      <c r="BW62" s="282"/>
      <c r="BX62" s="282"/>
      <c r="BY62" s="282"/>
      <c r="BZ62" s="1073"/>
      <c r="CA62" s="24"/>
      <c r="CB62" s="282"/>
      <c r="CC62" s="282"/>
      <c r="CD62" s="282"/>
      <c r="CE62" s="282"/>
      <c r="CF62" s="359"/>
      <c r="CG62" s="1068">
        <f>SUM('3 pr-2'!AI63)</f>
        <v>42855</v>
      </c>
      <c r="CH62" s="1068">
        <f>SUM('3 pr-2'!AK63)</f>
        <v>43585</v>
      </c>
      <c r="CI62" s="68">
        <f>SUM(P62+V62+AB62)</f>
        <v>299540.84999999998</v>
      </c>
      <c r="CJ62" s="68">
        <f t="shared" si="160"/>
        <v>0</v>
      </c>
      <c r="CL62" s="1169">
        <f>SUM(AJ62/484)</f>
        <v>373.72398760330572</v>
      </c>
      <c r="CM62" s="1169">
        <f>SUM(AL62/484)</f>
        <v>83.908471074380159</v>
      </c>
      <c r="CN62" s="1169">
        <f>SUM(AN62/($CH$62-$K$3))</f>
        <v>0</v>
      </c>
      <c r="CO62" s="1169">
        <f>SUM(AN62/($CH$62-$K$3))</f>
        <v>0</v>
      </c>
      <c r="CP62" s="1171">
        <f>SUM(AT62/484)</f>
        <v>289.81551652892557</v>
      </c>
      <c r="CR62" s="25">
        <f>SUM(CJ62/CP62)</f>
        <v>0</v>
      </c>
    </row>
    <row r="63" spans="1:98" ht="40.5" customHeight="1" thickBot="1" x14ac:dyDescent="0.3">
      <c r="A63" s="58" t="str">
        <f>CONCATENATE('3 pr-2'!A64)</f>
        <v>1.1.1.8.2</v>
      </c>
      <c r="B63" s="58" t="str">
        <f>CONCATENATE('3 pr-2'!D64)</f>
        <v>VšĮ Alytaus kultūros ir komunikacijos centro pastato Alytuje, Pramonės g. 1B, rekonstravimas</v>
      </c>
      <c r="C63" s="85">
        <v>0</v>
      </c>
      <c r="D63" s="85">
        <v>0</v>
      </c>
      <c r="E63" s="85">
        <v>0</v>
      </c>
      <c r="F63" s="282">
        <v>0</v>
      </c>
      <c r="G63" s="282">
        <v>0</v>
      </c>
      <c r="H63" s="282">
        <v>0</v>
      </c>
      <c r="I63" s="282">
        <v>0</v>
      </c>
      <c r="J63" s="85">
        <v>0</v>
      </c>
      <c r="K63" s="75">
        <f>SUM('ketv. 7 '!M62)</f>
        <v>92562.17</v>
      </c>
      <c r="L63" s="286">
        <f>SUM('ketv. 7 '!R62)</f>
        <v>2106.1799999999998</v>
      </c>
      <c r="M63" s="286">
        <f>SUM('ketv. 7 '!W62)</f>
        <v>5651.88</v>
      </c>
      <c r="N63" s="286">
        <v>0</v>
      </c>
      <c r="O63" s="286">
        <v>0</v>
      </c>
      <c r="P63" s="75">
        <f>SUM('ketv. 7 '!AL62)</f>
        <v>84804.11</v>
      </c>
      <c r="Q63" s="85">
        <f>IF(YEAR($CG63)=2017,($BI$4-$BC$4)*$AJ63/($CH63-$BC$4),0)</f>
        <v>690701.99</v>
      </c>
      <c r="R63" s="286">
        <f>IF(YEAR($CG63)=2017,($BI$4-$BC$4)*$AL63/($CH63-$BC$4),0)</f>
        <v>129216.15999999999</v>
      </c>
      <c r="S63" s="286">
        <f>IF(YEAR($CG63)=2017,($BI$4-$BC$4)*$AN63/($CH63-$BC$4),0)</f>
        <v>-5651.88</v>
      </c>
      <c r="T63" s="282">
        <f>IF(YEAR($CG63)=2017,($BI$4-$BC$4)*$AP63/($CH63-$BC$4),0)</f>
        <v>0</v>
      </c>
      <c r="U63" s="282">
        <f>IF(YEAR($CG63)=2017,($BI$4-$BC$4)*$AR63/($CH63-$BC$4),0)</f>
        <v>0</v>
      </c>
      <c r="V63" s="75">
        <f>IF(YEAR($CG63)=2017,($BI$4-$BC$4)*$AT63/($CH63-$BC$4),0)</f>
        <v>214736.89</v>
      </c>
      <c r="W63" s="85">
        <v>0</v>
      </c>
      <c r="X63" s="286">
        <v>0</v>
      </c>
      <c r="Y63" s="286">
        <v>0</v>
      </c>
      <c r="Z63" s="286">
        <v>0</v>
      </c>
      <c r="AA63" s="286">
        <v>0</v>
      </c>
      <c r="AB63" s="85">
        <v>0</v>
      </c>
      <c r="AC63" s="85">
        <v>0</v>
      </c>
      <c r="AD63" s="286">
        <v>0</v>
      </c>
      <c r="AE63" s="286">
        <v>0</v>
      </c>
      <c r="AF63" s="286">
        <v>0</v>
      </c>
      <c r="AG63" s="286">
        <v>0</v>
      </c>
      <c r="AH63" s="85">
        <v>0</v>
      </c>
      <c r="AI63" s="766">
        <f>SUM('3 pr-2'!L64)</f>
        <v>783264.16</v>
      </c>
      <c r="AJ63" s="1082">
        <f>SUM(AI63-K63)</f>
        <v>690701.99</v>
      </c>
      <c r="AK63" s="282">
        <f>SUM('3 pr-2'!O64)</f>
        <v>131322.34</v>
      </c>
      <c r="AL63" s="503">
        <f>SUM(AK63-L63)</f>
        <v>129216.16</v>
      </c>
      <c r="AM63" s="282">
        <f>SUM('3 pr-2'!R64)</f>
        <v>0</v>
      </c>
      <c r="AN63" s="503">
        <f>SUM(AM63-M63)</f>
        <v>-5651.88</v>
      </c>
      <c r="AO63" s="282">
        <f>SUM('3 pr-2'!U64)</f>
        <v>0</v>
      </c>
      <c r="AP63" s="503">
        <f>SUM(AO63-O63)</f>
        <v>0</v>
      </c>
      <c r="AQ63" s="282">
        <f>SUM('3 pr-2'!X64)</f>
        <v>352400.82</v>
      </c>
      <c r="AR63" s="282"/>
      <c r="AS63" s="6">
        <f>SUM('3 pr-2'!AA64)</f>
        <v>299541</v>
      </c>
      <c r="AT63" s="503">
        <f>SUM(AS63-P63)</f>
        <v>214736.89</v>
      </c>
      <c r="AU63" s="1097">
        <f>SUM(J63+P63+V63)</f>
        <v>299541</v>
      </c>
      <c r="AV63" s="1073"/>
      <c r="AW63" s="1073"/>
      <c r="AX63" s="282"/>
      <c r="AY63" s="282"/>
      <c r="AZ63" s="282"/>
      <c r="BA63" s="282"/>
      <c r="BB63" s="1073"/>
      <c r="BC63" s="1073"/>
      <c r="BD63" s="282"/>
      <c r="BE63" s="282"/>
      <c r="BF63" s="282"/>
      <c r="BG63" s="282"/>
      <c r="BH63" s="1073"/>
      <c r="BI63" s="1073"/>
      <c r="BJ63" s="282"/>
      <c r="BK63" s="282"/>
      <c r="BL63" s="282"/>
      <c r="BM63" s="282"/>
      <c r="BN63" s="1073"/>
      <c r="BO63" s="1073"/>
      <c r="BP63" s="282"/>
      <c r="BQ63" s="282"/>
      <c r="BR63" s="282"/>
      <c r="BS63" s="282"/>
      <c r="BT63" s="1073"/>
      <c r="BU63" s="1073"/>
      <c r="BV63" s="282"/>
      <c r="BW63" s="282"/>
      <c r="BX63" s="282"/>
      <c r="BY63" s="282"/>
      <c r="BZ63" s="1073"/>
      <c r="CA63" s="24"/>
      <c r="CB63" s="282"/>
      <c r="CC63" s="282"/>
      <c r="CD63" s="282"/>
      <c r="CE63" s="282"/>
      <c r="CF63" s="359"/>
      <c r="CG63" s="1068">
        <f>SUM('3 pr-2'!AI64)</f>
        <v>42855</v>
      </c>
      <c r="CH63" s="1068">
        <f>SUM('3 pr-2'!AK64)</f>
        <v>43465</v>
      </c>
      <c r="CI63" s="68">
        <f>SUM(P63+V63)</f>
        <v>299541</v>
      </c>
      <c r="CJ63" s="68">
        <f t="shared" si="160"/>
        <v>0</v>
      </c>
    </row>
    <row r="64" spans="1:98" ht="48.75" thickBot="1" x14ac:dyDescent="0.3">
      <c r="A64" s="58" t="str">
        <f>CONCATENATE('3 pr-2'!A65)</f>
        <v>1.1.1.8.3</v>
      </c>
      <c r="B64" s="58" t="str">
        <f>CONCATENATE('3 pr-2'!D65)</f>
        <v>Druskininkų kultūros centro lauko scenos, Vilniaus al. 24, Druskininkai, modernizavimas ir pritaikymas kultūros  poreikiams</v>
      </c>
      <c r="C64" s="85">
        <v>0</v>
      </c>
      <c r="D64" s="85">
        <v>0</v>
      </c>
      <c r="E64" s="85">
        <v>0</v>
      </c>
      <c r="F64" s="282">
        <v>0</v>
      </c>
      <c r="G64" s="282">
        <v>0</v>
      </c>
      <c r="H64" s="282">
        <v>0</v>
      </c>
      <c r="I64" s="282">
        <v>0</v>
      </c>
      <c r="J64" s="85">
        <v>0</v>
      </c>
      <c r="K64" s="75">
        <f>SUM('ketv. 7 '!M63)</f>
        <v>20000</v>
      </c>
      <c r="L64" s="286">
        <f>SUM('ketv. 7 '!R63)</f>
        <v>0</v>
      </c>
      <c r="M64" s="286">
        <f>SUM('ketv. 7 '!W63)</f>
        <v>0</v>
      </c>
      <c r="N64" s="286">
        <v>0</v>
      </c>
      <c r="O64" s="286">
        <v>0</v>
      </c>
      <c r="P64" s="75">
        <f>SUM('ketv. 7 '!AL63)</f>
        <v>20000</v>
      </c>
      <c r="Q64" s="85">
        <f>SUM((W3-Q3)*CL64)</f>
        <v>166428.48422496571</v>
      </c>
      <c r="R64" s="286">
        <f>SUM((W3-Q2)*CM64)</f>
        <v>52860.150000000009</v>
      </c>
      <c r="S64" s="286">
        <f>IF(YEAR($CG64)=2017,($BI$4-$BC$4)*$AN64/($CH64-$BC$4),0)</f>
        <v>0</v>
      </c>
      <c r="T64" s="282">
        <f>IF(YEAR($CG64)=2017,($BI$4-$BC$4)*$AP64/($CH64-$BC$4),0)</f>
        <v>0</v>
      </c>
      <c r="U64" s="282">
        <f>IF(YEAR($CG64)=2017,($BI$4-$BC$4)*$AR64/($CH64-$BC$4),0)</f>
        <v>0</v>
      </c>
      <c r="V64" s="75">
        <f>SUM((W3-Q3)*CP64)</f>
        <v>139962.15397805211</v>
      </c>
      <c r="W64" s="85">
        <f>SUM((AC2-W2-1)*CL64)</f>
        <v>165972.51577503429</v>
      </c>
      <c r="X64" s="286">
        <f>SUM(AC2-W2-1)*CM64</f>
        <v>26393.819753086424</v>
      </c>
      <c r="Y64" s="286">
        <v>0</v>
      </c>
      <c r="Z64" s="286">
        <v>0</v>
      </c>
      <c r="AA64" s="286">
        <v>0</v>
      </c>
      <c r="AB64" s="85">
        <f>SUM(AC2-W2-1)*CP64</f>
        <v>139578.69602194786</v>
      </c>
      <c r="AC64" s="85">
        <v>0</v>
      </c>
      <c r="AD64" s="286">
        <v>0</v>
      </c>
      <c r="AE64" s="286">
        <v>0</v>
      </c>
      <c r="AF64" s="286">
        <v>0</v>
      </c>
      <c r="AG64" s="286">
        <v>0</v>
      </c>
      <c r="AH64" s="85">
        <v>0</v>
      </c>
      <c r="AI64" s="766">
        <f>SUM('3 pr-2'!L65)</f>
        <v>352401</v>
      </c>
      <c r="AJ64" s="1082">
        <f>SUM(AI64-K64)</f>
        <v>332401</v>
      </c>
      <c r="AK64" s="282">
        <f>SUM('3 pr-2'!O65)</f>
        <v>52860.15</v>
      </c>
      <c r="AL64" s="503">
        <f>SUM(AK64-L64)</f>
        <v>52860.15</v>
      </c>
      <c r="AM64" s="282">
        <f>SUM('3 pr-2'!R65)</f>
        <v>0</v>
      </c>
      <c r="AN64" s="503">
        <f>SUM(AM64-M64)</f>
        <v>0</v>
      </c>
      <c r="AO64" s="282">
        <f>SUM('3 pr-2'!U65)</f>
        <v>0</v>
      </c>
      <c r="AP64" s="503">
        <f>SUM(AO64-O64)</f>
        <v>0</v>
      </c>
      <c r="AQ64" s="282">
        <f>SUM('3 pr-2'!X65)</f>
        <v>0</v>
      </c>
      <c r="AR64" s="282"/>
      <c r="AS64" s="6">
        <f>SUM('3 pr-2'!AA65)</f>
        <v>299540.84999999998</v>
      </c>
      <c r="AT64" s="503">
        <f>SUM(AS64-P64)</f>
        <v>279540.84999999998</v>
      </c>
      <c r="AU64" s="1097">
        <f>SUM(J64+P64+V64)</f>
        <v>159962.15397805211</v>
      </c>
      <c r="AV64" s="1073"/>
      <c r="AW64" s="1073"/>
      <c r="AX64" s="282"/>
      <c r="AY64" s="282"/>
      <c r="AZ64" s="282"/>
      <c r="BA64" s="282"/>
      <c r="BB64" s="1073"/>
      <c r="BC64" s="1073"/>
      <c r="BD64" s="282"/>
      <c r="BE64" s="282"/>
      <c r="BF64" s="282"/>
      <c r="BG64" s="282"/>
      <c r="BH64" s="1073"/>
      <c r="BI64" s="1073"/>
      <c r="BJ64" s="282"/>
      <c r="BK64" s="282"/>
      <c r="BL64" s="282"/>
      <c r="BM64" s="282"/>
      <c r="BN64" s="1073"/>
      <c r="BO64" s="1073"/>
      <c r="BP64" s="282"/>
      <c r="BQ64" s="282"/>
      <c r="BR64" s="282"/>
      <c r="BS64" s="282"/>
      <c r="BT64" s="1073"/>
      <c r="BU64" s="1073"/>
      <c r="BV64" s="282"/>
      <c r="BW64" s="282"/>
      <c r="BX64" s="282"/>
      <c r="BY64" s="282"/>
      <c r="BZ64" s="1073"/>
      <c r="CA64" s="24"/>
      <c r="CB64" s="282"/>
      <c r="CC64" s="282"/>
      <c r="CD64" s="282"/>
      <c r="CE64" s="282"/>
      <c r="CF64" s="359"/>
      <c r="CG64" s="1068">
        <f>SUM('3 pr-2'!AI65)</f>
        <v>42886</v>
      </c>
      <c r="CH64" s="1068">
        <f>SUM('3 pr-2'!AK65)</f>
        <v>43830</v>
      </c>
      <c r="CI64" s="68">
        <f>SUM(P64+V64+AB64+AH64)</f>
        <v>299540.84999999998</v>
      </c>
      <c r="CJ64" s="68">
        <f t="shared" si="160"/>
        <v>0</v>
      </c>
      <c r="CL64" s="1169">
        <f>SUM(AJ64/($CH$64-$Q$2))</f>
        <v>455.96844993141292</v>
      </c>
      <c r="CM64" s="1171">
        <f>SUM(AL64/($CH$64-$Q$2))</f>
        <v>72.510493827160502</v>
      </c>
      <c r="CN64" s="1171">
        <f>SUM(AM64/($CH$60-$CG$60))</f>
        <v>0</v>
      </c>
      <c r="CO64" s="1171">
        <f>SUM(AO64/($CH$60-$CG$60))</f>
        <v>0</v>
      </c>
      <c r="CP64" s="1171">
        <f>SUM(AT64/($CH$64-$Q$2))</f>
        <v>383.45795610425239</v>
      </c>
      <c r="CQ64" s="1565">
        <f t="shared" ref="CQ64" si="166">SUM(E64+K64+Q64+W64+AC64)</f>
        <v>352401</v>
      </c>
      <c r="CR64" s="1565">
        <f>SUM(J64+P64+V64+AB64+AH64)</f>
        <v>299540.84999999998</v>
      </c>
    </row>
    <row r="65" spans="1:100" ht="36.75" thickBot="1" x14ac:dyDescent="0.3">
      <c r="A65" s="58" t="str">
        <f>CONCATENATE('3 pr-2'!A66)</f>
        <v>1.1.1.8.4</v>
      </c>
      <c r="B65" s="58" t="str">
        <f>CONCATENATE('3 pr-2'!D66)</f>
        <v>Pastato rekonstrukcija ir pritaikymas kultūrinėms, muziejinėms ir edukacinėms reikmėms</v>
      </c>
      <c r="C65" s="85">
        <v>0</v>
      </c>
      <c r="D65" s="85">
        <v>0</v>
      </c>
      <c r="E65" s="85">
        <v>0</v>
      </c>
      <c r="F65" s="282">
        <v>0</v>
      </c>
      <c r="G65" s="282">
        <v>0</v>
      </c>
      <c r="H65" s="282">
        <v>0</v>
      </c>
      <c r="I65" s="282">
        <v>0</v>
      </c>
      <c r="J65" s="85">
        <v>0</v>
      </c>
      <c r="K65" s="75">
        <f>SUM('ketv. 7 '!M64)</f>
        <v>0</v>
      </c>
      <c r="L65" s="286">
        <f>SUM('ketv. 7 '!R64)</f>
        <v>0</v>
      </c>
      <c r="M65" s="286">
        <f>SUM('ketv. 7 '!W64)</f>
        <v>0</v>
      </c>
      <c r="N65" s="286">
        <v>0</v>
      </c>
      <c r="O65" s="286">
        <v>0</v>
      </c>
      <c r="P65" s="75">
        <f>SUM('ketv. 7 '!AL64)</f>
        <v>0</v>
      </c>
      <c r="Q65" s="85">
        <f>SUM(365*CL65)</f>
        <v>276470.01992187498</v>
      </c>
      <c r="R65" s="286">
        <f>SUM(365*CM65)</f>
        <v>105638.04335937499</v>
      </c>
      <c r="S65" s="286">
        <f>SUM(($W$2-$Q$2)*CN65)</f>
        <v>0</v>
      </c>
      <c r="T65" s="282">
        <f>IF(YEAR($CG65)=2018,($W2-$CG65)*$AP65/($CH65-$CG65),0)</f>
        <v>0</v>
      </c>
      <c r="U65" s="282">
        <f>IF(YEAR($CG65)=2018,($W2-$CG65)*$AR65/($CH65-$CG65),0)</f>
        <v>0</v>
      </c>
      <c r="V65" s="75">
        <f>SUM(365*CP65)</f>
        <v>170831.9765625</v>
      </c>
      <c r="W65" s="75">
        <f>SUM(275*CL65)</f>
        <v>208299.330078125</v>
      </c>
      <c r="X65" s="286">
        <f>SUM(275*CM65)</f>
        <v>79590.306640625</v>
      </c>
      <c r="Y65" s="286">
        <f>SUM(($CH$65-$W$2)*CN65)</f>
        <v>0</v>
      </c>
      <c r="Z65" s="286">
        <f>IF(YEAR($CH$65)=2020,(W3-Q3)*$AP65/($CH$65-$CG$65),0)</f>
        <v>0</v>
      </c>
      <c r="AA65" s="286">
        <f>IF(YEAR($CH$65)=2020,(W3-Q3)*$AR65/($CH$65-$CG$65),0)</f>
        <v>0</v>
      </c>
      <c r="AB65" s="75">
        <f>SUM(275*CP65)</f>
        <v>128709.0234375</v>
      </c>
      <c r="AC65" s="75">
        <f>IF(YEAR($AC$3)=YEAR($CH65),($CH$65-$AC$2)*$AJ$65/($CH$65-$CG$65),0)</f>
        <v>0</v>
      </c>
      <c r="AD65" s="286">
        <f>IF(YEAR($AC$3)=YEAR($CH65),($CH$65-$AC$2)*$AL$65/($CH$65-$CG$65),0)</f>
        <v>0</v>
      </c>
      <c r="AE65" s="286">
        <f>IF(YEAR($AC$3)=YEAR($CH65),($CH$65-$AC$2)*$AN$65/($CH$65-$CG$65),0)</f>
        <v>0</v>
      </c>
      <c r="AF65" s="286">
        <f>IF(YEAR($AC$3)=YEAR($CH65),($CH$65-$AC$2)*$AP$65/($CH$65-$CG$65),0)</f>
        <v>0</v>
      </c>
      <c r="AG65" s="286">
        <f>IF(YEAR($AC$3)=YEAR($CH65),($CH$65-$AC$2)*$AR$65/($CH$65-$CG$65),0)</f>
        <v>0</v>
      </c>
      <c r="AH65" s="75">
        <f>IF(YEAR($AC$3)=YEAR($CH65),($CH$65-AC2)*$AT$65/($CH$65-$CG$65),0)</f>
        <v>0</v>
      </c>
      <c r="AI65" s="766">
        <f>SUM('3 pr-2'!L66)</f>
        <v>484769.35</v>
      </c>
      <c r="AJ65" s="1082">
        <f>SUM(AI65-K65)</f>
        <v>484769.35</v>
      </c>
      <c r="AK65" s="282">
        <f>SUM('3 pr-2'!O66)</f>
        <v>185228.35</v>
      </c>
      <c r="AL65" s="503">
        <f>SUM(AK65-L65)</f>
        <v>185228.35</v>
      </c>
      <c r="AM65" s="282">
        <f>SUM('3 pr-2'!R66)</f>
        <v>0</v>
      </c>
      <c r="AN65" s="503">
        <f>SUM(AM65-M65)</f>
        <v>0</v>
      </c>
      <c r="AO65" s="282">
        <f>SUM('3 pr-2'!U66)</f>
        <v>0</v>
      </c>
      <c r="AP65" s="503">
        <f>SUM(AO65-O65)</f>
        <v>0</v>
      </c>
      <c r="AQ65" s="282">
        <f>SUM('3 pr-2'!X66)</f>
        <v>0</v>
      </c>
      <c r="AR65" s="282"/>
      <c r="AS65" s="6">
        <f>SUM('3 pr-2'!AA66)</f>
        <v>299541</v>
      </c>
      <c r="AT65" s="503">
        <f>SUM(AS65-P65)</f>
        <v>299541</v>
      </c>
      <c r="AU65" s="1097">
        <f>SUM(J65+P65+V65+AB65)</f>
        <v>299541</v>
      </c>
      <c r="AV65" s="1073"/>
      <c r="AW65" s="1073"/>
      <c r="AX65" s="282"/>
      <c r="AY65" s="282"/>
      <c r="AZ65" s="282"/>
      <c r="BA65" s="282"/>
      <c r="BB65" s="1073"/>
      <c r="BC65" s="1073"/>
      <c r="BD65" s="282"/>
      <c r="BE65" s="282"/>
      <c r="BF65" s="282"/>
      <c r="BG65" s="282"/>
      <c r="BH65" s="1073"/>
      <c r="BI65" s="1073"/>
      <c r="BJ65" s="282"/>
      <c r="BK65" s="282"/>
      <c r="BL65" s="282"/>
      <c r="BM65" s="282"/>
      <c r="BN65" s="1073"/>
      <c r="BO65" s="1073"/>
      <c r="BP65" s="282"/>
      <c r="BQ65" s="282"/>
      <c r="BR65" s="282"/>
      <c r="BS65" s="282"/>
      <c r="BT65" s="1073"/>
      <c r="BU65" s="1073"/>
      <c r="BV65" s="282"/>
      <c r="BW65" s="282"/>
      <c r="BX65" s="282"/>
      <c r="BY65" s="282"/>
      <c r="BZ65" s="1073"/>
      <c r="CA65" s="24"/>
      <c r="CB65" s="282"/>
      <c r="CC65" s="282"/>
      <c r="CD65" s="282"/>
      <c r="CE65" s="282"/>
      <c r="CF65" s="359"/>
      <c r="CG65" s="1068">
        <f>SUM('3 pr-2'!AI66)</f>
        <v>43190</v>
      </c>
      <c r="CH65" s="1068">
        <f>SUM('3 pr-2'!AK66)</f>
        <v>43830</v>
      </c>
      <c r="CI65" s="68">
        <f>SUM(P65+V65+AB65+AH65)</f>
        <v>299541</v>
      </c>
      <c r="CJ65" s="68">
        <f t="shared" si="160"/>
        <v>0</v>
      </c>
      <c r="CL65" s="1169">
        <f>SUM(AJ65/640)</f>
        <v>757.45210937499996</v>
      </c>
      <c r="CM65" s="1169">
        <f>SUM(AL65/640)</f>
        <v>289.41929687499999</v>
      </c>
      <c r="CN65" s="1169">
        <f>SUM(AN65/640)</f>
        <v>0</v>
      </c>
      <c r="CO65" s="1169">
        <f>SUM(AN65/($CH$62-$K$3))</f>
        <v>0</v>
      </c>
      <c r="CP65" s="1171">
        <f>SUM(AT65/640)</f>
        <v>468.03281249999998</v>
      </c>
      <c r="CQ65" s="25">
        <v>640</v>
      </c>
      <c r="CR65" s="25">
        <f>SUM(W2-Q2)</f>
        <v>365</v>
      </c>
      <c r="CS65" s="25">
        <f>SUM(CQ65-CR65)</f>
        <v>275</v>
      </c>
    </row>
    <row r="66" spans="1:100" ht="29.25" customHeight="1" thickBot="1" x14ac:dyDescent="0.3">
      <c r="A66" s="278" t="str">
        <f>CONCATENATE('3 pr-2'!A67)</f>
        <v>1.1.1.9</v>
      </c>
      <c r="B66" s="118" t="str">
        <f>CONCATENATE('3 pr-2'!B67)</f>
        <v>Priemonė:
Aktualizuoti savivaldybių kultūros paveldo objektus</v>
      </c>
      <c r="C66" s="1089">
        <f>SUM(C67:C71)</f>
        <v>0</v>
      </c>
      <c r="D66" s="1089">
        <f>SUM(D67:D71)</f>
        <v>0</v>
      </c>
      <c r="E66" s="1089">
        <f>SUM(E67:E71)</f>
        <v>0</v>
      </c>
      <c r="F66" s="1089"/>
      <c r="G66" s="1089"/>
      <c r="H66" s="1089"/>
      <c r="I66" s="1089"/>
      <c r="J66" s="1089">
        <f t="shared" ref="J66:U66" si="167">SUM(J67:J71)</f>
        <v>0</v>
      </c>
      <c r="K66" s="1089">
        <f t="shared" si="167"/>
        <v>0</v>
      </c>
      <c r="L66" s="1090">
        <f>SUM(L67:L71)</f>
        <v>0</v>
      </c>
      <c r="M66" s="1090">
        <f t="shared" si="167"/>
        <v>0</v>
      </c>
      <c r="N66" s="1090">
        <f t="shared" si="167"/>
        <v>0</v>
      </c>
      <c r="O66" s="1090">
        <f t="shared" si="167"/>
        <v>0</v>
      </c>
      <c r="P66" s="1089">
        <f t="shared" si="167"/>
        <v>0</v>
      </c>
      <c r="Q66" s="1089">
        <f t="shared" si="167"/>
        <v>386751.87360809103</v>
      </c>
      <c r="R66" s="1089">
        <f t="shared" si="167"/>
        <v>114458.22533583902</v>
      </c>
      <c r="S66" s="1089">
        <f t="shared" si="167"/>
        <v>0</v>
      </c>
      <c r="T66" s="1089">
        <f t="shared" si="167"/>
        <v>0</v>
      </c>
      <c r="U66" s="1089">
        <f t="shared" si="167"/>
        <v>0</v>
      </c>
      <c r="V66" s="1089">
        <f>SUM(V67:V71)</f>
        <v>272293.64827225206</v>
      </c>
      <c r="W66" s="1089">
        <f>SUM(W67:W71)</f>
        <v>714671.97524905181</v>
      </c>
      <c r="X66" s="1089">
        <f>SUM(X67:X71)</f>
        <v>209840.13780701812</v>
      </c>
      <c r="Y66" s="1089">
        <f t="shared" ref="Y66:AA66" si="168">SUM(Y67:Y71)</f>
        <v>0</v>
      </c>
      <c r="Z66" s="1089">
        <f t="shared" si="168"/>
        <v>0</v>
      </c>
      <c r="AA66" s="1089">
        <f t="shared" si="168"/>
        <v>0</v>
      </c>
      <c r="AB66" s="1089">
        <f>SUM(AB67:AB71)</f>
        <v>504831.83744203369</v>
      </c>
      <c r="AC66" s="1089">
        <f>SUM(AC67:AC71)</f>
        <v>385766.72114285716</v>
      </c>
      <c r="AD66" s="1089">
        <f>SUM(AD67:AD71)</f>
        <v>132612.20685714285</v>
      </c>
      <c r="AE66" s="1089">
        <f t="shared" ref="AE66:AG66" si="169">SUM(AE67:AE71)</f>
        <v>0</v>
      </c>
      <c r="AF66" s="1089">
        <f t="shared" si="169"/>
        <v>0</v>
      </c>
      <c r="AG66" s="1089">
        <f t="shared" si="169"/>
        <v>0</v>
      </c>
      <c r="AH66" s="1089">
        <f>SUM(AH67:AH71)</f>
        <v>253154.51428571428</v>
      </c>
      <c r="AI66" s="1091">
        <f>SUM(AI67:AI71)</f>
        <v>1487190.57</v>
      </c>
      <c r="AJ66" s="1089"/>
      <c r="AK66" s="1089">
        <f t="shared" ref="AK66:AQ66" si="170">SUM(AK67:AK71)</f>
        <v>456910.57</v>
      </c>
      <c r="AL66" s="1089"/>
      <c r="AM66" s="1089">
        <f t="shared" si="170"/>
        <v>0</v>
      </c>
      <c r="AN66" s="1089"/>
      <c r="AO66" s="1089">
        <f t="shared" si="170"/>
        <v>0</v>
      </c>
      <c r="AP66" s="1089"/>
      <c r="AQ66" s="1089">
        <f t="shared" si="170"/>
        <v>0</v>
      </c>
      <c r="AR66" s="1089"/>
      <c r="AS66" s="1089">
        <f>SUM(AS67:AS71)</f>
        <v>1030280</v>
      </c>
      <c r="AT66" s="1089"/>
      <c r="AU66" s="1071">
        <v>0</v>
      </c>
      <c r="AV66" s="1093">
        <v>0</v>
      </c>
      <c r="AW66" s="1093">
        <v>0</v>
      </c>
      <c r="AX66" s="1089">
        <v>0</v>
      </c>
      <c r="AY66" s="1089">
        <v>0</v>
      </c>
      <c r="AZ66" s="1089">
        <v>0</v>
      </c>
      <c r="BA66" s="1089">
        <v>0</v>
      </c>
      <c r="BB66" s="1093">
        <v>0</v>
      </c>
      <c r="BC66" s="1093">
        <v>0</v>
      </c>
      <c r="BD66" s="1089">
        <v>0</v>
      </c>
      <c r="BE66" s="1089">
        <v>0</v>
      </c>
      <c r="BF66" s="1089">
        <v>0</v>
      </c>
      <c r="BG66" s="1089">
        <v>0</v>
      </c>
      <c r="BH66" s="1093">
        <v>0</v>
      </c>
      <c r="BI66" s="1093">
        <v>40</v>
      </c>
      <c r="BJ66" s="1089">
        <v>40</v>
      </c>
      <c r="BK66" s="1089">
        <v>40</v>
      </c>
      <c r="BL66" s="1089">
        <v>40</v>
      </c>
      <c r="BM66" s="1089">
        <v>40</v>
      </c>
      <c r="BN66" s="1093">
        <v>40</v>
      </c>
      <c r="BO66" s="1093">
        <v>40</v>
      </c>
      <c r="BP66" s="1089">
        <v>40</v>
      </c>
      <c r="BQ66" s="1089">
        <v>40</v>
      </c>
      <c r="BR66" s="1089">
        <v>40</v>
      </c>
      <c r="BS66" s="1089">
        <v>40</v>
      </c>
      <c r="BT66" s="1093">
        <v>40</v>
      </c>
      <c r="BU66" s="1093">
        <v>20</v>
      </c>
      <c r="BV66" s="1089">
        <v>20</v>
      </c>
      <c r="BW66" s="1089">
        <v>20</v>
      </c>
      <c r="BX66" s="1089">
        <v>20</v>
      </c>
      <c r="BY66" s="1089">
        <v>20</v>
      </c>
      <c r="BZ66" s="1093">
        <v>20</v>
      </c>
      <c r="CA66" s="24">
        <v>100</v>
      </c>
      <c r="CB66" s="1089">
        <v>100</v>
      </c>
      <c r="CC66" s="1089">
        <v>100</v>
      </c>
      <c r="CD66" s="1089">
        <v>100</v>
      </c>
      <c r="CE66" s="1089">
        <v>100</v>
      </c>
      <c r="CF66" s="359">
        <v>100</v>
      </c>
      <c r="CG66" s="23"/>
      <c r="CH66" s="23"/>
    </row>
    <row r="67" spans="1:100" s="126" customFormat="1" ht="39.75" thickBot="1" x14ac:dyDescent="0.3">
      <c r="A67" s="18" t="str">
        <f>CONCATENATE('3 pr-2'!A68)</f>
        <v>1.1.1.9.1</v>
      </c>
      <c r="B67" s="123" t="str">
        <f>CONCATENATE('3 pr-2'!D68)</f>
        <v>Buvusios sinagogos pastato Kauno g. 9A Alytuje rekonstravimas ir aplinkinės teritorijos sutvarkymas</v>
      </c>
      <c r="C67" s="85">
        <v>0</v>
      </c>
      <c r="D67" s="85">
        <v>0</v>
      </c>
      <c r="E67" s="85">
        <v>0</v>
      </c>
      <c r="F67" s="282">
        <v>0</v>
      </c>
      <c r="G67" s="282">
        <v>0</v>
      </c>
      <c r="H67" s="282">
        <v>0</v>
      </c>
      <c r="I67" s="282">
        <v>0</v>
      </c>
      <c r="J67" s="85">
        <v>0</v>
      </c>
      <c r="K67" s="75">
        <f>SUM('ketv. 7 '!M66)</f>
        <v>0</v>
      </c>
      <c r="L67" s="286">
        <f>SUM('ketv. 7 '!R66)</f>
        <v>0</v>
      </c>
      <c r="M67" s="286">
        <f>SUM('ketv. 7 '!W66)</f>
        <v>0</v>
      </c>
      <c r="N67" s="286">
        <f>SUM('ketv. 7 '!AA66)</f>
        <v>0</v>
      </c>
      <c r="O67" s="286">
        <f>SUM('ketv. 7 '!AF66)</f>
        <v>0</v>
      </c>
      <c r="P67" s="75">
        <f>SUM('ketv. 7 '!AL66)</f>
        <v>0</v>
      </c>
      <c r="Q67" s="85">
        <f>SUM(($Q$3-CG67)*CL67)</f>
        <v>89397.890098360658</v>
      </c>
      <c r="R67" s="286">
        <f>SUM(($Q$3-$CG$67)*CM67)</f>
        <v>47961.492284153006</v>
      </c>
      <c r="S67" s="286">
        <f>IF(YEAR($CG$67)=2018,($BI$4-$CG$67)*AM$67/($CH$67-$CG$67),0)</f>
        <v>0</v>
      </c>
      <c r="T67" s="286">
        <f>IF(YEAR($CG$67)=2018,($BI$4-$CG$67)*AO$67/($CH$67-$CG$67),0)</f>
        <v>0</v>
      </c>
      <c r="U67" s="286">
        <f>IF(YEAR($CG$67)=2018,($BI$4-$CG$67)*AQ$67/($CH$67-$CG$67),0)</f>
        <v>0</v>
      </c>
      <c r="V67" s="85">
        <f>SUM(($Q$3-$CG$67)*CO67)</f>
        <v>41436.397814207652</v>
      </c>
      <c r="W67" s="85">
        <f>SUM(($W$3-$Q$3)*CL67)</f>
        <v>177338.20590163936</v>
      </c>
      <c r="X67" s="286">
        <f>SUM(($W$3-$Q$3)*CM67)</f>
        <v>95141.003715846993</v>
      </c>
      <c r="Y67" s="286">
        <f>IF(YEAR($CH$67)&gt;2019,($BO$4-$BI$4)*AM$67/($CH$67-$CG$67),0)</f>
        <v>0</v>
      </c>
      <c r="Z67" s="286">
        <f>IF(YEAR($CH$67)&gt;2019,($BO$4-$BI$4)*AO$67/($CH$67-$CG$67),0)</f>
        <v>0</v>
      </c>
      <c r="AA67" s="286">
        <f>IF(YEAR($CH$67)&gt;2019,($BO$4-$BI$4)*AQ$67/($CH$67-$CG$67),0)</f>
        <v>0</v>
      </c>
      <c r="AB67" s="85">
        <f>SUM(($W$3-$Q$3)*CO67)</f>
        <v>82197.202185792354</v>
      </c>
      <c r="AC67" s="85">
        <f>SUM((CH67-$W$3)*CL67)</f>
        <v>177824.06400000001</v>
      </c>
      <c r="AD67" s="286">
        <f>SUM(($CH$67-$W$3)*CM67)</f>
        <v>95401.664000000004</v>
      </c>
      <c r="AE67" s="286">
        <f>IF(YEAR($CH$67)=2020,($CH$67-$BO$4)*AM$67/($CH$67-$CG$67),0)</f>
        <v>0</v>
      </c>
      <c r="AF67" s="286">
        <f>IF(YEAR($CH$67)=2020,($CH$67-$BO$4)*AO$67/($CH$67-$CG$67),0)</f>
        <v>0</v>
      </c>
      <c r="AG67" s="286">
        <f>IF(YEAR($CH$67)=2020,($CH$67-$BO$4)*AQ$67/($CH$67-$CG$67),0)</f>
        <v>0</v>
      </c>
      <c r="AH67" s="85">
        <f>SUM(($CH$67-$W$3)*CO67)</f>
        <v>82422.400000000009</v>
      </c>
      <c r="AI67" s="769">
        <f>SUM('3 pr-2'!L68)</f>
        <v>444560.16000000003</v>
      </c>
      <c r="AJ67" s="1082">
        <f t="shared" ref="AJ67:AJ71" si="171">SUM(AI67-K67)</f>
        <v>444560.16000000003</v>
      </c>
      <c r="AK67" s="282">
        <f>SUM('3 pr-2'!O68)</f>
        <v>238504.16</v>
      </c>
      <c r="AL67" s="503">
        <f>SUM(AK67-L67)</f>
        <v>238504.16</v>
      </c>
      <c r="AM67" s="282">
        <f>SUM('3 pr-2'!R68)</f>
        <v>0</v>
      </c>
      <c r="AN67" s="503">
        <f t="shared" ref="AN67:AN71" si="172">SUM(AM67-M67)</f>
        <v>0</v>
      </c>
      <c r="AO67" s="282">
        <f>SUM('3 pr-2'!U68)</f>
        <v>0</v>
      </c>
      <c r="AP67" s="503">
        <f t="shared" ref="AP67:AP71" si="173">SUM(AO67-O67)</f>
        <v>0</v>
      </c>
      <c r="AQ67" s="282">
        <f>SUM('3 pr-2'!X68)</f>
        <v>0</v>
      </c>
      <c r="AR67" s="282"/>
      <c r="AS67" s="748">
        <f>SUM('3 pr-2'!AA68)</f>
        <v>206056</v>
      </c>
      <c r="AT67" s="503">
        <f t="shared" ref="AT67:AT71" si="174">SUM(AS67-P67)</f>
        <v>206056</v>
      </c>
      <c r="AU67" s="1071"/>
      <c r="AV67" s="1093"/>
      <c r="AW67" s="1093"/>
      <c r="AX67" s="282"/>
      <c r="AY67" s="282"/>
      <c r="AZ67" s="282"/>
      <c r="BA67" s="282"/>
      <c r="BB67" s="1093"/>
      <c r="BC67" s="1093"/>
      <c r="BD67" s="282"/>
      <c r="BE67" s="282"/>
      <c r="BF67" s="282"/>
      <c r="BG67" s="282"/>
      <c r="BH67" s="1093"/>
      <c r="BI67" s="1093"/>
      <c r="BJ67" s="282"/>
      <c r="BK67" s="282"/>
      <c r="BL67" s="282"/>
      <c r="BM67" s="282"/>
      <c r="BN67" s="1093"/>
      <c r="BO67" s="1093"/>
      <c r="BP67" s="282"/>
      <c r="BQ67" s="282"/>
      <c r="BR67" s="282"/>
      <c r="BS67" s="282"/>
      <c r="BT67" s="1093"/>
      <c r="BU67" s="1093"/>
      <c r="BV67" s="282"/>
      <c r="BW67" s="282"/>
      <c r="BX67" s="282"/>
      <c r="BY67" s="282"/>
      <c r="BZ67" s="1093"/>
      <c r="CA67" s="24"/>
      <c r="CB67" s="282"/>
      <c r="CC67" s="282"/>
      <c r="CD67" s="282"/>
      <c r="CE67" s="282"/>
      <c r="CF67" s="359">
        <v>100</v>
      </c>
      <c r="CG67" s="1068">
        <f>SUM('3 pr-2'!AI68)</f>
        <v>43281</v>
      </c>
      <c r="CH67" s="1068">
        <f>SUM('3 pr-2'!AK68)</f>
        <v>44196</v>
      </c>
      <c r="CI67" s="68">
        <f>SUM(P67+V67+AB67+AH67)</f>
        <v>206056</v>
      </c>
      <c r="CJ67" s="68">
        <f t="shared" si="160"/>
        <v>0</v>
      </c>
      <c r="CL67" s="1169">
        <f>SUM(AI67/($CH$67-$CG$67))</f>
        <v>485.85809836065579</v>
      </c>
      <c r="CM67" s="1171">
        <f>SUM(AK67/($CH$67-$CG$67))</f>
        <v>260.66028415300548</v>
      </c>
      <c r="CN67" s="1170">
        <f>SUM(AM67/($CH$67-$CG$67))</f>
        <v>0</v>
      </c>
      <c r="CO67" s="1171">
        <f>SUM(AS67/($CH$67-$CG$67))</f>
        <v>225.19781420765028</v>
      </c>
      <c r="CQ67" s="1069">
        <f t="shared" ref="CQ67" si="175">SUM(E67+K67+Q67+W67+AC67)</f>
        <v>444560.16000000003</v>
      </c>
      <c r="CR67" s="1070">
        <f>SUM(J67+P67+V67+AB67+AH67)</f>
        <v>206056</v>
      </c>
    </row>
    <row r="68" spans="1:100" s="126" customFormat="1" ht="52.5" thickBot="1" x14ac:dyDescent="0.3">
      <c r="A68" s="18" t="str">
        <f>CONCATENATE('3 pr-2'!A69)</f>
        <v>1.1.1.9.2</v>
      </c>
      <c r="B68" s="123" t="str">
        <f>CONCATENATE('3 pr-2'!D69)</f>
        <v>Mažosios dailės galerijos, M.K.Čiurlionio g. 37, Druskininkai, modernizavimas ir pritaikymas kultūros poreikiams</v>
      </c>
      <c r="C68" s="85">
        <v>0</v>
      </c>
      <c r="D68" s="85">
        <v>0</v>
      </c>
      <c r="E68" s="85">
        <v>0</v>
      </c>
      <c r="F68" s="282">
        <v>0</v>
      </c>
      <c r="G68" s="282">
        <v>0</v>
      </c>
      <c r="H68" s="282">
        <v>0</v>
      </c>
      <c r="I68" s="282">
        <v>0</v>
      </c>
      <c r="J68" s="85">
        <v>0</v>
      </c>
      <c r="K68" s="75">
        <f>SUM('ketv. 7 '!M67)</f>
        <v>0</v>
      </c>
      <c r="L68" s="286">
        <f>SUM('ketv. 7 '!R67)</f>
        <v>0</v>
      </c>
      <c r="M68" s="286">
        <f>SUM('ketv. 7 '!W67)</f>
        <v>0</v>
      </c>
      <c r="N68" s="286">
        <f>SUM('ketv. 7 '!AA67)</f>
        <v>0</v>
      </c>
      <c r="O68" s="286">
        <f>SUM('ketv. 7 '!AF67)</f>
        <v>0</v>
      </c>
      <c r="P68" s="75">
        <f>SUM('ketv. 7 '!AL67)</f>
        <v>0</v>
      </c>
      <c r="Q68" s="85">
        <f>SUM($Q$3-CG68)*CL68</f>
        <v>119588.11231441048</v>
      </c>
      <c r="R68" s="282">
        <f>SUM($Q$3-$CG$68)*CM68</f>
        <v>36805.789170305674</v>
      </c>
      <c r="S68" s="282">
        <f>SUM($Q$3-$CG$68)*CN68</f>
        <v>0</v>
      </c>
      <c r="T68" s="282">
        <f>IF(YEAR($CG68)=2018,($BI$4-$CG68)*$AO68/($CH68-$CG68),0)</f>
        <v>0</v>
      </c>
      <c r="U68" s="282">
        <f>IF(YEAR($CG68)=2018,($BI$4-$CG68)*$AQ68/($CH68-$CG68),0)</f>
        <v>0</v>
      </c>
      <c r="V68" s="85">
        <f>SUM($Q$3-$CG$68)*CO68</f>
        <v>82782.323144104797</v>
      </c>
      <c r="W68" s="85">
        <f>IF(YEAR($CH$68)=2019,($CH$68-$BI$4)*AI$68/($CH$68-$CG$68),0)</f>
        <v>178082.29768558952</v>
      </c>
      <c r="X68" s="286">
        <f>IF(YEAR($CH$68)=2019,($CH$68-$BI$4)*AK$68/($CH$68-$CG$68),0)</f>
        <v>54808.620829694322</v>
      </c>
      <c r="Y68" s="286">
        <f>IF(YEAR($CH$68)=2019,($CH$68-$BI$4)*AM$68/($CH$68-$CG$68),0)</f>
        <v>0</v>
      </c>
      <c r="Z68" s="286">
        <f>IF(YEAR($CH$68)=2019,($CH$68-$BI$4)*AO$68/($CH$68-$CG$68),0)</f>
        <v>0</v>
      </c>
      <c r="AA68" s="286">
        <f>IF(YEAR($CH$68)=2019,($CH$68-$BI$4)*AQ$68/($CH$68-$CG$68),0)</f>
        <v>0</v>
      </c>
      <c r="AB68" s="85">
        <f>IF(YEAR($CH$68)=2019,($CH$68-$BI$4)*AS$68/($CH$68-$CG$68),0)</f>
        <v>123273.6768558952</v>
      </c>
      <c r="AC68" s="85">
        <v>0</v>
      </c>
      <c r="AD68" s="286">
        <v>0</v>
      </c>
      <c r="AE68" s="286">
        <v>0</v>
      </c>
      <c r="AF68" s="286">
        <v>0</v>
      </c>
      <c r="AG68" s="286">
        <v>0</v>
      </c>
      <c r="AH68" s="85">
        <v>0</v>
      </c>
      <c r="AI68" s="769">
        <f>SUM('3 pr-2'!L69)</f>
        <v>297670.41000000003</v>
      </c>
      <c r="AJ68" s="1082">
        <f t="shared" si="171"/>
        <v>297670.41000000003</v>
      </c>
      <c r="AK68" s="282">
        <f>SUM('3 pr-2'!O69)</f>
        <v>91614.41</v>
      </c>
      <c r="AL68" s="503">
        <f t="shared" ref="AL68:AL71" si="176">SUM(AK68-L68)</f>
        <v>91614.41</v>
      </c>
      <c r="AM68" s="282">
        <f>SUM('3 pr-2'!R69)</f>
        <v>0</v>
      </c>
      <c r="AN68" s="503">
        <f t="shared" si="172"/>
        <v>0</v>
      </c>
      <c r="AO68" s="282">
        <f>SUM('3 pr-2'!U69)</f>
        <v>0</v>
      </c>
      <c r="AP68" s="503">
        <f t="shared" si="173"/>
        <v>0</v>
      </c>
      <c r="AQ68" s="282">
        <f>SUM('3 pr-2'!X69)</f>
        <v>0</v>
      </c>
      <c r="AR68" s="282"/>
      <c r="AS68" s="748">
        <f>SUM('3 pr-2'!AA69)</f>
        <v>206056</v>
      </c>
      <c r="AT68" s="503">
        <f t="shared" si="174"/>
        <v>206056</v>
      </c>
      <c r="AU68" s="1071"/>
      <c r="AV68" s="1093"/>
      <c r="AW68" s="1093"/>
      <c r="AX68" s="282"/>
      <c r="AY68" s="282"/>
      <c r="AZ68" s="282"/>
      <c r="BA68" s="282"/>
      <c r="BB68" s="1093"/>
      <c r="BC68" s="1093"/>
      <c r="BD68" s="282"/>
      <c r="BE68" s="282"/>
      <c r="BF68" s="282"/>
      <c r="BG68" s="282"/>
      <c r="BH68" s="1093"/>
      <c r="BI68" s="1093"/>
      <c r="BJ68" s="282"/>
      <c r="BK68" s="282"/>
      <c r="BL68" s="282"/>
      <c r="BM68" s="282"/>
      <c r="BN68" s="1093"/>
      <c r="BO68" s="1093"/>
      <c r="BP68" s="282"/>
      <c r="BQ68" s="282"/>
      <c r="BR68" s="282"/>
      <c r="BS68" s="282"/>
      <c r="BT68" s="1093"/>
      <c r="BU68" s="1093"/>
      <c r="BV68" s="282"/>
      <c r="BW68" s="282"/>
      <c r="BX68" s="282"/>
      <c r="BY68" s="282"/>
      <c r="BZ68" s="1093"/>
      <c r="CA68" s="24"/>
      <c r="CB68" s="282"/>
      <c r="CC68" s="282"/>
      <c r="CD68" s="282"/>
      <c r="CE68" s="282"/>
      <c r="CF68" s="359"/>
      <c r="CG68" s="1068">
        <f>SUM('3 pr-2'!AI69)</f>
        <v>43281</v>
      </c>
      <c r="CH68" s="1068">
        <f>SUM('3 pr-2'!AK69)</f>
        <v>43739</v>
      </c>
      <c r="CI68" s="68">
        <f>SUM(P68+V68+AB68+AH68)</f>
        <v>206056</v>
      </c>
      <c r="CJ68" s="68">
        <f t="shared" si="160"/>
        <v>0</v>
      </c>
      <c r="CL68" s="1169">
        <f>SUM(AI68/(CH68-CG68))</f>
        <v>649.93539301310045</v>
      </c>
      <c r="CM68" s="1171">
        <f>SUM(AK68/($CH$68-$CG$68))</f>
        <v>200.03146288209606</v>
      </c>
      <c r="CN68" s="1170">
        <f>SUM(AM68/($CH$68-$CG$68))</f>
        <v>0</v>
      </c>
      <c r="CO68" s="1171">
        <f>SUM(AS68/($CH$68-$CG$68))</f>
        <v>449.90393013100436</v>
      </c>
      <c r="CQ68" s="1069">
        <f t="shared" ref="CQ68:CQ71" si="177">SUM(E68+K68+Q68+W68+AC68)</f>
        <v>297670.41000000003</v>
      </c>
      <c r="CR68" s="1070">
        <f t="shared" ref="CR68:CR71" si="178">SUM(J68+P68+V68+AB68+AH68)</f>
        <v>206056</v>
      </c>
    </row>
    <row r="69" spans="1:100" s="126" customFormat="1" ht="27" thickBot="1" x14ac:dyDescent="0.3">
      <c r="A69" s="18" t="str">
        <f>CONCATENATE('3 pr-2'!A70)</f>
        <v>1.1.1.9.3</v>
      </c>
      <c r="B69" s="123" t="str">
        <f>CONCATENATE('3 pr-2'!D70)</f>
        <v>Motiejaus  Gustaičio  memorialinio  namo  kompleksinis sutvarkymas</v>
      </c>
      <c r="C69" s="71">
        <v>0</v>
      </c>
      <c r="D69" s="71">
        <v>0</v>
      </c>
      <c r="E69" s="71">
        <v>0</v>
      </c>
      <c r="F69" s="282">
        <v>0</v>
      </c>
      <c r="G69" s="282">
        <v>0</v>
      </c>
      <c r="H69" s="282">
        <v>0</v>
      </c>
      <c r="I69" s="282">
        <v>0</v>
      </c>
      <c r="J69" s="71">
        <v>0</v>
      </c>
      <c r="K69" s="75">
        <f>SUM('ketv. 7 '!M68)</f>
        <v>0</v>
      </c>
      <c r="L69" s="286">
        <f>SUM('ketv. 7 '!R68)</f>
        <v>0</v>
      </c>
      <c r="M69" s="286">
        <f>SUM('ketv. 7 '!W68)</f>
        <v>0</v>
      </c>
      <c r="N69" s="286">
        <f>SUM('ketv. 7 '!AA68)</f>
        <v>0</v>
      </c>
      <c r="O69" s="286">
        <f>SUM('ketv. 7 '!AF68)</f>
        <v>0</v>
      </c>
      <c r="P69" s="75">
        <f>SUM('ketv. 7 '!AL68)</f>
        <v>0</v>
      </c>
      <c r="Q69" s="85">
        <f>SUM(CT69*CL69)</f>
        <v>90542.03614457832</v>
      </c>
      <c r="R69" s="282">
        <f>SUM(CT69*CM69)</f>
        <v>13581.361445783134</v>
      </c>
      <c r="S69" s="282">
        <f>IF(YEAR($CG69)=2018,($BI$4-$CG69)*$AM69/($CH69-$CG69),0)</f>
        <v>0</v>
      </c>
      <c r="T69" s="282">
        <f>IF(YEAR($CG69)=2018,($BI$4-$CG69)*$AO69/($CH69-$CG69),0)</f>
        <v>0</v>
      </c>
      <c r="U69" s="282">
        <f>IF(YEAR($CG69)=2018,($BI$4-$CG69)*$AQ69/($CH69-$CG69),0)</f>
        <v>0</v>
      </c>
      <c r="V69" s="85">
        <f>SUM(CT69*CO69)</f>
        <v>76960.674698795177</v>
      </c>
      <c r="W69" s="85">
        <f>SUM(364*CL69)</f>
        <v>151876.96385542169</v>
      </c>
      <c r="X69" s="282">
        <f>SUM(364*CM69)</f>
        <v>22781.638554216868</v>
      </c>
      <c r="Y69" s="286">
        <f>IF(YEAR($CH69)=2019,($CH69-$BI$4)*$AM69/($CH69-$CG69),0)</f>
        <v>0</v>
      </c>
      <c r="Z69" s="286">
        <f>IF(YEAR($CH69)=2019,($CH69-$BI$4)*$AO69/($CH69-$CG69),0)</f>
        <v>0</v>
      </c>
      <c r="AA69" s="286">
        <f>IF(YEAR($CH69)=2019,($CH69-$BI$4)*$AQ69/($CH69-$CG69),0)</f>
        <v>0</v>
      </c>
      <c r="AB69" s="85">
        <f>SUM(364*CO69)</f>
        <v>129095.32530120482</v>
      </c>
      <c r="AC69" s="85">
        <f>SUM(CV69*CL69)</f>
        <v>0</v>
      </c>
      <c r="AD69" s="286">
        <f>SUM(CV69*CM69)</f>
        <v>0</v>
      </c>
      <c r="AE69" s="286">
        <v>0</v>
      </c>
      <c r="AF69" s="286">
        <v>0</v>
      </c>
      <c r="AG69" s="286">
        <v>0</v>
      </c>
      <c r="AH69" s="85">
        <f>SUM(CV69*CO69)</f>
        <v>0</v>
      </c>
      <c r="AI69" s="769">
        <f>SUM('3 pr-2'!L70)</f>
        <v>242419</v>
      </c>
      <c r="AJ69" s="1082">
        <f t="shared" si="171"/>
        <v>242419</v>
      </c>
      <c r="AK69" s="282">
        <f>SUM('3 pr-2'!O70)</f>
        <v>36363</v>
      </c>
      <c r="AL69" s="503">
        <f t="shared" si="176"/>
        <v>36363</v>
      </c>
      <c r="AM69" s="282">
        <f>SUM('3 pr-2'!R70)</f>
        <v>0</v>
      </c>
      <c r="AN69" s="503">
        <f t="shared" si="172"/>
        <v>0</v>
      </c>
      <c r="AO69" s="282">
        <f>SUM('3 pr-2'!U70)</f>
        <v>0</v>
      </c>
      <c r="AP69" s="503">
        <f t="shared" si="173"/>
        <v>0</v>
      </c>
      <c r="AQ69" s="282">
        <f>SUM('3 pr-2'!X70)</f>
        <v>0</v>
      </c>
      <c r="AR69" s="282"/>
      <c r="AS69" s="748">
        <f>SUM('3 pr-2'!AA70)</f>
        <v>206056</v>
      </c>
      <c r="AT69" s="503">
        <f t="shared" si="174"/>
        <v>206056</v>
      </c>
      <c r="AU69" s="1071"/>
      <c r="AV69" s="1093"/>
      <c r="AW69" s="1093"/>
      <c r="AX69" s="282"/>
      <c r="AY69" s="282"/>
      <c r="AZ69" s="282"/>
      <c r="BA69" s="282"/>
      <c r="BB69" s="1093"/>
      <c r="BC69" s="1093"/>
      <c r="BD69" s="282"/>
      <c r="BE69" s="282"/>
      <c r="BF69" s="282"/>
      <c r="BG69" s="282"/>
      <c r="BH69" s="1093"/>
      <c r="BI69" s="1093"/>
      <c r="BJ69" s="282"/>
      <c r="BK69" s="282"/>
      <c r="BL69" s="282"/>
      <c r="BM69" s="282"/>
      <c r="BN69" s="1093"/>
      <c r="BO69" s="1093"/>
      <c r="BP69" s="282"/>
      <c r="BQ69" s="282"/>
      <c r="BR69" s="282"/>
      <c r="BS69" s="282"/>
      <c r="BT69" s="1093"/>
      <c r="BU69" s="1093"/>
      <c r="BV69" s="282"/>
      <c r="BW69" s="282"/>
      <c r="BX69" s="282"/>
      <c r="BY69" s="282"/>
      <c r="BZ69" s="1093"/>
      <c r="CA69" s="24"/>
      <c r="CB69" s="282"/>
      <c r="CC69" s="282"/>
      <c r="CD69" s="282"/>
      <c r="CE69" s="282"/>
      <c r="CF69" s="359"/>
      <c r="CG69" s="1068">
        <f>SUM('3 pr-2'!AI70)</f>
        <v>43249</v>
      </c>
      <c r="CH69" s="1068">
        <f>SUM('3 pr-2'!AK70)</f>
        <v>43830</v>
      </c>
      <c r="CI69" s="68">
        <f>SUM(P69+V69+AB69+AH69)</f>
        <v>206056</v>
      </c>
      <c r="CJ69" s="68">
        <f t="shared" si="160"/>
        <v>0</v>
      </c>
      <c r="CL69" s="1169">
        <f>SUM(AJ69/(CH69-CG69))</f>
        <v>417.24440619621345</v>
      </c>
      <c r="CM69" s="1169">
        <f>SUM(AK69/($CH$69-$CG$69))</f>
        <v>62.586919104991395</v>
      </c>
      <c r="CN69" s="1169">
        <f>SUM(AM69/($CH$69-$CG$69))</f>
        <v>0</v>
      </c>
      <c r="CO69" s="1171">
        <f>SUM(AS69/($CH$69-$CG$69))</f>
        <v>354.65748709122204</v>
      </c>
      <c r="CQ69" s="1069">
        <f t="shared" si="177"/>
        <v>242419</v>
      </c>
      <c r="CR69" s="1070">
        <f t="shared" si="178"/>
        <v>206056</v>
      </c>
      <c r="CS69" s="126">
        <f>SUM(CH69-CG69)</f>
        <v>581</v>
      </c>
      <c r="CT69" s="126">
        <f>SUM(CS69-CU69)</f>
        <v>217</v>
      </c>
      <c r="CU69" s="126">
        <v>364</v>
      </c>
      <c r="CV69" s="126">
        <v>0</v>
      </c>
    </row>
    <row r="70" spans="1:100" s="126" customFormat="1" ht="39.75" thickBot="1" x14ac:dyDescent="0.3">
      <c r="A70" s="18" t="str">
        <f>CONCATENATE('3 pr-2'!A71)</f>
        <v>1.1.1.9.4</v>
      </c>
      <c r="B70" s="123" t="str">
        <f>CONCATENATE('3 pr-2'!D71)</f>
        <v>Kurnėnų Lauryno Radziukyno mokyklos pritaikymas kultūrinėms ir turistinėms reikmėms</v>
      </c>
      <c r="C70" s="71">
        <v>0</v>
      </c>
      <c r="D70" s="71">
        <v>0</v>
      </c>
      <c r="E70" s="71">
        <v>0</v>
      </c>
      <c r="F70" s="282">
        <v>0</v>
      </c>
      <c r="G70" s="282">
        <v>0</v>
      </c>
      <c r="H70" s="282">
        <v>0</v>
      </c>
      <c r="I70" s="282">
        <v>0</v>
      </c>
      <c r="J70" s="71">
        <v>0</v>
      </c>
      <c r="K70" s="75">
        <f>SUM('ketv. 7 '!M69)</f>
        <v>0</v>
      </c>
      <c r="L70" s="286">
        <f>SUM('ketv. 7 '!R69)</f>
        <v>0</v>
      </c>
      <c r="M70" s="286">
        <f>SUM('ketv. 7 '!W69)</f>
        <v>0</v>
      </c>
      <c r="N70" s="286">
        <f>SUM('ketv. 7 '!AA69)</f>
        <v>0</v>
      </c>
      <c r="O70" s="286">
        <f>SUM('ketv. 7 '!AF69)</f>
        <v>0</v>
      </c>
      <c r="P70" s="75">
        <f>SUM('ketv. 7 '!AL69)</f>
        <v>0</v>
      </c>
      <c r="Q70" s="85">
        <f>SUM(R70:V70)</f>
        <v>52308.686338797816</v>
      </c>
      <c r="R70" s="282">
        <f>SUM(V70*AK70/AS70)</f>
        <v>10872.288524590165</v>
      </c>
      <c r="S70" s="282">
        <f>IF(YEAR($CG70)=2018,($BI$4-$CG70)*$AM70/($CH70-$CG70),0)</f>
        <v>0</v>
      </c>
      <c r="T70" s="282">
        <f>IF(YEAR($CG70)=2018,($BI$4-$CG70)*$AO70/($CH70-$CG70),0)</f>
        <v>0</v>
      </c>
      <c r="U70" s="282">
        <f>IF(YEAR($CG70)=2018,($BI$4-$CG70)*$AQ70/($CH70-$CG70),0)</f>
        <v>0</v>
      </c>
      <c r="V70" s="85">
        <f>IF(YEAR($CG70)=2018,($BI$4-$CG70)*$AS70/($CH70-$CG70),0)</f>
        <v>41436.397814207652</v>
      </c>
      <c r="W70" s="85">
        <f>SUM(X70:AB70)</f>
        <v>103764.51366120219</v>
      </c>
      <c r="X70" s="282">
        <f>SUM(AB70*AK70/AS70)</f>
        <v>21567.311475409839</v>
      </c>
      <c r="Y70" s="282">
        <f>IF(YEAR($CH70)&gt;2019,($BO$4-$BI$4)*AM$71/($CH70-$CG70),0)</f>
        <v>0</v>
      </c>
      <c r="Z70" s="282">
        <f>IF(YEAR($CH70)&gt;2019,($BO$4-$BI$4)*AO$71/($CH70-$CG70),0)</f>
        <v>0</v>
      </c>
      <c r="AA70" s="282">
        <f>IF(YEAR($CH70)&gt;2019,($BO$4-$BI$4)*AQ$71/($CH70-$CG70),0)</f>
        <v>0</v>
      </c>
      <c r="AB70" s="85">
        <f>IF(YEAR($CH70)&gt;2019,($BO$4-$BI$4)*AS$71/($CH70-$CG70),0)</f>
        <v>82197.202185792354</v>
      </c>
      <c r="AC70" s="85">
        <f>SUM(AD70:AH70)</f>
        <v>104048.79999999999</v>
      </c>
      <c r="AD70" s="286">
        <f>SUM(AH70*AK70/AS70)</f>
        <v>21626.399999999998</v>
      </c>
      <c r="AE70" s="286">
        <f>IF(YEAR($CH70)=2020,($CH70-$BO$4)*$AM70/($CH70-$CG70),0)</f>
        <v>0</v>
      </c>
      <c r="AF70" s="286">
        <f>IF(YEAR($CH70)=2020,($CH70-$BO$4)*$AO70/($CH70-$CG70),0)</f>
        <v>0</v>
      </c>
      <c r="AG70" s="286">
        <f>IF(YEAR($CH70)=2020,($CH70-$BO$4)*$AQ70/($CH70-$CG70),0)</f>
        <v>0</v>
      </c>
      <c r="AH70" s="85">
        <f>IF(YEAR($CH70)=2020,($CH70-$BO$4)*$AS70/($CH70-$CG70),0)</f>
        <v>82422.399999999994</v>
      </c>
      <c r="AI70" s="769">
        <f>SUM('3 pr-2'!L71)</f>
        <v>260122</v>
      </c>
      <c r="AJ70" s="1082">
        <f t="shared" si="171"/>
        <v>260122</v>
      </c>
      <c r="AK70" s="282">
        <f>SUM('3 pr-2'!O71)</f>
        <v>54066</v>
      </c>
      <c r="AL70" s="503">
        <f t="shared" si="176"/>
        <v>54066</v>
      </c>
      <c r="AM70" s="282">
        <f>SUM('3 pr-2'!R71)</f>
        <v>0</v>
      </c>
      <c r="AN70" s="503">
        <f t="shared" si="172"/>
        <v>0</v>
      </c>
      <c r="AO70" s="282">
        <f>SUM('3 pr-2'!U71)</f>
        <v>0</v>
      </c>
      <c r="AP70" s="503">
        <f t="shared" si="173"/>
        <v>0</v>
      </c>
      <c r="AQ70" s="282">
        <f>SUM('3 pr-2'!X71)</f>
        <v>0</v>
      </c>
      <c r="AR70" s="282"/>
      <c r="AS70" s="748">
        <f>SUM('3 pr-2'!AA71)</f>
        <v>206056</v>
      </c>
      <c r="AT70" s="503">
        <f t="shared" si="174"/>
        <v>206056</v>
      </c>
      <c r="AU70" s="1071"/>
      <c r="AV70" s="1093"/>
      <c r="AW70" s="1093"/>
      <c r="AX70" s="282"/>
      <c r="AY70" s="282"/>
      <c r="AZ70" s="282"/>
      <c r="BA70" s="282"/>
      <c r="BB70" s="1093"/>
      <c r="BC70" s="1093"/>
      <c r="BD70" s="282"/>
      <c r="BE70" s="282"/>
      <c r="BF70" s="282"/>
      <c r="BG70" s="282"/>
      <c r="BH70" s="1093"/>
      <c r="BI70" s="1093"/>
      <c r="BJ70" s="282"/>
      <c r="BK70" s="282"/>
      <c r="BL70" s="282"/>
      <c r="BM70" s="282"/>
      <c r="BN70" s="1093"/>
      <c r="BO70" s="1093"/>
      <c r="BP70" s="282"/>
      <c r="BQ70" s="282"/>
      <c r="BR70" s="282"/>
      <c r="BS70" s="282"/>
      <c r="BT70" s="1093"/>
      <c r="BU70" s="1093"/>
      <c r="BV70" s="282"/>
      <c r="BW70" s="282"/>
      <c r="BX70" s="282"/>
      <c r="BY70" s="282"/>
      <c r="BZ70" s="1093"/>
      <c r="CA70" s="24"/>
      <c r="CB70" s="282"/>
      <c r="CC70" s="282"/>
      <c r="CD70" s="282"/>
      <c r="CE70" s="282"/>
      <c r="CF70" s="359"/>
      <c r="CG70" s="1068">
        <f>SUM('3 pr-2'!AI71)</f>
        <v>43281</v>
      </c>
      <c r="CH70" s="1068">
        <f>SUM('3 pr-2'!AK71)</f>
        <v>44196</v>
      </c>
      <c r="CI70" s="68">
        <f>SUM(P70+V70+AB70+AH70)</f>
        <v>206056</v>
      </c>
      <c r="CJ70" s="68">
        <f t="shared" si="160"/>
        <v>0</v>
      </c>
      <c r="CK70" s="126">
        <f>SUM(Q3-CG70)</f>
        <v>184</v>
      </c>
      <c r="CL70" s="1169">
        <f>SUM(AI70/($CH$70-$CG$70))</f>
        <v>284.28633879781421</v>
      </c>
      <c r="CM70" s="1169">
        <f>SUM(AK70/($CH$70-$CG$70))</f>
        <v>59.088524590163935</v>
      </c>
      <c r="CN70" s="1169">
        <f>SUM(AM70/($CH$70-$CG$70))</f>
        <v>0</v>
      </c>
      <c r="CO70" s="1171">
        <f>SUM(AS70/($CH$70-$CG$70))</f>
        <v>225.19781420765028</v>
      </c>
      <c r="CQ70" s="1069">
        <f t="shared" si="177"/>
        <v>260122</v>
      </c>
      <c r="CR70" s="1070">
        <f t="shared" si="178"/>
        <v>206056</v>
      </c>
    </row>
    <row r="71" spans="1:100" s="126" customFormat="1" ht="27" customHeight="1" thickBot="1" x14ac:dyDescent="0.3">
      <c r="A71" s="18" t="str">
        <f>CONCATENATE('3 pr-2'!A72)</f>
        <v>1.1.1.9.5</v>
      </c>
      <c r="B71" s="123" t="str">
        <f>CONCATENATE('3 pr-2'!D72)</f>
        <v>Vinco Krėvės-Mickevičiaus memorialinio muziejaus atnaujinimas</v>
      </c>
      <c r="C71" s="71">
        <v>0</v>
      </c>
      <c r="D71" s="71">
        <v>0</v>
      </c>
      <c r="E71" s="71">
        <v>0</v>
      </c>
      <c r="F71" s="282">
        <v>0</v>
      </c>
      <c r="G71" s="282">
        <v>0</v>
      </c>
      <c r="H71" s="282">
        <v>0</v>
      </c>
      <c r="I71" s="282">
        <v>0</v>
      </c>
      <c r="J71" s="71">
        <v>0</v>
      </c>
      <c r="K71" s="75">
        <f>SUM('ketv. 7 '!M70)</f>
        <v>0</v>
      </c>
      <c r="L71" s="286">
        <f>SUM('ketv. 7 '!R70)</f>
        <v>0</v>
      </c>
      <c r="M71" s="286">
        <f>SUM('ketv. 7 '!W70)</f>
        <v>0</v>
      </c>
      <c r="N71" s="286">
        <v>0</v>
      </c>
      <c r="O71" s="286">
        <v>0</v>
      </c>
      <c r="P71" s="75">
        <f>SUM('ketv. 7 '!AL70)</f>
        <v>0</v>
      </c>
      <c r="Q71" s="85">
        <f>SUM(($Q$3-$CG$71)*CL71)</f>
        <v>34915.148711943795</v>
      </c>
      <c r="R71" s="282">
        <f>SUM(($Q$3-$CG$71)*CM71)</f>
        <v>5237.2939110070256</v>
      </c>
      <c r="S71" s="282">
        <f>IF(YEAR($CG71)=2018,($BI$4-$CG71)*$AM71/($CH71-$CG71),0)</f>
        <v>0</v>
      </c>
      <c r="T71" s="282">
        <f>IF(YEAR($CG71)=2018,($BI$4-$CG71)*$AO71/($CH71-$CG71),0)</f>
        <v>0</v>
      </c>
      <c r="U71" s="282">
        <f>IF(YEAR($CG71)=2018,($BI$4-$CG71)*$AQ71/($CH71-$CG71),0)</f>
        <v>0</v>
      </c>
      <c r="V71" s="85">
        <f>SUM(($Q$3-$CG$71)*CO71)</f>
        <v>29677.854800936766</v>
      </c>
      <c r="W71" s="85">
        <f>SUM(($W$3-$Q$3)*CL71)</f>
        <v>103609.99414519906</v>
      </c>
      <c r="X71" s="286">
        <f>SUM(($W$3-$Q$3)*CM71)</f>
        <v>15541.563231850118</v>
      </c>
      <c r="Y71" s="282">
        <f>IF(YEAR($CH71)&gt;2019,($BO$4-$BI$4)*AM$71/($CH71-$CG71),0)</f>
        <v>0</v>
      </c>
      <c r="Z71" s="282">
        <f>IF(YEAR($CH71)&gt;2019,($BO$4-$BI$4)*AO$71/($CH71-$CG71),0)</f>
        <v>0</v>
      </c>
      <c r="AA71" s="282">
        <f>IF(YEAR($CH71)&gt;2019,($BO$4-$BI$4)*AQ$71/($CH71-$CG71),0)</f>
        <v>0</v>
      </c>
      <c r="AB71" s="85">
        <f>SUM(($W$3-$Q$3)*CO71)</f>
        <v>88068.430913348944</v>
      </c>
      <c r="AC71" s="85">
        <f>SUM(($CH$71-$W$3)*CL71)</f>
        <v>103893.85714285714</v>
      </c>
      <c r="AD71" s="286">
        <f>SUM(($CH$71-$W$3)*CM71)</f>
        <v>15584.142857142857</v>
      </c>
      <c r="AE71" s="286">
        <f>SUM(($CH$71-$W$3)*CN71)</f>
        <v>0</v>
      </c>
      <c r="AF71" s="286">
        <f>IF(YEAR($CH71)=2020,($CH71-$BO$4)*$AO71/($CH71-$CG71),0)</f>
        <v>0</v>
      </c>
      <c r="AG71" s="286">
        <f>IF(YEAR($CH71)=2020,($CH71-$BO$4)*$AQ71/($CH71-$CG71),0)</f>
        <v>0</v>
      </c>
      <c r="AH71" s="85">
        <f>SUM(($CH$71-$W$3)*CO71)</f>
        <v>88309.71428571429</v>
      </c>
      <c r="AI71" s="769">
        <f>SUM('3 pr-2'!L72)</f>
        <v>242419</v>
      </c>
      <c r="AJ71" s="1082">
        <f t="shared" si="171"/>
        <v>242419</v>
      </c>
      <c r="AK71" s="282">
        <f>SUM('3 pr-2'!O72)</f>
        <v>36363</v>
      </c>
      <c r="AL71" s="503">
        <f t="shared" si="176"/>
        <v>36363</v>
      </c>
      <c r="AM71" s="282">
        <f>SUM('3 pr-2'!R72)</f>
        <v>0</v>
      </c>
      <c r="AN71" s="503">
        <f t="shared" si="172"/>
        <v>0</v>
      </c>
      <c r="AO71" s="282">
        <f>SUM('3 pr-2'!U72)</f>
        <v>0</v>
      </c>
      <c r="AP71" s="503">
        <f t="shared" si="173"/>
        <v>0</v>
      </c>
      <c r="AQ71" s="282">
        <f>SUM('3 pr-2'!X72)</f>
        <v>0</v>
      </c>
      <c r="AR71" s="282"/>
      <c r="AS71" s="748">
        <f>SUM('3 pr-2'!AA72)</f>
        <v>206056</v>
      </c>
      <c r="AT71" s="503">
        <f t="shared" si="174"/>
        <v>206056</v>
      </c>
      <c r="AU71" s="1071"/>
      <c r="AV71" s="1093"/>
      <c r="AW71" s="1093"/>
      <c r="AX71" s="282"/>
      <c r="AY71" s="282"/>
      <c r="AZ71" s="282"/>
      <c r="BA71" s="282"/>
      <c r="BB71" s="1093"/>
      <c r="BC71" s="1093"/>
      <c r="BD71" s="282"/>
      <c r="BE71" s="282"/>
      <c r="BF71" s="282"/>
      <c r="BG71" s="282"/>
      <c r="BH71" s="1093"/>
      <c r="BI71" s="1093"/>
      <c r="BJ71" s="282"/>
      <c r="BK71" s="282"/>
      <c r="BL71" s="282"/>
      <c r="BM71" s="282"/>
      <c r="BN71" s="1093"/>
      <c r="BO71" s="1093"/>
      <c r="BP71" s="282"/>
      <c r="BQ71" s="282"/>
      <c r="BR71" s="282"/>
      <c r="BS71" s="282"/>
      <c r="BT71" s="1093"/>
      <c r="BU71" s="1093"/>
      <c r="BV71" s="282"/>
      <c r="BW71" s="282"/>
      <c r="BX71" s="282"/>
      <c r="BY71" s="282"/>
      <c r="BZ71" s="1093"/>
      <c r="CA71" s="24"/>
      <c r="CB71" s="282"/>
      <c r="CC71" s="282"/>
      <c r="CD71" s="282"/>
      <c r="CE71" s="282"/>
      <c r="CF71" s="359"/>
      <c r="CG71" s="1068">
        <f>SUM('3 pr-2'!AI72)</f>
        <v>43342</v>
      </c>
      <c r="CH71" s="1068">
        <f>SUM('3 pr-2'!AK72)</f>
        <v>44196</v>
      </c>
      <c r="CI71" s="68">
        <f>SUM(P71+V71+AB71+AH71)</f>
        <v>206056</v>
      </c>
      <c r="CJ71" s="68">
        <f t="shared" si="160"/>
        <v>0</v>
      </c>
      <c r="CL71" s="1169">
        <f>SUM(AI71/($CH$71-$CG$71))</f>
        <v>283.86299765807962</v>
      </c>
      <c r="CM71" s="1169">
        <f>SUM(AK71/($CH$71-$CG$71))</f>
        <v>42.579625292740047</v>
      </c>
      <c r="CN71" s="1169">
        <f>SUM(AM71/($CH$71-$CG$71))</f>
        <v>0</v>
      </c>
      <c r="CO71" s="1171">
        <f>SUM(AS71/($CH$71-$CG$71))</f>
        <v>241.28337236533957</v>
      </c>
      <c r="CQ71" s="1069">
        <f t="shared" si="177"/>
        <v>242419</v>
      </c>
      <c r="CR71" s="1070">
        <f t="shared" si="178"/>
        <v>206056</v>
      </c>
    </row>
    <row r="72" spans="1:100" ht="52.5" thickBot="1" x14ac:dyDescent="0.3">
      <c r="A72" s="280" t="str">
        <f>CONCATENATE('3 pr-2'!A73)</f>
        <v>1.1.2.</v>
      </c>
      <c r="B72" s="116" t="str">
        <f>CONCATENATE('3 pr-2'!B73)</f>
        <v>Uždavinys:
Pagerinti darbo jėgos judėjimo galimybes gerinant susisiekimo sistemas</v>
      </c>
      <c r="C72" s="1098">
        <f>SUM(C73+C78+C85+C91)</f>
        <v>0</v>
      </c>
      <c r="D72" s="1098">
        <f>SUM(D73+D78+D85+D91)</f>
        <v>0</v>
      </c>
      <c r="E72" s="1098">
        <f>SUM(E73+E78+E85+E91)</f>
        <v>0</v>
      </c>
      <c r="F72" s="1098"/>
      <c r="G72" s="1098"/>
      <c r="H72" s="1098"/>
      <c r="I72" s="1098"/>
      <c r="J72" s="1098">
        <f t="shared" ref="J72:Q72" si="179">SUM(J73+J78+J85+J91)</f>
        <v>0</v>
      </c>
      <c r="K72" s="1098">
        <f t="shared" si="179"/>
        <v>959669.18</v>
      </c>
      <c r="L72" s="1099">
        <f t="shared" si="179"/>
        <v>111405.20999999999</v>
      </c>
      <c r="M72" s="1099">
        <f t="shared" si="179"/>
        <v>0</v>
      </c>
      <c r="N72" s="1099">
        <f t="shared" si="179"/>
        <v>0</v>
      </c>
      <c r="O72" s="1099">
        <f t="shared" si="179"/>
        <v>32545.37</v>
      </c>
      <c r="P72" s="1098">
        <f t="shared" si="179"/>
        <v>815718.60000000009</v>
      </c>
      <c r="Q72" s="1098">
        <f t="shared" si="179"/>
        <v>2558590.5134373517</v>
      </c>
      <c r="R72" s="1099"/>
      <c r="S72" s="1099"/>
      <c r="T72" s="1099"/>
      <c r="U72" s="1099"/>
      <c r="V72" s="1098">
        <f>SUM(V73+V78+V85+V91)</f>
        <v>1354839.5368665853</v>
      </c>
      <c r="W72" s="1098">
        <f>SUM(W73+W78+W85+W91)</f>
        <v>3660693.4529563077</v>
      </c>
      <c r="X72" s="1099"/>
      <c r="Y72" s="1099"/>
      <c r="Z72" s="1099"/>
      <c r="AA72" s="1099"/>
      <c r="AB72" s="1098">
        <f>SUM(AB73+AB78+AB85+AB91)</f>
        <v>2451137.6126042884</v>
      </c>
      <c r="AC72" s="1098">
        <f>SUM(AC73+AC78+AC85+AC91)</f>
        <v>2022798.4736063411</v>
      </c>
      <c r="AD72" s="1099"/>
      <c r="AE72" s="1099"/>
      <c r="AF72" s="1099"/>
      <c r="AG72" s="1099"/>
      <c r="AH72" s="1098">
        <f>SUM(AH73+AH78+AH85+AH91)</f>
        <v>1717792.480529126</v>
      </c>
      <c r="AI72" s="1100">
        <f>SUM(AI73+AI78+AI85+AI91)</f>
        <v>9201751.620000001</v>
      </c>
      <c r="AJ72" s="1098"/>
      <c r="AK72" s="1098"/>
      <c r="AL72" s="1098"/>
      <c r="AM72" s="1098"/>
      <c r="AN72" s="1098"/>
      <c r="AO72" s="1098"/>
      <c r="AP72" s="1098"/>
      <c r="AQ72" s="1098"/>
      <c r="AR72" s="1098"/>
      <c r="AS72" s="1098">
        <f>SUM(AS73+AS78+AS85+AS91)</f>
        <v>6339488.2300000004</v>
      </c>
      <c r="AT72" s="1101"/>
      <c r="AX72" s="1098"/>
      <c r="AY72" s="1098"/>
      <c r="AZ72" s="1098"/>
      <c r="BA72" s="1098"/>
      <c r="BD72" s="1098"/>
      <c r="BE72" s="1098"/>
      <c r="BF72" s="1098"/>
      <c r="BG72" s="1098"/>
      <c r="BJ72" s="1098"/>
      <c r="BK72" s="1098"/>
      <c r="BL72" s="1098"/>
      <c r="BM72" s="1098"/>
      <c r="BP72" s="1098"/>
      <c r="BQ72" s="1098"/>
      <c r="BR72" s="1098"/>
      <c r="BS72" s="1098"/>
      <c r="BV72" s="1098"/>
      <c r="BW72" s="1098"/>
      <c r="BX72" s="1098"/>
      <c r="BY72" s="1098"/>
      <c r="CB72" s="1098"/>
      <c r="CC72" s="1098"/>
      <c r="CD72" s="1098"/>
      <c r="CE72" s="1098"/>
      <c r="CG72" s="1069"/>
      <c r="CH72" s="23"/>
    </row>
    <row r="73" spans="1:100" ht="52.5" thickBot="1" x14ac:dyDescent="0.3">
      <c r="A73" s="278" t="str">
        <f>CONCATENATE('3 pr-2'!A74)</f>
        <v>1.1.2.1</v>
      </c>
      <c r="B73" s="118" t="str">
        <f>CONCATENATE('3 pr-2'!B74)</f>
        <v>Priemonė:
Vietinio susisiekimo viešojo transporto priemonių parko atnaujinimas</v>
      </c>
      <c r="C73" s="1089">
        <f>SUM(C74:C77)</f>
        <v>0</v>
      </c>
      <c r="D73" s="1089">
        <f>SUM(D74:D77)</f>
        <v>0</v>
      </c>
      <c r="E73" s="1089">
        <f>SUM(E74:E77)</f>
        <v>0</v>
      </c>
      <c r="F73" s="1089"/>
      <c r="G73" s="1089"/>
      <c r="H73" s="1089"/>
      <c r="I73" s="1089"/>
      <c r="J73" s="1089">
        <f t="shared" ref="J73:Q73" si="180">SUM(J74:J77)</f>
        <v>0</v>
      </c>
      <c r="K73" s="1089">
        <f t="shared" si="180"/>
        <v>0</v>
      </c>
      <c r="L73" s="1090">
        <f t="shared" si="180"/>
        <v>0</v>
      </c>
      <c r="M73" s="1090">
        <f t="shared" si="180"/>
        <v>0</v>
      </c>
      <c r="N73" s="1090">
        <f t="shared" si="180"/>
        <v>0</v>
      </c>
      <c r="O73" s="1090">
        <f t="shared" si="180"/>
        <v>0</v>
      </c>
      <c r="P73" s="1089">
        <f t="shared" si="180"/>
        <v>0</v>
      </c>
      <c r="Q73" s="1089">
        <f t="shared" si="180"/>
        <v>79069.408155630386</v>
      </c>
      <c r="R73" s="1090"/>
      <c r="S73" s="1090"/>
      <c r="T73" s="1090"/>
      <c r="U73" s="1090"/>
      <c r="V73" s="1089">
        <f>SUM(V74:V77)</f>
        <v>43236.777902481605</v>
      </c>
      <c r="W73" s="1089">
        <f>SUM(W74:W77)</f>
        <v>1208714.1317225862</v>
      </c>
      <c r="X73" s="1090"/>
      <c r="Y73" s="1090"/>
      <c r="Z73" s="1090"/>
      <c r="AA73" s="1090"/>
      <c r="AB73" s="1089">
        <f>SUM(AB74:AB77)</f>
        <v>754723.15282962529</v>
      </c>
      <c r="AC73" s="1089">
        <f>SUM(AC74:AC77)</f>
        <v>547426.46012178331</v>
      </c>
      <c r="AD73" s="1090"/>
      <c r="AE73" s="1090"/>
      <c r="AF73" s="1090"/>
      <c r="AG73" s="1090"/>
      <c r="AH73" s="1089">
        <f>SUM(AH74:AH77)</f>
        <v>465312.06926789309</v>
      </c>
      <c r="AI73" s="1091">
        <f>SUM(AI74:AI77)</f>
        <v>1835210</v>
      </c>
      <c r="AJ73" s="1089"/>
      <c r="AK73" s="1089"/>
      <c r="AL73" s="1089"/>
      <c r="AM73" s="1089"/>
      <c r="AN73" s="1089"/>
      <c r="AO73" s="1089"/>
      <c r="AP73" s="1089"/>
      <c r="AQ73" s="1089"/>
      <c r="AR73" s="1089"/>
      <c r="AS73" s="1089">
        <f>SUM(AS74:AS77)</f>
        <v>1263272</v>
      </c>
      <c r="AT73" s="1102"/>
      <c r="AU73" s="23">
        <v>0</v>
      </c>
      <c r="AV73" s="23">
        <v>0</v>
      </c>
      <c r="AW73" s="23">
        <v>0</v>
      </c>
      <c r="AX73" s="1089">
        <v>0</v>
      </c>
      <c r="AY73" s="1089">
        <v>0</v>
      </c>
      <c r="AZ73" s="1089">
        <v>0</v>
      </c>
      <c r="BA73" s="1089">
        <v>0</v>
      </c>
      <c r="BB73" s="23">
        <v>0</v>
      </c>
      <c r="BC73" s="23">
        <v>20</v>
      </c>
      <c r="BD73" s="1089">
        <v>20</v>
      </c>
      <c r="BE73" s="1089">
        <v>20</v>
      </c>
      <c r="BF73" s="1089">
        <v>20</v>
      </c>
      <c r="BG73" s="1089">
        <v>20</v>
      </c>
      <c r="BH73" s="23">
        <v>20</v>
      </c>
      <c r="BI73" s="23">
        <v>80</v>
      </c>
      <c r="BJ73" s="1089">
        <v>80</v>
      </c>
      <c r="BK73" s="1089">
        <v>80</v>
      </c>
      <c r="BL73" s="1089">
        <v>80</v>
      </c>
      <c r="BM73" s="1089">
        <v>80</v>
      </c>
      <c r="BN73" s="23">
        <v>80</v>
      </c>
      <c r="BO73" s="23">
        <v>0</v>
      </c>
      <c r="BP73" s="1089">
        <v>0</v>
      </c>
      <c r="BQ73" s="1089">
        <v>0</v>
      </c>
      <c r="BR73" s="1089">
        <v>0</v>
      </c>
      <c r="BS73" s="1089">
        <v>0</v>
      </c>
      <c r="BT73" s="23">
        <v>0</v>
      </c>
      <c r="BU73" s="23">
        <v>0</v>
      </c>
      <c r="BV73" s="1089">
        <v>0</v>
      </c>
      <c r="BW73" s="1089">
        <v>0</v>
      </c>
      <c r="BX73" s="1089">
        <v>0</v>
      </c>
      <c r="BY73" s="1089">
        <v>0</v>
      </c>
      <c r="BZ73" s="23">
        <v>0</v>
      </c>
      <c r="CA73" s="24">
        <v>100</v>
      </c>
      <c r="CB73" s="1089">
        <v>100</v>
      </c>
      <c r="CC73" s="1089">
        <v>100</v>
      </c>
      <c r="CD73" s="1089">
        <v>100</v>
      </c>
      <c r="CE73" s="1089">
        <v>100</v>
      </c>
      <c r="CF73" s="359">
        <v>100</v>
      </c>
      <c r="CG73" s="23"/>
      <c r="CH73" s="23"/>
    </row>
    <row r="74" spans="1:100" ht="42.75" customHeight="1" thickBot="1" x14ac:dyDescent="0.3">
      <c r="A74" s="18" t="str">
        <f>CONCATENATE('3 pr-2'!A75)</f>
        <v>1.1.2.1.1</v>
      </c>
      <c r="B74" s="111" t="str">
        <f>CONCATENATE('3 pr-2'!D75)</f>
        <v xml:space="preserve">Nekenksmingų aplinkai viešojo transporto priemonių įsigijimas Alytaus mieste </v>
      </c>
      <c r="C74" s="71">
        <v>0</v>
      </c>
      <c r="D74" s="85">
        <v>0</v>
      </c>
      <c r="E74" s="85">
        <v>0</v>
      </c>
      <c r="F74" s="282">
        <v>0</v>
      </c>
      <c r="G74" s="282">
        <v>0</v>
      </c>
      <c r="H74" s="282">
        <v>0</v>
      </c>
      <c r="I74" s="282">
        <v>0</v>
      </c>
      <c r="J74" s="85">
        <v>0</v>
      </c>
      <c r="K74" s="75">
        <v>0</v>
      </c>
      <c r="L74" s="286">
        <v>0</v>
      </c>
      <c r="M74" s="286">
        <v>0</v>
      </c>
      <c r="N74" s="286">
        <v>0</v>
      </c>
      <c r="O74" s="286">
        <v>0</v>
      </c>
      <c r="P74" s="75">
        <v>0</v>
      </c>
      <c r="Q74" s="85">
        <f>IF(YEAR($CG74)=2018,($BI$4-$CG74)*$AI74/($CH74-$CG74),0)</f>
        <v>0</v>
      </c>
      <c r="R74" s="282">
        <f>IF(YEAR($CG74)=2018,($BI$4-$CG74)*$AK74/($CH74-$CG74),0)</f>
        <v>0</v>
      </c>
      <c r="S74" s="282">
        <f>IF(YEAR($CG$74)=2018,($BI$4-$CG$74)*AM$74/($CH$74-$CG$74),0)</f>
        <v>0</v>
      </c>
      <c r="T74" s="282">
        <f>IF(YEAR($CG$74)=2018,($BI$4-$CG$74)*AO$74/($CH$74-$CG$74),0)</f>
        <v>0</v>
      </c>
      <c r="U74" s="282">
        <f>IF(YEAR($CG$74)=2018,($BI$4-$CG$74)*AQ$74/($CH$74-$CG$74),0)</f>
        <v>0</v>
      </c>
      <c r="V74" s="85">
        <f>IF(YEAR($CG$74)=2018,($BI$4-$CG$74)*AS$74/($CH$74-$CG$74),0)</f>
        <v>0</v>
      </c>
      <c r="W74" s="85">
        <f>SUM(CI74*CL74)</f>
        <v>58558.576802507843</v>
      </c>
      <c r="X74" s="282">
        <f>SUM(CI74*CM74)</f>
        <v>8783.8369905956115</v>
      </c>
      <c r="Y74" s="282">
        <f>IF(YEAR($CH74)&lt;$CH74,($W$3-$Q$3)*$AM74/($CH74-$CG74),0)</f>
        <v>0</v>
      </c>
      <c r="Z74" s="282">
        <f>IF(YEAR($CH74)&lt;$CH74,($W$3-$Q$3)*$AO74/($CH74-$CG74),0)</f>
        <v>0</v>
      </c>
      <c r="AA74" s="282">
        <f>IF(YEAR($CH74)&lt;$CH74,($W$3-CG74)*$AQ74/($CH74-$CG74),0)</f>
        <v>0</v>
      </c>
      <c r="AB74" s="85">
        <f>SUM(CI74*CN74)</f>
        <v>49774.739811912223</v>
      </c>
      <c r="AC74" s="85">
        <f>SUM(CJ74*CL74)</f>
        <v>347532.4231974922</v>
      </c>
      <c r="AD74" s="286">
        <f>SUM(CJ74*CM74)</f>
        <v>52130.163009404387</v>
      </c>
      <c r="AE74" s="282">
        <f>IF(YEAR($CH$74)=2020,($BU$4-$CH$74)*AM$74/($CH$74-$CG$74),0)</f>
        <v>0</v>
      </c>
      <c r="AF74" s="282">
        <f>IF(YEAR($CH$74)=2020,($BU$4-$CH$74)*AO$74/($CH$74-$CG$74),0)</f>
        <v>0</v>
      </c>
      <c r="AG74" s="282">
        <f>IF(YEAR($CH$74)=2020,($BU$4-$CH$74)*AQ$74/($CH$74-$CG$74),0)</f>
        <v>0</v>
      </c>
      <c r="AH74" s="85">
        <f>SUM(CJ74*CN74)</f>
        <v>295402.26018808776</v>
      </c>
      <c r="AI74" s="766">
        <f>SUM('3 pr-2'!L75)</f>
        <v>406091</v>
      </c>
      <c r="AJ74" s="1082">
        <f t="shared" ref="AJ74:AJ77" si="181">SUM(AI74-K74)</f>
        <v>406091</v>
      </c>
      <c r="AK74" s="282">
        <f>SUM('3 pr-2'!O75)</f>
        <v>60914</v>
      </c>
      <c r="AL74" s="503">
        <f t="shared" ref="AL74:AL77" si="182">SUM(AK74-L74)</f>
        <v>60914</v>
      </c>
      <c r="AM74" s="282">
        <f>SUM('3 pr-2'!R75)</f>
        <v>0</v>
      </c>
      <c r="AN74" s="503">
        <f t="shared" ref="AN74:AN97" si="183">SUM(AM74-M74)</f>
        <v>0</v>
      </c>
      <c r="AO74" s="282">
        <f>SUM('3 pr-2'!U75)</f>
        <v>0</v>
      </c>
      <c r="AP74" s="503">
        <f t="shared" ref="AP74:AP97" si="184">SUM(AO74-O74)</f>
        <v>0</v>
      </c>
      <c r="AQ74" s="282">
        <f>SUM('3 pr-2'!X75)</f>
        <v>0</v>
      </c>
      <c r="AR74" s="282"/>
      <c r="AS74" s="6">
        <f>SUM('3 pr-2'!AA75)</f>
        <v>345177</v>
      </c>
      <c r="AT74" s="503">
        <f t="shared" ref="AT74:AT77" si="185">SUM(AS74-P74)</f>
        <v>345177</v>
      </c>
      <c r="AU74" s="1103">
        <f>SUM(V74+AB74+AH74)</f>
        <v>345177</v>
      </c>
      <c r="AV74" s="23"/>
      <c r="AW74" s="23"/>
      <c r="AX74" s="282"/>
      <c r="AY74" s="282"/>
      <c r="AZ74" s="282"/>
      <c r="BA74" s="282"/>
      <c r="BB74" s="23"/>
      <c r="BC74" s="23"/>
      <c r="BD74" s="282"/>
      <c r="BE74" s="282"/>
      <c r="BF74" s="282"/>
      <c r="BG74" s="282"/>
      <c r="BH74" s="23"/>
      <c r="BI74" s="23"/>
      <c r="BJ74" s="282"/>
      <c r="BK74" s="282"/>
      <c r="BL74" s="282"/>
      <c r="BM74" s="282"/>
      <c r="BN74" s="23"/>
      <c r="BO74" s="23"/>
      <c r="BP74" s="282"/>
      <c r="BQ74" s="282"/>
      <c r="BR74" s="282"/>
      <c r="BS74" s="282"/>
      <c r="BT74" s="23"/>
      <c r="BU74" s="23"/>
      <c r="BV74" s="282"/>
      <c r="BW74" s="282"/>
      <c r="BX74" s="282"/>
      <c r="BY74" s="282"/>
      <c r="BZ74" s="23"/>
      <c r="CA74" s="24"/>
      <c r="CB74" s="282"/>
      <c r="CC74" s="282"/>
      <c r="CD74" s="282"/>
      <c r="CE74" s="282"/>
      <c r="CF74" s="359"/>
      <c r="CG74" s="1068">
        <f>SUM('3 pr-2'!AI75)</f>
        <v>43738</v>
      </c>
      <c r="CH74" s="1068">
        <f>SUM('3 pr-2'!AK75)</f>
        <v>44377</v>
      </c>
      <c r="CI74" s="68">
        <f>SUM($W$3-CG74)</f>
        <v>92</v>
      </c>
      <c r="CJ74" s="68">
        <f>SUM(CH74-$AC$2)</f>
        <v>546</v>
      </c>
      <c r="CL74" s="25">
        <f>SUM(AI74/(CI74+CJ74+CK74))</f>
        <v>636.50626959247654</v>
      </c>
      <c r="CM74" s="25">
        <f>SUM(AK74/(CI74+CJ74+CK74))</f>
        <v>95.476489028213166</v>
      </c>
      <c r="CN74" s="25">
        <f>SUM(AS74/(CI74+CJ74+CK74))</f>
        <v>541.02978056426332</v>
      </c>
      <c r="CQ74" s="1069">
        <f t="shared" ref="CQ74" si="186">SUM(E74+K74+Q74+W74+AC74)</f>
        <v>406091.00000000006</v>
      </c>
      <c r="CR74" s="1070">
        <f t="shared" ref="CR74" si="187">SUM(J74+P74+V74+AB74+AH74)</f>
        <v>345177</v>
      </c>
    </row>
    <row r="75" spans="1:100" ht="39" customHeight="1" thickBot="1" x14ac:dyDescent="0.3">
      <c r="A75" s="18" t="str">
        <f>CONCATENATE('3 pr-2'!A76)</f>
        <v>1.1.2.1.2</v>
      </c>
      <c r="B75" s="14" t="str">
        <f>CONCATENATE('3 pr-2'!D76)</f>
        <v>Vietinio susisiekimo transporto priemonių įsigijimas</v>
      </c>
      <c r="C75" s="71">
        <v>0</v>
      </c>
      <c r="D75" s="85">
        <v>0</v>
      </c>
      <c r="E75" s="85">
        <v>0</v>
      </c>
      <c r="F75" s="282">
        <v>0</v>
      </c>
      <c r="G75" s="282">
        <v>0</v>
      </c>
      <c r="H75" s="282">
        <v>0</v>
      </c>
      <c r="I75" s="282">
        <v>0</v>
      </c>
      <c r="J75" s="85">
        <v>0</v>
      </c>
      <c r="K75" s="75">
        <v>0</v>
      </c>
      <c r="L75" s="286">
        <v>0</v>
      </c>
      <c r="M75" s="286">
        <v>0</v>
      </c>
      <c r="N75" s="286">
        <v>0</v>
      </c>
      <c r="O75" s="286">
        <v>0</v>
      </c>
      <c r="P75" s="75">
        <v>0</v>
      </c>
      <c r="Q75" s="85">
        <f>IF(YEAR($CG75)=2018,($W$2-$CG75)*$AI75/($CH75-$CG75),0)</f>
        <v>0</v>
      </c>
      <c r="R75" s="282">
        <f>IF(YEAR($CG75)=2018,($W$2-$CG75)*$AK75/($CH75-$CG75),0)</f>
        <v>0</v>
      </c>
      <c r="S75" s="282">
        <f>IF(YEAR($CG$75)=2018,(W2-CG75)*AM$75/($CH$75-$CG$75),0)</f>
        <v>0</v>
      </c>
      <c r="T75" s="282">
        <f>IF(YEAR($CG75)=2018,($W$2-$CG75)*$AO75/($CH75-$CG75),0)</f>
        <v>0</v>
      </c>
      <c r="U75" s="282">
        <f>IF(YEAR($CG75)=2018,($W$2-$CG75)*$AQ75/($CH75-$CG75),0)</f>
        <v>0</v>
      </c>
      <c r="V75" s="85">
        <f>IF(YEAR($CG75)=2018,($W$2-$CG75)*$AS75/($CH75-$CG75),0)</f>
        <v>0</v>
      </c>
      <c r="W75" s="85">
        <f>SUM(CI75*CL75)</f>
        <v>246641.91780821918</v>
      </c>
      <c r="X75" s="282">
        <f>SUM(CI75*CM75)</f>
        <v>36996.098630136985</v>
      </c>
      <c r="Y75" s="282">
        <v>0</v>
      </c>
      <c r="Z75" s="282">
        <v>0</v>
      </c>
      <c r="AA75" s="282">
        <v>0</v>
      </c>
      <c r="AB75" s="85">
        <f>SUM(CI75*CN75)</f>
        <v>209645.81917808219</v>
      </c>
      <c r="AC75" s="85">
        <f>SUM(CJ75*CL75)</f>
        <v>79533.082191780821</v>
      </c>
      <c r="AD75" s="286">
        <f>SUM(CJ75*CM75)</f>
        <v>11929.901369863013</v>
      </c>
      <c r="AE75" s="286">
        <v>0</v>
      </c>
      <c r="AF75" s="286">
        <v>0</v>
      </c>
      <c r="AG75" s="286">
        <v>0</v>
      </c>
      <c r="AH75" s="85">
        <f>SUM(CJ75*CN75)</f>
        <v>67603.180821917806</v>
      </c>
      <c r="AI75" s="766">
        <f>SUM('3 pr-2'!L76)</f>
        <v>326175</v>
      </c>
      <c r="AJ75" s="1082">
        <f t="shared" si="181"/>
        <v>326175</v>
      </c>
      <c r="AK75" s="282">
        <f>SUM('3 pr-2'!O76)</f>
        <v>48926</v>
      </c>
      <c r="AL75" s="503">
        <f t="shared" si="182"/>
        <v>48926</v>
      </c>
      <c r="AM75" s="282">
        <f>SUM('3 pr-2'!R76)</f>
        <v>0</v>
      </c>
      <c r="AN75" s="503">
        <f t="shared" si="183"/>
        <v>0</v>
      </c>
      <c r="AO75" s="282">
        <f>SUM('3 pr-2'!U76)</f>
        <v>0</v>
      </c>
      <c r="AP75" s="503">
        <f t="shared" si="184"/>
        <v>0</v>
      </c>
      <c r="AQ75" s="282">
        <f>SUM('3 pr-2'!X76)</f>
        <v>0</v>
      </c>
      <c r="AR75" s="282"/>
      <c r="AS75" s="6">
        <f>SUM('3 pr-2'!AA76)</f>
        <v>277249</v>
      </c>
      <c r="AT75" s="503">
        <f t="shared" si="185"/>
        <v>277249</v>
      </c>
      <c r="AU75" s="1103">
        <f>SUM(V75+AB75+AH75)</f>
        <v>277249</v>
      </c>
      <c r="AV75" s="23"/>
      <c r="AW75" s="23"/>
      <c r="AX75" s="282"/>
      <c r="AY75" s="282"/>
      <c r="AZ75" s="282"/>
      <c r="BA75" s="282"/>
      <c r="BB75" s="23"/>
      <c r="BC75" s="23"/>
      <c r="BD75" s="282"/>
      <c r="BE75" s="282"/>
      <c r="BF75" s="282"/>
      <c r="BG75" s="282"/>
      <c r="BH75" s="23"/>
      <c r="BI75" s="23"/>
      <c r="BJ75" s="282"/>
      <c r="BK75" s="282"/>
      <c r="BL75" s="282"/>
      <c r="BM75" s="282"/>
      <c r="BN75" s="23"/>
      <c r="BO75" s="23"/>
      <c r="BP75" s="282"/>
      <c r="BQ75" s="282"/>
      <c r="BR75" s="282"/>
      <c r="BS75" s="282"/>
      <c r="BT75" s="23"/>
      <c r="BU75" s="23"/>
      <c r="BV75" s="282"/>
      <c r="BW75" s="282"/>
      <c r="BX75" s="282"/>
      <c r="BY75" s="282"/>
      <c r="BZ75" s="23"/>
      <c r="CA75" s="24"/>
      <c r="CB75" s="282"/>
      <c r="CC75" s="282"/>
      <c r="CD75" s="282"/>
      <c r="CE75" s="282"/>
      <c r="CF75" s="359"/>
      <c r="CG75" s="1068">
        <f>SUM('3 pr-2'!AI76)</f>
        <v>43554</v>
      </c>
      <c r="CH75" s="1068">
        <f>SUM('3 pr-2'!AK76)</f>
        <v>43920</v>
      </c>
      <c r="CI75" s="68">
        <f>SUM($W$3-CG75)</f>
        <v>276</v>
      </c>
      <c r="CJ75" s="68">
        <f>SUM(CH75-$AC$2)</f>
        <v>89</v>
      </c>
      <c r="CL75" s="25">
        <f>SUM(AI75/(CI75+CJ75+CK75))</f>
        <v>893.63013698630141</v>
      </c>
      <c r="CM75" s="25">
        <f>SUM(AK75/(CI75+CJ75+CK75))</f>
        <v>134.04383561643834</v>
      </c>
      <c r="CN75" s="25">
        <f>SUM(AS75/(CI75+CJ75+CK75))</f>
        <v>759.58630136986301</v>
      </c>
      <c r="CQ75" s="1069">
        <f t="shared" ref="CQ75:CQ77" si="188">SUM(E75+K75+Q75+W75+AC75)</f>
        <v>326175</v>
      </c>
      <c r="CR75" s="1070">
        <f t="shared" ref="CR75:CR77" si="189">SUM(J75+P75+V75+AB75+AH75)</f>
        <v>277249</v>
      </c>
    </row>
    <row r="76" spans="1:100" ht="29.25" customHeight="1" thickBot="1" x14ac:dyDescent="0.3">
      <c r="A76" s="18" t="str">
        <f>CONCATENATE('3 pr-2'!A77)</f>
        <v>1.1.2.1.3</v>
      </c>
      <c r="B76" s="9" t="str">
        <f>CONCATENATE('3 pr-2'!D77)</f>
        <v>Ekologiškų transporto priemonių įsigijimas Druskininkų savivaldybėje</v>
      </c>
      <c r="C76" s="71">
        <v>0</v>
      </c>
      <c r="D76" s="85">
        <v>0</v>
      </c>
      <c r="E76" s="85">
        <v>0</v>
      </c>
      <c r="F76" s="282">
        <v>0</v>
      </c>
      <c r="G76" s="282">
        <v>0</v>
      </c>
      <c r="H76" s="282">
        <v>0</v>
      </c>
      <c r="I76" s="282">
        <v>0</v>
      </c>
      <c r="J76" s="85">
        <v>0</v>
      </c>
      <c r="K76" s="75">
        <v>0</v>
      </c>
      <c r="L76" s="286">
        <v>0</v>
      </c>
      <c r="M76" s="286">
        <v>0</v>
      </c>
      <c r="N76" s="286">
        <v>0</v>
      </c>
      <c r="O76" s="286">
        <v>0</v>
      </c>
      <c r="P76" s="75">
        <v>0</v>
      </c>
      <c r="Q76" s="85">
        <f>IF(YEAR($CG76)=2018,($W$2-$CG76)*$AI76/($CH76-$CG76),0)</f>
        <v>67898.181818181823</v>
      </c>
      <c r="R76" s="282">
        <f>IF(YEAR($CG$76)=2018,($W$2-$CG76)*AK$76/($CH$76-$CG$76),0)</f>
        <v>0</v>
      </c>
      <c r="S76" s="282">
        <f>IF(YEAR($CG$76)=2018,($BI$4-$CG$76)*AM$76/($CH$76-$CG$76),0)</f>
        <v>0</v>
      </c>
      <c r="T76" s="282">
        <f>IF(YEAR($CG76)=2018,($W$2-$CG76)*$AO76/($CH76-$CG76),0)</f>
        <v>34156.929292929293</v>
      </c>
      <c r="U76" s="282">
        <f>IF(YEAR($CG76)=2018,($W$2-$CG76)*$AQ76/($CH76-$CG76),0)</f>
        <v>0</v>
      </c>
      <c r="V76" s="85">
        <f>IF(YEAR($CG76)=2018,($W$2-$CG76)*$AS76/($CH76-$CG76),0)</f>
        <v>33741.252525252523</v>
      </c>
      <c r="W76" s="85">
        <f>IF(YEAR($CH76)=2019,($CH76-$W$2)*$AJ76/($CH76-$CG76))</f>
        <v>772341.81818181823</v>
      </c>
      <c r="X76" s="282">
        <f>IF(YEAR($CH76)=2019,($CH75-$W$2)*$AK76/($CH76-$CG76))</f>
        <v>0</v>
      </c>
      <c r="Y76" s="282">
        <f>IF(YEAR($CH76)=2019,($CH76-$W$2)*$AM76/($CH76-$CG76))</f>
        <v>0</v>
      </c>
      <c r="Z76" s="282">
        <f>IF(YEAR($CH76)=2019,($CH76-$W$2)*$AO76/($CH76-$CG76))</f>
        <v>388535.0707070707</v>
      </c>
      <c r="AA76" s="282">
        <f>IF(YEAR($CH76)=2019,($CH76-$W$2)*$AQ76/($CH76-$CG76))</f>
        <v>0</v>
      </c>
      <c r="AB76" s="85">
        <f>IF(YEAR($CH76)=2019,($CH76-$W$2)*$AT76/($CH76-$CG76))</f>
        <v>383806.74747474748</v>
      </c>
      <c r="AC76" s="85">
        <v>0</v>
      </c>
      <c r="AD76" s="286">
        <v>0</v>
      </c>
      <c r="AE76" s="286">
        <v>0</v>
      </c>
      <c r="AF76" s="286">
        <v>0</v>
      </c>
      <c r="AG76" s="286">
        <v>0</v>
      </c>
      <c r="AH76" s="85">
        <v>0</v>
      </c>
      <c r="AI76" s="766">
        <f>SUM('3 pr-2'!L77)</f>
        <v>840240</v>
      </c>
      <c r="AJ76" s="1082">
        <f t="shared" si="181"/>
        <v>840240</v>
      </c>
      <c r="AK76" s="282">
        <f>SUM('3 pr-2'!O77)</f>
        <v>0</v>
      </c>
      <c r="AL76" s="503">
        <f t="shared" si="182"/>
        <v>0</v>
      </c>
      <c r="AM76" s="282">
        <f>SUM('3 pr-2'!R77)</f>
        <v>0</v>
      </c>
      <c r="AN76" s="503">
        <f t="shared" si="183"/>
        <v>0</v>
      </c>
      <c r="AO76" s="282">
        <f>SUM('3 pr-2'!U77)</f>
        <v>422692</v>
      </c>
      <c r="AP76" s="503">
        <f t="shared" si="184"/>
        <v>422692</v>
      </c>
      <c r="AQ76" s="282">
        <f>SUM('3 pr-2'!X77)</f>
        <v>0</v>
      </c>
      <c r="AR76" s="282"/>
      <c r="AS76" s="6">
        <f>SUM('3 pr-2'!AA77)</f>
        <v>417548</v>
      </c>
      <c r="AT76" s="503">
        <f t="shared" si="185"/>
        <v>417548</v>
      </c>
      <c r="AU76" s="1103">
        <f>SUM(V76+AB76+AH76)</f>
        <v>417548</v>
      </c>
      <c r="AV76" s="23"/>
      <c r="AW76" s="23"/>
      <c r="AX76" s="282"/>
      <c r="AY76" s="282"/>
      <c r="AZ76" s="282"/>
      <c r="BA76" s="282"/>
      <c r="BB76" s="23"/>
      <c r="BC76" s="23"/>
      <c r="BD76" s="282"/>
      <c r="BE76" s="282"/>
      <c r="BF76" s="282"/>
      <c r="BG76" s="282"/>
      <c r="BH76" s="23"/>
      <c r="BI76" s="23"/>
      <c r="BJ76" s="282"/>
      <c r="BK76" s="282"/>
      <c r="BL76" s="282"/>
      <c r="BM76" s="282"/>
      <c r="BN76" s="23"/>
      <c r="BO76" s="23"/>
      <c r="BP76" s="282"/>
      <c r="BQ76" s="282"/>
      <c r="BR76" s="282"/>
      <c r="BS76" s="282"/>
      <c r="BT76" s="23"/>
      <c r="BU76" s="23"/>
      <c r="BV76" s="282"/>
      <c r="BW76" s="282"/>
      <c r="BX76" s="282"/>
      <c r="BY76" s="282"/>
      <c r="BZ76" s="23"/>
      <c r="CA76" s="24"/>
      <c r="CB76" s="282"/>
      <c r="CC76" s="282"/>
      <c r="CD76" s="282"/>
      <c r="CE76" s="282"/>
      <c r="CF76" s="359"/>
      <c r="CG76" s="1068">
        <f>SUM('3 pr-2'!AI77)</f>
        <v>43434</v>
      </c>
      <c r="CH76" s="1068">
        <f>SUM('3 pr-2'!AK77)</f>
        <v>43830</v>
      </c>
      <c r="CI76" s="68">
        <f>SUM(V76+AB76)</f>
        <v>417548</v>
      </c>
      <c r="CJ76" s="68">
        <f t="shared" ref="CJ76" si="190">SUM(CI76-AS76)</f>
        <v>0</v>
      </c>
      <c r="CQ76" s="1069">
        <f t="shared" si="188"/>
        <v>840240</v>
      </c>
      <c r="CR76" s="1070">
        <f t="shared" si="189"/>
        <v>417548</v>
      </c>
    </row>
    <row r="77" spans="1:100" ht="29.25" customHeight="1" thickBot="1" x14ac:dyDescent="0.3">
      <c r="A77" s="22" t="str">
        <f>CONCATENATE('3 pr-2'!A78)</f>
        <v>1.1.2.1.4</v>
      </c>
      <c r="B77" s="22" t="str">
        <f>CONCATENATE('3 pr-2'!D78)</f>
        <v>Ekologiškų transporto priemonių įsigijimas  Lazdijų rajono savivaldybėje</v>
      </c>
      <c r="C77" s="71">
        <v>0</v>
      </c>
      <c r="D77" s="85">
        <v>0</v>
      </c>
      <c r="E77" s="85">
        <v>0</v>
      </c>
      <c r="F77" s="282">
        <v>0</v>
      </c>
      <c r="G77" s="282">
        <v>0</v>
      </c>
      <c r="H77" s="282">
        <v>0</v>
      </c>
      <c r="I77" s="282">
        <v>0</v>
      </c>
      <c r="J77" s="85">
        <v>0</v>
      </c>
      <c r="K77" s="75">
        <v>0</v>
      </c>
      <c r="L77" s="286">
        <v>0</v>
      </c>
      <c r="M77" s="286">
        <v>0</v>
      </c>
      <c r="N77" s="286">
        <v>0</v>
      </c>
      <c r="O77" s="286">
        <v>0</v>
      </c>
      <c r="P77" s="75">
        <v>0</v>
      </c>
      <c r="Q77" s="85">
        <f>SUM(CI77*CL77)</f>
        <v>11171.226337448559</v>
      </c>
      <c r="R77" s="282">
        <f>SUM(CI77*CM77)</f>
        <v>1675.7009602194787</v>
      </c>
      <c r="S77" s="282">
        <f>IF(YEAR($CG$77)=2018,($BI$4-$CG$77)*AM$77/($CH$77-$CG$77),0)</f>
        <v>0</v>
      </c>
      <c r="T77" s="282">
        <f>IF(YEAR($CG77)=2018,($W$2-$CG77)*$AO77/($CH77-$CG77),0)</f>
        <v>0</v>
      </c>
      <c r="U77" s="282">
        <f>IF(YEAR($CG77)=2018,($W$2-$CG77)*$AQ77/($CH77-$CG77),0)</f>
        <v>0</v>
      </c>
      <c r="V77" s="85">
        <f>SUM(CI77*CN77)</f>
        <v>9495.5253772290816</v>
      </c>
      <c r="W77" s="85">
        <f>SUM(CJ77*CL77)</f>
        <v>131171.81893004116</v>
      </c>
      <c r="X77" s="282">
        <f>SUM(CJ77*CM77)</f>
        <v>19675.97256515775</v>
      </c>
      <c r="Y77" s="282">
        <v>0</v>
      </c>
      <c r="Z77" s="282">
        <v>0</v>
      </c>
      <c r="AA77" s="282">
        <v>0</v>
      </c>
      <c r="AB77" s="85">
        <f>SUM(CJ77*CN77)</f>
        <v>111495.8463648834</v>
      </c>
      <c r="AC77" s="85">
        <f>SUM(CK77*CL77)</f>
        <v>120360.95473251029</v>
      </c>
      <c r="AD77" s="286">
        <f>SUM(CK77*CM77)</f>
        <v>18054.326474622772</v>
      </c>
      <c r="AE77" s="286">
        <v>0</v>
      </c>
      <c r="AF77" s="286">
        <v>0</v>
      </c>
      <c r="AG77" s="286">
        <v>0</v>
      </c>
      <c r="AH77" s="85">
        <f>SUM(CK77*CN77)</f>
        <v>102306.62825788753</v>
      </c>
      <c r="AI77" s="766">
        <f>SUM('3 pr-2'!L78)</f>
        <v>262704</v>
      </c>
      <c r="AJ77" s="1082">
        <f t="shared" si="181"/>
        <v>262704</v>
      </c>
      <c r="AK77" s="282">
        <f>SUM('3 pr-2'!O78)</f>
        <v>39406</v>
      </c>
      <c r="AL77" s="503">
        <f t="shared" si="182"/>
        <v>39406</v>
      </c>
      <c r="AM77" s="282">
        <f>SUM('3 pr-2'!R78)</f>
        <v>0</v>
      </c>
      <c r="AN77" s="503">
        <f t="shared" si="183"/>
        <v>0</v>
      </c>
      <c r="AO77" s="282">
        <f>SUM('3 pr-2'!U78)</f>
        <v>0</v>
      </c>
      <c r="AP77" s="503">
        <f t="shared" si="184"/>
        <v>0</v>
      </c>
      <c r="AQ77" s="282">
        <f>SUM('3 pr-2'!X78)</f>
        <v>0</v>
      </c>
      <c r="AR77" s="282"/>
      <c r="AS77" s="6">
        <f>SUM('3 pr-2'!AA78)</f>
        <v>223298</v>
      </c>
      <c r="AT77" s="503">
        <f t="shared" si="185"/>
        <v>223298</v>
      </c>
      <c r="AU77" s="1103">
        <f>SUM(V77+AB77+AH77)</f>
        <v>223298</v>
      </c>
      <c r="AV77" s="23"/>
      <c r="AW77" s="23"/>
      <c r="AX77" s="282"/>
      <c r="AY77" s="282"/>
      <c r="AZ77" s="282"/>
      <c r="BA77" s="282"/>
      <c r="BB77" s="23"/>
      <c r="BC77" s="23"/>
      <c r="BD77" s="282"/>
      <c r="BE77" s="282"/>
      <c r="BF77" s="282"/>
      <c r="BG77" s="282"/>
      <c r="BH77" s="23"/>
      <c r="BI77" s="23"/>
      <c r="BJ77" s="282"/>
      <c r="BK77" s="282"/>
      <c r="BL77" s="282"/>
      <c r="BM77" s="282"/>
      <c r="BN77" s="23"/>
      <c r="BO77" s="23"/>
      <c r="BP77" s="282"/>
      <c r="BQ77" s="282"/>
      <c r="BR77" s="282"/>
      <c r="BS77" s="282"/>
      <c r="BT77" s="23"/>
      <c r="BU77" s="23"/>
      <c r="BV77" s="282"/>
      <c r="BW77" s="282"/>
      <c r="BX77" s="282"/>
      <c r="BY77" s="282"/>
      <c r="BZ77" s="23"/>
      <c r="CA77" s="24"/>
      <c r="CB77" s="282"/>
      <c r="CC77" s="282"/>
      <c r="CD77" s="282"/>
      <c r="CE77" s="282"/>
      <c r="CF77" s="359"/>
      <c r="CG77" s="1068">
        <f>SUM('3 pr-2'!AI78)</f>
        <v>43434</v>
      </c>
      <c r="CH77" s="1068">
        <f>SUM('3 pr-2'!AK78)</f>
        <v>44165</v>
      </c>
      <c r="CI77" s="68">
        <f>SUM(Q3-CG77)</f>
        <v>31</v>
      </c>
      <c r="CJ77" s="68">
        <f>SUM(W3-W2)</f>
        <v>364</v>
      </c>
      <c r="CK77" s="25">
        <f>SUM(CH77-AC2)</f>
        <v>334</v>
      </c>
      <c r="CL77" s="25">
        <f>SUM(AI77/(CI77+CJ77+CK77))</f>
        <v>360.36213991769546</v>
      </c>
      <c r="CM77" s="25">
        <f>SUM(AK77/(CI77+CJ77+CK77))</f>
        <v>54.054869684499316</v>
      </c>
      <c r="CN77" s="25">
        <f>SUM(AS77/(CI77+CJ77+CK77))</f>
        <v>306.30727023319616</v>
      </c>
      <c r="CQ77" s="1069">
        <f t="shared" si="188"/>
        <v>262704</v>
      </c>
      <c r="CR77" s="1070">
        <f t="shared" si="189"/>
        <v>223298</v>
      </c>
    </row>
    <row r="78" spans="1:100" ht="29.25" customHeight="1" thickBot="1" x14ac:dyDescent="0.3">
      <c r="A78" s="278" t="str">
        <f>CONCATENATE('3 pr-2'!A79)</f>
        <v>1.1.2.2</v>
      </c>
      <c r="B78" s="118" t="str">
        <f>CONCATENATE('3 pr-2'!D79)</f>
        <v/>
      </c>
      <c r="C78" s="1104">
        <f t="shared" ref="C78:J78" si="191">SUM(C79:C82)</f>
        <v>0</v>
      </c>
      <c r="D78" s="1104">
        <f t="shared" si="191"/>
        <v>0</v>
      </c>
      <c r="E78" s="1104">
        <f t="shared" si="191"/>
        <v>0</v>
      </c>
      <c r="F78" s="1104"/>
      <c r="G78" s="1104"/>
      <c r="H78" s="1104"/>
      <c r="I78" s="1104"/>
      <c r="J78" s="1104">
        <f t="shared" si="191"/>
        <v>0</v>
      </c>
      <c r="K78" s="1104">
        <f t="shared" ref="K78:L78" si="192">SUM(K79:K84)</f>
        <v>37182.800000000003</v>
      </c>
      <c r="L78" s="1105">
        <f t="shared" si="192"/>
        <v>5577.42</v>
      </c>
      <c r="M78" s="1105">
        <f t="shared" ref="M78:O78" si="193">SUM(M79:M82)</f>
        <v>0</v>
      </c>
      <c r="N78" s="1105">
        <f t="shared" si="193"/>
        <v>0</v>
      </c>
      <c r="O78" s="1105">
        <f t="shared" si="193"/>
        <v>0</v>
      </c>
      <c r="P78" s="1104">
        <f t="shared" ref="P78:Q78" si="194">SUM(P79:P84)</f>
        <v>31605.38</v>
      </c>
      <c r="Q78" s="1104">
        <f t="shared" si="194"/>
        <v>13455.199999999997</v>
      </c>
      <c r="R78" s="1105"/>
      <c r="S78" s="1105"/>
      <c r="T78" s="1105"/>
      <c r="U78" s="1105"/>
      <c r="V78" s="1104">
        <f t="shared" ref="V78:W78" si="195">SUM(V79:V84)</f>
        <v>11436.919999999998</v>
      </c>
      <c r="W78" s="1104">
        <f t="shared" si="195"/>
        <v>532303.66349436087</v>
      </c>
      <c r="X78" s="1105"/>
      <c r="Y78" s="1105"/>
      <c r="Z78" s="1105"/>
      <c r="AA78" s="1105"/>
      <c r="AB78" s="1104">
        <f t="shared" ref="AB78:AC78" si="196">SUM(AB79:AB84)</f>
        <v>452458.16583020048</v>
      </c>
      <c r="AC78" s="1104">
        <f t="shared" si="196"/>
        <v>1312001.5765056391</v>
      </c>
      <c r="AD78" s="1105"/>
      <c r="AE78" s="1105"/>
      <c r="AF78" s="1105"/>
      <c r="AG78" s="1105"/>
      <c r="AH78" s="1104">
        <f>SUM(AH79:AH84)</f>
        <v>1115201.6341697995</v>
      </c>
      <c r="AI78" s="1106">
        <f>SUM(AI79:AI84)</f>
        <v>1894943.24</v>
      </c>
      <c r="AJ78" s="1104"/>
      <c r="AK78" s="1104"/>
      <c r="AL78" s="1104"/>
      <c r="AM78" s="1104"/>
      <c r="AN78" s="1104"/>
      <c r="AO78" s="1104"/>
      <c r="AP78" s="1104"/>
      <c r="AQ78" s="1104"/>
      <c r="AR78" s="1104"/>
      <c r="AS78" s="1104">
        <f>SUM(AS79:AS84)</f>
        <v>1610702.1</v>
      </c>
      <c r="AT78" s="1104"/>
      <c r="AU78" s="1107">
        <v>0</v>
      </c>
      <c r="AV78" s="1107">
        <v>0</v>
      </c>
      <c r="AW78" s="1107">
        <v>0</v>
      </c>
      <c r="AX78" s="1104">
        <v>0</v>
      </c>
      <c r="AY78" s="1104">
        <v>0</v>
      </c>
      <c r="AZ78" s="1104">
        <v>0</v>
      </c>
      <c r="BA78" s="1104">
        <v>0</v>
      </c>
      <c r="BB78" s="1107">
        <v>0</v>
      </c>
      <c r="BC78" s="1107">
        <v>0</v>
      </c>
      <c r="BD78" s="1104">
        <v>0</v>
      </c>
      <c r="BE78" s="1104">
        <v>0</v>
      </c>
      <c r="BF78" s="1104">
        <v>0</v>
      </c>
      <c r="BG78" s="1104">
        <v>0</v>
      </c>
      <c r="BH78" s="1107">
        <v>0</v>
      </c>
      <c r="BI78" s="1107">
        <v>20</v>
      </c>
      <c r="BJ78" s="1104">
        <v>20</v>
      </c>
      <c r="BK78" s="1104">
        <v>20</v>
      </c>
      <c r="BL78" s="1104">
        <v>20</v>
      </c>
      <c r="BM78" s="1104">
        <v>20</v>
      </c>
      <c r="BN78" s="1107">
        <v>20</v>
      </c>
      <c r="BO78" s="1107">
        <v>50</v>
      </c>
      <c r="BP78" s="1104">
        <v>50</v>
      </c>
      <c r="BQ78" s="1104">
        <v>50</v>
      </c>
      <c r="BR78" s="1104">
        <v>50</v>
      </c>
      <c r="BS78" s="1104">
        <v>50</v>
      </c>
      <c r="BT78" s="1107">
        <v>50</v>
      </c>
      <c r="BU78" s="1107">
        <v>30</v>
      </c>
      <c r="BV78" s="1104">
        <v>30</v>
      </c>
      <c r="BW78" s="1104">
        <v>30</v>
      </c>
      <c r="BX78" s="1104">
        <v>30</v>
      </c>
      <c r="BY78" s="1104">
        <v>30</v>
      </c>
      <c r="BZ78" s="1107">
        <v>30</v>
      </c>
      <c r="CA78" s="24">
        <v>100</v>
      </c>
      <c r="CB78" s="1104">
        <v>100</v>
      </c>
      <c r="CC78" s="1104">
        <v>100</v>
      </c>
      <c r="CD78" s="1104">
        <v>100</v>
      </c>
      <c r="CE78" s="1104">
        <v>100</v>
      </c>
      <c r="CF78" s="359">
        <v>100</v>
      </c>
      <c r="CG78" s="23"/>
      <c r="CH78" s="23"/>
      <c r="CI78" s="23"/>
      <c r="CJ78" s="23"/>
      <c r="CK78" s="23"/>
      <c r="CL78" s="23"/>
      <c r="CM78" s="23" t="s">
        <v>1460</v>
      </c>
      <c r="CN78" s="23"/>
      <c r="CO78" s="23"/>
      <c r="CP78" s="23"/>
      <c r="CQ78" s="23"/>
      <c r="CR78" s="23" t="s">
        <v>1417</v>
      </c>
      <c r="CS78" s="23"/>
    </row>
    <row r="79" spans="1:100" ht="24.75" thickBot="1" x14ac:dyDescent="0.3">
      <c r="A79" s="18" t="str">
        <f>CONCATENATE('3 pr-2'!A80)</f>
        <v>1.1.2.2.1</v>
      </c>
      <c r="B79" s="9" t="str">
        <f>CONCATENATE('3 pr-2'!D80)</f>
        <v>Darnaus judumo priemonių diegimas Alytaus mieste</v>
      </c>
      <c r="C79" s="85">
        <f>SUM(AI79*AU79/CA79)</f>
        <v>0</v>
      </c>
      <c r="D79" s="85">
        <f t="shared" ref="D79:D81" si="197">SUM(AS79*AV79/CF79)</f>
        <v>0</v>
      </c>
      <c r="E79" s="85">
        <f>SUM(AI79*AW79/CA79)</f>
        <v>0</v>
      </c>
      <c r="F79" s="282">
        <f t="shared" ref="F79:F82" si="198">SUM(AK79*AX79/CB79)</f>
        <v>0</v>
      </c>
      <c r="G79" s="282">
        <f t="shared" ref="G79:G82" si="199">SUM(AM79*AY79/CC79)</f>
        <v>0</v>
      </c>
      <c r="H79" s="282">
        <f t="shared" ref="H79:H82" si="200">SUM(AO79*AZ79/CD79)</f>
        <v>0</v>
      </c>
      <c r="I79" s="282">
        <f t="shared" ref="I79:I82" si="201">SUM(AQ79*BA79/CE79)</f>
        <v>0</v>
      </c>
      <c r="J79" s="85">
        <f t="shared" ref="J79:J81" si="202">SUM(AS79*BB79/CF79)</f>
        <v>0</v>
      </c>
      <c r="K79" s="75">
        <f t="shared" ref="K79" si="203">SUM(L79:P79)</f>
        <v>0</v>
      </c>
      <c r="L79" s="286">
        <f>SUM('ketv. 7 '!Q78)</f>
        <v>0</v>
      </c>
      <c r="M79" s="286">
        <f>SUM('ketv. 7 '!V78)</f>
        <v>0</v>
      </c>
      <c r="N79" s="286">
        <f>SUM('ketv. 7 '!AA78)</f>
        <v>0</v>
      </c>
      <c r="O79" s="286">
        <f>SUM('ketv. 7 '!AF78)</f>
        <v>0</v>
      </c>
      <c r="P79" s="75">
        <f>SUM('ketv. 7 '!AK78)</f>
        <v>0</v>
      </c>
      <c r="Q79" s="85">
        <f>IF(YEAR($CG79)=2018,($BI$4-$CG79)*$AI79/($CH79-$CG79),0)</f>
        <v>0</v>
      </c>
      <c r="R79" s="282">
        <f>IF(YEAR($CG79)=2018,($BI$4-$CG79)*$AK79/($CH79-$CG79),0)</f>
        <v>0</v>
      </c>
      <c r="S79" s="282">
        <f>IF(YEAR($CG$74)=2018,($BI$4-$CG$74)*AM$74/($CH$74-$CG$74),0)</f>
        <v>0</v>
      </c>
      <c r="T79" s="282">
        <f>IF(YEAR($CG$74)=2018,($BI$4-$CG$74)*AO$74/($CH$74-$CG$74),0)</f>
        <v>0</v>
      </c>
      <c r="U79" s="282">
        <f>IF(YEAR($CG$74)=2018,($BI$4-$CG$74)*AQ$74/($CH$74-$CG$74),0)</f>
        <v>0</v>
      </c>
      <c r="V79" s="85">
        <f>IF(YEAR($CG$74)=2018,($BI$4-$CG$74)*AS$74/($CH$74-$CG$74),0)</f>
        <v>0</v>
      </c>
      <c r="W79" s="85">
        <f>SUM(X79:AB79)</f>
        <v>174905.62006578947</v>
      </c>
      <c r="X79" s="282">
        <f>SUM(CR79*CJ79)</f>
        <v>26235.78947368421</v>
      </c>
      <c r="Y79" s="282">
        <v>0</v>
      </c>
      <c r="Z79" s="282">
        <v>0</v>
      </c>
      <c r="AA79" s="282">
        <v>0</v>
      </c>
      <c r="AB79" s="85">
        <f>SUM(CM79*CJ79)</f>
        <v>148669.83059210525</v>
      </c>
      <c r="AC79" s="85">
        <f>SUM(AD79:AH79)</f>
        <v>968563.37993421056</v>
      </c>
      <c r="AD79" s="282">
        <f>SUM(CR79*CK79)</f>
        <v>145284.21052631579</v>
      </c>
      <c r="AE79" s="282">
        <v>0</v>
      </c>
      <c r="AF79" s="282">
        <v>0</v>
      </c>
      <c r="AG79" s="282">
        <v>0</v>
      </c>
      <c r="AH79" s="85">
        <f>SUM(CM79*CK79)</f>
        <v>823279.16940789472</v>
      </c>
      <c r="AI79" s="766">
        <f>SUM('3 pr-2'!L80)</f>
        <v>1143469</v>
      </c>
      <c r="AJ79" s="1082">
        <f t="shared" ref="AJ79:AJ82" si="204">SUM(AI79-K79)</f>
        <v>1143469</v>
      </c>
      <c r="AK79" s="282">
        <f>SUM('3 pr-2'!O80)</f>
        <v>171520</v>
      </c>
      <c r="AL79" s="503">
        <f t="shared" ref="AL79:AL98" si="205">SUM(AK79-L79)</f>
        <v>171520</v>
      </c>
      <c r="AM79" s="282">
        <f>SUM('3 pr-2'!R80)</f>
        <v>0</v>
      </c>
      <c r="AN79" s="503">
        <f t="shared" si="183"/>
        <v>0</v>
      </c>
      <c r="AO79" s="282">
        <f>SUM('3 pr-2'!U80)</f>
        <v>0</v>
      </c>
      <c r="AP79" s="503">
        <f t="shared" si="184"/>
        <v>0</v>
      </c>
      <c r="AQ79" s="282">
        <f>SUM('3 pr-2'!X80)</f>
        <v>0</v>
      </c>
      <c r="AR79" s="282"/>
      <c r="AS79" s="6">
        <f>SUM('3 pr-2'!AA80)</f>
        <v>971949</v>
      </c>
      <c r="AT79" s="503">
        <f t="shared" ref="AT79:AT82" si="206">SUM(AS79-P79)</f>
        <v>971949</v>
      </c>
      <c r="AU79" s="23">
        <v>0</v>
      </c>
      <c r="AV79" s="23">
        <v>0</v>
      </c>
      <c r="AW79" s="23">
        <v>0</v>
      </c>
      <c r="AX79" s="282">
        <v>0</v>
      </c>
      <c r="AY79" s="282">
        <v>0</v>
      </c>
      <c r="AZ79" s="282">
        <v>0</v>
      </c>
      <c r="BA79" s="282">
        <v>0</v>
      </c>
      <c r="BB79" s="23">
        <v>0</v>
      </c>
      <c r="BC79" s="23">
        <v>0</v>
      </c>
      <c r="BD79" s="282">
        <v>0</v>
      </c>
      <c r="BE79" s="282">
        <v>0</v>
      </c>
      <c r="BF79" s="282">
        <v>0</v>
      </c>
      <c r="BG79" s="282">
        <v>0</v>
      </c>
      <c r="BH79" s="23">
        <v>0</v>
      </c>
      <c r="BI79" s="23">
        <v>20</v>
      </c>
      <c r="BJ79" s="282">
        <v>20</v>
      </c>
      <c r="BK79" s="282">
        <v>20</v>
      </c>
      <c r="BL79" s="282">
        <v>20</v>
      </c>
      <c r="BM79" s="282">
        <v>20</v>
      </c>
      <c r="BN79" s="23">
        <v>20</v>
      </c>
      <c r="BO79" s="23">
        <v>50</v>
      </c>
      <c r="BP79" s="282">
        <v>50</v>
      </c>
      <c r="BQ79" s="282">
        <v>50</v>
      </c>
      <c r="BR79" s="282">
        <v>50</v>
      </c>
      <c r="BS79" s="282">
        <v>50</v>
      </c>
      <c r="BT79" s="23">
        <v>50</v>
      </c>
      <c r="BU79" s="23">
        <v>30</v>
      </c>
      <c r="BV79" s="282">
        <v>30</v>
      </c>
      <c r="BW79" s="282">
        <v>30</v>
      </c>
      <c r="BX79" s="282">
        <v>30</v>
      </c>
      <c r="BY79" s="282">
        <v>30</v>
      </c>
      <c r="BZ79" s="23">
        <v>30</v>
      </c>
      <c r="CA79" s="24">
        <v>100</v>
      </c>
      <c r="CB79" s="282">
        <v>100</v>
      </c>
      <c r="CC79" s="282">
        <v>100</v>
      </c>
      <c r="CD79" s="282">
        <v>100</v>
      </c>
      <c r="CE79" s="282">
        <v>100</v>
      </c>
      <c r="CF79" s="359">
        <v>100</v>
      </c>
      <c r="CG79" s="1068">
        <f>SUM('3 pr-2'!AI80)</f>
        <v>43738</v>
      </c>
      <c r="CH79" s="1068">
        <f>SUM('3 pr-2'!AK80)</f>
        <v>44346</v>
      </c>
      <c r="CI79" s="1069">
        <f>SUM(CH79-CG79)</f>
        <v>608</v>
      </c>
      <c r="CJ79" s="1108">
        <f>SUM($AC$2-CG79)</f>
        <v>93</v>
      </c>
      <c r="CK79" s="1109">
        <f>SUM(CH79-$AC$2)</f>
        <v>515</v>
      </c>
      <c r="CL79" s="1069">
        <f>SUM(CJ79:CK79)</f>
        <v>608</v>
      </c>
      <c r="CM79" s="23">
        <f>SUM(AS79/CL79)</f>
        <v>1598.6003289473683</v>
      </c>
      <c r="CN79" s="23"/>
      <c r="CO79" s="23"/>
      <c r="CP79" s="23"/>
      <c r="CQ79" s="23"/>
      <c r="CR79" s="23">
        <f>SUM(AK79/CL79)</f>
        <v>282.10526315789474</v>
      </c>
      <c r="CS79" s="1069">
        <f>SUM(J79+P79+V79+AB79+AH79)</f>
        <v>971949</v>
      </c>
    </row>
    <row r="80" spans="1:100" ht="29.25" customHeight="1" thickBot="1" x14ac:dyDescent="0.3">
      <c r="A80" s="18" t="str">
        <f>CONCATENATE('3 pr-2'!A81)</f>
        <v>1.1.2.2.2</v>
      </c>
      <c r="B80" s="9" t="str">
        <f>CONCATENATE('3 pr-2'!D81)</f>
        <v>Alytaus miesto darnaus judumo plano parengimas</v>
      </c>
      <c r="C80" s="85">
        <f>SUM(AI80*AU80/CA80)</f>
        <v>0</v>
      </c>
      <c r="D80" s="85">
        <f t="shared" si="197"/>
        <v>0</v>
      </c>
      <c r="E80" s="85">
        <f>SUM(AI80*AW80/CA80)</f>
        <v>0</v>
      </c>
      <c r="F80" s="282">
        <f t="shared" si="198"/>
        <v>0</v>
      </c>
      <c r="G80" s="282">
        <f t="shared" si="199"/>
        <v>0</v>
      </c>
      <c r="H80" s="282">
        <f t="shared" si="200"/>
        <v>0</v>
      </c>
      <c r="I80" s="282">
        <f t="shared" si="201"/>
        <v>0</v>
      </c>
      <c r="J80" s="85">
        <f t="shared" si="202"/>
        <v>0</v>
      </c>
      <c r="K80" s="75">
        <f>SUM('ketv. 7 '!M79)</f>
        <v>20182.800000000003</v>
      </c>
      <c r="L80" s="286">
        <f>SUM('ketv. 7 '!R79)</f>
        <v>3027.42</v>
      </c>
      <c r="M80" s="286">
        <f>SUM('ketv. 7 '!V79)</f>
        <v>0</v>
      </c>
      <c r="N80" s="286">
        <f>SUM('ketv. 7 '!AA79)</f>
        <v>0</v>
      </c>
      <c r="O80" s="286">
        <f>SUM('ketv. 7 '!AF79)</f>
        <v>0</v>
      </c>
      <c r="P80" s="75">
        <f>SUM('ketv. 7 '!AL79)</f>
        <v>17155.38</v>
      </c>
      <c r="Q80" s="85">
        <f>SUM(R80:V80)</f>
        <v>13455.199999999997</v>
      </c>
      <c r="R80" s="282">
        <f>SUM(AK80-L80)</f>
        <v>2018.2799999999997</v>
      </c>
      <c r="S80" s="286">
        <f t="shared" ref="S80:S82" si="207">SUM(AM80*BK80/CC80)</f>
        <v>0</v>
      </c>
      <c r="T80" s="286">
        <f t="shared" ref="T80:T82" si="208">SUM(AO80*BL80/CD80)</f>
        <v>0</v>
      </c>
      <c r="U80" s="286">
        <f t="shared" ref="U80:U82" si="209">SUM(AQ80*BM80/CE80)</f>
        <v>0</v>
      </c>
      <c r="V80" s="85">
        <f>SUM(AS80-P80)</f>
        <v>11436.919999999998</v>
      </c>
      <c r="W80" s="85">
        <f>SUM(AI80*BO80/CA80)</f>
        <v>0</v>
      </c>
      <c r="X80" s="286">
        <f t="shared" ref="X80:X82" si="210">SUM(AK80*BP80/CB80)</f>
        <v>0</v>
      </c>
      <c r="Y80" s="286">
        <f t="shared" ref="Y80:Y82" si="211">SUM(AM80*BQ80/CC80)</f>
        <v>0</v>
      </c>
      <c r="Z80" s="286">
        <f t="shared" ref="Z80:Z82" si="212">SUM(AO80*BR80/CD80)</f>
        <v>0</v>
      </c>
      <c r="AA80" s="286">
        <f t="shared" ref="AA80:AA82" si="213">SUM(AQ80*BS80/CE80)</f>
        <v>0</v>
      </c>
      <c r="AB80" s="85">
        <f t="shared" ref="AB80" si="214">SUM(AS80*BT80/CF80)</f>
        <v>0</v>
      </c>
      <c r="AC80" s="85">
        <f>SUM(AI80*BU80/CA80)</f>
        <v>0</v>
      </c>
      <c r="AD80" s="286">
        <f t="shared" ref="AD80:AD82" si="215">SUM(AK80*BV80/CB80)</f>
        <v>0</v>
      </c>
      <c r="AE80" s="286">
        <f t="shared" ref="AE80:AE82" si="216">SUM(AM80*BW80/CC80)</f>
        <v>0</v>
      </c>
      <c r="AF80" s="286">
        <f t="shared" ref="AF80:AF82" si="217">SUM(AO80*BX80/CD80)</f>
        <v>0</v>
      </c>
      <c r="AG80" s="286">
        <f t="shared" ref="AG80:AG82" si="218">SUM(AQ80*BY80/CE80)</f>
        <v>0</v>
      </c>
      <c r="AH80" s="85">
        <f t="shared" ref="AH80" si="219">SUM(AS80*BZ80/CF80)</f>
        <v>0</v>
      </c>
      <c r="AI80" s="766">
        <f>SUM('3 pr-2'!L81)</f>
        <v>33638</v>
      </c>
      <c r="AJ80" s="1082">
        <f t="shared" si="204"/>
        <v>13455.199999999997</v>
      </c>
      <c r="AK80" s="282">
        <f>SUM('3 pr-2'!O81)</f>
        <v>5045.7</v>
      </c>
      <c r="AL80" s="503">
        <f t="shared" si="205"/>
        <v>2018.2799999999997</v>
      </c>
      <c r="AM80" s="282">
        <f>SUM('3 pr-2'!R81)</f>
        <v>0</v>
      </c>
      <c r="AN80" s="503">
        <f t="shared" si="183"/>
        <v>0</v>
      </c>
      <c r="AO80" s="282">
        <f>SUM('3 pr-2'!U81)</f>
        <v>0</v>
      </c>
      <c r="AP80" s="503">
        <f t="shared" si="184"/>
        <v>0</v>
      </c>
      <c r="AQ80" s="282">
        <f>SUM('3 pr-2'!X81)</f>
        <v>0</v>
      </c>
      <c r="AR80" s="282"/>
      <c r="AS80" s="6">
        <f>SUM('3 pr-2'!AA81)</f>
        <v>28592.3</v>
      </c>
      <c r="AT80" s="503">
        <f t="shared" si="206"/>
        <v>11436.919999999998</v>
      </c>
      <c r="AU80" s="23">
        <v>0</v>
      </c>
      <c r="AV80" s="23">
        <v>0</v>
      </c>
      <c r="AW80" s="23">
        <v>0</v>
      </c>
      <c r="AX80" s="282">
        <v>0</v>
      </c>
      <c r="AY80" s="282">
        <v>0</v>
      </c>
      <c r="AZ80" s="282">
        <v>0</v>
      </c>
      <c r="BA80" s="282">
        <v>0</v>
      </c>
      <c r="BB80" s="23">
        <v>0</v>
      </c>
      <c r="BC80" s="23">
        <v>0</v>
      </c>
      <c r="BD80" s="282">
        <v>0</v>
      </c>
      <c r="BE80" s="282">
        <v>0</v>
      </c>
      <c r="BF80" s="282">
        <v>0</v>
      </c>
      <c r="BG80" s="282">
        <v>0</v>
      </c>
      <c r="BH80" s="23">
        <v>0</v>
      </c>
      <c r="BI80" s="23">
        <v>100</v>
      </c>
      <c r="BJ80" s="282">
        <v>100</v>
      </c>
      <c r="BK80" s="282">
        <v>100</v>
      </c>
      <c r="BL80" s="282">
        <v>100</v>
      </c>
      <c r="BM80" s="282">
        <v>100</v>
      </c>
      <c r="BN80" s="23">
        <v>100</v>
      </c>
      <c r="BO80" s="23">
        <v>0</v>
      </c>
      <c r="BP80" s="282">
        <v>0</v>
      </c>
      <c r="BQ80" s="282">
        <v>0</v>
      </c>
      <c r="BR80" s="282">
        <v>0</v>
      </c>
      <c r="BS80" s="282">
        <v>0</v>
      </c>
      <c r="BT80" s="23">
        <v>0</v>
      </c>
      <c r="BU80" s="23">
        <v>0</v>
      </c>
      <c r="BV80" s="282">
        <v>0</v>
      </c>
      <c r="BW80" s="282">
        <v>0</v>
      </c>
      <c r="BX80" s="282">
        <v>0</v>
      </c>
      <c r="BY80" s="282">
        <v>0</v>
      </c>
      <c r="BZ80" s="23">
        <v>0</v>
      </c>
      <c r="CA80" s="24">
        <v>100</v>
      </c>
      <c r="CB80" s="282">
        <v>100</v>
      </c>
      <c r="CC80" s="282">
        <v>100</v>
      </c>
      <c r="CD80" s="282">
        <v>100</v>
      </c>
      <c r="CE80" s="282">
        <v>100</v>
      </c>
      <c r="CF80" s="359">
        <v>100</v>
      </c>
      <c r="CG80" s="1068">
        <f>SUM('3 pr-2'!AI81)</f>
        <v>42947</v>
      </c>
      <c r="CH80" s="1068">
        <f>SUM('3 pr-2'!AK81)</f>
        <v>43281</v>
      </c>
      <c r="CI80" s="1069"/>
      <c r="CJ80" s="1108"/>
      <c r="CK80" s="1109"/>
      <c r="CL80" s="23"/>
      <c r="CM80" s="23"/>
      <c r="CN80" s="23"/>
      <c r="CO80" s="23"/>
      <c r="CP80" s="23"/>
      <c r="CQ80" s="23"/>
      <c r="CR80" s="23"/>
      <c r="CS80" s="23"/>
    </row>
    <row r="81" spans="1:97" ht="29.25" customHeight="1" thickBot="1" x14ac:dyDescent="0.3">
      <c r="A81" s="18" t="str">
        <f>CONCATENATE('3 pr-2'!A82)</f>
        <v>1.1.2.2.3</v>
      </c>
      <c r="B81" s="9" t="str">
        <f>CONCATENATE('3 pr-2'!D82)</f>
        <v>Intelektinių transporto sistemų diegimas Druskininkuose</v>
      </c>
      <c r="C81" s="85">
        <f>SUM(AI81*AU81/CA81)</f>
        <v>0</v>
      </c>
      <c r="D81" s="85">
        <f t="shared" si="197"/>
        <v>0</v>
      </c>
      <c r="E81" s="85">
        <f>SUM(AI81*AW81/CA81)</f>
        <v>0</v>
      </c>
      <c r="F81" s="282">
        <f t="shared" si="198"/>
        <v>0</v>
      </c>
      <c r="G81" s="282">
        <f t="shared" si="199"/>
        <v>0</v>
      </c>
      <c r="H81" s="282">
        <f t="shared" si="200"/>
        <v>0</v>
      </c>
      <c r="I81" s="282">
        <f t="shared" si="201"/>
        <v>0</v>
      </c>
      <c r="J81" s="85">
        <f t="shared" si="202"/>
        <v>0</v>
      </c>
      <c r="K81" s="75">
        <f t="shared" ref="K81" si="220">SUM(L81:P81)</f>
        <v>0</v>
      </c>
      <c r="L81" s="286">
        <f>SUM('ketv. 7 '!Q80)</f>
        <v>0</v>
      </c>
      <c r="M81" s="286">
        <f>SUM('ketv. 7 '!V80)</f>
        <v>0</v>
      </c>
      <c r="N81" s="286">
        <f>SUM('ketv. 7 '!AA80)</f>
        <v>0</v>
      </c>
      <c r="O81" s="286">
        <f>SUM('ketv. 7 '!AF80)</f>
        <v>0</v>
      </c>
      <c r="P81" s="75">
        <f>SUM('ketv. 7 '!AK80)</f>
        <v>0</v>
      </c>
      <c r="Q81" s="85">
        <f>IF(YEAR($CG$81)=2018,($W$2-$CG$81)*$AI$81/($CH$81-$CG$81),0)</f>
        <v>0</v>
      </c>
      <c r="R81" s="282">
        <f>IF(YEAR($CG$81)=2018,($W$2-$CG$81)*$AK$81/($CH$81-$CG$81),0)</f>
        <v>0</v>
      </c>
      <c r="S81" s="282">
        <f>IF(YEAR($CG$81)=2018,($W$2-$CG$81)*$AM$81/($CH$81-$CG$81),0)</f>
        <v>0</v>
      </c>
      <c r="T81" s="282">
        <f>IF(YEAR($CG$81)=2018,($W$2-$CG$81)*$AO$81/($CH$81-$CG$81),0)</f>
        <v>0</v>
      </c>
      <c r="U81" s="282">
        <f>IF(YEAR($CG$81)=2018,($W$2-$CG$81)*$AQ$81/($CH$81-$CG$81),0)</f>
        <v>0</v>
      </c>
      <c r="V81" s="85">
        <f>IF(YEAR($CG$81)=2018,($W$2-$CG$81)*$AT$81/($CH$81-$CG$81),0)</f>
        <v>0</v>
      </c>
      <c r="W81" s="85">
        <f>SUM(X81:AB81)</f>
        <v>67398.043428571429</v>
      </c>
      <c r="X81" s="282">
        <f>SUM(CR81*CJ81)</f>
        <v>10109.708190476189</v>
      </c>
      <c r="Y81" s="282">
        <v>0</v>
      </c>
      <c r="Z81" s="282">
        <v>0</v>
      </c>
      <c r="AA81" s="282">
        <v>0</v>
      </c>
      <c r="AB81" s="85">
        <f>SUM(CM81*CJ81)</f>
        <v>57288.335238095235</v>
      </c>
      <c r="AC81" s="85">
        <f>SUM(AD81:AH81)</f>
        <v>93438.196571428562</v>
      </c>
      <c r="AD81" s="282">
        <f>SUM(CR81*CK81)</f>
        <v>14015.731809523808</v>
      </c>
      <c r="AE81" s="282">
        <v>0</v>
      </c>
      <c r="AF81" s="282">
        <v>0</v>
      </c>
      <c r="AG81" s="282">
        <v>0</v>
      </c>
      <c r="AH81" s="85">
        <f>SUM(CM81*CK81)</f>
        <v>79422.464761904746</v>
      </c>
      <c r="AI81" s="766">
        <f>SUM('3 pr-2'!L82)</f>
        <v>160836.24</v>
      </c>
      <c r="AJ81" s="1082">
        <f t="shared" si="204"/>
        <v>160836.24</v>
      </c>
      <c r="AK81" s="282">
        <f>SUM('3 pr-2'!O82)</f>
        <v>24125.439999999999</v>
      </c>
      <c r="AL81" s="503">
        <f t="shared" si="205"/>
        <v>24125.439999999999</v>
      </c>
      <c r="AM81" s="282">
        <f>SUM('3 pr-2'!R82)</f>
        <v>0</v>
      </c>
      <c r="AN81" s="503">
        <f t="shared" si="183"/>
        <v>0</v>
      </c>
      <c r="AO81" s="282">
        <f>SUM('3 pr-2'!U82)</f>
        <v>0</v>
      </c>
      <c r="AP81" s="503">
        <f t="shared" si="184"/>
        <v>0</v>
      </c>
      <c r="AQ81" s="282">
        <f>SUM('3 pr-2'!X82)</f>
        <v>0</v>
      </c>
      <c r="AR81" s="282"/>
      <c r="AS81" s="6">
        <f>SUM('3 pr-2'!AA82)</f>
        <v>136710.79999999999</v>
      </c>
      <c r="AT81" s="503">
        <f t="shared" si="206"/>
        <v>136710.79999999999</v>
      </c>
      <c r="AU81" s="23">
        <v>0</v>
      </c>
      <c r="AV81" s="23">
        <v>0</v>
      </c>
      <c r="AW81" s="23">
        <v>0</v>
      </c>
      <c r="AX81" s="282">
        <v>0</v>
      </c>
      <c r="AY81" s="282">
        <v>0</v>
      </c>
      <c r="AZ81" s="282">
        <v>0</v>
      </c>
      <c r="BA81" s="282">
        <v>0</v>
      </c>
      <c r="BB81" s="23">
        <v>0</v>
      </c>
      <c r="BC81" s="23">
        <v>0</v>
      </c>
      <c r="BD81" s="282">
        <v>0</v>
      </c>
      <c r="BE81" s="282">
        <v>0</v>
      </c>
      <c r="BF81" s="282">
        <v>0</v>
      </c>
      <c r="BG81" s="282">
        <v>0</v>
      </c>
      <c r="BH81" s="23">
        <v>0</v>
      </c>
      <c r="BI81" s="23">
        <v>20</v>
      </c>
      <c r="BJ81" s="282">
        <v>20</v>
      </c>
      <c r="BK81" s="282">
        <v>20</v>
      </c>
      <c r="BL81" s="282">
        <v>20</v>
      </c>
      <c r="BM81" s="282">
        <v>20</v>
      </c>
      <c r="BN81" s="23">
        <v>20</v>
      </c>
      <c r="BO81" s="23">
        <v>50</v>
      </c>
      <c r="BP81" s="282">
        <v>50</v>
      </c>
      <c r="BQ81" s="282">
        <v>50</v>
      </c>
      <c r="BR81" s="282">
        <v>50</v>
      </c>
      <c r="BS81" s="282">
        <v>50</v>
      </c>
      <c r="BT81" s="23">
        <v>50</v>
      </c>
      <c r="BU81" s="23">
        <v>30</v>
      </c>
      <c r="BV81" s="282">
        <v>30</v>
      </c>
      <c r="BW81" s="282">
        <v>30</v>
      </c>
      <c r="BX81" s="282">
        <v>30</v>
      </c>
      <c r="BY81" s="282">
        <v>30</v>
      </c>
      <c r="BZ81" s="23">
        <v>30</v>
      </c>
      <c r="CA81" s="24">
        <v>100</v>
      </c>
      <c r="CB81" s="282">
        <v>100</v>
      </c>
      <c r="CC81" s="282">
        <v>100</v>
      </c>
      <c r="CD81" s="282">
        <v>100</v>
      </c>
      <c r="CE81" s="282">
        <v>100</v>
      </c>
      <c r="CF81" s="359">
        <v>100</v>
      </c>
      <c r="CG81" s="1068">
        <f>SUM('3 pr-2'!AI82)</f>
        <v>43611</v>
      </c>
      <c r="CH81" s="1068">
        <f>SUM('3 pr-2'!AK82)</f>
        <v>44136</v>
      </c>
      <c r="CI81" s="1069">
        <f>SUM(CH81-CG81)</f>
        <v>525</v>
      </c>
      <c r="CJ81" s="1108">
        <f>SUM($AC$2-CG81)</f>
        <v>220</v>
      </c>
      <c r="CK81" s="1109">
        <f>SUM(CH81-$AC$2)</f>
        <v>305</v>
      </c>
      <c r="CL81" s="1069">
        <f>SUM(CJ81:CK81)</f>
        <v>525</v>
      </c>
      <c r="CM81" s="23">
        <f>SUM(AS81/CL81)</f>
        <v>260.40152380952378</v>
      </c>
      <c r="CN81" s="23"/>
      <c r="CO81" s="23"/>
      <c r="CP81" s="23"/>
      <c r="CQ81" s="23"/>
      <c r="CR81" s="23">
        <f>SUM(AK81/CL81)</f>
        <v>45.953219047619044</v>
      </c>
      <c r="CS81" s="23"/>
    </row>
    <row r="82" spans="1:97" ht="29.25" customHeight="1" thickBot="1" x14ac:dyDescent="0.3">
      <c r="A82" s="18" t="str">
        <f>CONCATENATE('3 pr-2'!A83)</f>
        <v>1.1.2.2.4</v>
      </c>
      <c r="B82" s="9" t="str">
        <f>CONCATENATE('3 pr-2'!D83)</f>
        <v>Darnaus judumo plano Druskininkuose parengimas</v>
      </c>
      <c r="C82" s="85">
        <f>SUM(AI82*AU82/CA82)</f>
        <v>0</v>
      </c>
      <c r="D82" s="85">
        <f t="shared" ref="D82" si="221">SUM(AS82*AV82/CF82)</f>
        <v>0</v>
      </c>
      <c r="E82" s="85">
        <f>SUM(AI82*AW82/CA82)</f>
        <v>0</v>
      </c>
      <c r="F82" s="282">
        <f t="shared" si="198"/>
        <v>0</v>
      </c>
      <c r="G82" s="282">
        <f t="shared" si="199"/>
        <v>0</v>
      </c>
      <c r="H82" s="282">
        <f t="shared" si="200"/>
        <v>0</v>
      </c>
      <c r="I82" s="282">
        <f t="shared" si="201"/>
        <v>0</v>
      </c>
      <c r="J82" s="85">
        <f t="shared" ref="J82" si="222">SUM(AS82*BB82/CF82)</f>
        <v>0</v>
      </c>
      <c r="K82" s="75">
        <f>SUM('ketv. 7 '!M81)</f>
        <v>17000</v>
      </c>
      <c r="L82" s="286">
        <f>SUM('ketv. 7 '!R81)</f>
        <v>2550</v>
      </c>
      <c r="M82" s="286">
        <f>SUM('ketv. 7 '!V81)</f>
        <v>0</v>
      </c>
      <c r="N82" s="286">
        <f>SUM('ketv. 7 '!AA81)</f>
        <v>0</v>
      </c>
      <c r="O82" s="286">
        <f>SUM('ketv. 7 '!AF81)</f>
        <v>0</v>
      </c>
      <c r="P82" s="75">
        <f>SUM('ketv. 7 '!AL81)</f>
        <v>14450</v>
      </c>
      <c r="Q82" s="85">
        <f>SUM(AI82*BI82/CA82)</f>
        <v>0</v>
      </c>
      <c r="R82" s="286">
        <f>SUM(AK82*BJ82/CB82)</f>
        <v>0</v>
      </c>
      <c r="S82" s="286">
        <f t="shared" si="207"/>
        <v>0</v>
      </c>
      <c r="T82" s="286">
        <f t="shared" si="208"/>
        <v>0</v>
      </c>
      <c r="U82" s="286">
        <f t="shared" si="209"/>
        <v>0</v>
      </c>
      <c r="V82" s="85">
        <f t="shared" ref="V82" si="223">SUM(AS82*BN82/CF82)</f>
        <v>0</v>
      </c>
      <c r="W82" s="85">
        <f>SUM(AI82*BO82/CA82)</f>
        <v>0</v>
      </c>
      <c r="X82" s="286">
        <f t="shared" si="210"/>
        <v>0</v>
      </c>
      <c r="Y82" s="286">
        <f t="shared" si="211"/>
        <v>0</v>
      </c>
      <c r="Z82" s="286">
        <f t="shared" si="212"/>
        <v>0</v>
      </c>
      <c r="AA82" s="286">
        <f t="shared" si="213"/>
        <v>0</v>
      </c>
      <c r="AB82" s="85">
        <f t="shared" ref="AB82" si="224">SUM(AS82*BT82/CF82)</f>
        <v>0</v>
      </c>
      <c r="AC82" s="85">
        <f>SUM(AI82*BU82/CA82)</f>
        <v>0</v>
      </c>
      <c r="AD82" s="286">
        <f t="shared" si="215"/>
        <v>0</v>
      </c>
      <c r="AE82" s="286">
        <f t="shared" si="216"/>
        <v>0</v>
      </c>
      <c r="AF82" s="286">
        <f t="shared" si="217"/>
        <v>0</v>
      </c>
      <c r="AG82" s="286">
        <f t="shared" si="218"/>
        <v>0</v>
      </c>
      <c r="AH82" s="85">
        <f t="shared" ref="AH82" si="225">SUM(AS82*BZ82/CF82)</f>
        <v>0</v>
      </c>
      <c r="AI82" s="766">
        <f>SUM('3 pr-2'!L83)</f>
        <v>17000</v>
      </c>
      <c r="AJ82" s="1082">
        <f t="shared" si="204"/>
        <v>0</v>
      </c>
      <c r="AK82" s="282">
        <f>SUM('3 pr-2'!O83)</f>
        <v>2550</v>
      </c>
      <c r="AL82" s="503">
        <f t="shared" si="205"/>
        <v>0</v>
      </c>
      <c r="AM82" s="282">
        <f>SUM('3 pr-2'!R83)</f>
        <v>0</v>
      </c>
      <c r="AN82" s="503">
        <f t="shared" si="183"/>
        <v>0</v>
      </c>
      <c r="AO82" s="282">
        <f>SUM('3 pr-2'!U83)</f>
        <v>0</v>
      </c>
      <c r="AP82" s="503">
        <f t="shared" si="184"/>
        <v>0</v>
      </c>
      <c r="AQ82" s="282">
        <f>SUM('3 pr-2'!X83)</f>
        <v>0</v>
      </c>
      <c r="AR82" s="282"/>
      <c r="AS82" s="6">
        <f>SUM('3 pr-2'!AA83)</f>
        <v>14450</v>
      </c>
      <c r="AT82" s="503">
        <f t="shared" si="206"/>
        <v>0</v>
      </c>
      <c r="AU82" s="23">
        <v>0</v>
      </c>
      <c r="AV82" s="23">
        <v>0</v>
      </c>
      <c r="AW82" s="23">
        <v>0</v>
      </c>
      <c r="AX82" s="282">
        <v>0</v>
      </c>
      <c r="AY82" s="282">
        <v>0</v>
      </c>
      <c r="AZ82" s="282">
        <v>0</v>
      </c>
      <c r="BA82" s="282">
        <v>0</v>
      </c>
      <c r="BB82" s="23">
        <v>0</v>
      </c>
      <c r="BC82" s="23">
        <v>100</v>
      </c>
      <c r="BD82" s="282">
        <v>100</v>
      </c>
      <c r="BE82" s="282">
        <v>100</v>
      </c>
      <c r="BF82" s="282">
        <v>100</v>
      </c>
      <c r="BG82" s="282">
        <v>100</v>
      </c>
      <c r="BH82" s="23">
        <v>100</v>
      </c>
      <c r="BI82" s="23">
        <v>0</v>
      </c>
      <c r="BJ82" s="282">
        <v>0</v>
      </c>
      <c r="BK82" s="282">
        <v>0</v>
      </c>
      <c r="BL82" s="282">
        <v>0</v>
      </c>
      <c r="BM82" s="282">
        <v>0</v>
      </c>
      <c r="BN82" s="23">
        <v>0</v>
      </c>
      <c r="BO82" s="23">
        <v>0</v>
      </c>
      <c r="BP82" s="282">
        <v>0</v>
      </c>
      <c r="BQ82" s="282">
        <v>0</v>
      </c>
      <c r="BR82" s="282">
        <v>0</v>
      </c>
      <c r="BS82" s="282">
        <v>0</v>
      </c>
      <c r="BT82" s="23">
        <v>0</v>
      </c>
      <c r="BU82" s="23">
        <v>0</v>
      </c>
      <c r="BV82" s="282">
        <v>0</v>
      </c>
      <c r="BW82" s="282">
        <v>0</v>
      </c>
      <c r="BX82" s="282">
        <v>0</v>
      </c>
      <c r="BY82" s="282">
        <v>0</v>
      </c>
      <c r="BZ82" s="23">
        <v>0</v>
      </c>
      <c r="CA82" s="24">
        <v>100</v>
      </c>
      <c r="CB82" s="282">
        <v>100</v>
      </c>
      <c r="CC82" s="282">
        <v>100</v>
      </c>
      <c r="CD82" s="282">
        <v>100</v>
      </c>
      <c r="CE82" s="282">
        <v>100</v>
      </c>
      <c r="CF82" s="359">
        <v>100</v>
      </c>
      <c r="CG82" s="1068">
        <f>SUM('3 pr-2'!AI83)</f>
        <v>42825</v>
      </c>
      <c r="CH82" s="1068">
        <f>SUM('3 pr-2'!AK83)</f>
        <v>43100</v>
      </c>
      <c r="CI82" s="1069"/>
      <c r="CJ82" s="1108"/>
      <c r="CK82" s="1109"/>
      <c r="CL82" s="23"/>
      <c r="CM82" s="23"/>
      <c r="CN82" s="23"/>
      <c r="CO82" s="23"/>
      <c r="CP82" s="23"/>
      <c r="CQ82" s="23"/>
      <c r="CR82" s="23"/>
      <c r="CS82" s="23"/>
    </row>
    <row r="83" spans="1:97" ht="29.25" customHeight="1" thickBot="1" x14ac:dyDescent="0.3">
      <c r="A83" s="18" t="str">
        <f>CONCATENATE('3 pr-2'!A84)</f>
        <v>1.1.2.2.5</v>
      </c>
      <c r="B83" s="9" t="str">
        <f>CONCATENATE('3 pr-2'!D84)</f>
        <v>Viešojo transporto organizavimo tobulinimas rekonstruojant Druskininkų miesto gatvių infrastruktūrą</v>
      </c>
      <c r="C83" s="85">
        <v>0</v>
      </c>
      <c r="D83" s="85">
        <v>0</v>
      </c>
      <c r="E83" s="85">
        <v>0</v>
      </c>
      <c r="F83" s="282">
        <v>0</v>
      </c>
      <c r="G83" s="282">
        <v>0</v>
      </c>
      <c r="H83" s="282">
        <v>0</v>
      </c>
      <c r="I83" s="282">
        <v>0</v>
      </c>
      <c r="J83" s="85">
        <v>0</v>
      </c>
      <c r="K83" s="75">
        <v>0</v>
      </c>
      <c r="L83" s="286">
        <v>0</v>
      </c>
      <c r="M83" s="286">
        <v>0</v>
      </c>
      <c r="N83" s="286">
        <v>0</v>
      </c>
      <c r="O83" s="286">
        <v>0</v>
      </c>
      <c r="P83" s="75">
        <v>0</v>
      </c>
      <c r="Q83" s="85">
        <v>0</v>
      </c>
      <c r="R83" s="286">
        <v>0</v>
      </c>
      <c r="S83" s="286">
        <v>0</v>
      </c>
      <c r="T83" s="286">
        <v>0</v>
      </c>
      <c r="U83" s="286">
        <v>0</v>
      </c>
      <c r="V83" s="85">
        <v>0</v>
      </c>
      <c r="W83" s="85">
        <f>SUM(AI83)</f>
        <v>290000</v>
      </c>
      <c r="X83" s="286">
        <f>SUM(AK83)</f>
        <v>43500</v>
      </c>
      <c r="Y83" s="286">
        <f>SUM(AM83)</f>
        <v>0</v>
      </c>
      <c r="Z83" s="286">
        <f>SUM(AO83)</f>
        <v>0</v>
      </c>
      <c r="AA83" s="286">
        <f>SUM(AQ83)</f>
        <v>0</v>
      </c>
      <c r="AB83" s="85">
        <f>SUM(AS83)</f>
        <v>246500</v>
      </c>
      <c r="AC83" s="85">
        <v>0</v>
      </c>
      <c r="AD83" s="286">
        <v>0</v>
      </c>
      <c r="AE83" s="286">
        <v>0</v>
      </c>
      <c r="AF83" s="286">
        <v>0</v>
      </c>
      <c r="AG83" s="286">
        <v>0</v>
      </c>
      <c r="AH83" s="85">
        <v>0</v>
      </c>
      <c r="AI83" s="766">
        <f>SUM('3 pr-2'!L84)</f>
        <v>290000</v>
      </c>
      <c r="AJ83" s="1082"/>
      <c r="AK83" s="282">
        <f>SUM('3 pr-2'!O84)</f>
        <v>43500</v>
      </c>
      <c r="AL83" s="503"/>
      <c r="AM83" s="282">
        <f>SUM('3 pr-2'!R84)</f>
        <v>0</v>
      </c>
      <c r="AN83" s="503"/>
      <c r="AO83" s="282">
        <f>SUM('3 pr-2'!U84)</f>
        <v>0</v>
      </c>
      <c r="AP83" s="503"/>
      <c r="AQ83" s="282">
        <f>SUM('3 pr-2'!X84)</f>
        <v>0</v>
      </c>
      <c r="AR83" s="282"/>
      <c r="AS83" s="6">
        <f>SUM('3 pr-2'!AA84)</f>
        <v>246500</v>
      </c>
      <c r="AT83" s="975"/>
      <c r="AU83" s="1110"/>
      <c r="AV83" s="23"/>
      <c r="AW83" s="23"/>
      <c r="AX83" s="282"/>
      <c r="AY83" s="282"/>
      <c r="AZ83" s="282"/>
      <c r="BA83" s="282"/>
      <c r="BB83" s="23"/>
      <c r="BC83" s="23"/>
      <c r="BD83" s="282"/>
      <c r="BE83" s="282"/>
      <c r="BF83" s="282"/>
      <c r="BG83" s="282"/>
      <c r="BH83" s="23"/>
      <c r="BI83" s="23"/>
      <c r="BJ83" s="282"/>
      <c r="BK83" s="282"/>
      <c r="BL83" s="282"/>
      <c r="BM83" s="282"/>
      <c r="BN83" s="23"/>
      <c r="BO83" s="23"/>
      <c r="BP83" s="282"/>
      <c r="BQ83" s="282"/>
      <c r="BR83" s="282"/>
      <c r="BS83" s="282"/>
      <c r="BT83" s="23"/>
      <c r="BU83" s="23"/>
      <c r="BV83" s="282"/>
      <c r="BW83" s="282"/>
      <c r="BX83" s="282"/>
      <c r="BY83" s="282"/>
      <c r="BZ83" s="23"/>
      <c r="CA83" s="24"/>
      <c r="CB83" s="282"/>
      <c r="CC83" s="282"/>
      <c r="CD83" s="282"/>
      <c r="CE83" s="282"/>
      <c r="CF83" s="359"/>
      <c r="CG83" s="1068">
        <f>SUM('3 pr-2'!AI84)</f>
        <v>43524</v>
      </c>
      <c r="CH83" s="1068">
        <f>SUM('3 pr-2'!AK84)</f>
        <v>43800</v>
      </c>
      <c r="CI83" s="1069"/>
      <c r="CJ83" s="1108"/>
      <c r="CK83" s="1109"/>
      <c r="CL83" s="23"/>
      <c r="CM83" s="23"/>
      <c r="CN83" s="23"/>
      <c r="CO83" s="23"/>
      <c r="CP83" s="23"/>
      <c r="CQ83" s="23"/>
      <c r="CR83" s="23"/>
      <c r="CS83" s="23"/>
    </row>
    <row r="84" spans="1:97" ht="29.25" customHeight="1" thickBot="1" x14ac:dyDescent="0.3">
      <c r="A84" s="18" t="str">
        <f>CONCATENATE('3 pr-2'!A85)</f>
        <v>1.1.2.2.6</v>
      </c>
      <c r="B84" s="9" t="str">
        <f>CONCATENATE('3 pr-2'!D85)</f>
        <v>Vandens transporto infrastruktūros įrengimas skatinant kitų rūšių transportą</v>
      </c>
      <c r="C84" s="85">
        <v>0</v>
      </c>
      <c r="D84" s="85">
        <v>0</v>
      </c>
      <c r="E84" s="85">
        <v>0</v>
      </c>
      <c r="F84" s="282">
        <v>0</v>
      </c>
      <c r="G84" s="282">
        <v>0</v>
      </c>
      <c r="H84" s="282">
        <v>0</v>
      </c>
      <c r="I84" s="282">
        <v>0</v>
      </c>
      <c r="J84" s="85">
        <v>0</v>
      </c>
      <c r="K84" s="75">
        <v>0</v>
      </c>
      <c r="L84" s="286">
        <v>0</v>
      </c>
      <c r="M84" s="286">
        <v>0</v>
      </c>
      <c r="N84" s="286">
        <v>0</v>
      </c>
      <c r="O84" s="286">
        <v>0</v>
      </c>
      <c r="P84" s="75">
        <v>0</v>
      </c>
      <c r="Q84" s="85">
        <v>0</v>
      </c>
      <c r="R84" s="286">
        <v>0</v>
      </c>
      <c r="S84" s="286">
        <v>0</v>
      </c>
      <c r="T84" s="286">
        <v>0</v>
      </c>
      <c r="U84" s="286">
        <v>0</v>
      </c>
      <c r="V84" s="85">
        <v>0</v>
      </c>
      <c r="W84" s="85">
        <v>0</v>
      </c>
      <c r="X84" s="286">
        <v>0</v>
      </c>
      <c r="Y84" s="286">
        <v>0</v>
      </c>
      <c r="Z84" s="286">
        <v>0</v>
      </c>
      <c r="AA84" s="286">
        <v>0</v>
      </c>
      <c r="AB84" s="85">
        <v>0</v>
      </c>
      <c r="AC84" s="85">
        <f>SUM(AI84)</f>
        <v>250000</v>
      </c>
      <c r="AD84" s="286">
        <f>SUM(AK84)</f>
        <v>37500</v>
      </c>
      <c r="AE84" s="286">
        <f>SUM(AM84)</f>
        <v>0</v>
      </c>
      <c r="AF84" s="286">
        <f>SUM(AO84)</f>
        <v>0</v>
      </c>
      <c r="AG84" s="286">
        <f>SUM(AQ84)</f>
        <v>0</v>
      </c>
      <c r="AH84" s="85">
        <f>SUM(AS84)</f>
        <v>212500</v>
      </c>
      <c r="AI84" s="766">
        <f>SUM('3 pr-2'!L85)</f>
        <v>250000</v>
      </c>
      <c r="AJ84" s="1082"/>
      <c r="AK84" s="282">
        <f>SUM('3 pr-2'!O85)</f>
        <v>37500</v>
      </c>
      <c r="AL84" s="503"/>
      <c r="AM84" s="282">
        <f>SUM('3 pr-2'!R85)</f>
        <v>0</v>
      </c>
      <c r="AN84" s="503"/>
      <c r="AO84" s="282">
        <f>SUM('3 pr-2'!U85)</f>
        <v>0</v>
      </c>
      <c r="AP84" s="503"/>
      <c r="AQ84" s="282">
        <f>SUM('3 pr-2'!X85)</f>
        <v>0</v>
      </c>
      <c r="AR84" s="282"/>
      <c r="AS84" s="6">
        <f>SUM('3 pr-2'!AA85)</f>
        <v>212500</v>
      </c>
      <c r="AT84" s="975"/>
      <c r="AU84" s="1110"/>
      <c r="AV84" s="23"/>
      <c r="AW84" s="23"/>
      <c r="AX84" s="282"/>
      <c r="AY84" s="282"/>
      <c r="AZ84" s="282"/>
      <c r="BA84" s="282"/>
      <c r="BB84" s="23"/>
      <c r="BC84" s="23"/>
      <c r="BD84" s="282"/>
      <c r="BE84" s="282"/>
      <c r="BF84" s="282"/>
      <c r="BG84" s="282"/>
      <c r="BH84" s="23"/>
      <c r="BI84" s="23"/>
      <c r="BJ84" s="282"/>
      <c r="BK84" s="282"/>
      <c r="BL84" s="282"/>
      <c r="BM84" s="282"/>
      <c r="BN84" s="23"/>
      <c r="BO84" s="23"/>
      <c r="BP84" s="282"/>
      <c r="BQ84" s="282"/>
      <c r="BR84" s="282"/>
      <c r="BS84" s="282"/>
      <c r="BT84" s="23"/>
      <c r="BU84" s="23"/>
      <c r="BV84" s="282"/>
      <c r="BW84" s="282"/>
      <c r="BX84" s="282"/>
      <c r="BY84" s="282"/>
      <c r="BZ84" s="23"/>
      <c r="CA84" s="24"/>
      <c r="CB84" s="282"/>
      <c r="CC84" s="282"/>
      <c r="CD84" s="282"/>
      <c r="CE84" s="282"/>
      <c r="CF84" s="359"/>
      <c r="CG84" s="1068">
        <f>SUM('3 pr-2'!AI85)</f>
        <v>43797</v>
      </c>
      <c r="CH84" s="1068">
        <f>SUM('3 pr-2'!AK85)</f>
        <v>44501</v>
      </c>
      <c r="CI84" s="1069"/>
      <c r="CJ84" s="1108"/>
      <c r="CK84" s="1109"/>
      <c r="CL84" s="23"/>
      <c r="CM84" s="23"/>
      <c r="CN84" s="23"/>
      <c r="CO84" s="23"/>
      <c r="CP84" s="23"/>
      <c r="CQ84" s="23"/>
      <c r="CR84" s="23"/>
      <c r="CS84" s="23"/>
    </row>
    <row r="85" spans="1:97" ht="39.75" thickBot="1" x14ac:dyDescent="0.3">
      <c r="A85" s="278" t="str">
        <f>CONCATENATE('3 pr-2'!A86)</f>
        <v>1.1.2.3</v>
      </c>
      <c r="B85" s="118" t="str">
        <f>CONCATENATE('3 pr-2'!B86)</f>
        <v>Priemonė:
Pėsčiųjų ir dviračių takų rekonstrukcija ir plėtra</v>
      </c>
      <c r="C85" s="1104">
        <f>SUM(C86:C90)</f>
        <v>0</v>
      </c>
      <c r="D85" s="1104">
        <f>SUM(D86:D90)</f>
        <v>0</v>
      </c>
      <c r="E85" s="1104">
        <f>SUM(E86:E90)</f>
        <v>0</v>
      </c>
      <c r="F85" s="1104"/>
      <c r="G85" s="1104"/>
      <c r="H85" s="1104"/>
      <c r="I85" s="1104"/>
      <c r="J85" s="1104">
        <f t="shared" ref="J85:U85" si="226">SUM(J86:J90)</f>
        <v>0</v>
      </c>
      <c r="K85" s="1104">
        <f t="shared" si="226"/>
        <v>48895.060000000005</v>
      </c>
      <c r="L85" s="1104">
        <f t="shared" si="226"/>
        <v>7334.26</v>
      </c>
      <c r="M85" s="1104">
        <f t="shared" si="226"/>
        <v>0</v>
      </c>
      <c r="N85" s="1104">
        <f t="shared" si="226"/>
        <v>0</v>
      </c>
      <c r="O85" s="1104">
        <f t="shared" si="226"/>
        <v>0</v>
      </c>
      <c r="P85" s="1104">
        <f t="shared" si="226"/>
        <v>41560.800000000003</v>
      </c>
      <c r="Q85" s="1104">
        <f t="shared" si="226"/>
        <v>267141.68878688524</v>
      </c>
      <c r="R85" s="1104">
        <f t="shared" si="226"/>
        <v>40111.375704918028</v>
      </c>
      <c r="S85" s="1104">
        <f t="shared" si="226"/>
        <v>0</v>
      </c>
      <c r="T85" s="1104">
        <f t="shared" si="226"/>
        <v>0</v>
      </c>
      <c r="U85" s="1104">
        <f t="shared" si="226"/>
        <v>0</v>
      </c>
      <c r="V85" s="1104">
        <f>SUM(V86:V90)</f>
        <v>227030.31308196724</v>
      </c>
      <c r="W85" s="1104">
        <f>SUM(W86:W90)</f>
        <v>144371.62528346654</v>
      </c>
      <c r="X85" s="1104"/>
      <c r="Y85" s="1104"/>
      <c r="Z85" s="1104"/>
      <c r="AA85" s="1104"/>
      <c r="AB85" s="1104">
        <f>SUM(AB86:AB90)</f>
        <v>120499.38877732927</v>
      </c>
      <c r="AC85" s="1104">
        <f>SUM(AC86:AC90)</f>
        <v>29650.18592964824</v>
      </c>
      <c r="AD85" s="1104"/>
      <c r="AE85" s="1104"/>
      <c r="AF85" s="1104"/>
      <c r="AG85" s="1104"/>
      <c r="AH85" s="1104">
        <f>SUM(AH86:AH90)</f>
        <v>23616.628140703517</v>
      </c>
      <c r="AI85" s="1106">
        <f>SUM(AI86:AI90)</f>
        <v>490058.56</v>
      </c>
      <c r="AJ85" s="1104"/>
      <c r="AK85" s="1104"/>
      <c r="AL85" s="1104"/>
      <c r="AM85" s="1104"/>
      <c r="AN85" s="1104"/>
      <c r="AO85" s="1104"/>
      <c r="AP85" s="1104"/>
      <c r="AQ85" s="1104"/>
      <c r="AR85" s="1104"/>
      <c r="AS85" s="1104">
        <f>SUM(AS86:AS90)</f>
        <v>412707.13</v>
      </c>
      <c r="AT85" s="1111"/>
      <c r="AU85" s="23">
        <v>0</v>
      </c>
      <c r="AV85" s="23">
        <v>0</v>
      </c>
      <c r="AW85" s="23">
        <v>10</v>
      </c>
      <c r="AX85" s="1104">
        <v>10</v>
      </c>
      <c r="AY85" s="1104">
        <v>10</v>
      </c>
      <c r="AZ85" s="1104">
        <v>10</v>
      </c>
      <c r="BA85" s="1104">
        <v>10</v>
      </c>
      <c r="BB85" s="23">
        <v>10</v>
      </c>
      <c r="BC85" s="23">
        <v>25</v>
      </c>
      <c r="BD85" s="1104">
        <v>25</v>
      </c>
      <c r="BE85" s="1104">
        <v>25</v>
      </c>
      <c r="BF85" s="1104">
        <v>25</v>
      </c>
      <c r="BG85" s="1104">
        <v>25</v>
      </c>
      <c r="BH85" s="23">
        <v>25</v>
      </c>
      <c r="BI85" s="23">
        <v>30</v>
      </c>
      <c r="BJ85" s="1104">
        <v>30</v>
      </c>
      <c r="BK85" s="1104">
        <v>30</v>
      </c>
      <c r="BL85" s="1104">
        <v>30</v>
      </c>
      <c r="BM85" s="1104">
        <v>30</v>
      </c>
      <c r="BN85" s="23">
        <v>30</v>
      </c>
      <c r="BO85" s="23">
        <v>20</v>
      </c>
      <c r="BP85" s="1104">
        <v>20</v>
      </c>
      <c r="BQ85" s="1104">
        <v>20</v>
      </c>
      <c r="BR85" s="1104">
        <v>20</v>
      </c>
      <c r="BS85" s="1104">
        <v>20</v>
      </c>
      <c r="BT85" s="23">
        <v>20</v>
      </c>
      <c r="BU85" s="23">
        <v>15</v>
      </c>
      <c r="BV85" s="1104">
        <v>15</v>
      </c>
      <c r="BW85" s="1104">
        <v>15</v>
      </c>
      <c r="BX85" s="1104">
        <v>15</v>
      </c>
      <c r="BY85" s="1104">
        <v>15</v>
      </c>
      <c r="BZ85" s="23">
        <v>15</v>
      </c>
      <c r="CA85" s="24">
        <v>100</v>
      </c>
      <c r="CB85" s="1104">
        <v>100</v>
      </c>
      <c r="CC85" s="1104">
        <v>100</v>
      </c>
      <c r="CD85" s="1104">
        <v>100</v>
      </c>
      <c r="CE85" s="1104">
        <v>100</v>
      </c>
      <c r="CF85" s="359">
        <v>100</v>
      </c>
      <c r="CG85" s="23"/>
      <c r="CH85" s="23"/>
      <c r="CQ85" s="25">
        <v>2018</v>
      </c>
      <c r="CR85" s="25">
        <v>2019</v>
      </c>
      <c r="CS85" s="25">
        <v>2020</v>
      </c>
    </row>
    <row r="86" spans="1:97" ht="36.75" thickBot="1" x14ac:dyDescent="0.3">
      <c r="A86" s="18" t="str">
        <f>CONCATENATE('3 pr-2'!A87)</f>
        <v>1.1.2.3.1</v>
      </c>
      <c r="B86" s="9" t="str">
        <f>CONCATENATE('3 pr-2'!D87)</f>
        <v>Dviračių ir pėsčiųjų takų įrengimas Varėnos miesto J. Basanavičiaus ir Žiedo gatvėse</v>
      </c>
      <c r="C86" s="85">
        <v>0</v>
      </c>
      <c r="D86" s="85">
        <v>0</v>
      </c>
      <c r="E86" s="85">
        <v>0</v>
      </c>
      <c r="F86" s="282">
        <v>0</v>
      </c>
      <c r="G86" s="282">
        <v>0</v>
      </c>
      <c r="H86" s="282">
        <v>0</v>
      </c>
      <c r="I86" s="282">
        <v>0</v>
      </c>
      <c r="J86" s="85">
        <v>0</v>
      </c>
      <c r="K86" s="360">
        <f>SUM('ketv. 7 '!M85)</f>
        <v>0</v>
      </c>
      <c r="L86" s="286">
        <f>SUM('ketv. 7 '!R85)</f>
        <v>0</v>
      </c>
      <c r="M86" s="286">
        <v>0</v>
      </c>
      <c r="N86" s="286">
        <v>0</v>
      </c>
      <c r="O86" s="286">
        <v>0</v>
      </c>
      <c r="P86" s="85">
        <f>SUM('ketv. 7 '!AL85)</f>
        <v>0</v>
      </c>
      <c r="Q86" s="85">
        <f>SUM(CL86*CQ86)</f>
        <v>96513</v>
      </c>
      <c r="R86" s="286">
        <f>SUM(CM86*CQ86)</f>
        <v>14477</v>
      </c>
      <c r="S86" s="286">
        <v>0</v>
      </c>
      <c r="T86" s="286">
        <v>0</v>
      </c>
      <c r="U86" s="286">
        <v>0</v>
      </c>
      <c r="V86" s="85">
        <f>SUM(CO86*CQ86)</f>
        <v>82036</v>
      </c>
      <c r="W86" s="85">
        <f>SUM(CL86*CR86)</f>
        <v>0</v>
      </c>
      <c r="X86" s="286">
        <f>SUM(CM86*CR86)</f>
        <v>0</v>
      </c>
      <c r="Y86" s="286">
        <v>0</v>
      </c>
      <c r="Z86" s="286">
        <v>0</v>
      </c>
      <c r="AA86" s="286">
        <v>0</v>
      </c>
      <c r="AB86" s="85">
        <f>SUM(CO86*CR86)</f>
        <v>0</v>
      </c>
      <c r="AC86" s="85">
        <f>SUM(CL86*CS86)</f>
        <v>0</v>
      </c>
      <c r="AD86" s="286">
        <f>SUM(CM86*CS86)</f>
        <v>0</v>
      </c>
      <c r="AE86" s="286">
        <v>0</v>
      </c>
      <c r="AF86" s="286">
        <v>0</v>
      </c>
      <c r="AG86" s="286">
        <v>0</v>
      </c>
      <c r="AH86" s="85">
        <f>SUM(CO86*CS86)</f>
        <v>0</v>
      </c>
      <c r="AI86" s="1081">
        <f>SUM('3 pr-2'!L87)</f>
        <v>96513</v>
      </c>
      <c r="AJ86" s="1082">
        <f t="shared" ref="AJ86:AJ98" si="227">SUM(AI86-K86)</f>
        <v>96513</v>
      </c>
      <c r="AK86" s="282">
        <f>SUM('3 pr-2'!O87)</f>
        <v>14477</v>
      </c>
      <c r="AL86" s="503">
        <f t="shared" si="205"/>
        <v>14477</v>
      </c>
      <c r="AM86" s="282">
        <f>SUM('3 pr-2'!R87)</f>
        <v>0</v>
      </c>
      <c r="AN86" s="503">
        <f t="shared" si="183"/>
        <v>0</v>
      </c>
      <c r="AO86" s="282">
        <f>SUM('3 pr-2'!U87)</f>
        <v>0</v>
      </c>
      <c r="AP86" s="503">
        <f t="shared" si="184"/>
        <v>0</v>
      </c>
      <c r="AQ86" s="282">
        <f>SUM('3 pr-2'!X87)</f>
        <v>0</v>
      </c>
      <c r="AR86" s="282"/>
      <c r="AS86" s="13">
        <f>SUM('3 pr-2'!AA87)</f>
        <v>82036</v>
      </c>
      <c r="AT86" s="503">
        <f t="shared" ref="AT86:AT98" si="228">SUM(AS86-P86)</f>
        <v>82036</v>
      </c>
      <c r="AU86" s="1066"/>
      <c r="AV86" s="24"/>
      <c r="AW86" s="24"/>
      <c r="AX86" s="282"/>
      <c r="AY86" s="282"/>
      <c r="AZ86" s="282"/>
      <c r="BA86" s="282"/>
      <c r="BB86" s="24"/>
      <c r="BC86" s="1093"/>
      <c r="BD86" s="282"/>
      <c r="BE86" s="282"/>
      <c r="BF86" s="282"/>
      <c r="BG86" s="282"/>
      <c r="BH86" s="1093"/>
      <c r="BI86" s="1093"/>
      <c r="BJ86" s="282"/>
      <c r="BK86" s="282"/>
      <c r="BL86" s="282"/>
      <c r="BM86" s="282"/>
      <c r="BN86" s="1093"/>
      <c r="BO86" s="24"/>
      <c r="BP86" s="282"/>
      <c r="BQ86" s="282"/>
      <c r="BR86" s="282"/>
      <c r="BS86" s="282"/>
      <c r="BT86" s="24"/>
      <c r="BU86" s="24"/>
      <c r="BV86" s="282"/>
      <c r="BW86" s="282"/>
      <c r="BX86" s="282"/>
      <c r="BY86" s="282"/>
      <c r="BZ86" s="24"/>
      <c r="CA86" s="24"/>
      <c r="CB86" s="282"/>
      <c r="CC86" s="282"/>
      <c r="CD86" s="282"/>
      <c r="CE86" s="282"/>
      <c r="CF86" s="359"/>
      <c r="CG86" s="1068">
        <f>SUM('3 pr-2'!AI87)</f>
        <v>43190</v>
      </c>
      <c r="CH86" s="1068">
        <f>SUM('3 pr-2'!AK87)</f>
        <v>43465</v>
      </c>
      <c r="CI86" s="68">
        <f>SUM(J86+P86+V86+AB86+AH86)</f>
        <v>82036</v>
      </c>
      <c r="CJ86" s="68">
        <f>SUM(AT86-CI86)</f>
        <v>0</v>
      </c>
      <c r="CL86" s="1169">
        <f>SUM(AJ86/CP86)</f>
        <v>350.95636363636362</v>
      </c>
      <c r="CM86" s="1169">
        <f>SUM(AK86/CP86)</f>
        <v>52.643636363636361</v>
      </c>
      <c r="CN86" s="1169">
        <f>SUM(AM86/($CH$69-$CG$69))</f>
        <v>0</v>
      </c>
      <c r="CO86" s="1171">
        <f>SUM(AT86/CP86)</f>
        <v>298.31272727272727</v>
      </c>
      <c r="CP86" s="25">
        <f>SUM(CH86-CG86)</f>
        <v>275</v>
      </c>
      <c r="CQ86" s="25">
        <v>275</v>
      </c>
      <c r="CR86" s="25">
        <v>0</v>
      </c>
      <c r="CS86" s="25">
        <v>0</v>
      </c>
    </row>
    <row r="87" spans="1:97" ht="36.75" thickBot="1" x14ac:dyDescent="0.3">
      <c r="A87" s="18" t="str">
        <f>CONCATENATE('3 pr-2'!A88)</f>
        <v>1.1.2.3.2</v>
      </c>
      <c r="B87" s="9" t="str">
        <f>CONCATENATE('3 pr-2'!D88)</f>
        <v>Dviračių trasų infrastruktūros įrengimas nuo Putinų g. žiedo Pramonės gatvėje, Alytaus mieste</v>
      </c>
      <c r="C87" s="85">
        <v>0</v>
      </c>
      <c r="D87" s="85">
        <v>0</v>
      </c>
      <c r="E87" s="85">
        <v>0</v>
      </c>
      <c r="F87" s="282">
        <v>0</v>
      </c>
      <c r="G87" s="282">
        <v>0</v>
      </c>
      <c r="H87" s="282">
        <v>0</v>
      </c>
      <c r="I87" s="282">
        <v>0</v>
      </c>
      <c r="J87" s="85">
        <v>0</v>
      </c>
      <c r="K87" s="360">
        <f>SUM('ketv. 7 '!M86)</f>
        <v>48895.060000000005</v>
      </c>
      <c r="L87" s="286">
        <f>SUM('ketv. 7 '!R86)</f>
        <v>7334.26</v>
      </c>
      <c r="M87" s="282">
        <v>0</v>
      </c>
      <c r="N87" s="282">
        <v>0</v>
      </c>
      <c r="O87" s="282">
        <v>0</v>
      </c>
      <c r="P87" s="85">
        <f>SUM('ketv. 7 '!AL86)</f>
        <v>41560.800000000003</v>
      </c>
      <c r="Q87" s="75">
        <f>SUM(R87:V87)</f>
        <v>86836.94</v>
      </c>
      <c r="R87" s="286">
        <f>SUM(AK87-L87)</f>
        <v>13065.74</v>
      </c>
      <c r="S87" s="286">
        <v>0</v>
      </c>
      <c r="T87" s="286">
        <v>0</v>
      </c>
      <c r="U87" s="286">
        <v>0</v>
      </c>
      <c r="V87" s="85">
        <f>SUM(AS87-P87)</f>
        <v>73771.199999999997</v>
      </c>
      <c r="W87" s="85">
        <v>0</v>
      </c>
      <c r="X87" s="286">
        <v>0</v>
      </c>
      <c r="Y87" s="286">
        <v>0</v>
      </c>
      <c r="Z87" s="286">
        <v>0</v>
      </c>
      <c r="AA87" s="286">
        <v>0</v>
      </c>
      <c r="AB87" s="85">
        <v>0</v>
      </c>
      <c r="AC87" s="85">
        <v>0</v>
      </c>
      <c r="AD87" s="286">
        <v>0</v>
      </c>
      <c r="AE87" s="286">
        <v>0</v>
      </c>
      <c r="AF87" s="286">
        <v>0</v>
      </c>
      <c r="AG87" s="286">
        <v>0</v>
      </c>
      <c r="AH87" s="85">
        <v>0</v>
      </c>
      <c r="AI87" s="1081">
        <f>SUM('3 pr-2'!L88)</f>
        <v>135732</v>
      </c>
      <c r="AJ87" s="1082">
        <f t="shared" si="227"/>
        <v>86836.94</v>
      </c>
      <c r="AK87" s="282">
        <f>SUM('3 pr-2'!O88)</f>
        <v>20400</v>
      </c>
      <c r="AL87" s="503">
        <f t="shared" si="205"/>
        <v>13065.74</v>
      </c>
      <c r="AM87" s="282">
        <f>SUM('3 pr-2'!R88)</f>
        <v>0</v>
      </c>
      <c r="AN87" s="503">
        <f t="shared" si="183"/>
        <v>0</v>
      </c>
      <c r="AO87" s="282">
        <f>SUM('3 pr-2'!U88)</f>
        <v>0</v>
      </c>
      <c r="AP87" s="503">
        <f t="shared" si="184"/>
        <v>0</v>
      </c>
      <c r="AQ87" s="282">
        <f>SUM('3 pr-2'!X88)</f>
        <v>0</v>
      </c>
      <c r="AR87" s="282"/>
      <c r="AS87" s="13">
        <f>SUM('3 pr-2'!AA88)</f>
        <v>115332</v>
      </c>
      <c r="AT87" s="503">
        <f t="shared" si="228"/>
        <v>73771.199999999997</v>
      </c>
      <c r="AU87" s="1066"/>
      <c r="AV87" s="24"/>
      <c r="AW87" s="24"/>
      <c r="AX87" s="282"/>
      <c r="AY87" s="282"/>
      <c r="AZ87" s="282"/>
      <c r="BA87" s="282"/>
      <c r="BB87" s="24"/>
      <c r="BC87" s="1093"/>
      <c r="BD87" s="282"/>
      <c r="BE87" s="282"/>
      <c r="BF87" s="282"/>
      <c r="BG87" s="282"/>
      <c r="BH87" s="1093"/>
      <c r="BI87" s="1093"/>
      <c r="BJ87" s="282"/>
      <c r="BK87" s="282"/>
      <c r="BL87" s="282"/>
      <c r="BM87" s="282"/>
      <c r="BN87" s="1093"/>
      <c r="BO87" s="24"/>
      <c r="BP87" s="282"/>
      <c r="BQ87" s="282"/>
      <c r="BR87" s="282"/>
      <c r="BS87" s="282"/>
      <c r="BT87" s="24"/>
      <c r="BU87" s="24"/>
      <c r="BV87" s="282"/>
      <c r="BW87" s="282"/>
      <c r="BX87" s="282"/>
      <c r="BY87" s="282"/>
      <c r="BZ87" s="24"/>
      <c r="CA87" s="24"/>
      <c r="CB87" s="282"/>
      <c r="CC87" s="282"/>
      <c r="CD87" s="282"/>
      <c r="CE87" s="282"/>
      <c r="CF87" s="359"/>
      <c r="CG87" s="1068">
        <f>SUM('3 pr-2'!AI88)</f>
        <v>42978</v>
      </c>
      <c r="CH87" s="1068">
        <f>SUM('3 pr-2'!AK88)</f>
        <v>43465</v>
      </c>
      <c r="CI87" s="68">
        <f t="shared" ref="CI87" si="229">SUM(P87+V87+AB87+AH87)</f>
        <v>115332</v>
      </c>
      <c r="CJ87" s="25">
        <f>SUM(AI87/(CH87-CG87))</f>
        <v>278.71047227926078</v>
      </c>
      <c r="CK87" s="25">
        <f>SUM(AK87/(CH87-CG87))</f>
        <v>41.889117043121146</v>
      </c>
      <c r="CL87" s="25">
        <f>SUM(AS87/(CH87-CG87))</f>
        <v>236.82135523613962</v>
      </c>
    </row>
    <row r="88" spans="1:97" ht="36.75" thickBot="1" x14ac:dyDescent="0.3">
      <c r="A88" s="18" t="str">
        <f>CONCATENATE('3 pr-2'!A89)</f>
        <v>1.1.2.3.3</v>
      </c>
      <c r="B88" s="9" t="str">
        <f>CONCATENATE('3 pr-2'!D89)</f>
        <v>Dviračių ir pėsčiųjų takų plėtra Lazdijų miesto Turistų gatvėje iki sodų bendrijos „Baltasis“ Lazdijų seniūnijoje</v>
      </c>
      <c r="C88" s="85">
        <v>0</v>
      </c>
      <c r="D88" s="85">
        <v>0</v>
      </c>
      <c r="E88" s="85">
        <v>0</v>
      </c>
      <c r="F88" s="282">
        <v>0</v>
      </c>
      <c r="G88" s="282">
        <v>0</v>
      </c>
      <c r="H88" s="282">
        <v>0</v>
      </c>
      <c r="I88" s="282">
        <v>0</v>
      </c>
      <c r="J88" s="85">
        <v>0</v>
      </c>
      <c r="K88" s="360">
        <f>SUM('ketv. 7 '!M87)</f>
        <v>0</v>
      </c>
      <c r="L88" s="286">
        <f>SUM('ketv. 7 '!R87)</f>
        <v>0</v>
      </c>
      <c r="M88" s="282">
        <v>0</v>
      </c>
      <c r="N88" s="282">
        <v>0</v>
      </c>
      <c r="O88" s="282">
        <v>0</v>
      </c>
      <c r="P88" s="85">
        <f>SUM('ketv. 7 '!AL87)</f>
        <v>0</v>
      </c>
      <c r="Q88" s="85">
        <f>IF(YEAR($CG88)=2017,($BI$4-$BC$4)*$AJ88/($CH88-$BC$4),0)</f>
        <v>43887.5</v>
      </c>
      <c r="R88" s="282">
        <f>IF(YEAR($CG$88)=2017,($BI$4-$BC$4)*AL$88/($CH$88-$BC$4),0)</f>
        <v>6583</v>
      </c>
      <c r="S88" s="282">
        <v>0</v>
      </c>
      <c r="T88" s="286">
        <v>0</v>
      </c>
      <c r="U88" s="286">
        <v>0</v>
      </c>
      <c r="V88" s="85">
        <f>IF(YEAR($CG$88)=2017,($BI$4-$BC$4)*AT$88/($CH$88-$BC$4),0)</f>
        <v>37304.5</v>
      </c>
      <c r="W88" s="85">
        <f>IF(YEAR($CH88)=2019,($CH$88-$BI$4)*AJ$88/($CH$88-$BC$4),0)</f>
        <v>43887.5</v>
      </c>
      <c r="X88" s="286">
        <f>IF(YEAR($CH88)=2019,($CH$88-$BI$4)*AL$88/($CH$88-$BC$4),0)</f>
        <v>6583</v>
      </c>
      <c r="Y88" s="286">
        <f>IF(YEAR($CH$88)=2019,($CH$88-$BI$4)*AM$88/($CH$88-$CG$88),0)</f>
        <v>0</v>
      </c>
      <c r="Z88" s="286">
        <f>IF(YEAR($CH$88)=2019,($CH$88-$BI$4)*AO$88/($CH$88-$CG$88),0)</f>
        <v>0</v>
      </c>
      <c r="AA88" s="286">
        <f>IF(YEAR($CH$88)=2019,($CH$88-$BI$4)*AQ$88/($CH$88-$CG$88),0)</f>
        <v>0</v>
      </c>
      <c r="AB88" s="85">
        <f>IF(YEAR($CH88)=2019,($CH$88-$BI$4)*AT$88/($CH$88-$BC$4),0)</f>
        <v>37304.5</v>
      </c>
      <c r="AC88" s="85">
        <v>0</v>
      </c>
      <c r="AD88" s="286">
        <v>0</v>
      </c>
      <c r="AE88" s="286">
        <v>0</v>
      </c>
      <c r="AF88" s="286">
        <v>0</v>
      </c>
      <c r="AG88" s="286">
        <v>0</v>
      </c>
      <c r="AH88" s="85">
        <v>0</v>
      </c>
      <c r="AI88" s="1081">
        <f>SUM('3 pr-2'!L89)</f>
        <v>87775</v>
      </c>
      <c r="AJ88" s="1082">
        <f t="shared" si="227"/>
        <v>87775</v>
      </c>
      <c r="AK88" s="282">
        <f>SUM('3 pr-2'!O89)</f>
        <v>13166</v>
      </c>
      <c r="AL88" s="503">
        <f t="shared" si="205"/>
        <v>13166</v>
      </c>
      <c r="AM88" s="282">
        <f>SUM('3 pr-2'!R89)</f>
        <v>0</v>
      </c>
      <c r="AN88" s="503">
        <f t="shared" si="183"/>
        <v>0</v>
      </c>
      <c r="AO88" s="282">
        <f>SUM('3 pr-2'!U89)</f>
        <v>0</v>
      </c>
      <c r="AP88" s="503">
        <f t="shared" si="184"/>
        <v>0</v>
      </c>
      <c r="AQ88" s="282">
        <f>SUM('3 pr-2'!X89)</f>
        <v>0</v>
      </c>
      <c r="AR88" s="282"/>
      <c r="AS88" s="13">
        <f>SUM('3 pr-2'!AA89)</f>
        <v>74609</v>
      </c>
      <c r="AT88" s="503">
        <f t="shared" si="228"/>
        <v>74609</v>
      </c>
      <c r="AU88" s="1066"/>
      <c r="AV88" s="24"/>
      <c r="AW88" s="24"/>
      <c r="AX88" s="282"/>
      <c r="AY88" s="282"/>
      <c r="AZ88" s="282"/>
      <c r="BA88" s="282"/>
      <c r="BB88" s="24"/>
      <c r="BC88" s="1093"/>
      <c r="BD88" s="282"/>
      <c r="BE88" s="282"/>
      <c r="BF88" s="282"/>
      <c r="BG88" s="282"/>
      <c r="BH88" s="1093"/>
      <c r="BI88" s="1093"/>
      <c r="BJ88" s="282"/>
      <c r="BK88" s="282"/>
      <c r="BL88" s="282"/>
      <c r="BM88" s="282"/>
      <c r="BN88" s="1093"/>
      <c r="BO88" s="1093"/>
      <c r="BP88" s="282"/>
      <c r="BQ88" s="282"/>
      <c r="BR88" s="282"/>
      <c r="BS88" s="282"/>
      <c r="BT88" s="1093"/>
      <c r="BU88" s="24"/>
      <c r="BV88" s="282"/>
      <c r="BW88" s="282"/>
      <c r="BX88" s="282"/>
      <c r="BY88" s="282"/>
      <c r="BZ88" s="24"/>
      <c r="CA88" s="24"/>
      <c r="CB88" s="282"/>
      <c r="CC88" s="282"/>
      <c r="CD88" s="282"/>
      <c r="CE88" s="282"/>
      <c r="CF88" s="359"/>
      <c r="CG88" s="1068">
        <f>SUM('3 pr-2'!AI89)</f>
        <v>43100</v>
      </c>
      <c r="CH88" s="1068">
        <f>SUM('3 pr-2'!AK89)</f>
        <v>43830</v>
      </c>
      <c r="CI88" s="68">
        <f>SUM(P88+V88+AB88+AH88)</f>
        <v>74609</v>
      </c>
      <c r="CJ88" s="25">
        <f>SUM(AI88/(CH88-CG88))</f>
        <v>120.23972602739725</v>
      </c>
      <c r="CK88" s="25">
        <f>SUM(AK88/(CH88-CG88))</f>
        <v>18.035616438356165</v>
      </c>
      <c r="CL88" s="25">
        <f>SUM(AS88/(CH88-CG88))</f>
        <v>102.2041095890411</v>
      </c>
    </row>
    <row r="89" spans="1:97" ht="24.75" thickBot="1" x14ac:dyDescent="0.3">
      <c r="A89" s="18" t="str">
        <f>CONCATENATE('3 pr-2'!A90)</f>
        <v>1.1.2.3.4</v>
      </c>
      <c r="B89" s="9" t="str">
        <f>CONCATENATE('3 pr-2'!D90)</f>
        <v>Pėsčiųjų ir dviračių takų plėtra Simno seniūnijoje</v>
      </c>
      <c r="C89" s="85">
        <v>0</v>
      </c>
      <c r="D89" s="85">
        <v>0</v>
      </c>
      <c r="E89" s="85">
        <v>0</v>
      </c>
      <c r="F89" s="282">
        <v>0</v>
      </c>
      <c r="G89" s="282">
        <v>0</v>
      </c>
      <c r="H89" s="282">
        <v>0</v>
      </c>
      <c r="I89" s="282">
        <v>0</v>
      </c>
      <c r="J89" s="85">
        <v>0</v>
      </c>
      <c r="K89" s="360">
        <f>SUM('ketv. 7 '!M88)</f>
        <v>0</v>
      </c>
      <c r="L89" s="286">
        <f>SUM('ketv. 7 '!R88)</f>
        <v>0</v>
      </c>
      <c r="M89" s="282">
        <v>0</v>
      </c>
      <c r="N89" s="282">
        <v>0</v>
      </c>
      <c r="O89" s="282">
        <v>0</v>
      </c>
      <c r="P89" s="85">
        <f>SUM('ketv. 7 '!AL88)</f>
        <v>0</v>
      </c>
      <c r="Q89" s="85">
        <f>SUM(CJ89*(W2-CG89))</f>
        <v>39904.248786885248</v>
      </c>
      <c r="R89" s="286">
        <f>SUM(CK89*(W2-CG89))</f>
        <v>5985.6357049180324</v>
      </c>
      <c r="S89" s="286">
        <f>IF(YEAR($CH$89)=2018,($CH$89-$BC$4)*AM$89/($CH$89-$CG$89),0)</f>
        <v>0</v>
      </c>
      <c r="T89" s="286">
        <f>IF(YEAR($CH$89)=2018,($CH$89-$BC$4)*AO$89/($CH$89-$CG$89),0)</f>
        <v>0</v>
      </c>
      <c r="U89" s="286">
        <f>IF(YEAR($CH$89)=2018,($CH$89-$BC$4)*AQ$89/($CH$89-$CG$89),0)</f>
        <v>0</v>
      </c>
      <c r="V89" s="85">
        <f>SUM(CL89*(W2-CG89))</f>
        <v>33918.613081967218</v>
      </c>
      <c r="W89" s="85">
        <f>SUM(CJ89*(CH89-W2))</f>
        <v>59045.311213114757</v>
      </c>
      <c r="X89" s="286">
        <f>SUM(CK89*(CH89-W2))</f>
        <v>8856.794295081967</v>
      </c>
      <c r="Y89" s="286">
        <v>0</v>
      </c>
      <c r="Z89" s="286">
        <v>0</v>
      </c>
      <c r="AA89" s="286">
        <v>0</v>
      </c>
      <c r="AB89" s="85">
        <f>SUM(CL89*(CH89-W2))</f>
        <v>50188.516918032794</v>
      </c>
      <c r="AC89" s="85">
        <v>0</v>
      </c>
      <c r="AD89" s="286">
        <v>0</v>
      </c>
      <c r="AE89" s="286">
        <v>0</v>
      </c>
      <c r="AF89" s="286">
        <v>0</v>
      </c>
      <c r="AG89" s="286">
        <v>0</v>
      </c>
      <c r="AH89" s="85">
        <v>0</v>
      </c>
      <c r="AI89" s="1081">
        <f>SUM('3 pr-2'!L90)</f>
        <v>98949.56</v>
      </c>
      <c r="AJ89" s="1082">
        <f t="shared" si="227"/>
        <v>98949.56</v>
      </c>
      <c r="AK89" s="282">
        <f>SUM('3 pr-2'!O90)</f>
        <v>14842.43</v>
      </c>
      <c r="AL89" s="503">
        <f t="shared" si="205"/>
        <v>14842.43</v>
      </c>
      <c r="AM89" s="282">
        <f>SUM('3 pr-2'!R90)</f>
        <v>0</v>
      </c>
      <c r="AN89" s="503">
        <f t="shared" si="183"/>
        <v>0</v>
      </c>
      <c r="AO89" s="282">
        <f>SUM('3 pr-2'!U90)</f>
        <v>0</v>
      </c>
      <c r="AP89" s="503">
        <f t="shared" si="184"/>
        <v>0</v>
      </c>
      <c r="AQ89" s="282">
        <f>SUM('3 pr-2'!X90)</f>
        <v>0</v>
      </c>
      <c r="AR89" s="282"/>
      <c r="AS89" s="13">
        <f>SUM('3 pr-2'!AA90)</f>
        <v>84107.13</v>
      </c>
      <c r="AT89" s="503">
        <f t="shared" si="228"/>
        <v>84107.13</v>
      </c>
      <c r="AU89" s="1066"/>
      <c r="AV89" s="24"/>
      <c r="AW89" s="24"/>
      <c r="AX89" s="282"/>
      <c r="AY89" s="282"/>
      <c r="AZ89" s="282"/>
      <c r="BA89" s="282"/>
      <c r="BB89" s="24"/>
      <c r="BC89" s="1093"/>
      <c r="BD89" s="282"/>
      <c r="BE89" s="282"/>
      <c r="BF89" s="282"/>
      <c r="BG89" s="282"/>
      <c r="BH89" s="1093"/>
      <c r="BI89" s="1093"/>
      <c r="BJ89" s="282"/>
      <c r="BK89" s="282"/>
      <c r="BL89" s="282"/>
      <c r="BM89" s="282"/>
      <c r="BN89" s="1093"/>
      <c r="BO89" s="24"/>
      <c r="BP89" s="282"/>
      <c r="BQ89" s="282"/>
      <c r="BR89" s="282"/>
      <c r="BS89" s="282"/>
      <c r="BT89" s="24"/>
      <c r="BU89" s="24"/>
      <c r="BV89" s="282"/>
      <c r="BW89" s="282"/>
      <c r="BX89" s="282"/>
      <c r="BY89" s="282"/>
      <c r="BZ89" s="24"/>
      <c r="CA89" s="24"/>
      <c r="CB89" s="282"/>
      <c r="CC89" s="282"/>
      <c r="CD89" s="282"/>
      <c r="CE89" s="282"/>
      <c r="CF89" s="359"/>
      <c r="CG89" s="1068">
        <f>SUM('3 pr-2'!AI90)</f>
        <v>43220</v>
      </c>
      <c r="CH89" s="1068">
        <f>SUM('3 pr-2'!AK90)</f>
        <v>43830</v>
      </c>
      <c r="CI89" s="68">
        <f>SUM(P89+V89+AB89+AH89)</f>
        <v>84107.13</v>
      </c>
      <c r="CJ89" s="25">
        <f>SUM(AI89/(CH89-CG89))</f>
        <v>162.21239344262295</v>
      </c>
      <c r="CK89" s="25">
        <f>SUM(AK89/(CH89-CG89))</f>
        <v>24.331852459016392</v>
      </c>
      <c r="CL89" s="25">
        <f>SUM(AS89/(CH89-CG89))</f>
        <v>137.88054098360658</v>
      </c>
    </row>
    <row r="90" spans="1:97" ht="36.75" thickBot="1" x14ac:dyDescent="0.3">
      <c r="A90" s="18" t="str">
        <f>CONCATENATE('3 pr-2'!A91)</f>
        <v>1.1.2.3.5</v>
      </c>
      <c r="B90" s="9" t="str">
        <f>CONCATENATE('3 pr-2'!D91)</f>
        <v>Dviračių ir pėsčiųjų tako, esančio šalia Ratnyčios upelio, Druskininkų mieste, rekonstrukcija</v>
      </c>
      <c r="C90" s="85">
        <v>0</v>
      </c>
      <c r="D90" s="85">
        <v>0</v>
      </c>
      <c r="E90" s="85">
        <v>0</v>
      </c>
      <c r="F90" s="282">
        <v>0</v>
      </c>
      <c r="G90" s="282">
        <v>0</v>
      </c>
      <c r="H90" s="282">
        <v>0</v>
      </c>
      <c r="I90" s="282">
        <v>0</v>
      </c>
      <c r="J90" s="85">
        <v>0</v>
      </c>
      <c r="K90" s="360">
        <f>SUM('ketv. 7 '!M89)</f>
        <v>0</v>
      </c>
      <c r="L90" s="286">
        <f>SUM('ketv. 7 '!R89)</f>
        <v>0</v>
      </c>
      <c r="M90" s="286">
        <v>0</v>
      </c>
      <c r="N90" s="286">
        <v>0</v>
      </c>
      <c r="O90" s="286">
        <v>0</v>
      </c>
      <c r="P90" s="85">
        <f>SUM('ketv. 7 '!AL89)</f>
        <v>0</v>
      </c>
      <c r="Q90" s="85">
        <v>0</v>
      </c>
      <c r="R90" s="282">
        <v>0</v>
      </c>
      <c r="S90" s="282">
        <v>0</v>
      </c>
      <c r="T90" s="282">
        <v>0</v>
      </c>
      <c r="U90" s="282">
        <v>0</v>
      </c>
      <c r="V90" s="85">
        <v>0</v>
      </c>
      <c r="W90" s="85">
        <f>SUM(CJ90*(AC2-CG90))</f>
        <v>41438.814070351757</v>
      </c>
      <c r="X90" s="286">
        <f>SUM(CK90*(AC2-CG90))</f>
        <v>8432.442211055275</v>
      </c>
      <c r="Y90" s="286">
        <v>0</v>
      </c>
      <c r="Z90" s="286">
        <v>0</v>
      </c>
      <c r="AA90" s="286">
        <v>0</v>
      </c>
      <c r="AB90" s="85">
        <f>SUM(CL90*(AC2-CG90))</f>
        <v>33006.37185929648</v>
      </c>
      <c r="AC90" s="85">
        <f>SUM(CJ90*(CH90-AC2))</f>
        <v>29650.18592964824</v>
      </c>
      <c r="AD90" s="286">
        <f>SUM(CK90*(CH90-AC2))</f>
        <v>6033.5577889447231</v>
      </c>
      <c r="AE90" s="286">
        <v>0</v>
      </c>
      <c r="AF90" s="286">
        <v>0</v>
      </c>
      <c r="AG90" s="286">
        <v>0</v>
      </c>
      <c r="AH90" s="85">
        <f>SUM(CL90*(CH90-AC2))</f>
        <v>23616.628140703517</v>
      </c>
      <c r="AI90" s="1081">
        <f>SUM('3 pr-2'!L91)</f>
        <v>71089</v>
      </c>
      <c r="AJ90" s="1082">
        <f t="shared" si="227"/>
        <v>71089</v>
      </c>
      <c r="AK90" s="282">
        <f>SUM('3 pr-2'!O91)</f>
        <v>14466</v>
      </c>
      <c r="AL90" s="503">
        <f t="shared" si="205"/>
        <v>14466</v>
      </c>
      <c r="AM90" s="282">
        <f>SUM('3 pr-2'!R91)</f>
        <v>0</v>
      </c>
      <c r="AN90" s="503">
        <f t="shared" si="183"/>
        <v>0</v>
      </c>
      <c r="AO90" s="282">
        <f>SUM('3 pr-2'!U91)</f>
        <v>0</v>
      </c>
      <c r="AP90" s="503">
        <f>SUM(AO90-N90)</f>
        <v>0</v>
      </c>
      <c r="AQ90" s="282">
        <f>SUM('3 pr-2'!X91)</f>
        <v>0</v>
      </c>
      <c r="AR90" s="282"/>
      <c r="AS90" s="13">
        <f>SUM('3 pr-2'!AA91)</f>
        <v>56623</v>
      </c>
      <c r="AT90" s="503">
        <f t="shared" si="228"/>
        <v>56623</v>
      </c>
      <c r="AU90" s="1066"/>
      <c r="AV90" s="24"/>
      <c r="AW90" s="24"/>
      <c r="AX90" s="282"/>
      <c r="AY90" s="282"/>
      <c r="AZ90" s="282"/>
      <c r="BA90" s="282"/>
      <c r="BB90" s="24"/>
      <c r="BC90" s="24"/>
      <c r="BD90" s="282"/>
      <c r="BE90" s="282"/>
      <c r="BF90" s="282"/>
      <c r="BG90" s="282"/>
      <c r="BH90" s="24"/>
      <c r="BI90" s="1093"/>
      <c r="BJ90" s="282"/>
      <c r="BK90" s="282"/>
      <c r="BL90" s="282"/>
      <c r="BM90" s="282"/>
      <c r="BN90" s="1093"/>
      <c r="BO90" s="24"/>
      <c r="BP90" s="282"/>
      <c r="BQ90" s="282"/>
      <c r="BR90" s="282"/>
      <c r="BS90" s="282"/>
      <c r="BT90" s="24"/>
      <c r="BU90" s="24"/>
      <c r="BV90" s="282"/>
      <c r="BW90" s="282"/>
      <c r="BX90" s="282"/>
      <c r="BY90" s="282"/>
      <c r="BZ90" s="24"/>
      <c r="CA90" s="24"/>
      <c r="CB90" s="282"/>
      <c r="CC90" s="282"/>
      <c r="CD90" s="282"/>
      <c r="CE90" s="282"/>
      <c r="CF90" s="359"/>
      <c r="CG90" s="1068">
        <f>SUM('3 pr-2'!AI91)</f>
        <v>43599</v>
      </c>
      <c r="CH90" s="1068">
        <f>SUM('3 pr-2'!AK91)</f>
        <v>43997</v>
      </c>
      <c r="CI90" s="68">
        <f>SUM(P90+V90+AB90+AH90)</f>
        <v>56623</v>
      </c>
      <c r="CJ90" s="25">
        <f>SUM(AI90/(CH90-CG90))</f>
        <v>178.61557788944722</v>
      </c>
      <c r="CK90" s="25">
        <f>SUM(AK90/(CH90-CG90))</f>
        <v>36.346733668341706</v>
      </c>
      <c r="CL90" s="25">
        <f>SUM(AS90/(CH90-CG90))</f>
        <v>142.26884422110552</v>
      </c>
    </row>
    <row r="91" spans="1:97" ht="39.75" thickBot="1" x14ac:dyDescent="0.3">
      <c r="A91" s="278" t="str">
        <f>CONCATENATE('3 pr-2'!A92)</f>
        <v>1.1.2.4</v>
      </c>
      <c r="B91" s="118" t="str">
        <f>CONCATENATE('3 pr-2'!B92)</f>
        <v>Priemonė:
Vietinių kelių techninių parametrų ir eismo saugos gerinimas</v>
      </c>
      <c r="C91" s="1089">
        <f t="shared" ref="C91:AA91" si="230">SUM(C92:C98)</f>
        <v>0</v>
      </c>
      <c r="D91" s="1089">
        <f t="shared" si="230"/>
        <v>0</v>
      </c>
      <c r="E91" s="1089">
        <f t="shared" si="230"/>
        <v>0</v>
      </c>
      <c r="F91" s="1089">
        <f t="shared" si="230"/>
        <v>0</v>
      </c>
      <c r="G91" s="1089">
        <f t="shared" si="230"/>
        <v>0</v>
      </c>
      <c r="H91" s="1089">
        <f t="shared" si="230"/>
        <v>0</v>
      </c>
      <c r="I91" s="1089">
        <f t="shared" si="230"/>
        <v>0</v>
      </c>
      <c r="J91" s="1089">
        <f t="shared" si="230"/>
        <v>0</v>
      </c>
      <c r="K91" s="1089">
        <f t="shared" si="230"/>
        <v>873591.32000000007</v>
      </c>
      <c r="L91" s="1089">
        <f t="shared" si="230"/>
        <v>98493.53</v>
      </c>
      <c r="M91" s="1089">
        <f t="shared" si="230"/>
        <v>0</v>
      </c>
      <c r="N91" s="1089">
        <f t="shared" si="230"/>
        <v>0</v>
      </c>
      <c r="O91" s="1089">
        <f t="shared" si="230"/>
        <v>32545.37</v>
      </c>
      <c r="P91" s="1089">
        <f t="shared" si="230"/>
        <v>742552.42</v>
      </c>
      <c r="Q91" s="1089">
        <f t="shared" si="230"/>
        <v>2198924.2164948359</v>
      </c>
      <c r="R91" s="1089">
        <f t="shared" si="230"/>
        <v>756166.25375138572</v>
      </c>
      <c r="S91" s="1089">
        <f t="shared" si="230"/>
        <v>0</v>
      </c>
      <c r="T91" s="1089">
        <f t="shared" si="230"/>
        <v>0</v>
      </c>
      <c r="U91" s="1089">
        <f t="shared" si="230"/>
        <v>10056.527901459855</v>
      </c>
      <c r="V91" s="1089">
        <f t="shared" si="230"/>
        <v>1073135.5258821365</v>
      </c>
      <c r="W91" s="1089">
        <f t="shared" si="230"/>
        <v>1775304.0324558939</v>
      </c>
      <c r="X91" s="1089">
        <f t="shared" si="230"/>
        <v>652656.63467927137</v>
      </c>
      <c r="Y91" s="1089">
        <f t="shared" si="230"/>
        <v>0</v>
      </c>
      <c r="Z91" s="1089">
        <f t="shared" si="230"/>
        <v>0</v>
      </c>
      <c r="AA91" s="1089">
        <f t="shared" si="230"/>
        <v>10029.051049270074</v>
      </c>
      <c r="AB91" s="1089">
        <f>SUM(AB92:AB98)</f>
        <v>1123456.9051671335</v>
      </c>
      <c r="AC91" s="1089">
        <f t="shared" ref="AC91:AG91" si="231">SUM(AC92:AC98)</f>
        <v>133720.25104927007</v>
      </c>
      <c r="AD91" s="1089">
        <f t="shared" si="231"/>
        <v>20867.609489051094</v>
      </c>
      <c r="AE91" s="1089">
        <f t="shared" si="231"/>
        <v>0</v>
      </c>
      <c r="AF91" s="1089">
        <f t="shared" si="231"/>
        <v>0</v>
      </c>
      <c r="AG91" s="1089">
        <f t="shared" si="231"/>
        <v>10029.051049270074</v>
      </c>
      <c r="AH91" s="1089">
        <f t="shared" ref="AH91" si="232">SUM(AH92:AH98)</f>
        <v>113662.14895072993</v>
      </c>
      <c r="AI91" s="1091">
        <f t="shared" ref="AI91" si="233">SUM(AI92:AI98)</f>
        <v>4981539.82</v>
      </c>
      <c r="AJ91" s="1089">
        <f t="shared" ref="AJ91" si="234">SUM(AJ92:AJ98)</f>
        <v>4107948.5</v>
      </c>
      <c r="AK91" s="1089">
        <f t="shared" ref="AK91" si="235">SUM(AK92:AK98)</f>
        <v>1866072.8199999998</v>
      </c>
      <c r="AL91" s="1089">
        <f t="shared" ref="AL91" si="236">SUM(AL92:AL98)</f>
        <v>1767579.29</v>
      </c>
      <c r="AM91" s="1089">
        <f t="shared" ref="AM91" si="237">SUM(AM92:AM98)</f>
        <v>0</v>
      </c>
      <c r="AN91" s="1089">
        <f t="shared" ref="AN91" si="238">SUM(AN92:AN98)</f>
        <v>0</v>
      </c>
      <c r="AO91" s="1089">
        <f t="shared" ref="AO91" si="239">SUM(AO92:AO98)</f>
        <v>0</v>
      </c>
      <c r="AP91" s="1089">
        <f t="shared" ref="AP91" si="240">SUM(AP92:AP98)</f>
        <v>0</v>
      </c>
      <c r="AQ91" s="1089">
        <f t="shared" ref="AQ91" si="241">SUM(AQ92:AQ98)</f>
        <v>62660</v>
      </c>
      <c r="AR91" s="1089">
        <f t="shared" ref="AR91" si="242">SUM(AR92:AR98)</f>
        <v>30114.63</v>
      </c>
      <c r="AS91" s="1089">
        <f t="shared" ref="AS91" si="243">SUM(AS92:AS98)</f>
        <v>3052807</v>
      </c>
      <c r="AT91" s="1089"/>
      <c r="AU91" s="1066">
        <v>0</v>
      </c>
      <c r="AV91" s="24">
        <v>0</v>
      </c>
      <c r="AW91" s="24">
        <v>0</v>
      </c>
      <c r="AX91" s="1089">
        <v>0</v>
      </c>
      <c r="AY91" s="1089">
        <v>0</v>
      </c>
      <c r="AZ91" s="1089">
        <v>0</v>
      </c>
      <c r="BA91" s="1089">
        <v>0</v>
      </c>
      <c r="BB91" s="24">
        <v>0</v>
      </c>
      <c r="BC91" s="24">
        <v>20</v>
      </c>
      <c r="BD91" s="1089">
        <v>20</v>
      </c>
      <c r="BE91" s="1089">
        <v>20</v>
      </c>
      <c r="BF91" s="1089">
        <v>20</v>
      </c>
      <c r="BG91" s="1089">
        <v>20</v>
      </c>
      <c r="BH91" s="24">
        <v>20</v>
      </c>
      <c r="BI91" s="24">
        <v>30</v>
      </c>
      <c r="BJ91" s="1089">
        <v>30</v>
      </c>
      <c r="BK91" s="1089">
        <v>30</v>
      </c>
      <c r="BL91" s="1089">
        <v>30</v>
      </c>
      <c r="BM91" s="1089">
        <v>30</v>
      </c>
      <c r="BN91" s="24">
        <v>30</v>
      </c>
      <c r="BO91" s="24">
        <v>30</v>
      </c>
      <c r="BP91" s="1089">
        <v>30</v>
      </c>
      <c r="BQ91" s="1089">
        <v>30</v>
      </c>
      <c r="BR91" s="1089">
        <v>30</v>
      </c>
      <c r="BS91" s="1089">
        <v>30</v>
      </c>
      <c r="BT91" s="24">
        <v>30</v>
      </c>
      <c r="BU91" s="24">
        <v>20</v>
      </c>
      <c r="BV91" s="1089">
        <v>20</v>
      </c>
      <c r="BW91" s="1089">
        <v>20</v>
      </c>
      <c r="BX91" s="1089">
        <v>20</v>
      </c>
      <c r="BY91" s="1089">
        <v>20</v>
      </c>
      <c r="BZ91" s="24">
        <v>20</v>
      </c>
      <c r="CA91" s="24">
        <v>100</v>
      </c>
      <c r="CB91" s="1089">
        <v>100</v>
      </c>
      <c r="CC91" s="1089">
        <v>100</v>
      </c>
      <c r="CD91" s="1089">
        <v>100</v>
      </c>
      <c r="CE91" s="1089">
        <v>100</v>
      </c>
      <c r="CF91" s="359">
        <v>100</v>
      </c>
      <c r="CG91" s="1067"/>
      <c r="CH91" s="23"/>
    </row>
    <row r="92" spans="1:97" ht="36.75" thickBot="1" x14ac:dyDescent="0.3">
      <c r="A92" s="18" t="str">
        <f>CONCATENATE('3 pr-2'!A93)</f>
        <v>1.1.2.4.1</v>
      </c>
      <c r="B92" s="9" t="str">
        <f>CONCATENATE('3 pr-2'!D93)</f>
        <v>Varėnos miesto J. Basanavičiaus, Savanorių ir M. K. Čiurlionio gatvių rekonstrukcija</v>
      </c>
      <c r="C92" s="85">
        <v>0</v>
      </c>
      <c r="D92" s="85">
        <v>0</v>
      </c>
      <c r="E92" s="85">
        <v>0</v>
      </c>
      <c r="F92" s="282">
        <v>0</v>
      </c>
      <c r="G92" s="282">
        <v>0</v>
      </c>
      <c r="H92" s="282">
        <v>0</v>
      </c>
      <c r="I92" s="282">
        <v>0</v>
      </c>
      <c r="J92" s="85">
        <v>0</v>
      </c>
      <c r="K92" s="85">
        <f>SUM('ketv. 7 '!M91)</f>
        <v>433936.89</v>
      </c>
      <c r="L92" s="286">
        <f>SUM('ketv. 7 '!R91)</f>
        <v>32545.37</v>
      </c>
      <c r="M92" s="286">
        <f>IF(YEAR($CG$92)=2017,($BC$4-$CG$92)*AM$92/($CH$92-$CG$92))</f>
        <v>0</v>
      </c>
      <c r="N92" s="286">
        <f>IF(YEAR($CG$92)=2017,($BC$4-$CG$92)*AO$92/($CH$92-$CG$92))</f>
        <v>0</v>
      </c>
      <c r="O92" s="286">
        <f>SUM('ketv. 7 '!AG91)</f>
        <v>32545.37</v>
      </c>
      <c r="P92" s="85">
        <f>SUM('ketv. 7 '!AL91)</f>
        <v>368846.15</v>
      </c>
      <c r="Q92" s="85">
        <f>CL92*366</f>
        <v>134086.60790145985</v>
      </c>
      <c r="R92" s="286">
        <f>CM92*366</f>
        <v>20924.781021897812</v>
      </c>
      <c r="S92" s="286">
        <f>IF(YEAR($CH92)&gt;2018,($BI$4-$BC$4)*$AN92/($CH92-$BC$4),0)</f>
        <v>0</v>
      </c>
      <c r="T92" s="286">
        <f>IF(YEAR($CH92)&gt;2018,($BI$4-$BC$4)*$AP92/($CH92-$BC$4),0)</f>
        <v>0</v>
      </c>
      <c r="U92" s="286">
        <f>CN92*366</f>
        <v>10056.527901459855</v>
      </c>
      <c r="V92" s="85">
        <f>CO92*366</f>
        <v>113973.55209854014</v>
      </c>
      <c r="W92" s="85">
        <f>CL92*365</f>
        <v>133720.25104927007</v>
      </c>
      <c r="X92" s="286">
        <f>CM92*365</f>
        <v>20867.609489051094</v>
      </c>
      <c r="Y92" s="286">
        <f>IF(YEAR($CH92)=2019,($CH92-$BI$4)*AN$92/($CH92-$BC$4),0)</f>
        <v>0</v>
      </c>
      <c r="Z92" s="286">
        <f>IF(YEAR($CH92)=2019,($CH92-$BI$4)*$AP92/($CH92-$BC$4),0)</f>
        <v>0</v>
      </c>
      <c r="AA92" s="286">
        <f>CN92*365</f>
        <v>10029.051049270074</v>
      </c>
      <c r="AB92" s="85">
        <f>CO92*365</f>
        <v>113662.14895072993</v>
      </c>
      <c r="AC92" s="85">
        <f>CL92*365</f>
        <v>133720.25104927007</v>
      </c>
      <c r="AD92" s="286">
        <f>CM92*365</f>
        <v>20867.609489051094</v>
      </c>
      <c r="AE92" s="286">
        <v>0</v>
      </c>
      <c r="AF92" s="286">
        <v>0</v>
      </c>
      <c r="AG92" s="286">
        <f>CN92*365</f>
        <v>10029.051049270074</v>
      </c>
      <c r="AH92" s="85">
        <f>CO92*365</f>
        <v>113662.14895072993</v>
      </c>
      <c r="AI92" s="767">
        <f>SUM('3 pr-2'!L93)</f>
        <v>835464</v>
      </c>
      <c r="AJ92" s="1082">
        <f t="shared" si="227"/>
        <v>401527.11</v>
      </c>
      <c r="AK92" s="282">
        <f>SUM('3 pr-2'!O93)</f>
        <v>62660</v>
      </c>
      <c r="AL92" s="503">
        <f t="shared" si="205"/>
        <v>30114.63</v>
      </c>
      <c r="AM92" s="282">
        <f>SUM('3 pr-2'!R93)</f>
        <v>0</v>
      </c>
      <c r="AN92" s="503">
        <f t="shared" si="183"/>
        <v>0</v>
      </c>
      <c r="AO92" s="282">
        <f>SUM('3 pr-2'!U93)</f>
        <v>0</v>
      </c>
      <c r="AP92" s="503">
        <f>SUM(AO92-N92)</f>
        <v>0</v>
      </c>
      <c r="AQ92" s="282">
        <f>SUM('3 pr-2'!X93)</f>
        <v>62660</v>
      </c>
      <c r="AR92" s="543">
        <f>SUM(AQ92-O92)</f>
        <v>30114.63</v>
      </c>
      <c r="AS92" s="363">
        <f>SUM('3 pr-2'!AA93)</f>
        <v>710144</v>
      </c>
      <c r="AT92" s="503">
        <f t="shared" si="228"/>
        <v>341297.85</v>
      </c>
      <c r="AU92" s="1071"/>
      <c r="AV92" s="1093"/>
      <c r="AW92" s="1093"/>
      <c r="AX92" s="283"/>
      <c r="AY92" s="283"/>
      <c r="AZ92" s="283"/>
      <c r="BA92" s="283"/>
      <c r="BB92" s="1093"/>
      <c r="BC92" s="1093"/>
      <c r="BD92" s="283"/>
      <c r="BE92" s="283"/>
      <c r="BF92" s="283"/>
      <c r="BG92" s="283"/>
      <c r="BH92" s="1093"/>
      <c r="BI92" s="1093"/>
      <c r="BJ92" s="283"/>
      <c r="BK92" s="283"/>
      <c r="BL92" s="283"/>
      <c r="BM92" s="283"/>
      <c r="BN92" s="1093"/>
      <c r="BO92" s="1093"/>
      <c r="BP92" s="283"/>
      <c r="BQ92" s="283"/>
      <c r="BR92" s="283"/>
      <c r="BS92" s="283"/>
      <c r="BT92" s="1093"/>
      <c r="BU92" s="1093"/>
      <c r="BV92" s="283"/>
      <c r="BW92" s="283"/>
      <c r="BX92" s="283"/>
      <c r="BY92" s="283"/>
      <c r="BZ92" s="1093"/>
      <c r="CA92" s="24"/>
      <c r="CB92" s="283"/>
      <c r="CC92" s="283"/>
      <c r="CD92" s="283"/>
      <c r="CE92" s="283"/>
      <c r="CF92" s="359"/>
      <c r="CG92" s="1112">
        <f>SUM('3 pr-2'!AI93)</f>
        <v>43008</v>
      </c>
      <c r="CH92" s="1112">
        <f>SUM('3 pr-2'!AK93)</f>
        <v>44196</v>
      </c>
      <c r="CI92" s="68">
        <f>SUM(P92+V92+AB92+AH92)</f>
        <v>710144</v>
      </c>
      <c r="CJ92" s="68">
        <f>SUM(CI92-AS92)</f>
        <v>0</v>
      </c>
      <c r="CK92" s="68">
        <f>SUM(K92+Q92+W92+AC92)</f>
        <v>835464</v>
      </c>
      <c r="CL92" s="1169">
        <f>SUM(AJ92/1096)</f>
        <v>366.35685218978102</v>
      </c>
      <c r="CM92" s="1169">
        <f>SUM(AK92/1096)</f>
        <v>57.17153284671533</v>
      </c>
      <c r="CN92" s="1169">
        <f>SUM(AR92/1096)</f>
        <v>27.476852189781024</v>
      </c>
      <c r="CO92" s="1171">
        <f>SUM(AT92/1096)</f>
        <v>311.40314781021897</v>
      </c>
      <c r="CP92" s="25">
        <f>SUM(CH92-Q2)</f>
        <v>1095</v>
      </c>
      <c r="CQ92" s="25">
        <v>365</v>
      </c>
      <c r="CR92" s="25">
        <v>365</v>
      </c>
      <c r="CS92" s="25">
        <f>SUM(CP92-CQ92-CR92)</f>
        <v>365</v>
      </c>
    </row>
    <row r="93" spans="1:97" ht="24.75" thickBot="1" x14ac:dyDescent="0.3">
      <c r="A93" s="18" t="str">
        <f>CONCATENATE('3 pr-2'!A94)</f>
        <v>1.1.2.4.2</v>
      </c>
      <c r="B93" s="9" t="str">
        <f>CONCATENATE('3 pr-2'!D94)</f>
        <v>Perspektyvinės gatvės nuo Pramonės g. iki Naujosios g. Alytuje įrengimas</v>
      </c>
      <c r="C93" s="85">
        <v>0</v>
      </c>
      <c r="D93" s="85">
        <v>0</v>
      </c>
      <c r="E93" s="85">
        <v>0</v>
      </c>
      <c r="F93" s="282">
        <v>0</v>
      </c>
      <c r="G93" s="282">
        <v>0</v>
      </c>
      <c r="H93" s="282">
        <v>0</v>
      </c>
      <c r="I93" s="282">
        <v>0</v>
      </c>
      <c r="J93" s="85">
        <v>0</v>
      </c>
      <c r="K93" s="85">
        <f>SUM('ketv. 7 '!M92)</f>
        <v>439654.43000000005</v>
      </c>
      <c r="L93" s="286">
        <f>SUM('ketv. 7 '!R92)</f>
        <v>65948.160000000003</v>
      </c>
      <c r="M93" s="286">
        <f>IF(YEAR($CG$92)=2017,($BC$4-$CG$92)*AM$92/($CH$92-$CG$92))</f>
        <v>0</v>
      </c>
      <c r="N93" s="286">
        <f>IF(YEAR($CG$92)=2017,($BC$4-$CG$92)*AO$92/($CH$92-$CG$92))</f>
        <v>0</v>
      </c>
      <c r="O93" s="286">
        <f>SUM('ketv. 7 '!AG92)</f>
        <v>0</v>
      </c>
      <c r="P93" s="85">
        <f>SUM('ketv. 7 '!AL92)</f>
        <v>373706.27</v>
      </c>
      <c r="Q93" s="85">
        <f>CL93*365</f>
        <v>962558.57</v>
      </c>
      <c r="R93" s="286">
        <f>CM93*365</f>
        <v>217892.67791970802</v>
      </c>
      <c r="S93" s="286">
        <f t="shared" ref="S93:S97" si="244">IF(YEAR($CH93)&gt;2018,($BI$4-$BC$4)*$AN93/($CH93-$BC$4),0)</f>
        <v>0</v>
      </c>
      <c r="T93" s="286">
        <f t="shared" ref="T93:T97" si="245">IF(YEAR($CH93)&gt;2018,($BI$4-$BC$4)*$AP93/($CH93-$BC$4),0)</f>
        <v>0</v>
      </c>
      <c r="U93" s="286">
        <f t="shared" ref="U93:U97" si="246">IF(YEAR($CH93)&gt;2018,($BI$4-$BC$4)*$AR93/($CH93-$BC$4),0)</f>
        <v>0</v>
      </c>
      <c r="V93" s="85">
        <f>CO93*365</f>
        <v>374231.73000000004</v>
      </c>
      <c r="W93" s="85">
        <f>IF(YEAR($CH93)=2019,($CH93-$BI$4)*$AJ93/($CH93-$BC$4),0)</f>
        <v>0</v>
      </c>
      <c r="X93" s="286">
        <f>IF(YEAR($CH93)=2019,($CH93-$BI$4)*$AL93/($CH93-$BC$4),0)</f>
        <v>0</v>
      </c>
      <c r="Y93" s="286">
        <f>IF(YEAR($CH93)=2019,($CH93-$BI$4)*AN$92/($CH93-$BC$4),0)</f>
        <v>0</v>
      </c>
      <c r="Z93" s="286">
        <f>IF(YEAR($CH93)=2019,($CH93-$BI$4)*$AP93/($CH93-$BC$4),0)</f>
        <v>0</v>
      </c>
      <c r="AA93" s="286">
        <f>IF(YEAR($CH93)=2019,($CH93-$BI$4)*$AR93/($CH93-$BC$4),0)</f>
        <v>0</v>
      </c>
      <c r="AB93" s="85">
        <f>IF(YEAR($CH93)=2019,($CH93-$BI$4)*$AT93/($CH93-$BC$4),0)</f>
        <v>0</v>
      </c>
      <c r="AC93" s="85">
        <v>0</v>
      </c>
      <c r="AD93" s="286">
        <v>0</v>
      </c>
      <c r="AE93" s="286">
        <v>0</v>
      </c>
      <c r="AF93" s="286">
        <v>0</v>
      </c>
      <c r="AG93" s="286">
        <v>0</v>
      </c>
      <c r="AH93" s="85">
        <v>0</v>
      </c>
      <c r="AI93" s="767">
        <f>SUM('3 pr-2'!L94)</f>
        <v>1402213</v>
      </c>
      <c r="AJ93" s="1082">
        <f t="shared" si="227"/>
        <v>962558.57</v>
      </c>
      <c r="AK93" s="282">
        <f>SUM('3 pr-2'!O94)</f>
        <v>654275</v>
      </c>
      <c r="AL93" s="503">
        <f t="shared" si="205"/>
        <v>588326.84</v>
      </c>
      <c r="AM93" s="282">
        <f>SUM('3 pr-2'!R94)</f>
        <v>0</v>
      </c>
      <c r="AN93" s="503">
        <f t="shared" si="183"/>
        <v>0</v>
      </c>
      <c r="AO93" s="282">
        <f>SUM('3 pr-2'!U94)</f>
        <v>0</v>
      </c>
      <c r="AP93" s="503">
        <f t="shared" si="184"/>
        <v>0</v>
      </c>
      <c r="AQ93" s="282">
        <f>SUM('3 pr-2'!X94)</f>
        <v>0</v>
      </c>
      <c r="AR93" s="543"/>
      <c r="AS93" s="363">
        <f>SUM('3 pr-2'!AA94)</f>
        <v>747938</v>
      </c>
      <c r="AT93" s="503">
        <f t="shared" si="228"/>
        <v>374231.73</v>
      </c>
      <c r="AU93" s="1071"/>
      <c r="AV93" s="1093"/>
      <c r="AW93" s="1093"/>
      <c r="AX93" s="283"/>
      <c r="AY93" s="283"/>
      <c r="AZ93" s="283"/>
      <c r="BA93" s="283"/>
      <c r="BB93" s="1093"/>
      <c r="BC93" s="1093"/>
      <c r="BD93" s="283"/>
      <c r="BE93" s="283"/>
      <c r="BF93" s="283"/>
      <c r="BG93" s="283"/>
      <c r="BH93" s="1093"/>
      <c r="BI93" s="1093"/>
      <c r="BJ93" s="283"/>
      <c r="BK93" s="283"/>
      <c r="BL93" s="283"/>
      <c r="BM93" s="283"/>
      <c r="BN93" s="1093"/>
      <c r="BO93" s="1093"/>
      <c r="BP93" s="283"/>
      <c r="BQ93" s="283"/>
      <c r="BR93" s="283"/>
      <c r="BS93" s="283"/>
      <c r="BT93" s="1093"/>
      <c r="BU93" s="1093"/>
      <c r="BV93" s="283"/>
      <c r="BW93" s="283"/>
      <c r="BX93" s="283"/>
      <c r="BY93" s="283"/>
      <c r="BZ93" s="1093"/>
      <c r="CA93" s="24"/>
      <c r="CB93" s="283"/>
      <c r="CC93" s="283"/>
      <c r="CD93" s="283"/>
      <c r="CE93" s="283"/>
      <c r="CF93" s="359"/>
      <c r="CG93" s="1112">
        <f>SUM('3 pr-2'!AI94)</f>
        <v>42947</v>
      </c>
      <c r="CH93" s="1112">
        <f>SUM('3 pr-2'!AK94)</f>
        <v>43465</v>
      </c>
      <c r="CI93" s="68">
        <f>SUM(P93+V93+AB93+AH93)</f>
        <v>747938</v>
      </c>
      <c r="CJ93" s="68">
        <f>SUM(CI93-AS93)</f>
        <v>0</v>
      </c>
      <c r="CK93" s="68">
        <f t="shared" ref="CK93:CK98" si="247">SUM(K93+Q93+W93+AC93)</f>
        <v>1402213</v>
      </c>
      <c r="CL93" s="1169">
        <f>SUM(AJ93/365)</f>
        <v>2637.1467671232876</v>
      </c>
      <c r="CM93" s="1169">
        <f>SUM(AK93/1096)</f>
        <v>596.96624087591238</v>
      </c>
      <c r="CN93" s="1169">
        <f>SUM(AR93/1096)</f>
        <v>0</v>
      </c>
      <c r="CO93" s="1171">
        <f>SUM(AT93/365)</f>
        <v>1025.2924109589042</v>
      </c>
      <c r="CP93" s="25">
        <f>SUM(CH93-K3)</f>
        <v>365</v>
      </c>
    </row>
    <row r="94" spans="1:97" ht="24.75" thickBot="1" x14ac:dyDescent="0.3">
      <c r="A94" s="18" t="str">
        <f>CONCATENATE('3 pr-2'!A95)</f>
        <v>1.1.2.4.3.</v>
      </c>
      <c r="B94" s="9" t="str">
        <f>CONCATENATE('3 pr-2'!D95)</f>
        <v>Saugaus eismo priemonių diegimas Alytaus mieste</v>
      </c>
      <c r="C94" s="85">
        <v>0</v>
      </c>
      <c r="D94" s="85">
        <v>0</v>
      </c>
      <c r="E94" s="85">
        <v>0</v>
      </c>
      <c r="F94" s="282">
        <v>0</v>
      </c>
      <c r="G94" s="282">
        <v>0</v>
      </c>
      <c r="H94" s="282">
        <v>0</v>
      </c>
      <c r="I94" s="282">
        <v>0</v>
      </c>
      <c r="J94" s="85">
        <v>0</v>
      </c>
      <c r="K94" s="85">
        <f>SUM('ketv. 7 '!M93)</f>
        <v>0</v>
      </c>
      <c r="L94" s="286">
        <f>SUM('ketv. 7 '!R93)</f>
        <v>0</v>
      </c>
      <c r="M94" s="286">
        <f>IF(YEAR($CG$92)=2017,($BC$4-$CG$92)*AM$92/($CH$92-$CG$92))</f>
        <v>0</v>
      </c>
      <c r="N94" s="286">
        <f>IF(YEAR($CG$92)=2017,($BC$4-$CG$92)*AO$92/($CH$92-$CG$92))</f>
        <v>0</v>
      </c>
      <c r="O94" s="286">
        <f>SUM('ketv. 7 '!AG93)</f>
        <v>0</v>
      </c>
      <c r="P94" s="85">
        <f>SUM('ketv. 7 '!AL93)</f>
        <v>0</v>
      </c>
      <c r="Q94" s="85">
        <f>CL94*30</f>
        <v>23970.729113924048</v>
      </c>
      <c r="R94" s="286">
        <f>CM94*30</f>
        <v>4960.6784810126583</v>
      </c>
      <c r="S94" s="286">
        <f t="shared" si="244"/>
        <v>0</v>
      </c>
      <c r="T94" s="286">
        <f t="shared" si="245"/>
        <v>0</v>
      </c>
      <c r="U94" s="286">
        <f t="shared" si="246"/>
        <v>0</v>
      </c>
      <c r="V94" s="85">
        <f>CO94*30</f>
        <v>19010.050632911392</v>
      </c>
      <c r="W94" s="85">
        <f>CL94*365</f>
        <v>291643.87088607595</v>
      </c>
      <c r="X94" s="286">
        <f>CM94*365</f>
        <v>60354.921518987343</v>
      </c>
      <c r="Y94" s="286">
        <f>IF(YEAR($CH94)=2019,($CH94-$BI$4)*AN$92/($CH94-$BC$4),0)</f>
        <v>0</v>
      </c>
      <c r="Z94" s="286">
        <f>IF(YEAR($CH94)=2019,($CH94-$BI$4)*$AP94/($CH94-$BC$4),0)</f>
        <v>0</v>
      </c>
      <c r="AA94" s="286">
        <f>IF(YEAR($CH94)=2019,($CH94-$BI$4)*$AR94/($CH94-$BC$4),0)</f>
        <v>0</v>
      </c>
      <c r="AB94" s="85">
        <f>CO94*365</f>
        <v>231288.94936708861</v>
      </c>
      <c r="AC94" s="71">
        <v>0</v>
      </c>
      <c r="AD94" s="287">
        <v>0</v>
      </c>
      <c r="AE94" s="287">
        <v>0</v>
      </c>
      <c r="AF94" s="287">
        <v>0</v>
      </c>
      <c r="AG94" s="287">
        <v>0</v>
      </c>
      <c r="AH94" s="71">
        <v>0</v>
      </c>
      <c r="AI94" s="767">
        <f>SUM('3 pr-2'!L95)</f>
        <v>315614.59999999998</v>
      </c>
      <c r="AJ94" s="1082">
        <f t="shared" si="227"/>
        <v>315614.59999999998</v>
      </c>
      <c r="AK94" s="282">
        <f>SUM('3 pr-2'!O95)</f>
        <v>65315.6</v>
      </c>
      <c r="AL94" s="503">
        <f t="shared" si="205"/>
        <v>65315.6</v>
      </c>
      <c r="AM94" s="282">
        <f>SUM('3 pr-2'!R95)</f>
        <v>0</v>
      </c>
      <c r="AN94" s="503">
        <f t="shared" si="183"/>
        <v>0</v>
      </c>
      <c r="AO94" s="282">
        <f>SUM('3 pr-2'!U95)</f>
        <v>0</v>
      </c>
      <c r="AP94" s="503">
        <f t="shared" si="184"/>
        <v>0</v>
      </c>
      <c r="AQ94" s="282">
        <f>SUM('3 pr-2'!X95)</f>
        <v>0</v>
      </c>
      <c r="AR94" s="543"/>
      <c r="AS94" s="363">
        <f>SUM('3 pr-2'!AA95)</f>
        <v>250299</v>
      </c>
      <c r="AT94" s="503">
        <f t="shared" si="228"/>
        <v>250299</v>
      </c>
      <c r="AU94" s="1071"/>
      <c r="AV94" s="1093"/>
      <c r="AW94" s="1093"/>
      <c r="AX94" s="283"/>
      <c r="AY94" s="283"/>
      <c r="AZ94" s="283"/>
      <c r="BA94" s="283"/>
      <c r="BB94" s="1093"/>
      <c r="BC94" s="1093"/>
      <c r="BD94" s="283"/>
      <c r="BE94" s="283"/>
      <c r="BF94" s="283"/>
      <c r="BG94" s="283"/>
      <c r="BH94" s="1093"/>
      <c r="BI94" s="1093"/>
      <c r="BJ94" s="283"/>
      <c r="BK94" s="283"/>
      <c r="BL94" s="283"/>
      <c r="BM94" s="283"/>
      <c r="BN94" s="1093"/>
      <c r="BO94" s="1093"/>
      <c r="BP94" s="283"/>
      <c r="BQ94" s="283"/>
      <c r="BR94" s="283"/>
      <c r="BS94" s="283"/>
      <c r="BT94" s="1093"/>
      <c r="BU94" s="1093"/>
      <c r="BV94" s="283"/>
      <c r="BW94" s="283"/>
      <c r="BX94" s="283"/>
      <c r="BY94" s="283"/>
      <c r="BZ94" s="1093"/>
      <c r="CA94" s="24"/>
      <c r="CB94" s="283"/>
      <c r="CC94" s="283"/>
      <c r="CD94" s="283"/>
      <c r="CE94" s="283"/>
      <c r="CF94" s="359"/>
      <c r="CG94" s="1112">
        <f>SUM('3 pr-2'!AI95)</f>
        <v>43434</v>
      </c>
      <c r="CH94" s="1112">
        <f>SUM('3 pr-2'!AK95)</f>
        <v>43829</v>
      </c>
      <c r="CI94" s="68">
        <f t="shared" ref="CI94:CI98" si="248">SUM(P94+V94+AB94+AH94)</f>
        <v>250299</v>
      </c>
      <c r="CJ94" s="68">
        <f>SUM(CI94-AS94)</f>
        <v>0</v>
      </c>
      <c r="CK94" s="68">
        <f t="shared" si="247"/>
        <v>315614.59999999998</v>
      </c>
      <c r="CL94" s="1169">
        <f>SUM(AJ94/395)</f>
        <v>799.02430379746829</v>
      </c>
      <c r="CM94" s="1169">
        <f>SUM(AK94/395)</f>
        <v>165.35594936708861</v>
      </c>
      <c r="CN94" s="1169">
        <f>SUM(AR94/1096)</f>
        <v>0</v>
      </c>
      <c r="CO94" s="1171">
        <f>SUM(AT94/395)</f>
        <v>633.66835443037974</v>
      </c>
      <c r="CP94" s="25">
        <f>SUM(CH94-CG94)</f>
        <v>395</v>
      </c>
      <c r="CQ94" s="25">
        <v>30</v>
      </c>
      <c r="CR94" s="25">
        <v>365</v>
      </c>
    </row>
    <row r="95" spans="1:97" ht="24.75" thickBot="1" x14ac:dyDescent="0.3">
      <c r="A95" s="18" t="str">
        <f>CONCATENATE('3 pr-2'!A96)</f>
        <v>1.1.2.4.4</v>
      </c>
      <c r="B95" s="9" t="str">
        <f>CONCATENATE('3 pr-2'!D96)</f>
        <v>Eismo saugos priemonių diegimas Alytaus rajone</v>
      </c>
      <c r="C95" s="85">
        <v>0</v>
      </c>
      <c r="D95" s="85">
        <v>0</v>
      </c>
      <c r="E95" s="85">
        <v>0</v>
      </c>
      <c r="F95" s="282">
        <v>0</v>
      </c>
      <c r="G95" s="282">
        <v>0</v>
      </c>
      <c r="H95" s="282">
        <v>0</v>
      </c>
      <c r="I95" s="282">
        <v>0</v>
      </c>
      <c r="J95" s="85">
        <v>0</v>
      </c>
      <c r="K95" s="85">
        <f>SUM('ketv. 7 '!M94)</f>
        <v>0</v>
      </c>
      <c r="L95" s="286">
        <f>SUM('ketv. 7 '!R94)</f>
        <v>0</v>
      </c>
      <c r="M95" s="286">
        <f>IF(YEAR($CG$95)=2017,($BC$4-$CG$95)*AM$95/($CH$95-$CG$95),0)</f>
        <v>0</v>
      </c>
      <c r="N95" s="286">
        <f>IF(YEAR($CG$95)=2017,($BC$4-$CG$95)*AO$95/($CH$95-$CG$95),0)</f>
        <v>0</v>
      </c>
      <c r="O95" s="286">
        <f>SUM('ketv. 7 '!AG94)</f>
        <v>0</v>
      </c>
      <c r="P95" s="85">
        <f>SUM('ketv. 7 '!AL94)</f>
        <v>0</v>
      </c>
      <c r="Q95" s="85">
        <f>SUM($CL$95*92)</f>
        <v>69269.189479452049</v>
      </c>
      <c r="R95" s="286">
        <f>SUM(CM95*92)</f>
        <v>18645.49632876712</v>
      </c>
      <c r="S95" s="286">
        <f>IF(YEAR($CH95)&gt;2018,($BI$4-$CG$95)*$AN95/($CH95-$CG$95),0)</f>
        <v>0</v>
      </c>
      <c r="T95" s="286">
        <f>IF(YEAR($CH95)&gt;2018,($BI$4-$CG$95)*$AP95/($CH95-$CG$95),0)</f>
        <v>0</v>
      </c>
      <c r="U95" s="286">
        <f>IF(YEAR($CH95)&gt;2018,($BI$4-$CG$95)*$AR95/($CH95-$CG$95),0)</f>
        <v>0</v>
      </c>
      <c r="V95" s="85">
        <f>SUM(CO95*92)</f>
        <v>50623.693150684929</v>
      </c>
      <c r="W95" s="85">
        <f>SUM(CL95*273)</f>
        <v>205548.79052054792</v>
      </c>
      <c r="X95" s="286">
        <f>SUM(CM95*273)</f>
        <v>55328.483671232869</v>
      </c>
      <c r="Y95" s="286">
        <f>IF(YEAR($CH95)&gt;2019,($BO$4-$BI$4)*AN$92/($CH95-$CG$95),0)</f>
        <v>0</v>
      </c>
      <c r="Z95" s="286">
        <f>IF(YEAR($CH95)&gt;2019,($BO$4-$BI$4)*$AP95/($CH95-$CG$95),0)</f>
        <v>0</v>
      </c>
      <c r="AA95" s="286">
        <f>IF(YEAR($CH95)&gt;2019,($BO$4-$BI$4)*$AR95/($CH95-$CG$95),0)</f>
        <v>0</v>
      </c>
      <c r="AB95" s="85">
        <f>SUM(CO95*273)</f>
        <v>150220.30684931506</v>
      </c>
      <c r="AC95" s="85">
        <f>IF(YEAR($CH$95)=2020,($CH$95-$BO$4)*AI$95/($CH$95-$CG$95),0)</f>
        <v>0</v>
      </c>
      <c r="AD95" s="282">
        <f>IF(YEAR($CH$95)=2020,($CH$95-$BO$4)*AK$95/($CH$95-$CG$95),0)</f>
        <v>0</v>
      </c>
      <c r="AE95" s="282">
        <f>IF(YEAR($CH$95)=2020,($CH$95-$BO$4)*AM$95/($CH$95-$CG$95),0)</f>
        <v>0</v>
      </c>
      <c r="AF95" s="282">
        <f>IF(YEAR($CH$95)=2020,($CH$95-$BO$4)*AO$95/($CH$95-$CG$95),0)</f>
        <v>0</v>
      </c>
      <c r="AG95" s="282">
        <f>IF(YEAR($CH$95)=2020,($CH$95-$BO$4)*AQ$95/($CH$95-$CG$95),0)</f>
        <v>0</v>
      </c>
      <c r="AH95" s="85">
        <f>IF(YEAR($CH$95)=2020,($CH$95-$BO$4)*AS$95/($CH$95-$CG$95),0)</f>
        <v>0</v>
      </c>
      <c r="AI95" s="767">
        <f>SUM('3 pr-2'!L96)</f>
        <v>274817.98</v>
      </c>
      <c r="AJ95" s="1082">
        <f t="shared" si="227"/>
        <v>274817.98</v>
      </c>
      <c r="AK95" s="282">
        <f>SUM('3 pr-2'!O96)</f>
        <v>73973.98</v>
      </c>
      <c r="AL95" s="503">
        <f t="shared" si="205"/>
        <v>73973.98</v>
      </c>
      <c r="AM95" s="282">
        <f>SUM('3 pr-2'!R96)</f>
        <v>0</v>
      </c>
      <c r="AN95" s="503">
        <f t="shared" si="183"/>
        <v>0</v>
      </c>
      <c r="AO95" s="282">
        <f>SUM('3 pr-2'!U96)</f>
        <v>0</v>
      </c>
      <c r="AP95" s="503">
        <f t="shared" si="184"/>
        <v>0</v>
      </c>
      <c r="AQ95" s="282">
        <f>SUM('3 pr-2'!X96)</f>
        <v>0</v>
      </c>
      <c r="AR95" s="543"/>
      <c r="AS95" s="363">
        <f>SUM('3 pr-2'!AA96)</f>
        <v>200844</v>
      </c>
      <c r="AT95" s="503">
        <f t="shared" si="228"/>
        <v>200844</v>
      </c>
      <c r="AU95" s="1071"/>
      <c r="AV95" s="1093"/>
      <c r="AW95" s="1093"/>
      <c r="AX95" s="283"/>
      <c r="AY95" s="283"/>
      <c r="AZ95" s="283"/>
      <c r="BA95" s="283"/>
      <c r="BB95" s="1093"/>
      <c r="BC95" s="1093"/>
      <c r="BD95" s="283"/>
      <c r="BE95" s="283"/>
      <c r="BF95" s="283"/>
      <c r="BG95" s="283"/>
      <c r="BH95" s="1093"/>
      <c r="BI95" s="1093"/>
      <c r="BJ95" s="283"/>
      <c r="BK95" s="283"/>
      <c r="BL95" s="283"/>
      <c r="BM95" s="283"/>
      <c r="BN95" s="1093"/>
      <c r="BO95" s="1093"/>
      <c r="BP95" s="283"/>
      <c r="BQ95" s="283"/>
      <c r="BR95" s="283"/>
      <c r="BS95" s="283"/>
      <c r="BT95" s="1093"/>
      <c r="BU95" s="1093"/>
      <c r="BV95" s="283"/>
      <c r="BW95" s="283"/>
      <c r="BX95" s="283"/>
      <c r="BY95" s="283"/>
      <c r="BZ95" s="1093"/>
      <c r="CA95" s="24"/>
      <c r="CB95" s="283"/>
      <c r="CC95" s="283"/>
      <c r="CD95" s="283"/>
      <c r="CE95" s="283"/>
      <c r="CF95" s="359"/>
      <c r="CG95" s="1112">
        <f>SUM('3 pr-2'!AI96)</f>
        <v>43373</v>
      </c>
      <c r="CH95" s="1112">
        <f>SUM('3 pr-2'!AK96)</f>
        <v>43738</v>
      </c>
      <c r="CI95" s="68">
        <f>SUM(J95+P95+V95+AB95+AH95)</f>
        <v>200844</v>
      </c>
      <c r="CJ95" s="25">
        <f>SUM(AT95-CI95)</f>
        <v>0</v>
      </c>
      <c r="CK95" s="68">
        <f t="shared" si="247"/>
        <v>274817.98</v>
      </c>
      <c r="CL95" s="1169">
        <f>SUM(AJ95/365)</f>
        <v>752.92597260273965</v>
      </c>
      <c r="CM95" s="1169">
        <f>SUM(AK95/365)</f>
        <v>202.66843835616436</v>
      </c>
      <c r="CN95" s="1169">
        <f>SUM(AN95/365)</f>
        <v>0</v>
      </c>
      <c r="CO95" s="1171">
        <f>SUM(AT95/365)</f>
        <v>550.25753424657535</v>
      </c>
      <c r="CP95" s="25">
        <f>SUM(CH95-CG95)</f>
        <v>365</v>
      </c>
      <c r="CQ95" s="25">
        <v>92</v>
      </c>
      <c r="CR95" s="25">
        <v>273</v>
      </c>
    </row>
    <row r="96" spans="1:97" ht="24.75" thickBot="1" x14ac:dyDescent="0.3">
      <c r="A96" s="18" t="str">
        <f>CONCATENATE('3 pr-2'!A97)</f>
        <v>1.1.2.4.5</v>
      </c>
      <c r="B96" s="9" t="str">
        <f>CONCATENATE('3 pr-2'!D97)</f>
        <v>M. K. Čiurlionio gatvės atkarpos Druskininkų m. rekonstrukcija</v>
      </c>
      <c r="C96" s="85">
        <v>0</v>
      </c>
      <c r="D96" s="85">
        <v>0</v>
      </c>
      <c r="E96" s="85">
        <v>0</v>
      </c>
      <c r="F96" s="282">
        <v>0</v>
      </c>
      <c r="G96" s="282">
        <v>0</v>
      </c>
      <c r="H96" s="282">
        <v>0</v>
      </c>
      <c r="I96" s="282">
        <v>0</v>
      </c>
      <c r="J96" s="85">
        <v>0</v>
      </c>
      <c r="K96" s="85">
        <f>SUM('ketv. 7 '!M95)</f>
        <v>0</v>
      </c>
      <c r="L96" s="286">
        <f>SUM('ketv. 7 '!R95)</f>
        <v>0</v>
      </c>
      <c r="M96" s="286">
        <f>IF(YEAR($CG$96)=2017,($BC$4-$CG$96)*AM$96/($CH$96-$CG$96),0)</f>
        <v>0</v>
      </c>
      <c r="N96" s="286">
        <f>IF(YEAR($CG$96)=2017,($BC$4-$CG$96)*AO$96/($CH$96-$CG$96),0)</f>
        <v>0</v>
      </c>
      <c r="O96" s="286">
        <f>SUM('ketv. 7 '!AG95)</f>
        <v>0</v>
      </c>
      <c r="P96" s="85">
        <f>SUM('ketv. 7 '!AL95)</f>
        <v>0</v>
      </c>
      <c r="Q96" s="85">
        <f t="shared" ref="Q96:Q97" si="249">IF(YEAR($CH96)&gt;2018,($BI$4-$BC$4)*$AJ96/($CH96-$BC$4),0)</f>
        <v>629072.12</v>
      </c>
      <c r="R96" s="286">
        <f t="shared" ref="R96:R97" si="250">IF(YEAR($CH96)&gt;2018,($BI$4-$BC$4)*$AL96/($CH96-$BC$4),0)</f>
        <v>436747.62000000005</v>
      </c>
      <c r="S96" s="286">
        <f t="shared" si="244"/>
        <v>0</v>
      </c>
      <c r="T96" s="286">
        <f t="shared" si="245"/>
        <v>0</v>
      </c>
      <c r="U96" s="286">
        <f t="shared" si="246"/>
        <v>0</v>
      </c>
      <c r="V96" s="85">
        <f t="shared" ref="V96:V97" si="251">IF(YEAR($CH96)&gt;2018,($BI$4-$BC$4)*$AT96/($CH96-$BC$4),0)</f>
        <v>192324.5</v>
      </c>
      <c r="W96" s="85">
        <f>IF(YEAR($CH96)=2019,($CH96-$BI$4)*$AJ96/($CH96-$BC$4),0)</f>
        <v>629072.12</v>
      </c>
      <c r="X96" s="286">
        <f>IF(YEAR($CH96)=2019,($CH96-$BI$4)*$AL96/($CH96-$BC$4),0)</f>
        <v>436747.62000000005</v>
      </c>
      <c r="Y96" s="286">
        <f>IF(YEAR($CH96)=2019,($CH96-$BI$4)*AN$92/($CH96-$BC$4),0)</f>
        <v>0</v>
      </c>
      <c r="Z96" s="286">
        <f>IF(YEAR($CH96)=2019,($CH96-$BI$4)*$AP96/($CH96-$BC$4),0)</f>
        <v>0</v>
      </c>
      <c r="AA96" s="286">
        <f>IF(YEAR($CH96)=2019,($CH96-$BI$4)*$AR96/($CH96-$BC$4),0)</f>
        <v>0</v>
      </c>
      <c r="AB96" s="85">
        <f>IF(YEAR($CH96)=2019,($CH96-$BI$4)*$AT96/($CH96-$BC$4),0)</f>
        <v>192324.5</v>
      </c>
      <c r="AC96" s="71">
        <v>0</v>
      </c>
      <c r="AD96" s="287">
        <v>0</v>
      </c>
      <c r="AE96" s="287">
        <v>0</v>
      </c>
      <c r="AF96" s="287">
        <v>0</v>
      </c>
      <c r="AG96" s="287">
        <v>0</v>
      </c>
      <c r="AH96" s="71">
        <v>0</v>
      </c>
      <c r="AI96" s="767">
        <f>SUM('3 pr-2'!L97)</f>
        <v>1258144.24</v>
      </c>
      <c r="AJ96" s="1082">
        <f t="shared" si="227"/>
        <v>1258144.24</v>
      </c>
      <c r="AK96" s="282">
        <f>SUM('3 pr-2'!O97)</f>
        <v>873495.24</v>
      </c>
      <c r="AL96" s="503">
        <f t="shared" si="205"/>
        <v>873495.24</v>
      </c>
      <c r="AM96" s="282">
        <f>SUM('3 pr-2'!R97)</f>
        <v>0</v>
      </c>
      <c r="AN96" s="503">
        <f t="shared" si="183"/>
        <v>0</v>
      </c>
      <c r="AO96" s="282">
        <f>SUM('3 pr-2'!U97)</f>
        <v>0</v>
      </c>
      <c r="AP96" s="503">
        <f t="shared" si="184"/>
        <v>0</v>
      </c>
      <c r="AQ96" s="282">
        <f>SUM('3 pr-2'!X97)</f>
        <v>0</v>
      </c>
      <c r="AR96" s="543"/>
      <c r="AS96" s="363">
        <f>SUM('3 pr-2'!AA97)</f>
        <v>384649</v>
      </c>
      <c r="AT96" s="503">
        <f t="shared" si="228"/>
        <v>384649</v>
      </c>
      <c r="AU96" s="1071"/>
      <c r="AV96" s="1093"/>
      <c r="AW96" s="1093"/>
      <c r="AX96" s="283"/>
      <c r="AY96" s="283"/>
      <c r="AZ96" s="283"/>
      <c r="BA96" s="283"/>
      <c r="BB96" s="1093"/>
      <c r="BC96" s="1093"/>
      <c r="BD96" s="283"/>
      <c r="BE96" s="283"/>
      <c r="BF96" s="283"/>
      <c r="BG96" s="283"/>
      <c r="BH96" s="1093"/>
      <c r="BI96" s="1093"/>
      <c r="BJ96" s="283"/>
      <c r="BK96" s="283"/>
      <c r="BL96" s="283"/>
      <c r="BM96" s="283"/>
      <c r="BN96" s="1093"/>
      <c r="BO96" s="1093"/>
      <c r="BP96" s="283"/>
      <c r="BQ96" s="283"/>
      <c r="BR96" s="283"/>
      <c r="BS96" s="283"/>
      <c r="BT96" s="1093"/>
      <c r="BU96" s="1093"/>
      <c r="BV96" s="283"/>
      <c r="BW96" s="283"/>
      <c r="BX96" s="283"/>
      <c r="BY96" s="283"/>
      <c r="BZ96" s="1093"/>
      <c r="CA96" s="24"/>
      <c r="CB96" s="283"/>
      <c r="CC96" s="283"/>
      <c r="CD96" s="283"/>
      <c r="CE96" s="283"/>
      <c r="CF96" s="359"/>
      <c r="CG96" s="1112">
        <f>SUM('3 pr-2'!AI97)</f>
        <v>43419</v>
      </c>
      <c r="CH96" s="1112">
        <f>SUM('3 pr-2'!AK97)</f>
        <v>43830</v>
      </c>
      <c r="CI96" s="68">
        <f t="shared" si="248"/>
        <v>384649</v>
      </c>
      <c r="CK96" s="68">
        <f t="shared" si="247"/>
        <v>1258144.24</v>
      </c>
    </row>
    <row r="97" spans="1:96" ht="48.75" thickBot="1" x14ac:dyDescent="0.3">
      <c r="A97" s="18" t="str">
        <f>CONCATENATE('3 pr-2'!A98)</f>
        <v>1.1.2.4.6</v>
      </c>
      <c r="B97" s="9" t="str">
        <f>CONCATENATE('3 pr-2'!D98)</f>
        <v>Lazdijų miesto Seinų ir Lazdijos gatvių bei vietinės reikšmės kelio nuo Janonio gatvės iki Lazdijų hipodromo rekonstravimas</v>
      </c>
      <c r="C97" s="85">
        <v>0</v>
      </c>
      <c r="D97" s="85">
        <v>0</v>
      </c>
      <c r="E97" s="85">
        <v>0</v>
      </c>
      <c r="F97" s="282">
        <v>0</v>
      </c>
      <c r="G97" s="282">
        <v>0</v>
      </c>
      <c r="H97" s="282">
        <v>0</v>
      </c>
      <c r="I97" s="282">
        <v>0</v>
      </c>
      <c r="J97" s="85">
        <v>0</v>
      </c>
      <c r="K97" s="85">
        <f>SUM('ketv. 7 '!M96)</f>
        <v>0</v>
      </c>
      <c r="L97" s="286">
        <f>SUM('ketv. 7 '!R96)</f>
        <v>0</v>
      </c>
      <c r="M97" s="286">
        <f>IF(YEAR($CG$96)=2017,($BC$4-$CG$96)*AM$96/($CH$96-$CG$96),0)</f>
        <v>0</v>
      </c>
      <c r="N97" s="286">
        <f>IF(YEAR($CG$96)=2017,($BC$4-$CG$96)*AO$96/($CH$96-$CG$96),0)</f>
        <v>0</v>
      </c>
      <c r="O97" s="286">
        <f>SUM('ketv. 7 '!AG96)</f>
        <v>0</v>
      </c>
      <c r="P97" s="85">
        <f>SUM('ketv. 7 '!AL96)</f>
        <v>0</v>
      </c>
      <c r="Q97" s="85">
        <f t="shared" si="249"/>
        <v>379967</v>
      </c>
      <c r="R97" s="286">
        <f t="shared" si="250"/>
        <v>56995</v>
      </c>
      <c r="S97" s="286">
        <f t="shared" si="244"/>
        <v>0</v>
      </c>
      <c r="T97" s="286">
        <f t="shared" si="245"/>
        <v>0</v>
      </c>
      <c r="U97" s="286">
        <f t="shared" si="246"/>
        <v>0</v>
      </c>
      <c r="V97" s="85">
        <f t="shared" si="251"/>
        <v>322972</v>
      </c>
      <c r="W97" s="85">
        <f>IF(YEAR($CH97)=2019,($CH97-$BI$4)*$AJ97/($CH97-$BC$4),0)</f>
        <v>379967</v>
      </c>
      <c r="X97" s="286">
        <f>IF(YEAR($CH97)=2019,($CH97-$BI$4)*$AL97/($CH97-$BC$4),0)</f>
        <v>56995</v>
      </c>
      <c r="Y97" s="286">
        <f>IF(YEAR($CH97)=2019,($CH97-$BI$4)*AN$92/($CH97-$BC$4),0)</f>
        <v>0</v>
      </c>
      <c r="Z97" s="286">
        <f>IF(YEAR($CH97)=2019,($CH97-$BI$4)*$AP97/($CH97-$BC$4),0)</f>
        <v>0</v>
      </c>
      <c r="AA97" s="286">
        <f>IF(YEAR($CH97)=2019,($CH97-$BI$4)*$AR97/($CH97-$BC$4),0)</f>
        <v>0</v>
      </c>
      <c r="AB97" s="85">
        <f>IF(YEAR($CH97)=2019,($CH97-$BI$4)*$AT97/($CH97-$BC$4),0)</f>
        <v>322972</v>
      </c>
      <c r="AC97" s="71">
        <v>0</v>
      </c>
      <c r="AD97" s="287">
        <v>0</v>
      </c>
      <c r="AE97" s="287">
        <v>0</v>
      </c>
      <c r="AF97" s="287">
        <v>0</v>
      </c>
      <c r="AG97" s="287">
        <v>0</v>
      </c>
      <c r="AH97" s="71">
        <v>0</v>
      </c>
      <c r="AI97" s="767">
        <f>SUM('3 pr-2'!L98)</f>
        <v>759934</v>
      </c>
      <c r="AJ97" s="1082">
        <f t="shared" si="227"/>
        <v>759934</v>
      </c>
      <c r="AK97" s="282">
        <f>SUM('3 pr-2'!O98)</f>
        <v>113990</v>
      </c>
      <c r="AL97" s="503">
        <f t="shared" si="205"/>
        <v>113990</v>
      </c>
      <c r="AM97" s="282">
        <f>SUM('3 pr-2'!R98)</f>
        <v>0</v>
      </c>
      <c r="AN97" s="503">
        <f t="shared" si="183"/>
        <v>0</v>
      </c>
      <c r="AO97" s="282">
        <f>SUM('3 pr-2'!U98)</f>
        <v>0</v>
      </c>
      <c r="AP97" s="503">
        <f t="shared" si="184"/>
        <v>0</v>
      </c>
      <c r="AQ97" s="282">
        <f>SUM('3 pr-2'!X98)</f>
        <v>0</v>
      </c>
      <c r="AR97" s="543"/>
      <c r="AS97" s="363">
        <f>SUM('3 pr-2'!AA98)</f>
        <v>645944</v>
      </c>
      <c r="AT97" s="503">
        <f t="shared" si="228"/>
        <v>645944</v>
      </c>
      <c r="AU97" s="1071"/>
      <c r="AV97" s="1093"/>
      <c r="AW97" s="1093"/>
      <c r="AX97" s="283"/>
      <c r="AY97" s="283"/>
      <c r="AZ97" s="283"/>
      <c r="BA97" s="283"/>
      <c r="BB97" s="1093"/>
      <c r="BC97" s="1093"/>
      <c r="BD97" s="283"/>
      <c r="BE97" s="283"/>
      <c r="BF97" s="283"/>
      <c r="BG97" s="283"/>
      <c r="BH97" s="1093"/>
      <c r="BI97" s="1093"/>
      <c r="BJ97" s="283"/>
      <c r="BK97" s="283"/>
      <c r="BL97" s="283"/>
      <c r="BM97" s="283"/>
      <c r="BN97" s="1093"/>
      <c r="BO97" s="1093"/>
      <c r="BP97" s="283"/>
      <c r="BQ97" s="283"/>
      <c r="BR97" s="283"/>
      <c r="BS97" s="283"/>
      <c r="BT97" s="1093"/>
      <c r="BU97" s="1093"/>
      <c r="BV97" s="283"/>
      <c r="BW97" s="283"/>
      <c r="BX97" s="283"/>
      <c r="BY97" s="283"/>
      <c r="BZ97" s="1093"/>
      <c r="CA97" s="24"/>
      <c r="CB97" s="283"/>
      <c r="CC97" s="283"/>
      <c r="CD97" s="283"/>
      <c r="CE97" s="283"/>
      <c r="CF97" s="359"/>
      <c r="CG97" s="1112">
        <f>SUM('3 pr-2'!AI98)</f>
        <v>43217</v>
      </c>
      <c r="CH97" s="1112">
        <f>SUM('3 pr-2'!AK98)</f>
        <v>43830</v>
      </c>
      <c r="CI97" s="68">
        <f t="shared" si="248"/>
        <v>645944</v>
      </c>
      <c r="CK97" s="68">
        <f t="shared" si="247"/>
        <v>759934</v>
      </c>
    </row>
    <row r="98" spans="1:96" ht="24.75" thickBot="1" x14ac:dyDescent="0.3">
      <c r="A98" s="18" t="str">
        <f>CONCATENATE('3 pr-2'!A99)</f>
        <v>1.1.2.4.7</v>
      </c>
      <c r="B98" s="9" t="str">
        <f>CONCATENATE('3 pr-2'!D99)</f>
        <v>Eismo saugumo priemonių diegimas Druskininkų savivaldybėje</v>
      </c>
      <c r="C98" s="85"/>
      <c r="D98" s="85"/>
      <c r="E98" s="85"/>
      <c r="F98" s="282"/>
      <c r="G98" s="282"/>
      <c r="H98" s="282"/>
      <c r="I98" s="282"/>
      <c r="J98" s="85"/>
      <c r="K98" s="85">
        <f>SUM('ketv. 7 '!M97)</f>
        <v>0</v>
      </c>
      <c r="L98" s="286">
        <f>SUM('ketv. 7 '!R97)</f>
        <v>0</v>
      </c>
      <c r="M98" s="286"/>
      <c r="N98" s="286"/>
      <c r="O98" s="286">
        <f>SUM('ketv. 7 '!AG97)</f>
        <v>0</v>
      </c>
      <c r="P98" s="85">
        <f>SUM('ketv. 7 '!AL97)</f>
        <v>0</v>
      </c>
      <c r="Q98" s="85"/>
      <c r="R98" s="286"/>
      <c r="S98" s="286"/>
      <c r="T98" s="286"/>
      <c r="U98" s="286"/>
      <c r="V98" s="85"/>
      <c r="W98" s="85">
        <f>SUM('3 pr-2'!L99)</f>
        <v>135352</v>
      </c>
      <c r="X98" s="286">
        <f>SUM('3 pr-2'!O99)</f>
        <v>22363</v>
      </c>
      <c r="Y98" s="286">
        <f>SUM('3 pr-2'!R99)</f>
        <v>0</v>
      </c>
      <c r="Z98" s="286">
        <f>SUM('3 pr-2'!U99)</f>
        <v>0</v>
      </c>
      <c r="AA98" s="286">
        <f>SUM('3 pr-2'!X99)</f>
        <v>0</v>
      </c>
      <c r="AB98" s="85">
        <f>SUM('3 pr-2'!AA99)</f>
        <v>112989</v>
      </c>
      <c r="AC98" s="71"/>
      <c r="AD98" s="287"/>
      <c r="AE98" s="287"/>
      <c r="AF98" s="287"/>
      <c r="AG98" s="287"/>
      <c r="AH98" s="71"/>
      <c r="AI98" s="767">
        <f>SUM('3 pr-2'!L99)</f>
        <v>135352</v>
      </c>
      <c r="AJ98" s="1082">
        <f t="shared" si="227"/>
        <v>135352</v>
      </c>
      <c r="AK98" s="282">
        <f>SUM('3 pr-2'!O99)</f>
        <v>22363</v>
      </c>
      <c r="AL98" s="503">
        <f t="shared" si="205"/>
        <v>22363</v>
      </c>
      <c r="AM98" s="282">
        <f>SUM('3 pr-2'!R99)</f>
        <v>0</v>
      </c>
      <c r="AN98" s="503">
        <f t="shared" ref="AN98" si="252">SUM(AM98-M98)</f>
        <v>0</v>
      </c>
      <c r="AO98" s="282">
        <f>SUM('3 pr-2'!U99)</f>
        <v>0</v>
      </c>
      <c r="AP98" s="503">
        <f t="shared" ref="AP98" si="253">SUM(AO98-O98)</f>
        <v>0</v>
      </c>
      <c r="AQ98" s="282">
        <f>SUM('3 pr-2'!X99)</f>
        <v>0</v>
      </c>
      <c r="AR98" s="543"/>
      <c r="AS98" s="363">
        <f>SUM('3 pr-2'!AA99)</f>
        <v>112989</v>
      </c>
      <c r="AT98" s="503">
        <f t="shared" si="228"/>
        <v>112989</v>
      </c>
      <c r="AU98" s="1113"/>
      <c r="AV98" s="1113"/>
      <c r="AW98" s="1113"/>
      <c r="AX98" s="1114"/>
      <c r="AY98" s="1114"/>
      <c r="AZ98" s="1114"/>
      <c r="BA98" s="1114"/>
      <c r="BB98" s="1113"/>
      <c r="BC98" s="1113"/>
      <c r="BD98" s="1114"/>
      <c r="BE98" s="1114"/>
      <c r="BF98" s="1114"/>
      <c r="BG98" s="1114"/>
      <c r="BH98" s="1113"/>
      <c r="BI98" s="1113"/>
      <c r="BJ98" s="1114"/>
      <c r="BK98" s="1114"/>
      <c r="BL98" s="1114"/>
      <c r="BM98" s="1114"/>
      <c r="BN98" s="1113"/>
      <c r="BO98" s="1113"/>
      <c r="BP98" s="1114"/>
      <c r="BQ98" s="1114"/>
      <c r="BR98" s="1114"/>
      <c r="BS98" s="1114"/>
      <c r="BT98" s="1113"/>
      <c r="BU98" s="1113"/>
      <c r="BV98" s="1114"/>
      <c r="BW98" s="1114"/>
      <c r="BX98" s="1114"/>
      <c r="BY98" s="1114"/>
      <c r="BZ98" s="1113"/>
      <c r="CA98" s="1115"/>
      <c r="CB98" s="1114"/>
      <c r="CC98" s="1114"/>
      <c r="CD98" s="1114"/>
      <c r="CE98" s="1114"/>
      <c r="CF98" s="1116"/>
      <c r="CG98" s="1112">
        <f>SUM('3 pr-2'!AI99)</f>
        <v>43585</v>
      </c>
      <c r="CH98" s="1112">
        <f>SUM('3 pr-2'!AK99)</f>
        <v>43830</v>
      </c>
      <c r="CI98" s="68">
        <f t="shared" si="248"/>
        <v>112989</v>
      </c>
      <c r="CK98" s="68">
        <f t="shared" si="247"/>
        <v>135352</v>
      </c>
    </row>
    <row r="99" spans="1:96" ht="39.75" thickBot="1" x14ac:dyDescent="0.3">
      <c r="A99" s="130" t="str">
        <f>CONCATENATE('3 pr-2'!A100)</f>
        <v>2.1.</v>
      </c>
      <c r="B99" s="116" t="str">
        <f>CONCATENATE('3 pr-2'!B100)</f>
        <v>Tikslas:
GERINTI VIEŠŲJŲ  PASLAUGŲ KOKYBĘ IR PRIEINAMUMĄ</v>
      </c>
      <c r="C99" s="1117">
        <f>SUM(C100+C119+C146+C159)</f>
        <v>0</v>
      </c>
      <c r="D99" s="1117">
        <f>SUM(D100+D119+D146+D159)</f>
        <v>0</v>
      </c>
      <c r="E99" s="1117">
        <f>SUM(E100+E119+E146+E159)</f>
        <v>272169.55999999994</v>
      </c>
      <c r="F99" s="1117"/>
      <c r="G99" s="1117"/>
      <c r="H99" s="1117"/>
      <c r="I99" s="1117"/>
      <c r="J99" s="1117">
        <f t="shared" ref="J99:Q99" si="254">SUM(J100+J119+J146+J159)</f>
        <v>239547.65159038958</v>
      </c>
      <c r="K99" s="1117">
        <f t="shared" si="254"/>
        <v>1171598</v>
      </c>
      <c r="L99" s="1118">
        <f t="shared" si="254"/>
        <v>107101.09159038957</v>
      </c>
      <c r="M99" s="1118">
        <f t="shared" si="254"/>
        <v>2764.7</v>
      </c>
      <c r="N99" s="1118">
        <f t="shared" si="254"/>
        <v>0</v>
      </c>
      <c r="O99" s="1118">
        <f t="shared" si="254"/>
        <v>0</v>
      </c>
      <c r="P99" s="1117">
        <f t="shared" si="254"/>
        <v>1061732.2084096104</v>
      </c>
      <c r="Q99" s="1117">
        <f t="shared" si="254"/>
        <v>4974116.6754301395</v>
      </c>
      <c r="R99" s="1118"/>
      <c r="S99" s="1118"/>
      <c r="T99" s="1118"/>
      <c r="U99" s="1118"/>
      <c r="V99" s="1117">
        <f>SUM(V100+V119+V146+V159)</f>
        <v>3909798.3572008167</v>
      </c>
      <c r="W99" s="1117">
        <f>SUM(W100+W119+W146+W159)</f>
        <v>4439878.2005592398</v>
      </c>
      <c r="X99" s="1118"/>
      <c r="Y99" s="1118"/>
      <c r="Z99" s="1118"/>
      <c r="AA99" s="1118"/>
      <c r="AB99" s="1117">
        <f>SUM(AB100+AB119+AB146+AB159)</f>
        <v>3560529.7652610955</v>
      </c>
      <c r="AC99" s="1117">
        <f>SUM(AC100+AC119+AC146+AC159)</f>
        <v>1735879.294010621</v>
      </c>
      <c r="AD99" s="1118"/>
      <c r="AE99" s="1118"/>
      <c r="AF99" s="1118"/>
      <c r="AG99" s="1118"/>
      <c r="AH99" s="1117">
        <f>SUM(AH100+AH119+AH146+AH159)</f>
        <v>1474258.5475380879</v>
      </c>
      <c r="AI99" s="1057">
        <f>SUM(AI100+AI119+AI146+AI159)</f>
        <v>12593641.73</v>
      </c>
      <c r="AJ99" s="1117"/>
      <c r="AK99" s="1117"/>
      <c r="AL99" s="1117"/>
      <c r="AM99" s="1117"/>
      <c r="AN99" s="1117"/>
      <c r="AO99" s="1117"/>
      <c r="AP99" s="1117"/>
      <c r="AQ99" s="1117"/>
      <c r="AR99" s="1117"/>
      <c r="AS99" s="1117">
        <f>SUM(AS100+AS119+AS146+AS159)</f>
        <v>10245866.530000001</v>
      </c>
      <c r="AT99" s="1119"/>
      <c r="AX99" s="1117"/>
      <c r="AY99" s="1117"/>
      <c r="AZ99" s="1117"/>
      <c r="BA99" s="1117"/>
      <c r="BD99" s="1117"/>
      <c r="BE99" s="1117"/>
      <c r="BF99" s="1117"/>
      <c r="BG99" s="1117"/>
      <c r="BJ99" s="1117"/>
      <c r="BK99" s="1117"/>
      <c r="BL99" s="1117"/>
      <c r="BM99" s="1117"/>
      <c r="BP99" s="1117"/>
      <c r="BQ99" s="1117"/>
      <c r="BR99" s="1117"/>
      <c r="BS99" s="1117"/>
      <c r="BV99" s="1117"/>
      <c r="BW99" s="1117"/>
      <c r="BX99" s="1117"/>
      <c r="BY99" s="1117"/>
      <c r="CB99" s="1117"/>
      <c r="CC99" s="1117"/>
      <c r="CD99" s="1117"/>
      <c r="CE99" s="1117"/>
      <c r="CG99" s="23"/>
      <c r="CH99" s="23"/>
    </row>
    <row r="100" spans="1:96" ht="78" thickBot="1" x14ac:dyDescent="0.3">
      <c r="A100" s="130" t="str">
        <f>CONCATENATE('3 pr-2'!A101)</f>
        <v>2.1.1.</v>
      </c>
      <c r="B100" s="117" t="str">
        <f>CONCATENATE('3 pr-2'!B101)</f>
        <v xml:space="preserve">Uždavinys:
Bendrojo ugdymo ir neformaliojo švietimo įstaigų (ypač vykdančių ikimokyklinio ir priešmokyklinio ugdymo programas) tinklo veiklos efektyvumo didinimas </v>
      </c>
      <c r="C100" s="1120">
        <f t="shared" ref="C100:AS100" si="255">SUM(C101+C107+C113)</f>
        <v>0</v>
      </c>
      <c r="D100" s="1120">
        <f t="shared" si="255"/>
        <v>0</v>
      </c>
      <c r="E100" s="1120">
        <f t="shared" si="255"/>
        <v>0</v>
      </c>
      <c r="F100" s="1120"/>
      <c r="G100" s="1120"/>
      <c r="H100" s="1120"/>
      <c r="I100" s="1120"/>
      <c r="J100" s="1120">
        <f t="shared" si="255"/>
        <v>0</v>
      </c>
      <c r="K100" s="1120">
        <f t="shared" si="255"/>
        <v>0</v>
      </c>
      <c r="L100" s="1121">
        <f t="shared" ref="L100:O100" si="256">SUM(L101+L107+L113)</f>
        <v>0</v>
      </c>
      <c r="M100" s="1121">
        <f t="shared" si="256"/>
        <v>0</v>
      </c>
      <c r="N100" s="1121">
        <f t="shared" si="256"/>
        <v>0</v>
      </c>
      <c r="O100" s="1121">
        <f t="shared" si="256"/>
        <v>0</v>
      </c>
      <c r="P100" s="1120">
        <f t="shared" si="255"/>
        <v>0</v>
      </c>
      <c r="Q100" s="1120">
        <f t="shared" si="255"/>
        <v>2547061.0555623714</v>
      </c>
      <c r="R100" s="1121"/>
      <c r="S100" s="1121"/>
      <c r="T100" s="1121"/>
      <c r="U100" s="1121"/>
      <c r="V100" s="1120">
        <f t="shared" si="255"/>
        <v>2011334.1751343193</v>
      </c>
      <c r="W100" s="1120">
        <f t="shared" si="255"/>
        <v>2214890.7158290483</v>
      </c>
      <c r="X100" s="1121"/>
      <c r="Y100" s="1121"/>
      <c r="Z100" s="1121"/>
      <c r="AA100" s="1121"/>
      <c r="AB100" s="1120">
        <f t="shared" si="255"/>
        <v>1743774.8036049455</v>
      </c>
      <c r="AC100" s="1120">
        <f t="shared" si="255"/>
        <v>14915.588608580376</v>
      </c>
      <c r="AD100" s="1121"/>
      <c r="AE100" s="1121"/>
      <c r="AF100" s="1121"/>
      <c r="AG100" s="1121"/>
      <c r="AH100" s="1120">
        <f t="shared" si="255"/>
        <v>11863.021260735077</v>
      </c>
      <c r="AI100" s="1061">
        <f t="shared" si="255"/>
        <v>4776867.3599999994</v>
      </c>
      <c r="AJ100" s="1120"/>
      <c r="AK100" s="1120"/>
      <c r="AL100" s="1120"/>
      <c r="AM100" s="1120"/>
      <c r="AN100" s="1120"/>
      <c r="AO100" s="1120"/>
      <c r="AP100" s="1120"/>
      <c r="AQ100" s="1120"/>
      <c r="AR100" s="1120"/>
      <c r="AS100" s="1120">
        <f t="shared" si="255"/>
        <v>3766972</v>
      </c>
      <c r="AT100" s="1122"/>
      <c r="AX100" s="1120"/>
      <c r="AY100" s="1120"/>
      <c r="AZ100" s="1120"/>
      <c r="BA100" s="1120"/>
      <c r="BD100" s="1120"/>
      <c r="BE100" s="1120"/>
      <c r="BF100" s="1120"/>
      <c r="BG100" s="1120"/>
      <c r="BJ100" s="1120"/>
      <c r="BK100" s="1120"/>
      <c r="BL100" s="1120"/>
      <c r="BM100" s="1120"/>
      <c r="BP100" s="1120"/>
      <c r="BQ100" s="1120"/>
      <c r="BR100" s="1120"/>
      <c r="BS100" s="1120"/>
      <c r="BV100" s="1120"/>
      <c r="BW100" s="1120"/>
      <c r="BX100" s="1120"/>
      <c r="BY100" s="1120"/>
      <c r="CB100" s="1120"/>
      <c r="CC100" s="1120"/>
      <c r="CD100" s="1120"/>
      <c r="CE100" s="1120"/>
      <c r="CG100" s="23"/>
      <c r="CH100" s="23"/>
    </row>
    <row r="101" spans="1:96" ht="39.75" thickBot="1" x14ac:dyDescent="0.3">
      <c r="A101" s="278" t="str">
        <f>CONCATENATE('3 pr-2'!A102)</f>
        <v>2.1.1.1</v>
      </c>
      <c r="B101" s="118" t="str">
        <f>CONCATENATE('3 pr-2'!B102)</f>
        <v>Priemonė:
Mokyklų tinklo efektyvumo didinimas</v>
      </c>
      <c r="C101" s="1089">
        <f t="shared" ref="C101:AS101" si="257">SUM(C102:C106)</f>
        <v>0</v>
      </c>
      <c r="D101" s="1089">
        <f t="shared" si="257"/>
        <v>0</v>
      </c>
      <c r="E101" s="1089">
        <f t="shared" si="257"/>
        <v>0</v>
      </c>
      <c r="F101" s="1089"/>
      <c r="G101" s="1089"/>
      <c r="H101" s="1089"/>
      <c r="I101" s="1089"/>
      <c r="J101" s="1089">
        <f t="shared" si="257"/>
        <v>0</v>
      </c>
      <c r="K101" s="1089">
        <f t="shared" si="257"/>
        <v>0</v>
      </c>
      <c r="L101" s="1090">
        <f t="shared" ref="L101:O101" si="258">SUM(L102:L106)</f>
        <v>0</v>
      </c>
      <c r="M101" s="1090">
        <f t="shared" si="258"/>
        <v>0</v>
      </c>
      <c r="N101" s="1090">
        <f t="shared" si="258"/>
        <v>0</v>
      </c>
      <c r="O101" s="1090">
        <f t="shared" si="258"/>
        <v>0</v>
      </c>
      <c r="P101" s="1089">
        <f t="shared" si="257"/>
        <v>0</v>
      </c>
      <c r="Q101" s="1089">
        <f t="shared" si="257"/>
        <v>700931.44465637743</v>
      </c>
      <c r="R101" s="1090"/>
      <c r="S101" s="1090"/>
      <c r="T101" s="1090"/>
      <c r="U101" s="1090"/>
      <c r="V101" s="1089">
        <f t="shared" si="257"/>
        <v>595790.48269981251</v>
      </c>
      <c r="W101" s="1089">
        <f t="shared" si="257"/>
        <v>643043.96534362272</v>
      </c>
      <c r="X101" s="1090"/>
      <c r="Y101" s="1090"/>
      <c r="Z101" s="1090"/>
      <c r="AA101" s="1090"/>
      <c r="AB101" s="1089">
        <f t="shared" si="257"/>
        <v>546586.51730018738</v>
      </c>
      <c r="AC101" s="1089">
        <f t="shared" si="257"/>
        <v>0</v>
      </c>
      <c r="AD101" s="1090"/>
      <c r="AE101" s="1090"/>
      <c r="AF101" s="1090"/>
      <c r="AG101" s="1090"/>
      <c r="AH101" s="1089">
        <f t="shared" si="257"/>
        <v>0</v>
      </c>
      <c r="AI101" s="1091">
        <f t="shared" si="257"/>
        <v>1343975.4100000001</v>
      </c>
      <c r="AJ101" s="1089"/>
      <c r="AK101" s="1089"/>
      <c r="AL101" s="1089"/>
      <c r="AM101" s="1089"/>
      <c r="AN101" s="1089"/>
      <c r="AO101" s="1089"/>
      <c r="AP101" s="1089"/>
      <c r="AQ101" s="1089"/>
      <c r="AR101" s="1089"/>
      <c r="AS101" s="1089">
        <f t="shared" si="257"/>
        <v>1142377</v>
      </c>
      <c r="AT101" s="1089"/>
      <c r="AU101" s="1066">
        <v>0</v>
      </c>
      <c r="AV101" s="24">
        <v>0</v>
      </c>
      <c r="AW101" s="24">
        <v>33.333333333333336</v>
      </c>
      <c r="AX101" s="1089">
        <v>33.333333333333336</v>
      </c>
      <c r="AY101" s="1089">
        <v>33.333333333333336</v>
      </c>
      <c r="AZ101" s="1089">
        <v>33.333333333333336</v>
      </c>
      <c r="BA101" s="1089">
        <v>33.333333333333336</v>
      </c>
      <c r="BB101" s="24">
        <v>33.333333333333336</v>
      </c>
      <c r="BC101" s="24">
        <v>33.333333333333336</v>
      </c>
      <c r="BD101" s="1089">
        <v>33.333333333333336</v>
      </c>
      <c r="BE101" s="1089">
        <v>33.333333333333336</v>
      </c>
      <c r="BF101" s="1089">
        <v>33.333333333333336</v>
      </c>
      <c r="BG101" s="1089">
        <v>33.333333333333336</v>
      </c>
      <c r="BH101" s="24">
        <v>33.333333333333336</v>
      </c>
      <c r="BI101" s="24">
        <v>33.333333333333336</v>
      </c>
      <c r="BJ101" s="1089">
        <v>33.333333333333336</v>
      </c>
      <c r="BK101" s="1089">
        <v>33.333333333333336</v>
      </c>
      <c r="BL101" s="1089">
        <v>33.333333333333336</v>
      </c>
      <c r="BM101" s="1089">
        <v>33.333333333333336</v>
      </c>
      <c r="BN101" s="24">
        <v>33.333333333333336</v>
      </c>
      <c r="BO101" s="24">
        <v>0</v>
      </c>
      <c r="BP101" s="1089">
        <v>0</v>
      </c>
      <c r="BQ101" s="1089">
        <v>0</v>
      </c>
      <c r="BR101" s="1089">
        <v>0</v>
      </c>
      <c r="BS101" s="1089">
        <v>0</v>
      </c>
      <c r="BT101" s="24">
        <v>0</v>
      </c>
      <c r="BU101" s="24">
        <v>0</v>
      </c>
      <c r="BV101" s="1089">
        <v>0</v>
      </c>
      <c r="BW101" s="1089">
        <v>0</v>
      </c>
      <c r="BX101" s="1089">
        <v>0</v>
      </c>
      <c r="BY101" s="1089">
        <v>0</v>
      </c>
      <c r="BZ101" s="24">
        <v>0</v>
      </c>
      <c r="CA101" s="24">
        <v>100</v>
      </c>
      <c r="CB101" s="1089">
        <v>100</v>
      </c>
      <c r="CC101" s="1089">
        <v>100</v>
      </c>
      <c r="CD101" s="1089">
        <v>100</v>
      </c>
      <c r="CE101" s="1089">
        <v>100</v>
      </c>
      <c r="CF101" s="359">
        <v>100</v>
      </c>
      <c r="CG101" s="23"/>
      <c r="CH101" s="23"/>
    </row>
    <row r="102" spans="1:96" ht="48.75" thickBot="1" x14ac:dyDescent="0.3">
      <c r="A102" s="58" t="str">
        <f>CONCATENATE('3 pr-2'!A103)</f>
        <v>2.1.1.1.1</v>
      </c>
      <c r="B102" s="9" t="str">
        <f>CONCATENATE('3 pr-2'!D103)</f>
        <v>Varėnos r. Merkinės Vinco Krėvės gimnazijos laisvų patalpų pritaikymas ikimokyklinio ir priešmokyklinio ugdymo grupėms įrengti</v>
      </c>
      <c r="C102" s="85">
        <v>0</v>
      </c>
      <c r="D102" s="85">
        <v>0</v>
      </c>
      <c r="E102" s="85">
        <v>0</v>
      </c>
      <c r="F102" s="282">
        <v>0</v>
      </c>
      <c r="G102" s="282">
        <v>0</v>
      </c>
      <c r="H102" s="282">
        <v>0</v>
      </c>
      <c r="I102" s="282">
        <v>0</v>
      </c>
      <c r="J102" s="85">
        <v>0</v>
      </c>
      <c r="K102" s="85">
        <v>0</v>
      </c>
      <c r="L102" s="286">
        <v>0</v>
      </c>
      <c r="M102" s="286">
        <v>0</v>
      </c>
      <c r="N102" s="286">
        <v>0</v>
      </c>
      <c r="O102" s="286">
        <v>0</v>
      </c>
      <c r="P102" s="85">
        <v>0</v>
      </c>
      <c r="Q102" s="85">
        <f>SUM($Q$3-CG102)*CK102</f>
        <v>107598.37868162693</v>
      </c>
      <c r="R102" s="286">
        <f>SUM($Q$3-$CG$102)*CL102</f>
        <v>8069.8906030855533</v>
      </c>
      <c r="S102" s="286">
        <f>SUM($Q$3-$CG$102)*CM102</f>
        <v>8069.8906030855533</v>
      </c>
      <c r="T102" s="286">
        <f>IF(YEAR($CG$102)=2018,($BI$4-$CG$102)*AO$102/($CH$102-$CG$102))</f>
        <v>0</v>
      </c>
      <c r="U102" s="286">
        <f>IF(YEAR($CG$102)=2018,($BI$4-$CG$102)*AQ$102/($CH$102-$CG$102))</f>
        <v>0</v>
      </c>
      <c r="V102" s="361">
        <f>SUM($Q$3-$CG$102)*CN102</f>
        <v>91458.597475455812</v>
      </c>
      <c r="W102" s="85">
        <f>SUM(CH102-$Q$3)*CK102</f>
        <v>112854.62131837307</v>
      </c>
      <c r="X102" s="286">
        <f>SUM($CH$102-$Q$3)*CL102</f>
        <v>8464.1093969144458</v>
      </c>
      <c r="Y102" s="286">
        <f>SUM($CH$102-$Q$3)*CM102</f>
        <v>8464.1093969144458</v>
      </c>
      <c r="Z102" s="286">
        <f>IF(YEAR($CH$102)&gt;2018,($BO$4-$BI$4)*AO$102/($CH$102-$CG$102),0)</f>
        <v>0</v>
      </c>
      <c r="AA102" s="286">
        <f>IF(YEAR($CH$102)&gt;2018,($BO$4-$BI$4)*AQ$102/($CH$102-$CG$102),0)</f>
        <v>0</v>
      </c>
      <c r="AB102" s="361">
        <f>SUM($CH$102-$Q$3)*CN102</f>
        <v>95926.402524544174</v>
      </c>
      <c r="AC102" s="361">
        <f>IF(YEAR($CH$102)=2020,($CH$102-$BO$4)*AI$102/($CH$102-$CG$102),0)</f>
        <v>0</v>
      </c>
      <c r="AD102" s="286">
        <f>IF(YEAR($CH$102)=2020,($CH$102-$BO$4)*AK$102/($CH$102-$CG$102),0)</f>
        <v>0</v>
      </c>
      <c r="AE102" s="286">
        <f>IF(YEAR($CH$102)=2020,($CH$102-$BO$4)*AM$102/($CH$102-$CG$102),0)</f>
        <v>0</v>
      </c>
      <c r="AF102" s="286">
        <f>IF(YEAR($CH$102)=2020,($CH$102-$BO$4)*AO$102/($CH$102-$CG$102),0)</f>
        <v>0</v>
      </c>
      <c r="AG102" s="286">
        <f>IF(YEAR($CH$102)=2020,($CH$102-$BO$4)*AQ$102/($CH$102-$CG$102),0)</f>
        <v>0</v>
      </c>
      <c r="AH102" s="361">
        <f>IF(YEAR($CH$102)=2020,($CH$102-$BO$4)*AS$102/($CH$102-$CG$102),0)</f>
        <v>0</v>
      </c>
      <c r="AI102" s="767">
        <f>SUM('3 pr-2'!L103)</f>
        <v>220453</v>
      </c>
      <c r="AJ102" s="362"/>
      <c r="AK102" s="282">
        <f>SUM('3 pr-2'!O103)</f>
        <v>16534</v>
      </c>
      <c r="AL102" s="282"/>
      <c r="AM102" s="282">
        <f>SUM('3 pr-2'!R103)</f>
        <v>16534</v>
      </c>
      <c r="AN102" s="282"/>
      <c r="AO102" s="282">
        <f>SUM('3 pr-2'!U103)</f>
        <v>0</v>
      </c>
      <c r="AP102" s="282"/>
      <c r="AQ102" s="282">
        <f>SUM('3 pr-2'!X103)</f>
        <v>0</v>
      </c>
      <c r="AR102" s="543"/>
      <c r="AS102" s="363">
        <f>SUM('3 pr-2'!AA103)</f>
        <v>187385</v>
      </c>
      <c r="AT102" s="498"/>
      <c r="AU102" s="1066">
        <v>0</v>
      </c>
      <c r="AV102" s="24">
        <v>0</v>
      </c>
      <c r="AW102" s="24">
        <v>0</v>
      </c>
      <c r="AX102" s="283">
        <v>0</v>
      </c>
      <c r="AY102" s="283">
        <v>0</v>
      </c>
      <c r="AZ102" s="283">
        <v>0</v>
      </c>
      <c r="BA102" s="283">
        <v>0</v>
      </c>
      <c r="BB102" s="24">
        <v>0</v>
      </c>
      <c r="BC102" s="24">
        <v>0</v>
      </c>
      <c r="BD102" s="283">
        <v>0</v>
      </c>
      <c r="BE102" s="283">
        <v>0</v>
      </c>
      <c r="BF102" s="283">
        <v>0</v>
      </c>
      <c r="BG102" s="283">
        <v>0</v>
      </c>
      <c r="BH102" s="24">
        <v>0</v>
      </c>
      <c r="BI102" s="24">
        <v>50</v>
      </c>
      <c r="BJ102" s="283">
        <v>50</v>
      </c>
      <c r="BK102" s="283">
        <v>50</v>
      </c>
      <c r="BL102" s="283">
        <v>50</v>
      </c>
      <c r="BM102" s="283">
        <v>50</v>
      </c>
      <c r="BN102" s="24">
        <v>50</v>
      </c>
      <c r="BO102" s="24">
        <v>40</v>
      </c>
      <c r="BP102" s="283">
        <v>40</v>
      </c>
      <c r="BQ102" s="283">
        <v>40</v>
      </c>
      <c r="BR102" s="283">
        <v>40</v>
      </c>
      <c r="BS102" s="283">
        <v>40</v>
      </c>
      <c r="BT102" s="24">
        <v>40</v>
      </c>
      <c r="BU102" s="24">
        <v>10</v>
      </c>
      <c r="BV102" s="283">
        <v>10</v>
      </c>
      <c r="BW102" s="283">
        <v>10</v>
      </c>
      <c r="BX102" s="283">
        <v>10</v>
      </c>
      <c r="BY102" s="283">
        <v>10</v>
      </c>
      <c r="BZ102" s="24">
        <v>10</v>
      </c>
      <c r="CA102" s="24">
        <v>100</v>
      </c>
      <c r="CB102" s="283">
        <v>100</v>
      </c>
      <c r="CC102" s="283">
        <v>100</v>
      </c>
      <c r="CD102" s="283">
        <v>100</v>
      </c>
      <c r="CE102" s="283">
        <v>100</v>
      </c>
      <c r="CF102" s="359">
        <v>100</v>
      </c>
      <c r="CG102" s="1068">
        <f>SUM('3 pr-2'!AI103)</f>
        <v>43117</v>
      </c>
      <c r="CH102" s="1123">
        <f>SUM('3 pr-2'!AK103)</f>
        <v>43830</v>
      </c>
      <c r="CI102" s="68">
        <f>SUM(J102+P102+V102+AB102+AH102)</f>
        <v>187385</v>
      </c>
      <c r="CJ102" s="1078"/>
      <c r="CK102" s="1169">
        <f>SUM(AI102/($CH$102-$CG$102))</f>
        <v>309.19074333800842</v>
      </c>
      <c r="CL102" s="1169">
        <f>SUM(AK102/($CH$102-$CG$102))</f>
        <v>23.189340813464234</v>
      </c>
      <c r="CM102" s="1169">
        <f>SUM(AM102/($CH$102-$CG$102))</f>
        <v>23.189340813464234</v>
      </c>
      <c r="CN102" s="1171">
        <f>SUM(AS102/($CH$102-$CG$102))</f>
        <v>262.81206171107993</v>
      </c>
      <c r="CO102" s="1078"/>
      <c r="CP102" s="1078"/>
      <c r="CQ102" s="1078"/>
      <c r="CR102" s="1078"/>
    </row>
    <row r="103" spans="1:96" ht="36.75" thickBot="1" x14ac:dyDescent="0.3">
      <c r="A103" s="58" t="str">
        <f>CONCATENATE('3 pr-2'!A104)</f>
        <v>2.1.1.1.2</v>
      </c>
      <c r="B103" s="9" t="str">
        <f>CONCATENATE('3 pr-2'!D104)</f>
        <v>Alytaus rajono bendrojo ugdymo įstaigų aprūpinimas gamtos, technologijų, menų ir kitų mokslų laboratorijų įranga</v>
      </c>
      <c r="C103" s="85">
        <v>0</v>
      </c>
      <c r="D103" s="85">
        <v>0</v>
      </c>
      <c r="E103" s="85">
        <v>0</v>
      </c>
      <c r="F103" s="282">
        <v>0</v>
      </c>
      <c r="G103" s="282">
        <v>0</v>
      </c>
      <c r="H103" s="282">
        <v>0</v>
      </c>
      <c r="I103" s="282">
        <v>0</v>
      </c>
      <c r="J103" s="85">
        <v>0</v>
      </c>
      <c r="K103" s="85">
        <v>0</v>
      </c>
      <c r="L103" s="286">
        <v>0</v>
      </c>
      <c r="M103" s="286">
        <v>0</v>
      </c>
      <c r="N103" s="286">
        <v>0</v>
      </c>
      <c r="O103" s="286">
        <v>0</v>
      </c>
      <c r="P103" s="85">
        <v>0</v>
      </c>
      <c r="Q103" s="85">
        <f>SUM($Q$3-$CG$103)*CK103</f>
        <v>91102.487270531405</v>
      </c>
      <c r="R103" s="286">
        <f>SUM($Q$3-$CG$103)*CL103</f>
        <v>6832.690169082126</v>
      </c>
      <c r="S103" s="286">
        <f>SUM($Q$3-$CG$103)*CM103</f>
        <v>6833.1932367149757</v>
      </c>
      <c r="T103" s="286">
        <f>IF(YEAR($CG$103)=2018,($BI$4-$CG$103)*AO$103/($CH$103-$CG$103),0)</f>
        <v>0</v>
      </c>
      <c r="U103" s="286">
        <f>IF(YEAR($CG$103)=2018,($BI$4-$CG$103)*AQ$103/($CH$103-$CG$103),0)</f>
        <v>0</v>
      </c>
      <c r="V103" s="361">
        <f>SUM($Q$3-$CG$103)*CN103</f>
        <v>77436.603864734294</v>
      </c>
      <c r="W103" s="361">
        <f>SUM($CH$103-$Q$3)*CK103</f>
        <v>15742.922729468599</v>
      </c>
      <c r="X103" s="286">
        <f>SUM($CH$103-$Q$3)*CL103</f>
        <v>1180.7198309178743</v>
      </c>
      <c r="Y103" s="286">
        <f>SUM($CH$103-$Q$3)*CM103</f>
        <v>1180.8067632850241</v>
      </c>
      <c r="Z103" s="286">
        <f>IF(YEAR($CH$103)=2019,($CH$103-$BI$4)*AO$103/($CH$103-$CG$103),0)</f>
        <v>0</v>
      </c>
      <c r="AA103" s="286">
        <f>IF(YEAR($CH$103)=2019,($CH$103-$BI$4)*AQ$103/($CH$103-$CG$103),0)</f>
        <v>0</v>
      </c>
      <c r="AB103" s="361">
        <f>SUM($CH$103-$Q$3)*CN103</f>
        <v>13381.396135265701</v>
      </c>
      <c r="AC103" s="361">
        <v>0</v>
      </c>
      <c r="AD103" s="286">
        <v>0</v>
      </c>
      <c r="AE103" s="286">
        <v>0</v>
      </c>
      <c r="AF103" s="286">
        <v>0</v>
      </c>
      <c r="AG103" s="286">
        <v>0</v>
      </c>
      <c r="AH103" s="361">
        <v>0</v>
      </c>
      <c r="AI103" s="767">
        <f>SUM('3 pr-2'!L104)</f>
        <v>106845.41</v>
      </c>
      <c r="AJ103" s="362"/>
      <c r="AK103" s="282">
        <f>SUM('3 pr-2'!O104)</f>
        <v>8013.41</v>
      </c>
      <c r="AL103" s="282"/>
      <c r="AM103" s="282">
        <f>SUM('3 pr-2'!R104)</f>
        <v>8014</v>
      </c>
      <c r="AN103" s="282"/>
      <c r="AO103" s="282">
        <f>SUM('3 pr-2'!U104)</f>
        <v>0</v>
      </c>
      <c r="AP103" s="282"/>
      <c r="AQ103" s="282">
        <f>SUM('3 pr-2'!X104)</f>
        <v>0</v>
      </c>
      <c r="AR103" s="543"/>
      <c r="AS103" s="363">
        <f>SUM('3 pr-2'!AA104)</f>
        <v>90818</v>
      </c>
      <c r="AT103" s="498"/>
      <c r="AU103" s="1066"/>
      <c r="AV103" s="24"/>
      <c r="AW103" s="24"/>
      <c r="AX103" s="283"/>
      <c r="AY103" s="283"/>
      <c r="AZ103" s="283"/>
      <c r="BA103" s="283"/>
      <c r="BB103" s="24"/>
      <c r="BC103" s="24"/>
      <c r="BD103" s="283"/>
      <c r="BE103" s="283"/>
      <c r="BF103" s="283"/>
      <c r="BG103" s="283"/>
      <c r="BH103" s="24"/>
      <c r="BI103" s="24"/>
      <c r="BJ103" s="283"/>
      <c r="BK103" s="283"/>
      <c r="BL103" s="283"/>
      <c r="BM103" s="283"/>
      <c r="BN103" s="24"/>
      <c r="BO103" s="24"/>
      <c r="BP103" s="283"/>
      <c r="BQ103" s="283"/>
      <c r="BR103" s="283"/>
      <c r="BS103" s="283"/>
      <c r="BT103" s="24"/>
      <c r="BU103" s="24"/>
      <c r="BV103" s="283"/>
      <c r="BW103" s="283"/>
      <c r="BX103" s="283"/>
      <c r="BY103" s="283"/>
      <c r="BZ103" s="24"/>
      <c r="CA103" s="24"/>
      <c r="CB103" s="283"/>
      <c r="CC103" s="283"/>
      <c r="CD103" s="283"/>
      <c r="CE103" s="283"/>
      <c r="CF103" s="359"/>
      <c r="CG103" s="1068">
        <f>SUM('3 pr-2'!AI104)</f>
        <v>43112</v>
      </c>
      <c r="CH103" s="1123">
        <f>SUM('3 pr-2'!AK104)</f>
        <v>43526</v>
      </c>
      <c r="CI103" s="68">
        <f>SUM(J103+P103+V103+AB103+AH103)</f>
        <v>90818</v>
      </c>
      <c r="CJ103" s="1078"/>
      <c r="CK103" s="1169">
        <f>SUM(AI103/($CH$103-$CG$103))</f>
        <v>258.08070048309179</v>
      </c>
      <c r="CL103" s="1169">
        <f>SUM(AK103/($CH$103-$CG$103))</f>
        <v>19.356062801932367</v>
      </c>
      <c r="CM103" s="1169">
        <f>SUM(AM103/($CH$103-$CG$103))</f>
        <v>19.357487922705314</v>
      </c>
      <c r="CN103" s="1171">
        <f>SUM(AS103/($CH$103-$CG$103))</f>
        <v>219.3671497584541</v>
      </c>
      <c r="CO103" s="1078"/>
      <c r="CP103" s="1078"/>
      <c r="CQ103" s="1078"/>
      <c r="CR103" s="1078"/>
    </row>
    <row r="104" spans="1:96" ht="36.75" thickBot="1" x14ac:dyDescent="0.3">
      <c r="A104" s="58" t="str">
        <f>CONCATENATE('3 pr-2'!A105)</f>
        <v>2.1.1.1.3</v>
      </c>
      <c r="B104" s="9" t="str">
        <f>CONCATENATE('3 pr-2'!D105)</f>
        <v>Modernių ir saugių erdvių kūrimas Dzūkijos pagrindinėje mokykloje, Alytuje</v>
      </c>
      <c r="C104" s="85">
        <v>0</v>
      </c>
      <c r="D104" s="85">
        <v>0</v>
      </c>
      <c r="E104" s="85">
        <v>0</v>
      </c>
      <c r="F104" s="282">
        <v>0</v>
      </c>
      <c r="G104" s="282">
        <v>0</v>
      </c>
      <c r="H104" s="282">
        <v>0</v>
      </c>
      <c r="I104" s="282">
        <v>0</v>
      </c>
      <c r="J104" s="85">
        <v>0</v>
      </c>
      <c r="K104" s="85">
        <v>0</v>
      </c>
      <c r="L104" s="286">
        <v>0</v>
      </c>
      <c r="M104" s="286">
        <v>0</v>
      </c>
      <c r="N104" s="286">
        <v>0</v>
      </c>
      <c r="O104" s="286">
        <v>0</v>
      </c>
      <c r="P104" s="85">
        <v>0</v>
      </c>
      <c r="Q104" s="85">
        <f>SUM($Q$3-$CG$104)*CK104</f>
        <v>309969.38639652677</v>
      </c>
      <c r="R104" s="286">
        <f>SUM($Q$3-$CG$104)*CL104</f>
        <v>23247.904486251809</v>
      </c>
      <c r="S104" s="286">
        <f>SUM($Q$3-$CG$104)*CM104</f>
        <v>23247.904486251809</v>
      </c>
      <c r="T104" s="286">
        <f>IF(YEAR($CG$104)=2018,($BI$4-$CG$104)*AO$104/($CH$104-$CG$104))</f>
        <v>0</v>
      </c>
      <c r="U104" s="286">
        <f>IF(YEAR($CG$104)=2018,($BI$4-$CG$104)*AQ$104/($CH$104-$CG$104))</f>
        <v>0</v>
      </c>
      <c r="V104" s="361">
        <f>SUM($Q$3-$CG$104)*CN104</f>
        <v>263473.57742402313</v>
      </c>
      <c r="W104" s="85">
        <f>SUM($CH$104-$Q$3)*CK104</f>
        <v>347051.61360347323</v>
      </c>
      <c r="X104" s="286">
        <f>SUM($CH$104-$Q$3)*CL104</f>
        <v>26029.095513748194</v>
      </c>
      <c r="Y104" s="286">
        <f>SUM($CH$104-$Q$3)*CM104</f>
        <v>26029.095513748194</v>
      </c>
      <c r="Z104" s="286">
        <f>IF(YEAR($CH$104)&gt;2018,($BO$4-$BI$4)*AO$104/($CH$104-$CG$104),0)</f>
        <v>0</v>
      </c>
      <c r="AA104" s="286">
        <f>IF(YEAR($CH$104)&gt;2018,($BO$4-$BI$4)*AQ$104/($CH$104-$CG$104),0)</f>
        <v>0</v>
      </c>
      <c r="AB104" s="361">
        <f>SUM($CH$104-$Q$3)*CN104</f>
        <v>294993.42257597682</v>
      </c>
      <c r="AC104" s="361">
        <f>IF(YEAR($CH$104)=2020,($CH$104-$BO$4)*AI$104/($CH$104-$CG$104),0)</f>
        <v>0</v>
      </c>
      <c r="AD104" s="286">
        <f>IF(YEAR($CH$104)=2020,($CH$104-$BO$4)*AK$104/($CH$104-$CG$104),0)</f>
        <v>0</v>
      </c>
      <c r="AE104" s="286">
        <f>IF(YEAR($CH$104)=2020,($CH$104-$BO$4)*AM$104/($CH$104-$CG$104),0)</f>
        <v>0</v>
      </c>
      <c r="AF104" s="286">
        <f>IF(YEAR($CH$104)=2020,($CH$104-$BO$4)*AO$104/($CH$104-$CG$104),0)</f>
        <v>0</v>
      </c>
      <c r="AG104" s="286">
        <f>IF(YEAR($CH$104)=2020,($CH$104-$BO$4)*AQ$104/($CH$104-$CG$104),0)</f>
        <v>0</v>
      </c>
      <c r="AH104" s="361">
        <f>IF(YEAR($CH$104)=2020,($CH$104-$BO$4)*AS$104/($CH$104-$CG$104),0)</f>
        <v>0</v>
      </c>
      <c r="AI104" s="767">
        <f>SUM('3 pr-2'!L105)</f>
        <v>657021</v>
      </c>
      <c r="AJ104" s="362"/>
      <c r="AK104" s="282">
        <f>SUM('3 pr-2'!O105)</f>
        <v>49277</v>
      </c>
      <c r="AL104" s="282"/>
      <c r="AM104" s="282">
        <f>SUM('3 pr-2'!R105)</f>
        <v>49277</v>
      </c>
      <c r="AN104" s="282"/>
      <c r="AO104" s="282">
        <f>SUM('3 pr-2'!U105)</f>
        <v>0</v>
      </c>
      <c r="AP104" s="282"/>
      <c r="AQ104" s="282">
        <f>SUM('3 pr-2'!X105)</f>
        <v>0</v>
      </c>
      <c r="AR104" s="543"/>
      <c r="AS104" s="363">
        <f>SUM('3 pr-2'!AA105)</f>
        <v>558467</v>
      </c>
      <c r="AT104" s="498"/>
      <c r="AU104" s="1066"/>
      <c r="AV104" s="24"/>
      <c r="AW104" s="24"/>
      <c r="AX104" s="283"/>
      <c r="AY104" s="283"/>
      <c r="AZ104" s="283"/>
      <c r="BA104" s="283"/>
      <c r="BB104" s="24"/>
      <c r="BC104" s="24"/>
      <c r="BD104" s="283"/>
      <c r="BE104" s="283"/>
      <c r="BF104" s="283"/>
      <c r="BG104" s="283"/>
      <c r="BH104" s="24"/>
      <c r="BI104" s="24"/>
      <c r="BJ104" s="283"/>
      <c r="BK104" s="283"/>
      <c r="BL104" s="283"/>
      <c r="BM104" s="283"/>
      <c r="BN104" s="24"/>
      <c r="BO104" s="24"/>
      <c r="BP104" s="283"/>
      <c r="BQ104" s="283"/>
      <c r="BR104" s="283"/>
      <c r="BS104" s="283"/>
      <c r="BT104" s="24"/>
      <c r="BU104" s="24"/>
      <c r="BV104" s="283"/>
      <c r="BW104" s="283"/>
      <c r="BX104" s="283"/>
      <c r="BY104" s="283"/>
      <c r="BZ104" s="24"/>
      <c r="CA104" s="24"/>
      <c r="CB104" s="283"/>
      <c r="CC104" s="283"/>
      <c r="CD104" s="283"/>
      <c r="CE104" s="283"/>
      <c r="CF104" s="359"/>
      <c r="CG104" s="1068">
        <f>SUM('3 pr-2'!AI105)</f>
        <v>43139</v>
      </c>
      <c r="CH104" s="1123">
        <f>SUM('3 pr-2'!AK105)</f>
        <v>43830</v>
      </c>
      <c r="CI104" s="68">
        <f>SUM(J104+P104+V104+AB104+AH104)</f>
        <v>558467</v>
      </c>
      <c r="CJ104" s="1078"/>
      <c r="CK104" s="1169">
        <f>SUM(AI104/($CH$104-$CG$104))</f>
        <v>950.8263386396527</v>
      </c>
      <c r="CL104" s="1169">
        <f>SUM(AK104/($CH$104-$CG$104))</f>
        <v>71.312590448625187</v>
      </c>
      <c r="CM104" s="1169">
        <f>SUM(AM104/($CH$104-$CG$104))</f>
        <v>71.312590448625187</v>
      </c>
      <c r="CN104" s="1171">
        <f>SUM(AS104/($CH$104-$CG$104))</f>
        <v>808.2011577424023</v>
      </c>
      <c r="CO104" s="1078"/>
      <c r="CP104" s="1078"/>
      <c r="CQ104" s="1078"/>
      <c r="CR104" s="1078"/>
    </row>
    <row r="105" spans="1:96" ht="36.75" thickBot="1" x14ac:dyDescent="0.3">
      <c r="A105" s="58" t="str">
        <f>CONCATENATE('3 pr-2'!A106)</f>
        <v>2.1.1.1.4</v>
      </c>
      <c r="B105" s="9" t="str">
        <f>CONCATENATE('3 pr-2'!D106)</f>
        <v>Modernių ir saugių erdvių sukūrimas bendrojo ugdymo mokyklose Druskininkų sav.</v>
      </c>
      <c r="C105" s="85">
        <v>0</v>
      </c>
      <c r="D105" s="85">
        <v>0</v>
      </c>
      <c r="E105" s="85">
        <v>0</v>
      </c>
      <c r="F105" s="282">
        <v>0</v>
      </c>
      <c r="G105" s="282">
        <v>0</v>
      </c>
      <c r="H105" s="282">
        <v>0</v>
      </c>
      <c r="I105" s="282">
        <v>0</v>
      </c>
      <c r="J105" s="85">
        <v>0</v>
      </c>
      <c r="K105" s="85">
        <f>IF(YEAR($CG$105)=2017,($BC$4-$CG$105)*AI$105/($CH$105-$CG$105))</f>
        <v>0</v>
      </c>
      <c r="L105" s="286">
        <f>IF(YEAR($CG$105)=2017,($BC$4-$CG$105)*AK$105/($CH$105-$CG$105))</f>
        <v>0</v>
      </c>
      <c r="M105" s="286">
        <f>IF(YEAR($CG$105)=2017,($BC$4-$CG$105)*AM$105/($CH$105-$CG$105))</f>
        <v>0</v>
      </c>
      <c r="N105" s="286">
        <f>IF(YEAR($CG$105)=2017,($BC$4-$CG$105)*AO$105/($CH$105-$CG$105))</f>
        <v>0</v>
      </c>
      <c r="O105" s="286">
        <f>IF(YEAR($CG$105)=2017,($BC$4-$CG$105)*AQ$105/($CH$105-$CG$105))</f>
        <v>0</v>
      </c>
      <c r="P105" s="85">
        <f>IF(YEAR($CG$105)=2017,($BC$4-$CG$105)*AS$105/($CH$105-$CG$105))</f>
        <v>0</v>
      </c>
      <c r="Q105" s="85">
        <f>SUM($Q$3-$CG$105)*CK105</f>
        <v>81938.5</v>
      </c>
      <c r="R105" s="286">
        <f>SUM($Q$3-$CG$105)*CL105</f>
        <v>6145.5</v>
      </c>
      <c r="S105" s="286">
        <f>SUM($Q$3-$CG$105)*CM105</f>
        <v>6145.5</v>
      </c>
      <c r="T105" s="286">
        <f>IF(YEAR($CH$105)&gt;2018,($BI$4-$BC$4)*AO$105/($CH$105-$CG$105),0)</f>
        <v>0</v>
      </c>
      <c r="U105" s="286">
        <f>IF(YEAR($CH$105)&gt;2018,($BI$4-$BC$4)*AQ$105/($CH$105-$CG$105),0)</f>
        <v>0</v>
      </c>
      <c r="V105" s="361">
        <f>SUM($Q$3-$CG$105)*CN105</f>
        <v>69647.5</v>
      </c>
      <c r="W105" s="85">
        <f>SUM($CH$105-$Q$3)*CK105</f>
        <v>81938.5</v>
      </c>
      <c r="X105" s="286">
        <f>SUM($CH$105-$Q$3)*CL105</f>
        <v>6145.5</v>
      </c>
      <c r="Y105" s="286">
        <f>SUM($CH$105-$Q$3)*CM105</f>
        <v>6145.5</v>
      </c>
      <c r="Z105" s="286">
        <f>IF(YEAR($CH$105)=2019,($CH$105-$BI$4)*AO$105/($CH$105-$CG$105),0)</f>
        <v>0</v>
      </c>
      <c r="AA105" s="286">
        <f>IF(YEAR($CH$105)=2019,($CH$105-$BI$4)*AQ$105/($CH$105-$CG$105),0)</f>
        <v>0</v>
      </c>
      <c r="AB105" s="361">
        <f>SUM($CH$105-$Q$3)*CN105</f>
        <v>69647.5</v>
      </c>
      <c r="AC105" s="361">
        <v>0</v>
      </c>
      <c r="AD105" s="286">
        <v>0</v>
      </c>
      <c r="AE105" s="286">
        <v>0</v>
      </c>
      <c r="AF105" s="286">
        <v>0</v>
      </c>
      <c r="AG105" s="286">
        <v>0</v>
      </c>
      <c r="AH105" s="361">
        <v>0</v>
      </c>
      <c r="AI105" s="767">
        <f>SUM('3 pr-2'!L106)</f>
        <v>163877</v>
      </c>
      <c r="AJ105" s="362"/>
      <c r="AK105" s="282">
        <f>SUM('3 pr-2'!O106)</f>
        <v>12291</v>
      </c>
      <c r="AL105" s="282"/>
      <c r="AM105" s="282">
        <f>SUM('3 pr-2'!R106)</f>
        <v>12291</v>
      </c>
      <c r="AN105" s="282"/>
      <c r="AO105" s="282">
        <f>SUM('3 pr-2'!U106)</f>
        <v>0</v>
      </c>
      <c r="AP105" s="282"/>
      <c r="AQ105" s="282">
        <f>SUM('3 pr-2'!X106)</f>
        <v>0</v>
      </c>
      <c r="AR105" s="543"/>
      <c r="AS105" s="363">
        <f>SUM('3 pr-2'!AA106)</f>
        <v>139295</v>
      </c>
      <c r="AT105" s="498"/>
      <c r="AU105" s="1066"/>
      <c r="AV105" s="24"/>
      <c r="AW105" s="24"/>
      <c r="AX105" s="283"/>
      <c r="AY105" s="283"/>
      <c r="AZ105" s="283"/>
      <c r="BA105" s="283"/>
      <c r="BB105" s="24"/>
      <c r="BC105" s="24"/>
      <c r="BD105" s="283"/>
      <c r="BE105" s="283"/>
      <c r="BF105" s="283"/>
      <c r="BG105" s="283"/>
      <c r="BH105" s="24"/>
      <c r="BI105" s="24"/>
      <c r="BJ105" s="283"/>
      <c r="BK105" s="283"/>
      <c r="BL105" s="283"/>
      <c r="BM105" s="283"/>
      <c r="BN105" s="24"/>
      <c r="BO105" s="24"/>
      <c r="BP105" s="283"/>
      <c r="BQ105" s="283"/>
      <c r="BR105" s="283"/>
      <c r="BS105" s="283"/>
      <c r="BT105" s="24"/>
      <c r="BU105" s="24"/>
      <c r="BV105" s="283"/>
      <c r="BW105" s="283"/>
      <c r="BX105" s="283"/>
      <c r="BY105" s="283"/>
      <c r="BZ105" s="24"/>
      <c r="CA105" s="24"/>
      <c r="CB105" s="283"/>
      <c r="CC105" s="283"/>
      <c r="CD105" s="283"/>
      <c r="CE105" s="283"/>
      <c r="CF105" s="359"/>
      <c r="CG105" s="1068">
        <f>SUM('3 pr-2'!AI106)</f>
        <v>43100</v>
      </c>
      <c r="CH105" s="1123">
        <f>SUM('3 pr-2'!AK106)</f>
        <v>43830</v>
      </c>
      <c r="CI105" s="68">
        <f>SUM(J105+P105+V105+AB105+AH105)</f>
        <v>139295</v>
      </c>
      <c r="CJ105" s="1078"/>
      <c r="CK105" s="1169">
        <f>SUM(AI105/($CH$105-$CG$105))</f>
        <v>224.4890410958904</v>
      </c>
      <c r="CL105" s="1169">
        <f>SUM(AK105/($CH$105-$CG$105))</f>
        <v>16.836986301369862</v>
      </c>
      <c r="CM105" s="1169">
        <f>SUM(AM105/($CH$105-$CG$105))</f>
        <v>16.836986301369862</v>
      </c>
      <c r="CN105" s="1171">
        <f>SUM(AS105/($CH$105-$CG$105))</f>
        <v>190.81506849315068</v>
      </c>
      <c r="CO105" s="1078"/>
      <c r="CP105" s="1078"/>
      <c r="CQ105" s="1078"/>
      <c r="CR105" s="1078"/>
    </row>
    <row r="106" spans="1:96" ht="39.75" customHeight="1" thickBot="1" x14ac:dyDescent="0.3">
      <c r="A106" s="58" t="str">
        <f>CONCATENATE('3 pr-2'!A107)</f>
        <v>2.1.1.1.5</v>
      </c>
      <c r="B106" s="9" t="str">
        <f>CONCATENATE('3 pr-2'!D107)</f>
        <v>Modernių ir saugių erdvių sukūrimas bendrojo ugdymo įstaigose Lazdijų rajono savivaldybėje</v>
      </c>
      <c r="C106" s="85">
        <v>0</v>
      </c>
      <c r="D106" s="85">
        <v>0</v>
      </c>
      <c r="E106" s="85">
        <v>0</v>
      </c>
      <c r="F106" s="282">
        <v>0</v>
      </c>
      <c r="G106" s="282">
        <v>0</v>
      </c>
      <c r="H106" s="282">
        <v>0</v>
      </c>
      <c r="I106" s="282">
        <v>0</v>
      </c>
      <c r="J106" s="85">
        <v>0</v>
      </c>
      <c r="K106" s="85">
        <v>0</v>
      </c>
      <c r="L106" s="286">
        <v>0</v>
      </c>
      <c r="M106" s="286">
        <v>0</v>
      </c>
      <c r="N106" s="286">
        <v>0</v>
      </c>
      <c r="O106" s="286">
        <v>0</v>
      </c>
      <c r="P106" s="85">
        <v>0</v>
      </c>
      <c r="Q106" s="85">
        <f>SUM($Q$3-$CG$106)*CK106</f>
        <v>110322.69230769231</v>
      </c>
      <c r="R106" s="286">
        <f>SUM($Q$3-$CG$106)*CL106</f>
        <v>8274.5259391771015</v>
      </c>
      <c r="S106" s="286">
        <f>SUM($Q$3-$CG$106)*CM106</f>
        <v>8273.9624329159215</v>
      </c>
      <c r="T106" s="286">
        <f>IF(YEAR($CH$106)&gt;2018,($BI$4-$BC$4)*AO$106/($CH$106-$CG$106),0)</f>
        <v>0</v>
      </c>
      <c r="U106" s="286">
        <f>IF(YEAR($CH$106)&gt;2018,($BI$4-$BC$4)*AQ$106/($CH$106-$CG$106),0)</f>
        <v>0</v>
      </c>
      <c r="V106" s="361">
        <f>SUM($Q$3-$CG$106)*CN106</f>
        <v>93774.203935599289</v>
      </c>
      <c r="W106" s="85">
        <f>SUM($CH$106-$Q$3)*CK106</f>
        <v>85456.307692307688</v>
      </c>
      <c r="X106" s="286">
        <f>SUM($CH$106-$Q$3)*CL106</f>
        <v>6409.4740608228985</v>
      </c>
      <c r="Y106" s="286">
        <f>SUM($CH$106-$Q$3)*CM106</f>
        <v>6409.0375670840785</v>
      </c>
      <c r="Z106" s="286">
        <f>IF(YEAR($CH$106)=2019,($CH$106-$BI$4)*AO$106/($CH$106-$CG$106),0)</f>
        <v>0</v>
      </c>
      <c r="AA106" s="286">
        <f>IF(YEAR($CH$106)=2019,($CH$106-$BI$4)*AQ$106/($CH$106-$CG$106),0)</f>
        <v>0</v>
      </c>
      <c r="AB106" s="361">
        <f>SUM($CH$106-$Q$3)*CN106</f>
        <v>72637.796064400711</v>
      </c>
      <c r="AC106" s="304">
        <v>0</v>
      </c>
      <c r="AD106" s="287">
        <v>0</v>
      </c>
      <c r="AE106" s="287">
        <v>0</v>
      </c>
      <c r="AF106" s="287">
        <v>0</v>
      </c>
      <c r="AG106" s="287">
        <v>0</v>
      </c>
      <c r="AH106" s="304">
        <v>0</v>
      </c>
      <c r="AI106" s="767">
        <f>SUM('3 pr-2'!L107)</f>
        <v>195779</v>
      </c>
      <c r="AJ106" s="362"/>
      <c r="AK106" s="282">
        <f>SUM('3 pr-2'!O107)</f>
        <v>14684</v>
      </c>
      <c r="AL106" s="282"/>
      <c r="AM106" s="282">
        <f>SUM('3 pr-2'!R107)</f>
        <v>14683</v>
      </c>
      <c r="AN106" s="282"/>
      <c r="AO106" s="282">
        <f>SUM('3 pr-2'!U107)</f>
        <v>0</v>
      </c>
      <c r="AP106" s="282"/>
      <c r="AQ106" s="282">
        <f>SUM('3 pr-2'!X107)</f>
        <v>0</v>
      </c>
      <c r="AR106" s="543"/>
      <c r="AS106" s="363">
        <f>SUM('3 pr-2'!AA107)</f>
        <v>166412</v>
      </c>
      <c r="AT106" s="498"/>
      <c r="AU106" s="1066"/>
      <c r="AV106" s="24"/>
      <c r="AW106" s="24"/>
      <c r="AX106" s="283"/>
      <c r="AY106" s="283"/>
      <c r="AZ106" s="283"/>
      <c r="BA106" s="283"/>
      <c r="BB106" s="24"/>
      <c r="BC106" s="24"/>
      <c r="BD106" s="283"/>
      <c r="BE106" s="283"/>
      <c r="BF106" s="283"/>
      <c r="BG106" s="283"/>
      <c r="BH106" s="24"/>
      <c r="BI106" s="24"/>
      <c r="BJ106" s="283"/>
      <c r="BK106" s="283"/>
      <c r="BL106" s="283"/>
      <c r="BM106" s="283"/>
      <c r="BN106" s="24"/>
      <c r="BO106" s="24"/>
      <c r="BP106" s="283"/>
      <c r="BQ106" s="283"/>
      <c r="BR106" s="283"/>
      <c r="BS106" s="283"/>
      <c r="BT106" s="24"/>
      <c r="BU106" s="24"/>
      <c r="BV106" s="283"/>
      <c r="BW106" s="283"/>
      <c r="BX106" s="283"/>
      <c r="BY106" s="283"/>
      <c r="BZ106" s="24"/>
      <c r="CA106" s="24"/>
      <c r="CB106" s="283"/>
      <c r="CC106" s="283"/>
      <c r="CD106" s="283"/>
      <c r="CE106" s="283"/>
      <c r="CF106" s="359"/>
      <c r="CG106" s="1068">
        <f>SUM('3 pr-2'!AI107)</f>
        <v>43150</v>
      </c>
      <c r="CH106" s="1123">
        <f>SUM('3 pr-2'!AK107)</f>
        <v>43709</v>
      </c>
      <c r="CI106" s="68">
        <f>SUM(J106+P106+V106+AB106+AH106)</f>
        <v>166412</v>
      </c>
      <c r="CJ106" s="1078"/>
      <c r="CK106" s="1169">
        <f>SUM(AI106/($CH$106-$CG$106))</f>
        <v>350.23076923076923</v>
      </c>
      <c r="CL106" s="1169">
        <f>SUM(AK106/($CH$106-$CG$106))</f>
        <v>26.268336314847943</v>
      </c>
      <c r="CM106" s="1169">
        <f>SUM(AM106/($CH$106-$CG$106))</f>
        <v>26.266547406082289</v>
      </c>
      <c r="CN106" s="1171">
        <f>SUM(AS106/($CH$106-$CG$106))</f>
        <v>297.695885509839</v>
      </c>
      <c r="CO106" s="1078"/>
      <c r="CP106" s="1078"/>
      <c r="CQ106" s="1078"/>
      <c r="CR106" s="1078"/>
    </row>
    <row r="107" spans="1:96" ht="39.75" thickBot="1" x14ac:dyDescent="0.3">
      <c r="A107" s="278" t="str">
        <f>CONCATENATE('3 pr-2'!A108)</f>
        <v>2.1.1.2</v>
      </c>
      <c r="B107" s="118" t="str">
        <f>CONCATENATE('3 pr-2'!B108)</f>
        <v>Priemonė:
Neformaliojo švietimo infrastruktūros tobulinimas</v>
      </c>
      <c r="C107" s="1124">
        <f t="shared" ref="C107:AS107" si="259">SUM(C108:C112)</f>
        <v>0</v>
      </c>
      <c r="D107" s="1124">
        <f t="shared" si="259"/>
        <v>0</v>
      </c>
      <c r="E107" s="1124">
        <f t="shared" si="259"/>
        <v>0</v>
      </c>
      <c r="F107" s="1124"/>
      <c r="G107" s="1124"/>
      <c r="H107" s="1124"/>
      <c r="I107" s="1124"/>
      <c r="J107" s="1124">
        <f t="shared" si="259"/>
        <v>0</v>
      </c>
      <c r="K107" s="1124">
        <f t="shared" si="259"/>
        <v>0</v>
      </c>
      <c r="L107" s="1125">
        <f t="shared" ref="L107:O107" si="260">SUM(L108:L112)</f>
        <v>0</v>
      </c>
      <c r="M107" s="1125">
        <f t="shared" si="260"/>
        <v>0</v>
      </c>
      <c r="N107" s="1125">
        <f t="shared" si="260"/>
        <v>0</v>
      </c>
      <c r="O107" s="1125">
        <f t="shared" si="260"/>
        <v>0</v>
      </c>
      <c r="P107" s="1124">
        <f t="shared" si="259"/>
        <v>0</v>
      </c>
      <c r="Q107" s="1124">
        <f t="shared" si="259"/>
        <v>1066881.8127734459</v>
      </c>
      <c r="R107" s="1125"/>
      <c r="S107" s="1125"/>
      <c r="T107" s="1125"/>
      <c r="U107" s="1125"/>
      <c r="V107" s="1124">
        <f t="shared" si="259"/>
        <v>811266.92137749726</v>
      </c>
      <c r="W107" s="1124">
        <f t="shared" si="259"/>
        <v>904641.99769230769</v>
      </c>
      <c r="X107" s="1125"/>
      <c r="Y107" s="1125"/>
      <c r="Z107" s="1125"/>
      <c r="AA107" s="1125"/>
      <c r="AB107" s="1124">
        <f t="shared" si="259"/>
        <v>673269.91149921506</v>
      </c>
      <c r="AC107" s="1124">
        <f t="shared" si="259"/>
        <v>2346.3695342465753</v>
      </c>
      <c r="AD107" s="1125"/>
      <c r="AE107" s="1125"/>
      <c r="AF107" s="1125"/>
      <c r="AG107" s="1125"/>
      <c r="AH107" s="1124">
        <f t="shared" si="259"/>
        <v>1470.1671232876713</v>
      </c>
      <c r="AI107" s="1126">
        <f t="shared" si="259"/>
        <v>1973870.18</v>
      </c>
      <c r="AJ107" s="1124"/>
      <c r="AK107" s="1124"/>
      <c r="AL107" s="1124"/>
      <c r="AM107" s="1124"/>
      <c r="AN107" s="1124"/>
      <c r="AO107" s="1124"/>
      <c r="AP107" s="1124"/>
      <c r="AQ107" s="1124"/>
      <c r="AR107" s="1124"/>
      <c r="AS107" s="1124">
        <f t="shared" si="259"/>
        <v>1486007</v>
      </c>
      <c r="AT107" s="1124"/>
      <c r="AU107" s="1066">
        <v>0</v>
      </c>
      <c r="AV107" s="24">
        <v>0</v>
      </c>
      <c r="AW107" s="24">
        <v>0</v>
      </c>
      <c r="AX107" s="1124">
        <v>0</v>
      </c>
      <c r="AY107" s="1124">
        <v>0</v>
      </c>
      <c r="AZ107" s="1124">
        <v>0</v>
      </c>
      <c r="BA107" s="1124">
        <v>0</v>
      </c>
      <c r="BB107" s="24">
        <v>0</v>
      </c>
      <c r="BC107" s="24">
        <v>0</v>
      </c>
      <c r="BD107" s="1124">
        <v>0</v>
      </c>
      <c r="BE107" s="1124">
        <v>0</v>
      </c>
      <c r="BF107" s="1124">
        <v>0</v>
      </c>
      <c r="BG107" s="1124">
        <v>0</v>
      </c>
      <c r="BH107" s="24">
        <v>0</v>
      </c>
      <c r="BI107" s="24">
        <v>52.810447312230274</v>
      </c>
      <c r="BJ107" s="1124">
        <v>52.810447312230274</v>
      </c>
      <c r="BK107" s="1124">
        <v>52.810447312230274</v>
      </c>
      <c r="BL107" s="1124">
        <v>52.810447312230274</v>
      </c>
      <c r="BM107" s="1124">
        <v>52.810447312230274</v>
      </c>
      <c r="BN107" s="24">
        <v>52.810447312230274</v>
      </c>
      <c r="BO107" s="24">
        <v>34.626910065820596</v>
      </c>
      <c r="BP107" s="1124">
        <v>34.626910065820596</v>
      </c>
      <c r="BQ107" s="1124">
        <v>34.626910065820596</v>
      </c>
      <c r="BR107" s="1124">
        <v>34.626910065820596</v>
      </c>
      <c r="BS107" s="1124">
        <v>34.626910065820596</v>
      </c>
      <c r="BT107" s="24">
        <v>34.626910065820596</v>
      </c>
      <c r="BU107" s="24">
        <v>12.562642621949127</v>
      </c>
      <c r="BV107" s="1124">
        <v>12.562642621949127</v>
      </c>
      <c r="BW107" s="1124">
        <v>12.562642621949127</v>
      </c>
      <c r="BX107" s="1124">
        <v>12.562642621949127</v>
      </c>
      <c r="BY107" s="1124">
        <v>12.562642621949127</v>
      </c>
      <c r="BZ107" s="24">
        <v>12.562642621949127</v>
      </c>
      <c r="CA107" s="24">
        <v>100</v>
      </c>
      <c r="CB107" s="1124">
        <v>100</v>
      </c>
      <c r="CC107" s="1124">
        <v>100</v>
      </c>
      <c r="CD107" s="1124">
        <v>100</v>
      </c>
      <c r="CE107" s="1124">
        <v>100</v>
      </c>
      <c r="CF107" s="359">
        <v>100</v>
      </c>
      <c r="CG107" s="23"/>
      <c r="CH107" s="23"/>
    </row>
    <row r="108" spans="1:96" ht="36.75" thickBot="1" x14ac:dyDescent="0.3">
      <c r="A108" s="58" t="str">
        <f>CONCATENATE('3 pr-2'!A109)</f>
        <v>2.1.1.2.1</v>
      </c>
      <c r="B108" s="9" t="str">
        <f>CONCATENATE('3 pr-2'!D109)</f>
        <v>Varėnos moksleivių kūrybos centro pastato J. Basanavičiaus g. 38, Varėnoje, modernizavimas</v>
      </c>
      <c r="C108" s="85">
        <v>0</v>
      </c>
      <c r="D108" s="85">
        <v>0</v>
      </c>
      <c r="E108" s="85">
        <v>0</v>
      </c>
      <c r="F108" s="282">
        <v>0</v>
      </c>
      <c r="G108" s="282">
        <v>0</v>
      </c>
      <c r="H108" s="282">
        <v>0</v>
      </c>
      <c r="I108" s="282">
        <v>0</v>
      </c>
      <c r="J108" s="85">
        <v>0</v>
      </c>
      <c r="K108" s="85">
        <v>0</v>
      </c>
      <c r="L108" s="286">
        <v>0</v>
      </c>
      <c r="M108" s="286">
        <v>0</v>
      </c>
      <c r="N108" s="286">
        <v>0</v>
      </c>
      <c r="O108" s="286">
        <v>0</v>
      </c>
      <c r="P108" s="85">
        <v>0</v>
      </c>
      <c r="Q108" s="85">
        <f>SUM($Q$3-$CG$108)*CK108</f>
        <v>218775.5</v>
      </c>
      <c r="R108" s="286">
        <f>SUM($Q$3-$K$3)*CL108</f>
        <v>32816.5</v>
      </c>
      <c r="S108" s="286">
        <f>SUM($Q$3-$K$3)*CM108</f>
        <v>0</v>
      </c>
      <c r="T108" s="286">
        <v>0</v>
      </c>
      <c r="U108" s="286">
        <v>0</v>
      </c>
      <c r="V108" s="361">
        <f>SUM($Q$3-$K$3)*CN108</f>
        <v>185959</v>
      </c>
      <c r="W108" s="85">
        <f>SUM($W$3-$Q$3)*CK108</f>
        <v>218775.5</v>
      </c>
      <c r="X108" s="286">
        <f>SUM($W$3-$Q$3)*CL108</f>
        <v>32816.5</v>
      </c>
      <c r="Y108" s="286">
        <f>SUM($W$3-$Q$3)*CM108</f>
        <v>0</v>
      </c>
      <c r="Z108" s="286">
        <f>IF(YEAR($CH$108)&gt;2018,($BO$4-$BI$4)*AO$108/($CH$108-$CG$108),0)</f>
        <v>0</v>
      </c>
      <c r="AA108" s="286">
        <f>IF(YEAR($CH$108)&gt;2018,($BO$4-$BI$4)*AQ$108/($CH$108-$CG$108),0)</f>
        <v>0</v>
      </c>
      <c r="AB108" s="361">
        <f>SUM($W$3-$Q$3)*CN108</f>
        <v>185959</v>
      </c>
      <c r="AC108" s="361">
        <f>IF(YEAR($CH$108)=2020,($CH$108-$BO$4)*AI$108/($CH$108-$CG$108),0)</f>
        <v>0</v>
      </c>
      <c r="AD108" s="286">
        <f>IF(YEAR($CH$108)=2020,($CH$108-$BO$4)*AK$108/($CH$108-$CG$108),0)</f>
        <v>0</v>
      </c>
      <c r="AE108" s="286">
        <f>IF(YEAR($CH$108)=2020,($CH$108-$BO$4)*AM$108/($CH$108-$CG$108),0)</f>
        <v>0</v>
      </c>
      <c r="AF108" s="286">
        <f>IF(YEAR($CH$108)=2020,($CH$108-$BO$4)*AO$108/($CH$108-$CG$108),0)</f>
        <v>0</v>
      </c>
      <c r="AG108" s="286">
        <f>IF(YEAR($CH$108)=2020,($CH$108-$BO$4)*AQ$108/($CH$108-$CG$108),0)</f>
        <v>0</v>
      </c>
      <c r="AH108" s="361">
        <f>IF(YEAR($CH$108)=2020,($CH$108-$BO$4)*AS$108/($CH$108-$CG$108),0)</f>
        <v>0</v>
      </c>
      <c r="AI108" s="767">
        <f>SUM('3 pr-2'!L109)</f>
        <v>437551</v>
      </c>
      <c r="AJ108" s="362"/>
      <c r="AK108" s="282">
        <f>SUM('3 pr-2'!O109)</f>
        <v>65633</v>
      </c>
      <c r="AL108" s="282"/>
      <c r="AM108" s="282">
        <f>SUM('3 pr-2'!R109)</f>
        <v>0</v>
      </c>
      <c r="AN108" s="282"/>
      <c r="AO108" s="282">
        <f>SUM('3 pr-2'!U109)</f>
        <v>0</v>
      </c>
      <c r="AP108" s="282"/>
      <c r="AQ108" s="282">
        <f>SUM('3 pr-2'!X109)</f>
        <v>0</v>
      </c>
      <c r="AR108" s="543"/>
      <c r="AS108" s="363">
        <f>SUM('3 pr-2'!AA109)</f>
        <v>371918</v>
      </c>
      <c r="AT108" s="498"/>
      <c r="AU108" s="1066"/>
      <c r="AV108" s="24"/>
      <c r="AW108" s="24"/>
      <c r="AX108" s="283"/>
      <c r="AY108" s="283"/>
      <c r="AZ108" s="283"/>
      <c r="BA108" s="283"/>
      <c r="BB108" s="24"/>
      <c r="BC108" s="24"/>
      <c r="BD108" s="283"/>
      <c r="BE108" s="283"/>
      <c r="BF108" s="283"/>
      <c r="BG108" s="283"/>
      <c r="BH108" s="24"/>
      <c r="BI108" s="24"/>
      <c r="BJ108" s="283"/>
      <c r="BK108" s="283"/>
      <c r="BL108" s="283"/>
      <c r="BM108" s="283"/>
      <c r="BN108" s="24"/>
      <c r="BO108" s="24"/>
      <c r="BP108" s="283"/>
      <c r="BQ108" s="283"/>
      <c r="BR108" s="283"/>
      <c r="BS108" s="283"/>
      <c r="BT108" s="24"/>
      <c r="BU108" s="24"/>
      <c r="BV108" s="283"/>
      <c r="BW108" s="283"/>
      <c r="BX108" s="283"/>
      <c r="BY108" s="283"/>
      <c r="BZ108" s="24"/>
      <c r="CA108" s="24"/>
      <c r="CB108" s="283"/>
      <c r="CC108" s="283"/>
      <c r="CD108" s="283"/>
      <c r="CE108" s="283"/>
      <c r="CF108" s="359"/>
      <c r="CG108" s="1068">
        <f>SUM('3 pr-2'!AI109)</f>
        <v>43100</v>
      </c>
      <c r="CH108" s="1123">
        <f>SUM('3 pr-2'!AK109)</f>
        <v>43830</v>
      </c>
      <c r="CI108" s="68">
        <f>SUM(J108+P108+V108+AB108+AH108)</f>
        <v>371918</v>
      </c>
      <c r="CJ108" s="1078"/>
      <c r="CK108" s="1169">
        <f>SUM(AI108/($CH$108-$CG$108))</f>
        <v>599.38493150684928</v>
      </c>
      <c r="CL108" s="1169">
        <f>SUM(AK108/($CH$108-$CG$108))</f>
        <v>89.908219178082192</v>
      </c>
      <c r="CM108" s="1169">
        <f>SUM(AM108/($CH$108-$CG$108))</f>
        <v>0</v>
      </c>
      <c r="CN108" s="1171">
        <f>SUM(AS108/($CH$108-$CG$108))</f>
        <v>509.47671232876712</v>
      </c>
      <c r="CO108" s="1078"/>
      <c r="CP108" s="1078"/>
      <c r="CQ108" s="1078"/>
      <c r="CR108" s="1078">
        <f>SUM(CJ108*CM108)</f>
        <v>0</v>
      </c>
    </row>
    <row r="109" spans="1:96" ht="29.25" customHeight="1" thickBot="1" x14ac:dyDescent="0.3">
      <c r="A109" s="58" t="str">
        <f>CONCATENATE('3 pr-2'!A110)</f>
        <v>2.1.1.2.2</v>
      </c>
      <c r="B109" s="9" t="str">
        <f>CONCATENATE('3 pr-2'!D110)</f>
        <v>Alytaus r. meno ir sporto mokyklos edukacinių erdvių įkūrimas ir atnaujinimas</v>
      </c>
      <c r="C109" s="85">
        <v>0</v>
      </c>
      <c r="D109" s="85">
        <v>0</v>
      </c>
      <c r="E109" s="85">
        <v>0</v>
      </c>
      <c r="F109" s="282">
        <v>0</v>
      </c>
      <c r="G109" s="282">
        <v>0</v>
      </c>
      <c r="H109" s="282">
        <v>0</v>
      </c>
      <c r="I109" s="282">
        <v>0</v>
      </c>
      <c r="J109" s="85">
        <v>0</v>
      </c>
      <c r="K109" s="85">
        <v>0</v>
      </c>
      <c r="L109" s="286">
        <v>0</v>
      </c>
      <c r="M109" s="286">
        <v>0</v>
      </c>
      <c r="N109" s="286">
        <v>0</v>
      </c>
      <c r="O109" s="286">
        <v>0</v>
      </c>
      <c r="P109" s="85">
        <v>0</v>
      </c>
      <c r="Q109" s="85">
        <f>SUM($Q$3-$CG$109)*CK109</f>
        <v>425866.07046575344</v>
      </c>
      <c r="R109" s="286">
        <f>SUM($Q$3-$CG$109)*CL109</f>
        <v>159030.73758904109</v>
      </c>
      <c r="S109" s="286">
        <f>SUM($Q$3-$CG$109)*CM109</f>
        <v>0</v>
      </c>
      <c r="T109" s="286">
        <f>IF(YEAR($CG$109)=2018,($BI$4-$CG$109)*AO$109/($CH$109-$CG$109))</f>
        <v>0</v>
      </c>
      <c r="U109" s="286">
        <f>IF(YEAR($CG$109)=2018,($BI$4-$CG$109)*AQ$109/($CH$109-$CG$109))</f>
        <v>0</v>
      </c>
      <c r="V109" s="361">
        <f>SUM($Q$3-$CG$109)*CN109</f>
        <v>266835.33287671232</v>
      </c>
      <c r="W109" s="85">
        <f>SUM($W$3-$Q$3)*CK109</f>
        <v>428212.44</v>
      </c>
      <c r="X109" s="286">
        <f t="shared" ref="X109" si="261">SUM($W$3-$Q$3)*CL109</f>
        <v>159906.94</v>
      </c>
      <c r="Y109" s="286">
        <f t="shared" ref="Y109" si="262">SUM($W$3-$Q$3)*CM109</f>
        <v>0</v>
      </c>
      <c r="Z109" s="286">
        <f>IF(YEAR($CH$109)&gt;2018,($BO$4-$BI$4)*AO$109/($CH$109-$CG$109),0)</f>
        <v>0</v>
      </c>
      <c r="AA109" s="286">
        <f>IF(YEAR($CH$109)&gt;2018,($BO$4-$BI$4)*AQ$109/($CH$109-$CG$109),0)</f>
        <v>0</v>
      </c>
      <c r="AB109" s="361">
        <f t="shared" ref="AB109" si="263">SUM($W$3-$Q$3)*CN109</f>
        <v>268305.5</v>
      </c>
      <c r="AC109" s="361">
        <f>IF(YEAR($CH$109)=2020,($CH$109-$BO$4)*AI$109/($CH$109-$CG$109),0)</f>
        <v>2346.3695342465753</v>
      </c>
      <c r="AD109" s="286">
        <f>IF(YEAR($CH$109)=2020,($CH$109-$BO$4)*AK$109/($CH$109-$CG$109),0)</f>
        <v>876.20241095890412</v>
      </c>
      <c r="AE109" s="286">
        <f>IF(YEAR($CH$109)=2020,($CH$109-$BO$4)*AM$109/($CH$109-$CG$109),0)</f>
        <v>0</v>
      </c>
      <c r="AF109" s="286">
        <f>IF(YEAR($CH$109)=2020,($CH$109-$BO$4)*AO$109/($CH$109-$CG$109),0)</f>
        <v>0</v>
      </c>
      <c r="AG109" s="286">
        <f>IF(YEAR($CH$109)=2020,($CH$109-$BO$4)*AQ$109/($CH$109-$CG$109),0)</f>
        <v>0</v>
      </c>
      <c r="AH109" s="361">
        <f>IF(YEAR($CH$109)=2020,($CH$109-$BO$4)*AS$109/($CH$109-$CG$109),0)</f>
        <v>1470.1671232876713</v>
      </c>
      <c r="AI109" s="767">
        <f>SUM('3 pr-2'!L110)</f>
        <v>856424.88</v>
      </c>
      <c r="AJ109" s="362"/>
      <c r="AK109" s="282">
        <f>SUM('3 pr-2'!O110)</f>
        <v>319813.88</v>
      </c>
      <c r="AL109" s="282"/>
      <c r="AM109" s="282">
        <f>SUM('3 pr-2'!R110)</f>
        <v>0</v>
      </c>
      <c r="AN109" s="282"/>
      <c r="AO109" s="282">
        <f>SUM('3 pr-2'!U110)</f>
        <v>0</v>
      </c>
      <c r="AP109" s="282"/>
      <c r="AQ109" s="282">
        <f>SUM('3 pr-2'!X110)</f>
        <v>0</v>
      </c>
      <c r="AR109" s="543"/>
      <c r="AS109" s="363">
        <f>SUM('3 pr-2'!AA110)</f>
        <v>536611</v>
      </c>
      <c r="AT109" s="498"/>
      <c r="AU109" s="1066"/>
      <c r="AV109" s="24"/>
      <c r="AW109" s="24"/>
      <c r="AX109" s="283"/>
      <c r="AY109" s="283"/>
      <c r="AZ109" s="283"/>
      <c r="BA109" s="283"/>
      <c r="BB109" s="24"/>
      <c r="BC109" s="24"/>
      <c r="BD109" s="283"/>
      <c r="BE109" s="283"/>
      <c r="BF109" s="283"/>
      <c r="BG109" s="283"/>
      <c r="BH109" s="24"/>
      <c r="BI109" s="24"/>
      <c r="BJ109" s="283"/>
      <c r="BK109" s="283"/>
      <c r="BL109" s="283"/>
      <c r="BM109" s="283"/>
      <c r="BN109" s="24"/>
      <c r="BO109" s="24"/>
      <c r="BP109" s="283"/>
      <c r="BQ109" s="283"/>
      <c r="BR109" s="283"/>
      <c r="BS109" s="283"/>
      <c r="BT109" s="24"/>
      <c r="BU109" s="24"/>
      <c r="BV109" s="283"/>
      <c r="BW109" s="283"/>
      <c r="BX109" s="283"/>
      <c r="BY109" s="283"/>
      <c r="BZ109" s="24"/>
      <c r="CA109" s="24"/>
      <c r="CB109" s="283"/>
      <c r="CC109" s="283"/>
      <c r="CD109" s="283"/>
      <c r="CE109" s="283"/>
      <c r="CF109" s="359"/>
      <c r="CG109" s="1068">
        <v>43102</v>
      </c>
      <c r="CH109" s="1123">
        <f>SUM('3 pr-2'!AK110)</f>
        <v>43832</v>
      </c>
      <c r="CI109" s="68">
        <f>SUM(J109+P109+V109+AB109+AH109)</f>
        <v>536611</v>
      </c>
      <c r="CJ109" s="1078"/>
      <c r="CK109" s="1169">
        <f>SUM(AI109/($CH$109-$CG$109))</f>
        <v>1173.1847671232877</v>
      </c>
      <c r="CL109" s="1169">
        <f>SUM(AK109/($CH$109-$CG$109))</f>
        <v>438.10120547945206</v>
      </c>
      <c r="CM109" s="1169">
        <f>SUM(AM109/($CH$109-$CG$109))</f>
        <v>0</v>
      </c>
      <c r="CN109" s="1171">
        <f>SUM(AS109/($CH$109-$CG$109))</f>
        <v>735.08356164383565</v>
      </c>
      <c r="CO109" s="1078"/>
      <c r="CP109" s="1078"/>
      <c r="CQ109" s="1078"/>
      <c r="CR109" s="1078">
        <f>SUM(CJ109*CM109)</f>
        <v>0</v>
      </c>
    </row>
    <row r="110" spans="1:96" ht="36.75" thickBot="1" x14ac:dyDescent="0.3">
      <c r="A110" s="58" t="str">
        <f>CONCATENATE('3 pr-2'!A111)</f>
        <v>2.1.1.2.3</v>
      </c>
      <c r="B110" s="9" t="str">
        <f>CONCATENATE('3 pr-2'!D111)</f>
        <v>Alytaus muzikos mokyklos pastato modernizavimas ir ugdymo aplinkos gerinimas</v>
      </c>
      <c r="C110" s="85">
        <v>0</v>
      </c>
      <c r="D110" s="85">
        <v>0</v>
      </c>
      <c r="E110" s="85">
        <v>0</v>
      </c>
      <c r="F110" s="282">
        <v>0</v>
      </c>
      <c r="G110" s="282">
        <v>0</v>
      </c>
      <c r="H110" s="282">
        <v>0</v>
      </c>
      <c r="I110" s="282">
        <v>0</v>
      </c>
      <c r="J110" s="85">
        <v>0</v>
      </c>
      <c r="K110" s="85">
        <v>0</v>
      </c>
      <c r="L110" s="286">
        <v>0</v>
      </c>
      <c r="M110" s="286">
        <v>0</v>
      </c>
      <c r="N110" s="286">
        <v>0</v>
      </c>
      <c r="O110" s="286">
        <v>0</v>
      </c>
      <c r="P110" s="85">
        <v>0</v>
      </c>
      <c r="Q110" s="85">
        <f>SUM($Q$3-$CG$110)*CK110</f>
        <v>198143.15109890111</v>
      </c>
      <c r="R110" s="286">
        <f>SUM($Q$3-$CG$110)*CL110</f>
        <v>29721.622252747253</v>
      </c>
      <c r="S110" s="286">
        <f>SUM($Q$3-$CG$110)*CM110</f>
        <v>0</v>
      </c>
      <c r="T110" s="286">
        <f>IF(YEAR($CG$110)=2018,($BI$4-$CG$110)*AO$110/($CH$110-$CG$110))</f>
        <v>0</v>
      </c>
      <c r="U110" s="286">
        <f>IF(YEAR($CG$110)=2018,($BI$4-$CG$110)*AQ$110/($CH$110-$CG$110))</f>
        <v>0</v>
      </c>
      <c r="V110" s="361">
        <f>SUM($Q$3-$CG$110)*CN110</f>
        <v>168421.52884615384</v>
      </c>
      <c r="W110" s="85">
        <f>SUM($CH$110-$Q$3)*CK110</f>
        <v>199234.84890109891</v>
      </c>
      <c r="X110" s="286">
        <f>SUM($CH$110-$Q$3)*CL110</f>
        <v>29885.377747252747</v>
      </c>
      <c r="Y110" s="286">
        <f>SUM($CH$110-$Q$3)*CM110</f>
        <v>0</v>
      </c>
      <c r="Z110" s="286">
        <f>IF(YEAR($CH$110)&gt;2018,($BO$4-$BI$4)*AO$110/($CH$110-$CG$110),0)</f>
        <v>0</v>
      </c>
      <c r="AA110" s="286">
        <f>IF(YEAR($CH$110)&gt;2018,($BO$4-$BI$4)*AQ$110/($CH$110-$CG$110),0)</f>
        <v>0</v>
      </c>
      <c r="AB110" s="361">
        <f>SUM($CH$110-$Q$3)*CN110</f>
        <v>169349.47115384616</v>
      </c>
      <c r="AC110" s="361">
        <f>IF(YEAR($CH$110)=2020,($CH$110-$BO$4)*AI$110/($CH$110-$CG$110),0)</f>
        <v>0</v>
      </c>
      <c r="AD110" s="286">
        <f>IF(YEAR($CH$110)=2020,($CH$110-$BO$4)*AK$110/($CH$110-$CG$110),0)</f>
        <v>0</v>
      </c>
      <c r="AE110" s="286">
        <f>IF(YEAR($CH$110)=2020,($CH$110-$BO$4)*AM$110/($CH$110-$CG$110),0)</f>
        <v>0</v>
      </c>
      <c r="AF110" s="286">
        <f>IF(YEAR($CH$110)=2020,($CH$110-$BO$4)*AO$110/($CH$110-$CG$110),0)</f>
        <v>0</v>
      </c>
      <c r="AG110" s="286">
        <f>IF(YEAR($CH$110)=2020,($CH$110-$BO$4)*AQ$110/($CH$110-$CG$110),0)</f>
        <v>0</v>
      </c>
      <c r="AH110" s="361">
        <f>IF(YEAR($CH$110)=2020,($CH$110-$BO$4)*AS$110/($CH$110-$CG$110),0)</f>
        <v>0</v>
      </c>
      <c r="AI110" s="767">
        <f>SUM('3 pr-2'!L111)</f>
        <v>397378</v>
      </c>
      <c r="AJ110" s="362"/>
      <c r="AK110" s="282">
        <f>SUM('3 pr-2'!O111)</f>
        <v>59607</v>
      </c>
      <c r="AL110" s="282"/>
      <c r="AM110" s="282">
        <f>SUM('3 pr-2'!R111)</f>
        <v>0</v>
      </c>
      <c r="AN110" s="282"/>
      <c r="AO110" s="282">
        <f>SUM('3 pr-2'!U111)</f>
        <v>0</v>
      </c>
      <c r="AP110" s="282"/>
      <c r="AQ110" s="282">
        <f>SUM('3 pr-2'!X111)</f>
        <v>0</v>
      </c>
      <c r="AR110" s="543"/>
      <c r="AS110" s="363">
        <f>SUM('3 pr-2'!AA111)</f>
        <v>337771</v>
      </c>
      <c r="AT110" s="498"/>
      <c r="AU110" s="1066"/>
      <c r="AV110" s="24"/>
      <c r="AW110" s="24"/>
      <c r="AX110" s="283"/>
      <c r="AY110" s="283"/>
      <c r="AZ110" s="283"/>
      <c r="BA110" s="283"/>
      <c r="BB110" s="24"/>
      <c r="BC110" s="24"/>
      <c r="BD110" s="283"/>
      <c r="BE110" s="283"/>
      <c r="BF110" s="283"/>
      <c r="BG110" s="283"/>
      <c r="BH110" s="24"/>
      <c r="BI110" s="24"/>
      <c r="BJ110" s="283"/>
      <c r="BK110" s="283"/>
      <c r="BL110" s="283"/>
      <c r="BM110" s="283"/>
      <c r="BN110" s="24"/>
      <c r="BO110" s="24"/>
      <c r="BP110" s="283"/>
      <c r="BQ110" s="283"/>
      <c r="BR110" s="283"/>
      <c r="BS110" s="283"/>
      <c r="BT110" s="24"/>
      <c r="BU110" s="24"/>
      <c r="BV110" s="283"/>
      <c r="BW110" s="283"/>
      <c r="BX110" s="283"/>
      <c r="BY110" s="283"/>
      <c r="BZ110" s="24"/>
      <c r="CA110" s="24"/>
      <c r="CB110" s="283"/>
      <c r="CC110" s="283"/>
      <c r="CD110" s="283"/>
      <c r="CE110" s="283"/>
      <c r="CF110" s="359"/>
      <c r="CG110" s="1068">
        <v>43102</v>
      </c>
      <c r="CH110" s="1123">
        <f>SUM('3 pr-2'!AK111)</f>
        <v>43830</v>
      </c>
      <c r="CI110" s="68">
        <f>SUM(J110+P110+V110+AB110+AH110)</f>
        <v>337771</v>
      </c>
      <c r="CJ110" s="1078"/>
      <c r="CK110" s="1169">
        <f>SUM(AI110/($CH$110-$CG$110))</f>
        <v>545.84890109890114</v>
      </c>
      <c r="CL110" s="1169">
        <f>SUM(AK110/($CH$110-$CG$110))</f>
        <v>81.877747252747255</v>
      </c>
      <c r="CM110" s="1169">
        <f>SUM(AM110/($CH$110-$CG$110))</f>
        <v>0</v>
      </c>
      <c r="CN110" s="1171">
        <f>SUM(AS110/($CH$110-$CG$110))</f>
        <v>463.97115384615387</v>
      </c>
      <c r="CO110" s="1078"/>
      <c r="CP110" s="1078"/>
      <c r="CQ110" s="1078"/>
      <c r="CR110" s="1078">
        <f>SUM(CJ110*CM110)</f>
        <v>0</v>
      </c>
    </row>
    <row r="111" spans="1:96" ht="24.75" thickBot="1" x14ac:dyDescent="0.3">
      <c r="A111" s="58" t="str">
        <f>CONCATENATE('3 pr-2'!A112)</f>
        <v>2.1.1.2.4</v>
      </c>
      <c r="B111" s="9" t="str">
        <f>CONCATENATE('3 pr-2'!D112)</f>
        <v>Druskininkų M. K. Čiurlionio meno mokyklos infrastruktūros tobulinimas</v>
      </c>
      <c r="C111" s="85">
        <v>0</v>
      </c>
      <c r="D111" s="85">
        <v>0</v>
      </c>
      <c r="E111" s="85">
        <v>0</v>
      </c>
      <c r="F111" s="282">
        <v>0</v>
      </c>
      <c r="G111" s="282">
        <v>0</v>
      </c>
      <c r="H111" s="282">
        <v>0</v>
      </c>
      <c r="I111" s="282">
        <v>0</v>
      </c>
      <c r="J111" s="85">
        <v>0</v>
      </c>
      <c r="K111" s="75">
        <f>IF(YEAR($CG$111)=2017,($BC$4-$CG$111)*AI$111/($CH$111-$CG$111),0)</f>
        <v>0</v>
      </c>
      <c r="L111" s="286">
        <f>IF(YEAR($CG$111)=2017,($BC$4-$CG$111)*AK$111/($CH$111-$CG$111),0)</f>
        <v>0</v>
      </c>
      <c r="M111" s="286">
        <f>IF(YEAR($CG$111)=2017,($BC$4-$CG$111)*AM$111/($CH$111-$CG$111),0)</f>
        <v>0</v>
      </c>
      <c r="N111" s="286">
        <f>IF(YEAR($CG$111)=2017,($BC$4-$CG$111)*AO$111/($CH$111-$CG$111),0)</f>
        <v>0</v>
      </c>
      <c r="O111" s="286">
        <f>IF(YEAR($CG$111)=2017,($BC$4-$CG$111)*AQ$111/($CH$111-$CG$111),0)</f>
        <v>0</v>
      </c>
      <c r="P111" s="85">
        <f>IF(YEAR($CG$111)=2017,($BC$4-$CG$111)*AS$111/($CH$111-$CG$111),0)</f>
        <v>0</v>
      </c>
      <c r="Q111" s="85">
        <f>SUM($CH$111-$CG$111)*CK111</f>
        <v>146702.29999999999</v>
      </c>
      <c r="R111" s="286">
        <f>SUM($CH$111-$CG$111)*CL111</f>
        <v>22436.3</v>
      </c>
      <c r="S111" s="286">
        <f>SUM($CH$111-$CG$111)*CM111</f>
        <v>0</v>
      </c>
      <c r="T111" s="286">
        <f>IF(YEAR($CH$111)=2018,($CH$111-$BC$4)*AO$111/($CH$111-$CG$111),0)</f>
        <v>0</v>
      </c>
      <c r="U111" s="286">
        <f>IF(YEAR($CH$111)=2018,($CH$111-$BC$4)*AQ$111/($CH$111-$CG$111),0)</f>
        <v>0</v>
      </c>
      <c r="V111" s="361">
        <f>SUM($CH$111-$CG$111)*CN111</f>
        <v>124265.99999999999</v>
      </c>
      <c r="W111" s="85">
        <v>0</v>
      </c>
      <c r="X111" s="286">
        <v>0</v>
      </c>
      <c r="Y111" s="286">
        <v>0</v>
      </c>
      <c r="Z111" s="282">
        <v>0</v>
      </c>
      <c r="AA111" s="282">
        <v>0</v>
      </c>
      <c r="AB111" s="361">
        <v>0</v>
      </c>
      <c r="AC111" s="85">
        <v>0</v>
      </c>
      <c r="AD111" s="282">
        <v>0</v>
      </c>
      <c r="AE111" s="282">
        <v>0</v>
      </c>
      <c r="AF111" s="282">
        <v>0</v>
      </c>
      <c r="AG111" s="282">
        <v>0</v>
      </c>
      <c r="AH111" s="85">
        <v>0</v>
      </c>
      <c r="AI111" s="767">
        <f>SUM('3 pr-2'!L112)</f>
        <v>146702.29999999999</v>
      </c>
      <c r="AJ111" s="362"/>
      <c r="AK111" s="282">
        <f>SUM('3 pr-2'!O112)</f>
        <v>22436.3</v>
      </c>
      <c r="AL111" s="282"/>
      <c r="AM111" s="282">
        <f>SUM('3 pr-2'!R112)</f>
        <v>0</v>
      </c>
      <c r="AN111" s="282"/>
      <c r="AO111" s="282">
        <f>SUM('3 pr-2'!U112)</f>
        <v>0</v>
      </c>
      <c r="AP111" s="282"/>
      <c r="AQ111" s="282">
        <f>SUM('3 pr-2'!X112)</f>
        <v>0</v>
      </c>
      <c r="AR111" s="543"/>
      <c r="AS111" s="363">
        <f>SUM('3 pr-2'!AA112)</f>
        <v>124266</v>
      </c>
      <c r="AT111" s="498"/>
      <c r="AU111" s="1066"/>
      <c r="AV111" s="24"/>
      <c r="AW111" s="24"/>
      <c r="AX111" s="283"/>
      <c r="AY111" s="283"/>
      <c r="AZ111" s="283"/>
      <c r="BA111" s="283"/>
      <c r="BB111" s="24"/>
      <c r="BC111" s="24"/>
      <c r="BD111" s="283"/>
      <c r="BE111" s="283"/>
      <c r="BF111" s="283"/>
      <c r="BG111" s="283"/>
      <c r="BH111" s="24"/>
      <c r="BI111" s="24"/>
      <c r="BJ111" s="283"/>
      <c r="BK111" s="283"/>
      <c r="BL111" s="283"/>
      <c r="BM111" s="283"/>
      <c r="BN111" s="24"/>
      <c r="BO111" s="24"/>
      <c r="BP111" s="283"/>
      <c r="BQ111" s="283"/>
      <c r="BR111" s="283"/>
      <c r="BS111" s="283"/>
      <c r="BT111" s="24"/>
      <c r="BU111" s="24"/>
      <c r="BV111" s="283"/>
      <c r="BW111" s="283"/>
      <c r="BX111" s="283"/>
      <c r="BY111" s="283"/>
      <c r="BZ111" s="24"/>
      <c r="CA111" s="24"/>
      <c r="CB111" s="283"/>
      <c r="CC111" s="283"/>
      <c r="CD111" s="283"/>
      <c r="CE111" s="283"/>
      <c r="CF111" s="359"/>
      <c r="CG111" s="1068">
        <v>43102</v>
      </c>
      <c r="CH111" s="1123">
        <f>SUM('3 pr-2'!AK112)</f>
        <v>43449</v>
      </c>
      <c r="CI111" s="68">
        <f>SUM(J111+P111+V111+AB111+AH111)</f>
        <v>124265.99999999999</v>
      </c>
      <c r="CJ111" s="1078"/>
      <c r="CK111" s="1169">
        <f>SUM(AI111/($CH$111-$CG$111))</f>
        <v>422.77319884726222</v>
      </c>
      <c r="CL111" s="1169">
        <f>SUM(AK111/($CH$111-$CG$111))</f>
        <v>64.657925072046112</v>
      </c>
      <c r="CM111" s="1169">
        <f>SUM(AM111/($CH$111-$CG$111))</f>
        <v>0</v>
      </c>
      <c r="CN111" s="1171">
        <f>SUM(AS111/($CH$111-$CG$111))</f>
        <v>358.11527377521611</v>
      </c>
      <c r="CO111" s="1078"/>
      <c r="CP111" s="1078"/>
      <c r="CQ111" s="1078"/>
      <c r="CR111" s="1078">
        <f>SUM(CJ111*CM111)</f>
        <v>0</v>
      </c>
    </row>
    <row r="112" spans="1:96" ht="36" customHeight="1" thickBot="1" x14ac:dyDescent="0.3">
      <c r="A112" s="58" t="str">
        <f>CONCATENATE('3 pr-2'!A113)</f>
        <v>2.1.1.2.5</v>
      </c>
      <c r="B112" s="9" t="str">
        <f>CONCATENATE('3 pr-2'!D113)</f>
        <v>Neformaliojo švietimo įstaigų Lazdijų rajono savivaldybėje infrastruktūros tobulinimas</v>
      </c>
      <c r="C112" s="85">
        <v>0</v>
      </c>
      <c r="D112" s="85">
        <v>0</v>
      </c>
      <c r="E112" s="85">
        <v>0</v>
      </c>
      <c r="F112" s="282">
        <v>0</v>
      </c>
      <c r="G112" s="282">
        <v>0</v>
      </c>
      <c r="H112" s="282">
        <v>0</v>
      </c>
      <c r="I112" s="282">
        <v>0</v>
      </c>
      <c r="J112" s="85">
        <v>0</v>
      </c>
      <c r="K112" s="75">
        <f>IF(YEAR($CG$112)=2017,($BC$4-$CG$112)*AI$112/($CH$112-$CG$112),0)</f>
        <v>0</v>
      </c>
      <c r="L112" s="286">
        <f>IF(YEAR($CG$112)=2017,($BC$4-$CG$112)*AK$112/($CH$112-$CG$112),0)</f>
        <v>0</v>
      </c>
      <c r="M112" s="286">
        <f>IF(YEAR($CG$112)=2017,($BC$4-$CG$112)*AM$112/($CH$112-$CG$112),0)</f>
        <v>0</v>
      </c>
      <c r="N112" s="286">
        <f>IF(YEAR($CG$112)=2017,($BC$4-$CG$112)*AO$112/($CH$112-$CG$112),0)</f>
        <v>0</v>
      </c>
      <c r="O112" s="286">
        <f>IF(YEAR($CG$112)=2017,($BC$4-$CG$112)*AQ$112/($CH$112-$CG$112),0)</f>
        <v>0</v>
      </c>
      <c r="P112" s="85">
        <f>IF(YEAR($CG$112)=2017,($BC$4-$CG$112)*AS$112/($CH$112-$CG$112),0)</f>
        <v>0</v>
      </c>
      <c r="Q112" s="85">
        <f>SUM($Q$3-CG112)*CK112</f>
        <v>77394.791208791212</v>
      </c>
      <c r="R112" s="286">
        <f>SUM($Q$3-$CG$112)*CL112</f>
        <v>11609.731554160126</v>
      </c>
      <c r="S112" s="286">
        <f>SUM($Q$3-$CG$112)*CM112</f>
        <v>0</v>
      </c>
      <c r="T112" s="286">
        <f>IF(YEAR($CH$112)=2018,($CH$112-$BC$4)*AO$112/($CH$112-$CG$112),0)</f>
        <v>0</v>
      </c>
      <c r="U112" s="286">
        <f>IF(YEAR($CH$112)=2018,($CH$112-$BC$4)*AQ$112/($CH$112-$CG$112),0)</f>
        <v>0</v>
      </c>
      <c r="V112" s="361">
        <f>SUM($Q$3-$CG$112)*CN112</f>
        <v>65785.059654631084</v>
      </c>
      <c r="W112" s="85">
        <f>SUM($CH$112-$Q$3)*CK112</f>
        <v>58419.208791208795</v>
      </c>
      <c r="X112" s="286">
        <f>SUM($CH$112-$Q$3)*CL112</f>
        <v>8763.2684458398744</v>
      </c>
      <c r="Y112" s="286">
        <f>SUM($CH$112-$Q$3)*CM112</f>
        <v>0</v>
      </c>
      <c r="Z112" s="282">
        <v>0</v>
      </c>
      <c r="AA112" s="282">
        <v>0</v>
      </c>
      <c r="AB112" s="361">
        <f>SUM($CH$112-$Q$3)*CN112</f>
        <v>49655.940345368916</v>
      </c>
      <c r="AC112" s="85">
        <v>0</v>
      </c>
      <c r="AD112" s="282">
        <v>0</v>
      </c>
      <c r="AE112" s="282">
        <v>0</v>
      </c>
      <c r="AF112" s="282">
        <v>0</v>
      </c>
      <c r="AG112" s="282">
        <v>0</v>
      </c>
      <c r="AH112" s="85">
        <v>0</v>
      </c>
      <c r="AI112" s="767">
        <f>SUM('3 pr-2'!L113)</f>
        <v>135814</v>
      </c>
      <c r="AJ112" s="362"/>
      <c r="AK112" s="282">
        <f>SUM('3 pr-2'!O113)</f>
        <v>20373</v>
      </c>
      <c r="AL112" s="282"/>
      <c r="AM112" s="282">
        <f>SUM('3 pr-2'!R113)</f>
        <v>0</v>
      </c>
      <c r="AN112" s="282"/>
      <c r="AO112" s="282">
        <f>SUM('3 pr-2'!U113)</f>
        <v>0</v>
      </c>
      <c r="AP112" s="282"/>
      <c r="AQ112" s="282">
        <f>SUM('3 pr-2'!X113)</f>
        <v>0</v>
      </c>
      <c r="AR112" s="543"/>
      <c r="AS112" s="363">
        <f>SUM('3 pr-2'!AA113)</f>
        <v>115441</v>
      </c>
      <c r="AT112" s="498"/>
      <c r="AU112" s="1066"/>
      <c r="AV112" s="24"/>
      <c r="AW112" s="24"/>
      <c r="AX112" s="283"/>
      <c r="AY112" s="283"/>
      <c r="AZ112" s="283"/>
      <c r="BA112" s="283"/>
      <c r="BB112" s="24"/>
      <c r="BC112" s="24"/>
      <c r="BD112" s="283"/>
      <c r="BE112" s="283"/>
      <c r="BF112" s="283"/>
      <c r="BG112" s="283"/>
      <c r="BH112" s="24"/>
      <c r="BI112" s="24"/>
      <c r="BJ112" s="283"/>
      <c r="BK112" s="283"/>
      <c r="BL112" s="283"/>
      <c r="BM112" s="283"/>
      <c r="BN112" s="24"/>
      <c r="BO112" s="24"/>
      <c r="BP112" s="283"/>
      <c r="BQ112" s="283"/>
      <c r="BR112" s="283"/>
      <c r="BS112" s="283"/>
      <c r="BT112" s="24"/>
      <c r="BU112" s="24"/>
      <c r="BV112" s="283"/>
      <c r="BW112" s="283"/>
      <c r="BX112" s="283"/>
      <c r="BY112" s="283"/>
      <c r="BZ112" s="24"/>
      <c r="CA112" s="24"/>
      <c r="CB112" s="283"/>
      <c r="CC112" s="283"/>
      <c r="CD112" s="283"/>
      <c r="CE112" s="283"/>
      <c r="CF112" s="359"/>
      <c r="CG112" s="1068">
        <v>43102</v>
      </c>
      <c r="CH112" s="1123">
        <f>SUM('3 pr-2'!AK113)</f>
        <v>43739</v>
      </c>
      <c r="CI112" s="68">
        <f>SUM(J112+P112+V112+AB112+AH112)</f>
        <v>115441</v>
      </c>
      <c r="CJ112" s="1078"/>
      <c r="CK112" s="1169">
        <f>SUM(AI112/($CH$112-$CG$112))</f>
        <v>213.20879120879121</v>
      </c>
      <c r="CL112" s="1169">
        <f>SUM(AK112/($CH$112-$CG$112))</f>
        <v>31.982731554160125</v>
      </c>
      <c r="CM112" s="1169">
        <f>SUM(AM112/($CH$112-$CG$112))</f>
        <v>0</v>
      </c>
      <c r="CN112" s="1171">
        <f>SUM(AS112/($CH$112-$CG$112))</f>
        <v>181.22605965463109</v>
      </c>
      <c r="CO112" s="1078"/>
      <c r="CP112" s="1078"/>
      <c r="CQ112" s="1078"/>
      <c r="CR112" s="1078">
        <f>SUM(CJ112*CM112)</f>
        <v>0</v>
      </c>
    </row>
    <row r="113" spans="1:98" ht="39.75" thickBot="1" x14ac:dyDescent="0.3">
      <c r="A113" s="278" t="str">
        <f>CONCATENATE('3 pr-2'!A114)</f>
        <v>2.1.1.3</v>
      </c>
      <c r="B113" s="118" t="str">
        <f>CONCATENATE('3 pr-2'!B114)</f>
        <v>Priemonė:
Ikimokyklinio ir priešmokyklinio ugdymo prieinamumo didinimas</v>
      </c>
      <c r="C113" s="1124">
        <f>SUM(C114:C118)</f>
        <v>0</v>
      </c>
      <c r="D113" s="1124">
        <f t="shared" ref="D113:AS113" si="264">SUM(D114:D118)</f>
        <v>0</v>
      </c>
      <c r="E113" s="1124">
        <f t="shared" si="264"/>
        <v>0</v>
      </c>
      <c r="F113" s="1124"/>
      <c r="G113" s="1124"/>
      <c r="H113" s="1124"/>
      <c r="I113" s="1124"/>
      <c r="J113" s="1124">
        <f t="shared" si="264"/>
        <v>0</v>
      </c>
      <c r="K113" s="1124">
        <f t="shared" si="264"/>
        <v>0</v>
      </c>
      <c r="L113" s="1125">
        <f t="shared" ref="L113:O113" si="265">SUM(L114:L118)</f>
        <v>0</v>
      </c>
      <c r="M113" s="1125">
        <f t="shared" si="265"/>
        <v>0</v>
      </c>
      <c r="N113" s="1125">
        <f t="shared" si="265"/>
        <v>0</v>
      </c>
      <c r="O113" s="1125">
        <f t="shared" si="265"/>
        <v>0</v>
      </c>
      <c r="P113" s="1124">
        <f t="shared" si="264"/>
        <v>0</v>
      </c>
      <c r="Q113" s="1124">
        <f t="shared" si="264"/>
        <v>779247.79813254834</v>
      </c>
      <c r="R113" s="1125"/>
      <c r="S113" s="1125"/>
      <c r="T113" s="1125"/>
      <c r="U113" s="1125"/>
      <c r="V113" s="1124">
        <f t="shared" si="264"/>
        <v>604276.77105700958</v>
      </c>
      <c r="W113" s="1124">
        <f t="shared" si="264"/>
        <v>667204.75279311812</v>
      </c>
      <c r="X113" s="1125"/>
      <c r="Y113" s="1125"/>
      <c r="Z113" s="1125"/>
      <c r="AA113" s="1125"/>
      <c r="AB113" s="1124">
        <f t="shared" si="264"/>
        <v>523918.37480554316</v>
      </c>
      <c r="AC113" s="1124">
        <f t="shared" si="264"/>
        <v>12569.219074333801</v>
      </c>
      <c r="AD113" s="1125"/>
      <c r="AE113" s="1125"/>
      <c r="AF113" s="1125"/>
      <c r="AG113" s="1125"/>
      <c r="AH113" s="1124">
        <f t="shared" si="264"/>
        <v>10392.854137447406</v>
      </c>
      <c r="AI113" s="1126">
        <f t="shared" si="264"/>
        <v>1459021.7699999998</v>
      </c>
      <c r="AJ113" s="1124"/>
      <c r="AK113" s="1124"/>
      <c r="AL113" s="1124"/>
      <c r="AM113" s="1124"/>
      <c r="AN113" s="1124"/>
      <c r="AO113" s="1124"/>
      <c r="AP113" s="1124"/>
      <c r="AQ113" s="1124"/>
      <c r="AR113" s="1124"/>
      <c r="AS113" s="1124">
        <f t="shared" si="264"/>
        <v>1138588</v>
      </c>
      <c r="AT113" s="1124"/>
      <c r="AU113" s="1066"/>
      <c r="AV113" s="24"/>
      <c r="AW113" s="24"/>
      <c r="AX113" s="1124"/>
      <c r="AY113" s="1124"/>
      <c r="AZ113" s="1124"/>
      <c r="BA113" s="1124"/>
      <c r="BB113" s="24"/>
      <c r="BC113" s="24"/>
      <c r="BD113" s="1124"/>
      <c r="BE113" s="1124"/>
      <c r="BF113" s="1124"/>
      <c r="BG113" s="1124"/>
      <c r="BH113" s="24"/>
      <c r="BI113" s="24"/>
      <c r="BJ113" s="1124"/>
      <c r="BK113" s="1124"/>
      <c r="BL113" s="1124"/>
      <c r="BM113" s="1124"/>
      <c r="BN113" s="24"/>
      <c r="BO113" s="24"/>
      <c r="BP113" s="1124"/>
      <c r="BQ113" s="1124"/>
      <c r="BR113" s="1124"/>
      <c r="BS113" s="1124"/>
      <c r="BT113" s="24"/>
      <c r="BU113" s="24"/>
      <c r="BV113" s="1124"/>
      <c r="BW113" s="1124"/>
      <c r="BX113" s="1124"/>
      <c r="BY113" s="1124"/>
      <c r="BZ113" s="24"/>
      <c r="CA113" s="24"/>
      <c r="CB113" s="1124"/>
      <c r="CC113" s="1124"/>
      <c r="CD113" s="1124"/>
      <c r="CE113" s="1124"/>
      <c r="CF113" s="359"/>
      <c r="CG113" s="23"/>
      <c r="CH113" s="23"/>
    </row>
    <row r="114" spans="1:98" ht="24.75" thickBot="1" x14ac:dyDescent="0.3">
      <c r="A114" s="58" t="str">
        <f>CONCATENATE('3 pr-2'!A115)</f>
        <v>2.1.1.3.1</v>
      </c>
      <c r="B114" s="9" t="str">
        <f>CONCATENATE('3 pr-2'!D115)</f>
        <v>Varėnos "Pasakos" vaikų lopšelio-darželio pastato modernizavimas</v>
      </c>
      <c r="C114" s="85">
        <v>0</v>
      </c>
      <c r="D114" s="85">
        <v>0</v>
      </c>
      <c r="E114" s="85">
        <v>0</v>
      </c>
      <c r="F114" s="282">
        <v>0</v>
      </c>
      <c r="G114" s="282">
        <v>0</v>
      </c>
      <c r="H114" s="282">
        <v>0</v>
      </c>
      <c r="I114" s="282">
        <v>0</v>
      </c>
      <c r="J114" s="85">
        <v>0</v>
      </c>
      <c r="K114" s="85">
        <v>0</v>
      </c>
      <c r="L114" s="286">
        <v>0</v>
      </c>
      <c r="M114" s="286">
        <v>0</v>
      </c>
      <c r="N114" s="286">
        <v>0</v>
      </c>
      <c r="O114" s="286">
        <v>0</v>
      </c>
      <c r="P114" s="85">
        <v>0</v>
      </c>
      <c r="Q114" s="85">
        <f>SUM($Q$3-CG114)*CK114</f>
        <v>225246.80073126144</v>
      </c>
      <c r="R114" s="286">
        <f>SUM($Q$3-$CG$114)*CL114</f>
        <v>34908.383912248632</v>
      </c>
      <c r="S114" s="286">
        <f>SUM($Q$3-$CG$114)*CM114</f>
        <v>15433.058500914078</v>
      </c>
      <c r="T114" s="286">
        <f>IF(YEAR($CG$114)=2018,($BI$4-$CG$114)*AO$114/($CH$114-$CG$114),0)</f>
        <v>0</v>
      </c>
      <c r="U114" s="286">
        <f>IF(YEAR($CG$114)=2018,($BI$4-$CG$114)*AQ$114/($CH$114-$CG$114),0)</f>
        <v>0</v>
      </c>
      <c r="V114" s="304">
        <f>SUM($Q$3-$CG$114)*CN114</f>
        <v>174905.3583180987</v>
      </c>
      <c r="W114" s="85">
        <f>SUM(CH114-$Q$3)*CK114</f>
        <v>144753.19926873856</v>
      </c>
      <c r="X114" s="287">
        <f>SUM($CH$114-$Q$3)*CL114</f>
        <v>22433.616087751372</v>
      </c>
      <c r="Y114" s="287">
        <f>SUM($CH$114-$Q$3)*CM114</f>
        <v>9917.9414990859241</v>
      </c>
      <c r="Z114" s="287">
        <f>IF(YEAR($CH$114)=2019,($CH$114-$BI$4)*AO$114/($CH$114-$CG$114),0)</f>
        <v>0</v>
      </c>
      <c r="AA114" s="287">
        <f>IF(YEAR($CH$114)=2019,($CH$114-$BI$4)*AQ$114/($CH$114-$CG$114),0)</f>
        <v>0</v>
      </c>
      <c r="AB114" s="304">
        <f>SUM($CH$114-$Q$3)*CN114</f>
        <v>112401.64168190127</v>
      </c>
      <c r="AC114" s="304">
        <v>0</v>
      </c>
      <c r="AD114" s="287">
        <v>0</v>
      </c>
      <c r="AE114" s="287">
        <v>0</v>
      </c>
      <c r="AF114" s="287">
        <v>0</v>
      </c>
      <c r="AG114" s="287">
        <v>0</v>
      </c>
      <c r="AH114" s="304">
        <v>0</v>
      </c>
      <c r="AI114" s="768">
        <f>SUM('3 pr-2'!L115)</f>
        <v>370000</v>
      </c>
      <c r="AJ114" s="84"/>
      <c r="AK114" s="282">
        <f>SUM('3 pr-2'!O115)</f>
        <v>57342</v>
      </c>
      <c r="AL114" s="282"/>
      <c r="AM114" s="282">
        <f>SUM('3 pr-2'!R115)</f>
        <v>25351</v>
      </c>
      <c r="AN114" s="282"/>
      <c r="AO114" s="282">
        <f>SUM('3 pr-2'!U115)</f>
        <v>0</v>
      </c>
      <c r="AP114" s="282"/>
      <c r="AQ114" s="282">
        <f>SUM('3 pr-2'!X115)</f>
        <v>0</v>
      </c>
      <c r="AR114" s="543"/>
      <c r="AS114" s="109">
        <f>SUM('3 pr-2'!AA115)</f>
        <v>287307</v>
      </c>
      <c r="AT114" s="499"/>
      <c r="AU114" s="1066"/>
      <c r="AV114" s="24"/>
      <c r="AW114" s="24"/>
      <c r="AX114" s="283"/>
      <c r="AY114" s="283"/>
      <c r="AZ114" s="283"/>
      <c r="BA114" s="283"/>
      <c r="BB114" s="24"/>
      <c r="BC114" s="24"/>
      <c r="BD114" s="283"/>
      <c r="BE114" s="283"/>
      <c r="BF114" s="283"/>
      <c r="BG114" s="283"/>
      <c r="BH114" s="24"/>
      <c r="BI114" s="24"/>
      <c r="BJ114" s="283"/>
      <c r="BK114" s="283"/>
      <c r="BL114" s="283"/>
      <c r="BM114" s="283"/>
      <c r="BN114" s="24"/>
      <c r="BO114" s="24"/>
      <c r="BP114" s="283"/>
      <c r="BQ114" s="283"/>
      <c r="BR114" s="283"/>
      <c r="BS114" s="283"/>
      <c r="BT114" s="24"/>
      <c r="BU114" s="24"/>
      <c r="BV114" s="283"/>
      <c r="BW114" s="283"/>
      <c r="BX114" s="283"/>
      <c r="BY114" s="283"/>
      <c r="BZ114" s="24"/>
      <c r="CA114" s="24"/>
      <c r="CB114" s="283"/>
      <c r="CC114" s="283"/>
      <c r="CD114" s="283"/>
      <c r="CE114" s="283"/>
      <c r="CF114" s="359"/>
      <c r="CG114" s="1068">
        <v>43132</v>
      </c>
      <c r="CH114" s="1123">
        <f>SUM('3 pr-2'!AK115)</f>
        <v>43679</v>
      </c>
      <c r="CI114" s="68">
        <f>SUM(J114+P114+V114+AB114+AH114)</f>
        <v>287307</v>
      </c>
      <c r="CJ114" s="1078"/>
      <c r="CK114" s="1169">
        <f>SUM(AI114/($CH$114-$CG$114))</f>
        <v>676.41681901279708</v>
      </c>
      <c r="CL114" s="1169">
        <f>SUM(AK114/($CH$114-$CG$114))</f>
        <v>104.82998171846435</v>
      </c>
      <c r="CM114" s="1169">
        <f>SUM(AM114/($CH$114-$CG$114))</f>
        <v>46.345521023765997</v>
      </c>
      <c r="CN114" s="1171">
        <f>SUM(AS114/($CH$114-$CG$114))</f>
        <v>525.2413162705667</v>
      </c>
      <c r="CO114" s="1078"/>
      <c r="CP114" s="1078"/>
      <c r="CQ114" s="1078"/>
      <c r="CR114" s="1078">
        <f>SUM(CJ114*CM114)</f>
        <v>0</v>
      </c>
    </row>
    <row r="115" spans="1:98" ht="48.75" thickBot="1" x14ac:dyDescent="0.3">
      <c r="A115" s="58" t="str">
        <f>CONCATENATE('3 pr-2'!A116)</f>
        <v>2.1.1.3.2</v>
      </c>
      <c r="B115" s="9" t="str">
        <f>CONCATENATE('3 pr-2'!D116)</f>
        <v>Alytaus r. ikimokyklinio ir priešmokyklinio ugdymo prieinamumo didinimas įkuriant ir atnaujinant edukacines erdves</v>
      </c>
      <c r="C115" s="85">
        <v>0</v>
      </c>
      <c r="D115" s="85">
        <v>0</v>
      </c>
      <c r="E115" s="85">
        <v>0</v>
      </c>
      <c r="F115" s="282">
        <v>0</v>
      </c>
      <c r="G115" s="282">
        <v>0</v>
      </c>
      <c r="H115" s="282">
        <v>0</v>
      </c>
      <c r="I115" s="282">
        <v>0</v>
      </c>
      <c r="J115" s="85">
        <v>0</v>
      </c>
      <c r="K115" s="85">
        <v>0</v>
      </c>
      <c r="L115" s="286">
        <v>0</v>
      </c>
      <c r="M115" s="286">
        <v>0</v>
      </c>
      <c r="N115" s="286">
        <v>0</v>
      </c>
      <c r="O115" s="286">
        <v>0</v>
      </c>
      <c r="P115" s="85">
        <v>0</v>
      </c>
      <c r="Q115" s="85">
        <f>SUM($Q$3-$CG$115)*CK115</f>
        <v>279036.66345021041</v>
      </c>
      <c r="R115" s="286">
        <f>SUM($Q$3-$CG$115)*CL115</f>
        <v>27957.932734922862</v>
      </c>
      <c r="S115" s="286">
        <f>SUM($Q$3-$CG$115)*CM115</f>
        <v>20357.368863955118</v>
      </c>
      <c r="T115" s="286">
        <f>IF(YEAR($CG$115)=2018,($BI$4-$CG$115)*AO$115/($CH$115-$CG$115))</f>
        <v>0</v>
      </c>
      <c r="U115" s="286">
        <f>IF(YEAR($CG$115)=2018,($BI$4-$CG$115)*AQ$115/($CH$115-$CG$115))</f>
        <v>0</v>
      </c>
      <c r="V115" s="361">
        <f>SUM($Q$3-$CG$115)*CN115</f>
        <v>230721.36185133242</v>
      </c>
      <c r="W115" s="85">
        <f>SUM($W$3-$Q$3)*CK115</f>
        <v>305850.99747545586</v>
      </c>
      <c r="X115" s="286">
        <f>SUM($W$3-$Q$3)*CL115</f>
        <v>30644.5809256662</v>
      </c>
      <c r="Y115" s="286">
        <f>SUM($W$3-$Q$3)*CM115</f>
        <v>22313.632538569425</v>
      </c>
      <c r="Z115" s="286">
        <f>IF(YEAR($CH$115)&gt;2018,($BO$4-$BI$4)*AO$115/($CH$115-$CG$115),0)</f>
        <v>0</v>
      </c>
      <c r="AA115" s="286">
        <f>IF(YEAR($CH$115)&gt;2018,($BO$4-$BI$4)*AQ$115/($CH$115-$CG$115),0)</f>
        <v>0</v>
      </c>
      <c r="AB115" s="361">
        <f>SUM($W$3-$Q$3)*CN115</f>
        <v>252892.78401122021</v>
      </c>
      <c r="AC115" s="361">
        <f>SUM($CH$115-$W$3)*CK115</f>
        <v>12569.219074333801</v>
      </c>
      <c r="AD115" s="286">
        <f>SUM($CH$115-$W$3)*CL115</f>
        <v>1259.3663394109396</v>
      </c>
      <c r="AE115" s="286">
        <f>SUM($CH$115-$W$3)*CM115</f>
        <v>916.99859747545577</v>
      </c>
      <c r="AF115" s="286">
        <f>IF(YEAR($CH$115)=2020,($CH$115-$BO$4)*AO$115/($CH$115-$CG$115),0)</f>
        <v>0</v>
      </c>
      <c r="AG115" s="286">
        <f>IF(YEAR($CH$115)=2020,($CH$115-$BO$4)*AQ$115/($CH$115-$CG$115),0)</f>
        <v>0</v>
      </c>
      <c r="AH115" s="361">
        <f>SUM($CH$115-$W$3)*CN115</f>
        <v>10392.854137447406</v>
      </c>
      <c r="AI115" s="767">
        <f>SUM('3 pr-2'!L116)</f>
        <v>597456.88</v>
      </c>
      <c r="AJ115" s="362"/>
      <c r="AK115" s="282">
        <f>SUM('3 pr-2'!O116)</f>
        <v>59861.88</v>
      </c>
      <c r="AL115" s="282"/>
      <c r="AM115" s="282">
        <f>SUM('3 pr-2'!R116)</f>
        <v>43588</v>
      </c>
      <c r="AN115" s="282"/>
      <c r="AO115" s="282">
        <f>SUM('3 pr-2'!U116)</f>
        <v>0</v>
      </c>
      <c r="AP115" s="282"/>
      <c r="AQ115" s="282">
        <f>SUM('3 pr-2'!X116)</f>
        <v>0</v>
      </c>
      <c r="AR115" s="543"/>
      <c r="AS115" s="363">
        <f>SUM('3 pr-2'!AA116)</f>
        <v>494007</v>
      </c>
      <c r="AT115" s="498"/>
      <c r="AU115" s="1066"/>
      <c r="AV115" s="24"/>
      <c r="AW115" s="24"/>
      <c r="AX115" s="283"/>
      <c r="AY115" s="283"/>
      <c r="AZ115" s="283"/>
      <c r="BA115" s="283"/>
      <c r="BB115" s="24"/>
      <c r="BC115" s="24"/>
      <c r="BD115" s="283"/>
      <c r="BE115" s="283"/>
      <c r="BF115" s="283"/>
      <c r="BG115" s="283"/>
      <c r="BH115" s="24"/>
      <c r="BI115" s="24"/>
      <c r="BJ115" s="283"/>
      <c r="BK115" s="283"/>
      <c r="BL115" s="283"/>
      <c r="BM115" s="283"/>
      <c r="BN115" s="24"/>
      <c r="BO115" s="24"/>
      <c r="BP115" s="283"/>
      <c r="BQ115" s="283"/>
      <c r="BR115" s="283"/>
      <c r="BS115" s="283"/>
      <c r="BT115" s="24"/>
      <c r="BU115" s="24"/>
      <c r="BV115" s="283"/>
      <c r="BW115" s="283"/>
      <c r="BX115" s="283"/>
      <c r="BY115" s="283"/>
      <c r="BZ115" s="24"/>
      <c r="CA115" s="24"/>
      <c r="CB115" s="283"/>
      <c r="CC115" s="283"/>
      <c r="CD115" s="283"/>
      <c r="CE115" s="283"/>
      <c r="CF115" s="359"/>
      <c r="CG115" s="1068">
        <v>43132</v>
      </c>
      <c r="CH115" s="1123">
        <f>SUM('3 pr-2'!AK116)</f>
        <v>43845</v>
      </c>
      <c r="CI115" s="68">
        <f>SUM(J115+P115+V115+AB115+AH115)</f>
        <v>494007.00000000006</v>
      </c>
      <c r="CJ115" s="1078"/>
      <c r="CK115" s="1169">
        <f>SUM(AI115/($CH$115-$CG$115))</f>
        <v>837.94793828892011</v>
      </c>
      <c r="CL115" s="1169">
        <f>SUM(AK115/($CH$115-$CG$115))</f>
        <v>83.957755960729315</v>
      </c>
      <c r="CM115" s="1169">
        <f>SUM(AM115/($CH$115-$CG$115))</f>
        <v>61.133239831697054</v>
      </c>
      <c r="CN115" s="1171">
        <f>SUM(AS115/($CH$115-$CG$115))</f>
        <v>692.85694249649373</v>
      </c>
      <c r="CO115" s="1078"/>
      <c r="CP115" s="1078"/>
      <c r="CQ115" s="1078"/>
      <c r="CR115" s="1078">
        <f>SUM(CJ115*CM115)</f>
        <v>0</v>
      </c>
    </row>
    <row r="116" spans="1:98" ht="24.75" thickBot="1" x14ac:dyDescent="0.3">
      <c r="A116" s="58" t="str">
        <f>CONCATENATE('3 pr-2'!A117)</f>
        <v>2.1.1.3.3</v>
      </c>
      <c r="B116" s="9" t="str">
        <f>CONCATENATE('3 pr-2'!D117)</f>
        <v>Alytaus lopšelio-darželio " Girinukas" ugdymo aplinkos modernizavimas</v>
      </c>
      <c r="C116" s="71">
        <v>0</v>
      </c>
      <c r="D116" s="71">
        <v>0</v>
      </c>
      <c r="E116" s="71">
        <v>0</v>
      </c>
      <c r="F116" s="282">
        <v>0</v>
      </c>
      <c r="G116" s="282">
        <v>0</v>
      </c>
      <c r="H116" s="282">
        <v>0</v>
      </c>
      <c r="I116" s="282">
        <v>0</v>
      </c>
      <c r="J116" s="71">
        <v>0</v>
      </c>
      <c r="K116" s="71">
        <v>0</v>
      </c>
      <c r="L116" s="286">
        <v>0</v>
      </c>
      <c r="M116" s="286">
        <v>0</v>
      </c>
      <c r="N116" s="286">
        <v>0</v>
      </c>
      <c r="O116" s="286">
        <v>0</v>
      </c>
      <c r="P116" s="71">
        <v>0</v>
      </c>
      <c r="Q116" s="85">
        <f>SUM($Q$3-$CG$116)*CK116</f>
        <v>99755.288888888885</v>
      </c>
      <c r="R116" s="286">
        <f>SUM($Q$3-$CG$116)*CL116</f>
        <v>7481.6740740740743</v>
      </c>
      <c r="S116" s="286">
        <f>SUM($Q$3-$CG$116)*CM116</f>
        <v>7481.6740740740743</v>
      </c>
      <c r="T116" s="286">
        <f>IF(YEAR($CG$116)=2018,($BI$4-$CG$116)*AO$116/($CH$116-$CG$116),0)</f>
        <v>0</v>
      </c>
      <c r="U116" s="286">
        <f>IF(YEAR($CG$116)=2018,($BI$4-$CG$116)*AQ$116/($CH$116-$CG$116),0)</f>
        <v>0</v>
      </c>
      <c r="V116" s="361">
        <f>SUM($Q$3-$CG$116)*CN116</f>
        <v>84791.940740740742</v>
      </c>
      <c r="W116" s="85">
        <f>SUM($CH$116-$Q$3)*CK116</f>
        <v>82230.711111111115</v>
      </c>
      <c r="X116" s="287">
        <f>SUM($CH$116-$Q$3)*CL116</f>
        <v>6167.3259259259257</v>
      </c>
      <c r="Y116" s="287">
        <f>SUM($CH$116-$Q$3)*CM116</f>
        <v>6167.3259259259257</v>
      </c>
      <c r="Z116" s="287">
        <f>IF(YEAR($CH$116)=2019,($CH$116-$BI$4)*AO$116/($CH$116-$CG$116),0)</f>
        <v>0</v>
      </c>
      <c r="AA116" s="287">
        <f>IF(YEAR($CH$116)=2019,($CH$116-$BI$4)*AQ$116/($CH$116-$CG$116),0)</f>
        <v>0</v>
      </c>
      <c r="AB116" s="304">
        <f>SUM($CH$116-$Q$3)*CN116</f>
        <v>69896.059259259258</v>
      </c>
      <c r="AC116" s="304">
        <v>0</v>
      </c>
      <c r="AD116" s="287">
        <v>0</v>
      </c>
      <c r="AE116" s="287">
        <v>0</v>
      </c>
      <c r="AF116" s="287">
        <v>0</v>
      </c>
      <c r="AG116" s="287">
        <v>0</v>
      </c>
      <c r="AH116" s="304">
        <v>0</v>
      </c>
      <c r="AI116" s="767">
        <f>SUM('3 pr-2'!L117)</f>
        <v>181986</v>
      </c>
      <c r="AJ116" s="362"/>
      <c r="AK116" s="282">
        <f>SUM('3 pr-2'!O117)</f>
        <v>13649</v>
      </c>
      <c r="AL116" s="282"/>
      <c r="AM116" s="282">
        <f>SUM('3 pr-2'!R117)</f>
        <v>13649</v>
      </c>
      <c r="AN116" s="282"/>
      <c r="AO116" s="282">
        <f>SUM('3 pr-2'!U117)</f>
        <v>0</v>
      </c>
      <c r="AP116" s="282"/>
      <c r="AQ116" s="282">
        <f>SUM('3 pr-2'!X117)</f>
        <v>0</v>
      </c>
      <c r="AR116" s="543"/>
      <c r="AS116" s="363">
        <f>SUM('3 pr-2'!AA117)</f>
        <v>154688</v>
      </c>
      <c r="AT116" s="498"/>
      <c r="AU116" s="1066"/>
      <c r="AV116" s="24"/>
      <c r="AW116" s="24"/>
      <c r="AX116" s="283"/>
      <c r="AY116" s="283"/>
      <c r="AZ116" s="283"/>
      <c r="BA116" s="283"/>
      <c r="BB116" s="24"/>
      <c r="BC116" s="24"/>
      <c r="BD116" s="283"/>
      <c r="BE116" s="283"/>
      <c r="BF116" s="283"/>
      <c r="BG116" s="283"/>
      <c r="BH116" s="24"/>
      <c r="BI116" s="24"/>
      <c r="BJ116" s="283"/>
      <c r="BK116" s="283"/>
      <c r="BL116" s="283"/>
      <c r="BM116" s="283"/>
      <c r="BN116" s="24"/>
      <c r="BO116" s="24"/>
      <c r="BP116" s="283"/>
      <c r="BQ116" s="283"/>
      <c r="BR116" s="283"/>
      <c r="BS116" s="283"/>
      <c r="BT116" s="24"/>
      <c r="BU116" s="24"/>
      <c r="BV116" s="283"/>
      <c r="BW116" s="283"/>
      <c r="BX116" s="283"/>
      <c r="BY116" s="283"/>
      <c r="BZ116" s="24"/>
      <c r="CA116" s="24"/>
      <c r="CB116" s="283"/>
      <c r="CC116" s="283"/>
      <c r="CD116" s="283"/>
      <c r="CE116" s="283"/>
      <c r="CF116" s="359"/>
      <c r="CG116" s="1068">
        <v>43132</v>
      </c>
      <c r="CH116" s="1123">
        <f>SUM('3 pr-2'!AK117)</f>
        <v>43739.5</v>
      </c>
      <c r="CI116" s="68">
        <f>SUM(J116+P116+V116+AB116+AH116)</f>
        <v>154688</v>
      </c>
      <c r="CJ116" s="1078"/>
      <c r="CK116" s="1169">
        <f>SUM(AI116/($CH$116-$CG$116))</f>
        <v>299.56543209876543</v>
      </c>
      <c r="CL116" s="1169">
        <f>SUM(AK116/($CH$116-$CG$116))</f>
        <v>22.467489711934157</v>
      </c>
      <c r="CM116" s="1169">
        <f>SUM(AM116/($CH$116-$CG$116))</f>
        <v>22.467489711934157</v>
      </c>
      <c r="CN116" s="1171">
        <f>SUM(AS116/($CH$116-$CG$116))</f>
        <v>254.63045267489713</v>
      </c>
      <c r="CO116" s="1078"/>
      <c r="CP116" s="1078"/>
      <c r="CQ116" s="1078"/>
      <c r="CR116" s="1078">
        <f>SUM(CJ116*CM116)</f>
        <v>0</v>
      </c>
    </row>
    <row r="117" spans="1:98" ht="48.75" thickBot="1" x14ac:dyDescent="0.3">
      <c r="A117" s="58" t="str">
        <f>CONCATENATE('3 pr-2'!A118)</f>
        <v>2.1.1.3.4</v>
      </c>
      <c r="B117" s="9" t="str">
        <f>CONCATENATE('3 pr-2'!D118)</f>
        <v>Druskininkų sav. Viečiūnų progimnazijos ikimokyklinio ugdymo skyriaus „Linelis“ ugdymo prieinamumo didinimas</v>
      </c>
      <c r="C117" s="85">
        <v>0</v>
      </c>
      <c r="D117" s="85">
        <v>0</v>
      </c>
      <c r="E117" s="85">
        <v>0</v>
      </c>
      <c r="F117" s="282">
        <v>0</v>
      </c>
      <c r="G117" s="282">
        <v>0</v>
      </c>
      <c r="H117" s="282">
        <v>0</v>
      </c>
      <c r="I117" s="282">
        <v>0</v>
      </c>
      <c r="J117" s="85">
        <v>0</v>
      </c>
      <c r="K117" s="85">
        <v>0</v>
      </c>
      <c r="L117" s="286">
        <v>0</v>
      </c>
      <c r="M117" s="286">
        <v>0</v>
      </c>
      <c r="N117" s="286">
        <v>0</v>
      </c>
      <c r="O117" s="286">
        <v>0</v>
      </c>
      <c r="P117" s="85">
        <v>0</v>
      </c>
      <c r="Q117" s="85">
        <f>SUM($Q$3-$CG$117)*CK117</f>
        <v>101941.24946086956</v>
      </c>
      <c r="R117" s="286">
        <f>SUM($Q$3-$CG$117)*CL117</f>
        <v>45804.399026086947</v>
      </c>
      <c r="S117" s="286">
        <f>SUM($Q$3-$CG$117)*CM117</f>
        <v>4551.3860869565215</v>
      </c>
      <c r="T117" s="286">
        <f>IF(YEAR($CG$117)=2018,($BI$4-$CG$117)*AO$117/($CH$117-$CG$117),0)</f>
        <v>0</v>
      </c>
      <c r="U117" s="286">
        <f>IF(YEAR($CG$117)=2018,($BI$4-$CG$117)*AQ$117/($CH$117-$CG$117),0)</f>
        <v>0</v>
      </c>
      <c r="V117" s="361">
        <f>SUM($Q$3-$CG$117)*CN117</f>
        <v>51585.464347826084</v>
      </c>
      <c r="W117" s="85">
        <f>SUM($CH$117-$Q$3)*CK117</f>
        <v>74083.430539130422</v>
      </c>
      <c r="X117" s="286">
        <f>SUM($CH$117-$Q$3)*CL117</f>
        <v>33287.280973913039</v>
      </c>
      <c r="Y117" s="286">
        <f>SUM($CH$117-$Q$3)*CM117</f>
        <v>3307.6139130434781</v>
      </c>
      <c r="Z117" s="286">
        <f>IF(YEAR($CH$117)=2019,($CH$117-$BI$4)*AO$117/($CH$117-$CG$117),0)</f>
        <v>0</v>
      </c>
      <c r="AA117" s="286">
        <f>IF(YEAR($CH$117)=2019,($CH$117-$BI$4)*AQ$117/($CH$117-$CG$117),0)</f>
        <v>0</v>
      </c>
      <c r="AB117" s="361">
        <f>SUM($CH$117-$Q$3)*CN117</f>
        <v>37488.535652173909</v>
      </c>
      <c r="AC117" s="361">
        <v>0</v>
      </c>
      <c r="AD117" s="286">
        <v>0</v>
      </c>
      <c r="AE117" s="286">
        <v>0</v>
      </c>
      <c r="AF117" s="286">
        <v>0</v>
      </c>
      <c r="AG117" s="286">
        <v>0</v>
      </c>
      <c r="AH117" s="361">
        <v>0</v>
      </c>
      <c r="AI117" s="768">
        <f>SUM('3 pr-2'!L118)</f>
        <v>176024.68</v>
      </c>
      <c r="AJ117" s="84"/>
      <c r="AK117" s="282">
        <f>SUM('3 pr-2'!O118)</f>
        <v>79091.679999999993</v>
      </c>
      <c r="AL117" s="282"/>
      <c r="AM117" s="282">
        <f>SUM('3 pr-2'!R118)</f>
        <v>7859</v>
      </c>
      <c r="AN117" s="282"/>
      <c r="AO117" s="282">
        <f>SUM('3 pr-2'!U118)</f>
        <v>0</v>
      </c>
      <c r="AP117" s="282"/>
      <c r="AQ117" s="282">
        <f>SUM('3 pr-2'!X118)</f>
        <v>0</v>
      </c>
      <c r="AR117" s="543"/>
      <c r="AS117" s="109">
        <f>SUM('3 pr-2'!AA118)</f>
        <v>89074</v>
      </c>
      <c r="AT117" s="499"/>
      <c r="AU117" s="1066"/>
      <c r="AV117" s="24"/>
      <c r="AW117" s="24"/>
      <c r="AX117" s="283"/>
      <c r="AY117" s="283"/>
      <c r="AZ117" s="283"/>
      <c r="BA117" s="283"/>
      <c r="BB117" s="24"/>
      <c r="BC117" s="24"/>
      <c r="BD117" s="283"/>
      <c r="BE117" s="283"/>
      <c r="BF117" s="283"/>
      <c r="BG117" s="283"/>
      <c r="BH117" s="24"/>
      <c r="BI117" s="24"/>
      <c r="BJ117" s="283"/>
      <c r="BK117" s="283"/>
      <c r="BL117" s="283"/>
      <c r="BM117" s="283"/>
      <c r="BN117" s="24"/>
      <c r="BO117" s="24"/>
      <c r="BP117" s="283"/>
      <c r="BQ117" s="283"/>
      <c r="BR117" s="283"/>
      <c r="BS117" s="283"/>
      <c r="BT117" s="24"/>
      <c r="BU117" s="24"/>
      <c r="BV117" s="283"/>
      <c r="BW117" s="283"/>
      <c r="BX117" s="283"/>
      <c r="BY117" s="283"/>
      <c r="BZ117" s="24"/>
      <c r="CA117" s="24"/>
      <c r="CB117" s="283"/>
      <c r="CC117" s="283"/>
      <c r="CD117" s="283"/>
      <c r="CE117" s="283"/>
      <c r="CF117" s="359"/>
      <c r="CG117" s="1068">
        <v>43132</v>
      </c>
      <c r="CH117" s="1123">
        <f>SUM('3 pr-2'!AK118)</f>
        <v>43707</v>
      </c>
      <c r="CI117" s="68">
        <f>SUM(J117+P117+V117+AB117+AH117)</f>
        <v>89074</v>
      </c>
      <c r="CJ117" s="1078"/>
      <c r="CK117" s="1169">
        <f>SUM(AI117/($CH$117-$CG$117))</f>
        <v>306.12987826086953</v>
      </c>
      <c r="CL117" s="1169">
        <f>SUM(AK117/($CH$117-$CG$117))</f>
        <v>137.55074782608693</v>
      </c>
      <c r="CM117" s="1169">
        <f>SUM(AM117/($CH$117-$CG$117))</f>
        <v>13.667826086956522</v>
      </c>
      <c r="CN117" s="1171">
        <f>SUM(AS117/($CH$117-$CG$117))</f>
        <v>154.91130434782607</v>
      </c>
      <c r="CO117" s="1078"/>
      <c r="CP117" s="1078"/>
      <c r="CQ117" s="1078"/>
      <c r="CR117" s="1078">
        <f>SUM(CJ117*CM117)</f>
        <v>0</v>
      </c>
    </row>
    <row r="118" spans="1:98" ht="36.75" thickBot="1" x14ac:dyDescent="0.3">
      <c r="A118" s="58" t="str">
        <f>CONCATENATE('3 pr-2'!A119)</f>
        <v>2.1.1.3.5</v>
      </c>
      <c r="B118" s="9" t="str">
        <f>CONCATENATE('3 pr-2'!D119)</f>
        <v>Ikimokyklinio ir priešmokyklinio ugdymo įstaigų Lazdijų rajono savivaldybėje modernizavimas</v>
      </c>
      <c r="C118" s="85">
        <v>0</v>
      </c>
      <c r="D118" s="85">
        <v>0</v>
      </c>
      <c r="E118" s="85">
        <v>0</v>
      </c>
      <c r="F118" s="282">
        <v>0</v>
      </c>
      <c r="G118" s="282">
        <v>0</v>
      </c>
      <c r="H118" s="282">
        <v>0</v>
      </c>
      <c r="I118" s="282">
        <v>0</v>
      </c>
      <c r="J118" s="85">
        <v>0</v>
      </c>
      <c r="K118" s="85">
        <v>0</v>
      </c>
      <c r="L118" s="286">
        <v>0</v>
      </c>
      <c r="M118" s="286">
        <v>0</v>
      </c>
      <c r="N118" s="286">
        <v>0</v>
      </c>
      <c r="O118" s="286">
        <v>0</v>
      </c>
      <c r="P118" s="85">
        <v>0</v>
      </c>
      <c r="Q118" s="85">
        <f>SUM($Q$3-CG118)*CK118</f>
        <v>73267.79560131795</v>
      </c>
      <c r="R118" s="286">
        <f>IF(YEAR($CG$118)=2018,($BI$4-$CG$118)*AK$118/($CH$118-$CG$118),0)</f>
        <v>5500.3755024711691</v>
      </c>
      <c r="S118" s="286">
        <f>IF(YEAR($CG$118)=2018,($BI$4-$CG$118)*AM$118/($CH$118-$CG$118),0)</f>
        <v>5494.7742998352551</v>
      </c>
      <c r="T118" s="286">
        <f>IF(YEAR($CG$118)=2018,($BI$4-$CG$118)*AO$118/($CH$118-$CG$118),0)</f>
        <v>0</v>
      </c>
      <c r="U118" s="286">
        <f>IF(YEAR($CG$118)=2018,($BI$4-$CG$118)*AQ$118/($CH$118-$CG$118),0)</f>
        <v>0</v>
      </c>
      <c r="V118" s="361">
        <f>IF(YEAR($CG$118)=2018,($BI$4-$CG$118)*AS$118/($CH$118-$CG$118),0)</f>
        <v>62272.64579901153</v>
      </c>
      <c r="W118" s="85">
        <f>SUM($CH$118-$Q$3)*CK118</f>
        <v>60286.414398682042</v>
      </c>
      <c r="X118" s="286">
        <f>SUM($CH$118-$Q$3)*CL118</f>
        <v>4525.8344975288301</v>
      </c>
      <c r="Y118" s="286">
        <f>SUM($CH$118-$Q$3)*CM118</f>
        <v>4521.225700164744</v>
      </c>
      <c r="Z118" s="286">
        <f>IF(YEAR($CH$118)=2019,($CH$118-$BI$4)*AO$118/($CH$118-$CG$118),0)</f>
        <v>0</v>
      </c>
      <c r="AA118" s="286">
        <f>IF(YEAR($CH$118)=2019,($CH$118-$BI$4)*AQ$118/($CH$118-$CG$118),0)</f>
        <v>0</v>
      </c>
      <c r="AB118" s="361">
        <f>SUM($CH$118-$Q$3)*CN118</f>
        <v>51239.35420098847</v>
      </c>
      <c r="AC118" s="361">
        <v>0</v>
      </c>
      <c r="AD118" s="286">
        <v>0</v>
      </c>
      <c r="AE118" s="286">
        <v>0</v>
      </c>
      <c r="AF118" s="286">
        <v>0</v>
      </c>
      <c r="AG118" s="286">
        <v>0</v>
      </c>
      <c r="AH118" s="361">
        <v>0</v>
      </c>
      <c r="AI118" s="768">
        <f>SUM('3 pr-2'!L119)</f>
        <v>133554.21</v>
      </c>
      <c r="AJ118" s="84"/>
      <c r="AK118" s="282">
        <f>SUM('3 pr-2'!O119)</f>
        <v>10026.209999999999</v>
      </c>
      <c r="AL118" s="282"/>
      <c r="AM118" s="282">
        <f>SUM('3 pr-2'!R119)</f>
        <v>10016</v>
      </c>
      <c r="AN118" s="282"/>
      <c r="AO118" s="282">
        <f>SUM('3 pr-2'!U119)</f>
        <v>0</v>
      </c>
      <c r="AP118" s="282"/>
      <c r="AQ118" s="282">
        <f>SUM('3 pr-2'!X119)</f>
        <v>0</v>
      </c>
      <c r="AR118" s="543"/>
      <c r="AS118" s="109">
        <f>SUM('3 pr-2'!AA119)</f>
        <v>113512</v>
      </c>
      <c r="AT118" s="499"/>
      <c r="AU118" s="1066"/>
      <c r="AV118" s="24"/>
      <c r="AW118" s="24"/>
      <c r="AX118" s="283"/>
      <c r="AY118" s="283"/>
      <c r="AZ118" s="283"/>
      <c r="BA118" s="283"/>
      <c r="BB118" s="24"/>
      <c r="BC118" s="24"/>
      <c r="BD118" s="283"/>
      <c r="BE118" s="283"/>
      <c r="BF118" s="283"/>
      <c r="BG118" s="283"/>
      <c r="BH118" s="24"/>
      <c r="BI118" s="24"/>
      <c r="BJ118" s="283"/>
      <c r="BK118" s="283"/>
      <c r="BL118" s="283"/>
      <c r="BM118" s="283"/>
      <c r="BN118" s="24"/>
      <c r="BO118" s="24"/>
      <c r="BP118" s="283"/>
      <c r="BQ118" s="283"/>
      <c r="BR118" s="283"/>
      <c r="BS118" s="283"/>
      <c r="BT118" s="24"/>
      <c r="BU118" s="24"/>
      <c r="BV118" s="283"/>
      <c r="BW118" s="283"/>
      <c r="BX118" s="283"/>
      <c r="BY118" s="283"/>
      <c r="BZ118" s="24"/>
      <c r="CA118" s="24"/>
      <c r="CB118" s="283"/>
      <c r="CC118" s="283"/>
      <c r="CD118" s="283"/>
      <c r="CE118" s="283"/>
      <c r="CF118" s="359"/>
      <c r="CG118" s="1068">
        <v>43132</v>
      </c>
      <c r="CH118" s="1123">
        <f>SUM('3 pr-2'!AK119)</f>
        <v>43739</v>
      </c>
      <c r="CI118" s="68">
        <f>SUM(J118+P118+V118+AB118+AH118)</f>
        <v>113512</v>
      </c>
      <c r="CJ118" s="1078"/>
      <c r="CK118" s="1169">
        <f>SUM(AI118/($CH$118-$CG$118))</f>
        <v>220.02341021416802</v>
      </c>
      <c r="CL118" s="1169">
        <f>SUM(AK118/($CH$118-$CG$118))</f>
        <v>16.517644151565072</v>
      </c>
      <c r="CM118" s="1169">
        <f>SUM(AM118/($CH$118-$CG$118))</f>
        <v>16.500823723228994</v>
      </c>
      <c r="CN118" s="1171">
        <f>SUM(AS118/($CH$118-$CG$118))</f>
        <v>187.00494233937397</v>
      </c>
      <c r="CO118" s="1078"/>
      <c r="CP118" s="1078"/>
      <c r="CQ118" s="1078"/>
      <c r="CR118" s="1078">
        <f>SUM(CJ118*CM118)</f>
        <v>0</v>
      </c>
    </row>
    <row r="119" spans="1:98" ht="78" thickBot="1" x14ac:dyDescent="0.3">
      <c r="A119" s="279" t="str">
        <f>CONCATENATE('3 pr-2'!A120)</f>
        <v>2.1.2.</v>
      </c>
      <c r="B119" s="117" t="str">
        <f>CONCATENATE('3 pr-2'!B120)</f>
        <v>Uždavinys:
Sveikatos netolygumų sumažinimas, gerinant sveikatos priežiūros kokybę ir prieinamumą tikslinėms gyventojų grupėms ir sveiko senėjimo skatinimas</v>
      </c>
      <c r="C119" s="110">
        <f t="shared" ref="C119:AQ119" si="266">SUM(C120+C134+C140)</f>
        <v>0</v>
      </c>
      <c r="D119" s="110">
        <f t="shared" si="266"/>
        <v>0</v>
      </c>
      <c r="E119" s="110">
        <f t="shared" si="266"/>
        <v>0</v>
      </c>
      <c r="F119" s="110">
        <f t="shared" si="266"/>
        <v>0</v>
      </c>
      <c r="G119" s="110">
        <f t="shared" si="266"/>
        <v>0</v>
      </c>
      <c r="H119" s="110">
        <f t="shared" si="266"/>
        <v>0</v>
      </c>
      <c r="I119" s="110">
        <f t="shared" si="266"/>
        <v>0</v>
      </c>
      <c r="J119" s="110">
        <f t="shared" si="266"/>
        <v>0</v>
      </c>
      <c r="K119" s="110">
        <f t="shared" si="266"/>
        <v>0</v>
      </c>
      <c r="L119" s="110">
        <f t="shared" si="266"/>
        <v>0</v>
      </c>
      <c r="M119" s="110">
        <f t="shared" si="266"/>
        <v>0</v>
      </c>
      <c r="N119" s="110">
        <f t="shared" si="266"/>
        <v>0</v>
      </c>
      <c r="O119" s="110">
        <f t="shared" si="266"/>
        <v>0</v>
      </c>
      <c r="P119" s="110">
        <f t="shared" si="266"/>
        <v>0</v>
      </c>
      <c r="Q119" s="110">
        <f t="shared" si="266"/>
        <v>114035.88865635017</v>
      </c>
      <c r="R119" s="110">
        <f t="shared" si="266"/>
        <v>413.38130008886935</v>
      </c>
      <c r="S119" s="110">
        <f t="shared" si="266"/>
        <v>604.76144752214248</v>
      </c>
      <c r="T119" s="110">
        <f t="shared" si="266"/>
        <v>0</v>
      </c>
      <c r="U119" s="110">
        <f t="shared" si="266"/>
        <v>126.91117700729927</v>
      </c>
      <c r="V119" s="110">
        <f t="shared" si="266"/>
        <v>96865.049029551548</v>
      </c>
      <c r="W119" s="110">
        <f t="shared" si="266"/>
        <v>1052134.029746443</v>
      </c>
      <c r="X119" s="110">
        <f t="shared" si="266"/>
        <v>1410.1324722657691</v>
      </c>
      <c r="Y119" s="110">
        <f t="shared" si="266"/>
        <v>2062.9712929493644</v>
      </c>
      <c r="Z119" s="110">
        <f t="shared" si="266"/>
        <v>0</v>
      </c>
      <c r="AA119" s="110">
        <f t="shared" si="266"/>
        <v>432.92130474452551</v>
      </c>
      <c r="AB119" s="110">
        <f t="shared" si="266"/>
        <v>894088.88162291923</v>
      </c>
      <c r="AC119" s="110">
        <f t="shared" si="266"/>
        <v>1342093.8015972066</v>
      </c>
      <c r="AD119" s="110">
        <f t="shared" si="266"/>
        <v>1772.5762276453613</v>
      </c>
      <c r="AE119" s="110">
        <f t="shared" si="266"/>
        <v>2888.7072595284935</v>
      </c>
      <c r="AF119" s="110">
        <f t="shared" si="266"/>
        <v>0</v>
      </c>
      <c r="AG119" s="110">
        <f t="shared" si="266"/>
        <v>740.1175182481752</v>
      </c>
      <c r="AH119" s="110">
        <f t="shared" si="266"/>
        <v>1140397.6193475293</v>
      </c>
      <c r="AI119" s="770">
        <f t="shared" si="266"/>
        <v>2508263.7200000002</v>
      </c>
      <c r="AJ119" s="110">
        <f t="shared" si="266"/>
        <v>0</v>
      </c>
      <c r="AK119" s="110">
        <f t="shared" si="266"/>
        <v>72044.09</v>
      </c>
      <c r="AL119" s="110">
        <f t="shared" si="266"/>
        <v>0</v>
      </c>
      <c r="AM119" s="110">
        <f t="shared" si="266"/>
        <v>114162.44</v>
      </c>
      <c r="AN119" s="110">
        <f t="shared" si="266"/>
        <v>0</v>
      </c>
      <c r="AO119" s="110">
        <f t="shared" si="266"/>
        <v>40158</v>
      </c>
      <c r="AP119" s="110">
        <f t="shared" si="266"/>
        <v>0</v>
      </c>
      <c r="AQ119" s="110">
        <f t="shared" si="266"/>
        <v>1299.95</v>
      </c>
      <c r="AR119" s="110"/>
      <c r="AS119" s="110">
        <f>SUM(AS120+AS134+AS140)</f>
        <v>2131351.5500000003</v>
      </c>
      <c r="AT119" s="110">
        <f>SUM(AT120+AT134+AT140)</f>
        <v>0</v>
      </c>
      <c r="AX119" s="110"/>
      <c r="AY119" s="110"/>
      <c r="AZ119" s="110"/>
      <c r="BA119" s="110"/>
      <c r="BD119" s="110"/>
      <c r="BE119" s="110"/>
      <c r="BF119" s="110"/>
      <c r="BG119" s="110"/>
      <c r="BJ119" s="110"/>
      <c r="BK119" s="110"/>
      <c r="BL119" s="110"/>
      <c r="BM119" s="110"/>
      <c r="BP119" s="110"/>
      <c r="BQ119" s="110"/>
      <c r="BR119" s="110"/>
      <c r="BS119" s="110"/>
      <c r="BV119" s="110"/>
      <c r="BW119" s="110"/>
      <c r="BX119" s="110"/>
      <c r="BY119" s="110"/>
      <c r="CB119" s="110"/>
      <c r="CC119" s="110"/>
      <c r="CD119" s="110"/>
      <c r="CE119" s="110"/>
      <c r="CG119" s="23"/>
      <c r="CH119" s="23"/>
    </row>
    <row r="120" spans="1:98" ht="65.25" thickBot="1" x14ac:dyDescent="0.3">
      <c r="A120" s="278" t="str">
        <f>CONCATENATE('3 pr-2'!A121)</f>
        <v>2.1.2.1</v>
      </c>
      <c r="B120" s="118" t="str">
        <f>CONCATENATE('3 pr-2'!B121)</f>
        <v>Priemonė:
Pirminės asmens ir visuomenės sveikatos priežiūros veiklos efektyvumo didinimas gerinant jų infrastruktūrą</v>
      </c>
      <c r="C120" s="1089">
        <f t="shared" ref="C120:P120" si="267">SUM(C121:C133)</f>
        <v>0</v>
      </c>
      <c r="D120" s="1089">
        <f t="shared" si="267"/>
        <v>0</v>
      </c>
      <c r="E120" s="1089">
        <f t="shared" si="267"/>
        <v>0</v>
      </c>
      <c r="F120" s="1089">
        <f t="shared" si="267"/>
        <v>0</v>
      </c>
      <c r="G120" s="1089">
        <f t="shared" si="267"/>
        <v>0</v>
      </c>
      <c r="H120" s="1089">
        <f t="shared" si="267"/>
        <v>0</v>
      </c>
      <c r="I120" s="1089">
        <f t="shared" si="267"/>
        <v>0</v>
      </c>
      <c r="J120" s="1089">
        <f t="shared" si="267"/>
        <v>0</v>
      </c>
      <c r="K120" s="1089">
        <f t="shared" si="267"/>
        <v>0</v>
      </c>
      <c r="L120" s="1089">
        <f t="shared" si="267"/>
        <v>0</v>
      </c>
      <c r="M120" s="1089">
        <f t="shared" si="267"/>
        <v>0</v>
      </c>
      <c r="N120" s="1089">
        <f t="shared" si="267"/>
        <v>0</v>
      </c>
      <c r="O120" s="1089">
        <f t="shared" si="267"/>
        <v>0</v>
      </c>
      <c r="P120" s="1089">
        <f t="shared" si="267"/>
        <v>0</v>
      </c>
      <c r="Q120" s="1089">
        <f t="shared" ref="Q120:U120" si="268">SUM(Q121:Q133)</f>
        <v>0</v>
      </c>
      <c r="R120" s="1089">
        <f t="shared" si="268"/>
        <v>0</v>
      </c>
      <c r="S120" s="1089">
        <f t="shared" si="268"/>
        <v>0</v>
      </c>
      <c r="T120" s="1089">
        <f t="shared" si="268"/>
        <v>0</v>
      </c>
      <c r="U120" s="1089">
        <f t="shared" si="268"/>
        <v>0</v>
      </c>
      <c r="V120" s="1089">
        <f>SUM(V121:V133)</f>
        <v>0</v>
      </c>
      <c r="W120" s="1127">
        <f>SUM(W121:W133)</f>
        <v>663133.10115235136</v>
      </c>
      <c r="X120" s="1128"/>
      <c r="Y120" s="1128"/>
      <c r="Z120" s="1128"/>
      <c r="AA120" s="1128"/>
      <c r="AB120" s="1127">
        <f>SUM(AB121:AB133)</f>
        <v>563661.37792398175</v>
      </c>
      <c r="AC120" s="1127">
        <f>SUM(AC121:AC133)</f>
        <v>784932.89884764852</v>
      </c>
      <c r="AD120" s="1128"/>
      <c r="AE120" s="1128"/>
      <c r="AF120" s="1128"/>
      <c r="AG120" s="1128"/>
      <c r="AH120" s="1127">
        <f>SUM(AH121:AH133)</f>
        <v>667192.62207601825</v>
      </c>
      <c r="AI120" s="1091">
        <f>SUM(AI121:AI133)</f>
        <v>1448066</v>
      </c>
      <c r="AJ120" s="1089"/>
      <c r="AK120" s="1091">
        <f>SUM(AK121:AK133)</f>
        <v>68448</v>
      </c>
      <c r="AL120" s="1089"/>
      <c r="AM120" s="1091">
        <f>SUM(AM121:AM133)</f>
        <v>108606</v>
      </c>
      <c r="AN120" s="1089"/>
      <c r="AO120" s="1091">
        <f>SUM(AO121:AO133)</f>
        <v>40158</v>
      </c>
      <c r="AP120" s="1089"/>
      <c r="AQ120" s="1091">
        <f>SUM(AQ121:AQ132)</f>
        <v>0</v>
      </c>
      <c r="AR120" s="1089"/>
      <c r="AS120" s="1091">
        <f>SUM(AS121:AS133)</f>
        <v>1230854</v>
      </c>
      <c r="AT120" s="1089"/>
      <c r="AU120" s="1066">
        <v>0</v>
      </c>
      <c r="AV120" s="24">
        <v>0</v>
      </c>
      <c r="AW120" s="24">
        <v>0</v>
      </c>
      <c r="AX120" s="1079">
        <v>0</v>
      </c>
      <c r="AY120" s="1079">
        <v>0</v>
      </c>
      <c r="AZ120" s="1079">
        <v>0</v>
      </c>
      <c r="BA120" s="1079">
        <v>0</v>
      </c>
      <c r="BB120" s="24">
        <v>0</v>
      </c>
      <c r="BC120" s="24">
        <v>49.999999415680001</v>
      </c>
      <c r="BD120" s="1079">
        <v>49.999999415680001</v>
      </c>
      <c r="BE120" s="1079">
        <v>49.999999415680001</v>
      </c>
      <c r="BF120" s="1079">
        <v>49.999999415680001</v>
      </c>
      <c r="BG120" s="1079">
        <v>49.999999415680001</v>
      </c>
      <c r="BH120" s="24">
        <v>50</v>
      </c>
      <c r="BI120" s="24">
        <v>49.999999415680001</v>
      </c>
      <c r="BJ120" s="1079">
        <v>49.999999415680001</v>
      </c>
      <c r="BK120" s="1079">
        <v>49.999999415680001</v>
      </c>
      <c r="BL120" s="1079">
        <v>49.999999415680001</v>
      </c>
      <c r="BM120" s="1079">
        <v>49.999999415680001</v>
      </c>
      <c r="BN120" s="24">
        <v>50</v>
      </c>
      <c r="BO120" s="24">
        <v>0</v>
      </c>
      <c r="BP120" s="1079">
        <v>0</v>
      </c>
      <c r="BQ120" s="1079">
        <v>0</v>
      </c>
      <c r="BR120" s="1079">
        <v>0</v>
      </c>
      <c r="BS120" s="1079">
        <v>0</v>
      </c>
      <c r="BT120" s="24">
        <v>0</v>
      </c>
      <c r="BU120" s="24">
        <v>0</v>
      </c>
      <c r="BV120" s="1079">
        <v>0</v>
      </c>
      <c r="BW120" s="1079">
        <v>0</v>
      </c>
      <c r="BX120" s="1079">
        <v>0</v>
      </c>
      <c r="BY120" s="1079">
        <v>0</v>
      </c>
      <c r="BZ120" s="24">
        <v>0</v>
      </c>
      <c r="CA120" s="24">
        <v>100</v>
      </c>
      <c r="CB120" s="1079">
        <v>100</v>
      </c>
      <c r="CC120" s="1079">
        <v>100</v>
      </c>
      <c r="CD120" s="1079">
        <v>100</v>
      </c>
      <c r="CE120" s="1079">
        <v>100</v>
      </c>
      <c r="CF120" s="359">
        <v>100</v>
      </c>
      <c r="CG120" s="23"/>
      <c r="CH120" s="1129"/>
      <c r="CI120" s="1130"/>
      <c r="CJ120" s="1131">
        <v>2019</v>
      </c>
      <c r="CK120" s="1131">
        <v>2020</v>
      </c>
      <c r="CL120" s="1131">
        <v>2021</v>
      </c>
      <c r="CM120" s="1132" t="s">
        <v>1460</v>
      </c>
      <c r="CN120" s="1132"/>
      <c r="CO120" s="1132"/>
      <c r="CP120" s="1132"/>
      <c r="CQ120" s="1132"/>
      <c r="CR120" s="1132" t="s">
        <v>1418</v>
      </c>
      <c r="CS120" s="1133" t="s">
        <v>1417</v>
      </c>
      <c r="CT120" s="1133" t="s">
        <v>1461</v>
      </c>
    </row>
    <row r="121" spans="1:98" ht="48.75" thickBot="1" x14ac:dyDescent="0.3">
      <c r="A121" s="58" t="str">
        <f>CONCATENATE('3 pr-2'!A122)</f>
        <v>2.1.2.1.1</v>
      </c>
      <c r="B121" s="9" t="str">
        <f>CONCATENATE('3 pr-2'!D122)</f>
        <v xml:space="preserve">Alytaus poliklinikos teikiamų pirminės sveikatos priežiūros paslaugų prieinamumo didinimas ir kokybės gerinimas </v>
      </c>
      <c r="C121" s="85">
        <v>0</v>
      </c>
      <c r="D121" s="85">
        <v>0</v>
      </c>
      <c r="E121" s="85">
        <v>0</v>
      </c>
      <c r="F121" s="282">
        <v>0</v>
      </c>
      <c r="G121" s="282">
        <v>0</v>
      </c>
      <c r="H121" s="282">
        <v>0</v>
      </c>
      <c r="I121" s="282">
        <v>0</v>
      </c>
      <c r="J121" s="85">
        <v>0</v>
      </c>
      <c r="K121" s="85">
        <v>0</v>
      </c>
      <c r="L121" s="286">
        <v>0</v>
      </c>
      <c r="M121" s="286">
        <v>0</v>
      </c>
      <c r="N121" s="286">
        <v>0</v>
      </c>
      <c r="O121" s="286">
        <v>0</v>
      </c>
      <c r="P121" s="85">
        <v>0</v>
      </c>
      <c r="Q121" s="85">
        <v>0</v>
      </c>
      <c r="R121" s="286">
        <v>0</v>
      </c>
      <c r="S121" s="286">
        <v>0</v>
      </c>
      <c r="T121" s="286">
        <v>0</v>
      </c>
      <c r="U121" s="286">
        <f t="shared" ref="U121" si="269">SUM(AQ121*BM121/CE121)</f>
        <v>0</v>
      </c>
      <c r="V121" s="85">
        <v>0</v>
      </c>
      <c r="W121" s="85">
        <f t="shared" ref="W121:W132" si="270">SUM(X121:AB121)</f>
        <v>185708.72425249169</v>
      </c>
      <c r="X121" s="282">
        <f t="shared" ref="X121:X132" si="271">SUM(CS121*CJ121)</f>
        <v>13928.265780730897</v>
      </c>
      <c r="Y121" s="282">
        <f t="shared" ref="Y121:Y132" si="272">SUM(CR121*CJ121)</f>
        <v>13927.86046511628</v>
      </c>
      <c r="Z121" s="282">
        <v>0</v>
      </c>
      <c r="AA121" s="282">
        <v>0</v>
      </c>
      <c r="AB121" s="85">
        <f t="shared" ref="AB121:AB132" si="273">SUM(CM121*CJ121)</f>
        <v>157852.59800664452</v>
      </c>
      <c r="AC121" s="85">
        <f t="shared" ref="AC121:AC132" si="274">SUM(AD121:AH121)</f>
        <v>272474.27574750828</v>
      </c>
      <c r="AD121" s="282">
        <f t="shared" ref="AD121:AD132" si="275">SUM(CS121*CK121)</f>
        <v>20435.734219269103</v>
      </c>
      <c r="AE121" s="282">
        <f t="shared" ref="AE121:AE132" si="276">SUM(CR121*CK121)</f>
        <v>20435.139534883721</v>
      </c>
      <c r="AF121" s="282">
        <f t="shared" ref="AF121" si="277">SUM(AO121*BX121/CD121)</f>
        <v>0</v>
      </c>
      <c r="AG121" s="282">
        <v>0</v>
      </c>
      <c r="AH121" s="85">
        <f t="shared" ref="AH121:AH132" si="278">SUM(CM121*CK121)</f>
        <v>231603.40199335548</v>
      </c>
      <c r="AI121" s="767">
        <f>SUM('3 pr-2'!L122)</f>
        <v>458183</v>
      </c>
      <c r="AJ121" s="362"/>
      <c r="AK121" s="282">
        <f>SUM('3 pr-2'!O122)</f>
        <v>34364</v>
      </c>
      <c r="AL121" s="282"/>
      <c r="AM121" s="282">
        <f>SUM('3 pr-2'!R122)</f>
        <v>34363</v>
      </c>
      <c r="AN121" s="282"/>
      <c r="AO121" s="282">
        <f>SUM('3 pr-2'!U122)</f>
        <v>0</v>
      </c>
      <c r="AP121" s="282"/>
      <c r="AQ121" s="282">
        <f>SUM('3 pr-2'!X122)</f>
        <v>0</v>
      </c>
      <c r="AR121" s="543"/>
      <c r="AS121" s="363">
        <f>SUM('3 pr-2'!AA122)</f>
        <v>389456</v>
      </c>
      <c r="AT121" s="499"/>
      <c r="AU121" s="1066">
        <v>0</v>
      </c>
      <c r="AV121" s="24">
        <v>0</v>
      </c>
      <c r="AW121" s="24">
        <v>0</v>
      </c>
      <c r="AX121" s="283">
        <v>0</v>
      </c>
      <c r="AY121" s="283">
        <v>0</v>
      </c>
      <c r="AZ121" s="283">
        <v>0</v>
      </c>
      <c r="BA121" s="283">
        <v>0</v>
      </c>
      <c r="BB121" s="24">
        <v>0</v>
      </c>
      <c r="BC121" s="24">
        <v>0</v>
      </c>
      <c r="BD121" s="283">
        <v>0</v>
      </c>
      <c r="BE121" s="283">
        <v>0</v>
      </c>
      <c r="BF121" s="283">
        <v>0</v>
      </c>
      <c r="BG121" s="283">
        <v>0</v>
      </c>
      <c r="BH121" s="24">
        <v>0</v>
      </c>
      <c r="BI121" s="24">
        <v>49.999999415680001</v>
      </c>
      <c r="BJ121" s="283">
        <v>49.999999415680001</v>
      </c>
      <c r="BK121" s="283">
        <v>49.999999415680001</v>
      </c>
      <c r="BL121" s="283">
        <v>49.999999415680001</v>
      </c>
      <c r="BM121" s="283">
        <v>49.999999415680001</v>
      </c>
      <c r="BN121" s="24">
        <v>50</v>
      </c>
      <c r="BO121" s="24">
        <v>49.999999415680001</v>
      </c>
      <c r="BP121" s="283">
        <v>49.999999415680001</v>
      </c>
      <c r="BQ121" s="283">
        <v>49.999999415680001</v>
      </c>
      <c r="BR121" s="283">
        <v>49.999999415680001</v>
      </c>
      <c r="BS121" s="283">
        <v>49.999999415680001</v>
      </c>
      <c r="BT121" s="24">
        <v>50</v>
      </c>
      <c r="BU121" s="24">
        <v>0</v>
      </c>
      <c r="BV121" s="283">
        <v>0</v>
      </c>
      <c r="BW121" s="283">
        <v>0</v>
      </c>
      <c r="BX121" s="283">
        <v>0</v>
      </c>
      <c r="BY121" s="283">
        <v>0</v>
      </c>
      <c r="BZ121" s="24">
        <v>0</v>
      </c>
      <c r="CA121" s="24">
        <v>100</v>
      </c>
      <c r="CB121" s="283">
        <v>100</v>
      </c>
      <c r="CC121" s="283">
        <v>100</v>
      </c>
      <c r="CD121" s="283">
        <v>100</v>
      </c>
      <c r="CE121" s="283">
        <v>100</v>
      </c>
      <c r="CF121" s="359">
        <v>100</v>
      </c>
      <c r="CG121" s="1112">
        <f>SUM('3 pr-2'!AI122)</f>
        <v>43464</v>
      </c>
      <c r="CH121" s="1112">
        <f>SUM('3 pr-2'!AK122)</f>
        <v>44367</v>
      </c>
      <c r="CI121" s="1134">
        <f>SUM(CH121-CG121)</f>
        <v>903</v>
      </c>
      <c r="CJ121" s="1134">
        <f>SUM(W3-CG121)</f>
        <v>366</v>
      </c>
      <c r="CK121" s="1134">
        <f>SUM(CH121-W3)</f>
        <v>537</v>
      </c>
      <c r="CL121" s="1134">
        <f t="shared" ref="CL121:CL132" si="279">SUM(CJ121:CK121)</f>
        <v>903</v>
      </c>
      <c r="CM121" s="1134">
        <f t="shared" ref="CM121:CM132" si="280">SUM(AS121/CL121)</f>
        <v>431.29125138427463</v>
      </c>
      <c r="CN121" s="1134"/>
      <c r="CO121" s="1134"/>
      <c r="CP121" s="1134"/>
      <c r="CQ121" s="1134"/>
      <c r="CR121" s="1134">
        <f t="shared" ref="CR121:CR132" si="281">SUM(AM121/CL121)</f>
        <v>38.054263565891475</v>
      </c>
      <c r="CS121" s="1134">
        <f t="shared" ref="CS121:CS132" si="282">SUM(AK121/CL121)</f>
        <v>38.055370985603545</v>
      </c>
      <c r="CT121" s="1134">
        <f>SUM(AO121/CL121)</f>
        <v>0</v>
      </c>
    </row>
    <row r="122" spans="1:98" ht="36.75" thickBot="1" x14ac:dyDescent="0.3">
      <c r="A122" s="58" t="str">
        <f>CONCATENATE('3 pr-2'!A123)</f>
        <v>2.1.2.1.2</v>
      </c>
      <c r="B122" s="9" t="str">
        <f>CONCATENATE('3 pr-2'!D123)</f>
        <v>Sveikatos priežiūros paslaugų modernizavimas bei optimizavimas pirminės sveikatos priežiūros centre</v>
      </c>
      <c r="C122" s="85">
        <v>0</v>
      </c>
      <c r="D122" s="85">
        <v>0</v>
      </c>
      <c r="E122" s="85">
        <v>0</v>
      </c>
      <c r="F122" s="282">
        <v>0</v>
      </c>
      <c r="G122" s="282">
        <v>0</v>
      </c>
      <c r="H122" s="282">
        <v>0</v>
      </c>
      <c r="I122" s="282">
        <v>0</v>
      </c>
      <c r="J122" s="85">
        <v>0</v>
      </c>
      <c r="K122" s="85">
        <v>0</v>
      </c>
      <c r="L122" s="286">
        <v>0</v>
      </c>
      <c r="M122" s="286">
        <v>0</v>
      </c>
      <c r="N122" s="286">
        <v>0</v>
      </c>
      <c r="O122" s="286">
        <v>0</v>
      </c>
      <c r="P122" s="85">
        <v>0</v>
      </c>
      <c r="Q122" s="85">
        <v>0</v>
      </c>
      <c r="R122" s="286">
        <v>0</v>
      </c>
      <c r="S122" s="286">
        <v>0</v>
      </c>
      <c r="T122" s="286">
        <v>0</v>
      </c>
      <c r="U122" s="286">
        <v>0</v>
      </c>
      <c r="V122" s="85">
        <v>0</v>
      </c>
      <c r="W122" s="85">
        <f t="shared" si="270"/>
        <v>25143.556771545831</v>
      </c>
      <c r="X122" s="282">
        <f t="shared" si="271"/>
        <v>1885.9165526675788</v>
      </c>
      <c r="Y122" s="282">
        <f t="shared" si="272"/>
        <v>1885.9165526675788</v>
      </c>
      <c r="Z122" s="282">
        <v>0</v>
      </c>
      <c r="AA122" s="282">
        <v>0</v>
      </c>
      <c r="AB122" s="85">
        <f t="shared" si="273"/>
        <v>21371.723666210673</v>
      </c>
      <c r="AC122" s="85">
        <f t="shared" si="274"/>
        <v>25212.443228454173</v>
      </c>
      <c r="AD122" s="282">
        <f t="shared" si="275"/>
        <v>1891.0834473324214</v>
      </c>
      <c r="AE122" s="282">
        <f t="shared" si="276"/>
        <v>1891.0834473324214</v>
      </c>
      <c r="AF122" s="282">
        <f t="shared" ref="AF122" si="283">SUM(AO122*BX122/CD122)</f>
        <v>0</v>
      </c>
      <c r="AG122" s="282">
        <v>0</v>
      </c>
      <c r="AH122" s="85">
        <f t="shared" si="278"/>
        <v>21430.27633378933</v>
      </c>
      <c r="AI122" s="767">
        <f>SUM('3 pr-2'!L123)</f>
        <v>50356</v>
      </c>
      <c r="AJ122" s="84"/>
      <c r="AK122" s="282">
        <f>SUM('3 pr-2'!O123)</f>
        <v>3777</v>
      </c>
      <c r="AL122" s="282"/>
      <c r="AM122" s="282">
        <f>SUM('3 pr-2'!R123)</f>
        <v>3777</v>
      </c>
      <c r="AN122" s="282"/>
      <c r="AO122" s="282">
        <f>SUM('3 pr-2'!U123)</f>
        <v>0</v>
      </c>
      <c r="AP122" s="282"/>
      <c r="AQ122" s="282">
        <f>SUM('3 pr-2'!X123)</f>
        <v>0</v>
      </c>
      <c r="AR122" s="543"/>
      <c r="AS122" s="109">
        <f>SUM('3 pr-2'!AA123)</f>
        <v>42802</v>
      </c>
      <c r="AT122" s="499"/>
      <c r="AU122" s="1066">
        <v>0</v>
      </c>
      <c r="AV122" s="24">
        <v>0</v>
      </c>
      <c r="AW122" s="24">
        <v>0</v>
      </c>
      <c r="AX122" s="283">
        <v>0</v>
      </c>
      <c r="AY122" s="283">
        <v>0</v>
      </c>
      <c r="AZ122" s="283">
        <v>0</v>
      </c>
      <c r="BA122" s="283">
        <v>0</v>
      </c>
      <c r="BB122" s="24">
        <v>0</v>
      </c>
      <c r="BC122" s="24">
        <v>0</v>
      </c>
      <c r="BD122" s="283">
        <v>0</v>
      </c>
      <c r="BE122" s="283">
        <v>0</v>
      </c>
      <c r="BF122" s="283">
        <v>0</v>
      </c>
      <c r="BG122" s="283">
        <v>0</v>
      </c>
      <c r="BH122" s="24">
        <v>0</v>
      </c>
      <c r="BI122" s="24">
        <v>49.999999415680001</v>
      </c>
      <c r="BJ122" s="283">
        <v>49.999999415680001</v>
      </c>
      <c r="BK122" s="283">
        <v>49.999999415680001</v>
      </c>
      <c r="BL122" s="283">
        <v>49.999999415680001</v>
      </c>
      <c r="BM122" s="283">
        <v>49.999999415680001</v>
      </c>
      <c r="BN122" s="24">
        <v>50</v>
      </c>
      <c r="BO122" s="24">
        <v>49.999999415680001</v>
      </c>
      <c r="BP122" s="283">
        <v>49.999999415680001</v>
      </c>
      <c r="BQ122" s="283">
        <v>49.999999415680001</v>
      </c>
      <c r="BR122" s="283">
        <v>49.999999415680001</v>
      </c>
      <c r="BS122" s="283">
        <v>49.999999415680001</v>
      </c>
      <c r="BT122" s="24">
        <v>50</v>
      </c>
      <c r="BU122" s="24">
        <v>0</v>
      </c>
      <c r="BV122" s="283">
        <v>0</v>
      </c>
      <c r="BW122" s="283">
        <v>0</v>
      </c>
      <c r="BX122" s="283">
        <v>0</v>
      </c>
      <c r="BY122" s="283">
        <v>0</v>
      </c>
      <c r="BZ122" s="24">
        <v>0</v>
      </c>
      <c r="CA122" s="24">
        <v>100</v>
      </c>
      <c r="CB122" s="283">
        <v>100</v>
      </c>
      <c r="CC122" s="283">
        <v>100</v>
      </c>
      <c r="CD122" s="283">
        <v>100</v>
      </c>
      <c r="CE122" s="283">
        <v>100</v>
      </c>
      <c r="CF122" s="359">
        <v>100</v>
      </c>
      <c r="CG122" s="1112">
        <f>SUM('3 pr-2'!AI123)</f>
        <v>43465</v>
      </c>
      <c r="CH122" s="1112">
        <f>SUM('3 pr-2'!AK123)</f>
        <v>44196</v>
      </c>
      <c r="CI122" s="23">
        <f>SUM(CH122-CG122)</f>
        <v>731</v>
      </c>
      <c r="CJ122" s="23">
        <f>SUM($W$3-CG122)</f>
        <v>365</v>
      </c>
      <c r="CK122" s="23">
        <f>SUM($AC$3-$W$3)</f>
        <v>366</v>
      </c>
      <c r="CL122" s="1134">
        <f t="shared" si="279"/>
        <v>731</v>
      </c>
      <c r="CM122" s="1134">
        <f t="shared" si="280"/>
        <v>58.552667578659374</v>
      </c>
      <c r="CN122" s="1134"/>
      <c r="CO122" s="1134"/>
      <c r="CP122" s="1134"/>
      <c r="CQ122" s="1134"/>
      <c r="CR122" s="1134">
        <f t="shared" si="281"/>
        <v>5.1668946648426815</v>
      </c>
      <c r="CS122" s="1134">
        <f t="shared" si="282"/>
        <v>5.1668946648426815</v>
      </c>
      <c r="CT122" s="1134">
        <f>SUM(AO122/CL122)</f>
        <v>0</v>
      </c>
    </row>
    <row r="123" spans="1:98" ht="48.75" thickBot="1" x14ac:dyDescent="0.3">
      <c r="A123" s="58" t="str">
        <f>CONCATENATE('3 pr-2'!A124)</f>
        <v>2.1.2.1.3</v>
      </c>
      <c r="B123" s="9" t="str">
        <f>CONCATENATE('3 pr-2'!D124)</f>
        <v>UAB „MediCA klinika“ teikiamų pirminės asmens sveikatos priežiūros paslaugų efektyvumo didinimas Alytaus miesto savivaldybėje</v>
      </c>
      <c r="C123" s="85">
        <v>0</v>
      </c>
      <c r="D123" s="85">
        <v>0</v>
      </c>
      <c r="E123" s="85">
        <v>0</v>
      </c>
      <c r="F123" s="282">
        <v>0</v>
      </c>
      <c r="G123" s="282">
        <v>0</v>
      </c>
      <c r="H123" s="282">
        <v>0</v>
      </c>
      <c r="I123" s="282">
        <v>0</v>
      </c>
      <c r="J123" s="85">
        <v>0</v>
      </c>
      <c r="K123" s="85">
        <v>0</v>
      </c>
      <c r="L123" s="286">
        <v>0</v>
      </c>
      <c r="M123" s="286">
        <v>0</v>
      </c>
      <c r="N123" s="286">
        <v>0</v>
      </c>
      <c r="O123" s="286">
        <v>0</v>
      </c>
      <c r="P123" s="85">
        <v>0</v>
      </c>
      <c r="Q123" s="85">
        <v>0</v>
      </c>
      <c r="R123" s="286">
        <v>0</v>
      </c>
      <c r="S123" s="286">
        <v>0</v>
      </c>
      <c r="T123" s="286">
        <v>0</v>
      </c>
      <c r="U123" s="286">
        <v>0</v>
      </c>
      <c r="V123" s="85">
        <v>0</v>
      </c>
      <c r="W123" s="85">
        <f t="shared" si="270"/>
        <v>41676.908344733238</v>
      </c>
      <c r="X123" s="282">
        <f t="shared" si="271"/>
        <v>0</v>
      </c>
      <c r="Y123" s="282">
        <f t="shared" si="272"/>
        <v>3125.7181942544462</v>
      </c>
      <c r="Z123" s="286">
        <f t="shared" ref="Z123:Z132" si="284">SUM(CJ123*CT123)</f>
        <v>3125.7181942544462</v>
      </c>
      <c r="AA123" s="286">
        <v>0</v>
      </c>
      <c r="AB123" s="85">
        <f t="shared" si="273"/>
        <v>35425.471956224348</v>
      </c>
      <c r="AC123" s="85">
        <f t="shared" si="274"/>
        <v>41791.091655266755</v>
      </c>
      <c r="AD123" s="282">
        <f t="shared" si="275"/>
        <v>0</v>
      </c>
      <c r="AE123" s="282">
        <f t="shared" si="276"/>
        <v>3134.2818057455543</v>
      </c>
      <c r="AF123" s="286">
        <f t="shared" ref="AF123:AF132" si="285">SUM(CT123*CK123)</f>
        <v>3134.2818057455543</v>
      </c>
      <c r="AG123" s="282">
        <v>0</v>
      </c>
      <c r="AH123" s="85">
        <f t="shared" si="278"/>
        <v>35522.528043775645</v>
      </c>
      <c r="AI123" s="767">
        <f>SUM('3 pr-2'!L124)</f>
        <v>83468</v>
      </c>
      <c r="AJ123" s="84"/>
      <c r="AK123" s="282">
        <f>SUM('3 pr-2'!O124)</f>
        <v>0</v>
      </c>
      <c r="AL123" s="282"/>
      <c r="AM123" s="282">
        <f>SUM('3 pr-2'!R124)</f>
        <v>6260</v>
      </c>
      <c r="AN123" s="282"/>
      <c r="AO123" s="282">
        <f>SUM('3 pr-2'!U124)</f>
        <v>6260</v>
      </c>
      <c r="AP123" s="282"/>
      <c r="AQ123" s="282">
        <f>SUM('3 pr-2'!X124)</f>
        <v>0</v>
      </c>
      <c r="AR123" s="543"/>
      <c r="AS123" s="109">
        <f>SUM('3 pr-2'!AA124)</f>
        <v>70948</v>
      </c>
      <c r="AT123" s="499"/>
      <c r="AU123" s="1066">
        <v>0</v>
      </c>
      <c r="AV123" s="24">
        <v>0</v>
      </c>
      <c r="AW123" s="24">
        <v>0</v>
      </c>
      <c r="AX123" s="283">
        <v>0</v>
      </c>
      <c r="AY123" s="283">
        <v>0</v>
      </c>
      <c r="AZ123" s="283">
        <v>0</v>
      </c>
      <c r="BA123" s="283">
        <v>0</v>
      </c>
      <c r="BB123" s="24">
        <v>0</v>
      </c>
      <c r="BC123" s="24">
        <v>0</v>
      </c>
      <c r="BD123" s="283">
        <v>0</v>
      </c>
      <c r="BE123" s="283">
        <v>0</v>
      </c>
      <c r="BF123" s="283">
        <v>0</v>
      </c>
      <c r="BG123" s="283">
        <v>0</v>
      </c>
      <c r="BH123" s="24">
        <v>0</v>
      </c>
      <c r="BI123" s="24">
        <v>49.999999415680001</v>
      </c>
      <c r="BJ123" s="283">
        <v>49.999999415680001</v>
      </c>
      <c r="BK123" s="283">
        <v>49.999999415680001</v>
      </c>
      <c r="BL123" s="283">
        <v>49.999999415680001</v>
      </c>
      <c r="BM123" s="283">
        <v>49.999999415680001</v>
      </c>
      <c r="BN123" s="24">
        <v>50</v>
      </c>
      <c r="BO123" s="24">
        <v>49.999999415680001</v>
      </c>
      <c r="BP123" s="283">
        <v>49.999999415680001</v>
      </c>
      <c r="BQ123" s="283">
        <v>49.999999415680001</v>
      </c>
      <c r="BR123" s="283">
        <v>49.999999415680001</v>
      </c>
      <c r="BS123" s="283">
        <v>49.999999415680001</v>
      </c>
      <c r="BT123" s="24">
        <v>50</v>
      </c>
      <c r="BU123" s="24">
        <v>0</v>
      </c>
      <c r="BV123" s="283">
        <v>0</v>
      </c>
      <c r="BW123" s="283">
        <v>0</v>
      </c>
      <c r="BX123" s="283">
        <v>0</v>
      </c>
      <c r="BY123" s="283">
        <v>0</v>
      </c>
      <c r="BZ123" s="24">
        <v>0</v>
      </c>
      <c r="CA123" s="24">
        <v>100</v>
      </c>
      <c r="CB123" s="283">
        <v>100</v>
      </c>
      <c r="CC123" s="283">
        <v>100</v>
      </c>
      <c r="CD123" s="283">
        <v>100</v>
      </c>
      <c r="CE123" s="283">
        <v>100</v>
      </c>
      <c r="CF123" s="359">
        <v>100</v>
      </c>
      <c r="CG123" s="1112">
        <f>SUM('3 pr-2'!AI124)</f>
        <v>43465</v>
      </c>
      <c r="CH123" s="1112">
        <f>SUM('3 pr-2'!AK124)</f>
        <v>44196</v>
      </c>
      <c r="CI123" s="23">
        <f>SUM(CH123-CG123)</f>
        <v>731</v>
      </c>
      <c r="CJ123" s="23">
        <f>SUM($W$3-CG123)</f>
        <v>365</v>
      </c>
      <c r="CK123" s="23">
        <f>SUM($AC$3-$W$3)</f>
        <v>366</v>
      </c>
      <c r="CL123" s="1134">
        <f t="shared" si="279"/>
        <v>731</v>
      </c>
      <c r="CM123" s="1134">
        <f t="shared" si="280"/>
        <v>97.056087551299584</v>
      </c>
      <c r="CN123" s="1134"/>
      <c r="CO123" s="1134"/>
      <c r="CP123" s="1134"/>
      <c r="CQ123" s="1134"/>
      <c r="CR123" s="1134">
        <f t="shared" si="281"/>
        <v>8.5636114911080714</v>
      </c>
      <c r="CS123" s="1134">
        <f t="shared" si="282"/>
        <v>0</v>
      </c>
      <c r="CT123" s="1134">
        <f>SUM(AO123/CL123)</f>
        <v>8.5636114911080714</v>
      </c>
    </row>
    <row r="124" spans="1:98" ht="24.75" thickBot="1" x14ac:dyDescent="0.3">
      <c r="A124" s="58" t="str">
        <f>CONCATENATE('3 pr-2'!A125)</f>
        <v>2.1.2.1.4</v>
      </c>
      <c r="B124" s="9" t="str">
        <f>CONCATENATE('3 pr-2'!D125)</f>
        <v>UAB "Pagalba ligoniui" teikiamų paslaugų efektyvumo didinimas</v>
      </c>
      <c r="C124" s="85">
        <v>0</v>
      </c>
      <c r="D124" s="85">
        <v>0</v>
      </c>
      <c r="E124" s="85">
        <v>0</v>
      </c>
      <c r="F124" s="282">
        <v>0</v>
      </c>
      <c r="G124" s="282">
        <v>0</v>
      </c>
      <c r="H124" s="282">
        <v>0</v>
      </c>
      <c r="I124" s="282">
        <v>0</v>
      </c>
      <c r="J124" s="85">
        <v>0</v>
      </c>
      <c r="K124" s="85">
        <v>0</v>
      </c>
      <c r="L124" s="286">
        <v>0</v>
      </c>
      <c r="M124" s="286">
        <v>0</v>
      </c>
      <c r="N124" s="286">
        <v>0</v>
      </c>
      <c r="O124" s="286">
        <v>0</v>
      </c>
      <c r="P124" s="85">
        <v>0</v>
      </c>
      <c r="Q124" s="85">
        <v>0</v>
      </c>
      <c r="R124" s="286">
        <v>0</v>
      </c>
      <c r="S124" s="286">
        <v>0</v>
      </c>
      <c r="T124" s="286">
        <v>0</v>
      </c>
      <c r="U124" s="286">
        <v>0</v>
      </c>
      <c r="V124" s="85">
        <v>0</v>
      </c>
      <c r="W124" s="85">
        <f t="shared" si="270"/>
        <v>14683.590328467151</v>
      </c>
      <c r="X124" s="282">
        <f t="shared" si="271"/>
        <v>0</v>
      </c>
      <c r="Y124" s="282">
        <f t="shared" si="272"/>
        <v>1101.3275547445255</v>
      </c>
      <c r="Z124" s="286">
        <f t="shared" si="284"/>
        <v>1100.9945255474452</v>
      </c>
      <c r="AA124" s="286">
        <v>0</v>
      </c>
      <c r="AB124" s="85">
        <f t="shared" si="273"/>
        <v>12481.268248175182</v>
      </c>
      <c r="AC124" s="85">
        <f t="shared" si="274"/>
        <v>29407.409671532845</v>
      </c>
      <c r="AD124" s="282">
        <f t="shared" si="275"/>
        <v>0</v>
      </c>
      <c r="AE124" s="282">
        <f t="shared" si="276"/>
        <v>2205.6724452554745</v>
      </c>
      <c r="AF124" s="286">
        <f t="shared" si="285"/>
        <v>2205.0054744525546</v>
      </c>
      <c r="AG124" s="282">
        <v>0</v>
      </c>
      <c r="AH124" s="85">
        <f t="shared" si="278"/>
        <v>24996.731751824816</v>
      </c>
      <c r="AI124" s="767">
        <f>SUM('3 pr-2'!L125)</f>
        <v>44091</v>
      </c>
      <c r="AJ124" s="84"/>
      <c r="AK124" s="282">
        <f>SUM('3 pr-2'!O125)</f>
        <v>0</v>
      </c>
      <c r="AL124" s="282"/>
      <c r="AM124" s="282">
        <f>SUM('3 pr-2'!R125)</f>
        <v>3307</v>
      </c>
      <c r="AN124" s="282"/>
      <c r="AO124" s="282">
        <f>SUM('3 pr-2'!U125)</f>
        <v>3306</v>
      </c>
      <c r="AP124" s="282"/>
      <c r="AQ124" s="282">
        <f>SUM('3 pr-2'!X125)</f>
        <v>0</v>
      </c>
      <c r="AR124" s="543"/>
      <c r="AS124" s="109">
        <f>SUM('3 pr-2'!AA125)</f>
        <v>37478</v>
      </c>
      <c r="AT124" s="499"/>
      <c r="AU124" s="1066">
        <v>0</v>
      </c>
      <c r="AV124" s="24">
        <v>0</v>
      </c>
      <c r="AW124" s="24">
        <v>0</v>
      </c>
      <c r="AX124" s="283">
        <v>0</v>
      </c>
      <c r="AY124" s="283">
        <v>0</v>
      </c>
      <c r="AZ124" s="283">
        <v>0</v>
      </c>
      <c r="BA124" s="283">
        <v>0</v>
      </c>
      <c r="BB124" s="24">
        <v>0</v>
      </c>
      <c r="BC124" s="24">
        <v>0</v>
      </c>
      <c r="BD124" s="283">
        <v>0</v>
      </c>
      <c r="BE124" s="283">
        <v>0</v>
      </c>
      <c r="BF124" s="283">
        <v>0</v>
      </c>
      <c r="BG124" s="283">
        <v>0</v>
      </c>
      <c r="BH124" s="24">
        <v>0</v>
      </c>
      <c r="BI124" s="24">
        <v>49.999999415680001</v>
      </c>
      <c r="BJ124" s="283">
        <v>49.999999415680001</v>
      </c>
      <c r="BK124" s="283">
        <v>49.999999415680001</v>
      </c>
      <c r="BL124" s="283">
        <v>49.999999415680001</v>
      </c>
      <c r="BM124" s="283">
        <v>49.999999415680001</v>
      </c>
      <c r="BN124" s="24">
        <v>50</v>
      </c>
      <c r="BO124" s="24">
        <v>49.999999415680001</v>
      </c>
      <c r="BP124" s="283">
        <v>49.999999415680001</v>
      </c>
      <c r="BQ124" s="283">
        <v>49.999999415680001</v>
      </c>
      <c r="BR124" s="283">
        <v>49.999999415680001</v>
      </c>
      <c r="BS124" s="283">
        <v>49.999999415680001</v>
      </c>
      <c r="BT124" s="24">
        <v>50</v>
      </c>
      <c r="BU124" s="24">
        <v>0</v>
      </c>
      <c r="BV124" s="283">
        <v>0</v>
      </c>
      <c r="BW124" s="283">
        <v>0</v>
      </c>
      <c r="BX124" s="283">
        <v>0</v>
      </c>
      <c r="BY124" s="283">
        <v>0</v>
      </c>
      <c r="BZ124" s="24">
        <v>0</v>
      </c>
      <c r="CA124" s="24">
        <v>100</v>
      </c>
      <c r="CB124" s="283">
        <v>100</v>
      </c>
      <c r="CC124" s="283">
        <v>100</v>
      </c>
      <c r="CD124" s="283">
        <v>100</v>
      </c>
      <c r="CE124" s="283">
        <v>100</v>
      </c>
      <c r="CF124" s="359">
        <v>100</v>
      </c>
      <c r="CG124" s="1112">
        <f>SUM('3 pr-2'!AI125)</f>
        <v>43465</v>
      </c>
      <c r="CH124" s="1112">
        <f>SUM('3 pr-2'!AK125)</f>
        <v>44561</v>
      </c>
      <c r="CI124" s="23">
        <f>SUM(CH124-CG124)</f>
        <v>1096</v>
      </c>
      <c r="CJ124" s="23">
        <f t="shared" ref="CJ124:CJ132" si="286">SUM($W$3-CG124)</f>
        <v>365</v>
      </c>
      <c r="CK124" s="23">
        <f>SUM(CH124-$W$3)</f>
        <v>731</v>
      </c>
      <c r="CL124" s="1134">
        <f t="shared" si="279"/>
        <v>1096</v>
      </c>
      <c r="CM124" s="1134">
        <f t="shared" si="280"/>
        <v>34.195255474452551</v>
      </c>
      <c r="CN124" s="1134"/>
      <c r="CO124" s="1134"/>
      <c r="CP124" s="1134"/>
      <c r="CQ124" s="1134"/>
      <c r="CR124" s="1134">
        <f t="shared" si="281"/>
        <v>3.0173357664233578</v>
      </c>
      <c r="CS124" s="1134">
        <f t="shared" si="282"/>
        <v>0</v>
      </c>
      <c r="CT124" s="1134">
        <f>SUM(AO124/CL124)</f>
        <v>3.0164233576642334</v>
      </c>
    </row>
    <row r="125" spans="1:98" ht="36.75" thickBot="1" x14ac:dyDescent="0.3">
      <c r="A125" s="58" t="str">
        <f>CONCATENATE('3 pr-2'!A126)</f>
        <v>2.1.2.1.5</v>
      </c>
      <c r="B125" s="9" t="str">
        <f>CONCATENATE('3 pr-2'!D126)</f>
        <v>Pirminės asmens sveikatos priežiūros veiklos efektyvumo didinimas Alytaus rajono savivaldybėje</v>
      </c>
      <c r="C125" s="85">
        <v>0</v>
      </c>
      <c r="D125" s="85">
        <v>0</v>
      </c>
      <c r="E125" s="85">
        <v>0</v>
      </c>
      <c r="F125" s="282">
        <v>0</v>
      </c>
      <c r="G125" s="282">
        <v>0</v>
      </c>
      <c r="H125" s="282">
        <v>0</v>
      </c>
      <c r="I125" s="282">
        <v>0</v>
      </c>
      <c r="J125" s="85">
        <v>0</v>
      </c>
      <c r="K125" s="85">
        <v>0</v>
      </c>
      <c r="L125" s="286">
        <v>0</v>
      </c>
      <c r="M125" s="286">
        <v>0</v>
      </c>
      <c r="N125" s="286">
        <v>0</v>
      </c>
      <c r="O125" s="286">
        <v>0</v>
      </c>
      <c r="P125" s="85">
        <v>0</v>
      </c>
      <c r="Q125" s="85">
        <v>0</v>
      </c>
      <c r="R125" s="286">
        <v>0</v>
      </c>
      <c r="S125" s="286">
        <v>0</v>
      </c>
      <c r="T125" s="286">
        <v>0</v>
      </c>
      <c r="U125" s="286">
        <v>0</v>
      </c>
      <c r="V125" s="85">
        <v>0</v>
      </c>
      <c r="W125" s="85">
        <f t="shared" si="270"/>
        <v>89853.329153605024</v>
      </c>
      <c r="X125" s="282">
        <f t="shared" si="271"/>
        <v>6739.1567398119123</v>
      </c>
      <c r="Y125" s="282">
        <f t="shared" si="272"/>
        <v>6739.1567398119123</v>
      </c>
      <c r="Z125" s="286">
        <f t="shared" si="284"/>
        <v>0</v>
      </c>
      <c r="AA125" s="286">
        <v>0</v>
      </c>
      <c r="AB125" s="85">
        <f t="shared" si="273"/>
        <v>76375.015673981194</v>
      </c>
      <c r="AC125" s="85">
        <f t="shared" si="274"/>
        <v>81782.670846394976</v>
      </c>
      <c r="AD125" s="282">
        <f t="shared" si="275"/>
        <v>6133.8432601880877</v>
      </c>
      <c r="AE125" s="282">
        <f t="shared" si="276"/>
        <v>6133.8432601880877</v>
      </c>
      <c r="AF125" s="286">
        <f t="shared" si="285"/>
        <v>0</v>
      </c>
      <c r="AG125" s="282">
        <v>0</v>
      </c>
      <c r="AH125" s="85">
        <f t="shared" si="278"/>
        <v>69514.984326018806</v>
      </c>
      <c r="AI125" s="767">
        <f>SUM('3 pr-2'!L126)</f>
        <v>171636</v>
      </c>
      <c r="AJ125" s="84"/>
      <c r="AK125" s="282">
        <f>SUM('3 pr-2'!O126)</f>
        <v>12873</v>
      </c>
      <c r="AL125" s="282"/>
      <c r="AM125" s="282">
        <f>SUM('3 pr-2'!R126)</f>
        <v>12873</v>
      </c>
      <c r="AN125" s="282"/>
      <c r="AO125" s="282">
        <f>SUM('3 pr-2'!U126)</f>
        <v>0</v>
      </c>
      <c r="AP125" s="282"/>
      <c r="AQ125" s="282">
        <f>SUM('3 pr-2'!X126)</f>
        <v>0</v>
      </c>
      <c r="AR125" s="543"/>
      <c r="AS125" s="109">
        <f>SUM('3 pr-2'!AA126)</f>
        <v>145890</v>
      </c>
      <c r="AT125" s="499"/>
      <c r="AU125" s="1066">
        <v>0</v>
      </c>
      <c r="AV125" s="24">
        <v>0</v>
      </c>
      <c r="AW125" s="24">
        <v>0</v>
      </c>
      <c r="AX125" s="283">
        <v>0</v>
      </c>
      <c r="AY125" s="283">
        <v>0</v>
      </c>
      <c r="AZ125" s="283">
        <v>0</v>
      </c>
      <c r="BA125" s="283">
        <v>0</v>
      </c>
      <c r="BB125" s="24">
        <v>0</v>
      </c>
      <c r="BC125" s="24">
        <v>0</v>
      </c>
      <c r="BD125" s="283">
        <v>0</v>
      </c>
      <c r="BE125" s="283">
        <v>0</v>
      </c>
      <c r="BF125" s="283">
        <v>0</v>
      </c>
      <c r="BG125" s="283">
        <v>0</v>
      </c>
      <c r="BH125" s="24">
        <v>0</v>
      </c>
      <c r="BI125" s="24">
        <v>49.999999415680001</v>
      </c>
      <c r="BJ125" s="283">
        <v>49.999999415680001</v>
      </c>
      <c r="BK125" s="283">
        <v>49.999999415680001</v>
      </c>
      <c r="BL125" s="283">
        <v>49.999999415680001</v>
      </c>
      <c r="BM125" s="283">
        <v>49.999999415680001</v>
      </c>
      <c r="BN125" s="24">
        <v>50</v>
      </c>
      <c r="BO125" s="24">
        <v>49.999999415680001</v>
      </c>
      <c r="BP125" s="283">
        <v>49.999999415680001</v>
      </c>
      <c r="BQ125" s="283">
        <v>49.999999415680001</v>
      </c>
      <c r="BR125" s="283">
        <v>49.999999415680001</v>
      </c>
      <c r="BS125" s="283">
        <v>49.999999415680001</v>
      </c>
      <c r="BT125" s="24">
        <v>50</v>
      </c>
      <c r="BU125" s="24">
        <v>0</v>
      </c>
      <c r="BV125" s="283">
        <v>0</v>
      </c>
      <c r="BW125" s="283">
        <v>0</v>
      </c>
      <c r="BX125" s="283">
        <v>0</v>
      </c>
      <c r="BY125" s="283">
        <v>0</v>
      </c>
      <c r="BZ125" s="24">
        <v>0</v>
      </c>
      <c r="CA125" s="24">
        <v>100</v>
      </c>
      <c r="CB125" s="283">
        <v>100</v>
      </c>
      <c r="CC125" s="283">
        <v>100</v>
      </c>
      <c r="CD125" s="283">
        <v>100</v>
      </c>
      <c r="CE125" s="283">
        <v>100</v>
      </c>
      <c r="CF125" s="359">
        <v>100</v>
      </c>
      <c r="CG125" s="1112">
        <f>SUM('3 pr-2'!AI126)</f>
        <v>43496</v>
      </c>
      <c r="CH125" s="1112">
        <f>SUM('3 pr-2'!AK126)</f>
        <v>44134</v>
      </c>
      <c r="CI125" s="23">
        <f>SUM(CH125-CG125)</f>
        <v>638</v>
      </c>
      <c r="CJ125" s="23">
        <f t="shared" si="286"/>
        <v>334</v>
      </c>
      <c r="CK125" s="23">
        <f>SUM(CH125-$W$3)</f>
        <v>304</v>
      </c>
      <c r="CL125" s="1134">
        <f t="shared" si="279"/>
        <v>638</v>
      </c>
      <c r="CM125" s="1134">
        <f t="shared" si="280"/>
        <v>228.66771159874608</v>
      </c>
      <c r="CN125" s="1134"/>
      <c r="CO125" s="1134"/>
      <c r="CP125" s="1134"/>
      <c r="CQ125" s="1134"/>
      <c r="CR125" s="1134">
        <f t="shared" si="281"/>
        <v>20.177115987460816</v>
      </c>
      <c r="CS125" s="1134">
        <f t="shared" si="282"/>
        <v>20.177115987460816</v>
      </c>
      <c r="CT125" s="1134">
        <f t="shared" ref="CT125:CT126" si="287">SUM(AO125/CL125)</f>
        <v>0</v>
      </c>
    </row>
    <row r="126" spans="1:98" ht="24.75" thickBot="1" x14ac:dyDescent="0.3">
      <c r="A126" s="58" t="str">
        <f>CONCATENATE('3 pr-2'!A127)</f>
        <v>2.1.2.1.6</v>
      </c>
      <c r="B126" s="9" t="str">
        <f>CONCATENATE('3 pr-2'!D127)</f>
        <v>Sveikatos priežiūros paslaugų gerinimas "UAB "Disolis"</v>
      </c>
      <c r="C126" s="85">
        <v>0</v>
      </c>
      <c r="D126" s="85">
        <v>0</v>
      </c>
      <c r="E126" s="85">
        <v>0</v>
      </c>
      <c r="F126" s="282">
        <v>0</v>
      </c>
      <c r="G126" s="282">
        <v>0</v>
      </c>
      <c r="H126" s="282">
        <v>0</v>
      </c>
      <c r="I126" s="282">
        <v>0</v>
      </c>
      <c r="J126" s="85">
        <v>0</v>
      </c>
      <c r="K126" s="85">
        <v>0</v>
      </c>
      <c r="L126" s="286">
        <v>0</v>
      </c>
      <c r="M126" s="286">
        <v>0</v>
      </c>
      <c r="N126" s="286">
        <v>0</v>
      </c>
      <c r="O126" s="286">
        <v>0</v>
      </c>
      <c r="P126" s="85">
        <v>0</v>
      </c>
      <c r="Q126" s="85">
        <v>0</v>
      </c>
      <c r="R126" s="286">
        <v>0</v>
      </c>
      <c r="S126" s="286">
        <v>0</v>
      </c>
      <c r="T126" s="286">
        <v>0</v>
      </c>
      <c r="U126" s="286">
        <v>0</v>
      </c>
      <c r="V126" s="85">
        <v>0</v>
      </c>
      <c r="W126" s="85">
        <f t="shared" si="270"/>
        <v>17386</v>
      </c>
      <c r="X126" s="282">
        <f t="shared" si="271"/>
        <v>0</v>
      </c>
      <c r="Y126" s="282">
        <f t="shared" si="272"/>
        <v>1304</v>
      </c>
      <c r="Z126" s="286">
        <f t="shared" si="284"/>
        <v>1304</v>
      </c>
      <c r="AA126" s="286">
        <v>0</v>
      </c>
      <c r="AB126" s="85">
        <f t="shared" si="273"/>
        <v>14778</v>
      </c>
      <c r="AC126" s="85">
        <f t="shared" si="274"/>
        <v>0</v>
      </c>
      <c r="AD126" s="282">
        <f t="shared" si="275"/>
        <v>0</v>
      </c>
      <c r="AE126" s="282">
        <f t="shared" si="276"/>
        <v>0</v>
      </c>
      <c r="AF126" s="286">
        <f t="shared" si="285"/>
        <v>0</v>
      </c>
      <c r="AG126" s="282">
        <v>0</v>
      </c>
      <c r="AH126" s="85">
        <f t="shared" si="278"/>
        <v>0</v>
      </c>
      <c r="AI126" s="767">
        <f>SUM('3 pr-2'!L127)</f>
        <v>17386</v>
      </c>
      <c r="AJ126" s="84"/>
      <c r="AK126" s="282">
        <f>SUM('3 pr-2'!O127)</f>
        <v>0</v>
      </c>
      <c r="AL126" s="282"/>
      <c r="AM126" s="282">
        <f>SUM('3 pr-2'!R127)</f>
        <v>1304</v>
      </c>
      <c r="AN126" s="282"/>
      <c r="AO126" s="282">
        <f>SUM('3 pr-2'!U127)</f>
        <v>1304</v>
      </c>
      <c r="AP126" s="282"/>
      <c r="AQ126" s="282">
        <f>SUM('3 pr-2'!X127)</f>
        <v>0</v>
      </c>
      <c r="AR126" s="543"/>
      <c r="AS126" s="109">
        <f>SUM('3 pr-2'!AA127)</f>
        <v>14778</v>
      </c>
      <c r="AT126" s="499"/>
      <c r="AU126" s="1066">
        <v>0</v>
      </c>
      <c r="AV126" s="24">
        <v>0</v>
      </c>
      <c r="AW126" s="24">
        <v>0</v>
      </c>
      <c r="AX126" s="283">
        <v>0</v>
      </c>
      <c r="AY126" s="283">
        <v>0</v>
      </c>
      <c r="AZ126" s="283">
        <v>0</v>
      </c>
      <c r="BA126" s="283">
        <v>0</v>
      </c>
      <c r="BB126" s="24">
        <v>0</v>
      </c>
      <c r="BC126" s="24">
        <v>0</v>
      </c>
      <c r="BD126" s="283">
        <v>0</v>
      </c>
      <c r="BE126" s="283">
        <v>0</v>
      </c>
      <c r="BF126" s="283">
        <v>0</v>
      </c>
      <c r="BG126" s="283">
        <v>0</v>
      </c>
      <c r="BH126" s="24">
        <v>0</v>
      </c>
      <c r="BI126" s="24">
        <v>49.999999415680001</v>
      </c>
      <c r="BJ126" s="283">
        <v>49.999999415680001</v>
      </c>
      <c r="BK126" s="283">
        <v>49.999999415680001</v>
      </c>
      <c r="BL126" s="283">
        <v>49.999999415680001</v>
      </c>
      <c r="BM126" s="283">
        <v>49.999999415680001</v>
      </c>
      <c r="BN126" s="24">
        <v>50</v>
      </c>
      <c r="BO126" s="24">
        <v>49.999999415680001</v>
      </c>
      <c r="BP126" s="283">
        <v>49.999999415680001</v>
      </c>
      <c r="BQ126" s="283">
        <v>49.999999415680001</v>
      </c>
      <c r="BR126" s="283">
        <v>49.999999415680001</v>
      </c>
      <c r="BS126" s="283">
        <v>49.999999415680001</v>
      </c>
      <c r="BT126" s="24">
        <v>50</v>
      </c>
      <c r="BU126" s="24">
        <v>0</v>
      </c>
      <c r="BV126" s="283">
        <v>0</v>
      </c>
      <c r="BW126" s="283">
        <v>0</v>
      </c>
      <c r="BX126" s="283">
        <v>0</v>
      </c>
      <c r="BY126" s="283">
        <v>0</v>
      </c>
      <c r="BZ126" s="24">
        <v>0</v>
      </c>
      <c r="CA126" s="24">
        <v>100</v>
      </c>
      <c r="CB126" s="283">
        <v>100</v>
      </c>
      <c r="CC126" s="283">
        <v>100</v>
      </c>
      <c r="CD126" s="283">
        <v>100</v>
      </c>
      <c r="CE126" s="283">
        <v>100</v>
      </c>
      <c r="CF126" s="359">
        <v>100</v>
      </c>
      <c r="CG126" s="1112">
        <f>SUM('3 pr-2'!AI127)</f>
        <v>43495</v>
      </c>
      <c r="CH126" s="1112">
        <f>SUM('3 pr-2'!AK127)</f>
        <v>43830</v>
      </c>
      <c r="CI126" s="23">
        <f t="shared" ref="CI126:CI132" si="288">SUM(CH126-CG126)</f>
        <v>335</v>
      </c>
      <c r="CJ126" s="23">
        <f t="shared" si="286"/>
        <v>335</v>
      </c>
      <c r="CK126" s="23">
        <f>SUM(CH126-$W$3)</f>
        <v>0</v>
      </c>
      <c r="CL126" s="1134">
        <f t="shared" si="279"/>
        <v>335</v>
      </c>
      <c r="CM126" s="1134">
        <f t="shared" si="280"/>
        <v>44.113432835820895</v>
      </c>
      <c r="CN126" s="1134"/>
      <c r="CO126" s="1134"/>
      <c r="CP126" s="1134"/>
      <c r="CQ126" s="1134"/>
      <c r="CR126" s="1134">
        <f t="shared" si="281"/>
        <v>3.8925373134328356</v>
      </c>
      <c r="CS126" s="1134">
        <f t="shared" si="282"/>
        <v>0</v>
      </c>
      <c r="CT126" s="1134">
        <f t="shared" si="287"/>
        <v>3.8925373134328356</v>
      </c>
    </row>
    <row r="127" spans="1:98" ht="36.75" thickBot="1" x14ac:dyDescent="0.3">
      <c r="A127" s="58" t="str">
        <f>CONCATENATE('3 pr-2'!A128)</f>
        <v>2.1.2.1.7</v>
      </c>
      <c r="B127" s="9" t="str">
        <f>CONCATENATE('3 pr-2'!D128)</f>
        <v>Pirminės asmens sveikatos priežiūros kokybės ir prieinamumo gerinimas Druskininkų savivaldybėje</v>
      </c>
      <c r="C127" s="85">
        <v>0</v>
      </c>
      <c r="D127" s="85">
        <v>0</v>
      </c>
      <c r="E127" s="85">
        <v>0</v>
      </c>
      <c r="F127" s="282">
        <v>0</v>
      </c>
      <c r="G127" s="282">
        <v>0</v>
      </c>
      <c r="H127" s="282">
        <v>0</v>
      </c>
      <c r="I127" s="282">
        <v>0</v>
      </c>
      <c r="J127" s="85">
        <v>0</v>
      </c>
      <c r="K127" s="85">
        <v>0</v>
      </c>
      <c r="L127" s="286">
        <v>0</v>
      </c>
      <c r="M127" s="286">
        <v>0</v>
      </c>
      <c r="N127" s="286">
        <v>0</v>
      </c>
      <c r="O127" s="286">
        <v>0</v>
      </c>
      <c r="P127" s="85">
        <v>0</v>
      </c>
      <c r="Q127" s="85">
        <v>0</v>
      </c>
      <c r="R127" s="286">
        <v>0</v>
      </c>
      <c r="S127" s="286">
        <v>0</v>
      </c>
      <c r="T127" s="286">
        <v>0</v>
      </c>
      <c r="U127" s="286">
        <v>0</v>
      </c>
      <c r="V127" s="85">
        <v>0</v>
      </c>
      <c r="W127" s="85">
        <f t="shared" si="270"/>
        <v>81654.145006839943</v>
      </c>
      <c r="X127" s="282">
        <f t="shared" si="271"/>
        <v>0</v>
      </c>
      <c r="Y127" s="282">
        <f t="shared" si="272"/>
        <v>6124.1108071135441</v>
      </c>
      <c r="Z127" s="286">
        <f t="shared" si="284"/>
        <v>6124.1108071135441</v>
      </c>
      <c r="AA127" s="286">
        <v>0</v>
      </c>
      <c r="AB127" s="85">
        <f t="shared" si="273"/>
        <v>69405.923392612851</v>
      </c>
      <c r="AC127" s="85">
        <f t="shared" si="274"/>
        <v>81877.854993160057</v>
      </c>
      <c r="AD127" s="282">
        <f t="shared" si="275"/>
        <v>0</v>
      </c>
      <c r="AE127" s="282">
        <f t="shared" si="276"/>
        <v>6140.8891928864577</v>
      </c>
      <c r="AF127" s="286">
        <f t="shared" si="285"/>
        <v>6140.8891928864577</v>
      </c>
      <c r="AG127" s="282">
        <v>0</v>
      </c>
      <c r="AH127" s="85">
        <f t="shared" si="278"/>
        <v>69596.076607387135</v>
      </c>
      <c r="AI127" s="767">
        <f>SUM('3 pr-2'!L128)</f>
        <v>163532</v>
      </c>
      <c r="AJ127" s="84"/>
      <c r="AK127" s="282">
        <f>SUM('3 pr-2'!O128)</f>
        <v>0</v>
      </c>
      <c r="AL127" s="282"/>
      <c r="AM127" s="282">
        <f>SUM('3 pr-2'!R128)</f>
        <v>12265</v>
      </c>
      <c r="AN127" s="282"/>
      <c r="AO127" s="282">
        <f>SUM('3 pr-2'!U128)</f>
        <v>12265</v>
      </c>
      <c r="AP127" s="282"/>
      <c r="AQ127" s="282">
        <f>SUM('3 pr-2'!X128)</f>
        <v>0</v>
      </c>
      <c r="AR127" s="543"/>
      <c r="AS127" s="109">
        <f>SUM('3 pr-2'!AA128)</f>
        <v>139002</v>
      </c>
      <c r="AT127" s="499"/>
      <c r="AU127" s="1066">
        <v>0</v>
      </c>
      <c r="AV127" s="24">
        <v>0</v>
      </c>
      <c r="AW127" s="24">
        <v>0</v>
      </c>
      <c r="AX127" s="283">
        <v>0</v>
      </c>
      <c r="AY127" s="283">
        <v>0</v>
      </c>
      <c r="AZ127" s="283">
        <v>0</v>
      </c>
      <c r="BA127" s="283">
        <v>0</v>
      </c>
      <c r="BB127" s="24">
        <v>0</v>
      </c>
      <c r="BC127" s="24">
        <v>0</v>
      </c>
      <c r="BD127" s="283">
        <v>0</v>
      </c>
      <c r="BE127" s="283">
        <v>0</v>
      </c>
      <c r="BF127" s="283">
        <v>0</v>
      </c>
      <c r="BG127" s="283">
        <v>0</v>
      </c>
      <c r="BH127" s="24">
        <v>0</v>
      </c>
      <c r="BI127" s="24">
        <v>49.999999415680001</v>
      </c>
      <c r="BJ127" s="283">
        <v>49.999999415680001</v>
      </c>
      <c r="BK127" s="283">
        <v>49.999999415680001</v>
      </c>
      <c r="BL127" s="283">
        <v>49.999999415680001</v>
      </c>
      <c r="BM127" s="283">
        <v>49.999999415680001</v>
      </c>
      <c r="BN127" s="24">
        <v>50</v>
      </c>
      <c r="BO127" s="24">
        <v>49.999999415680001</v>
      </c>
      <c r="BP127" s="283">
        <v>49.999999415680001</v>
      </c>
      <c r="BQ127" s="283">
        <v>49.999999415680001</v>
      </c>
      <c r="BR127" s="283">
        <v>49.999999415680001</v>
      </c>
      <c r="BS127" s="283">
        <v>49.999999415680001</v>
      </c>
      <c r="BT127" s="24">
        <v>50</v>
      </c>
      <c r="BU127" s="24">
        <v>0</v>
      </c>
      <c r="BV127" s="283">
        <v>0</v>
      </c>
      <c r="BW127" s="283">
        <v>0</v>
      </c>
      <c r="BX127" s="283">
        <v>0</v>
      </c>
      <c r="BY127" s="283">
        <v>0</v>
      </c>
      <c r="BZ127" s="24">
        <v>0</v>
      </c>
      <c r="CA127" s="24">
        <v>100</v>
      </c>
      <c r="CB127" s="283">
        <v>100</v>
      </c>
      <c r="CC127" s="283">
        <v>100</v>
      </c>
      <c r="CD127" s="283">
        <v>100</v>
      </c>
      <c r="CE127" s="283">
        <v>100</v>
      </c>
      <c r="CF127" s="359">
        <v>100</v>
      </c>
      <c r="CG127" s="1112">
        <f>SUM('3 pr-2'!AI128)</f>
        <v>43465</v>
      </c>
      <c r="CH127" s="1112">
        <f>SUM('3 pr-2'!AK128)</f>
        <v>44196</v>
      </c>
      <c r="CI127" s="23">
        <f t="shared" si="288"/>
        <v>731</v>
      </c>
      <c r="CJ127" s="23">
        <f t="shared" si="286"/>
        <v>365</v>
      </c>
      <c r="CK127" s="23">
        <f t="shared" ref="CK127:CK130" si="289">SUM($AC$3-$W$3)</f>
        <v>366</v>
      </c>
      <c r="CL127" s="1134">
        <f t="shared" si="279"/>
        <v>731</v>
      </c>
      <c r="CM127" s="1134">
        <f t="shared" si="280"/>
        <v>190.15321477428179</v>
      </c>
      <c r="CN127" s="1134"/>
      <c r="CO127" s="1134"/>
      <c r="CP127" s="1134"/>
      <c r="CQ127" s="1134"/>
      <c r="CR127" s="1134">
        <f t="shared" si="281"/>
        <v>16.778385772913818</v>
      </c>
      <c r="CS127" s="1134">
        <f t="shared" si="282"/>
        <v>0</v>
      </c>
      <c r="CT127" s="1134">
        <f t="shared" ref="CT127:CT137" si="290">SUM(AO127/CL127)</f>
        <v>16.778385772913818</v>
      </c>
    </row>
    <row r="128" spans="1:98" ht="36.75" thickBot="1" x14ac:dyDescent="0.3">
      <c r="A128" s="58" t="str">
        <f>CONCATENATE('3 pr-2'!A129)</f>
        <v>2.1.2.1.8</v>
      </c>
      <c r="B128" s="9" t="str">
        <f>CONCATENATE('3 pr-2'!D129)</f>
        <v>UAB "Druskininkų šeimos klinika" asmens sveikatos priežiūros paslaugų prieinamumo ir efektyvumo didinimas</v>
      </c>
      <c r="C128" s="85">
        <v>0</v>
      </c>
      <c r="D128" s="85">
        <v>0</v>
      </c>
      <c r="E128" s="85">
        <v>0</v>
      </c>
      <c r="F128" s="282">
        <v>0</v>
      </c>
      <c r="G128" s="282">
        <v>0</v>
      </c>
      <c r="H128" s="282">
        <v>0</v>
      </c>
      <c r="I128" s="282">
        <v>0</v>
      </c>
      <c r="J128" s="85">
        <v>0</v>
      </c>
      <c r="K128" s="85">
        <v>0</v>
      </c>
      <c r="L128" s="286">
        <v>0</v>
      </c>
      <c r="M128" s="286">
        <v>0</v>
      </c>
      <c r="N128" s="286">
        <v>0</v>
      </c>
      <c r="O128" s="286">
        <v>0</v>
      </c>
      <c r="P128" s="85">
        <v>0</v>
      </c>
      <c r="Q128" s="85">
        <v>0</v>
      </c>
      <c r="R128" s="286">
        <v>0</v>
      </c>
      <c r="S128" s="286">
        <v>0</v>
      </c>
      <c r="T128" s="286">
        <v>0</v>
      </c>
      <c r="U128" s="286">
        <v>0</v>
      </c>
      <c r="V128" s="85">
        <v>0</v>
      </c>
      <c r="W128" s="85">
        <f t="shared" si="270"/>
        <v>9641.2529274004683</v>
      </c>
      <c r="X128" s="282">
        <f t="shared" si="271"/>
        <v>0</v>
      </c>
      <c r="Y128" s="282">
        <f t="shared" si="272"/>
        <v>723.3489461358314</v>
      </c>
      <c r="Z128" s="286">
        <f t="shared" si="284"/>
        <v>723.3489461358314</v>
      </c>
      <c r="AA128" s="286">
        <v>0</v>
      </c>
      <c r="AB128" s="85">
        <f t="shared" si="273"/>
        <v>8194.5550351288057</v>
      </c>
      <c r="AC128" s="85">
        <f t="shared" si="274"/>
        <v>2647.7470725995317</v>
      </c>
      <c r="AD128" s="282">
        <f t="shared" si="275"/>
        <v>0</v>
      </c>
      <c r="AE128" s="282">
        <f t="shared" si="276"/>
        <v>198.65105386416863</v>
      </c>
      <c r="AF128" s="286">
        <f t="shared" si="285"/>
        <v>198.65105386416863</v>
      </c>
      <c r="AG128" s="282">
        <v>0</v>
      </c>
      <c r="AH128" s="85">
        <f t="shared" si="278"/>
        <v>2250.4449648711943</v>
      </c>
      <c r="AI128" s="767">
        <f>SUM('3 pr-2'!L129)</f>
        <v>12289</v>
      </c>
      <c r="AJ128" s="84"/>
      <c r="AK128" s="282">
        <f>SUM('3 pr-2'!O129)</f>
        <v>0</v>
      </c>
      <c r="AL128" s="282"/>
      <c r="AM128" s="282">
        <f>SUM('3 pr-2'!R129)</f>
        <v>922</v>
      </c>
      <c r="AN128" s="282"/>
      <c r="AO128" s="282">
        <f>SUM('3 pr-2'!U129)</f>
        <v>922</v>
      </c>
      <c r="AP128" s="282"/>
      <c r="AQ128" s="282">
        <f>SUM('3 pr-2'!X129)</f>
        <v>0</v>
      </c>
      <c r="AR128" s="543"/>
      <c r="AS128" s="109">
        <f>SUM('3 pr-2'!AA129)</f>
        <v>10445</v>
      </c>
      <c r="AT128" s="499"/>
      <c r="AU128" s="1066">
        <v>0</v>
      </c>
      <c r="AV128" s="24">
        <v>0</v>
      </c>
      <c r="AW128" s="24">
        <v>0</v>
      </c>
      <c r="AX128" s="283">
        <v>0</v>
      </c>
      <c r="AY128" s="283">
        <v>0</v>
      </c>
      <c r="AZ128" s="283">
        <v>0</v>
      </c>
      <c r="BA128" s="283">
        <v>0</v>
      </c>
      <c r="BB128" s="24">
        <v>0</v>
      </c>
      <c r="BC128" s="24">
        <v>0</v>
      </c>
      <c r="BD128" s="283">
        <v>0</v>
      </c>
      <c r="BE128" s="283">
        <v>0</v>
      </c>
      <c r="BF128" s="283">
        <v>0</v>
      </c>
      <c r="BG128" s="283">
        <v>0</v>
      </c>
      <c r="BH128" s="24">
        <v>0</v>
      </c>
      <c r="BI128" s="24">
        <v>49.999999415680001</v>
      </c>
      <c r="BJ128" s="283">
        <v>49.999999415680001</v>
      </c>
      <c r="BK128" s="283">
        <v>49.999999415680001</v>
      </c>
      <c r="BL128" s="283">
        <v>49.999999415680001</v>
      </c>
      <c r="BM128" s="283">
        <v>49.999999415680001</v>
      </c>
      <c r="BN128" s="24">
        <v>50</v>
      </c>
      <c r="BO128" s="24">
        <v>49.999999415680001</v>
      </c>
      <c r="BP128" s="283">
        <v>49.999999415680001</v>
      </c>
      <c r="BQ128" s="283">
        <v>49.999999415680001</v>
      </c>
      <c r="BR128" s="283">
        <v>49.999999415680001</v>
      </c>
      <c r="BS128" s="283">
        <v>49.999999415680001</v>
      </c>
      <c r="BT128" s="24">
        <v>50</v>
      </c>
      <c r="BU128" s="24">
        <v>0</v>
      </c>
      <c r="BV128" s="283">
        <v>0</v>
      </c>
      <c r="BW128" s="283">
        <v>0</v>
      </c>
      <c r="BX128" s="283">
        <v>0</v>
      </c>
      <c r="BY128" s="283">
        <v>0</v>
      </c>
      <c r="BZ128" s="24">
        <v>0</v>
      </c>
      <c r="CA128" s="24">
        <v>100</v>
      </c>
      <c r="CB128" s="283">
        <v>100</v>
      </c>
      <c r="CC128" s="283">
        <v>100</v>
      </c>
      <c r="CD128" s="283">
        <v>100</v>
      </c>
      <c r="CE128" s="283">
        <v>100</v>
      </c>
      <c r="CF128" s="359">
        <v>100</v>
      </c>
      <c r="CG128" s="1112">
        <f>SUM('3 pr-2'!AI129)</f>
        <v>43495</v>
      </c>
      <c r="CH128" s="1112">
        <f>SUM('3 pr-2'!AK129)</f>
        <v>43922</v>
      </c>
      <c r="CI128" s="23">
        <f t="shared" si="288"/>
        <v>427</v>
      </c>
      <c r="CJ128" s="23">
        <f t="shared" si="286"/>
        <v>335</v>
      </c>
      <c r="CK128" s="23">
        <f>SUM(CH128-$W$3)</f>
        <v>92</v>
      </c>
      <c r="CL128" s="1134">
        <f t="shared" si="279"/>
        <v>427</v>
      </c>
      <c r="CM128" s="1134">
        <f t="shared" si="280"/>
        <v>24.461358313817332</v>
      </c>
      <c r="CN128" s="1134"/>
      <c r="CO128" s="1134"/>
      <c r="CP128" s="1134"/>
      <c r="CQ128" s="1134"/>
      <c r="CR128" s="1134">
        <f t="shared" si="281"/>
        <v>2.1592505854800939</v>
      </c>
      <c r="CS128" s="1134">
        <f t="shared" si="282"/>
        <v>0</v>
      </c>
      <c r="CT128" s="1134">
        <f t="shared" si="290"/>
        <v>2.1592505854800939</v>
      </c>
    </row>
    <row r="129" spans="1:98" ht="48.75" thickBot="1" x14ac:dyDescent="0.3">
      <c r="A129" s="58" t="str">
        <f>CONCATENATE('3 pr-2'!A130)</f>
        <v>2.1.2.1.9</v>
      </c>
      <c r="B129" s="9" t="str">
        <f>CONCATENATE('3 pr-2'!D130)</f>
        <v>I. S. Kavaliauskienės įmonės teikiamų pirminės ambulatorinės asmens sveikatos priežiūros paslaugų kokybės ir prieinamumo gerinimas.</v>
      </c>
      <c r="C129" s="85">
        <v>0</v>
      </c>
      <c r="D129" s="85">
        <v>0</v>
      </c>
      <c r="E129" s="85">
        <v>0</v>
      </c>
      <c r="F129" s="282">
        <v>0</v>
      </c>
      <c r="G129" s="282">
        <v>0</v>
      </c>
      <c r="H129" s="282">
        <v>0</v>
      </c>
      <c r="I129" s="282">
        <v>0</v>
      </c>
      <c r="J129" s="85">
        <v>0</v>
      </c>
      <c r="K129" s="85">
        <v>0</v>
      </c>
      <c r="L129" s="286">
        <v>0</v>
      </c>
      <c r="M129" s="286">
        <v>0</v>
      </c>
      <c r="N129" s="286">
        <v>0</v>
      </c>
      <c r="O129" s="286">
        <v>0</v>
      </c>
      <c r="P129" s="85">
        <v>0</v>
      </c>
      <c r="Q129" s="85">
        <v>0</v>
      </c>
      <c r="R129" s="286">
        <v>0</v>
      </c>
      <c r="S129" s="286">
        <v>0</v>
      </c>
      <c r="T129" s="286">
        <v>0</v>
      </c>
      <c r="U129" s="286">
        <v>0</v>
      </c>
      <c r="V129" s="85">
        <v>0</v>
      </c>
      <c r="W129" s="85">
        <f t="shared" si="270"/>
        <v>25517</v>
      </c>
      <c r="X129" s="282">
        <f t="shared" si="271"/>
        <v>0</v>
      </c>
      <c r="Y129" s="282">
        <f t="shared" si="272"/>
        <v>1914</v>
      </c>
      <c r="Z129" s="286">
        <f t="shared" si="284"/>
        <v>1914</v>
      </c>
      <c r="AA129" s="286">
        <v>0</v>
      </c>
      <c r="AB129" s="85">
        <f t="shared" si="273"/>
        <v>21689</v>
      </c>
      <c r="AC129" s="85">
        <f t="shared" si="274"/>
        <v>0</v>
      </c>
      <c r="AD129" s="282">
        <f t="shared" si="275"/>
        <v>0</v>
      </c>
      <c r="AE129" s="282">
        <f t="shared" si="276"/>
        <v>0</v>
      </c>
      <c r="AF129" s="286">
        <f t="shared" si="285"/>
        <v>0</v>
      </c>
      <c r="AG129" s="282">
        <v>0</v>
      </c>
      <c r="AH129" s="85">
        <f t="shared" si="278"/>
        <v>0</v>
      </c>
      <c r="AI129" s="767">
        <f>SUM('3 pr-2'!L130)</f>
        <v>25517</v>
      </c>
      <c r="AJ129" s="84"/>
      <c r="AK129" s="282">
        <f>SUM('3 pr-2'!O130)</f>
        <v>0</v>
      </c>
      <c r="AL129" s="282"/>
      <c r="AM129" s="282">
        <f>SUM('3 pr-2'!R130)</f>
        <v>1914</v>
      </c>
      <c r="AN129" s="282"/>
      <c r="AO129" s="282">
        <f>SUM('3 pr-2'!U130)</f>
        <v>1914</v>
      </c>
      <c r="AP129" s="282"/>
      <c r="AQ129" s="282">
        <f>SUM('3 pr-2'!X130)</f>
        <v>0</v>
      </c>
      <c r="AR129" s="543"/>
      <c r="AS129" s="109">
        <f>SUM('3 pr-2'!AA130)</f>
        <v>21689</v>
      </c>
      <c r="AT129" s="499"/>
      <c r="AU129" s="1066"/>
      <c r="AV129" s="24"/>
      <c r="AW129" s="24"/>
      <c r="AX129" s="283"/>
      <c r="AY129" s="283"/>
      <c r="AZ129" s="283"/>
      <c r="BA129" s="283"/>
      <c r="BB129" s="24"/>
      <c r="BC129" s="24"/>
      <c r="BD129" s="283"/>
      <c r="BE129" s="283"/>
      <c r="BF129" s="283"/>
      <c r="BG129" s="283"/>
      <c r="BH129" s="24"/>
      <c r="BI129" s="24"/>
      <c r="BJ129" s="283"/>
      <c r="BK129" s="283"/>
      <c r="BL129" s="283"/>
      <c r="BM129" s="283"/>
      <c r="BN129" s="24"/>
      <c r="BO129" s="24"/>
      <c r="BP129" s="283"/>
      <c r="BQ129" s="283"/>
      <c r="BR129" s="283"/>
      <c r="BS129" s="283"/>
      <c r="BT129" s="24"/>
      <c r="BU129" s="24"/>
      <c r="BV129" s="283"/>
      <c r="BW129" s="283"/>
      <c r="BX129" s="283"/>
      <c r="BY129" s="283"/>
      <c r="BZ129" s="24"/>
      <c r="CA129" s="24"/>
      <c r="CB129" s="283"/>
      <c r="CC129" s="283"/>
      <c r="CD129" s="283"/>
      <c r="CE129" s="283"/>
      <c r="CF129" s="359"/>
      <c r="CG129" s="1112">
        <f>SUM('3 pr-2'!AI130)</f>
        <v>43464</v>
      </c>
      <c r="CH129" s="1112">
        <f>SUM('3 pr-2'!AK130)</f>
        <v>43830</v>
      </c>
      <c r="CI129" s="23">
        <f t="shared" si="288"/>
        <v>366</v>
      </c>
      <c r="CJ129" s="23">
        <f t="shared" si="286"/>
        <v>366</v>
      </c>
      <c r="CK129" s="23">
        <f>SUM(CH129-$W$3)</f>
        <v>0</v>
      </c>
      <c r="CL129" s="1134">
        <f t="shared" si="279"/>
        <v>366</v>
      </c>
      <c r="CM129" s="1134">
        <f t="shared" si="280"/>
        <v>59.259562841530055</v>
      </c>
      <c r="CN129" s="1134"/>
      <c r="CO129" s="1134"/>
      <c r="CP129" s="1134"/>
      <c r="CQ129" s="1134"/>
      <c r="CR129" s="1134">
        <f t="shared" si="281"/>
        <v>5.2295081967213113</v>
      </c>
      <c r="CS129" s="1134">
        <f t="shared" si="282"/>
        <v>0</v>
      </c>
      <c r="CT129" s="1134">
        <f t="shared" si="290"/>
        <v>5.2295081967213113</v>
      </c>
    </row>
    <row r="130" spans="1:98" ht="60.75" thickBot="1" x14ac:dyDescent="0.3">
      <c r="A130" s="58" t="str">
        <f>CONCATENATE('3 pr-2'!A131)</f>
        <v>2.1.2.1.10</v>
      </c>
      <c r="B130" s="9" t="str">
        <f>CONCATENATE('3 pr-2'!D131)</f>
        <v>Pirminės ambulatorinės asmens sveikatos priežiūros efektyvumo didinimas R.Ambrazaitienės ir L. Puzinovienės šeimos gydytojų kabinetuose</v>
      </c>
      <c r="C130" s="85">
        <v>0</v>
      </c>
      <c r="D130" s="85">
        <v>0</v>
      </c>
      <c r="E130" s="85">
        <v>0</v>
      </c>
      <c r="F130" s="282">
        <v>0</v>
      </c>
      <c r="G130" s="282">
        <v>0</v>
      </c>
      <c r="H130" s="282">
        <v>0</v>
      </c>
      <c r="I130" s="282">
        <v>0</v>
      </c>
      <c r="J130" s="85">
        <v>0</v>
      </c>
      <c r="K130" s="85">
        <v>0</v>
      </c>
      <c r="L130" s="286">
        <v>0</v>
      </c>
      <c r="M130" s="286">
        <v>0</v>
      </c>
      <c r="N130" s="286">
        <v>0</v>
      </c>
      <c r="O130" s="286">
        <v>0</v>
      </c>
      <c r="P130" s="85">
        <v>0</v>
      </c>
      <c r="Q130" s="85">
        <v>0</v>
      </c>
      <c r="R130" s="286">
        <v>0</v>
      </c>
      <c r="S130" s="286">
        <v>0</v>
      </c>
      <c r="T130" s="286">
        <v>0</v>
      </c>
      <c r="U130" s="286">
        <v>0</v>
      </c>
      <c r="V130" s="85">
        <v>0</v>
      </c>
      <c r="W130" s="85">
        <f t="shared" si="270"/>
        <v>13335.962910128388</v>
      </c>
      <c r="X130" s="282">
        <f t="shared" si="271"/>
        <v>0</v>
      </c>
      <c r="Y130" s="282">
        <f t="shared" si="272"/>
        <v>1000.2211126961483</v>
      </c>
      <c r="Z130" s="286">
        <f t="shared" si="284"/>
        <v>1000.2211126961483</v>
      </c>
      <c r="AA130" s="286">
        <v>0</v>
      </c>
      <c r="AB130" s="85">
        <f t="shared" si="273"/>
        <v>11335.520684736091</v>
      </c>
      <c r="AC130" s="85">
        <f t="shared" si="274"/>
        <v>14570.037089871612</v>
      </c>
      <c r="AD130" s="282">
        <f t="shared" si="275"/>
        <v>0</v>
      </c>
      <c r="AE130" s="282">
        <f t="shared" si="276"/>
        <v>1092.7788873038517</v>
      </c>
      <c r="AF130" s="286">
        <f t="shared" si="285"/>
        <v>1092.7788873038517</v>
      </c>
      <c r="AG130" s="282">
        <v>0</v>
      </c>
      <c r="AH130" s="85">
        <f t="shared" si="278"/>
        <v>12384.479315263909</v>
      </c>
      <c r="AI130" s="767">
        <f>SUM('3 pr-2'!L131)</f>
        <v>27906</v>
      </c>
      <c r="AJ130" s="84"/>
      <c r="AK130" s="282">
        <f>SUM('3 pr-2'!O131)</f>
        <v>0</v>
      </c>
      <c r="AL130" s="282"/>
      <c r="AM130" s="282">
        <f>SUM('3 pr-2'!R131)</f>
        <v>2093</v>
      </c>
      <c r="AN130" s="282"/>
      <c r="AO130" s="282">
        <f>SUM('3 pr-2'!U131)</f>
        <v>2093</v>
      </c>
      <c r="AP130" s="282"/>
      <c r="AQ130" s="282">
        <f>SUM('3 pr-2'!X131)</f>
        <v>0</v>
      </c>
      <c r="AR130" s="543"/>
      <c r="AS130" s="109">
        <f>SUM('3 pr-2'!AA131)</f>
        <v>23720</v>
      </c>
      <c r="AT130" s="499"/>
      <c r="AU130" s="1066"/>
      <c r="AV130" s="24"/>
      <c r="AW130" s="24"/>
      <c r="AX130" s="283"/>
      <c r="AY130" s="283"/>
      <c r="AZ130" s="283"/>
      <c r="BA130" s="283"/>
      <c r="BB130" s="24"/>
      <c r="BC130" s="24"/>
      <c r="BD130" s="283"/>
      <c r="BE130" s="283"/>
      <c r="BF130" s="283"/>
      <c r="BG130" s="283"/>
      <c r="BH130" s="24"/>
      <c r="BI130" s="24"/>
      <c r="BJ130" s="283"/>
      <c r="BK130" s="283"/>
      <c r="BL130" s="283"/>
      <c r="BM130" s="283"/>
      <c r="BN130" s="24"/>
      <c r="BO130" s="24"/>
      <c r="BP130" s="283"/>
      <c r="BQ130" s="283"/>
      <c r="BR130" s="283"/>
      <c r="BS130" s="283"/>
      <c r="BT130" s="24"/>
      <c r="BU130" s="24"/>
      <c r="BV130" s="283"/>
      <c r="BW130" s="283"/>
      <c r="BX130" s="283"/>
      <c r="BY130" s="283"/>
      <c r="BZ130" s="24"/>
      <c r="CA130" s="24"/>
      <c r="CB130" s="283"/>
      <c r="CC130" s="283"/>
      <c r="CD130" s="283"/>
      <c r="CE130" s="283"/>
      <c r="CF130" s="359"/>
      <c r="CG130" s="1112">
        <f>SUM('3 pr-2'!AI131)</f>
        <v>43495</v>
      </c>
      <c r="CH130" s="1112">
        <f>SUM('3 pr-2'!AK131)</f>
        <v>44196</v>
      </c>
      <c r="CI130" s="23">
        <f t="shared" si="288"/>
        <v>701</v>
      </c>
      <c r="CJ130" s="23">
        <f t="shared" si="286"/>
        <v>335</v>
      </c>
      <c r="CK130" s="23">
        <f t="shared" si="289"/>
        <v>366</v>
      </c>
      <c r="CL130" s="1134">
        <f t="shared" si="279"/>
        <v>701</v>
      </c>
      <c r="CM130" s="1134">
        <f t="shared" si="280"/>
        <v>33.837375178316691</v>
      </c>
      <c r="CN130" s="1134"/>
      <c r="CO130" s="1134"/>
      <c r="CP130" s="1134"/>
      <c r="CQ130" s="1134"/>
      <c r="CR130" s="1134">
        <f t="shared" si="281"/>
        <v>2.9857346647646219</v>
      </c>
      <c r="CS130" s="1134">
        <f t="shared" si="282"/>
        <v>0</v>
      </c>
      <c r="CT130" s="1134">
        <f t="shared" si="290"/>
        <v>2.9857346647646219</v>
      </c>
    </row>
    <row r="131" spans="1:98" ht="36.75" thickBot="1" x14ac:dyDescent="0.3">
      <c r="A131" s="58" t="str">
        <f>CONCATENATE('3 pr-2'!A132)</f>
        <v>2.1.2.1.11</v>
      </c>
      <c r="B131" s="9" t="str">
        <f>CONCATENATE('3 pr-2'!D132)</f>
        <v xml:space="preserve">Pirminės asmens sveikatos priežiūros veiklos efektyvumo didinimas Lazdijų rajono savivaldybėje </v>
      </c>
      <c r="C131" s="85">
        <v>0</v>
      </c>
      <c r="D131" s="85">
        <v>0</v>
      </c>
      <c r="E131" s="85">
        <v>0</v>
      </c>
      <c r="F131" s="282">
        <v>0</v>
      </c>
      <c r="G131" s="282">
        <v>0</v>
      </c>
      <c r="H131" s="282">
        <v>0</v>
      </c>
      <c r="I131" s="282">
        <v>0</v>
      </c>
      <c r="J131" s="85">
        <v>0</v>
      </c>
      <c r="K131" s="85">
        <v>0</v>
      </c>
      <c r="L131" s="286">
        <v>0</v>
      </c>
      <c r="M131" s="286">
        <v>0</v>
      </c>
      <c r="N131" s="286">
        <v>0</v>
      </c>
      <c r="O131" s="286">
        <v>0</v>
      </c>
      <c r="P131" s="85">
        <v>0</v>
      </c>
      <c r="Q131" s="85">
        <v>0</v>
      </c>
      <c r="R131" s="286">
        <v>0</v>
      </c>
      <c r="S131" s="286">
        <v>0</v>
      </c>
      <c r="T131" s="286">
        <v>0</v>
      </c>
      <c r="U131" s="286">
        <v>0</v>
      </c>
      <c r="V131" s="85">
        <v>0</v>
      </c>
      <c r="W131" s="85">
        <f t="shared" si="270"/>
        <v>62191.445410628017</v>
      </c>
      <c r="X131" s="282">
        <f t="shared" si="271"/>
        <v>962.62995169082137</v>
      </c>
      <c r="Y131" s="282">
        <f t="shared" si="272"/>
        <v>4664.3826086956524</v>
      </c>
      <c r="Z131" s="286">
        <f t="shared" si="284"/>
        <v>3701.7526570048308</v>
      </c>
      <c r="AA131" s="286">
        <v>0</v>
      </c>
      <c r="AB131" s="85">
        <f t="shared" si="273"/>
        <v>52862.680193236716</v>
      </c>
      <c r="AC131" s="85">
        <f t="shared" si="274"/>
        <v>130527.55458937198</v>
      </c>
      <c r="AD131" s="282">
        <f t="shared" si="275"/>
        <v>2020.3700483091789</v>
      </c>
      <c r="AE131" s="282">
        <f t="shared" si="276"/>
        <v>9789.6173913043476</v>
      </c>
      <c r="AF131" s="286">
        <f t="shared" si="285"/>
        <v>7769.2473429951688</v>
      </c>
      <c r="AG131" s="282">
        <v>0</v>
      </c>
      <c r="AH131" s="85">
        <f t="shared" si="278"/>
        <v>110948.31980676329</v>
      </c>
      <c r="AI131" s="768">
        <f>SUM('3 pr-2'!L132)</f>
        <v>192719</v>
      </c>
      <c r="AJ131" s="84"/>
      <c r="AK131" s="282">
        <f>SUM('3 pr-2'!O132)</f>
        <v>2983</v>
      </c>
      <c r="AL131" s="282"/>
      <c r="AM131" s="282">
        <f>SUM('3 pr-2'!R132)</f>
        <v>14454</v>
      </c>
      <c r="AN131" s="282"/>
      <c r="AO131" s="282">
        <f>SUM('3 pr-2'!U132)</f>
        <v>11471</v>
      </c>
      <c r="AP131" s="282"/>
      <c r="AQ131" s="282">
        <f>SUM('3 pr-2'!X132)</f>
        <v>0</v>
      </c>
      <c r="AR131" s="543"/>
      <c r="AS131" s="109">
        <f>SUM('3 pr-2'!AA132)</f>
        <v>163811</v>
      </c>
      <c r="AT131" s="499"/>
      <c r="AU131" s="1066"/>
      <c r="AV131" s="24"/>
      <c r="AW131" s="24"/>
      <c r="AX131" s="283"/>
      <c r="AY131" s="283"/>
      <c r="AZ131" s="283"/>
      <c r="BA131" s="283"/>
      <c r="BB131" s="24"/>
      <c r="BC131" s="24"/>
      <c r="BD131" s="283"/>
      <c r="BE131" s="283"/>
      <c r="BF131" s="283"/>
      <c r="BG131" s="283"/>
      <c r="BH131" s="24"/>
      <c r="BI131" s="24"/>
      <c r="BJ131" s="283"/>
      <c r="BK131" s="283"/>
      <c r="BL131" s="283"/>
      <c r="BM131" s="283"/>
      <c r="BN131" s="24"/>
      <c r="BO131" s="24"/>
      <c r="BP131" s="283"/>
      <c r="BQ131" s="283"/>
      <c r="BR131" s="283"/>
      <c r="BS131" s="283"/>
      <c r="BT131" s="24"/>
      <c r="BU131" s="24"/>
      <c r="BV131" s="283"/>
      <c r="BW131" s="283"/>
      <c r="BX131" s="283"/>
      <c r="BY131" s="283"/>
      <c r="BZ131" s="24"/>
      <c r="CA131" s="24"/>
      <c r="CB131" s="283"/>
      <c r="CC131" s="283"/>
      <c r="CD131" s="283"/>
      <c r="CE131" s="283"/>
      <c r="CF131" s="359"/>
      <c r="CG131" s="1112">
        <f>SUM('3 pr-2'!AI132)</f>
        <v>43496</v>
      </c>
      <c r="CH131" s="1112">
        <f>SUM('3 pr-2'!AK132)</f>
        <v>44531</v>
      </c>
      <c r="CI131" s="23">
        <f t="shared" si="288"/>
        <v>1035</v>
      </c>
      <c r="CJ131" s="23">
        <f t="shared" si="286"/>
        <v>334</v>
      </c>
      <c r="CK131" s="23">
        <f>SUM(CH131-$W$3)</f>
        <v>701</v>
      </c>
      <c r="CL131" s="1134">
        <f t="shared" si="279"/>
        <v>1035</v>
      </c>
      <c r="CM131" s="1134">
        <f t="shared" si="280"/>
        <v>158.27149758454107</v>
      </c>
      <c r="CN131" s="1134"/>
      <c r="CO131" s="1134"/>
      <c r="CP131" s="1134"/>
      <c r="CQ131" s="1134"/>
      <c r="CR131" s="1134">
        <f t="shared" si="281"/>
        <v>13.965217391304348</v>
      </c>
      <c r="CS131" s="1134">
        <f t="shared" si="282"/>
        <v>2.8821256038647345</v>
      </c>
      <c r="CT131" s="1134">
        <f t="shared" si="290"/>
        <v>11.083091787439614</v>
      </c>
    </row>
    <row r="132" spans="1:98" ht="36.75" thickBot="1" x14ac:dyDescent="0.3">
      <c r="A132" s="58" t="str">
        <f>CONCATENATE('3 pr-2'!A133)</f>
        <v>2.1.2.1.12</v>
      </c>
      <c r="B132" s="9" t="str">
        <f>CONCATENATE('3 pr-2'!D133)</f>
        <v>Pirminės asmens sveikatos priežiūros veiklos efektyvumo didinimas Varėnos rajono savivaldybėje</v>
      </c>
      <c r="C132" s="85">
        <v>0</v>
      </c>
      <c r="D132" s="85">
        <v>0</v>
      </c>
      <c r="E132" s="85">
        <v>0</v>
      </c>
      <c r="F132" s="282">
        <v>0</v>
      </c>
      <c r="G132" s="282">
        <v>0</v>
      </c>
      <c r="H132" s="282">
        <v>0</v>
      </c>
      <c r="I132" s="282">
        <v>0</v>
      </c>
      <c r="J132" s="85">
        <v>0</v>
      </c>
      <c r="K132" s="85">
        <v>0</v>
      </c>
      <c r="L132" s="286">
        <v>0</v>
      </c>
      <c r="M132" s="286">
        <v>0</v>
      </c>
      <c r="N132" s="286">
        <v>0</v>
      </c>
      <c r="O132" s="286">
        <v>0</v>
      </c>
      <c r="P132" s="85">
        <v>0</v>
      </c>
      <c r="Q132" s="85">
        <v>0</v>
      </c>
      <c r="R132" s="286">
        <v>0</v>
      </c>
      <c r="S132" s="286">
        <v>0</v>
      </c>
      <c r="T132" s="286">
        <v>0</v>
      </c>
      <c r="U132" s="286">
        <v>0</v>
      </c>
      <c r="V132" s="85">
        <v>0</v>
      </c>
      <c r="W132" s="85">
        <f t="shared" si="270"/>
        <v>88036.186046511633</v>
      </c>
      <c r="X132" s="282">
        <f t="shared" si="271"/>
        <v>6602.7824897400824</v>
      </c>
      <c r="Y132" s="282">
        <f t="shared" si="272"/>
        <v>6602.7824897400824</v>
      </c>
      <c r="Z132" s="286">
        <f t="shared" si="284"/>
        <v>0</v>
      </c>
      <c r="AA132" s="286">
        <v>0</v>
      </c>
      <c r="AB132" s="85">
        <f t="shared" si="273"/>
        <v>74830.621067031461</v>
      </c>
      <c r="AC132" s="85">
        <f t="shared" si="274"/>
        <v>104641.81395348838</v>
      </c>
      <c r="AD132" s="282">
        <f t="shared" si="275"/>
        <v>7848.2175102599185</v>
      </c>
      <c r="AE132" s="282">
        <f t="shared" si="276"/>
        <v>7848.2175102599185</v>
      </c>
      <c r="AF132" s="286">
        <f t="shared" si="285"/>
        <v>0</v>
      </c>
      <c r="AG132" s="282">
        <v>0</v>
      </c>
      <c r="AH132" s="85">
        <f t="shared" si="278"/>
        <v>88945.378932968539</v>
      </c>
      <c r="AI132" s="768">
        <f>SUM('3 pr-2'!L133)</f>
        <v>192678</v>
      </c>
      <c r="AJ132" s="84"/>
      <c r="AK132" s="282">
        <f>SUM('3 pr-2'!O133)</f>
        <v>14451</v>
      </c>
      <c r="AL132" s="282"/>
      <c r="AM132" s="282">
        <f>SUM('3 pr-2'!R133)</f>
        <v>14451</v>
      </c>
      <c r="AN132" s="282"/>
      <c r="AO132" s="282">
        <f>SUM('3 pr-2'!U133)</f>
        <v>0</v>
      </c>
      <c r="AP132" s="282"/>
      <c r="AQ132" s="282">
        <f>SUM('3 pr-2'!X133)</f>
        <v>0</v>
      </c>
      <c r="AR132" s="543"/>
      <c r="AS132" s="109">
        <f>SUM('3 pr-2'!AA133)</f>
        <v>163776</v>
      </c>
      <c r="AT132" s="499"/>
      <c r="AU132" s="1066"/>
      <c r="AV132" s="24"/>
      <c r="AW132" s="24"/>
      <c r="AX132" s="283"/>
      <c r="AY132" s="283"/>
      <c r="AZ132" s="283"/>
      <c r="BA132" s="283"/>
      <c r="BB132" s="24"/>
      <c r="BC132" s="24"/>
      <c r="BD132" s="283"/>
      <c r="BE132" s="283"/>
      <c r="BF132" s="283"/>
      <c r="BG132" s="283"/>
      <c r="BH132" s="24"/>
      <c r="BI132" s="24"/>
      <c r="BJ132" s="283"/>
      <c r="BK132" s="283"/>
      <c r="BL132" s="283"/>
      <c r="BM132" s="283"/>
      <c r="BN132" s="24"/>
      <c r="BO132" s="24"/>
      <c r="BP132" s="283"/>
      <c r="BQ132" s="283"/>
      <c r="BR132" s="283"/>
      <c r="BS132" s="283"/>
      <c r="BT132" s="24"/>
      <c r="BU132" s="24"/>
      <c r="BV132" s="283"/>
      <c r="BW132" s="283"/>
      <c r="BX132" s="283"/>
      <c r="BY132" s="283"/>
      <c r="BZ132" s="24"/>
      <c r="CA132" s="24"/>
      <c r="CB132" s="283"/>
      <c r="CC132" s="283"/>
      <c r="CD132" s="283"/>
      <c r="CE132" s="283"/>
      <c r="CF132" s="359"/>
      <c r="CG132" s="1112">
        <f>SUM('3 pr-2'!AI133)</f>
        <v>43496</v>
      </c>
      <c r="CH132" s="1112">
        <f>SUM('3 pr-2'!AK133)</f>
        <v>44227</v>
      </c>
      <c r="CI132" s="23">
        <f t="shared" si="288"/>
        <v>731</v>
      </c>
      <c r="CJ132" s="23">
        <f t="shared" si="286"/>
        <v>334</v>
      </c>
      <c r="CK132" s="23">
        <f>SUM(CH132-$W$3)</f>
        <v>397</v>
      </c>
      <c r="CL132" s="1134">
        <f t="shared" si="279"/>
        <v>731</v>
      </c>
      <c r="CM132" s="1134">
        <f t="shared" si="280"/>
        <v>224.04377564979481</v>
      </c>
      <c r="CN132" s="1134"/>
      <c r="CO132" s="1134"/>
      <c r="CP132" s="1134"/>
      <c r="CQ132" s="1134"/>
      <c r="CR132" s="1134">
        <f t="shared" si="281"/>
        <v>19.768809849521205</v>
      </c>
      <c r="CS132" s="1134">
        <f t="shared" si="282"/>
        <v>19.768809849521205</v>
      </c>
      <c r="CT132" s="1134">
        <f t="shared" si="290"/>
        <v>0</v>
      </c>
    </row>
    <row r="133" spans="1:98" ht="36.75" thickBot="1" x14ac:dyDescent="0.3">
      <c r="A133" s="58" t="str">
        <f>CONCATENATE('3 pr-2'!A134)</f>
        <v>2.1.2.1.13</v>
      </c>
      <c r="B133" s="9" t="str">
        <f>CONCATENATE('3 pr-2'!D134)</f>
        <v>Pirminės asmens sveikatos priežiūros veiklos efektyvumo didinimas N. Jarašienės personalinėje įmonėje</v>
      </c>
      <c r="C133" s="85">
        <v>0</v>
      </c>
      <c r="D133" s="85">
        <v>0</v>
      </c>
      <c r="E133" s="85">
        <v>0</v>
      </c>
      <c r="F133" s="282">
        <v>0</v>
      </c>
      <c r="G133" s="282">
        <v>0</v>
      </c>
      <c r="H133" s="282">
        <v>0</v>
      </c>
      <c r="I133" s="282">
        <v>0</v>
      </c>
      <c r="J133" s="85">
        <v>0</v>
      </c>
      <c r="K133" s="85">
        <v>0</v>
      </c>
      <c r="L133" s="286">
        <v>0</v>
      </c>
      <c r="M133" s="286">
        <v>0</v>
      </c>
      <c r="N133" s="286">
        <v>0</v>
      </c>
      <c r="O133" s="286">
        <v>0</v>
      </c>
      <c r="P133" s="85">
        <v>0</v>
      </c>
      <c r="Q133" s="85">
        <v>0</v>
      </c>
      <c r="R133" s="286">
        <v>0</v>
      </c>
      <c r="S133" s="286">
        <v>0</v>
      </c>
      <c r="T133" s="286">
        <v>0</v>
      </c>
      <c r="U133" s="286">
        <v>0</v>
      </c>
      <c r="V133" s="85">
        <v>0</v>
      </c>
      <c r="W133" s="85">
        <f>SUM(AI133)</f>
        <v>8305</v>
      </c>
      <c r="X133" s="282">
        <f>SUM(AK133)</f>
        <v>0</v>
      </c>
      <c r="Y133" s="282">
        <f>SUM(AM133)</f>
        <v>623</v>
      </c>
      <c r="Z133" s="286">
        <f>SUM(AO133)</f>
        <v>623</v>
      </c>
      <c r="AA133" s="286">
        <f>SUM(AQ133)</f>
        <v>0</v>
      </c>
      <c r="AB133" s="85">
        <f>SUM(AS133)</f>
        <v>7059</v>
      </c>
      <c r="AC133" s="85">
        <v>0</v>
      </c>
      <c r="AD133" s="282">
        <v>0</v>
      </c>
      <c r="AE133" s="282">
        <v>0</v>
      </c>
      <c r="AF133" s="286">
        <v>0</v>
      </c>
      <c r="AG133" s="282">
        <v>0</v>
      </c>
      <c r="AH133" s="85">
        <v>0</v>
      </c>
      <c r="AI133" s="768">
        <f>SUM('3 pr-2'!L134)</f>
        <v>8305</v>
      </c>
      <c r="AJ133" s="84"/>
      <c r="AK133" s="282">
        <f>SUM('3 pr-2'!O134)</f>
        <v>0</v>
      </c>
      <c r="AL133" s="282"/>
      <c r="AM133" s="282">
        <f>SUM('3 pr-2'!R134)</f>
        <v>623</v>
      </c>
      <c r="AN133" s="282"/>
      <c r="AO133" s="282">
        <f>SUM('3 pr-2'!U134)</f>
        <v>623</v>
      </c>
      <c r="AP133" s="282"/>
      <c r="AQ133" s="282">
        <f>SUM('3 pr-2'!X134)</f>
        <v>0</v>
      </c>
      <c r="AR133" s="543"/>
      <c r="AS133" s="109">
        <f>SUM('3 pr-2'!AA134)</f>
        <v>7059</v>
      </c>
      <c r="AT133" s="499"/>
      <c r="AU133" s="1066"/>
      <c r="AV133" s="24"/>
      <c r="AW133" s="24"/>
      <c r="AX133" s="283"/>
      <c r="AY133" s="283"/>
      <c r="AZ133" s="283"/>
      <c r="BA133" s="283"/>
      <c r="BB133" s="24"/>
      <c r="BC133" s="24"/>
      <c r="BD133" s="283"/>
      <c r="BE133" s="283"/>
      <c r="BF133" s="283"/>
      <c r="BG133" s="283"/>
      <c r="BH133" s="24"/>
      <c r="BI133" s="24"/>
      <c r="BJ133" s="283"/>
      <c r="BK133" s="283"/>
      <c r="BL133" s="283"/>
      <c r="BM133" s="283"/>
      <c r="BN133" s="24"/>
      <c r="BO133" s="24"/>
      <c r="BP133" s="283"/>
      <c r="BQ133" s="283"/>
      <c r="BR133" s="283"/>
      <c r="BS133" s="283"/>
      <c r="BT133" s="24"/>
      <c r="BU133" s="24"/>
      <c r="BV133" s="283"/>
      <c r="BW133" s="283"/>
      <c r="BX133" s="283"/>
      <c r="BY133" s="283"/>
      <c r="BZ133" s="24"/>
      <c r="CA133" s="24"/>
      <c r="CB133" s="283"/>
      <c r="CC133" s="283"/>
      <c r="CD133" s="283"/>
      <c r="CE133" s="283"/>
      <c r="CF133" s="359"/>
      <c r="CG133" s="1112">
        <f>SUM('3 pr-2'!AI134)</f>
        <v>43496</v>
      </c>
      <c r="CH133" s="1112">
        <f>SUM('3 pr-2'!AK134)</f>
        <v>43830</v>
      </c>
      <c r="CI133" s="23"/>
      <c r="CJ133" s="23"/>
      <c r="CK133" s="23"/>
      <c r="CL133" s="1134"/>
      <c r="CM133" s="1134"/>
      <c r="CN133" s="1134"/>
      <c r="CO133" s="1134"/>
      <c r="CP133" s="1134"/>
      <c r="CQ133" s="1134"/>
      <c r="CR133" s="1134"/>
      <c r="CS133" s="1134"/>
      <c r="CT133" s="1134"/>
    </row>
    <row r="134" spans="1:98" ht="39.75" thickBot="1" x14ac:dyDescent="0.3">
      <c r="A134" s="278" t="str">
        <f>CONCATENATE('3 pr-2'!A135)</f>
        <v>2.1.2.2</v>
      </c>
      <c r="B134" s="118" t="str">
        <f>CONCATENATE('3 pr-2'!B135)</f>
        <v>Priemonė:
Sveikos gyvensenos skatinimas regioniniu lygiu</v>
      </c>
      <c r="C134" s="1079">
        <f>SUM(C135:C139)</f>
        <v>0</v>
      </c>
      <c r="D134" s="1079">
        <f>SUM(D135:D139)</f>
        <v>0</v>
      </c>
      <c r="E134" s="1079">
        <f>SUM(E135:E139)</f>
        <v>0</v>
      </c>
      <c r="F134" s="1079">
        <f>SUM(F135:F139)</f>
        <v>0</v>
      </c>
      <c r="G134" s="1079"/>
      <c r="H134" s="1079"/>
      <c r="I134" s="1079"/>
      <c r="J134" s="1079">
        <f t="shared" ref="J134:Q134" si="291">SUM(J135:J139)</f>
        <v>0</v>
      </c>
      <c r="K134" s="1079">
        <f t="shared" si="291"/>
        <v>0</v>
      </c>
      <c r="L134" s="1135">
        <f t="shared" si="291"/>
        <v>0</v>
      </c>
      <c r="M134" s="1135">
        <f t="shared" si="291"/>
        <v>0</v>
      </c>
      <c r="N134" s="1135">
        <f t="shared" si="291"/>
        <v>0</v>
      </c>
      <c r="O134" s="1135">
        <f t="shared" si="291"/>
        <v>0</v>
      </c>
      <c r="P134" s="1079">
        <f t="shared" si="291"/>
        <v>0</v>
      </c>
      <c r="Q134" s="1079">
        <f t="shared" si="291"/>
        <v>106838.5654902044</v>
      </c>
      <c r="R134" s="1135"/>
      <c r="S134" s="1135"/>
      <c r="T134" s="1135"/>
      <c r="U134" s="1135"/>
      <c r="V134" s="1079">
        <f>SUM(V135:V139)</f>
        <v>90812.779788024098</v>
      </c>
      <c r="W134" s="1079">
        <f>SUM(W135:W139)</f>
        <v>364449.31218621123</v>
      </c>
      <c r="X134" s="1135"/>
      <c r="Y134" s="1135"/>
      <c r="Z134" s="1135"/>
      <c r="AA134" s="1135"/>
      <c r="AB134" s="1079">
        <f>SUM(AB135:AB139)</f>
        <v>309781.91236101679</v>
      </c>
      <c r="AC134" s="1079">
        <f>SUM(AC135:AC139)</f>
        <v>523696.66232358431</v>
      </c>
      <c r="AD134" s="1135"/>
      <c r="AE134" s="1135"/>
      <c r="AF134" s="1135"/>
      <c r="AG134" s="1135"/>
      <c r="AH134" s="1079">
        <f>SUM(AH135:AH139)</f>
        <v>445142.15785095911</v>
      </c>
      <c r="AI134" s="1080">
        <f>SUM(AI135:AI139)</f>
        <v>994984.5399999998</v>
      </c>
      <c r="AJ134" s="1079"/>
      <c r="AK134" s="1079"/>
      <c r="AL134" s="1079"/>
      <c r="AM134" s="1079"/>
      <c r="AN134" s="1079"/>
      <c r="AO134" s="1079"/>
      <c r="AP134" s="1079"/>
      <c r="AQ134" s="1079"/>
      <c r="AR134" s="1079"/>
      <c r="AS134" s="1079">
        <f>SUM(AS135:AS139)</f>
        <v>845736.85</v>
      </c>
      <c r="AT134" s="1079"/>
      <c r="AU134" s="1066">
        <v>0</v>
      </c>
      <c r="AV134" s="24">
        <v>0</v>
      </c>
      <c r="AW134" s="24">
        <v>0</v>
      </c>
      <c r="AX134" s="1079">
        <v>0</v>
      </c>
      <c r="AY134" s="1079">
        <v>0</v>
      </c>
      <c r="AZ134" s="1079">
        <v>0</v>
      </c>
      <c r="BA134" s="1079">
        <v>0</v>
      </c>
      <c r="BB134" s="24">
        <v>0</v>
      </c>
      <c r="BC134" s="24">
        <v>50</v>
      </c>
      <c r="BD134" s="1079">
        <v>50</v>
      </c>
      <c r="BE134" s="1079">
        <v>50</v>
      </c>
      <c r="BF134" s="1079">
        <v>50</v>
      </c>
      <c r="BG134" s="1079">
        <v>50</v>
      </c>
      <c r="BH134" s="24">
        <v>50</v>
      </c>
      <c r="BI134" s="24">
        <v>50</v>
      </c>
      <c r="BJ134" s="1079">
        <v>50</v>
      </c>
      <c r="BK134" s="1079">
        <v>50</v>
      </c>
      <c r="BL134" s="1079">
        <v>50</v>
      </c>
      <c r="BM134" s="1079">
        <v>50</v>
      </c>
      <c r="BN134" s="24">
        <v>50</v>
      </c>
      <c r="BO134" s="24">
        <v>0</v>
      </c>
      <c r="BP134" s="1079">
        <v>0</v>
      </c>
      <c r="BQ134" s="1079">
        <v>0</v>
      </c>
      <c r="BR134" s="1079">
        <v>0</v>
      </c>
      <c r="BS134" s="1079">
        <v>0</v>
      </c>
      <c r="BT134" s="24">
        <v>0</v>
      </c>
      <c r="BU134" s="24">
        <v>0</v>
      </c>
      <c r="BV134" s="1079">
        <v>0</v>
      </c>
      <c r="BW134" s="1079">
        <v>0</v>
      </c>
      <c r="BX134" s="1079">
        <v>0</v>
      </c>
      <c r="BY134" s="1079">
        <v>0</v>
      </c>
      <c r="BZ134" s="24">
        <v>0</v>
      </c>
      <c r="CA134" s="24">
        <v>100</v>
      </c>
      <c r="CB134" s="1079">
        <v>100</v>
      </c>
      <c r="CC134" s="1079">
        <v>100</v>
      </c>
      <c r="CD134" s="1079">
        <v>100</v>
      </c>
      <c r="CE134" s="1079">
        <v>100</v>
      </c>
      <c r="CF134" s="359">
        <v>100</v>
      </c>
      <c r="CG134" s="23"/>
      <c r="CH134" s="23"/>
      <c r="CI134" s="23"/>
      <c r="CJ134" s="23"/>
      <c r="CK134" s="23"/>
      <c r="CL134" s="23"/>
      <c r="CM134" s="23"/>
      <c r="CN134" s="23"/>
      <c r="CO134" s="23"/>
      <c r="CP134" s="23"/>
      <c r="CQ134" s="23"/>
      <c r="CR134" s="23"/>
      <c r="CS134" s="23"/>
      <c r="CT134" s="1134" t="e">
        <f t="shared" si="290"/>
        <v>#DIV/0!</v>
      </c>
    </row>
    <row r="135" spans="1:98" ht="24.75" thickBot="1" x14ac:dyDescent="0.3">
      <c r="A135" s="58" t="str">
        <f>CONCATENATE('3 pr-2'!A136)</f>
        <v>2.1.2.2.1</v>
      </c>
      <c r="B135" s="9" t="str">
        <f>CONCATENATE('3 pr-2'!D136)</f>
        <v>Sveikos gyvensenos skatinimas Alytaus rajone</v>
      </c>
      <c r="C135" s="71">
        <v>0</v>
      </c>
      <c r="D135" s="71">
        <v>0</v>
      </c>
      <c r="E135" s="71">
        <v>0</v>
      </c>
      <c r="F135" s="282">
        <v>0</v>
      </c>
      <c r="G135" s="282">
        <v>0</v>
      </c>
      <c r="H135" s="282">
        <v>0</v>
      </c>
      <c r="I135" s="282">
        <v>0</v>
      </c>
      <c r="J135" s="71">
        <v>0</v>
      </c>
      <c r="K135" s="71">
        <v>0</v>
      </c>
      <c r="L135" s="286">
        <v>0</v>
      </c>
      <c r="M135" s="286">
        <v>0</v>
      </c>
      <c r="N135" s="286">
        <v>0</v>
      </c>
      <c r="O135" s="286">
        <v>0</v>
      </c>
      <c r="P135" s="71">
        <v>0</v>
      </c>
      <c r="Q135" s="85">
        <f>IF(YEAR($CG$135)=2018,($BI$4-$CG$135)*AI$135/($CH$135-$CG$135))</f>
        <v>19427.644397810218</v>
      </c>
      <c r="R135" s="286">
        <f>IF(YEAR($CG$135)=2018,($BI$4-$CG$135)*AK$135/($CH$135-$CG$135))</f>
        <v>1457.0734762773723</v>
      </c>
      <c r="S135" s="286">
        <f>IF(YEAR($CG$135)=2018,($BI$4-$CG$135)*AM$135/($CH$135-$CG$135))</f>
        <v>1457.0734762773723</v>
      </c>
      <c r="T135" s="286">
        <f>IF(YEAR($CG$135)=2018,($BI$4-$CG$135)*AO$135/($CH$135-$CG$135))</f>
        <v>0</v>
      </c>
      <c r="U135" s="286">
        <f>IF(YEAR($CG$135)=2018,($BI$4-$CG$135)*AQ$135/($CH$135-$CG$135))</f>
        <v>0</v>
      </c>
      <c r="V135" s="361">
        <f>IF(YEAR($CG$135)=2018,($BI$4-$CG$135)*AS$135/($CH$135-$CG$135))</f>
        <v>16513.497445255474</v>
      </c>
      <c r="W135" s="85">
        <f>IF(YEAR($CH135)&gt;2018,($BO$4-$BI$4)*$AI135/($CH135-$CG135),0)</f>
        <v>66271.871076642332</v>
      </c>
      <c r="X135" s="286">
        <f>IF(YEAR($CH135)&gt;2018,($BO$4-$BI$4)*$AK135/($CH135-$CG135),0)</f>
        <v>4970.3908302919717</v>
      </c>
      <c r="Y135" s="286">
        <f>IF(YEAR($CH135)&gt;2018,($BO$4-$BI$4)*$AM135/($CH135-$CG135),0)</f>
        <v>4970.3908302919717</v>
      </c>
      <c r="Z135" s="286">
        <f>IF(YEAR($CH135)&gt;2018,($BO$4-$BI$4)*$AO135/($CH135-$CG135),0)</f>
        <v>0</v>
      </c>
      <c r="AA135" s="286">
        <f>IF(YEAR($CH135)&gt;2018,($BO$4-$BI$4)*$AQ135/($CH135-$CG135),0)</f>
        <v>0</v>
      </c>
      <c r="AB135" s="361">
        <f>IF(YEAR($CH135)&gt;2018,($BO$4-$BI$4)*$AS135/($CH135-$CG135),0)</f>
        <v>56331.089416058392</v>
      </c>
      <c r="AC135" s="361">
        <f>IF(YEAR($CH135)&gt;2018,($CH135-$BO$4)*$AI135/($CH135-$CG135),0)</f>
        <v>113297.66452554744</v>
      </c>
      <c r="AD135" s="286">
        <f>IF(YEAR($CH135)&gt;2018,($CH135-$BO$4)*$AK135/($CH135-$CG135),0)</f>
        <v>8497.3256934306573</v>
      </c>
      <c r="AE135" s="286">
        <f>IF(YEAR($CH135)&gt;2018,($CH135-$BO$4)*$AM135/($CH135-$CG135),0)</f>
        <v>8497.3256934306573</v>
      </c>
      <c r="AF135" s="286">
        <f>IF(YEAR($CH135)&gt;2018,($CH135-$BO$4)*$AO135/($CH135-$CG135),0)</f>
        <v>0</v>
      </c>
      <c r="AG135" s="286">
        <f>IF(YEAR($CH135)&gt;2018,($CH135-$BO$4)*$AQ135/($CH135-$CG135),0)</f>
        <v>0</v>
      </c>
      <c r="AH135" s="361">
        <f>IF(YEAR($CH135)&gt;2018,($CH135-$BO$4)*$AS135/($CH135-$CG135),0)</f>
        <v>96303.013138686132</v>
      </c>
      <c r="AI135" s="768">
        <f>SUM('3 pr-2'!L136)</f>
        <v>198997.18</v>
      </c>
      <c r="AJ135" s="84"/>
      <c r="AK135" s="282">
        <f>SUM('3 pr-2'!O136)</f>
        <v>14924.79</v>
      </c>
      <c r="AL135" s="282"/>
      <c r="AM135" s="282">
        <f>SUM('3 pr-2'!R136)</f>
        <v>14924.79</v>
      </c>
      <c r="AN135" s="282"/>
      <c r="AO135" s="282">
        <f>SUM('3 pr-2'!U136)</f>
        <v>0</v>
      </c>
      <c r="AP135" s="282"/>
      <c r="AQ135" s="282">
        <f>SUM('3 pr-2'!X136)</f>
        <v>0</v>
      </c>
      <c r="AR135" s="543"/>
      <c r="AS135" s="109">
        <f>SUM('3 pr-2'!AA136)</f>
        <v>169147.6</v>
      </c>
      <c r="AT135" s="499"/>
      <c r="AU135" s="1066"/>
      <c r="AV135" s="24"/>
      <c r="AW135" s="24"/>
      <c r="AX135" s="283"/>
      <c r="AY135" s="283"/>
      <c r="AZ135" s="283"/>
      <c r="BA135" s="283"/>
      <c r="BB135" s="24"/>
      <c r="BC135" s="24"/>
      <c r="BD135" s="283"/>
      <c r="BE135" s="283"/>
      <c r="BF135" s="283"/>
      <c r="BG135" s="283"/>
      <c r="BH135" s="24"/>
      <c r="BI135" s="24"/>
      <c r="BJ135" s="283"/>
      <c r="BK135" s="283"/>
      <c r="BL135" s="283"/>
      <c r="BM135" s="283"/>
      <c r="BN135" s="24"/>
      <c r="BO135" s="24"/>
      <c r="BP135" s="283"/>
      <c r="BQ135" s="283"/>
      <c r="BR135" s="283"/>
      <c r="BS135" s="283"/>
      <c r="BT135" s="24"/>
      <c r="BU135" s="24"/>
      <c r="BV135" s="283"/>
      <c r="BW135" s="283"/>
      <c r="BX135" s="283"/>
      <c r="BY135" s="283"/>
      <c r="BZ135" s="24"/>
      <c r="CA135" s="24"/>
      <c r="CB135" s="283"/>
      <c r="CC135" s="283"/>
      <c r="CD135" s="283"/>
      <c r="CE135" s="283"/>
      <c r="CF135" s="359"/>
      <c r="CG135" s="1068">
        <v>43358</v>
      </c>
      <c r="CH135" s="1068">
        <v>44454</v>
      </c>
      <c r="CI135" s="23" t="str">
        <f>CONCATENATE(D135+J135+P135+V135+AB135+AH135)</f>
        <v>169147,6</v>
      </c>
      <c r="CJ135" s="1069">
        <f>SUM(CI135-AS135)</f>
        <v>0</v>
      </c>
      <c r="CK135" s="23"/>
      <c r="CL135" s="23"/>
      <c r="CM135" s="23"/>
      <c r="CN135" s="23"/>
      <c r="CO135" s="23"/>
      <c r="CP135" s="23"/>
      <c r="CQ135" s="23"/>
      <c r="CR135" s="23"/>
      <c r="CS135" s="23"/>
      <c r="CT135" s="1134" t="e">
        <f t="shared" si="290"/>
        <v>#DIV/0!</v>
      </c>
    </row>
    <row r="136" spans="1:98" ht="24.75" thickBot="1" x14ac:dyDescent="0.3">
      <c r="A136" s="58" t="str">
        <f>CONCATENATE('3 pr-2'!A137)</f>
        <v>2.1.2.2.2</v>
      </c>
      <c r="B136" s="9" t="str">
        <f>CONCATENATE('3 pr-2'!D137)</f>
        <v>Mažais žingsneliais – sveikos gyvensenos link</v>
      </c>
      <c r="C136" s="71">
        <v>0</v>
      </c>
      <c r="D136" s="71">
        <v>0</v>
      </c>
      <c r="E136" s="71">
        <v>0</v>
      </c>
      <c r="F136" s="282">
        <v>0</v>
      </c>
      <c r="G136" s="282">
        <v>0</v>
      </c>
      <c r="H136" s="282">
        <v>0</v>
      </c>
      <c r="I136" s="282">
        <v>0</v>
      </c>
      <c r="J136" s="71">
        <v>0</v>
      </c>
      <c r="K136" s="71">
        <v>0</v>
      </c>
      <c r="L136" s="286">
        <v>0</v>
      </c>
      <c r="M136" s="286">
        <v>0</v>
      </c>
      <c r="N136" s="286">
        <v>0</v>
      </c>
      <c r="O136" s="286">
        <v>0</v>
      </c>
      <c r="P136" s="71">
        <v>0</v>
      </c>
      <c r="Q136" s="85">
        <f>IF(YEAR($CG136)=2018,($BI$4-$CG136)*$AI136/($CH136-$CG136))</f>
        <v>29128.005471956225</v>
      </c>
      <c r="R136" s="286">
        <f>IF(YEAR($CG136)=2018,($BI$4-$CG136)*$AK136/($CH136-$CG136))</f>
        <v>2184.6004103967171</v>
      </c>
      <c r="S136" s="286">
        <f>IF(YEAR($CG136)=2018,($BI$4-$CG136)*$AM136/($CH136-$CG136))</f>
        <v>2184.6004103967171</v>
      </c>
      <c r="T136" s="286">
        <f>IF(YEAR($CG136)=2018,($BI$4-$CG136)*$AO136/($CH136-$CG136))</f>
        <v>0</v>
      </c>
      <c r="U136" s="286">
        <f>IF(YEAR($CG136)=2018,($BI$4-$CG136)*$AQ136/($CH136-$CG136))</f>
        <v>0</v>
      </c>
      <c r="V136" s="361">
        <f>IF(YEAR($CG136)=2018,($BI$4-$CG136)*$AS136/($CH136-$CG136))</f>
        <v>24758.804651162791</v>
      </c>
      <c r="W136" s="85">
        <f>IF(YEAR($CH136)&gt;2018,($BO$4-$BI$4)*$AI136/($CH136-$CG136),0)</f>
        <v>99361.887824897407</v>
      </c>
      <c r="X136" s="286">
        <f>IF(YEAR($CH136)&gt;2018,($BO$4-$BI$4)*$AK136/($CH136-$CG136),0)</f>
        <v>7452.1415868673048</v>
      </c>
      <c r="Y136" s="286">
        <f>IF(YEAR($CH136)&gt;2018,($BO$4-$BI$4)*$AM136/($CH136-$CG136),0)</f>
        <v>7452.1415868673048</v>
      </c>
      <c r="Z136" s="286">
        <f t="shared" ref="Z136:Z139" si="292">IF(YEAR($CH136)&gt;2018,($BO$4-$BI$4)*$AO136/($CH136-$CG136),0)</f>
        <v>0</v>
      </c>
      <c r="AA136" s="286">
        <f t="shared" ref="AA136:AA139" si="293">IF(YEAR($CH136)&gt;2018,($BO$4-$BI$4)*$AQ136/($CH136-$CG136),0)</f>
        <v>0</v>
      </c>
      <c r="AB136" s="361">
        <f t="shared" ref="AB136:AB139" si="294">IF(YEAR($CH136)&gt;2018,($BO$4-$BI$4)*$AS136/($CH136-$CG136),0)</f>
        <v>84457.604651162794</v>
      </c>
      <c r="AC136" s="361">
        <f>IF(YEAR($CH136)&gt;2018,($CH136-$BO$4)*$AI136/($CH136-$CG136),0)</f>
        <v>70506.106703146375</v>
      </c>
      <c r="AD136" s="286">
        <f t="shared" ref="AD136:AD139" si="295">IF(YEAR($CH136)&gt;2018,($CH136-$BO$4)*$AK136/($CH136-$CG136),0)</f>
        <v>5287.9580027359789</v>
      </c>
      <c r="AE136" s="286">
        <f t="shared" ref="AE136:AE139" si="296">IF(YEAR($CH136)&gt;2018,($CH136-$BO$4)*$AM136/($CH136-$CG136),0)</f>
        <v>5287.9580027359789</v>
      </c>
      <c r="AF136" s="286">
        <f t="shared" ref="AF136:AF139" si="297">IF(YEAR($CH136)&gt;2018,($CH136-$BO$4)*$AO136/($CH136-$CG136),0)</f>
        <v>0</v>
      </c>
      <c r="AG136" s="286">
        <f t="shared" ref="AG136:AG139" si="298">IF(YEAR($CH136)&gt;2018,($CH136-$BO$4)*$AQ136/($CH136-$CG136),0)</f>
        <v>0</v>
      </c>
      <c r="AH136" s="361">
        <f t="shared" ref="AH136:AH139" si="299">IF(YEAR($CH136)&gt;2018,($CH136-$BO$4)*$AS136/($CH136-$CG136),0)</f>
        <v>59930.190697674414</v>
      </c>
      <c r="AI136" s="768">
        <f>SUM('3 pr-2'!L137)</f>
        <v>198996</v>
      </c>
      <c r="AJ136" s="84"/>
      <c r="AK136" s="282">
        <f>SUM('3 pr-2'!O137)</f>
        <v>14924.7</v>
      </c>
      <c r="AL136" s="282"/>
      <c r="AM136" s="282">
        <f>SUM('3 pr-2'!R137)</f>
        <v>14924.7</v>
      </c>
      <c r="AN136" s="282"/>
      <c r="AO136" s="282">
        <f>SUM('3 pr-2'!U137)</f>
        <v>0</v>
      </c>
      <c r="AP136" s="282"/>
      <c r="AQ136" s="282">
        <f>SUM('3 pr-2'!X137)</f>
        <v>0</v>
      </c>
      <c r="AR136" s="543"/>
      <c r="AS136" s="109">
        <f>SUM('3 pr-2'!AA137)</f>
        <v>169146.6</v>
      </c>
      <c r="AT136" s="499"/>
      <c r="AU136" s="1066"/>
      <c r="AV136" s="24"/>
      <c r="AW136" s="24"/>
      <c r="AX136" s="283"/>
      <c r="AY136" s="283"/>
      <c r="AZ136" s="283"/>
      <c r="BA136" s="283"/>
      <c r="BB136" s="24"/>
      <c r="BC136" s="24"/>
      <c r="BD136" s="283"/>
      <c r="BE136" s="283"/>
      <c r="BF136" s="283"/>
      <c r="BG136" s="283"/>
      <c r="BH136" s="24"/>
      <c r="BI136" s="24"/>
      <c r="BJ136" s="283"/>
      <c r="BK136" s="283"/>
      <c r="BL136" s="283"/>
      <c r="BM136" s="283"/>
      <c r="BN136" s="24"/>
      <c r="BO136" s="24"/>
      <c r="BP136" s="283"/>
      <c r="BQ136" s="283"/>
      <c r="BR136" s="283"/>
      <c r="BS136" s="283"/>
      <c r="BT136" s="24"/>
      <c r="BU136" s="24"/>
      <c r="BV136" s="283"/>
      <c r="BW136" s="283"/>
      <c r="BX136" s="283"/>
      <c r="BY136" s="283"/>
      <c r="BZ136" s="24"/>
      <c r="CA136" s="24"/>
      <c r="CB136" s="283"/>
      <c r="CC136" s="283"/>
      <c r="CD136" s="283"/>
      <c r="CE136" s="283"/>
      <c r="CF136" s="359"/>
      <c r="CG136" s="1068">
        <v>43358</v>
      </c>
      <c r="CH136" s="1068">
        <v>44089</v>
      </c>
      <c r="CI136" s="23" t="str">
        <f t="shared" ref="CI136:CI137" si="300">CONCATENATE(D136+J136+P136+V136+AB136+AH136)</f>
        <v>169146,6</v>
      </c>
      <c r="CJ136" s="1069">
        <f t="shared" ref="CJ136:CJ137" si="301">SUM(CI136-AS136)</f>
        <v>0</v>
      </c>
      <c r="CK136" s="23"/>
      <c r="CL136" s="23"/>
      <c r="CM136" s="23"/>
      <c r="CN136" s="23"/>
      <c r="CO136" s="23"/>
      <c r="CP136" s="23"/>
      <c r="CQ136" s="23"/>
      <c r="CR136" s="23"/>
      <c r="CS136" s="23"/>
      <c r="CT136" s="1134" t="e">
        <f t="shared" si="290"/>
        <v>#DIV/0!</v>
      </c>
    </row>
    <row r="137" spans="1:98" ht="24.75" thickBot="1" x14ac:dyDescent="0.3">
      <c r="A137" s="58" t="str">
        <f>CONCATENATE('3 pr-2'!A138)</f>
        <v>2.1.2.2.3</v>
      </c>
      <c r="B137" s="9" t="str">
        <f>CONCATENATE('3 pr-2'!D138)</f>
        <v>Sveikos gyvensenos skatinimas Varėnos rajono savivaldybėje</v>
      </c>
      <c r="C137" s="71">
        <v>0</v>
      </c>
      <c r="D137" s="71">
        <v>0</v>
      </c>
      <c r="E137" s="71">
        <v>0</v>
      </c>
      <c r="F137" s="282">
        <v>0</v>
      </c>
      <c r="G137" s="282">
        <v>0</v>
      </c>
      <c r="H137" s="282">
        <v>0</v>
      </c>
      <c r="I137" s="282">
        <v>0</v>
      </c>
      <c r="J137" s="71">
        <v>0</v>
      </c>
      <c r="K137" s="71">
        <v>0</v>
      </c>
      <c r="L137" s="286">
        <v>0</v>
      </c>
      <c r="M137" s="286">
        <v>0</v>
      </c>
      <c r="N137" s="286">
        <v>0</v>
      </c>
      <c r="O137" s="286">
        <v>0</v>
      </c>
      <c r="P137" s="71">
        <v>0</v>
      </c>
      <c r="Q137" s="85">
        <f>IF(YEAR($CG137)=2018,($BI$4-$CG137)*$AI137/($CH137-$CG137))</f>
        <v>19427.626824817518</v>
      </c>
      <c r="R137" s="286">
        <f>IF(YEAR($CG137)=2018,($BI$4-$CG137)*$AK137/($CH137-$CG137))</f>
        <v>1457.0939781021898</v>
      </c>
      <c r="S137" s="286">
        <f>IF(YEAR($CG137)=2018,($BI$4-$CG137)*$AM137/($CH137-$CG137))</f>
        <v>1457.0500456204379</v>
      </c>
      <c r="T137" s="286">
        <f>IF(YEAR($CG137)=2018,($BI$4-$CG137)*$AO137/($CH137-$CG137))</f>
        <v>0</v>
      </c>
      <c r="U137" s="286">
        <f>IF(YEAR($CG137)=2018,($BI$4-$CG137)*$AQ137/($CH137-$CG137))</f>
        <v>0</v>
      </c>
      <c r="V137" s="361">
        <f>IF(YEAR($CG137)=2018,($BI$4-$CG137)*$AS137/($CH137-$CG137))</f>
        <v>16513.482801094891</v>
      </c>
      <c r="W137" s="85">
        <f>IF(YEAR($CH137)&gt;2018,($BO$4-$BI$4)*$AI137/($CH137-$CG137),0)</f>
        <v>66271.811131386858</v>
      </c>
      <c r="X137" s="286">
        <f>IF(YEAR($CH137)&gt;2018,($BO$4-$BI$4)*$AK137/($CH137-$CG137),0)</f>
        <v>4970.4607664233581</v>
      </c>
      <c r="Y137" s="286">
        <f>IF(YEAR($CH137)&gt;2018,($BO$4-$BI$4)*$AM137/($CH137-$CG137),0)</f>
        <v>4970.3109032846714</v>
      </c>
      <c r="Z137" s="286">
        <f t="shared" si="292"/>
        <v>0</v>
      </c>
      <c r="AA137" s="286">
        <f t="shared" si="293"/>
        <v>0</v>
      </c>
      <c r="AB137" s="361">
        <f t="shared" si="294"/>
        <v>56331.03946167884</v>
      </c>
      <c r="AC137" s="361">
        <f>IF(YEAR($CH137)&gt;2018,($CH137-$BO$4)*$AI137/($CH137-$CG137),0)</f>
        <v>113297.56204379562</v>
      </c>
      <c r="AD137" s="286">
        <f t="shared" si="295"/>
        <v>8497.445255474453</v>
      </c>
      <c r="AE137" s="286">
        <f t="shared" si="296"/>
        <v>8497.1890510948906</v>
      </c>
      <c r="AF137" s="286">
        <f t="shared" si="297"/>
        <v>0</v>
      </c>
      <c r="AG137" s="286">
        <f t="shared" si="298"/>
        <v>0</v>
      </c>
      <c r="AH137" s="361">
        <f t="shared" si="299"/>
        <v>96302.927737226288</v>
      </c>
      <c r="AI137" s="768">
        <f>SUM('3 pr-2'!L138)</f>
        <v>198997</v>
      </c>
      <c r="AJ137" s="84"/>
      <c r="AK137" s="282">
        <f>SUM('3 pr-2'!O138)</f>
        <v>14925</v>
      </c>
      <c r="AL137" s="282"/>
      <c r="AM137" s="282">
        <f>SUM('3 pr-2'!R138)</f>
        <v>14924.55</v>
      </c>
      <c r="AN137" s="282"/>
      <c r="AO137" s="282">
        <f>SUM('3 pr-2'!U138)</f>
        <v>0</v>
      </c>
      <c r="AP137" s="282"/>
      <c r="AQ137" s="282">
        <f>SUM('3 pr-2'!X138)</f>
        <v>0</v>
      </c>
      <c r="AR137" s="543"/>
      <c r="AS137" s="109">
        <f>SUM('3 pr-2'!AA138)</f>
        <v>169147.45</v>
      </c>
      <c r="AT137" s="499"/>
      <c r="AU137" s="1066"/>
      <c r="AV137" s="24"/>
      <c r="AW137" s="24"/>
      <c r="AX137" s="283"/>
      <c r="AY137" s="283"/>
      <c r="AZ137" s="283"/>
      <c r="BA137" s="283"/>
      <c r="BB137" s="24"/>
      <c r="BC137" s="24"/>
      <c r="BD137" s="283"/>
      <c r="BE137" s="283"/>
      <c r="BF137" s="283"/>
      <c r="BG137" s="283"/>
      <c r="BH137" s="24"/>
      <c r="BI137" s="24"/>
      <c r="BJ137" s="283"/>
      <c r="BK137" s="283"/>
      <c r="BL137" s="283"/>
      <c r="BM137" s="283"/>
      <c r="BN137" s="24"/>
      <c r="BO137" s="24"/>
      <c r="BP137" s="283"/>
      <c r="BQ137" s="283"/>
      <c r="BR137" s="283"/>
      <c r="BS137" s="283"/>
      <c r="BT137" s="24"/>
      <c r="BU137" s="24"/>
      <c r="BV137" s="283"/>
      <c r="BW137" s="283"/>
      <c r="BX137" s="283"/>
      <c r="BY137" s="283"/>
      <c r="BZ137" s="24"/>
      <c r="CA137" s="24"/>
      <c r="CB137" s="283"/>
      <c r="CC137" s="283"/>
      <c r="CD137" s="283"/>
      <c r="CE137" s="283"/>
      <c r="CF137" s="359"/>
      <c r="CG137" s="1068">
        <v>43358</v>
      </c>
      <c r="CH137" s="1068">
        <v>44454</v>
      </c>
      <c r="CI137" s="23" t="str">
        <f t="shared" si="300"/>
        <v>169147,45</v>
      </c>
      <c r="CJ137" s="1069">
        <f t="shared" si="301"/>
        <v>0</v>
      </c>
      <c r="CK137" s="23"/>
      <c r="CL137" s="23"/>
      <c r="CM137" s="23"/>
      <c r="CN137" s="23"/>
      <c r="CO137" s="23"/>
      <c r="CP137" s="23"/>
      <c r="CQ137" s="23"/>
      <c r="CR137" s="23"/>
      <c r="CS137" s="23"/>
      <c r="CT137" s="1134" t="e">
        <f t="shared" si="290"/>
        <v>#DIV/0!</v>
      </c>
    </row>
    <row r="138" spans="1:98" ht="16.5" thickBot="1" x14ac:dyDescent="0.3">
      <c r="A138" s="58" t="str">
        <f>CONCATENATE('3 pr-2'!A139)</f>
        <v>2.1.2.2.4.</v>
      </c>
      <c r="B138" s="9" t="str">
        <f>CONCATENATE('3 pr-2'!D139)</f>
        <v>Sveika bendruomenė – stipri visuomenė</v>
      </c>
      <c r="C138" s="71">
        <v>0</v>
      </c>
      <c r="D138" s="71">
        <v>0</v>
      </c>
      <c r="E138" s="71">
        <v>0</v>
      </c>
      <c r="F138" s="282">
        <v>0</v>
      </c>
      <c r="G138" s="282">
        <v>0</v>
      </c>
      <c r="H138" s="282">
        <v>0</v>
      </c>
      <c r="I138" s="282">
        <v>0</v>
      </c>
      <c r="J138" s="71">
        <v>0</v>
      </c>
      <c r="K138" s="71">
        <v>0</v>
      </c>
      <c r="L138" s="286">
        <v>0</v>
      </c>
      <c r="M138" s="286">
        <v>0</v>
      </c>
      <c r="N138" s="286">
        <v>0</v>
      </c>
      <c r="O138" s="286">
        <v>0</v>
      </c>
      <c r="P138" s="71">
        <v>0</v>
      </c>
      <c r="Q138" s="85">
        <f>IF(YEAR($CG138)=2018,($BI$4-$CG138)*$AI138/($CH138-$CG138))</f>
        <v>19427.644397810218</v>
      </c>
      <c r="R138" s="286">
        <f t="shared" ref="R138:R139" si="302">IF(YEAR($CG138)=2018,($BI$4-$CG138)*$AK138/($CH138-$CG138))</f>
        <v>1457.0734762773723</v>
      </c>
      <c r="S138" s="286">
        <f t="shared" ref="S138:S139" si="303">IF(YEAR($CG138)=2018,($BI$4-$CG138)*$AM138/($CH138-$CG138))</f>
        <v>1457.0734762773723</v>
      </c>
      <c r="T138" s="286">
        <f t="shared" ref="T138:T139" si="304">IF(YEAR($CG138)=2018,($BI$4-$CG138)*$AO138/($CH138-$CG138))</f>
        <v>0</v>
      </c>
      <c r="U138" s="286">
        <f t="shared" ref="U138:U139" si="305">IF(YEAR($CG138)=2018,($BI$4-$CG138)*$AQ138/($CH138-$CG138))</f>
        <v>0</v>
      </c>
      <c r="V138" s="361">
        <f t="shared" ref="V138:V139" si="306">IF(YEAR($CG138)=2018,($BI$4-$CG138)*$AS138/($CH138-$CG138))</f>
        <v>16513.497445255474</v>
      </c>
      <c r="W138" s="85">
        <f t="shared" ref="W138:W139" si="307">IF(YEAR($CH138)&gt;2018,($BO$4-$BI$4)*$AI138/($CH138-$CG138),0)</f>
        <v>66271.871076642332</v>
      </c>
      <c r="X138" s="286">
        <f t="shared" ref="X138:X139" si="308">IF(YEAR($CH138)&gt;2018,($BO$4-$BI$4)*$AK138/($CH138-$CG138),0)</f>
        <v>4970.3908302919717</v>
      </c>
      <c r="Y138" s="286">
        <f t="shared" ref="Y138:Y139" si="309">IF(YEAR($CH138)&gt;2018,($BO$4-$BI$4)*$AM138/($CH138-$CG138),0)</f>
        <v>4970.3908302919717</v>
      </c>
      <c r="Z138" s="286">
        <f t="shared" si="292"/>
        <v>0</v>
      </c>
      <c r="AA138" s="286">
        <f t="shared" si="293"/>
        <v>0</v>
      </c>
      <c r="AB138" s="361">
        <f t="shared" si="294"/>
        <v>56331.089416058392</v>
      </c>
      <c r="AC138" s="361">
        <f t="shared" ref="AC138:AC139" si="310">IF(YEAR($CH138)&gt;2018,($CH138-$BO$4)*$AI138/($CH138-$CG138),0)</f>
        <v>113297.66452554744</v>
      </c>
      <c r="AD138" s="286">
        <f t="shared" si="295"/>
        <v>8497.3256934306573</v>
      </c>
      <c r="AE138" s="286">
        <f t="shared" si="296"/>
        <v>8497.3256934306573</v>
      </c>
      <c r="AF138" s="286">
        <f t="shared" si="297"/>
        <v>0</v>
      </c>
      <c r="AG138" s="286">
        <f t="shared" si="298"/>
        <v>0</v>
      </c>
      <c r="AH138" s="361">
        <f t="shared" si="299"/>
        <v>96303.013138686132</v>
      </c>
      <c r="AI138" s="768">
        <f>SUM('3 pr-2'!L139)</f>
        <v>198997.18</v>
      </c>
      <c r="AJ138" s="84"/>
      <c r="AK138" s="282">
        <f>SUM('3 pr-2'!O139)</f>
        <v>14924.79</v>
      </c>
      <c r="AL138" s="282"/>
      <c r="AM138" s="282">
        <f>SUM('3 pr-2'!R139)</f>
        <v>14924.79</v>
      </c>
      <c r="AN138" s="282"/>
      <c r="AO138" s="282">
        <f>SUM('3 pr-2'!U139)</f>
        <v>0</v>
      </c>
      <c r="AP138" s="282"/>
      <c r="AQ138" s="282">
        <f>SUM('3 pr-2'!X139)</f>
        <v>0</v>
      </c>
      <c r="AR138" s="543"/>
      <c r="AS138" s="109">
        <f>SUM('3 pr-2'!AA139)</f>
        <v>169147.6</v>
      </c>
      <c r="AT138" s="499"/>
      <c r="AU138" s="1066"/>
      <c r="AV138" s="24"/>
      <c r="AW138" s="24"/>
      <c r="AX138" s="283"/>
      <c r="AY138" s="283"/>
      <c r="AZ138" s="283"/>
      <c r="BA138" s="283"/>
      <c r="BB138" s="24"/>
      <c r="BC138" s="24"/>
      <c r="BD138" s="283"/>
      <c r="BE138" s="283"/>
      <c r="BF138" s="283"/>
      <c r="BG138" s="283"/>
      <c r="BH138" s="24"/>
      <c r="BI138" s="24"/>
      <c r="BJ138" s="283"/>
      <c r="BK138" s="283"/>
      <c r="BL138" s="283"/>
      <c r="BM138" s="283"/>
      <c r="BN138" s="24"/>
      <c r="BO138" s="24"/>
      <c r="BP138" s="283"/>
      <c r="BQ138" s="283"/>
      <c r="BR138" s="283"/>
      <c r="BS138" s="283"/>
      <c r="BT138" s="24"/>
      <c r="BU138" s="24"/>
      <c r="BV138" s="283"/>
      <c r="BW138" s="283"/>
      <c r="BX138" s="283"/>
      <c r="BY138" s="283"/>
      <c r="BZ138" s="24"/>
      <c r="CA138" s="24"/>
      <c r="CB138" s="283"/>
      <c r="CC138" s="283"/>
      <c r="CD138" s="283"/>
      <c r="CE138" s="283"/>
      <c r="CF138" s="359"/>
      <c r="CG138" s="1068">
        <v>43358</v>
      </c>
      <c r="CH138" s="1068">
        <v>44454</v>
      </c>
      <c r="CI138" s="23"/>
      <c r="CJ138" s="23"/>
      <c r="CK138" s="23"/>
    </row>
    <row r="139" spans="1:98" ht="24.75" thickBot="1" x14ac:dyDescent="0.3">
      <c r="A139" s="58" t="str">
        <f>CONCATENATE('3 pr-2'!A140)</f>
        <v>2.1.2.2.5</v>
      </c>
      <c r="B139" s="9" t="str">
        <f>CONCATENATE('3 pr-2'!D140)</f>
        <v>Sveikos gyvensenos skatinimas Lazdijų rajono savivaldybėje</v>
      </c>
      <c r="C139" s="71">
        <v>0</v>
      </c>
      <c r="D139" s="71">
        <v>0</v>
      </c>
      <c r="E139" s="71">
        <v>0</v>
      </c>
      <c r="F139" s="282">
        <v>0</v>
      </c>
      <c r="G139" s="282">
        <v>0</v>
      </c>
      <c r="H139" s="282">
        <v>0</v>
      </c>
      <c r="I139" s="282">
        <v>0</v>
      </c>
      <c r="J139" s="71">
        <v>0</v>
      </c>
      <c r="K139" s="71">
        <v>0</v>
      </c>
      <c r="L139" s="286">
        <v>0</v>
      </c>
      <c r="M139" s="286">
        <v>0</v>
      </c>
      <c r="N139" s="286">
        <v>0</v>
      </c>
      <c r="O139" s="286">
        <v>0</v>
      </c>
      <c r="P139" s="71">
        <v>0</v>
      </c>
      <c r="Q139" s="85">
        <f>IF(YEAR($CG139)=2018,($BI$4-$CG139)*$AI139/($CH139-$CG139))</f>
        <v>19427.644397810218</v>
      </c>
      <c r="R139" s="286">
        <f t="shared" si="302"/>
        <v>1457.0734762773723</v>
      </c>
      <c r="S139" s="286">
        <f t="shared" si="303"/>
        <v>1457.0734762773723</v>
      </c>
      <c r="T139" s="286">
        <f t="shared" si="304"/>
        <v>0</v>
      </c>
      <c r="U139" s="286">
        <f t="shared" si="305"/>
        <v>0</v>
      </c>
      <c r="V139" s="361">
        <f t="shared" si="306"/>
        <v>16513.497445255474</v>
      </c>
      <c r="W139" s="85">
        <f t="shared" si="307"/>
        <v>66271.871076642332</v>
      </c>
      <c r="X139" s="286">
        <f t="shared" si="308"/>
        <v>4970.3908302919717</v>
      </c>
      <c r="Y139" s="286">
        <f t="shared" si="309"/>
        <v>4970.3908302919717</v>
      </c>
      <c r="Z139" s="286">
        <f t="shared" si="292"/>
        <v>0</v>
      </c>
      <c r="AA139" s="286">
        <f t="shared" si="293"/>
        <v>0</v>
      </c>
      <c r="AB139" s="361">
        <f t="shared" si="294"/>
        <v>56331.089416058392</v>
      </c>
      <c r="AC139" s="361">
        <f t="shared" si="310"/>
        <v>113297.66452554744</v>
      </c>
      <c r="AD139" s="286">
        <f t="shared" si="295"/>
        <v>8497.3256934306573</v>
      </c>
      <c r="AE139" s="286">
        <f t="shared" si="296"/>
        <v>8497.3256934306573</v>
      </c>
      <c r="AF139" s="286">
        <f t="shared" si="297"/>
        <v>0</v>
      </c>
      <c r="AG139" s="286">
        <f t="shared" si="298"/>
        <v>0</v>
      </c>
      <c r="AH139" s="361">
        <f t="shared" si="299"/>
        <v>96303.013138686132</v>
      </c>
      <c r="AI139" s="768">
        <f>SUM('3 pr-2'!L140)</f>
        <v>198997.18</v>
      </c>
      <c r="AJ139" s="84"/>
      <c r="AK139" s="282">
        <f>SUM('3 pr-2'!O140)</f>
        <v>14924.79</v>
      </c>
      <c r="AL139" s="282"/>
      <c r="AM139" s="282">
        <f>SUM('3 pr-2'!R140)</f>
        <v>14924.79</v>
      </c>
      <c r="AN139" s="282"/>
      <c r="AO139" s="282">
        <f>SUM('3 pr-2'!U140)</f>
        <v>0</v>
      </c>
      <c r="AP139" s="282"/>
      <c r="AQ139" s="282">
        <f>SUM('3 pr-2'!X140)</f>
        <v>0</v>
      </c>
      <c r="AR139" s="543"/>
      <c r="AS139" s="109">
        <f>SUM('3 pr-2'!AA140)</f>
        <v>169147.6</v>
      </c>
      <c r="AT139" s="499"/>
      <c r="AU139" s="1066"/>
      <c r="AV139" s="24"/>
      <c r="AW139" s="24"/>
      <c r="AX139" s="283"/>
      <c r="AY139" s="283"/>
      <c r="AZ139" s="283"/>
      <c r="BA139" s="283"/>
      <c r="BB139" s="24"/>
      <c r="BC139" s="24"/>
      <c r="BD139" s="283"/>
      <c r="BE139" s="283"/>
      <c r="BF139" s="283"/>
      <c r="BG139" s="283"/>
      <c r="BH139" s="24"/>
      <c r="BI139" s="24"/>
      <c r="BJ139" s="283"/>
      <c r="BK139" s="283"/>
      <c r="BL139" s="283"/>
      <c r="BM139" s="283"/>
      <c r="BN139" s="24"/>
      <c r="BO139" s="24"/>
      <c r="BP139" s="283"/>
      <c r="BQ139" s="283"/>
      <c r="BR139" s="283"/>
      <c r="BS139" s="283"/>
      <c r="BT139" s="24"/>
      <c r="BU139" s="24"/>
      <c r="BV139" s="283"/>
      <c r="BW139" s="283"/>
      <c r="BX139" s="283"/>
      <c r="BY139" s="283"/>
      <c r="BZ139" s="24"/>
      <c r="CA139" s="24"/>
      <c r="CB139" s="283"/>
      <c r="CC139" s="283"/>
      <c r="CD139" s="283"/>
      <c r="CE139" s="283"/>
      <c r="CF139" s="359"/>
      <c r="CG139" s="1068">
        <v>43358</v>
      </c>
      <c r="CH139" s="1068">
        <v>44454</v>
      </c>
      <c r="CI139" s="23"/>
      <c r="CJ139" s="23"/>
      <c r="CK139" s="23"/>
    </row>
    <row r="140" spans="1:98" ht="78" thickBot="1" x14ac:dyDescent="0.3">
      <c r="A140" s="278" t="str">
        <f>CONCATENATE('3 pr-2'!A141)</f>
        <v>2.1.2.3</v>
      </c>
      <c r="B140" s="118" t="str">
        <f>CONCATENATE('3 pr-2'!B141)</f>
        <v>Priemonė:
Priemonių, gerinančių ambulatorinių sveikatos priežiūros paslaugų prieinamumą tuberkulioze sergantiems pacientams, įgyvendinimas</v>
      </c>
      <c r="C140" s="1079">
        <f>SUM(C141:C145)</f>
        <v>0</v>
      </c>
      <c r="D140" s="1079">
        <f t="shared" ref="D140:AT140" si="311">SUM(D141:D145)</f>
        <v>0</v>
      </c>
      <c r="E140" s="1079">
        <f t="shared" si="311"/>
        <v>0</v>
      </c>
      <c r="F140" s="1079">
        <f t="shared" si="311"/>
        <v>0</v>
      </c>
      <c r="G140" s="1079">
        <f t="shared" si="311"/>
        <v>0</v>
      </c>
      <c r="H140" s="1079">
        <f t="shared" si="311"/>
        <v>0</v>
      </c>
      <c r="I140" s="1079">
        <f t="shared" si="311"/>
        <v>0</v>
      </c>
      <c r="J140" s="1079">
        <f t="shared" si="311"/>
        <v>0</v>
      </c>
      <c r="K140" s="1079">
        <f t="shared" si="311"/>
        <v>0</v>
      </c>
      <c r="L140" s="1079">
        <f t="shared" si="311"/>
        <v>0</v>
      </c>
      <c r="M140" s="1079">
        <f t="shared" si="311"/>
        <v>0</v>
      </c>
      <c r="N140" s="1079">
        <f t="shared" si="311"/>
        <v>0</v>
      </c>
      <c r="O140" s="1079">
        <f t="shared" si="311"/>
        <v>0</v>
      </c>
      <c r="P140" s="1079">
        <f t="shared" si="311"/>
        <v>0</v>
      </c>
      <c r="Q140" s="1079">
        <f t="shared" si="311"/>
        <v>7197.3231661457658</v>
      </c>
      <c r="R140" s="1079">
        <f t="shared" si="311"/>
        <v>413.38130008886935</v>
      </c>
      <c r="S140" s="1079">
        <f t="shared" si="311"/>
        <v>604.76144752214248</v>
      </c>
      <c r="T140" s="1079">
        <f t="shared" si="311"/>
        <v>0</v>
      </c>
      <c r="U140" s="1079">
        <f t="shared" si="311"/>
        <v>126.91117700729927</v>
      </c>
      <c r="V140" s="1079">
        <f t="shared" si="311"/>
        <v>6052.269241527456</v>
      </c>
      <c r="W140" s="1079">
        <f t="shared" si="311"/>
        <v>24551.616407880414</v>
      </c>
      <c r="X140" s="1079">
        <f t="shared" si="311"/>
        <v>1410.1324722657691</v>
      </c>
      <c r="Y140" s="1079">
        <f t="shared" si="311"/>
        <v>2062.9712929493644</v>
      </c>
      <c r="Z140" s="1079">
        <f t="shared" si="311"/>
        <v>0</v>
      </c>
      <c r="AA140" s="1079">
        <f t="shared" si="311"/>
        <v>432.92130474452551</v>
      </c>
      <c r="AB140" s="1079">
        <f t="shared" si="311"/>
        <v>20645.591337920756</v>
      </c>
      <c r="AC140" s="1079">
        <f t="shared" si="311"/>
        <v>33464.240425973818</v>
      </c>
      <c r="AD140" s="1079">
        <f t="shared" si="311"/>
        <v>1772.5762276453613</v>
      </c>
      <c r="AE140" s="1079">
        <f t="shared" si="311"/>
        <v>2888.7072595284935</v>
      </c>
      <c r="AF140" s="1079">
        <f t="shared" si="311"/>
        <v>0</v>
      </c>
      <c r="AG140" s="1079">
        <f t="shared" si="311"/>
        <v>740.1175182481752</v>
      </c>
      <c r="AH140" s="1079">
        <f t="shared" si="311"/>
        <v>28062.839420551787</v>
      </c>
      <c r="AI140" s="1080">
        <f t="shared" si="311"/>
        <v>65213.18</v>
      </c>
      <c r="AJ140" s="1079">
        <f t="shared" si="311"/>
        <v>0</v>
      </c>
      <c r="AK140" s="1079">
        <f t="shared" si="311"/>
        <v>3596.09</v>
      </c>
      <c r="AL140" s="1079">
        <f t="shared" si="311"/>
        <v>0</v>
      </c>
      <c r="AM140" s="1079">
        <f t="shared" si="311"/>
        <v>5556.4400000000005</v>
      </c>
      <c r="AN140" s="1079">
        <f t="shared" si="311"/>
        <v>0</v>
      </c>
      <c r="AO140" s="1079">
        <f t="shared" si="311"/>
        <v>0</v>
      </c>
      <c r="AP140" s="1079">
        <f t="shared" si="311"/>
        <v>0</v>
      </c>
      <c r="AQ140" s="1079">
        <f t="shared" si="311"/>
        <v>1299.95</v>
      </c>
      <c r="AR140" s="1079"/>
      <c r="AS140" s="1079">
        <f t="shared" si="311"/>
        <v>54760.7</v>
      </c>
      <c r="AT140" s="1079">
        <f t="shared" si="311"/>
        <v>0</v>
      </c>
      <c r="AU140" s="1066">
        <v>0</v>
      </c>
      <c r="AV140" s="24">
        <v>0</v>
      </c>
      <c r="AW140" s="24">
        <v>0</v>
      </c>
      <c r="AX140" s="1079">
        <v>0</v>
      </c>
      <c r="AY140" s="1079">
        <v>0</v>
      </c>
      <c r="AZ140" s="1079">
        <v>0</v>
      </c>
      <c r="BA140" s="1079">
        <v>0</v>
      </c>
      <c r="BB140" s="24">
        <v>0</v>
      </c>
      <c r="BC140" s="24">
        <v>50</v>
      </c>
      <c r="BD140" s="1079">
        <v>50</v>
      </c>
      <c r="BE140" s="1079">
        <v>50</v>
      </c>
      <c r="BF140" s="1079">
        <v>50</v>
      </c>
      <c r="BG140" s="1079">
        <v>50</v>
      </c>
      <c r="BH140" s="24">
        <v>50</v>
      </c>
      <c r="BI140" s="24">
        <v>50</v>
      </c>
      <c r="BJ140" s="1079">
        <v>50</v>
      </c>
      <c r="BK140" s="1079">
        <v>50</v>
      </c>
      <c r="BL140" s="1079">
        <v>50</v>
      </c>
      <c r="BM140" s="1079">
        <v>50</v>
      </c>
      <c r="BN140" s="24">
        <v>50</v>
      </c>
      <c r="BO140" s="24">
        <v>0</v>
      </c>
      <c r="BP140" s="1079">
        <v>0</v>
      </c>
      <c r="BQ140" s="1079">
        <v>0</v>
      </c>
      <c r="BR140" s="1079">
        <v>0</v>
      </c>
      <c r="BS140" s="1079">
        <v>0</v>
      </c>
      <c r="BT140" s="24">
        <v>0</v>
      </c>
      <c r="BU140" s="24">
        <v>0</v>
      </c>
      <c r="BV140" s="1079">
        <v>0</v>
      </c>
      <c r="BW140" s="1079">
        <v>0</v>
      </c>
      <c r="BX140" s="1079">
        <v>0</v>
      </c>
      <c r="BY140" s="1079">
        <v>0</v>
      </c>
      <c r="BZ140" s="24">
        <v>0</v>
      </c>
      <c r="CA140" s="24">
        <v>100</v>
      </c>
      <c r="CB140" s="1079">
        <v>100</v>
      </c>
      <c r="CC140" s="1079">
        <v>100</v>
      </c>
      <c r="CD140" s="1079">
        <v>100</v>
      </c>
      <c r="CE140" s="1079">
        <v>100</v>
      </c>
      <c r="CF140" s="359">
        <v>100</v>
      </c>
      <c r="CG140" s="23"/>
      <c r="CH140" s="23"/>
    </row>
    <row r="141" spans="1:98" ht="60.75" thickBot="1" x14ac:dyDescent="0.3">
      <c r="A141" s="58" t="str">
        <f>CONCATENATE('3 pr-2'!A142)</f>
        <v>2.1.2.3.1</v>
      </c>
      <c r="B141" s="9" t="str">
        <f>CONCATENATE('3 pr-2'!D142)</f>
        <v>Priemonių gerinančių ambulatorinių sveikatos priežiūros paslaugų prieinamumą tuberkulioze sergantiems asmenims, Alytaus rajone įgyvendinimas</v>
      </c>
      <c r="C141" s="71">
        <v>0</v>
      </c>
      <c r="D141" s="71">
        <v>0</v>
      </c>
      <c r="E141" s="71">
        <v>0</v>
      </c>
      <c r="F141" s="282">
        <v>0</v>
      </c>
      <c r="G141" s="282">
        <v>0</v>
      </c>
      <c r="H141" s="282">
        <v>0</v>
      </c>
      <c r="I141" s="282">
        <v>0</v>
      </c>
      <c r="J141" s="71">
        <v>0</v>
      </c>
      <c r="K141" s="71">
        <v>0</v>
      </c>
      <c r="L141" s="286">
        <v>0</v>
      </c>
      <c r="M141" s="286">
        <v>0</v>
      </c>
      <c r="N141" s="286">
        <v>0</v>
      </c>
      <c r="O141" s="286">
        <v>0</v>
      </c>
      <c r="P141" s="71">
        <v>0</v>
      </c>
      <c r="Q141" s="85">
        <f>IF(YEAR($CG141)=2018,($BI$4-$CG141)*$AI141/($CH141-$CG141))</f>
        <v>1020.5027372262774</v>
      </c>
      <c r="R141" s="286">
        <f>IF(YEAR($CG141)=2018,($BI$4-$CG141)*$AK141/($CH141-$CG141))</f>
        <v>0</v>
      </c>
      <c r="S141" s="286">
        <f>IF(YEAR($CG141)=2018,($BI$4-$CG141)*$AM141/($CH141-$CG141))</f>
        <v>141.52507299270073</v>
      </c>
      <c r="T141" s="286">
        <f>IF(YEAR($CG141)=2018,($BI$4-$CG141)*$AO141/($CH141-$CG141))</f>
        <v>0</v>
      </c>
      <c r="U141" s="286">
        <f>IF(YEAR($CG141)=2018,($BI$4-$CG141)*$AQ141/($CH141-$CG141))</f>
        <v>77.003877737226276</v>
      </c>
      <c r="V141" s="361">
        <f>IF(YEAR($CG141)=2018,($BI$4-$CG141)*$AS141/($CH141-$CG141))</f>
        <v>801.97378649635039</v>
      </c>
      <c r="W141" s="85">
        <f>IF(YEAR($CH141)&gt;2018,($BO$4-$BI$4)*$AI141/($CH141-$CG141),0)</f>
        <v>3481.1541970802919</v>
      </c>
      <c r="X141" s="286">
        <f>IF(YEAR($CH141)&gt;2018,($BO$4-$BI$4)*$AK141/($CH141-$CG141),0)</f>
        <v>0</v>
      </c>
      <c r="Y141" s="286">
        <f>IF(YEAR($CH141)&gt;2018,($BO$4-$BI$4)*$AM141/($CH141-$CG141),0)</f>
        <v>482.77244525547457</v>
      </c>
      <c r="Z141" s="286">
        <f>IF(YEAR($CH141)&gt;2018,($BO$4-$BI$4)*$AO141/($CH141-$CG141),0)</f>
        <v>0</v>
      </c>
      <c r="AA141" s="286">
        <f>IF(YEAR($CH141)&gt;2018,($BO$4-$BI$4)*$AQ141/($CH141-$CG141),0)</f>
        <v>262.67677919708029</v>
      </c>
      <c r="AB141" s="361">
        <f>IF(YEAR($CH141)&gt;2018,($BO$4-$BI$4)*$AS141/($CH141-$CG141),0)</f>
        <v>2735.7049726277378</v>
      </c>
      <c r="AC141" s="361">
        <f>IF(YEAR($CH141)&gt;2018,($CH141-$BO$4)*$AI141/($CH141-$CG141),0)</f>
        <v>5951.3430656934306</v>
      </c>
      <c r="AD141" s="286">
        <f>IF(YEAR($CH141)&gt;2018,($CH141-$BO$4)*$AK141/($CH141-$CG141),0)</f>
        <v>0</v>
      </c>
      <c r="AE141" s="286">
        <f>IF(YEAR($CH141)&gt;2018,($CH141-$BO$4)*$AM141/($CH141-$CG141),0)</f>
        <v>825.34248175182495</v>
      </c>
      <c r="AF141" s="286">
        <f>IF(YEAR($CH141)&gt;2018,($CH141-$BO$4)*$AO141/($CH141-$CG141),0)</f>
        <v>0</v>
      </c>
      <c r="AG141" s="286">
        <f>IF(YEAR($CH141)&gt;2018,($CH141-$BO$4)*$AQ141/($CH141-$CG141),0)</f>
        <v>449.06934306569343</v>
      </c>
      <c r="AH141" s="361">
        <f>IF(YEAR($CH141)&gt;2018,($CH141-$BO$4)*$AS141/($CH141-$CG141),0)</f>
        <v>4676.9312408759133</v>
      </c>
      <c r="AI141" s="768">
        <f>SUM('3 pr-2'!L142)</f>
        <v>10453</v>
      </c>
      <c r="AJ141" s="84"/>
      <c r="AK141" s="282">
        <f>SUM('3 pr-2'!O142)</f>
        <v>0</v>
      </c>
      <c r="AL141" s="282"/>
      <c r="AM141" s="282">
        <f>SUM('3 pr-2'!R142)</f>
        <v>1449.64</v>
      </c>
      <c r="AN141" s="282"/>
      <c r="AO141" s="282">
        <f>SUM('3 pr-2'!U142)</f>
        <v>0</v>
      </c>
      <c r="AP141" s="282"/>
      <c r="AQ141" s="282">
        <f>SUM('3 pr-2'!X142)</f>
        <v>788.75</v>
      </c>
      <c r="AR141" s="543"/>
      <c r="AS141" s="109">
        <f>SUM('3 pr-2'!AA142)</f>
        <v>8214.61</v>
      </c>
      <c r="AT141" s="499"/>
      <c r="AU141" s="1066"/>
      <c r="AV141" s="24"/>
      <c r="AW141" s="24"/>
      <c r="AX141" s="283"/>
      <c r="AY141" s="283"/>
      <c r="AZ141" s="283"/>
      <c r="BA141" s="283"/>
      <c r="BB141" s="24"/>
      <c r="BC141" s="24"/>
      <c r="BD141" s="283"/>
      <c r="BE141" s="283"/>
      <c r="BF141" s="283"/>
      <c r="BG141" s="283"/>
      <c r="BH141" s="24"/>
      <c r="BI141" s="24"/>
      <c r="BJ141" s="283"/>
      <c r="BK141" s="283"/>
      <c r="BL141" s="283"/>
      <c r="BM141" s="283"/>
      <c r="BN141" s="24"/>
      <c r="BO141" s="24"/>
      <c r="BP141" s="283"/>
      <c r="BQ141" s="283"/>
      <c r="BR141" s="283"/>
      <c r="BS141" s="283"/>
      <c r="BT141" s="24"/>
      <c r="BU141" s="24"/>
      <c r="BV141" s="283"/>
      <c r="BW141" s="283"/>
      <c r="BX141" s="283"/>
      <c r="BY141" s="283"/>
      <c r="BZ141" s="24"/>
      <c r="CA141" s="24"/>
      <c r="CB141" s="283"/>
      <c r="CC141" s="283"/>
      <c r="CD141" s="283"/>
      <c r="CE141" s="283"/>
      <c r="CF141" s="359"/>
      <c r="CG141" s="1068">
        <v>43358</v>
      </c>
      <c r="CH141" s="1068">
        <v>44454</v>
      </c>
      <c r="CI141" s="25" t="str">
        <f>CONCATENATE(D141+J141+P141+V141+AB141+AH141)</f>
        <v>8214,61</v>
      </c>
      <c r="CJ141" s="68">
        <f>SUM(CI141-AS141)</f>
        <v>0</v>
      </c>
    </row>
    <row r="142" spans="1:98" ht="36.75" thickBot="1" x14ac:dyDescent="0.3">
      <c r="A142" s="58" t="str">
        <f>CONCATENATE('3 pr-2'!A143)</f>
        <v>2.1.2.3.2</v>
      </c>
      <c r="B142" s="9" t="str">
        <f>CONCATENATE('3 pr-2'!D143)</f>
        <v>Ambulatorinių sveikatos priežiūros paslaugų gerinimas tuberkulioze sergantiems asmenims</v>
      </c>
      <c r="C142" s="71">
        <v>0</v>
      </c>
      <c r="D142" s="71">
        <v>0</v>
      </c>
      <c r="E142" s="71">
        <v>0</v>
      </c>
      <c r="F142" s="282">
        <v>0</v>
      </c>
      <c r="G142" s="282">
        <v>0</v>
      </c>
      <c r="H142" s="282">
        <v>0</v>
      </c>
      <c r="I142" s="282">
        <v>0</v>
      </c>
      <c r="J142" s="71">
        <v>0</v>
      </c>
      <c r="K142" s="71">
        <v>0</v>
      </c>
      <c r="L142" s="286">
        <v>0</v>
      </c>
      <c r="M142" s="286">
        <v>0</v>
      </c>
      <c r="N142" s="286">
        <v>0</v>
      </c>
      <c r="O142" s="286">
        <v>0</v>
      </c>
      <c r="P142" s="71">
        <v>0</v>
      </c>
      <c r="Q142" s="85">
        <f>IF(YEAR($CG142)=2018,($BI$4-$CG142)*$AI142/($CH142-$CG142))</f>
        <v>2494.3998084815321</v>
      </c>
      <c r="R142" s="286">
        <f>IF(YEAR($CG142)=2018,($BI$4-$CG142)*$AK142/($CH142-$CG142))</f>
        <v>187.08020519835841</v>
      </c>
      <c r="S142" s="286">
        <f>IF(YEAR($CG142)=2018,($BI$4-$CG142)*$AM142/($CH142-$CG142))</f>
        <v>187.06703146374829</v>
      </c>
      <c r="T142" s="286">
        <f>IF(YEAR($CG142)=2018,($BI$4-$CG142)*$AO142/($CH142-$CG142))</f>
        <v>0</v>
      </c>
      <c r="U142" s="286">
        <f>IF(YEAR($CG142)=2018,($BI$4-$CG142)*$AQ142/($CH142-$CG142))</f>
        <v>0</v>
      </c>
      <c r="V142" s="361">
        <f>IF(YEAR($CG142)=2018,($BI$4-$CG142)*$AS142/($CH142-$CG142))</f>
        <v>2120.2525718194256</v>
      </c>
      <c r="W142" s="85">
        <f>IF(YEAR($CH142)&gt;2018,($BO$4-$BI$4)*$AI142/($CH142-$CG142),0)</f>
        <v>8508.9339261285913</v>
      </c>
      <c r="X142" s="286">
        <f>IF(YEAR($CH142)&gt;2018,($BO$4-$BI$4)*$AK142/($CH142-$CG142),0)</f>
        <v>638.17079343365253</v>
      </c>
      <c r="Y142" s="286">
        <f>IF(YEAR($CH142)&gt;2018,($BO$4-$BI$4)*$AM142/($CH142-$CG142),0)</f>
        <v>638.12585499316003</v>
      </c>
      <c r="Z142" s="286">
        <f t="shared" ref="Z142:Z145" si="312">IF(YEAR($CH142)&gt;2018,($BO$4-$BI$4)*$AO142/($CH142-$CG142),0)</f>
        <v>0</v>
      </c>
      <c r="AA142" s="286">
        <f t="shared" ref="AA142:AA145" si="313">IF(YEAR($CH142)&gt;2018,($BO$4-$BI$4)*$AQ142/($CH142-$CG142),0)</f>
        <v>0</v>
      </c>
      <c r="AB142" s="361">
        <f t="shared" ref="AB142:AB145" si="314">IF(YEAR($CH142)&gt;2018,($BO$4-$BI$4)*$AS142/($CH142-$CG142),0)</f>
        <v>7232.6372777017777</v>
      </c>
      <c r="AC142" s="361">
        <f>IF(YEAR($CH142)&gt;2018,($CH142-$BO$4)*$AI142/($CH142-$CG142),0)</f>
        <v>6037.8462653898769</v>
      </c>
      <c r="AD142" s="286">
        <f t="shared" ref="AD142:AD145" si="315">IF(YEAR($CH142)&gt;2018,($CH142-$BO$4)*$AK142/($CH142-$CG142),0)</f>
        <v>452.83900136798906</v>
      </c>
      <c r="AE142" s="286">
        <f t="shared" ref="AE142:AE145" si="316">IF(YEAR($CH142)&gt;2018,($CH142-$BO$4)*$AM142/($CH142-$CG142),0)</f>
        <v>452.80711354309165</v>
      </c>
      <c r="AF142" s="286">
        <f t="shared" ref="AF142:AF145" si="317">IF(YEAR($CH142)&gt;2018,($CH142-$BO$4)*$AO142/($CH142-$CG142),0)</f>
        <v>0</v>
      </c>
      <c r="AG142" s="286">
        <f t="shared" ref="AG142:AG145" si="318">IF(YEAR($CH142)&gt;2018,($CH142-$BO$4)*$AQ142/($CH142-$CG142),0)</f>
        <v>0</v>
      </c>
      <c r="AH142" s="361">
        <f t="shared" ref="AH142:AH145" si="319">IF(YEAR($CH142)&gt;2018,($CH142-$BO$4)*$AS142/($CH142-$CG142),0)</f>
        <v>5132.2001504787959</v>
      </c>
      <c r="AI142" s="768">
        <f>SUM('3 pr-2'!L143)</f>
        <v>17041.18</v>
      </c>
      <c r="AJ142" s="84"/>
      <c r="AK142" s="282">
        <f>SUM('3 pr-2'!O143)</f>
        <v>1278.0899999999999</v>
      </c>
      <c r="AL142" s="282"/>
      <c r="AM142" s="282">
        <f>SUM('3 pr-2'!R143)</f>
        <v>1278</v>
      </c>
      <c r="AN142" s="282"/>
      <c r="AO142" s="282">
        <f>SUM('3 pr-2'!U143)</f>
        <v>0</v>
      </c>
      <c r="AP142" s="282"/>
      <c r="AQ142" s="282">
        <f>SUM('3 pr-2'!X143)</f>
        <v>0</v>
      </c>
      <c r="AR142" s="543"/>
      <c r="AS142" s="109">
        <f>SUM('3 pr-2'!AA143)</f>
        <v>14485.09</v>
      </c>
      <c r="AT142" s="499"/>
      <c r="AU142" s="1066"/>
      <c r="AV142" s="24"/>
      <c r="AW142" s="24"/>
      <c r="AX142" s="283"/>
      <c r="AY142" s="283"/>
      <c r="AZ142" s="283"/>
      <c r="BA142" s="283"/>
      <c r="BB142" s="24"/>
      <c r="BC142" s="24"/>
      <c r="BD142" s="283"/>
      <c r="BE142" s="283"/>
      <c r="BF142" s="283"/>
      <c r="BG142" s="283"/>
      <c r="BH142" s="24"/>
      <c r="BI142" s="24"/>
      <c r="BJ142" s="283"/>
      <c r="BK142" s="283"/>
      <c r="BL142" s="283"/>
      <c r="BM142" s="283"/>
      <c r="BN142" s="24"/>
      <c r="BO142" s="24"/>
      <c r="BP142" s="283"/>
      <c r="BQ142" s="283"/>
      <c r="BR142" s="283"/>
      <c r="BS142" s="283"/>
      <c r="BT142" s="24"/>
      <c r="BU142" s="24"/>
      <c r="BV142" s="283"/>
      <c r="BW142" s="283"/>
      <c r="BX142" s="283"/>
      <c r="BY142" s="283"/>
      <c r="BZ142" s="24"/>
      <c r="CA142" s="24"/>
      <c r="CB142" s="283"/>
      <c r="CC142" s="283"/>
      <c r="CD142" s="283"/>
      <c r="CE142" s="283"/>
      <c r="CF142" s="359"/>
      <c r="CG142" s="1068">
        <v>43358</v>
      </c>
      <c r="CH142" s="1068">
        <v>44089</v>
      </c>
      <c r="CI142" s="25" t="str">
        <f t="shared" ref="CI142:CI145" si="320">CONCATENATE(D142+J142+P142+V142+AB142+AH142)</f>
        <v>14485,09</v>
      </c>
      <c r="CJ142" s="68">
        <f t="shared" ref="CJ142:CJ143" si="321">SUM(CI142-AS142)</f>
        <v>0</v>
      </c>
    </row>
    <row r="143" spans="1:98" ht="36.75" thickBot="1" x14ac:dyDescent="0.3">
      <c r="A143" s="58" t="str">
        <f>CONCATENATE('3 pr-2'!A144)</f>
        <v>2.1.2.3.3</v>
      </c>
      <c r="B143" s="9" t="str">
        <f>CONCATENATE('3 pr-2'!D144)</f>
        <v xml:space="preserve">Paslaugų tuberkulioze sergantiems asmenims gerinimas Lazdijų rajono savivaldybėje </v>
      </c>
      <c r="C143" s="71">
        <v>0</v>
      </c>
      <c r="D143" s="71">
        <v>0</v>
      </c>
      <c r="E143" s="71">
        <v>0</v>
      </c>
      <c r="F143" s="282">
        <v>0</v>
      </c>
      <c r="G143" s="282">
        <v>0</v>
      </c>
      <c r="H143" s="282">
        <v>0</v>
      </c>
      <c r="I143" s="282">
        <v>0</v>
      </c>
      <c r="J143" s="71">
        <v>0</v>
      </c>
      <c r="K143" s="71">
        <v>0</v>
      </c>
      <c r="L143" s="286">
        <v>0</v>
      </c>
      <c r="M143" s="286">
        <v>0</v>
      </c>
      <c r="N143" s="286">
        <v>0</v>
      </c>
      <c r="O143" s="286">
        <v>0</v>
      </c>
      <c r="P143" s="71">
        <v>0</v>
      </c>
      <c r="Q143" s="85">
        <f>IF(YEAR($CG143)=2018,($BI$4-$CG143)*$AI143/($CH143-$CG143))</f>
        <v>1486.2846715328467</v>
      </c>
      <c r="R143" s="286">
        <f>IF(YEAR($CG143)=2018,($BI$4-$CG143)*$AK143/($CH143-$CG143))</f>
        <v>111.49087591240875</v>
      </c>
      <c r="S143" s="286">
        <f>IF(YEAR($CG143)=2018,($BI$4-$CG143)*$AM143/($CH143-$CG143))</f>
        <v>111.45182481751824</v>
      </c>
      <c r="T143" s="286">
        <f>IF(YEAR($CG143)=2018,($BI$4-$CG143)*$AO143/($CH143-$CG143))</f>
        <v>0</v>
      </c>
      <c r="U143" s="286">
        <f>IF(YEAR($CG143)=2018,($BI$4-$CG143)*$AQ143/($CH143-$CG143))</f>
        <v>0</v>
      </c>
      <c r="V143" s="361">
        <f>IF(YEAR($CG143)=2018,($BI$4-$CG143)*$AS143/($CH143-$CG143))</f>
        <v>1263.3419708029198</v>
      </c>
      <c r="W143" s="85">
        <f>IF(YEAR($CH143)&gt;2018,($BO$4-$BI$4)*$AI143/($CH143-$CG143),0)</f>
        <v>5070.0364963503653</v>
      </c>
      <c r="X143" s="286">
        <f>IF(YEAR($CH143)&gt;2018,($BO$4-$BI$4)*$AK143/($CH143-$CG143),0)</f>
        <v>380.31934306569343</v>
      </c>
      <c r="Y143" s="286">
        <f>IF(YEAR($CH143)&gt;2018,($BO$4-$BI$4)*$AM143/($CH143-$CG143),0)</f>
        <v>380.18613138686123</v>
      </c>
      <c r="Z143" s="286">
        <f t="shared" si="312"/>
        <v>0</v>
      </c>
      <c r="AA143" s="286">
        <f t="shared" si="313"/>
        <v>0</v>
      </c>
      <c r="AB143" s="361">
        <f t="shared" si="314"/>
        <v>4309.5310218978102</v>
      </c>
      <c r="AC143" s="361">
        <f>IF(YEAR($CH143)&gt;2018,($CH143-$BO$4)*$AI143/($CH143-$CG143),0)</f>
        <v>8667.6788321167878</v>
      </c>
      <c r="AD143" s="286">
        <f t="shared" si="315"/>
        <v>650.18978102189783</v>
      </c>
      <c r="AE143" s="286">
        <f t="shared" si="316"/>
        <v>649.96204379562039</v>
      </c>
      <c r="AF143" s="286">
        <f t="shared" si="317"/>
        <v>0</v>
      </c>
      <c r="AG143" s="286">
        <f t="shared" si="318"/>
        <v>0</v>
      </c>
      <c r="AH143" s="361">
        <f t="shared" si="319"/>
        <v>7367.5270072992698</v>
      </c>
      <c r="AI143" s="768">
        <f>SUM('3 pr-2'!L144)</f>
        <v>15224</v>
      </c>
      <c r="AJ143" s="84"/>
      <c r="AK143" s="282">
        <f>SUM('3 pr-2'!O144)</f>
        <v>1142</v>
      </c>
      <c r="AL143" s="282"/>
      <c r="AM143" s="282">
        <f>SUM('3 pr-2'!R144)</f>
        <v>1141.5999999999999</v>
      </c>
      <c r="AN143" s="282"/>
      <c r="AO143" s="282">
        <f>SUM('3 pr-2'!U144)</f>
        <v>0</v>
      </c>
      <c r="AP143" s="282"/>
      <c r="AQ143" s="282">
        <f>SUM('3 pr-2'!X144)</f>
        <v>0</v>
      </c>
      <c r="AR143" s="543"/>
      <c r="AS143" s="109">
        <f>SUM('3 pr-2'!AA144)</f>
        <v>12940.4</v>
      </c>
      <c r="AT143" s="499"/>
      <c r="AU143" s="1066"/>
      <c r="AV143" s="24"/>
      <c r="AW143" s="24"/>
      <c r="AX143" s="283"/>
      <c r="AY143" s="283"/>
      <c r="AZ143" s="283"/>
      <c r="BA143" s="283"/>
      <c r="BB143" s="24"/>
      <c r="BC143" s="24"/>
      <c r="BD143" s="283"/>
      <c r="BE143" s="283"/>
      <c r="BF143" s="283"/>
      <c r="BG143" s="283"/>
      <c r="BH143" s="24"/>
      <c r="BI143" s="24"/>
      <c r="BJ143" s="283"/>
      <c r="BK143" s="283"/>
      <c r="BL143" s="283"/>
      <c r="BM143" s="283"/>
      <c r="BN143" s="24"/>
      <c r="BO143" s="24"/>
      <c r="BP143" s="283"/>
      <c r="BQ143" s="283"/>
      <c r="BR143" s="283"/>
      <c r="BS143" s="283"/>
      <c r="BT143" s="24"/>
      <c r="BU143" s="24"/>
      <c r="BV143" s="283"/>
      <c r="BW143" s="283"/>
      <c r="BX143" s="283"/>
      <c r="BY143" s="283"/>
      <c r="BZ143" s="24"/>
      <c r="CA143" s="24"/>
      <c r="CB143" s="283"/>
      <c r="CC143" s="283"/>
      <c r="CD143" s="283"/>
      <c r="CE143" s="283"/>
      <c r="CF143" s="359"/>
      <c r="CG143" s="1068">
        <v>43358</v>
      </c>
      <c r="CH143" s="1068">
        <v>44454</v>
      </c>
      <c r="CI143" s="25" t="str">
        <f t="shared" si="320"/>
        <v>12940,4</v>
      </c>
      <c r="CJ143" s="68">
        <f t="shared" si="321"/>
        <v>0</v>
      </c>
    </row>
    <row r="144" spans="1:98" ht="48.75" thickBot="1" x14ac:dyDescent="0.3">
      <c r="A144" s="58" t="str">
        <f>CONCATENATE('3 pr-2'!A145)</f>
        <v>2.1.2.3.4</v>
      </c>
      <c r="B144" s="9" t="str">
        <f>CONCATENATE('3 pr-2'!D145)</f>
        <v>Ambulatorinių sveikatos priežiūros paslaugų tuberkulioze sergantiems asmenims prieinamumo gerinimas Druskininkų savivaldybėje</v>
      </c>
      <c r="C144" s="71">
        <v>0</v>
      </c>
      <c r="D144" s="71">
        <v>0</v>
      </c>
      <c r="E144" s="71">
        <v>0</v>
      </c>
      <c r="F144" s="282">
        <v>0</v>
      </c>
      <c r="G144" s="282">
        <v>0</v>
      </c>
      <c r="H144" s="282">
        <v>0</v>
      </c>
      <c r="I144" s="282">
        <v>0</v>
      </c>
      <c r="J144" s="71">
        <v>0</v>
      </c>
      <c r="K144" s="71">
        <v>0</v>
      </c>
      <c r="L144" s="286">
        <v>0</v>
      </c>
      <c r="M144" s="286">
        <v>0</v>
      </c>
      <c r="N144" s="286">
        <v>0</v>
      </c>
      <c r="O144" s="286">
        <v>0</v>
      </c>
      <c r="P144" s="71">
        <v>0</v>
      </c>
      <c r="Q144" s="85">
        <f>IF(YEAR($CG144)=2018,($BI$4-$CG144)*$AI144/($CH144-$CG144))</f>
        <v>665.43065693430663</v>
      </c>
      <c r="R144" s="286">
        <f t="shared" ref="R144:R145" si="322">IF(YEAR($CG144)=2018,($BI$4-$CG144)*$AK144/($CH144-$CG144))</f>
        <v>0</v>
      </c>
      <c r="S144" s="286">
        <f t="shared" ref="S144:S145" si="323">IF(YEAR($CG144)=2018,($BI$4-$CG144)*$AM144/($CH144-$CG144))</f>
        <v>49.907299270072997</v>
      </c>
      <c r="T144" s="286">
        <f t="shared" ref="T144:T145" si="324">IF(YEAR($CG144)=2018,($BI$4-$CG144)*$AO144/($CH144-$CG144))</f>
        <v>0</v>
      </c>
      <c r="U144" s="286">
        <f t="shared" ref="U144:U145" si="325">IF(YEAR($CG144)=2018,($BI$4-$CG144)*$AQ144/($CH144-$CG144))</f>
        <v>49.907299270072997</v>
      </c>
      <c r="V144" s="361">
        <f t="shared" ref="V144:V145" si="326">IF(YEAR($CG144)=2018,($BI$4-$CG144)*$AS144/($CH144-$CG144))</f>
        <v>565.61605839416063</v>
      </c>
      <c r="W144" s="85">
        <f t="shared" ref="W144:W145" si="327">IF(YEAR($CH144)&gt;2018,($BO$4-$BI$4)*$AI144/($CH144-$CG144),0)</f>
        <v>2269.9270072992699</v>
      </c>
      <c r="X144" s="286">
        <f t="shared" ref="X144:X145" si="328">IF(YEAR($CH144)&gt;2018,($BO$4-$BI$4)*$AK144/($CH144-$CG144),0)</f>
        <v>0</v>
      </c>
      <c r="Y144" s="286">
        <f t="shared" ref="Y144:Y145" si="329">IF(YEAR($CH144)&gt;2018,($BO$4-$BI$4)*$AM144/($CH144-$CG144),0)</f>
        <v>170.24452554744525</v>
      </c>
      <c r="Z144" s="286">
        <f t="shared" si="312"/>
        <v>0</v>
      </c>
      <c r="AA144" s="286">
        <f t="shared" si="313"/>
        <v>170.24452554744525</v>
      </c>
      <c r="AB144" s="361">
        <f t="shared" si="314"/>
        <v>1929.4379562043796</v>
      </c>
      <c r="AC144" s="361">
        <f t="shared" ref="AC144:AC145" si="330">IF(YEAR($CH144)&gt;2018,($CH144-$BO$4)*$AI144/($CH144-$CG144),0)</f>
        <v>3880.6423357664235</v>
      </c>
      <c r="AD144" s="286">
        <f t="shared" si="315"/>
        <v>0</v>
      </c>
      <c r="AE144" s="286">
        <f t="shared" si="316"/>
        <v>291.04817518248171</v>
      </c>
      <c r="AF144" s="286">
        <f t="shared" si="317"/>
        <v>0</v>
      </c>
      <c r="AG144" s="286">
        <f t="shared" si="318"/>
        <v>291.04817518248171</v>
      </c>
      <c r="AH144" s="361">
        <f t="shared" si="319"/>
        <v>3298.5459854014603</v>
      </c>
      <c r="AI144" s="768">
        <f>SUM('3 pr-2'!L145)</f>
        <v>6816</v>
      </c>
      <c r="AJ144" s="84"/>
      <c r="AK144" s="282">
        <f>SUM('3 pr-2'!O145)</f>
        <v>0</v>
      </c>
      <c r="AL144" s="282"/>
      <c r="AM144" s="282">
        <f>SUM('3 pr-2'!R145)</f>
        <v>511.2</v>
      </c>
      <c r="AN144" s="282"/>
      <c r="AO144" s="282">
        <f>SUM('3 pr-2'!U145)</f>
        <v>0</v>
      </c>
      <c r="AP144" s="282"/>
      <c r="AQ144" s="282">
        <f>SUM('3 pr-2'!X145)</f>
        <v>511.2</v>
      </c>
      <c r="AR144" s="543"/>
      <c r="AS144" s="109">
        <f>SUM('3 pr-2'!AA145)</f>
        <v>5793.6</v>
      </c>
      <c r="AT144" s="499"/>
      <c r="AU144" s="1066"/>
      <c r="AV144" s="24"/>
      <c r="AW144" s="24"/>
      <c r="AX144" s="283"/>
      <c r="AY144" s="283"/>
      <c r="AZ144" s="283"/>
      <c r="BA144" s="283"/>
      <c r="BB144" s="24"/>
      <c r="BC144" s="24"/>
      <c r="BD144" s="283"/>
      <c r="BE144" s="283"/>
      <c r="BF144" s="283"/>
      <c r="BG144" s="283"/>
      <c r="BH144" s="24"/>
      <c r="BI144" s="24"/>
      <c r="BJ144" s="283"/>
      <c r="BK144" s="283"/>
      <c r="BL144" s="283"/>
      <c r="BM144" s="283"/>
      <c r="BN144" s="24"/>
      <c r="BO144" s="24"/>
      <c r="BP144" s="283"/>
      <c r="BQ144" s="283"/>
      <c r="BR144" s="283"/>
      <c r="BS144" s="283"/>
      <c r="BT144" s="24"/>
      <c r="BU144" s="24"/>
      <c r="BV144" s="283"/>
      <c r="BW144" s="283"/>
      <c r="BX144" s="283"/>
      <c r="BY144" s="283"/>
      <c r="BZ144" s="24"/>
      <c r="CA144" s="24"/>
      <c r="CB144" s="283"/>
      <c r="CC144" s="283"/>
      <c r="CD144" s="283"/>
      <c r="CE144" s="283"/>
      <c r="CF144" s="359"/>
      <c r="CG144" s="1068">
        <v>43358</v>
      </c>
      <c r="CH144" s="1068">
        <v>44454</v>
      </c>
      <c r="CI144" s="25" t="str">
        <f t="shared" si="320"/>
        <v>5793,6</v>
      </c>
    </row>
    <row r="145" spans="1:97" ht="48.75" thickBot="1" x14ac:dyDescent="0.3">
      <c r="A145" s="58" t="str">
        <f>CONCATENATE('3 pr-2'!A146)</f>
        <v>2.1.2.3.5</v>
      </c>
      <c r="B145" s="9" t="str">
        <f>CONCATENATE('3 pr-2'!D146)</f>
        <v>Ambulatorinių sveikatos priežiūros paslaugų prieinamumo gerinimas tuberkulioze sergantiems asmenims Varėnos rajono savivaldybėje</v>
      </c>
      <c r="C145" s="71">
        <v>0</v>
      </c>
      <c r="D145" s="71">
        <v>0</v>
      </c>
      <c r="E145" s="71">
        <v>0</v>
      </c>
      <c r="F145" s="282">
        <v>0</v>
      </c>
      <c r="G145" s="282">
        <v>0</v>
      </c>
      <c r="H145" s="282">
        <v>0</v>
      </c>
      <c r="I145" s="282">
        <v>0</v>
      </c>
      <c r="J145" s="71">
        <v>0</v>
      </c>
      <c r="K145" s="71">
        <v>0</v>
      </c>
      <c r="L145" s="286">
        <v>0</v>
      </c>
      <c r="M145" s="286">
        <v>0</v>
      </c>
      <c r="N145" s="286">
        <v>0</v>
      </c>
      <c r="O145" s="286">
        <v>0</v>
      </c>
      <c r="P145" s="71">
        <v>0</v>
      </c>
      <c r="Q145" s="85">
        <f>IF(YEAR($CG145)=2018,($BI$4-$CG145)*$AI145/($CH145-$CG145))</f>
        <v>1530.7052919708028</v>
      </c>
      <c r="R145" s="286">
        <f t="shared" si="322"/>
        <v>114.81021897810218</v>
      </c>
      <c r="S145" s="286">
        <f t="shared" si="323"/>
        <v>114.81021897810218</v>
      </c>
      <c r="T145" s="286">
        <f t="shared" si="324"/>
        <v>0</v>
      </c>
      <c r="U145" s="286">
        <f t="shared" si="325"/>
        <v>0</v>
      </c>
      <c r="V145" s="361">
        <f t="shared" si="326"/>
        <v>1301.0848540145985</v>
      </c>
      <c r="W145" s="85">
        <f t="shared" si="327"/>
        <v>5221.5647810218979</v>
      </c>
      <c r="X145" s="286">
        <f t="shared" si="328"/>
        <v>391.64233576642334</v>
      </c>
      <c r="Y145" s="286">
        <f t="shared" si="329"/>
        <v>391.64233576642334</v>
      </c>
      <c r="Z145" s="286">
        <f t="shared" si="312"/>
        <v>0</v>
      </c>
      <c r="AA145" s="286">
        <f t="shared" si="313"/>
        <v>0</v>
      </c>
      <c r="AB145" s="361">
        <f t="shared" si="314"/>
        <v>4438.280109489051</v>
      </c>
      <c r="AC145" s="361">
        <f t="shared" si="330"/>
        <v>8926.7299270072999</v>
      </c>
      <c r="AD145" s="286">
        <f t="shared" si="315"/>
        <v>669.54744525547449</v>
      </c>
      <c r="AE145" s="286">
        <f t="shared" si="316"/>
        <v>669.54744525547449</v>
      </c>
      <c r="AF145" s="286">
        <f t="shared" si="317"/>
        <v>0</v>
      </c>
      <c r="AG145" s="286">
        <f t="shared" si="318"/>
        <v>0</v>
      </c>
      <c r="AH145" s="361">
        <f t="shared" si="319"/>
        <v>7587.63503649635</v>
      </c>
      <c r="AI145" s="768">
        <f>SUM('3 pr-2'!L146)</f>
        <v>15679</v>
      </c>
      <c r="AJ145" s="84"/>
      <c r="AK145" s="282">
        <f>SUM('3 pr-2'!O146)</f>
        <v>1176</v>
      </c>
      <c r="AL145" s="282"/>
      <c r="AM145" s="282">
        <f>SUM('3 pr-2'!R146)</f>
        <v>1176</v>
      </c>
      <c r="AN145" s="282"/>
      <c r="AO145" s="282">
        <f>SUM('3 pr-2'!U146)</f>
        <v>0</v>
      </c>
      <c r="AP145" s="282"/>
      <c r="AQ145" s="282">
        <f>SUM('3 pr-2'!X146)</f>
        <v>0</v>
      </c>
      <c r="AR145" s="543"/>
      <c r="AS145" s="109">
        <f>SUM('3 pr-2'!AA146)</f>
        <v>13327</v>
      </c>
      <c r="AT145" s="499"/>
      <c r="AU145" s="1066"/>
      <c r="AV145" s="24"/>
      <c r="AW145" s="24"/>
      <c r="AX145" s="283"/>
      <c r="AY145" s="283"/>
      <c r="AZ145" s="283"/>
      <c r="BA145" s="283"/>
      <c r="BB145" s="24"/>
      <c r="BC145" s="24"/>
      <c r="BD145" s="283"/>
      <c r="BE145" s="283"/>
      <c r="BF145" s="283"/>
      <c r="BG145" s="283"/>
      <c r="BH145" s="24"/>
      <c r="BI145" s="24"/>
      <c r="BJ145" s="283"/>
      <c r="BK145" s="283"/>
      <c r="BL145" s="283"/>
      <c r="BM145" s="283"/>
      <c r="BN145" s="24"/>
      <c r="BO145" s="24"/>
      <c r="BP145" s="283"/>
      <c r="BQ145" s="283"/>
      <c r="BR145" s="283"/>
      <c r="BS145" s="283"/>
      <c r="BT145" s="24"/>
      <c r="BU145" s="24"/>
      <c r="BV145" s="283"/>
      <c r="BW145" s="283"/>
      <c r="BX145" s="283"/>
      <c r="BY145" s="283"/>
      <c r="BZ145" s="24"/>
      <c r="CA145" s="24"/>
      <c r="CB145" s="283"/>
      <c r="CC145" s="283"/>
      <c r="CD145" s="283"/>
      <c r="CE145" s="283"/>
      <c r="CF145" s="359"/>
      <c r="CG145" s="1068">
        <v>43358</v>
      </c>
      <c r="CH145" s="1068">
        <v>44454</v>
      </c>
      <c r="CI145" s="25" t="str">
        <f t="shared" si="320"/>
        <v>13327</v>
      </c>
    </row>
    <row r="146" spans="1:97" ht="65.25" thickBot="1" x14ac:dyDescent="0.3">
      <c r="A146" s="279" t="str">
        <f>CONCATENATE('3 pr-2'!A147)</f>
        <v>2.1.3.</v>
      </c>
      <c r="B146" s="117" t="str">
        <f>CONCATENATE('3 pr-2'!B147)</f>
        <v>Uždavinys:
Socialinio būsto ir socialinių paslaugų prieinamumo pažeidžiamiausioms gyventojų grupėms padidinimas</v>
      </c>
      <c r="C146" s="110">
        <f>SUM(C147+C153)</f>
        <v>0</v>
      </c>
      <c r="D146" s="110">
        <f>SUM(D147+D153)</f>
        <v>0</v>
      </c>
      <c r="E146" s="110">
        <f>SUM(E147+E153)</f>
        <v>272169.55999999994</v>
      </c>
      <c r="F146" s="110">
        <f>SUM(F147+F153)</f>
        <v>32621.908409610434</v>
      </c>
      <c r="G146" s="110"/>
      <c r="H146" s="110"/>
      <c r="I146" s="110"/>
      <c r="J146" s="110">
        <f t="shared" ref="J146:Q146" si="331">SUM(J147+J153)</f>
        <v>239547.65159038958</v>
      </c>
      <c r="K146" s="110">
        <f t="shared" si="331"/>
        <v>1171598</v>
      </c>
      <c r="L146" s="1136">
        <f t="shared" si="331"/>
        <v>107101.09159038957</v>
      </c>
      <c r="M146" s="1136">
        <f t="shared" si="331"/>
        <v>2764.7</v>
      </c>
      <c r="N146" s="1136">
        <f t="shared" si="331"/>
        <v>0</v>
      </c>
      <c r="O146" s="1136">
        <f t="shared" si="331"/>
        <v>0</v>
      </c>
      <c r="P146" s="110">
        <f t="shared" si="331"/>
        <v>1061732.2084096104</v>
      </c>
      <c r="Q146" s="110">
        <f t="shared" si="331"/>
        <v>2028980.1052366511</v>
      </c>
      <c r="R146" s="1136"/>
      <c r="S146" s="1136"/>
      <c r="T146" s="1136"/>
      <c r="U146" s="1136"/>
      <c r="V146" s="110">
        <f>SUM(V147+V153)</f>
        <v>1560200.3710698928</v>
      </c>
      <c r="W146" s="110">
        <f>SUM(W147+W153)</f>
        <v>728775.25476334884</v>
      </c>
      <c r="X146" s="1136"/>
      <c r="Y146" s="1136"/>
      <c r="Z146" s="1136"/>
      <c r="AA146" s="1136"/>
      <c r="AB146" s="110">
        <f>SUM(AB147+AB153)</f>
        <v>545254.90893010737</v>
      </c>
      <c r="AC146" s="110">
        <f>SUM(AC147+AC153)</f>
        <v>0</v>
      </c>
      <c r="AD146" s="1136"/>
      <c r="AE146" s="1136"/>
      <c r="AF146" s="1136"/>
      <c r="AG146" s="1136"/>
      <c r="AH146" s="110">
        <f>SUM(AH147+AH153)</f>
        <v>0</v>
      </c>
      <c r="AI146" s="770">
        <f>SUM(AI147+AI153)</f>
        <v>4201522.92</v>
      </c>
      <c r="AJ146" s="110"/>
      <c r="AK146" s="110"/>
      <c r="AL146" s="110"/>
      <c r="AM146" s="110"/>
      <c r="AN146" s="110"/>
      <c r="AO146" s="110"/>
      <c r="AP146" s="110"/>
      <c r="AQ146" s="110"/>
      <c r="AR146" s="110"/>
      <c r="AS146" s="110">
        <f>SUM(AS147+AS153)</f>
        <v>3406735.14</v>
      </c>
      <c r="AT146" s="500"/>
      <c r="AX146" s="110"/>
      <c r="AY146" s="110"/>
      <c r="AZ146" s="110"/>
      <c r="BA146" s="110"/>
      <c r="BD146" s="110"/>
      <c r="BE146" s="110"/>
      <c r="BF146" s="110"/>
      <c r="BG146" s="110"/>
      <c r="BJ146" s="110"/>
      <c r="BK146" s="110"/>
      <c r="BL146" s="110"/>
      <c r="BM146" s="110"/>
      <c r="BP146" s="110"/>
      <c r="BQ146" s="110"/>
      <c r="BR146" s="110"/>
      <c r="BS146" s="110"/>
      <c r="BV146" s="110"/>
      <c r="BW146" s="110"/>
      <c r="BX146" s="110"/>
      <c r="BY146" s="110"/>
      <c r="CB146" s="110"/>
      <c r="CC146" s="110"/>
      <c r="CD146" s="110"/>
      <c r="CE146" s="110"/>
      <c r="CG146" s="23"/>
      <c r="CH146" s="23"/>
    </row>
    <row r="147" spans="1:97" ht="39.75" thickBot="1" x14ac:dyDescent="0.3">
      <c r="A147" s="278" t="str">
        <f>CONCATENATE('3 pr-2'!A148)</f>
        <v>2.1.3.1</v>
      </c>
      <c r="B147" s="118" t="str">
        <f>CONCATENATE('3 pr-2'!B148)</f>
        <v>Priemonė:
Socialinių paslaugų infrastruktūros plėtra</v>
      </c>
      <c r="C147" s="1079">
        <f>SUM(C148:C152)</f>
        <v>0</v>
      </c>
      <c r="D147" s="1079">
        <f>SUM(D148:D152)</f>
        <v>0</v>
      </c>
      <c r="E147" s="1079">
        <f>SUM(E148:E152)</f>
        <v>0</v>
      </c>
      <c r="F147" s="1079">
        <f>SUM(F148:F152)</f>
        <v>0</v>
      </c>
      <c r="G147" s="1079"/>
      <c r="H147" s="1079"/>
      <c r="I147" s="1079"/>
      <c r="J147" s="1079">
        <f t="shared" ref="J147:Q147" si="332">SUM(J148:J152)</f>
        <v>0</v>
      </c>
      <c r="K147" s="1079">
        <f t="shared" si="332"/>
        <v>25688.32</v>
      </c>
      <c r="L147" s="1135">
        <f t="shared" si="332"/>
        <v>0</v>
      </c>
      <c r="M147" s="1135">
        <f t="shared" si="332"/>
        <v>2764.7</v>
      </c>
      <c r="N147" s="1135">
        <f t="shared" si="332"/>
        <v>0</v>
      </c>
      <c r="O147" s="1135">
        <f t="shared" si="332"/>
        <v>0</v>
      </c>
      <c r="P147" s="1079">
        <f t="shared" si="332"/>
        <v>22923.620000000003</v>
      </c>
      <c r="Q147" s="1079">
        <f t="shared" si="332"/>
        <v>837829.71442513634</v>
      </c>
      <c r="R147" s="1135"/>
      <c r="S147" s="1135"/>
      <c r="T147" s="1135"/>
      <c r="U147" s="1135"/>
      <c r="V147" s="1079">
        <f>SUM(V148:V152)</f>
        <v>601723.44207848795</v>
      </c>
      <c r="W147" s="1079">
        <f>SUM(W148:W152)</f>
        <v>371803.7655748637</v>
      </c>
      <c r="X147" s="1135"/>
      <c r="Y147" s="1135"/>
      <c r="Z147" s="1135"/>
      <c r="AA147" s="1135"/>
      <c r="AB147" s="1079">
        <f>SUM(AB148:AB152)</f>
        <v>261114.08792151205</v>
      </c>
      <c r="AC147" s="1079">
        <f>SUM(AC148:AC152)</f>
        <v>0</v>
      </c>
      <c r="AD147" s="1135"/>
      <c r="AE147" s="1135"/>
      <c r="AF147" s="1135"/>
      <c r="AG147" s="1135"/>
      <c r="AH147" s="1079">
        <f>SUM(AH148:AH152)</f>
        <v>0</v>
      </c>
      <c r="AI147" s="1080">
        <f>SUM(AI148:AI152)</f>
        <v>1235321.8</v>
      </c>
      <c r="AJ147" s="1079"/>
      <c r="AK147" s="1079"/>
      <c r="AL147" s="1079"/>
      <c r="AM147" s="1079"/>
      <c r="AN147" s="1079"/>
      <c r="AO147" s="1079"/>
      <c r="AP147" s="1079"/>
      <c r="AQ147" s="1079"/>
      <c r="AR147" s="1079"/>
      <c r="AS147" s="1079">
        <f>SUM(AS148:AS152)</f>
        <v>885761.15</v>
      </c>
      <c r="AT147" s="1079"/>
      <c r="AU147" s="1066"/>
      <c r="AV147" s="24"/>
      <c r="AW147" s="24"/>
      <c r="AX147" s="1079"/>
      <c r="AY147" s="1079"/>
      <c r="AZ147" s="1079"/>
      <c r="BA147" s="1079"/>
      <c r="BB147" s="24"/>
      <c r="BC147" s="24"/>
      <c r="BD147" s="1079"/>
      <c r="BE147" s="1079"/>
      <c r="BF147" s="1079"/>
      <c r="BG147" s="1079"/>
      <c r="BH147" s="24"/>
      <c r="BI147" s="24"/>
      <c r="BJ147" s="1079"/>
      <c r="BK147" s="1079"/>
      <c r="BL147" s="1079"/>
      <c r="BM147" s="1079"/>
      <c r="BN147" s="24"/>
      <c r="BO147" s="24"/>
      <c r="BP147" s="1079"/>
      <c r="BQ147" s="1079"/>
      <c r="BR147" s="1079"/>
      <c r="BS147" s="1079"/>
      <c r="BT147" s="24"/>
      <c r="BU147" s="24"/>
      <c r="BV147" s="1079"/>
      <c r="BW147" s="1079"/>
      <c r="BX147" s="1079"/>
      <c r="BY147" s="1079"/>
      <c r="BZ147" s="24"/>
      <c r="CA147" s="24"/>
      <c r="CB147" s="1079"/>
      <c r="CC147" s="1079"/>
      <c r="CD147" s="1079"/>
      <c r="CE147" s="1079"/>
      <c r="CF147" s="359"/>
      <c r="CG147" s="23"/>
      <c r="CH147" s="23"/>
    </row>
    <row r="148" spans="1:97" ht="41.25" customHeight="1" thickBot="1" x14ac:dyDescent="0.3">
      <c r="A148" s="18" t="str">
        <f>CONCATENATE('3 pr-2'!A149)</f>
        <v>2.1.3.1.1</v>
      </c>
      <c r="B148" s="22" t="str">
        <f>CONCATENATE('3 pr-2'!D149)</f>
        <v>Socialinių paslaugų infrastruktūros plėtra Varėnos rajono savivaldybėje</v>
      </c>
      <c r="C148" s="75">
        <v>0</v>
      </c>
      <c r="D148" s="75">
        <v>0</v>
      </c>
      <c r="E148" s="75">
        <v>0</v>
      </c>
      <c r="F148" s="282">
        <v>0</v>
      </c>
      <c r="G148" s="282">
        <v>0</v>
      </c>
      <c r="H148" s="282">
        <v>0</v>
      </c>
      <c r="I148" s="282">
        <v>0</v>
      </c>
      <c r="J148" s="75">
        <v>0</v>
      </c>
      <c r="K148" s="85">
        <f>SUM('ketv. 7 '!M147)</f>
        <v>0</v>
      </c>
      <c r="L148" s="286">
        <f>SUM('ketv. 7 '!R147)</f>
        <v>0</v>
      </c>
      <c r="M148" s="286">
        <f>SUM('ketv. 7 '!W147)</f>
        <v>0</v>
      </c>
      <c r="N148" s="286">
        <f>SUM('ketv. 7 '!AA147)</f>
        <v>0</v>
      </c>
      <c r="O148" s="286">
        <f>SUM('ketv. 7 '!AF147)</f>
        <v>0</v>
      </c>
      <c r="P148" s="75">
        <f>SUM('ketv. 7 '!AL147)</f>
        <v>0</v>
      </c>
      <c r="Q148" s="85">
        <f>IF(YEAR($CH148)&gt;2018,($BI$4-$BC$4)*$AJ148/($CH148-$BC$4),0)</f>
        <v>137203.03797468354</v>
      </c>
      <c r="R148" s="286">
        <f>IF(YEAR($CH148)&gt;2018,($BI$4-$BC$4)*$AL148/($CH148-$BC$4),0)</f>
        <v>20580.455696202531</v>
      </c>
      <c r="S148" s="286">
        <f>IF(YEAR($CH148)&gt;2018,($BI$4-$BC$4)*$AN148/($CH148-$BC$4),0)</f>
        <v>0</v>
      </c>
      <c r="T148" s="286">
        <f>IF(YEAR($CH148)&gt;2018,($BI$4-$BC$4)*$AP148/($CH148-$BC$4),0)</f>
        <v>0</v>
      </c>
      <c r="U148" s="286">
        <f>IF(YEAR($CH148)&gt;2018,($BI$4-$BC$4)*$AR148/($CH148-$BC$4),0)</f>
        <v>0</v>
      </c>
      <c r="V148" s="75">
        <f>IF(YEAR($CH148)&gt;2018,($BI$4-$BC$4)*$AT148/($CH148-$BC$4),0)</f>
        <v>116622.58227848102</v>
      </c>
      <c r="W148" s="85">
        <f>IF(YEAR($CH148)=2019,($CH148-$BI$4)*$AJ148/($CH148-$BC$4),0)</f>
        <v>11276.962025316456</v>
      </c>
      <c r="X148" s="286">
        <f>IF(YEAR($CH148)=2019,($CH148-$BI$4)*$AL148/($CH148-$BC$4),0)</f>
        <v>1691.5443037974683</v>
      </c>
      <c r="Y148" s="286">
        <f>IF(YEAR($CH148)=2019,($CH148-$BI$4)*$AN148/($CH148-$BC$4),0)</f>
        <v>0</v>
      </c>
      <c r="Z148" s="286">
        <f>IF(YEAR($CH148)=2019,($CH148-$BI$4)*$AP148/($CH148-$BC$4),0)</f>
        <v>0</v>
      </c>
      <c r="AA148" s="286">
        <f>IF(YEAR($CH148)=2019,($CH148-$BI$4)*$AR148/($CH148-$BC$4),0)</f>
        <v>0</v>
      </c>
      <c r="AB148" s="75">
        <f>IF(YEAR($CH148)=2019,($CH148-$BI$4)*$AT148/($CH148-$BC$4),0)</f>
        <v>9585.4177215189866</v>
      </c>
      <c r="AC148" s="75">
        <v>0</v>
      </c>
      <c r="AD148" s="286">
        <v>0</v>
      </c>
      <c r="AE148" s="286">
        <v>0</v>
      </c>
      <c r="AF148" s="286">
        <v>0</v>
      </c>
      <c r="AG148" s="286">
        <v>0</v>
      </c>
      <c r="AH148" s="75">
        <v>0</v>
      </c>
      <c r="AI148" s="769">
        <f>SUM('3 pr-2'!L149)</f>
        <v>148480</v>
      </c>
      <c r="AJ148" s="1082">
        <f>SUM(AI148-K148)</f>
        <v>148480</v>
      </c>
      <c r="AK148" s="282">
        <f>SUM('3 pr-2'!O149)</f>
        <v>22272</v>
      </c>
      <c r="AL148" s="1082">
        <f>SUM(AK148-L148)</f>
        <v>22272</v>
      </c>
      <c r="AM148" s="282">
        <f>SUM('3 pr-2'!R149)</f>
        <v>0</v>
      </c>
      <c r="AN148" s="1082">
        <f>SUM(AM148-M148)</f>
        <v>0</v>
      </c>
      <c r="AO148" s="282">
        <f>SUM('3 pr-2'!U149)</f>
        <v>0</v>
      </c>
      <c r="AP148" s="1082">
        <f>SUM(AO148-N148)</f>
        <v>0</v>
      </c>
      <c r="AQ148" s="282">
        <f>SUM('3 pr-2'!X149)</f>
        <v>0</v>
      </c>
      <c r="AR148" s="1082">
        <f>SUM(AQ148-O148)</f>
        <v>0</v>
      </c>
      <c r="AS148" s="496">
        <f>SUM('3 pr-2'!AA149)</f>
        <v>126208</v>
      </c>
      <c r="AT148" s="1082">
        <f>SUM(AS148-P148)</f>
        <v>126208</v>
      </c>
      <c r="AU148" s="1066"/>
      <c r="AV148" s="24"/>
      <c r="AW148" s="24"/>
      <c r="AX148" s="282"/>
      <c r="AY148" s="282"/>
      <c r="AZ148" s="282"/>
      <c r="BA148" s="282"/>
      <c r="BB148" s="24"/>
      <c r="BC148" s="24"/>
      <c r="BD148" s="282"/>
      <c r="BE148" s="282"/>
      <c r="BF148" s="282"/>
      <c r="BG148" s="282"/>
      <c r="BH148" s="24"/>
      <c r="BI148" s="24"/>
      <c r="BJ148" s="282"/>
      <c r="BK148" s="282"/>
      <c r="BL148" s="282"/>
      <c r="BM148" s="282"/>
      <c r="BN148" s="24"/>
      <c r="BO148" s="24"/>
      <c r="BP148" s="282"/>
      <c r="BQ148" s="282"/>
      <c r="BR148" s="282"/>
      <c r="BS148" s="282"/>
      <c r="BT148" s="24"/>
      <c r="BU148" s="24"/>
      <c r="BV148" s="282"/>
      <c r="BW148" s="282"/>
      <c r="BX148" s="282"/>
      <c r="BY148" s="282"/>
      <c r="BZ148" s="24"/>
      <c r="CA148" s="24"/>
      <c r="CB148" s="282"/>
      <c r="CC148" s="282"/>
      <c r="CD148" s="282"/>
      <c r="CE148" s="282"/>
      <c r="CF148" s="359"/>
      <c r="CG148" s="1137">
        <v>42826</v>
      </c>
      <c r="CH148" s="1137">
        <v>43495</v>
      </c>
      <c r="CI148" s="1138">
        <f>SUM(J148+P148+V148+AB148+AH148)</f>
        <v>126208</v>
      </c>
    </row>
    <row r="149" spans="1:97" ht="29.25" customHeight="1" thickBot="1" x14ac:dyDescent="0.3">
      <c r="A149" s="18" t="str">
        <f>CONCATENATE('3 pr-2'!A150)</f>
        <v>2.1.3.1.2</v>
      </c>
      <c r="B149" s="22" t="str">
        <f>CONCATENATE('3 pr-2'!D150)</f>
        <v>Psichosocialinės pagalbos centro įkūrimas</v>
      </c>
      <c r="C149" s="75">
        <v>0</v>
      </c>
      <c r="D149" s="75">
        <v>0</v>
      </c>
      <c r="E149" s="75">
        <v>0</v>
      </c>
      <c r="F149" s="282">
        <v>0</v>
      </c>
      <c r="G149" s="282">
        <v>0</v>
      </c>
      <c r="H149" s="282">
        <v>0</v>
      </c>
      <c r="I149" s="282">
        <v>0</v>
      </c>
      <c r="J149" s="75">
        <v>0</v>
      </c>
      <c r="K149" s="85">
        <f>SUM('ketv. 7 '!M148)</f>
        <v>0</v>
      </c>
      <c r="L149" s="286">
        <f>SUM('ketv. 7 '!R148)</f>
        <v>0</v>
      </c>
      <c r="M149" s="286">
        <f>SUM('ketv. 7 '!W148)</f>
        <v>0</v>
      </c>
      <c r="N149" s="286">
        <f>SUM('ketv. 7 '!AA148)</f>
        <v>0</v>
      </c>
      <c r="O149" s="286">
        <f>SUM('ketv. 7 '!AF148)</f>
        <v>0</v>
      </c>
      <c r="P149" s="75">
        <f>SUM('ketv. 7 '!AL148)</f>
        <v>0</v>
      </c>
      <c r="Q149" s="85">
        <f t="shared" ref="Q149:Q152" si="333">IF(YEAR($CH149)&gt;2018,($BI$4-$BC$4)*$AJ149/($CH149-$BC$4),0)</f>
        <v>125913.63553113553</v>
      </c>
      <c r="R149" s="286">
        <f t="shared" ref="R149:R152" si="334">IF(YEAR($CH149)&gt;2018,($BI$4-$BC$4)*$AL149/($CH149-$BC$4),0)</f>
        <v>18887.078754578753</v>
      </c>
      <c r="S149" s="286">
        <f t="shared" ref="S149:S152" si="335">IF(YEAR($CH149)&gt;2018,($BI$4-$BC$4)*$AN149/($CH149-$BC$4),0)</f>
        <v>0</v>
      </c>
      <c r="T149" s="286">
        <f t="shared" ref="T149:T152" si="336">IF(YEAR($CH149)&gt;2018,($BI$4-$BC$4)*$AP149/($CH149-$BC$4),0)</f>
        <v>0</v>
      </c>
      <c r="U149" s="286">
        <f t="shared" ref="U149:U152" si="337">IF(YEAR($CH149)&gt;2018,($BI$4-$BC$4)*$AR149/($CH149-$BC$4),0)</f>
        <v>0</v>
      </c>
      <c r="V149" s="75">
        <f t="shared" ref="V149:V152" si="338">IF(YEAR($CH149)&gt;2018,($BI$4-$BC$4)*$AT149/($CH149-$BC$4),0)</f>
        <v>107026.55677655678</v>
      </c>
      <c r="W149" s="85">
        <f t="shared" ref="W149:W152" si="339">IF(YEAR($CH149)=2019,($CH149-$BI$4)*$AJ149/($CH149-$BC$4),0)</f>
        <v>62439.364468864471</v>
      </c>
      <c r="X149" s="286">
        <f t="shared" ref="X149:X152" si="340">IF(YEAR($CH149)=2019,($CH149-$BI$4)*$AL149/($CH149-$BC$4),0)</f>
        <v>9365.9212454212447</v>
      </c>
      <c r="Y149" s="286">
        <f t="shared" ref="Y149:Y152" si="341">IF(YEAR($CH149)=2019,($CH149-$BI$4)*$AN149/($CH149-$BC$4),0)</f>
        <v>0</v>
      </c>
      <c r="Z149" s="286">
        <f t="shared" ref="Z149:Z152" si="342">IF(YEAR($CH149)=2019,($CH149-$BI$4)*$AP149/($CH149-$BC$4),0)</f>
        <v>0</v>
      </c>
      <c r="AA149" s="286">
        <f t="shared" ref="AA149:AA152" si="343">IF(YEAR($CH149)=2019,($CH149-$BI$4)*$AR149/($CH149-$BC$4),0)</f>
        <v>0</v>
      </c>
      <c r="AB149" s="75">
        <f t="shared" ref="AB149:AB152" si="344">IF(YEAR($CH149)=2019,($CH149-$BI$4)*$AT149/($CH149-$BC$4),0)</f>
        <v>53073.443223443224</v>
      </c>
      <c r="AC149" s="75">
        <v>0</v>
      </c>
      <c r="AD149" s="286">
        <v>0</v>
      </c>
      <c r="AE149" s="286">
        <v>0</v>
      </c>
      <c r="AF149" s="286">
        <v>0</v>
      </c>
      <c r="AG149" s="286">
        <v>0</v>
      </c>
      <c r="AH149" s="75">
        <v>0</v>
      </c>
      <c r="AI149" s="769">
        <f>SUM('3 pr-2'!L150)</f>
        <v>188353</v>
      </c>
      <c r="AJ149" s="1082">
        <f t="shared" ref="AJ149:AJ152" si="345">SUM(AI149-K149)</f>
        <v>188353</v>
      </c>
      <c r="AK149" s="282">
        <f>SUM('3 pr-2'!O150)</f>
        <v>28253</v>
      </c>
      <c r="AL149" s="1082">
        <f t="shared" ref="AL149:AL152" si="346">SUM(AK149-L149)</f>
        <v>28253</v>
      </c>
      <c r="AM149" s="282">
        <f>SUM('3 pr-2'!R150)</f>
        <v>0</v>
      </c>
      <c r="AN149" s="1082">
        <f t="shared" ref="AN149:AN152" si="347">SUM(AM149-M149)</f>
        <v>0</v>
      </c>
      <c r="AO149" s="282">
        <f>SUM('3 pr-2'!U150)</f>
        <v>0</v>
      </c>
      <c r="AP149" s="1082">
        <f t="shared" ref="AP149:AP152" si="348">SUM(AO149-N149)</f>
        <v>0</v>
      </c>
      <c r="AQ149" s="282">
        <f>SUM('3 pr-2'!X150)</f>
        <v>0</v>
      </c>
      <c r="AR149" s="1082">
        <f t="shared" ref="AR149:AR152" si="349">SUM(AQ149-O149)</f>
        <v>0</v>
      </c>
      <c r="AS149" s="496">
        <f>SUM('3 pr-2'!AA150)</f>
        <v>160100</v>
      </c>
      <c r="AT149" s="1082">
        <f t="shared" ref="AT149:AT152" si="350">SUM(AS149-P149)</f>
        <v>160100</v>
      </c>
      <c r="AU149" s="1066"/>
      <c r="AV149" s="24"/>
      <c r="AW149" s="24"/>
      <c r="AX149" s="282"/>
      <c r="AY149" s="282"/>
      <c r="AZ149" s="282"/>
      <c r="BA149" s="282"/>
      <c r="BB149" s="24"/>
      <c r="BC149" s="24"/>
      <c r="BD149" s="282"/>
      <c r="BE149" s="282"/>
      <c r="BF149" s="282"/>
      <c r="BG149" s="282"/>
      <c r="BH149" s="24"/>
      <c r="BI149" s="24"/>
      <c r="BJ149" s="282"/>
      <c r="BK149" s="282"/>
      <c r="BL149" s="282"/>
      <c r="BM149" s="282"/>
      <c r="BN149" s="24"/>
      <c r="BO149" s="24"/>
      <c r="BP149" s="282"/>
      <c r="BQ149" s="282"/>
      <c r="BR149" s="282"/>
      <c r="BS149" s="282"/>
      <c r="BT149" s="24"/>
      <c r="BU149" s="24"/>
      <c r="BV149" s="282"/>
      <c r="BW149" s="282"/>
      <c r="BX149" s="282"/>
      <c r="BY149" s="282"/>
      <c r="BZ149" s="24"/>
      <c r="CA149" s="24"/>
      <c r="CB149" s="282"/>
      <c r="CC149" s="282"/>
      <c r="CD149" s="282"/>
      <c r="CE149" s="282"/>
      <c r="CF149" s="359"/>
      <c r="CG149" s="1137">
        <v>42887</v>
      </c>
      <c r="CH149" s="1137">
        <v>43646</v>
      </c>
      <c r="CI149" s="1138">
        <f>SUM(J149+P149+V149+AB149+AH149)</f>
        <v>160100</v>
      </c>
    </row>
    <row r="150" spans="1:97" ht="29.25" customHeight="1" thickBot="1" x14ac:dyDescent="0.3">
      <c r="A150" s="18" t="str">
        <f>CONCATENATE('3 pr-2'!A151)</f>
        <v>2.1.3.1.3</v>
      </c>
      <c r="B150" s="22" t="str">
        <f>CONCATENATE('3 pr-2'!D151)</f>
        <v>Socialinių paslaugų plėtra Alytaus mieste</v>
      </c>
      <c r="C150" s="75">
        <v>0</v>
      </c>
      <c r="D150" s="75">
        <v>0</v>
      </c>
      <c r="E150" s="75">
        <v>0</v>
      </c>
      <c r="F150" s="282">
        <v>0</v>
      </c>
      <c r="G150" s="282">
        <v>0</v>
      </c>
      <c r="H150" s="282">
        <v>0</v>
      </c>
      <c r="I150" s="282">
        <v>0</v>
      </c>
      <c r="J150" s="75">
        <v>0</v>
      </c>
      <c r="K150" s="85">
        <f>SUM('ketv. 7 '!M149)</f>
        <v>0</v>
      </c>
      <c r="L150" s="286">
        <f>SUM('ketv. 7 '!R149)</f>
        <v>0</v>
      </c>
      <c r="M150" s="286">
        <f>SUM('ketv. 7 '!W149)</f>
        <v>0</v>
      </c>
      <c r="N150" s="286">
        <f>SUM('ketv. 7 '!AA149)</f>
        <v>0</v>
      </c>
      <c r="O150" s="286">
        <f>SUM('ketv. 7 '!AF149)</f>
        <v>0</v>
      </c>
      <c r="P150" s="75">
        <f>SUM('ketv. 7 '!AL149)</f>
        <v>0</v>
      </c>
      <c r="Q150" s="85">
        <f t="shared" si="333"/>
        <v>401588.7765567766</v>
      </c>
      <c r="R150" s="286">
        <f t="shared" si="334"/>
        <v>170047.08241758242</v>
      </c>
      <c r="S150" s="286">
        <f t="shared" si="335"/>
        <v>0</v>
      </c>
      <c r="T150" s="286">
        <f t="shared" si="336"/>
        <v>0</v>
      </c>
      <c r="U150" s="286">
        <f t="shared" si="337"/>
        <v>0</v>
      </c>
      <c r="V150" s="75">
        <f t="shared" si="338"/>
        <v>231541.69413919415</v>
      </c>
      <c r="W150" s="85">
        <f t="shared" si="339"/>
        <v>199144.02344322347</v>
      </c>
      <c r="X150" s="286">
        <f t="shared" si="340"/>
        <v>84324.717582417579</v>
      </c>
      <c r="Y150" s="286">
        <f t="shared" si="341"/>
        <v>0</v>
      </c>
      <c r="Z150" s="286">
        <f t="shared" si="342"/>
        <v>0</v>
      </c>
      <c r="AA150" s="286">
        <f t="shared" si="343"/>
        <v>0</v>
      </c>
      <c r="AB150" s="75">
        <f t="shared" si="344"/>
        <v>114819.30586080586</v>
      </c>
      <c r="AC150" s="75">
        <v>0</v>
      </c>
      <c r="AD150" s="286">
        <v>0</v>
      </c>
      <c r="AE150" s="286">
        <v>0</v>
      </c>
      <c r="AF150" s="286">
        <v>0</v>
      </c>
      <c r="AG150" s="286">
        <v>0</v>
      </c>
      <c r="AH150" s="75">
        <v>0</v>
      </c>
      <c r="AI150" s="769">
        <f>SUM('3 pr-2'!L151)</f>
        <v>600732.80000000005</v>
      </c>
      <c r="AJ150" s="1082">
        <f t="shared" si="345"/>
        <v>600732.80000000005</v>
      </c>
      <c r="AK150" s="282">
        <f>SUM('3 pr-2'!O151)</f>
        <v>254371.8</v>
      </c>
      <c r="AL150" s="1082">
        <f t="shared" si="346"/>
        <v>254371.8</v>
      </c>
      <c r="AM150" s="282">
        <f>SUM('3 pr-2'!R151)</f>
        <v>0</v>
      </c>
      <c r="AN150" s="1082">
        <f t="shared" si="347"/>
        <v>0</v>
      </c>
      <c r="AO150" s="282">
        <f>SUM('3 pr-2'!U151)</f>
        <v>0</v>
      </c>
      <c r="AP150" s="1082">
        <f t="shared" si="348"/>
        <v>0</v>
      </c>
      <c r="AQ150" s="282">
        <f>SUM('3 pr-2'!X151)</f>
        <v>0</v>
      </c>
      <c r="AR150" s="1082">
        <f t="shared" si="349"/>
        <v>0</v>
      </c>
      <c r="AS150" s="496">
        <f>SUM('3 pr-2'!AA151)</f>
        <v>346361</v>
      </c>
      <c r="AT150" s="1082">
        <f t="shared" si="350"/>
        <v>346361</v>
      </c>
      <c r="AU150" s="1066"/>
      <c r="AV150" s="24"/>
      <c r="AW150" s="24"/>
      <c r="AX150" s="284"/>
      <c r="AY150" s="284"/>
      <c r="AZ150" s="284"/>
      <c r="BA150" s="284"/>
      <c r="BB150" s="24"/>
      <c r="BC150" s="24"/>
      <c r="BD150" s="284"/>
      <c r="BE150" s="284"/>
      <c r="BF150" s="284"/>
      <c r="BG150" s="284"/>
      <c r="BH150" s="24"/>
      <c r="BI150" s="24"/>
      <c r="BJ150" s="284"/>
      <c r="BK150" s="284"/>
      <c r="BL150" s="284"/>
      <c r="BM150" s="284"/>
      <c r="BN150" s="24"/>
      <c r="BO150" s="24"/>
      <c r="BP150" s="284"/>
      <c r="BQ150" s="284"/>
      <c r="BR150" s="284"/>
      <c r="BS150" s="284"/>
      <c r="BT150" s="24"/>
      <c r="BU150" s="24"/>
      <c r="BV150" s="284"/>
      <c r="BW150" s="284"/>
      <c r="BX150" s="284"/>
      <c r="BY150" s="284"/>
      <c r="BZ150" s="24"/>
      <c r="CA150" s="24"/>
      <c r="CB150" s="284"/>
      <c r="CC150" s="284"/>
      <c r="CD150" s="284"/>
      <c r="CE150" s="284"/>
      <c r="CF150" s="359"/>
      <c r="CG150" s="1137">
        <v>42917</v>
      </c>
      <c r="CH150" s="1137">
        <v>43646</v>
      </c>
      <c r="CI150" s="1138">
        <f>SUM(J150+P150+V150+AB150+AH150)</f>
        <v>346361</v>
      </c>
    </row>
    <row r="151" spans="1:97" ht="29.25" customHeight="1" thickBot="1" x14ac:dyDescent="0.3">
      <c r="A151" s="18" t="str">
        <f>CONCATENATE('3 pr-2'!A152)</f>
        <v>2.1.3.1.4</v>
      </c>
      <c r="B151" s="22" t="str">
        <f>CONCATENATE('3 pr-2'!D152)</f>
        <v>Socialinių paslaugų infrastruktūros plėtra Druskininkų savivaldybėje</v>
      </c>
      <c r="C151" s="75">
        <v>0</v>
      </c>
      <c r="D151" s="75">
        <v>0</v>
      </c>
      <c r="E151" s="75">
        <v>0</v>
      </c>
      <c r="F151" s="282">
        <v>0</v>
      </c>
      <c r="G151" s="282">
        <v>0</v>
      </c>
      <c r="H151" s="282">
        <v>0</v>
      </c>
      <c r="I151" s="282">
        <v>0</v>
      </c>
      <c r="J151" s="75">
        <v>0</v>
      </c>
      <c r="K151" s="85">
        <f>SUM('ketv. 7 '!M150)</f>
        <v>7257</v>
      </c>
      <c r="L151" s="286">
        <f>SUM('ketv. 7 '!R150)</f>
        <v>0</v>
      </c>
      <c r="M151" s="286">
        <f>SUM('ketv. 7 '!W150)</f>
        <v>0</v>
      </c>
      <c r="N151" s="286">
        <f>SUM('ketv. 7 '!AA150)</f>
        <v>0</v>
      </c>
      <c r="O151" s="286">
        <f>SUM('ketv. 7 '!AF150)</f>
        <v>0</v>
      </c>
      <c r="P151" s="75">
        <f>SUM('ketv. 7 '!AL150)</f>
        <v>7257</v>
      </c>
      <c r="Q151" s="85">
        <f t="shared" si="333"/>
        <v>82485.423197492157</v>
      </c>
      <c r="R151" s="286">
        <f t="shared" si="334"/>
        <v>12995.830721003134</v>
      </c>
      <c r="S151" s="286">
        <f t="shared" si="335"/>
        <v>0</v>
      </c>
      <c r="T151" s="286">
        <f t="shared" si="336"/>
        <v>0</v>
      </c>
      <c r="U151" s="286">
        <f t="shared" si="337"/>
        <v>0</v>
      </c>
      <c r="V151" s="75">
        <f t="shared" si="338"/>
        <v>69489.592476489022</v>
      </c>
      <c r="W151" s="85">
        <f t="shared" si="339"/>
        <v>61694.576802507836</v>
      </c>
      <c r="X151" s="286">
        <f t="shared" si="340"/>
        <v>9720.1692789968656</v>
      </c>
      <c r="Y151" s="286">
        <f t="shared" si="341"/>
        <v>0</v>
      </c>
      <c r="Z151" s="286">
        <f t="shared" si="342"/>
        <v>0</v>
      </c>
      <c r="AA151" s="286">
        <f t="shared" si="343"/>
        <v>0</v>
      </c>
      <c r="AB151" s="75">
        <f t="shared" si="344"/>
        <v>51974.40752351097</v>
      </c>
      <c r="AC151" s="75">
        <v>0</v>
      </c>
      <c r="AD151" s="286">
        <v>0</v>
      </c>
      <c r="AE151" s="286">
        <v>0</v>
      </c>
      <c r="AF151" s="286">
        <v>0</v>
      </c>
      <c r="AG151" s="286">
        <v>0</v>
      </c>
      <c r="AH151" s="75">
        <v>0</v>
      </c>
      <c r="AI151" s="769">
        <f>SUM('3 pr-2'!L152)</f>
        <v>151437</v>
      </c>
      <c r="AJ151" s="1082">
        <f t="shared" si="345"/>
        <v>144180</v>
      </c>
      <c r="AK151" s="282">
        <f>SUM('3 pr-2'!O152)</f>
        <v>22716</v>
      </c>
      <c r="AL151" s="1082">
        <f t="shared" si="346"/>
        <v>22716</v>
      </c>
      <c r="AM151" s="282">
        <f>SUM('3 pr-2'!R152)</f>
        <v>0</v>
      </c>
      <c r="AN151" s="1082">
        <f t="shared" si="347"/>
        <v>0</v>
      </c>
      <c r="AO151" s="282">
        <f>SUM('3 pr-2'!U152)</f>
        <v>0</v>
      </c>
      <c r="AP151" s="1082">
        <f t="shared" si="348"/>
        <v>0</v>
      </c>
      <c r="AQ151" s="282">
        <f>SUM('3 pr-2'!X152)</f>
        <v>0</v>
      </c>
      <c r="AR151" s="1082">
        <f t="shared" si="349"/>
        <v>0</v>
      </c>
      <c r="AS151" s="496">
        <f>SUM('3 pr-2'!AA152)</f>
        <v>128721</v>
      </c>
      <c r="AT151" s="1082">
        <f t="shared" si="350"/>
        <v>121464</v>
      </c>
      <c r="AU151" s="1066"/>
      <c r="AV151" s="24"/>
      <c r="AW151" s="24"/>
      <c r="AX151" s="282"/>
      <c r="AY151" s="282"/>
      <c r="AZ151" s="282"/>
      <c r="BA151" s="282"/>
      <c r="BB151" s="24"/>
      <c r="BC151" s="24"/>
      <c r="BD151" s="282"/>
      <c r="BE151" s="282"/>
      <c r="BF151" s="282"/>
      <c r="BG151" s="282"/>
      <c r="BH151" s="24"/>
      <c r="BI151" s="24"/>
      <c r="BJ151" s="282"/>
      <c r="BK151" s="282"/>
      <c r="BL151" s="282"/>
      <c r="BM151" s="282"/>
      <c r="BN151" s="24"/>
      <c r="BO151" s="24"/>
      <c r="BP151" s="282"/>
      <c r="BQ151" s="282"/>
      <c r="BR151" s="282"/>
      <c r="BS151" s="282"/>
      <c r="BT151" s="24"/>
      <c r="BU151" s="24"/>
      <c r="BV151" s="282"/>
      <c r="BW151" s="282"/>
      <c r="BX151" s="282"/>
      <c r="BY151" s="282"/>
      <c r="BZ151" s="24"/>
      <c r="CA151" s="24"/>
      <c r="CB151" s="282"/>
      <c r="CC151" s="282"/>
      <c r="CD151" s="282"/>
      <c r="CE151" s="282"/>
      <c r="CF151" s="359"/>
      <c r="CG151" s="1137">
        <v>42826</v>
      </c>
      <c r="CH151" s="1137">
        <v>43738</v>
      </c>
      <c r="CI151" s="1138">
        <f>SUM(J151+P151+V151+AB151+AH151)</f>
        <v>128721</v>
      </c>
    </row>
    <row r="152" spans="1:97" ht="47.25" customHeight="1" thickBot="1" x14ac:dyDescent="0.3">
      <c r="A152" s="18" t="str">
        <f>CONCATENATE('3 pr-2'!A153)</f>
        <v>2.1.3.1.5</v>
      </c>
      <c r="B152" s="22" t="str">
        <f>CONCATENATE('3 pr-2'!D153)</f>
        <v>Socialinių paslaugų infrastruktūros modernizavimas ir plėtra VšĮ Kapčiamiesčio globos namuose</v>
      </c>
      <c r="C152" s="75">
        <v>0</v>
      </c>
      <c r="D152" s="75">
        <v>0</v>
      </c>
      <c r="E152" s="75">
        <v>0</v>
      </c>
      <c r="F152" s="282">
        <v>0</v>
      </c>
      <c r="G152" s="282">
        <v>0</v>
      </c>
      <c r="H152" s="282">
        <v>0</v>
      </c>
      <c r="I152" s="282">
        <v>0</v>
      </c>
      <c r="J152" s="75">
        <v>0</v>
      </c>
      <c r="K152" s="85">
        <f>SUM('ketv. 7 '!M151)</f>
        <v>18431.32</v>
      </c>
      <c r="L152" s="286">
        <f>SUM('ketv. 7 '!R151)</f>
        <v>0</v>
      </c>
      <c r="M152" s="286">
        <f>SUM('ketv. 7 '!W151)</f>
        <v>2764.7</v>
      </c>
      <c r="N152" s="286">
        <f>SUM('ketv. 7 '!AA151)</f>
        <v>0</v>
      </c>
      <c r="O152" s="286">
        <f>SUM('ketv. 7 '!AF151)</f>
        <v>0</v>
      </c>
      <c r="P152" s="75">
        <f>SUM('ketv. 7 '!AL151)</f>
        <v>15666.62</v>
      </c>
      <c r="Q152" s="85">
        <f t="shared" si="333"/>
        <v>90638.841165048536</v>
      </c>
      <c r="R152" s="286">
        <f t="shared" si="334"/>
        <v>0</v>
      </c>
      <c r="S152" s="286">
        <f t="shared" si="335"/>
        <v>13595.824757281551</v>
      </c>
      <c r="T152" s="286">
        <f t="shared" si="336"/>
        <v>0</v>
      </c>
      <c r="U152" s="286">
        <f t="shared" si="337"/>
        <v>0</v>
      </c>
      <c r="V152" s="75">
        <f t="shared" si="338"/>
        <v>77043.016407766991</v>
      </c>
      <c r="W152" s="85">
        <f t="shared" si="339"/>
        <v>37248.838834951457</v>
      </c>
      <c r="X152" s="286">
        <f t="shared" si="340"/>
        <v>0</v>
      </c>
      <c r="Y152" s="286">
        <f t="shared" si="341"/>
        <v>5587.3252427184461</v>
      </c>
      <c r="Z152" s="286">
        <f t="shared" si="342"/>
        <v>0</v>
      </c>
      <c r="AA152" s="286">
        <f t="shared" si="343"/>
        <v>0</v>
      </c>
      <c r="AB152" s="75">
        <f t="shared" si="344"/>
        <v>31661.513592233008</v>
      </c>
      <c r="AC152" s="75">
        <v>0</v>
      </c>
      <c r="AD152" s="286">
        <v>0</v>
      </c>
      <c r="AE152" s="286">
        <v>0</v>
      </c>
      <c r="AF152" s="286">
        <v>0</v>
      </c>
      <c r="AG152" s="286">
        <v>0</v>
      </c>
      <c r="AH152" s="75">
        <v>0</v>
      </c>
      <c r="AI152" s="769">
        <f>SUM('3 pr-2'!L153)</f>
        <v>146319</v>
      </c>
      <c r="AJ152" s="1082">
        <f t="shared" si="345"/>
        <v>127887.67999999999</v>
      </c>
      <c r="AK152" s="282">
        <f>SUM('3 pr-2'!O153)</f>
        <v>0</v>
      </c>
      <c r="AL152" s="1082">
        <f t="shared" si="346"/>
        <v>0</v>
      </c>
      <c r="AM152" s="282">
        <f>SUM('3 pr-2'!R153)</f>
        <v>21947.85</v>
      </c>
      <c r="AN152" s="1082">
        <f t="shared" si="347"/>
        <v>19183.149999999998</v>
      </c>
      <c r="AO152" s="282">
        <f>SUM('3 pr-2'!U153)</f>
        <v>0</v>
      </c>
      <c r="AP152" s="1082">
        <f t="shared" si="348"/>
        <v>0</v>
      </c>
      <c r="AQ152" s="282">
        <f>SUM('3 pr-2'!X153)</f>
        <v>0</v>
      </c>
      <c r="AR152" s="1082">
        <f t="shared" si="349"/>
        <v>0</v>
      </c>
      <c r="AS152" s="496">
        <f>SUM('3 pr-2'!AA153)</f>
        <v>124371.15</v>
      </c>
      <c r="AT152" s="1082">
        <f t="shared" si="350"/>
        <v>108704.53</v>
      </c>
      <c r="AU152" s="1066"/>
      <c r="AV152" s="24"/>
      <c r="AW152" s="24"/>
      <c r="AX152" s="282"/>
      <c r="AY152" s="282"/>
      <c r="AZ152" s="282"/>
      <c r="BA152" s="282"/>
      <c r="BB152" s="24"/>
      <c r="BC152" s="24"/>
      <c r="BD152" s="282"/>
      <c r="BE152" s="282"/>
      <c r="BF152" s="282"/>
      <c r="BG152" s="282"/>
      <c r="BH152" s="24"/>
      <c r="BI152" s="24"/>
      <c r="BJ152" s="282"/>
      <c r="BK152" s="282"/>
      <c r="BL152" s="282"/>
      <c r="BM152" s="282"/>
      <c r="BN152" s="24"/>
      <c r="BO152" s="24"/>
      <c r="BP152" s="282"/>
      <c r="BQ152" s="282"/>
      <c r="BR152" s="282"/>
      <c r="BS152" s="282"/>
      <c r="BT152" s="24"/>
      <c r="BU152" s="24"/>
      <c r="BV152" s="282"/>
      <c r="BW152" s="282"/>
      <c r="BX152" s="282"/>
      <c r="BY152" s="282"/>
      <c r="BZ152" s="24"/>
      <c r="CA152" s="24"/>
      <c r="CB152" s="282"/>
      <c r="CC152" s="282"/>
      <c r="CD152" s="282"/>
      <c r="CE152" s="282"/>
      <c r="CF152" s="359"/>
      <c r="CG152" s="1068">
        <v>42826</v>
      </c>
      <c r="CH152" s="1068">
        <v>43615</v>
      </c>
      <c r="CI152" s="1138">
        <f>SUM(J152+P152+V152+AB152+AH152)</f>
        <v>124371.15</v>
      </c>
    </row>
    <row r="153" spans="1:97" ht="27" thickBot="1" x14ac:dyDescent="0.3">
      <c r="A153" s="278" t="str">
        <f>CONCATENATE('3 pr-2'!A154)</f>
        <v>2.1.3.2</v>
      </c>
      <c r="B153" s="118" t="str">
        <f>CONCATENATE('3 pr-2'!B154)</f>
        <v>Priemonė:
Socialinio būsto fondo plėtra</v>
      </c>
      <c r="C153" s="1079">
        <f t="shared" ref="C153" si="351">SUM(C154:C158)</f>
        <v>0</v>
      </c>
      <c r="D153" s="1079">
        <f t="shared" ref="D153" si="352">SUM(D154:D158)</f>
        <v>0</v>
      </c>
      <c r="E153" s="1127">
        <f t="shared" ref="E153" si="353">SUM(E154:E158)</f>
        <v>272169.55999999994</v>
      </c>
      <c r="F153" s="1127">
        <f t="shared" ref="F153:I153" si="354">SUM(F154:F158)</f>
        <v>32621.908409610434</v>
      </c>
      <c r="G153" s="1127">
        <f t="shared" si="354"/>
        <v>0</v>
      </c>
      <c r="H153" s="1127">
        <f t="shared" si="354"/>
        <v>0</v>
      </c>
      <c r="I153" s="1127">
        <f t="shared" si="354"/>
        <v>0</v>
      </c>
      <c r="J153" s="1127">
        <f t="shared" ref="J153" si="355">SUM(J154:J158)</f>
        <v>239547.65159038958</v>
      </c>
      <c r="K153" s="1127">
        <f t="shared" ref="K153" si="356">SUM(K154:K158)</f>
        <v>1145909.68</v>
      </c>
      <c r="L153" s="1128">
        <f t="shared" ref="L153:O153" si="357">SUM(L154:L158)</f>
        <v>107101.09159038957</v>
      </c>
      <c r="M153" s="1128">
        <f t="shared" si="357"/>
        <v>0</v>
      </c>
      <c r="N153" s="1128">
        <f t="shared" si="357"/>
        <v>0</v>
      </c>
      <c r="O153" s="1128">
        <f t="shared" si="357"/>
        <v>0</v>
      </c>
      <c r="P153" s="1127">
        <f t="shared" ref="P153" si="358">SUM(P154:P158)</f>
        <v>1038808.5884096104</v>
      </c>
      <c r="Q153" s="1127">
        <f t="shared" ref="Q153:U153" si="359">SUM(Q154:Q158)</f>
        <v>1191150.3908115148</v>
      </c>
      <c r="R153" s="1127">
        <f t="shared" si="359"/>
        <v>232673.46182011015</v>
      </c>
      <c r="S153" s="1127">
        <f t="shared" si="359"/>
        <v>0</v>
      </c>
      <c r="T153" s="1127">
        <f t="shared" si="359"/>
        <v>0</v>
      </c>
      <c r="U153" s="1127">
        <f t="shared" si="359"/>
        <v>0</v>
      </c>
      <c r="V153" s="1127">
        <f t="shared" ref="V153:W153" si="360">SUM(V154:V158)</f>
        <v>958476.92899140471</v>
      </c>
      <c r="W153" s="1127">
        <f t="shared" si="360"/>
        <v>356971.48918848514</v>
      </c>
      <c r="X153" s="1127">
        <f t="shared" ref="X153:AA153" si="361">SUM(X154:X158)</f>
        <v>72830.668179889835</v>
      </c>
      <c r="Y153" s="1127">
        <f t="shared" si="361"/>
        <v>0</v>
      </c>
      <c r="Z153" s="1127">
        <f t="shared" si="361"/>
        <v>0</v>
      </c>
      <c r="AA153" s="1127">
        <f t="shared" si="361"/>
        <v>0</v>
      </c>
      <c r="AB153" s="1079">
        <f t="shared" ref="AB153" si="362">SUM(AB154:AB158)</f>
        <v>284140.82100859529</v>
      </c>
      <c r="AC153" s="1079">
        <f t="shared" ref="AC153" si="363">SUM(AC154:AC158)</f>
        <v>0</v>
      </c>
      <c r="AD153" s="1128"/>
      <c r="AE153" s="1128"/>
      <c r="AF153" s="1128"/>
      <c r="AG153" s="1128"/>
      <c r="AH153" s="1079">
        <f t="shared" ref="AH153" si="364">SUM(AH154:AH158)</f>
        <v>0</v>
      </c>
      <c r="AI153" s="1080">
        <f>SUM(AI154:AI158)</f>
        <v>2966201.12</v>
      </c>
      <c r="AJ153" s="1079"/>
      <c r="AK153" s="1127"/>
      <c r="AL153" s="1127"/>
      <c r="AM153" s="1127"/>
      <c r="AN153" s="1127"/>
      <c r="AO153" s="1127"/>
      <c r="AP153" s="1127"/>
      <c r="AQ153" s="1127"/>
      <c r="AR153" s="1127"/>
      <c r="AS153" s="1079">
        <f>SUM(AS154:AS158)</f>
        <v>2520973.9900000002</v>
      </c>
      <c r="AT153" s="1079"/>
      <c r="AU153" s="70">
        <f>SUM(AU154:AU158)</f>
        <v>2966201.12</v>
      </c>
      <c r="AV153" s="70">
        <f>SUM(AV154:AV158)</f>
        <v>2520973.9900000002</v>
      </c>
      <c r="AW153" s="24"/>
      <c r="AX153" s="1127"/>
      <c r="AY153" s="1127"/>
      <c r="AZ153" s="1127"/>
      <c r="BA153" s="1127"/>
      <c r="BB153" s="24"/>
      <c r="BC153" s="24"/>
      <c r="BD153" s="1127"/>
      <c r="BE153" s="1127"/>
      <c r="BF153" s="1127"/>
      <c r="BG153" s="1127"/>
      <c r="BH153" s="24"/>
      <c r="BI153" s="24"/>
      <c r="BJ153" s="1127"/>
      <c r="BK153" s="1127"/>
      <c r="BL153" s="1127"/>
      <c r="BM153" s="1127"/>
      <c r="BN153" s="24"/>
      <c r="BO153" s="24"/>
      <c r="BP153" s="1127"/>
      <c r="BQ153" s="1127"/>
      <c r="BR153" s="1127"/>
      <c r="BS153" s="1127"/>
      <c r="BT153" s="24"/>
      <c r="BU153" s="24"/>
      <c r="BV153" s="1127"/>
      <c r="BW153" s="1127"/>
      <c r="BX153" s="1127"/>
      <c r="BY153" s="1127"/>
      <c r="BZ153" s="24"/>
      <c r="CA153" s="24"/>
      <c r="CB153" s="1127"/>
      <c r="CC153" s="1127"/>
      <c r="CD153" s="1127"/>
      <c r="CE153" s="1127"/>
      <c r="CF153" s="359"/>
      <c r="CG153" s="23"/>
      <c r="CH153" s="23"/>
      <c r="CK153" s="25" t="s">
        <v>1613</v>
      </c>
      <c r="CL153" s="25" t="s">
        <v>1417</v>
      </c>
      <c r="CM153" s="25" t="s">
        <v>1418</v>
      </c>
      <c r="CN153" s="25" t="s">
        <v>1460</v>
      </c>
    </row>
    <row r="154" spans="1:97" ht="26.25" thickBot="1" x14ac:dyDescent="0.3">
      <c r="A154" s="58" t="str">
        <f>CONCATENATE('3 pr-2'!A155)</f>
        <v>2.1.3.2.1</v>
      </c>
      <c r="B154" s="21" t="str">
        <f>CONCATENATE('3 pr-2'!D155)</f>
        <v>Socialinio būsto plėtra Varėnos rajone</v>
      </c>
      <c r="C154" s="71">
        <v>0</v>
      </c>
      <c r="D154" s="71">
        <v>0</v>
      </c>
      <c r="E154" s="305">
        <v>127124.84</v>
      </c>
      <c r="F154" s="288">
        <f>SUM(E154-J154)</f>
        <v>19068.725999999995</v>
      </c>
      <c r="G154" s="288">
        <v>0</v>
      </c>
      <c r="H154" s="288">
        <v>0</v>
      </c>
      <c r="I154" s="288">
        <v>0</v>
      </c>
      <c r="J154" s="305">
        <v>108056.114</v>
      </c>
      <c r="K154" s="305">
        <f>SUM('ketv. 7 '!M153-'IV-1 su proj'!E154)</f>
        <v>291725.48</v>
      </c>
      <c r="L154" s="288">
        <f>SUM('ketv. 7 '!R153-'IV-1 su proj'!F154)</f>
        <v>23770.204000000005</v>
      </c>
      <c r="M154" s="288">
        <v>0</v>
      </c>
      <c r="N154" s="288">
        <v>0</v>
      </c>
      <c r="O154" s="288">
        <v>0</v>
      </c>
      <c r="P154" s="305">
        <f>SUM('ketv. 7 '!AL153-'IV-1 su proj'!J154)</f>
        <v>267955.27600000001</v>
      </c>
      <c r="Q154" s="305">
        <f>IF(YEAR($CG154)=2015,($BI$4-$BC$4)*$AJ154/($CH154-$BC$4))</f>
        <v>181726.90940438875</v>
      </c>
      <c r="R154" s="288">
        <f>IF(YEAR($CG154)=2015,($BI$4-$BC$4)*$AL154/($CH154-$BC$4))</f>
        <v>38694.616849529782</v>
      </c>
      <c r="S154" s="288">
        <v>0</v>
      </c>
      <c r="T154" s="288">
        <v>0</v>
      </c>
      <c r="U154" s="288">
        <v>0</v>
      </c>
      <c r="V154" s="305">
        <f>IF(YEAR($CG154)=2015,($BI$4-$BC$4)*$AT154/($CH154-$BC$4))</f>
        <v>143032.29255485893</v>
      </c>
      <c r="W154" s="361">
        <f>IF(YEAR($CH154)=2019,($CH154-$BI$4)*$AJ154/($CH154-$BC$4),0)</f>
        <v>135921.77059561131</v>
      </c>
      <c r="X154" s="288">
        <f>IF(YEAR($CH154)=2019,($CH154-$BI$4)*$AL154/($CH154-$BC$4),0)</f>
        <v>28941.453150470225</v>
      </c>
      <c r="Y154" s="288">
        <v>0</v>
      </c>
      <c r="Z154" s="288">
        <v>0</v>
      </c>
      <c r="AA154" s="288">
        <v>0</v>
      </c>
      <c r="AB154" s="305">
        <f>IF(YEAR($CH154)=2019,($CH154-$BI$4)*$AT154/($CH154-$BC$4),0)</f>
        <v>106980.31744514107</v>
      </c>
      <c r="AC154" s="361">
        <v>0</v>
      </c>
      <c r="AD154" s="289">
        <v>0</v>
      </c>
      <c r="AE154" s="289">
        <v>0</v>
      </c>
      <c r="AF154" s="289">
        <v>0</v>
      </c>
      <c r="AG154" s="289">
        <v>0</v>
      </c>
      <c r="AH154" s="85">
        <v>0</v>
      </c>
      <c r="AI154" s="768">
        <f>SUM('3 pr-2'!L155)</f>
        <v>736499</v>
      </c>
      <c r="AJ154" s="1139">
        <f>SUM(AI154-E154-K154)</f>
        <v>317648.68000000005</v>
      </c>
      <c r="AK154" s="282">
        <f>SUM('3 pr-2'!O155)</f>
        <v>110475</v>
      </c>
      <c r="AL154" s="1139">
        <f>SUM(AK154-F154-L154)</f>
        <v>67636.070000000007</v>
      </c>
      <c r="AM154" s="282">
        <f>SUM('3 pr-2'!R155)</f>
        <v>0</v>
      </c>
      <c r="AN154" s="1139"/>
      <c r="AO154" s="282">
        <f>SUM('3 pr-2'!U155)</f>
        <v>0</v>
      </c>
      <c r="AP154" s="1139"/>
      <c r="AQ154" s="282">
        <f>SUM('3 pr-2'!X155)</f>
        <v>0</v>
      </c>
      <c r="AR154" s="1139"/>
      <c r="AS154" s="109">
        <f>SUM('3 pr-2'!AA155)</f>
        <v>626024</v>
      </c>
      <c r="AT154" s="1139">
        <f>SUM(AS154-J154-P154)</f>
        <v>250012.61</v>
      </c>
      <c r="AU154" s="70">
        <f>SUM(E154+K154+Q154+W154+AC154)</f>
        <v>736499</v>
      </c>
      <c r="AV154" s="70">
        <f>SUM(J154+P154+V154+AB154+AH154)</f>
        <v>626024</v>
      </c>
      <c r="AW154" s="24"/>
      <c r="AX154" s="285"/>
      <c r="AY154" s="285"/>
      <c r="AZ154" s="285"/>
      <c r="BA154" s="285"/>
      <c r="BB154" s="24"/>
      <c r="BC154" s="24"/>
      <c r="BD154" s="285"/>
      <c r="BE154" s="285"/>
      <c r="BF154" s="285"/>
      <c r="BG154" s="285"/>
      <c r="BH154" s="24"/>
      <c r="BI154" s="24"/>
      <c r="BJ154" s="285"/>
      <c r="BK154" s="285"/>
      <c r="BL154" s="285"/>
      <c r="BM154" s="285"/>
      <c r="BN154" s="24"/>
      <c r="BO154" s="24"/>
      <c r="BP154" s="285"/>
      <c r="BQ154" s="285"/>
      <c r="BR154" s="285"/>
      <c r="BS154" s="285"/>
      <c r="BT154" s="24"/>
      <c r="BU154" s="24"/>
      <c r="BV154" s="285"/>
      <c r="BW154" s="285"/>
      <c r="BX154" s="285"/>
      <c r="BY154" s="285"/>
      <c r="BZ154" s="24"/>
      <c r="CA154" s="24"/>
      <c r="CB154" s="285"/>
      <c r="CC154" s="285"/>
      <c r="CD154" s="285"/>
      <c r="CE154" s="285"/>
      <c r="CF154" s="359"/>
      <c r="CG154" s="501">
        <v>42296</v>
      </c>
      <c r="CH154" s="501">
        <v>43738</v>
      </c>
      <c r="CI154" s="1138">
        <f>SUM(J154+P154+V154+AB154+AH154)</f>
        <v>626024</v>
      </c>
      <c r="CJ154" s="68">
        <f>SUM(AS154-CI154)</f>
        <v>0</v>
      </c>
      <c r="CK154" s="1169">
        <f>SUM(AJ154/(CH154-CG154))</f>
        <v>220.28341192787798</v>
      </c>
      <c r="CL154" s="1169">
        <f>SUM(AL154/(CH154-CG154))</f>
        <v>46.904348127600556</v>
      </c>
      <c r="CM154" s="1169">
        <f>SUM(AN154/(CH154-CG154))</f>
        <v>0</v>
      </c>
      <c r="CN154" s="1171">
        <f>SUM(AS154/(CH154-CG154))</f>
        <v>434.13592233009706</v>
      </c>
      <c r="CQ154" s="1069">
        <f t="shared" ref="CQ154:CQ155" si="365">SUM(E154+K154+Q154+W154+AC154)</f>
        <v>736499</v>
      </c>
      <c r="CR154" s="1070">
        <f t="shared" ref="CR154:CR155" si="366">SUM(J154+P154+V154+AB154+AH154)</f>
        <v>626024</v>
      </c>
    </row>
    <row r="155" spans="1:97" ht="41.25" customHeight="1" thickBot="1" x14ac:dyDescent="0.3">
      <c r="A155" s="58" t="str">
        <f>CONCATENATE('3 pr-2'!A156)</f>
        <v>2.1.3.2.2</v>
      </c>
      <c r="B155" s="21" t="str">
        <f>CONCATENATE('3 pr-2'!D156)</f>
        <v>Būsto prieinamumo pažeidžiamoms gyventojų grupėms didinimas Alytaus rajone</v>
      </c>
      <c r="C155" s="1140">
        <v>0</v>
      </c>
      <c r="D155" s="1140">
        <v>0</v>
      </c>
      <c r="E155" s="305">
        <v>0</v>
      </c>
      <c r="F155" s="288">
        <v>0</v>
      </c>
      <c r="G155" s="288">
        <v>0</v>
      </c>
      <c r="H155" s="288">
        <v>0</v>
      </c>
      <c r="I155" s="288">
        <v>0</v>
      </c>
      <c r="J155" s="305">
        <v>0</v>
      </c>
      <c r="K155" s="305">
        <f>SUM('ketv. 7 '!M154-'IV-1 su proj'!E155)</f>
        <v>104787.71</v>
      </c>
      <c r="L155" s="288">
        <f>SUM('ketv. 7 '!R154-'IV-1 su proj'!F155)</f>
        <v>15718.16</v>
      </c>
      <c r="M155" s="288">
        <v>0</v>
      </c>
      <c r="N155" s="288">
        <v>0</v>
      </c>
      <c r="O155" s="288">
        <v>0</v>
      </c>
      <c r="P155" s="305">
        <f>SUM('ketv. 7 '!AL154-'IV-1 su proj'!J155)</f>
        <v>89069.55</v>
      </c>
      <c r="Q155" s="305">
        <f>SUM(R155:V155)</f>
        <v>78435.69098746081</v>
      </c>
      <c r="R155" s="288">
        <f>SUM(V155*AL155/AT155)</f>
        <v>11765.151410658307</v>
      </c>
      <c r="S155" s="286">
        <v>0</v>
      </c>
      <c r="T155" s="286">
        <v>0</v>
      </c>
      <c r="U155" s="286">
        <v>0</v>
      </c>
      <c r="V155" s="305">
        <f>IF(YEAR($CG155)=2016,($BI$4-$BC$4)*$AT155/($CH155-$BC$4))</f>
        <v>66670.539576802505</v>
      </c>
      <c r="W155" s="305">
        <f>SUM(X155:AB155)</f>
        <v>58665.599012539176</v>
      </c>
      <c r="X155" s="288">
        <f>SUM(AB155*AL155/AT155)</f>
        <v>8799.6885893416911</v>
      </c>
      <c r="Y155" s="286">
        <v>0</v>
      </c>
      <c r="Z155" s="286">
        <v>0</v>
      </c>
      <c r="AA155" s="286">
        <v>0</v>
      </c>
      <c r="AB155" s="305">
        <f>IF(YEAR($CH155)=2019,($CH155-$BI$4)*$AT155/($CH155-$BC$4),0)</f>
        <v>49865.910423197485</v>
      </c>
      <c r="AC155" s="361">
        <v>0</v>
      </c>
      <c r="AD155" s="289">
        <v>0</v>
      </c>
      <c r="AE155" s="289">
        <v>0</v>
      </c>
      <c r="AF155" s="289">
        <v>0</v>
      </c>
      <c r="AG155" s="289">
        <v>0</v>
      </c>
      <c r="AH155" s="85">
        <v>0</v>
      </c>
      <c r="AI155" s="768">
        <f>SUM('3 pr-2'!L156)</f>
        <v>241889</v>
      </c>
      <c r="AJ155" s="1139">
        <f>SUM(AI155-E155)</f>
        <v>241889</v>
      </c>
      <c r="AK155" s="282">
        <f>SUM('3 pr-2'!O156)</f>
        <v>36283</v>
      </c>
      <c r="AL155" s="1139">
        <f t="shared" ref="AL155:AL158" si="367">SUM(AK155-F155-L155)</f>
        <v>20564.84</v>
      </c>
      <c r="AM155" s="282">
        <f>SUM('3 pr-2'!R156)</f>
        <v>0</v>
      </c>
      <c r="AN155" s="1139"/>
      <c r="AO155" s="282">
        <f>SUM('3 pr-2'!U156)</f>
        <v>0</v>
      </c>
      <c r="AP155" s="1139"/>
      <c r="AQ155" s="282">
        <f>SUM('3 pr-2'!X156)</f>
        <v>0</v>
      </c>
      <c r="AR155" s="1139"/>
      <c r="AS155" s="109">
        <f>SUM('3 pr-2'!AA156)</f>
        <v>205606</v>
      </c>
      <c r="AT155" s="1139">
        <f t="shared" ref="AT155:AT158" si="368">SUM(AS155-J155-P155)</f>
        <v>116536.45</v>
      </c>
      <c r="AU155" s="70">
        <f>SUM(E155+K155+Q155+W155+AC155)</f>
        <v>241888.99999999997</v>
      </c>
      <c r="AV155" s="70">
        <f>SUM(J155+P155+V155+AB155+AH155)</f>
        <v>205606</v>
      </c>
      <c r="AW155" s="24"/>
      <c r="AX155" s="285"/>
      <c r="AY155" s="285"/>
      <c r="AZ155" s="285"/>
      <c r="BA155" s="285"/>
      <c r="BB155" s="24"/>
      <c r="BC155" s="24"/>
      <c r="BD155" s="285"/>
      <c r="BE155" s="285"/>
      <c r="BF155" s="285"/>
      <c r="BG155" s="285"/>
      <c r="BH155" s="24"/>
      <c r="BI155" s="24"/>
      <c r="BJ155" s="285"/>
      <c r="BK155" s="285"/>
      <c r="BL155" s="285"/>
      <c r="BM155" s="285"/>
      <c r="BN155" s="24"/>
      <c r="BO155" s="24"/>
      <c r="BP155" s="285"/>
      <c r="BQ155" s="285"/>
      <c r="BR155" s="285"/>
      <c r="BS155" s="285"/>
      <c r="BT155" s="24"/>
      <c r="BU155" s="24"/>
      <c r="BV155" s="285"/>
      <c r="BW155" s="285"/>
      <c r="BX155" s="285"/>
      <c r="BY155" s="285"/>
      <c r="BZ155" s="24"/>
      <c r="CA155" s="24"/>
      <c r="CB155" s="285"/>
      <c r="CC155" s="285"/>
      <c r="CD155" s="285"/>
      <c r="CE155" s="285"/>
      <c r="CF155" s="359"/>
      <c r="CG155" s="1068">
        <v>42522</v>
      </c>
      <c r="CH155" s="501">
        <v>43738</v>
      </c>
      <c r="CI155" s="1138">
        <f>SUM(J155+P155+V155+AB155+AH155)</f>
        <v>205606</v>
      </c>
      <c r="CJ155" s="68">
        <f>SUM(AS155-CI155)</f>
        <v>0</v>
      </c>
      <c r="CK155" s="1169">
        <f t="shared" ref="CK155:CK158" si="369">SUM(AJ155/(CH155-CG155))</f>
        <v>198.921875</v>
      </c>
      <c r="CL155" s="1169">
        <f t="shared" ref="CL155:CL158" si="370">SUM(AL155/(CH155-CG155))</f>
        <v>16.911874999999998</v>
      </c>
      <c r="CM155" s="1169">
        <f t="shared" ref="CM155:CM158" si="371">SUM(AN155/(CH155-CG155))</f>
        <v>0</v>
      </c>
      <c r="CN155" s="1171">
        <f>SUM(AT155/(CH155-CG155))</f>
        <v>95.835896381578948</v>
      </c>
      <c r="CQ155" s="1069">
        <f t="shared" si="365"/>
        <v>241888.99999999997</v>
      </c>
      <c r="CR155" s="1070">
        <f t="shared" si="366"/>
        <v>205606</v>
      </c>
    </row>
    <row r="156" spans="1:97" ht="29.25" customHeight="1" thickBot="1" x14ac:dyDescent="0.3">
      <c r="A156" s="58" t="str">
        <f>CONCATENATE('3 pr-2'!A157)</f>
        <v>2.1.3.1.3</v>
      </c>
      <c r="B156" s="21" t="str">
        <f>CONCATENATE('3 pr-2'!D157)</f>
        <v>Socialinio būsto plėtra Alytaus mieste</v>
      </c>
      <c r="C156" s="85">
        <v>0</v>
      </c>
      <c r="D156" s="85">
        <v>0</v>
      </c>
      <c r="E156" s="94">
        <v>140910</v>
      </c>
      <c r="F156" s="284">
        <v>13512.41182894586</v>
      </c>
      <c r="G156" s="284">
        <v>0</v>
      </c>
      <c r="H156" s="284">
        <v>0</v>
      </c>
      <c r="I156" s="284">
        <v>0</v>
      </c>
      <c r="J156" s="94">
        <f>SUM(E156-F156)</f>
        <v>127397.58817105414</v>
      </c>
      <c r="K156" s="305">
        <f>SUM('ketv. 7 '!M155-'IV-1 su proj'!E156)</f>
        <v>450698.44999999995</v>
      </c>
      <c r="L156" s="288">
        <f>SUM('ketv. 7 '!R155-'IV-1 su proj'!F156)</f>
        <v>54092.358171054148</v>
      </c>
      <c r="M156" s="288">
        <v>0</v>
      </c>
      <c r="N156" s="288">
        <v>0</v>
      </c>
      <c r="O156" s="288">
        <v>0</v>
      </c>
      <c r="P156" s="305">
        <f>SUM('ketv. 7 '!AL155-'IV-1 su proj'!J156)</f>
        <v>396606.09182894585</v>
      </c>
      <c r="Q156" s="305">
        <f>SUM(W2-Q2)*CK156</f>
        <v>180773.01394389439</v>
      </c>
      <c r="R156" s="288">
        <f>SUM(W2-Q2)*CL156</f>
        <v>39846.682590759068</v>
      </c>
      <c r="S156" s="288">
        <v>0</v>
      </c>
      <c r="T156" s="288">
        <v>0</v>
      </c>
      <c r="U156" s="288">
        <v>0</v>
      </c>
      <c r="V156" s="305">
        <f>SUM(W2-Q2)*CN156</f>
        <v>140926.33135313532</v>
      </c>
      <c r="W156" s="361">
        <f>SUM(CH156-W2)*CK156</f>
        <v>119359.71605610561</v>
      </c>
      <c r="X156" s="288">
        <f>SUM(CH156-W2)*CL156</f>
        <v>26309.727409240917</v>
      </c>
      <c r="Y156" s="288">
        <v>0</v>
      </c>
      <c r="Z156" s="288">
        <v>0</v>
      </c>
      <c r="AA156" s="288">
        <v>0</v>
      </c>
      <c r="AB156" s="1140">
        <f>SUM(CH156-W2)*CN156</f>
        <v>93049.988646864687</v>
      </c>
      <c r="AC156" s="361">
        <v>0</v>
      </c>
      <c r="AD156" s="288">
        <v>0</v>
      </c>
      <c r="AE156" s="288">
        <v>0</v>
      </c>
      <c r="AF156" s="288">
        <v>0</v>
      </c>
      <c r="AG156" s="288">
        <v>0</v>
      </c>
      <c r="AH156" s="1140">
        <v>0</v>
      </c>
      <c r="AI156" s="768">
        <f>SUM('3 pr-2'!L157)</f>
        <v>891741.17999999993</v>
      </c>
      <c r="AJ156" s="1139">
        <f>SUM(AI156-E156-K156)</f>
        <v>300132.73</v>
      </c>
      <c r="AK156" s="282">
        <f>SUM('3 pr-2'!O157)</f>
        <v>133761.18</v>
      </c>
      <c r="AL156" s="1139">
        <f t="shared" si="367"/>
        <v>66156.409999999989</v>
      </c>
      <c r="AM156" s="282">
        <f>SUM('3 pr-2'!R157)</f>
        <v>0</v>
      </c>
      <c r="AN156" s="1139"/>
      <c r="AO156" s="282">
        <f>SUM('3 pr-2'!U157)</f>
        <v>0</v>
      </c>
      <c r="AP156" s="1139"/>
      <c r="AQ156" s="282">
        <f>SUM('3 pr-2'!X157)</f>
        <v>0</v>
      </c>
      <c r="AR156" s="1139"/>
      <c r="AS156" s="109">
        <f>SUM('3 pr-2'!AA157)</f>
        <v>757980</v>
      </c>
      <c r="AT156" s="1139">
        <f t="shared" si="368"/>
        <v>233976.32000000001</v>
      </c>
      <c r="AU156" s="70">
        <f>SUM(E156+K156+Q156+W156+AC156)</f>
        <v>891741.17999999993</v>
      </c>
      <c r="AV156" s="70">
        <f>SUM(J156+P156+V156+AB156+AH156)</f>
        <v>757980</v>
      </c>
      <c r="AW156" s="24"/>
      <c r="AX156" s="285"/>
      <c r="AY156" s="285"/>
      <c r="AZ156" s="285"/>
      <c r="BA156" s="285"/>
      <c r="BB156" s="24"/>
      <c r="BC156" s="24"/>
      <c r="BD156" s="285"/>
      <c r="BE156" s="285"/>
      <c r="BF156" s="285"/>
      <c r="BG156" s="285"/>
      <c r="BH156" s="24"/>
      <c r="BI156" s="24"/>
      <c r="BJ156" s="285"/>
      <c r="BK156" s="285"/>
      <c r="BL156" s="285"/>
      <c r="BM156" s="285"/>
      <c r="BN156" s="24"/>
      <c r="BO156" s="24"/>
      <c r="BP156" s="285"/>
      <c r="BQ156" s="285"/>
      <c r="BR156" s="285"/>
      <c r="BS156" s="285"/>
      <c r="BT156" s="24"/>
      <c r="BU156" s="24"/>
      <c r="BV156" s="285"/>
      <c r="BW156" s="285"/>
      <c r="BX156" s="285"/>
      <c r="BY156" s="285"/>
      <c r="BZ156" s="24"/>
      <c r="CA156" s="24"/>
      <c r="CB156" s="285"/>
      <c r="CC156" s="285"/>
      <c r="CD156" s="285"/>
      <c r="CE156" s="285"/>
      <c r="CF156" s="359"/>
      <c r="CG156" s="1068">
        <f>SUM('3 pr-2'!AI157)</f>
        <v>42599</v>
      </c>
      <c r="CH156" s="1068">
        <f>SUM('3 pr-2'!AK157)</f>
        <v>43707</v>
      </c>
      <c r="CI156" s="1138">
        <f>SUM(J156+P156+V156+AB156+AH156)</f>
        <v>757980</v>
      </c>
      <c r="CJ156" s="68">
        <f>SUM(AS156-CI156)</f>
        <v>0</v>
      </c>
      <c r="CK156" s="1169">
        <f>SUM(AJ156/(CH156-Q2))</f>
        <v>495.2685313531353</v>
      </c>
      <c r="CL156" s="1169">
        <f>SUM(AL156/(CH156-Q2))</f>
        <v>109.16899339933991</v>
      </c>
      <c r="CM156" s="1169">
        <f t="shared" si="371"/>
        <v>0</v>
      </c>
      <c r="CN156" s="1171">
        <f>SUM(AT156/(CH156-Q2))</f>
        <v>386.09953795379539</v>
      </c>
      <c r="CQ156" s="1069">
        <f t="shared" ref="CQ156:CQ158" si="372">SUM(E156+K156+Q156+W156+AC156)</f>
        <v>891741.17999999993</v>
      </c>
      <c r="CR156" s="1070">
        <f t="shared" ref="CR156:CR158" si="373">SUM(J156+P156+V156+AB156+AH156)</f>
        <v>757980</v>
      </c>
      <c r="CS156" s="68">
        <f>SUM(AS156-CR156)</f>
        <v>0</v>
      </c>
    </row>
    <row r="157" spans="1:97" ht="26.25" thickBot="1" x14ac:dyDescent="0.3">
      <c r="A157" s="58" t="str">
        <f>CONCATENATE('3 pr-2'!A158)</f>
        <v>2.1.3.2.4</v>
      </c>
      <c r="B157" s="21" t="str">
        <f>CONCATENATE('3 pr-2'!D158)</f>
        <v>Socialinio būsto fondo plėtra Druskininkų savivaldybėje</v>
      </c>
      <c r="C157" s="71">
        <v>0</v>
      </c>
      <c r="D157" s="71">
        <v>0</v>
      </c>
      <c r="E157" s="1141">
        <v>0</v>
      </c>
      <c r="F157" s="286">
        <v>0</v>
      </c>
      <c r="G157" s="286">
        <v>0</v>
      </c>
      <c r="H157" s="286">
        <v>0</v>
      </c>
      <c r="I157" s="286">
        <v>0</v>
      </c>
      <c r="J157" s="1141">
        <v>0</v>
      </c>
      <c r="K157" s="305">
        <f>SUM('ketv. 7 '!M156-'IV-1 su proj'!E157)</f>
        <v>153706.56</v>
      </c>
      <c r="L157" s="288">
        <f>SUM('ketv. 7 '!R156-'IV-1 su proj'!F157)</f>
        <v>2760.98</v>
      </c>
      <c r="M157" s="288">
        <v>0</v>
      </c>
      <c r="N157" s="288">
        <v>0</v>
      </c>
      <c r="O157" s="288">
        <v>0</v>
      </c>
      <c r="P157" s="305">
        <f>SUM('ketv. 7 '!AL156-'IV-1 su proj'!J157)</f>
        <v>150945.57999999999</v>
      </c>
      <c r="Q157" s="305">
        <f>SUM(R157:V157)</f>
        <v>573766.38</v>
      </c>
      <c r="R157" s="288">
        <f>SUM(V157*AL157/AT157)</f>
        <v>106359.96999999999</v>
      </c>
      <c r="S157" s="288">
        <v>0</v>
      </c>
      <c r="T157" s="288">
        <v>0</v>
      </c>
      <c r="U157" s="288">
        <v>0</v>
      </c>
      <c r="V157" s="305">
        <f>IF(YEAR($CG157)=2016,($CH157-$BC$4)*$AT157/($CH157-$BC$4))</f>
        <v>467406.41</v>
      </c>
      <c r="W157" s="304">
        <v>0</v>
      </c>
      <c r="X157" s="288">
        <v>0</v>
      </c>
      <c r="Y157" s="288">
        <v>0</v>
      </c>
      <c r="Z157" s="288">
        <v>0</v>
      </c>
      <c r="AA157" s="288">
        <v>0</v>
      </c>
      <c r="AB157" s="304">
        <v>0</v>
      </c>
      <c r="AC157" s="361">
        <v>0</v>
      </c>
      <c r="AD157" s="289">
        <v>0</v>
      </c>
      <c r="AE157" s="289">
        <v>0</v>
      </c>
      <c r="AF157" s="289">
        <v>0</v>
      </c>
      <c r="AG157" s="289">
        <v>0</v>
      </c>
      <c r="AH157" s="85">
        <v>0</v>
      </c>
      <c r="AI157" s="768">
        <f>SUM('3 pr-2'!L158)</f>
        <v>727472.94</v>
      </c>
      <c r="AJ157" s="1139">
        <f>SUM(AI157-E157)</f>
        <v>727472.94</v>
      </c>
      <c r="AK157" s="282">
        <f>SUM('3 pr-2'!O158)</f>
        <v>109120.95</v>
      </c>
      <c r="AL157" s="1139">
        <f t="shared" si="367"/>
        <v>106359.97</v>
      </c>
      <c r="AM157" s="282">
        <f>SUM('3 pr-2'!R158)</f>
        <v>0</v>
      </c>
      <c r="AN157" s="1139"/>
      <c r="AO157" s="282">
        <f>SUM('3 pr-2'!U158)</f>
        <v>0</v>
      </c>
      <c r="AP157" s="1139"/>
      <c r="AQ157" s="282">
        <f>SUM('3 pr-2'!X158)</f>
        <v>0</v>
      </c>
      <c r="AR157" s="1139"/>
      <c r="AS157" s="109">
        <f>SUM('3 pr-2'!AA158)</f>
        <v>618351.99</v>
      </c>
      <c r="AT157" s="1139">
        <f t="shared" si="368"/>
        <v>467406.41000000003</v>
      </c>
      <c r="AU157" s="70">
        <f>SUM(E157+K157+Q157+W157+AC157)</f>
        <v>727472.94</v>
      </c>
      <c r="AV157" s="70">
        <f>SUM(J157+P157+V157+AB157+AH157)</f>
        <v>618351.99</v>
      </c>
      <c r="AW157" s="24"/>
      <c r="AX157" s="285"/>
      <c r="AY157" s="285"/>
      <c r="AZ157" s="285"/>
      <c r="BA157" s="285"/>
      <c r="BB157" s="24"/>
      <c r="BC157" s="24"/>
      <c r="BD157" s="285"/>
      <c r="BE157" s="285"/>
      <c r="BF157" s="285"/>
      <c r="BG157" s="285"/>
      <c r="BH157" s="24"/>
      <c r="BI157" s="24"/>
      <c r="BJ157" s="285"/>
      <c r="BK157" s="285"/>
      <c r="BL157" s="285"/>
      <c r="BM157" s="285"/>
      <c r="BN157" s="24"/>
      <c r="BO157" s="24"/>
      <c r="BP157" s="285"/>
      <c r="BQ157" s="285"/>
      <c r="BR157" s="285"/>
      <c r="BS157" s="285"/>
      <c r="BT157" s="24"/>
      <c r="BU157" s="24"/>
      <c r="BV157" s="285"/>
      <c r="BW157" s="285"/>
      <c r="BX157" s="285"/>
      <c r="BY157" s="285"/>
      <c r="BZ157" s="24"/>
      <c r="CA157" s="24"/>
      <c r="CB157" s="285"/>
      <c r="CC157" s="285"/>
      <c r="CD157" s="285"/>
      <c r="CE157" s="285"/>
      <c r="CF157" s="359"/>
      <c r="CG157" s="1068">
        <v>42583</v>
      </c>
      <c r="CH157" s="1068">
        <v>43250</v>
      </c>
      <c r="CI157" s="1138">
        <f>SUM(J157+P157+V157+AB157+AH157)</f>
        <v>618351.99</v>
      </c>
      <c r="CJ157" s="68">
        <f>SUM(AS157-CI157)</f>
        <v>0</v>
      </c>
      <c r="CK157" s="1169">
        <f t="shared" si="369"/>
        <v>1090.6640779610193</v>
      </c>
      <c r="CL157" s="1169">
        <f t="shared" si="370"/>
        <v>159.46022488755622</v>
      </c>
      <c r="CM157" s="1169">
        <f t="shared" si="371"/>
        <v>0</v>
      </c>
      <c r="CN157" s="1171">
        <f t="shared" ref="CN157:CN158" si="374">SUM(AT157/(CH157-CG157))</f>
        <v>700.75923538230893</v>
      </c>
      <c r="CQ157" s="1069">
        <f t="shared" si="372"/>
        <v>727472.94</v>
      </c>
      <c r="CR157" s="1070">
        <f t="shared" si="373"/>
        <v>618351.99</v>
      </c>
    </row>
    <row r="158" spans="1:97" ht="42.75" customHeight="1" thickBot="1" x14ac:dyDescent="0.3">
      <c r="A158" s="58" t="str">
        <f>CONCATENATE('3 pr-2'!A159)</f>
        <v>2.1.3.2.5</v>
      </c>
      <c r="B158" s="21" t="str">
        <f>CONCATENATE('3 pr-2'!D159)</f>
        <v>Socialinio būsto fondo plėtra Lazdijų rajono savivaldybėje</v>
      </c>
      <c r="C158" s="85">
        <v>0</v>
      </c>
      <c r="D158" s="85">
        <v>0</v>
      </c>
      <c r="E158" s="305">
        <v>4134.72</v>
      </c>
      <c r="F158" s="288">
        <v>40.770580664578119</v>
      </c>
      <c r="G158" s="288">
        <v>0</v>
      </c>
      <c r="H158" s="288">
        <v>0</v>
      </c>
      <c r="I158" s="288">
        <v>0</v>
      </c>
      <c r="J158" s="305">
        <v>4093.9494193354221</v>
      </c>
      <c r="K158" s="305">
        <f>SUM('ketv. 7 '!M157-'IV-1 su proj'!E158)</f>
        <v>144991.48000000001</v>
      </c>
      <c r="L158" s="288">
        <f>SUM('ketv. 7 '!R157-'IV-1 su proj'!F158)</f>
        <v>10759.389419335421</v>
      </c>
      <c r="M158" s="288">
        <v>0</v>
      </c>
      <c r="N158" s="288">
        <v>0</v>
      </c>
      <c r="O158" s="288">
        <v>0</v>
      </c>
      <c r="P158" s="305">
        <f>SUM('ketv. 7 '!AL157-'IV-1 su proj'!J158)</f>
        <v>134232.09058066458</v>
      </c>
      <c r="Q158" s="305">
        <f>SUM(R158:V158)</f>
        <v>176448.39647577095</v>
      </c>
      <c r="R158" s="288">
        <f>SUM(V158*AL158/AT158)</f>
        <v>36007.040969162997</v>
      </c>
      <c r="S158" s="286">
        <v>0</v>
      </c>
      <c r="T158" s="286">
        <v>0</v>
      </c>
      <c r="U158" s="286">
        <v>0</v>
      </c>
      <c r="V158" s="305">
        <f>IF(YEAR($CG158)=2016,($BI$4-$BC$4)*$AT158/($CH158-$BC$4))</f>
        <v>140441.35550660794</v>
      </c>
      <c r="W158" s="305">
        <f>SUM(X158:AB158)</f>
        <v>43024.403524229077</v>
      </c>
      <c r="X158" s="288">
        <f>SUM(AB158*AL158/AT158)</f>
        <v>8779.7990308370045</v>
      </c>
      <c r="Y158" s="286">
        <v>0</v>
      </c>
      <c r="Z158" s="286">
        <v>0</v>
      </c>
      <c r="AA158" s="286">
        <v>0</v>
      </c>
      <c r="AB158" s="305">
        <f>IF(YEAR($CH158)=2019,($CH158-$BI$4)*$AT158/($CH158-$BC$4),0)</f>
        <v>34244.604493392071</v>
      </c>
      <c r="AC158" s="361">
        <v>0</v>
      </c>
      <c r="AD158" s="289">
        <v>0</v>
      </c>
      <c r="AE158" s="289">
        <v>0</v>
      </c>
      <c r="AF158" s="289">
        <v>0</v>
      </c>
      <c r="AG158" s="289">
        <v>0</v>
      </c>
      <c r="AH158" s="85">
        <v>0</v>
      </c>
      <c r="AI158" s="768">
        <f>SUM('3 pr-2'!L159)</f>
        <v>368599</v>
      </c>
      <c r="AJ158" s="1139">
        <f>SUM(AI158-E158)</f>
        <v>364464.28</v>
      </c>
      <c r="AK158" s="282">
        <f>SUM('3 pr-2'!O159)</f>
        <v>55587</v>
      </c>
      <c r="AL158" s="1139">
        <f t="shared" si="367"/>
        <v>44786.840000000004</v>
      </c>
      <c r="AM158" s="282">
        <f>SUM('3 pr-2'!R159)</f>
        <v>0</v>
      </c>
      <c r="AN158" s="1139"/>
      <c r="AO158" s="282">
        <f>SUM('3 pr-2'!U159)</f>
        <v>0</v>
      </c>
      <c r="AP158" s="1139"/>
      <c r="AQ158" s="282">
        <f>SUM('3 pr-2'!X159)</f>
        <v>0</v>
      </c>
      <c r="AR158" s="1139"/>
      <c r="AS158" s="109">
        <f>SUM('3 pr-2'!AA159)</f>
        <v>313012</v>
      </c>
      <c r="AT158" s="1139">
        <f t="shared" si="368"/>
        <v>174685.96000000002</v>
      </c>
      <c r="AU158" s="70">
        <f>SUM(E158+K158+Q158+W158+AC158)</f>
        <v>368599</v>
      </c>
      <c r="AV158" s="70">
        <f>SUM(J158+P158+V158+AB158+AH158)</f>
        <v>313012</v>
      </c>
      <c r="AW158" s="24"/>
      <c r="AX158" s="285"/>
      <c r="AY158" s="285"/>
      <c r="AZ158" s="285"/>
      <c r="BA158" s="285"/>
      <c r="BB158" s="24"/>
      <c r="BC158" s="24"/>
      <c r="BD158" s="285"/>
      <c r="BE158" s="285"/>
      <c r="BF158" s="285"/>
      <c r="BG158" s="285"/>
      <c r="BH158" s="24"/>
      <c r="BI158" s="24"/>
      <c r="BJ158" s="285"/>
      <c r="BK158" s="285"/>
      <c r="BL158" s="285"/>
      <c r="BM158" s="285"/>
      <c r="BN158" s="24"/>
      <c r="BO158" s="24"/>
      <c r="BP158" s="285"/>
      <c r="BQ158" s="285"/>
      <c r="BR158" s="285"/>
      <c r="BS158" s="285"/>
      <c r="BT158" s="24"/>
      <c r="BU158" s="24"/>
      <c r="BV158" s="285"/>
      <c r="BW158" s="285"/>
      <c r="BX158" s="285"/>
      <c r="BY158" s="285"/>
      <c r="BZ158" s="24"/>
      <c r="CA158" s="24"/>
      <c r="CB158" s="285"/>
      <c r="CC158" s="285"/>
      <c r="CD158" s="285"/>
      <c r="CE158" s="285"/>
      <c r="CF158" s="359"/>
      <c r="CG158" s="1068">
        <v>42522</v>
      </c>
      <c r="CH158" s="1068">
        <v>43554</v>
      </c>
      <c r="CI158" s="1138">
        <f>SUM(J158+P158+V158+AB158+AH158)</f>
        <v>313012</v>
      </c>
      <c r="CJ158" s="68">
        <f>SUM(AS158-CI158)</f>
        <v>0</v>
      </c>
      <c r="CK158" s="1169">
        <f t="shared" si="369"/>
        <v>353.1630620155039</v>
      </c>
      <c r="CL158" s="1169">
        <f t="shared" si="370"/>
        <v>43.398100775193804</v>
      </c>
      <c r="CM158" s="1169">
        <f t="shared" si="371"/>
        <v>0</v>
      </c>
      <c r="CN158" s="1171">
        <f t="shared" si="374"/>
        <v>169.26934108527135</v>
      </c>
      <c r="CQ158" s="1069">
        <f t="shared" si="372"/>
        <v>368599</v>
      </c>
      <c r="CR158" s="1070">
        <f t="shared" si="373"/>
        <v>313012</v>
      </c>
    </row>
    <row r="159" spans="1:97" ht="65.25" thickBot="1" x14ac:dyDescent="0.3">
      <c r="A159" s="279" t="str">
        <f>CONCATENATE('3 pr-2'!A160)</f>
        <v>2.1.4.</v>
      </c>
      <c r="B159" s="117" t="str">
        <f>CONCATENATE('3 pr-2'!B160)</f>
        <v>Uždavinys:
Visuomenei teikiamų paslaugų kokybės, didinant jų atitikimo visuomenės poreikiams pagerinimas</v>
      </c>
      <c r="C159" s="110">
        <f t="shared" ref="C159:AS159" si="375">SUM(C160)</f>
        <v>0</v>
      </c>
      <c r="D159" s="110">
        <f t="shared" si="375"/>
        <v>0</v>
      </c>
      <c r="E159" s="110">
        <f t="shared" si="375"/>
        <v>0</v>
      </c>
      <c r="F159" s="110">
        <f t="shared" si="375"/>
        <v>0</v>
      </c>
      <c r="G159" s="110"/>
      <c r="H159" s="110"/>
      <c r="I159" s="110"/>
      <c r="J159" s="110">
        <f t="shared" si="375"/>
        <v>0</v>
      </c>
      <c r="K159" s="110">
        <f t="shared" si="375"/>
        <v>0</v>
      </c>
      <c r="L159" s="1136">
        <f t="shared" si="375"/>
        <v>0</v>
      </c>
      <c r="M159" s="1136">
        <f t="shared" si="375"/>
        <v>0</v>
      </c>
      <c r="N159" s="1136">
        <f t="shared" si="375"/>
        <v>0</v>
      </c>
      <c r="O159" s="1136">
        <f t="shared" si="375"/>
        <v>0</v>
      </c>
      <c r="P159" s="110">
        <f t="shared" si="375"/>
        <v>0</v>
      </c>
      <c r="Q159" s="110">
        <f t="shared" si="375"/>
        <v>284039.62597476691</v>
      </c>
      <c r="R159" s="1136"/>
      <c r="S159" s="1136"/>
      <c r="T159" s="1136"/>
      <c r="U159" s="1136"/>
      <c r="V159" s="110">
        <f t="shared" si="375"/>
        <v>241398.76196705305</v>
      </c>
      <c r="W159" s="110">
        <f t="shared" si="375"/>
        <v>444078.20022039925</v>
      </c>
      <c r="X159" s="1136"/>
      <c r="Y159" s="1136"/>
      <c r="Z159" s="1136"/>
      <c r="AA159" s="1136"/>
      <c r="AB159" s="110">
        <f t="shared" si="375"/>
        <v>377411.17110312328</v>
      </c>
      <c r="AC159" s="110">
        <f t="shared" si="375"/>
        <v>378869.90380483388</v>
      </c>
      <c r="AD159" s="1136"/>
      <c r="AE159" s="1136"/>
      <c r="AF159" s="1136"/>
      <c r="AG159" s="1136"/>
      <c r="AH159" s="110">
        <f t="shared" si="375"/>
        <v>321997.90692982357</v>
      </c>
      <c r="AI159" s="770">
        <f t="shared" si="375"/>
        <v>1106987.73</v>
      </c>
      <c r="AJ159" s="110">
        <v>404791.7</v>
      </c>
      <c r="AK159" s="110"/>
      <c r="AL159" s="110"/>
      <c r="AM159" s="110"/>
      <c r="AN159" s="110"/>
      <c r="AO159" s="110"/>
      <c r="AP159" s="110"/>
      <c r="AQ159" s="110"/>
      <c r="AR159" s="110"/>
      <c r="AS159" s="110">
        <f t="shared" si="375"/>
        <v>940807.84000000008</v>
      </c>
      <c r="AT159" s="500"/>
      <c r="AX159" s="110"/>
      <c r="AY159" s="110"/>
      <c r="AZ159" s="110"/>
      <c r="BA159" s="110"/>
      <c r="BD159" s="110"/>
      <c r="BE159" s="110"/>
      <c r="BF159" s="110"/>
      <c r="BG159" s="110"/>
      <c r="BJ159" s="110"/>
      <c r="BK159" s="110"/>
      <c r="BL159" s="110"/>
      <c r="BM159" s="110"/>
      <c r="BP159" s="110"/>
      <c r="BQ159" s="110"/>
      <c r="BR159" s="110"/>
      <c r="BS159" s="110"/>
      <c r="BV159" s="110"/>
      <c r="BW159" s="110"/>
      <c r="BX159" s="110"/>
      <c r="BY159" s="110"/>
      <c r="CB159" s="110"/>
      <c r="CC159" s="110"/>
      <c r="CD159" s="110"/>
      <c r="CE159" s="110"/>
      <c r="CG159" s="23"/>
      <c r="CH159" s="23"/>
    </row>
    <row r="160" spans="1:97" ht="52.5" thickBot="1" x14ac:dyDescent="0.3">
      <c r="A160" s="278" t="str">
        <f>CONCATENATE('3 pr-2'!A161)</f>
        <v>2.1.4.1</v>
      </c>
      <c r="B160" s="118" t="str">
        <f>CONCATENATE('3 pr-2'!B161)</f>
        <v>Priemonė:
Paslaugų teikimo ir asmenų aptarnavimo kokybės gerinimas savivaldybėse</v>
      </c>
      <c r="C160" s="1079">
        <f>SUM(C161:C166)</f>
        <v>0</v>
      </c>
      <c r="D160" s="1079">
        <f t="shared" ref="D160:AS160" si="376">SUM(D161:D166)</f>
        <v>0</v>
      </c>
      <c r="E160" s="1079">
        <f t="shared" si="376"/>
        <v>0</v>
      </c>
      <c r="F160" s="1079">
        <f t="shared" si="376"/>
        <v>0</v>
      </c>
      <c r="G160" s="1079">
        <f t="shared" si="376"/>
        <v>0</v>
      </c>
      <c r="H160" s="1079">
        <f t="shared" si="376"/>
        <v>0</v>
      </c>
      <c r="I160" s="1079">
        <f t="shared" si="376"/>
        <v>0</v>
      </c>
      <c r="J160" s="1079">
        <f t="shared" si="376"/>
        <v>0</v>
      </c>
      <c r="K160" s="1079">
        <f t="shared" si="376"/>
        <v>0</v>
      </c>
      <c r="L160" s="1079">
        <f t="shared" si="376"/>
        <v>0</v>
      </c>
      <c r="M160" s="1079">
        <f t="shared" si="376"/>
        <v>0</v>
      </c>
      <c r="N160" s="1079">
        <f t="shared" si="376"/>
        <v>0</v>
      </c>
      <c r="O160" s="1079">
        <f t="shared" si="376"/>
        <v>0</v>
      </c>
      <c r="P160" s="1079">
        <f t="shared" si="376"/>
        <v>0</v>
      </c>
      <c r="Q160" s="1079">
        <f t="shared" si="376"/>
        <v>284039.62597476691</v>
      </c>
      <c r="R160" s="1079">
        <f t="shared" si="376"/>
        <v>42640.864007713812</v>
      </c>
      <c r="S160" s="1079">
        <f t="shared" si="376"/>
        <v>0</v>
      </c>
      <c r="T160" s="1079">
        <f t="shared" si="376"/>
        <v>0</v>
      </c>
      <c r="U160" s="1079">
        <f t="shared" si="376"/>
        <v>0</v>
      </c>
      <c r="V160" s="1079">
        <f t="shared" si="376"/>
        <v>241398.76196705305</v>
      </c>
      <c r="W160" s="1079">
        <f t="shared" si="376"/>
        <v>444078.20022039925</v>
      </c>
      <c r="X160" s="1079">
        <f t="shared" si="376"/>
        <v>66667.029117275917</v>
      </c>
      <c r="Y160" s="1079">
        <f t="shared" si="376"/>
        <v>0</v>
      </c>
      <c r="Z160" s="1079">
        <f t="shared" si="376"/>
        <v>0</v>
      </c>
      <c r="AA160" s="1079">
        <f t="shared" si="376"/>
        <v>0</v>
      </c>
      <c r="AB160" s="1079">
        <f t="shared" si="376"/>
        <v>377411.17110312328</v>
      </c>
      <c r="AC160" s="1079">
        <f t="shared" si="376"/>
        <v>378869.90380483388</v>
      </c>
      <c r="AD160" s="1079">
        <f t="shared" si="376"/>
        <v>56871.996875010271</v>
      </c>
      <c r="AE160" s="1079">
        <f t="shared" si="376"/>
        <v>0</v>
      </c>
      <c r="AF160" s="1079">
        <f t="shared" si="376"/>
        <v>0</v>
      </c>
      <c r="AG160" s="1079">
        <f t="shared" si="376"/>
        <v>0</v>
      </c>
      <c r="AH160" s="1079">
        <f t="shared" si="376"/>
        <v>321997.90692982357</v>
      </c>
      <c r="AI160" s="1080">
        <f t="shared" si="376"/>
        <v>1106987.73</v>
      </c>
      <c r="AJ160" s="1079"/>
      <c r="AK160" s="1079">
        <f t="shared" si="376"/>
        <v>166179.88999999998</v>
      </c>
      <c r="AL160" s="1079"/>
      <c r="AM160" s="1079">
        <f t="shared" si="376"/>
        <v>0</v>
      </c>
      <c r="AN160" s="1079"/>
      <c r="AO160" s="1079">
        <f t="shared" si="376"/>
        <v>0</v>
      </c>
      <c r="AP160" s="1079"/>
      <c r="AQ160" s="1079">
        <f t="shared" si="376"/>
        <v>0</v>
      </c>
      <c r="AR160" s="1079"/>
      <c r="AS160" s="1079">
        <f t="shared" si="376"/>
        <v>940807.84000000008</v>
      </c>
      <c r="AT160" s="1079"/>
      <c r="AU160" s="1066"/>
      <c r="AV160" s="24"/>
      <c r="AW160" s="24"/>
      <c r="AX160" s="1079"/>
      <c r="AY160" s="1079"/>
      <c r="AZ160" s="1079"/>
      <c r="BA160" s="1079"/>
      <c r="BB160" s="24"/>
      <c r="BC160" s="24"/>
      <c r="BD160" s="1079"/>
      <c r="BE160" s="1079"/>
      <c r="BF160" s="1079"/>
      <c r="BG160" s="1079"/>
      <c r="BH160" s="24"/>
      <c r="BI160" s="24"/>
      <c r="BJ160" s="1079"/>
      <c r="BK160" s="1079"/>
      <c r="BL160" s="1079"/>
      <c r="BM160" s="1079"/>
      <c r="BN160" s="24"/>
      <c r="BO160" s="24"/>
      <c r="BP160" s="1079"/>
      <c r="BQ160" s="1079"/>
      <c r="BR160" s="1079"/>
      <c r="BS160" s="1079"/>
      <c r="BT160" s="24"/>
      <c r="BU160" s="24"/>
      <c r="BV160" s="1079"/>
      <c r="BW160" s="1079"/>
      <c r="BX160" s="1079"/>
      <c r="BY160" s="1079"/>
      <c r="BZ160" s="24"/>
      <c r="CA160" s="24"/>
      <c r="CB160" s="1079"/>
      <c r="CC160" s="1079"/>
      <c r="CD160" s="1079"/>
      <c r="CE160" s="1079"/>
      <c r="CF160" s="359"/>
      <c r="CG160" s="23"/>
      <c r="CH160" s="23"/>
      <c r="CK160" s="25" t="s">
        <v>1613</v>
      </c>
      <c r="CL160" s="25" t="s">
        <v>1417</v>
      </c>
      <c r="CM160" s="25" t="s">
        <v>1418</v>
      </c>
      <c r="CN160" s="25" t="s">
        <v>1460</v>
      </c>
    </row>
    <row r="161" spans="1:96" ht="39" thickBot="1" x14ac:dyDescent="0.3">
      <c r="A161" s="58" t="str">
        <f>CONCATENATE('3 pr-2'!A162)</f>
        <v>2.1.4.1.1</v>
      </c>
      <c r="B161" s="21" t="str">
        <f>CONCATENATE('3 pr-2'!D162)</f>
        <v>Paslaugų teikimo ir asmenų aptarnavimo kokybės gerinimas Varėnos rajono savivaldybėje</v>
      </c>
      <c r="C161" s="71">
        <f t="shared" ref="C161:C166" si="377">SUM(AI161*AU161/CA161)</f>
        <v>0</v>
      </c>
      <c r="D161" s="71">
        <f>SUM(AS161*AV161/CF161)</f>
        <v>0</v>
      </c>
      <c r="E161" s="71">
        <f t="shared" ref="E161:E166" si="378">SUM(AI161*AW161/CA161)</f>
        <v>0</v>
      </c>
      <c r="F161" s="282">
        <f t="shared" ref="F161:F165" si="379">SUM(AK161*AX161/CB161)</f>
        <v>0</v>
      </c>
      <c r="G161" s="282">
        <f t="shared" ref="G161:G165" si="380">SUM(AM161*AY161/CC161)</f>
        <v>0</v>
      </c>
      <c r="H161" s="282">
        <f t="shared" ref="H161:H165" si="381">SUM(AO161*AZ161/CD161)</f>
        <v>0</v>
      </c>
      <c r="I161" s="282">
        <f t="shared" ref="I161:I165" si="382">SUM(AQ161*BA161/CE161)</f>
        <v>0</v>
      </c>
      <c r="J161" s="71">
        <f>SUM(AS161*BB161/CF161)</f>
        <v>0</v>
      </c>
      <c r="K161" s="71">
        <f t="shared" ref="K161:K166" si="383">SUM(AI161*BC161/CA161)</f>
        <v>0</v>
      </c>
      <c r="L161" s="286">
        <f t="shared" ref="L161:L165" si="384">SUM(AK161*BD161/CB161)</f>
        <v>0</v>
      </c>
      <c r="M161" s="286">
        <f t="shared" ref="M161:M165" si="385">SUM(AM161*BE161/CC161)</f>
        <v>0</v>
      </c>
      <c r="N161" s="286">
        <f t="shared" ref="N161:N165" si="386">SUM(AO161*BF161/CD161)</f>
        <v>0</v>
      </c>
      <c r="O161" s="286">
        <f t="shared" ref="O161:O165" si="387">SUM(AQ161*BG161/CE161)</f>
        <v>0</v>
      </c>
      <c r="P161" s="71">
        <f>SUM(AS161*BH161/CF161)</f>
        <v>0</v>
      </c>
      <c r="Q161" s="304">
        <f>SUM($Q$3-CG161)*CK161</f>
        <v>81755.547705627701</v>
      </c>
      <c r="R161" s="287">
        <f>SUM($Q$3-CG161)*CL161</f>
        <v>12263.333102453102</v>
      </c>
      <c r="S161" s="287">
        <f>SUM($Q$3-CG161)*CM161</f>
        <v>0</v>
      </c>
      <c r="T161" s="287">
        <v>0</v>
      </c>
      <c r="U161" s="287">
        <v>0</v>
      </c>
      <c r="V161" s="304">
        <f>SUM($Q$3-CG161)*CN161</f>
        <v>69492.214603174594</v>
      </c>
      <c r="W161" s="304">
        <f>SUM($CH$161-$Q$3)*CK161</f>
        <v>90977.972294372288</v>
      </c>
      <c r="X161" s="287">
        <f>SUM($CH$161-$Q$3)*CL161</f>
        <v>13646.696897546897</v>
      </c>
      <c r="Y161" s="287">
        <f>SUM($CH$161-$Q$3)*CM161</f>
        <v>0</v>
      </c>
      <c r="Z161" s="287">
        <v>0</v>
      </c>
      <c r="AA161" s="287">
        <v>0</v>
      </c>
      <c r="AB161" s="304">
        <f>SUM($CH$161-$Q$3)*CN161</f>
        <v>77331.275396825396</v>
      </c>
      <c r="AC161" s="304">
        <f t="shared" ref="AC161" si="388">SUM(AI161*BU161/CA161)</f>
        <v>0</v>
      </c>
      <c r="AD161" s="287">
        <f t="shared" ref="AD161" si="389">SUM(AK161*BV161/CB161)</f>
        <v>0</v>
      </c>
      <c r="AE161" s="287">
        <f t="shared" ref="AE161" si="390">SUM(AM161*BW161/CC161)</f>
        <v>0</v>
      </c>
      <c r="AF161" s="287">
        <f t="shared" ref="AF161" si="391">SUM(AO161*BX161/CD161)</f>
        <v>0</v>
      </c>
      <c r="AG161" s="287">
        <f t="shared" ref="AG161" si="392">SUM(AQ161*BY161/CE161)</f>
        <v>0</v>
      </c>
      <c r="AH161" s="304">
        <f>SUM(AS161*BZ161/CF161)</f>
        <v>0</v>
      </c>
      <c r="AI161" s="768">
        <f>SUM('3 pr-2'!L162)</f>
        <v>172733.52</v>
      </c>
      <c r="AJ161" s="84"/>
      <c r="AK161" s="282">
        <f>SUM('3 pr-2'!O162)</f>
        <v>25910.03</v>
      </c>
      <c r="AL161" s="282"/>
      <c r="AM161" s="282">
        <f>SUM('3 pr-2'!R162)</f>
        <v>0</v>
      </c>
      <c r="AN161" s="282"/>
      <c r="AO161" s="282">
        <f>SUM('3 pr-2'!U162)</f>
        <v>0</v>
      </c>
      <c r="AP161" s="282"/>
      <c r="AQ161" s="282">
        <f>SUM('3 pr-2'!X162)</f>
        <v>0</v>
      </c>
      <c r="AR161" s="543"/>
      <c r="AS161" s="109">
        <f>SUM('3 pr-2'!AA162)</f>
        <v>146823.49</v>
      </c>
      <c r="AT161" s="499"/>
      <c r="AU161" s="1066">
        <v>0</v>
      </c>
      <c r="AV161" s="24">
        <v>0</v>
      </c>
      <c r="AW161" s="24">
        <v>0</v>
      </c>
      <c r="AX161" s="283">
        <v>0</v>
      </c>
      <c r="AY161" s="283">
        <v>0</v>
      </c>
      <c r="AZ161" s="283">
        <v>0</v>
      </c>
      <c r="BA161" s="283">
        <v>0</v>
      </c>
      <c r="BB161" s="24">
        <v>0</v>
      </c>
      <c r="BC161" s="24">
        <v>0</v>
      </c>
      <c r="BD161" s="283">
        <v>0</v>
      </c>
      <c r="BE161" s="283">
        <v>0</v>
      </c>
      <c r="BF161" s="283">
        <v>0</v>
      </c>
      <c r="BG161" s="283">
        <v>0</v>
      </c>
      <c r="BH161" s="24">
        <v>0</v>
      </c>
      <c r="BI161" s="24">
        <v>50</v>
      </c>
      <c r="BJ161" s="283">
        <v>50</v>
      </c>
      <c r="BK161" s="283">
        <v>50</v>
      </c>
      <c r="BL161" s="283">
        <v>50</v>
      </c>
      <c r="BM161" s="283">
        <v>50</v>
      </c>
      <c r="BN161" s="24">
        <v>50</v>
      </c>
      <c r="BO161" s="24">
        <v>50</v>
      </c>
      <c r="BP161" s="283">
        <v>50</v>
      </c>
      <c r="BQ161" s="283">
        <v>50</v>
      </c>
      <c r="BR161" s="283">
        <v>50</v>
      </c>
      <c r="BS161" s="283">
        <v>50</v>
      </c>
      <c r="BT161" s="24">
        <v>50</v>
      </c>
      <c r="BU161" s="24">
        <v>0</v>
      </c>
      <c r="BV161" s="283">
        <v>0</v>
      </c>
      <c r="BW161" s="283">
        <v>0</v>
      </c>
      <c r="BX161" s="283">
        <v>0</v>
      </c>
      <c r="BY161" s="283">
        <v>0</v>
      </c>
      <c r="BZ161" s="24">
        <v>0</v>
      </c>
      <c r="CA161" s="24">
        <v>100</v>
      </c>
      <c r="CB161" s="283">
        <v>100</v>
      </c>
      <c r="CC161" s="283">
        <v>100</v>
      </c>
      <c r="CD161" s="283">
        <v>100</v>
      </c>
      <c r="CE161" s="283">
        <v>100</v>
      </c>
      <c r="CF161" s="359">
        <v>100</v>
      </c>
      <c r="CG161" s="1068">
        <f>SUM('3 pr-2'!AI162)</f>
        <v>43137</v>
      </c>
      <c r="CH161" s="1068">
        <f>SUM('3 pr-2'!AK162)</f>
        <v>43830</v>
      </c>
      <c r="CI161" s="1138">
        <f>SUM(J161+P161+V161+AB161+AH161)</f>
        <v>146823.49</v>
      </c>
      <c r="CK161" s="1169">
        <f>SUM(AI161/(CH161-CG161))</f>
        <v>249.2547186147186</v>
      </c>
      <c r="CL161" s="1169">
        <f>SUM(AK161/(CH161-CG161))</f>
        <v>37.388210678210676</v>
      </c>
      <c r="CM161" s="1169">
        <f>SUM(AM161/(CH161-CG161))</f>
        <v>0</v>
      </c>
      <c r="CN161" s="1171">
        <f>SUM(AS161/(CH161-CG161))</f>
        <v>211.86650793650793</v>
      </c>
    </row>
    <row r="162" spans="1:96" ht="29.25" customHeight="1" thickBot="1" x14ac:dyDescent="0.3">
      <c r="A162" s="58" t="str">
        <f>CONCATENATE('3 pr-2'!A163)</f>
        <v>2.1.4.1.2</v>
      </c>
      <c r="B162" s="21" t="str">
        <f>CONCATENATE('3 pr-2'!D163)</f>
        <v>Paslaugų ir asmenų aptarnavimo kokybės gerinimas Alytaus rajono savivaldybėje</v>
      </c>
      <c r="C162" s="71">
        <f t="shared" si="377"/>
        <v>0</v>
      </c>
      <c r="D162" s="71">
        <f>SUM(AS162*AV162/CF162)</f>
        <v>0</v>
      </c>
      <c r="E162" s="71">
        <f t="shared" si="378"/>
        <v>0</v>
      </c>
      <c r="F162" s="282">
        <f t="shared" si="379"/>
        <v>0</v>
      </c>
      <c r="G162" s="282">
        <f t="shared" si="380"/>
        <v>0</v>
      </c>
      <c r="H162" s="282">
        <f t="shared" si="381"/>
        <v>0</v>
      </c>
      <c r="I162" s="282">
        <f t="shared" si="382"/>
        <v>0</v>
      </c>
      <c r="J162" s="71">
        <f>SUM(AS162*BB162/CF162)</f>
        <v>0</v>
      </c>
      <c r="K162" s="71">
        <f t="shared" si="383"/>
        <v>0</v>
      </c>
      <c r="L162" s="286">
        <f t="shared" si="384"/>
        <v>0</v>
      </c>
      <c r="M162" s="286">
        <f t="shared" si="385"/>
        <v>0</v>
      </c>
      <c r="N162" s="286">
        <f t="shared" si="386"/>
        <v>0</v>
      </c>
      <c r="O162" s="286">
        <f t="shared" si="387"/>
        <v>0</v>
      </c>
      <c r="P162" s="71">
        <f>SUM(AS162*BH162/CF162)</f>
        <v>0</v>
      </c>
      <c r="Q162" s="304">
        <f t="shared" ref="Q162:Q165" si="393">SUM($Q$3-CG162)*CK162</f>
        <v>52712.582256461232</v>
      </c>
      <c r="R162" s="287">
        <f t="shared" ref="R162:R165" si="394">SUM($Q$3-CG162)*CL162</f>
        <v>7906.8896620278329</v>
      </c>
      <c r="S162" s="287">
        <f t="shared" ref="S162:S165" si="395">SUM($Q$3-CG162)*CM162</f>
        <v>0</v>
      </c>
      <c r="T162" s="287">
        <v>0</v>
      </c>
      <c r="U162" s="287">
        <v>0</v>
      </c>
      <c r="V162" s="304">
        <f t="shared" ref="V162:V165" si="396">SUM($Q$3-CG162)*CN162</f>
        <v>44805.692594433393</v>
      </c>
      <c r="W162" s="304">
        <f>SUM($W$3-$Q$3)*CK162</f>
        <v>69963.972813121276</v>
      </c>
      <c r="X162" s="287">
        <f>SUM($W$3-$Q$3)*CL162</f>
        <v>10494.599005964215</v>
      </c>
      <c r="Y162" s="287">
        <f>SUM($W$3-$Q$3)*CM162</f>
        <v>0</v>
      </c>
      <c r="Z162" s="287">
        <v>0</v>
      </c>
      <c r="AA162" s="287">
        <v>0</v>
      </c>
      <c r="AB162" s="304">
        <f>SUM($W$3-$Q$3)*CN162</f>
        <v>59469.373807157055</v>
      </c>
      <c r="AC162" s="304">
        <f>SUM(CH162-$W$3)*CK162</f>
        <v>70155.654930417499</v>
      </c>
      <c r="AD162" s="287">
        <f>SUM(CH162-$W$3)*CL162</f>
        <v>10523.351332007953</v>
      </c>
      <c r="AE162" s="287">
        <f>SUM(CH162-$W$3)*CM162</f>
        <v>0</v>
      </c>
      <c r="AF162" s="287">
        <v>0</v>
      </c>
      <c r="AG162" s="287">
        <v>0</v>
      </c>
      <c r="AH162" s="304">
        <f>SUM(CH162-$W$3)*CN162</f>
        <v>59632.30359840954</v>
      </c>
      <c r="AI162" s="768">
        <f>SUM('3 pr-2'!L163)</f>
        <v>192832.21</v>
      </c>
      <c r="AJ162" s="84"/>
      <c r="AK162" s="282">
        <f>SUM('3 pr-2'!O163)</f>
        <v>28924.84</v>
      </c>
      <c r="AL162" s="282"/>
      <c r="AM162" s="282">
        <f>SUM('3 pr-2'!R163)</f>
        <v>0</v>
      </c>
      <c r="AN162" s="282"/>
      <c r="AO162" s="282">
        <f>SUM('3 pr-2'!U163)</f>
        <v>0</v>
      </c>
      <c r="AP162" s="282"/>
      <c r="AQ162" s="282">
        <f>SUM('3 pr-2'!X163)</f>
        <v>0</v>
      </c>
      <c r="AR162" s="543"/>
      <c r="AS162" s="109">
        <f>SUM('3 pr-2'!AA163)</f>
        <v>163907.37</v>
      </c>
      <c r="AT162" s="499"/>
      <c r="AU162" s="1066">
        <v>0</v>
      </c>
      <c r="AV162" s="24">
        <v>0</v>
      </c>
      <c r="AW162" s="24">
        <v>0</v>
      </c>
      <c r="AX162" s="283">
        <v>0</v>
      </c>
      <c r="AY162" s="283">
        <v>0</v>
      </c>
      <c r="AZ162" s="283">
        <v>0</v>
      </c>
      <c r="BA162" s="283">
        <v>0</v>
      </c>
      <c r="BB162" s="24">
        <v>0</v>
      </c>
      <c r="BC162" s="24">
        <v>0</v>
      </c>
      <c r="BD162" s="283">
        <v>0</v>
      </c>
      <c r="BE162" s="283">
        <v>0</v>
      </c>
      <c r="BF162" s="283">
        <v>0</v>
      </c>
      <c r="BG162" s="283">
        <v>0</v>
      </c>
      <c r="BH162" s="24">
        <v>0</v>
      </c>
      <c r="BI162" s="24">
        <v>20</v>
      </c>
      <c r="BJ162" s="283">
        <v>20</v>
      </c>
      <c r="BK162" s="283">
        <v>20</v>
      </c>
      <c r="BL162" s="283">
        <v>20</v>
      </c>
      <c r="BM162" s="283">
        <v>20</v>
      </c>
      <c r="BN162" s="24">
        <v>20</v>
      </c>
      <c r="BO162" s="24">
        <v>40</v>
      </c>
      <c r="BP162" s="283">
        <v>40</v>
      </c>
      <c r="BQ162" s="283">
        <v>40</v>
      </c>
      <c r="BR162" s="283">
        <v>40</v>
      </c>
      <c r="BS162" s="283">
        <v>40</v>
      </c>
      <c r="BT162" s="24">
        <v>40</v>
      </c>
      <c r="BU162" s="24">
        <v>40</v>
      </c>
      <c r="BV162" s="283">
        <v>40</v>
      </c>
      <c r="BW162" s="283">
        <v>40</v>
      </c>
      <c r="BX162" s="283">
        <v>40</v>
      </c>
      <c r="BY162" s="283">
        <v>40</v>
      </c>
      <c r="BZ162" s="24">
        <v>40</v>
      </c>
      <c r="CA162" s="24">
        <v>100</v>
      </c>
      <c r="CB162" s="283">
        <v>100</v>
      </c>
      <c r="CC162" s="283">
        <v>100</v>
      </c>
      <c r="CD162" s="283">
        <v>100</v>
      </c>
      <c r="CE162" s="283">
        <v>100</v>
      </c>
      <c r="CF162" s="359">
        <v>100</v>
      </c>
      <c r="CG162" s="1068">
        <f>SUM('3 pr-2'!AI163)</f>
        <v>43190</v>
      </c>
      <c r="CH162" s="1068">
        <f>SUM('3 pr-2'!AK163)</f>
        <v>44196</v>
      </c>
      <c r="CI162" s="1138">
        <f>SUM(J162+P162+V162+AB162+AH162)</f>
        <v>163907.37</v>
      </c>
      <c r="CK162" s="1169">
        <f t="shared" ref="CK162:CK166" si="397">SUM(AI162/(CH162-CG162))</f>
        <v>191.68211729622266</v>
      </c>
      <c r="CL162" s="1169">
        <f t="shared" ref="CL162:CL166" si="398">SUM(AK162/(CH162-CG162))</f>
        <v>28.752326043737575</v>
      </c>
      <c r="CM162" s="1169">
        <f t="shared" ref="CM162:CM166" si="399">SUM(AM162/(CH162-CG162))</f>
        <v>0</v>
      </c>
      <c r="CN162" s="1171">
        <f t="shared" ref="CN162:CN166" si="400">SUM(AS162/(CH162-CG162))</f>
        <v>162.92979125248507</v>
      </c>
    </row>
    <row r="163" spans="1:96" ht="51.75" thickBot="1" x14ac:dyDescent="0.3">
      <c r="A163" s="58" t="str">
        <f>CONCATENATE('3 pr-2'!A164)</f>
        <v>2.1.4.1.3</v>
      </c>
      <c r="B163" s="21" t="str">
        <f>CONCATENATE('3 pr-2'!D164)</f>
        <v>Lazdijų rajono savivaldybės administracijos ir jos viešojo valdymo institucijų teikiamų paslaugų procesų tobulinimas</v>
      </c>
      <c r="C163" s="71">
        <f t="shared" si="377"/>
        <v>0</v>
      </c>
      <c r="D163" s="71">
        <f>SUM(AS163*AV163/CF163)</f>
        <v>0</v>
      </c>
      <c r="E163" s="71">
        <f t="shared" si="378"/>
        <v>0</v>
      </c>
      <c r="F163" s="282">
        <f t="shared" si="379"/>
        <v>0</v>
      </c>
      <c r="G163" s="282">
        <f t="shared" si="380"/>
        <v>0</v>
      </c>
      <c r="H163" s="282">
        <f t="shared" si="381"/>
        <v>0</v>
      </c>
      <c r="I163" s="282">
        <f t="shared" si="382"/>
        <v>0</v>
      </c>
      <c r="J163" s="71">
        <f>SUM(AS163*BB163/CF163)</f>
        <v>0</v>
      </c>
      <c r="K163" s="71">
        <f t="shared" si="383"/>
        <v>0</v>
      </c>
      <c r="L163" s="286">
        <f t="shared" si="384"/>
        <v>0</v>
      </c>
      <c r="M163" s="286">
        <f t="shared" si="385"/>
        <v>0</v>
      </c>
      <c r="N163" s="286">
        <f t="shared" si="386"/>
        <v>0</v>
      </c>
      <c r="O163" s="286">
        <f t="shared" si="387"/>
        <v>0</v>
      </c>
      <c r="P163" s="71">
        <f>SUM(AS163*BH163/CF163)</f>
        <v>0</v>
      </c>
      <c r="Q163" s="304">
        <f t="shared" si="393"/>
        <v>50037.821749049428</v>
      </c>
      <c r="R163" s="287">
        <f t="shared" si="394"/>
        <v>7505.9320152091259</v>
      </c>
      <c r="S163" s="287">
        <f t="shared" si="395"/>
        <v>0</v>
      </c>
      <c r="T163" s="287">
        <v>0</v>
      </c>
      <c r="U163" s="287">
        <v>0</v>
      </c>
      <c r="V163" s="304">
        <f t="shared" si="396"/>
        <v>42531.889733840297</v>
      </c>
      <c r="W163" s="304">
        <f t="shared" ref="W163:W165" si="401">SUM($W$3-$Q$3)*CK163</f>
        <v>56896.588593155895</v>
      </c>
      <c r="X163" s="287">
        <f t="shared" ref="X163:X165" si="402">SUM($W$3-$Q$3)*CL163</f>
        <v>8534.7825095057033</v>
      </c>
      <c r="Y163" s="287">
        <f t="shared" ref="Y163:Y165" si="403">SUM($W$3-$Q$3)*CM163</f>
        <v>0</v>
      </c>
      <c r="Z163" s="287">
        <v>0</v>
      </c>
      <c r="AA163" s="287">
        <v>0</v>
      </c>
      <c r="AB163" s="304">
        <f t="shared" ref="AB163:AB165" si="404">SUM($W$3-$Q$3)*CN163</f>
        <v>48361.806083650183</v>
      </c>
      <c r="AC163" s="304">
        <f t="shared" ref="AC163:AC165" si="405">SUM(CH163-$W$3)*CK163</f>
        <v>57052.469657794674</v>
      </c>
      <c r="AD163" s="287">
        <f t="shared" ref="AD163:AD165" si="406">SUM(CH163-$W$3)*CL163</f>
        <v>8558.1654752851719</v>
      </c>
      <c r="AE163" s="287">
        <f t="shared" ref="AE163:AE165" si="407">SUM(CH163-$W$3)*CM163</f>
        <v>0</v>
      </c>
      <c r="AF163" s="287">
        <v>0</v>
      </c>
      <c r="AG163" s="287">
        <v>0</v>
      </c>
      <c r="AH163" s="304">
        <f t="shared" ref="AH163:AH165" si="408">SUM(CH163-$W$3)*CN163</f>
        <v>48494.304182509499</v>
      </c>
      <c r="AI163" s="768">
        <f>SUM('3 pr-2'!L164)</f>
        <v>163986.88</v>
      </c>
      <c r="AJ163" s="84"/>
      <c r="AK163" s="282">
        <f>SUM('3 pr-2'!O164)</f>
        <v>24598.880000000001</v>
      </c>
      <c r="AL163" s="282"/>
      <c r="AM163" s="282">
        <f>SUM('3 pr-2'!R164)</f>
        <v>0</v>
      </c>
      <c r="AN163" s="282"/>
      <c r="AO163" s="282">
        <f>SUM('3 pr-2'!U164)</f>
        <v>0</v>
      </c>
      <c r="AP163" s="282"/>
      <c r="AQ163" s="282">
        <f>SUM('3 pr-2'!X164)</f>
        <v>0</v>
      </c>
      <c r="AR163" s="543"/>
      <c r="AS163" s="109">
        <f>SUM('3 pr-2'!AA164)</f>
        <v>139388</v>
      </c>
      <c r="AT163" s="499"/>
      <c r="AU163" s="1066">
        <v>0</v>
      </c>
      <c r="AV163" s="24">
        <v>0</v>
      </c>
      <c r="AW163" s="24">
        <v>0</v>
      </c>
      <c r="AX163" s="283">
        <v>0</v>
      </c>
      <c r="AY163" s="283">
        <v>0</v>
      </c>
      <c r="AZ163" s="283">
        <v>0</v>
      </c>
      <c r="BA163" s="283">
        <v>0</v>
      </c>
      <c r="BB163" s="24">
        <v>0</v>
      </c>
      <c r="BC163" s="24">
        <v>0</v>
      </c>
      <c r="BD163" s="283">
        <v>0</v>
      </c>
      <c r="BE163" s="283">
        <v>0</v>
      </c>
      <c r="BF163" s="283">
        <v>0</v>
      </c>
      <c r="BG163" s="283">
        <v>0</v>
      </c>
      <c r="BH163" s="24">
        <v>0</v>
      </c>
      <c r="BI163" s="24">
        <v>40</v>
      </c>
      <c r="BJ163" s="283">
        <v>40</v>
      </c>
      <c r="BK163" s="283">
        <v>40</v>
      </c>
      <c r="BL163" s="283">
        <v>40</v>
      </c>
      <c r="BM163" s="283">
        <v>40</v>
      </c>
      <c r="BN163" s="24">
        <v>40</v>
      </c>
      <c r="BO163" s="24">
        <v>40</v>
      </c>
      <c r="BP163" s="283">
        <v>40</v>
      </c>
      <c r="BQ163" s="283">
        <v>40</v>
      </c>
      <c r="BR163" s="283">
        <v>40</v>
      </c>
      <c r="BS163" s="283">
        <v>40</v>
      </c>
      <c r="BT163" s="24">
        <v>40</v>
      </c>
      <c r="BU163" s="24">
        <v>20</v>
      </c>
      <c r="BV163" s="283">
        <v>20</v>
      </c>
      <c r="BW163" s="283">
        <v>20</v>
      </c>
      <c r="BX163" s="283">
        <v>20</v>
      </c>
      <c r="BY163" s="283">
        <v>20</v>
      </c>
      <c r="BZ163" s="24">
        <v>20</v>
      </c>
      <c r="CA163" s="24">
        <v>100</v>
      </c>
      <c r="CB163" s="283">
        <v>100</v>
      </c>
      <c r="CC163" s="283">
        <v>100</v>
      </c>
      <c r="CD163" s="283">
        <v>100</v>
      </c>
      <c r="CE163" s="283">
        <v>100</v>
      </c>
      <c r="CF163" s="359">
        <v>100</v>
      </c>
      <c r="CG163" s="1068">
        <f>SUM('3 pr-2'!AI164)</f>
        <v>43144</v>
      </c>
      <c r="CH163" s="1068">
        <f>SUM('3 pr-2'!AK164)</f>
        <v>44196</v>
      </c>
      <c r="CI163" s="1138">
        <f t="shared" ref="CI163:CI165" si="409">SUM(J163+P163+V163+AB163+AH163)</f>
        <v>139388</v>
      </c>
      <c r="CK163" s="1169">
        <f t="shared" si="397"/>
        <v>155.88106463878327</v>
      </c>
      <c r="CL163" s="1169">
        <f t="shared" si="398"/>
        <v>23.382965779467682</v>
      </c>
      <c r="CM163" s="1169">
        <f t="shared" si="399"/>
        <v>0</v>
      </c>
      <c r="CN163" s="1171">
        <f t="shared" si="400"/>
        <v>132.49809885931558</v>
      </c>
    </row>
    <row r="164" spans="1:96" ht="64.5" thickBot="1" x14ac:dyDescent="0.3">
      <c r="A164" s="58" t="str">
        <f>CONCATENATE('3 pr-2'!A165)</f>
        <v>2.1.4.1.4</v>
      </c>
      <c r="B164" s="21" t="str">
        <f>CONCATENATE('3 pr-2'!D165)</f>
        <v>Teikiamų paslaugų procesų tobulinimas ir asmenų aptarnavimo kokybės gerinimas Alytaus m. sav. administracijoje ir jai pavaldžiose įstaigose. I etapas</v>
      </c>
      <c r="C164" s="71">
        <f t="shared" si="377"/>
        <v>0</v>
      </c>
      <c r="D164" s="71">
        <f t="shared" ref="D164" si="410">SUM(AS164*AV164/CF164)</f>
        <v>0</v>
      </c>
      <c r="E164" s="71">
        <f t="shared" si="378"/>
        <v>0</v>
      </c>
      <c r="F164" s="282">
        <f t="shared" si="379"/>
        <v>0</v>
      </c>
      <c r="G164" s="282">
        <f t="shared" si="380"/>
        <v>0</v>
      </c>
      <c r="H164" s="282">
        <f t="shared" si="381"/>
        <v>0</v>
      </c>
      <c r="I164" s="282">
        <f t="shared" si="382"/>
        <v>0</v>
      </c>
      <c r="J164" s="71">
        <f t="shared" ref="J164" si="411">SUM(AS164*BB164/CF164)</f>
        <v>0</v>
      </c>
      <c r="K164" s="71">
        <f t="shared" si="383"/>
        <v>0</v>
      </c>
      <c r="L164" s="286">
        <f t="shared" si="384"/>
        <v>0</v>
      </c>
      <c r="M164" s="286">
        <f t="shared" si="385"/>
        <v>0</v>
      </c>
      <c r="N164" s="286">
        <f t="shared" si="386"/>
        <v>0</v>
      </c>
      <c r="O164" s="286">
        <f t="shared" si="387"/>
        <v>0</v>
      </c>
      <c r="P164" s="71">
        <f t="shared" ref="P164" si="412">SUM(AS164*BH164/CF164)</f>
        <v>0</v>
      </c>
      <c r="Q164" s="304">
        <f t="shared" si="393"/>
        <v>56700.455150214591</v>
      </c>
      <c r="R164" s="287">
        <f t="shared" si="394"/>
        <v>8505.0698497854082</v>
      </c>
      <c r="S164" s="287">
        <f t="shared" si="395"/>
        <v>0</v>
      </c>
      <c r="T164" s="287">
        <v>0</v>
      </c>
      <c r="U164" s="287">
        <v>0</v>
      </c>
      <c r="V164" s="304">
        <f t="shared" si="396"/>
        <v>48195.385300429181</v>
      </c>
      <c r="W164" s="304">
        <f t="shared" si="401"/>
        <v>84472.106652360511</v>
      </c>
      <c r="X164" s="287">
        <f t="shared" si="402"/>
        <v>12670.818347639484</v>
      </c>
      <c r="Y164" s="287">
        <f t="shared" si="403"/>
        <v>0</v>
      </c>
      <c r="Z164" s="287">
        <v>0</v>
      </c>
      <c r="AA164" s="287">
        <v>0</v>
      </c>
      <c r="AB164" s="304">
        <f t="shared" si="404"/>
        <v>71801.28830472102</v>
      </c>
      <c r="AC164" s="304">
        <f t="shared" si="405"/>
        <v>74520.598197424886</v>
      </c>
      <c r="AD164" s="287">
        <f t="shared" si="406"/>
        <v>11178.091802575107</v>
      </c>
      <c r="AE164" s="287">
        <f t="shared" si="407"/>
        <v>0</v>
      </c>
      <c r="AF164" s="287">
        <v>0</v>
      </c>
      <c r="AG164" s="287">
        <v>0</v>
      </c>
      <c r="AH164" s="304">
        <f t="shared" si="408"/>
        <v>63342.506394849777</v>
      </c>
      <c r="AI164" s="768">
        <f>SUM('3 pr-2'!L165)</f>
        <v>215693.16</v>
      </c>
      <c r="AJ164" s="84"/>
      <c r="AK164" s="282">
        <f>SUM('3 pr-2'!O165)</f>
        <v>32353.98</v>
      </c>
      <c r="AL164" s="282"/>
      <c r="AM164" s="282">
        <f>SUM('3 pr-2'!R165)</f>
        <v>0</v>
      </c>
      <c r="AN164" s="282"/>
      <c r="AO164" s="282">
        <f>SUM('3 pr-2'!U165)</f>
        <v>0</v>
      </c>
      <c r="AP164" s="282"/>
      <c r="AQ164" s="282">
        <f>SUM('3 pr-2'!X165)</f>
        <v>0</v>
      </c>
      <c r="AR164" s="543"/>
      <c r="AS164" s="109">
        <f>SUM('3 pr-2'!AA165)</f>
        <v>183339.18</v>
      </c>
      <c r="AT164" s="499"/>
      <c r="AU164" s="1066">
        <v>0</v>
      </c>
      <c r="AV164" s="24">
        <v>0</v>
      </c>
      <c r="AW164" s="24">
        <v>0</v>
      </c>
      <c r="AX164" s="283">
        <v>0</v>
      </c>
      <c r="AY164" s="283">
        <v>0</v>
      </c>
      <c r="AZ164" s="283">
        <v>0</v>
      </c>
      <c r="BA164" s="283">
        <v>0</v>
      </c>
      <c r="BB164" s="24">
        <v>0</v>
      </c>
      <c r="BC164" s="24">
        <v>0</v>
      </c>
      <c r="BD164" s="283">
        <v>0</v>
      </c>
      <c r="BE164" s="283">
        <v>0</v>
      </c>
      <c r="BF164" s="283">
        <v>0</v>
      </c>
      <c r="BG164" s="283">
        <v>0</v>
      </c>
      <c r="BH164" s="24">
        <v>0</v>
      </c>
      <c r="BI164" s="24">
        <v>50</v>
      </c>
      <c r="BJ164" s="283">
        <v>50</v>
      </c>
      <c r="BK164" s="283">
        <v>50</v>
      </c>
      <c r="BL164" s="283">
        <v>50</v>
      </c>
      <c r="BM164" s="283">
        <v>50</v>
      </c>
      <c r="BN164" s="24">
        <v>50</v>
      </c>
      <c r="BO164" s="24">
        <v>50</v>
      </c>
      <c r="BP164" s="283">
        <v>50</v>
      </c>
      <c r="BQ164" s="283">
        <v>50</v>
      </c>
      <c r="BR164" s="283">
        <v>50</v>
      </c>
      <c r="BS164" s="283">
        <v>50</v>
      </c>
      <c r="BT164" s="24">
        <v>50</v>
      </c>
      <c r="BU164" s="24">
        <v>0</v>
      </c>
      <c r="BV164" s="283">
        <v>0</v>
      </c>
      <c r="BW164" s="283">
        <v>0</v>
      </c>
      <c r="BX164" s="283">
        <v>0</v>
      </c>
      <c r="BY164" s="283">
        <v>0</v>
      </c>
      <c r="BZ164" s="24">
        <v>0</v>
      </c>
      <c r="CA164" s="24">
        <v>100</v>
      </c>
      <c r="CB164" s="283">
        <v>100</v>
      </c>
      <c r="CC164" s="283">
        <v>100</v>
      </c>
      <c r="CD164" s="283">
        <v>100</v>
      </c>
      <c r="CE164" s="283">
        <v>100</v>
      </c>
      <c r="CF164" s="359">
        <v>100</v>
      </c>
      <c r="CG164" s="1068">
        <f>SUM('3 pr-2'!AI165)</f>
        <v>43220</v>
      </c>
      <c r="CH164" s="1068">
        <f>SUM('3 pr-2'!AK165)</f>
        <v>44152</v>
      </c>
      <c r="CI164" s="1138">
        <f t="shared" si="409"/>
        <v>183339.17999999996</v>
      </c>
      <c r="CK164" s="1169">
        <f t="shared" si="397"/>
        <v>231.43042918454935</v>
      </c>
      <c r="CL164" s="1169">
        <f t="shared" si="398"/>
        <v>34.714570815450642</v>
      </c>
      <c r="CM164" s="1169">
        <f t="shared" si="399"/>
        <v>0</v>
      </c>
      <c r="CN164" s="1171">
        <f t="shared" si="400"/>
        <v>196.7158583690987</v>
      </c>
    </row>
    <row r="165" spans="1:96" ht="39" thickBot="1" x14ac:dyDescent="0.3">
      <c r="A165" s="58" t="str">
        <f>CONCATENATE('3 pr-2'!A166)</f>
        <v>2.1.4.1.5</v>
      </c>
      <c r="B165" s="21" t="str">
        <f>CONCATENATE('3 pr-2'!D166)</f>
        <v>Paslaugų teikimo ir asmenų aptarnavimo kokybės gerinimas Druskininkų savivaldybėje</v>
      </c>
      <c r="C165" s="71">
        <f t="shared" si="377"/>
        <v>0</v>
      </c>
      <c r="D165" s="71">
        <f t="shared" ref="D165" si="413">SUM(AS165*AV165/CF165)</f>
        <v>0</v>
      </c>
      <c r="E165" s="71">
        <f t="shared" si="378"/>
        <v>0</v>
      </c>
      <c r="F165" s="282">
        <f t="shared" si="379"/>
        <v>0</v>
      </c>
      <c r="G165" s="282">
        <f t="shared" si="380"/>
        <v>0</v>
      </c>
      <c r="H165" s="282">
        <f t="shared" si="381"/>
        <v>0</v>
      </c>
      <c r="I165" s="282">
        <f t="shared" si="382"/>
        <v>0</v>
      </c>
      <c r="J165" s="71">
        <f t="shared" ref="J165" si="414">SUM(AS165*BB165/CF165)</f>
        <v>0</v>
      </c>
      <c r="K165" s="71">
        <f t="shared" si="383"/>
        <v>0</v>
      </c>
      <c r="L165" s="286">
        <f t="shared" si="384"/>
        <v>0</v>
      </c>
      <c r="M165" s="286">
        <f t="shared" si="385"/>
        <v>0</v>
      </c>
      <c r="N165" s="286">
        <f t="shared" si="386"/>
        <v>0</v>
      </c>
      <c r="O165" s="286">
        <f t="shared" si="387"/>
        <v>0</v>
      </c>
      <c r="P165" s="71">
        <f t="shared" ref="P165" si="415">SUM(AS165*BH165/CF165)</f>
        <v>0</v>
      </c>
      <c r="Q165" s="304">
        <f t="shared" si="393"/>
        <v>42833.219113413928</v>
      </c>
      <c r="R165" s="287">
        <f t="shared" si="394"/>
        <v>6459.639378238342</v>
      </c>
      <c r="S165" s="287">
        <f t="shared" si="395"/>
        <v>0</v>
      </c>
      <c r="T165" s="287">
        <v>0</v>
      </c>
      <c r="U165" s="287">
        <v>0</v>
      </c>
      <c r="V165" s="304">
        <f t="shared" si="396"/>
        <v>36373.579735175583</v>
      </c>
      <c r="W165" s="304">
        <f t="shared" si="401"/>
        <v>67974.456419113412</v>
      </c>
      <c r="X165" s="287">
        <f t="shared" si="402"/>
        <v>10251.166839378238</v>
      </c>
      <c r="Y165" s="287">
        <f t="shared" si="403"/>
        <v>0</v>
      </c>
      <c r="Z165" s="287">
        <v>0</v>
      </c>
      <c r="AA165" s="287">
        <v>0</v>
      </c>
      <c r="AB165" s="304">
        <f t="shared" si="404"/>
        <v>57723.289579735167</v>
      </c>
      <c r="AC165" s="304">
        <f t="shared" si="405"/>
        <v>50934.284467472651</v>
      </c>
      <c r="AD165" s="287">
        <f t="shared" si="406"/>
        <v>7681.3537823834195</v>
      </c>
      <c r="AE165" s="287">
        <f t="shared" si="407"/>
        <v>0</v>
      </c>
      <c r="AF165" s="287">
        <v>0</v>
      </c>
      <c r="AG165" s="287">
        <v>0</v>
      </c>
      <c r="AH165" s="304">
        <f t="shared" si="408"/>
        <v>43252.930685089232</v>
      </c>
      <c r="AI165" s="768">
        <f>SUM('3 pr-2'!L166)</f>
        <v>161741.96</v>
      </c>
      <c r="AJ165" s="84"/>
      <c r="AK165" s="282">
        <f>SUM('3 pr-2'!O166)</f>
        <v>24392.16</v>
      </c>
      <c r="AL165" s="282"/>
      <c r="AM165" s="282">
        <f>SUM('3 pr-2'!R166)</f>
        <v>0</v>
      </c>
      <c r="AN165" s="282"/>
      <c r="AO165" s="282">
        <f>SUM('3 pr-2'!U166)</f>
        <v>0</v>
      </c>
      <c r="AP165" s="282"/>
      <c r="AQ165" s="282">
        <f>SUM('3 pr-2'!X166)</f>
        <v>0</v>
      </c>
      <c r="AR165" s="543"/>
      <c r="AS165" s="109">
        <f>SUM('3 pr-2'!AA166)</f>
        <v>137349.79999999999</v>
      </c>
      <c r="AT165" s="499"/>
      <c r="AU165" s="1066">
        <v>0</v>
      </c>
      <c r="AV165" s="24">
        <v>0</v>
      </c>
      <c r="AW165" s="24">
        <v>0</v>
      </c>
      <c r="AX165" s="283">
        <v>0</v>
      </c>
      <c r="AY165" s="283">
        <v>0</v>
      </c>
      <c r="AZ165" s="283">
        <v>0</v>
      </c>
      <c r="BA165" s="283">
        <v>0</v>
      </c>
      <c r="BB165" s="24">
        <v>0</v>
      </c>
      <c r="BC165" s="24">
        <v>0</v>
      </c>
      <c r="BD165" s="283">
        <v>0</v>
      </c>
      <c r="BE165" s="283">
        <v>0</v>
      </c>
      <c r="BF165" s="283">
        <v>0</v>
      </c>
      <c r="BG165" s="283">
        <v>0</v>
      </c>
      <c r="BH165" s="24">
        <v>0</v>
      </c>
      <c r="BI165" s="24">
        <v>40</v>
      </c>
      <c r="BJ165" s="283">
        <v>40</v>
      </c>
      <c r="BK165" s="283">
        <v>40</v>
      </c>
      <c r="BL165" s="283">
        <v>40</v>
      </c>
      <c r="BM165" s="283">
        <v>40</v>
      </c>
      <c r="BN165" s="24">
        <v>40</v>
      </c>
      <c r="BO165" s="24">
        <v>50</v>
      </c>
      <c r="BP165" s="283">
        <v>50</v>
      </c>
      <c r="BQ165" s="283">
        <v>50</v>
      </c>
      <c r="BR165" s="283">
        <v>50</v>
      </c>
      <c r="BS165" s="283">
        <v>50</v>
      </c>
      <c r="BT165" s="24">
        <v>50</v>
      </c>
      <c r="BU165" s="24">
        <v>10</v>
      </c>
      <c r="BV165" s="283">
        <v>10</v>
      </c>
      <c r="BW165" s="283">
        <v>10</v>
      </c>
      <c r="BX165" s="283">
        <v>10</v>
      </c>
      <c r="BY165" s="283">
        <v>10</v>
      </c>
      <c r="BZ165" s="24">
        <v>10</v>
      </c>
      <c r="CA165" s="24">
        <v>100</v>
      </c>
      <c r="CB165" s="283">
        <v>100</v>
      </c>
      <c r="CC165" s="283">
        <v>100</v>
      </c>
      <c r="CD165" s="283">
        <v>100</v>
      </c>
      <c r="CE165" s="283">
        <v>100</v>
      </c>
      <c r="CF165" s="359">
        <v>100</v>
      </c>
      <c r="CG165" s="1068">
        <f>SUM('3 pr-2'!AI166)</f>
        <v>43235</v>
      </c>
      <c r="CH165" s="1068">
        <f>SUM('3 pr-2'!AK166)</f>
        <v>44103.5</v>
      </c>
      <c r="CI165" s="1138">
        <f t="shared" si="409"/>
        <v>137349.79999999999</v>
      </c>
      <c r="CK165" s="1169">
        <f t="shared" si="397"/>
        <v>186.23138744962577</v>
      </c>
      <c r="CL165" s="1169">
        <f t="shared" si="398"/>
        <v>28.085388601036268</v>
      </c>
      <c r="CM165" s="1169">
        <f t="shared" si="399"/>
        <v>0</v>
      </c>
      <c r="CN165" s="1171">
        <f t="shared" si="400"/>
        <v>158.1459988485895</v>
      </c>
    </row>
    <row r="166" spans="1:96" ht="64.5" thickBot="1" x14ac:dyDescent="0.3">
      <c r="A166" s="58" t="str">
        <f>CONCATENATE('3 pr-2'!A167)</f>
        <v>2.1.4.1.6</v>
      </c>
      <c r="B166" s="21" t="str">
        <f>CONCATENATE('3 pr-2'!D167)</f>
        <v>Teikiamų paslaugų procesų tobulinimas ir asmenų aptarnavimo kokybės gerinimas Alytaus m. sav. administracijoje ir jai pavaldžiose įstaigose. II etapas</v>
      </c>
      <c r="C166" s="71">
        <f t="shared" si="377"/>
        <v>0</v>
      </c>
      <c r="D166" s="71">
        <f t="shared" ref="D166" si="416">SUM(AS166*AV166/CF166)</f>
        <v>0</v>
      </c>
      <c r="E166" s="71">
        <f t="shared" si="378"/>
        <v>0</v>
      </c>
      <c r="F166" s="282">
        <f t="shared" ref="F166" si="417">SUM(AK166*AX166/CB166)</f>
        <v>0</v>
      </c>
      <c r="G166" s="282">
        <f t="shared" ref="G166" si="418">SUM(AM166*AY166/CC166)</f>
        <v>0</v>
      </c>
      <c r="H166" s="282">
        <f t="shared" ref="H166" si="419">SUM(AO166*AZ166/CD166)</f>
        <v>0</v>
      </c>
      <c r="I166" s="282">
        <f t="shared" ref="I166" si="420">SUM(AQ166*BA166/CE166)</f>
        <v>0</v>
      </c>
      <c r="J166" s="71">
        <f t="shared" ref="J166" si="421">SUM(AS166*BB166/CF166)</f>
        <v>0</v>
      </c>
      <c r="K166" s="71">
        <f t="shared" si="383"/>
        <v>0</v>
      </c>
      <c r="L166" s="286">
        <f t="shared" ref="L166" si="422">SUM(AK166*BD166/CB166)</f>
        <v>0</v>
      </c>
      <c r="M166" s="286">
        <f t="shared" ref="M166" si="423">SUM(AM166*BE166/CC166)</f>
        <v>0</v>
      </c>
      <c r="N166" s="286">
        <f t="shared" ref="N166" si="424">SUM(AO166*BF166/CD166)</f>
        <v>0</v>
      </c>
      <c r="O166" s="286">
        <f t="shared" ref="O166" si="425">SUM(AQ166*BG166/CE166)</f>
        <v>0</v>
      </c>
      <c r="P166" s="71">
        <f t="shared" ref="P166" si="426">SUM(AS166*BH166/CF166)</f>
        <v>0</v>
      </c>
      <c r="Q166" s="304">
        <f t="shared" ref="Q166" si="427">SUM(AI166*BI166/CA166)</f>
        <v>0</v>
      </c>
      <c r="R166" s="287">
        <f t="shared" ref="R166" si="428">SUM(AK166*BJ166/CB166)</f>
        <v>0</v>
      </c>
      <c r="S166" s="287">
        <f t="shared" ref="S166" si="429">SUM(AM166*BK166/CC166)</f>
        <v>0</v>
      </c>
      <c r="T166" s="287">
        <f t="shared" ref="T166" si="430">SUM(AO166*BL166/CD166)</f>
        <v>0</v>
      </c>
      <c r="U166" s="287">
        <f t="shared" ref="U166" si="431">SUM(AQ166*BM166/CE166)</f>
        <v>0</v>
      </c>
      <c r="V166" s="304">
        <f t="shared" ref="V166" si="432">SUM(AS166*BN166/CF166)</f>
        <v>0</v>
      </c>
      <c r="W166" s="304">
        <f>SUM($W$3-$CG$166)*CK166</f>
        <v>73793.10344827587</v>
      </c>
      <c r="X166" s="287">
        <f>SUM($W$3-$CG$166)*CL166</f>
        <v>11068.96551724138</v>
      </c>
      <c r="Y166" s="287">
        <f>SUM($W$3-$CG$166)*CM166</f>
        <v>0</v>
      </c>
      <c r="Z166" s="287">
        <v>0</v>
      </c>
      <c r="AA166" s="287">
        <v>0</v>
      </c>
      <c r="AB166" s="304">
        <f>SUM($W$3-$CG$166)*CN166</f>
        <v>62724.137931034486</v>
      </c>
      <c r="AC166" s="304">
        <f>SUM($CH$166-$W$3)*CK166</f>
        <v>126206.89655172414</v>
      </c>
      <c r="AD166" s="287">
        <f>SUM($CH$166-$W$3)*CL166</f>
        <v>18931.03448275862</v>
      </c>
      <c r="AE166" s="287">
        <f>SUM($CH$166-$W$3)*CM166</f>
        <v>0</v>
      </c>
      <c r="AF166" s="287">
        <v>0</v>
      </c>
      <c r="AG166" s="287">
        <v>0</v>
      </c>
      <c r="AH166" s="304">
        <f>SUM($CH$166-$W$3)*CN166</f>
        <v>107275.86206896552</v>
      </c>
      <c r="AI166" s="768">
        <f>SUM('3 pr-2'!L167)</f>
        <v>200000</v>
      </c>
      <c r="AJ166" s="84"/>
      <c r="AK166" s="282">
        <f>SUM('3 pr-2'!O167)</f>
        <v>30000</v>
      </c>
      <c r="AL166" s="282"/>
      <c r="AM166" s="282">
        <f>SUM('3 pr-2'!R167)</f>
        <v>0</v>
      </c>
      <c r="AN166" s="282"/>
      <c r="AO166" s="282">
        <f>SUM('3 pr-2'!U167)</f>
        <v>0</v>
      </c>
      <c r="AP166" s="282"/>
      <c r="AQ166" s="282">
        <f>SUM('3 pr-2'!X167)</f>
        <v>0</v>
      </c>
      <c r="AR166" s="543"/>
      <c r="AS166" s="109">
        <f>SUM('3 pr-2'!AA167)</f>
        <v>170000</v>
      </c>
      <c r="AT166" s="499"/>
      <c r="AU166" s="1066">
        <v>0</v>
      </c>
      <c r="AV166" s="24">
        <v>0</v>
      </c>
      <c r="AW166" s="24">
        <v>0</v>
      </c>
      <c r="AX166" s="283">
        <v>0</v>
      </c>
      <c r="AY166" s="283">
        <v>0</v>
      </c>
      <c r="AZ166" s="283">
        <v>0</v>
      </c>
      <c r="BA166" s="283">
        <v>0</v>
      </c>
      <c r="BB166" s="24">
        <v>0</v>
      </c>
      <c r="BC166" s="24">
        <v>0</v>
      </c>
      <c r="BD166" s="283">
        <v>0</v>
      </c>
      <c r="BE166" s="283">
        <v>0</v>
      </c>
      <c r="BF166" s="283">
        <v>0</v>
      </c>
      <c r="BG166" s="283">
        <v>0</v>
      </c>
      <c r="BH166" s="24">
        <v>0</v>
      </c>
      <c r="BI166" s="24">
        <v>0</v>
      </c>
      <c r="BJ166" s="283">
        <v>0</v>
      </c>
      <c r="BK166" s="283">
        <v>0</v>
      </c>
      <c r="BL166" s="283">
        <v>0</v>
      </c>
      <c r="BM166" s="283">
        <v>0</v>
      </c>
      <c r="BN166" s="24">
        <v>0</v>
      </c>
      <c r="BO166" s="24">
        <v>50</v>
      </c>
      <c r="BP166" s="283">
        <v>50</v>
      </c>
      <c r="BQ166" s="283">
        <v>50</v>
      </c>
      <c r="BR166" s="283">
        <v>50</v>
      </c>
      <c r="BS166" s="283">
        <v>50</v>
      </c>
      <c r="BT166" s="24">
        <v>50</v>
      </c>
      <c r="BU166" s="24">
        <v>50</v>
      </c>
      <c r="BV166" s="283">
        <v>50</v>
      </c>
      <c r="BW166" s="283">
        <v>50</v>
      </c>
      <c r="BX166" s="283">
        <v>50</v>
      </c>
      <c r="BY166" s="283">
        <v>50</v>
      </c>
      <c r="BZ166" s="24">
        <v>50</v>
      </c>
      <c r="CA166" s="24">
        <v>100</v>
      </c>
      <c r="CB166" s="283">
        <v>100</v>
      </c>
      <c r="CC166" s="283">
        <v>100</v>
      </c>
      <c r="CD166" s="283">
        <v>100</v>
      </c>
      <c r="CE166" s="283">
        <v>100</v>
      </c>
      <c r="CF166" s="359">
        <v>100</v>
      </c>
      <c r="CG166" s="1068">
        <f>SUM('3 pr-2'!AI167)</f>
        <v>43616</v>
      </c>
      <c r="CH166" s="1068">
        <f>SUM('3 pr-2'!AK167)</f>
        <v>44196</v>
      </c>
      <c r="CK166" s="1169">
        <f t="shared" si="397"/>
        <v>344.82758620689657</v>
      </c>
      <c r="CL166" s="1169">
        <f t="shared" si="398"/>
        <v>51.724137931034484</v>
      </c>
      <c r="CM166" s="1169">
        <f t="shared" si="399"/>
        <v>0</v>
      </c>
      <c r="CN166" s="1171">
        <f t="shared" si="400"/>
        <v>293.10344827586209</v>
      </c>
    </row>
    <row r="167" spans="1:96" ht="39.75" thickBot="1" x14ac:dyDescent="0.3">
      <c r="A167" s="280" t="str">
        <f>CONCATENATE('3 pr-2'!A168)</f>
        <v>3.1.</v>
      </c>
      <c r="B167" s="281" t="str">
        <f>CONCATENATE('3 pr-2'!B168)</f>
        <v>Tikslas: 
DARNIAI TVARKYTI IR VYSTYTI REGIONO TERITORIJĄ</v>
      </c>
      <c r="C167" s="1142">
        <f t="shared" ref="C167:AS167" si="433">SUM(C168+C172)</f>
        <v>0</v>
      </c>
      <c r="D167" s="1142">
        <f t="shared" si="433"/>
        <v>0</v>
      </c>
      <c r="E167" s="1142">
        <f t="shared" si="433"/>
        <v>0</v>
      </c>
      <c r="F167" s="1142">
        <f t="shared" ref="F167" si="434">SUM(F168+F172)</f>
        <v>0</v>
      </c>
      <c r="G167" s="1142"/>
      <c r="H167" s="1142"/>
      <c r="I167" s="1142"/>
      <c r="J167" s="1142">
        <f t="shared" si="433"/>
        <v>0</v>
      </c>
      <c r="K167" s="1142">
        <f t="shared" si="433"/>
        <v>909520.6399999999</v>
      </c>
      <c r="L167" s="1143">
        <f t="shared" ref="L167:O167" si="435">SUM(L168+L172)</f>
        <v>3196.9</v>
      </c>
      <c r="M167" s="1143">
        <f t="shared" si="435"/>
        <v>0</v>
      </c>
      <c r="N167" s="1143">
        <f t="shared" si="435"/>
        <v>0</v>
      </c>
      <c r="O167" s="1143">
        <f t="shared" si="435"/>
        <v>0</v>
      </c>
      <c r="P167" s="1142">
        <f t="shared" si="433"/>
        <v>846940.74</v>
      </c>
      <c r="Q167" s="1142">
        <f t="shared" si="433"/>
        <v>3047243.2282815352</v>
      </c>
      <c r="R167" s="1143"/>
      <c r="S167" s="1143"/>
      <c r="T167" s="1143"/>
      <c r="U167" s="1143"/>
      <c r="V167" s="1142">
        <f t="shared" si="433"/>
        <v>2424194.8077696525</v>
      </c>
      <c r="W167" s="1142">
        <f t="shared" si="433"/>
        <v>2087718.5611206398</v>
      </c>
      <c r="X167" s="1143"/>
      <c r="Y167" s="1143"/>
      <c r="Z167" s="1143"/>
      <c r="AA167" s="1143"/>
      <c r="AB167" s="1142">
        <f t="shared" si="433"/>
        <v>1708398.1735028536</v>
      </c>
      <c r="AC167" s="1142">
        <f t="shared" si="433"/>
        <v>594002.42177429504</v>
      </c>
      <c r="AD167" s="1143"/>
      <c r="AE167" s="1143"/>
      <c r="AF167" s="1143"/>
      <c r="AG167" s="1143"/>
      <c r="AH167" s="1142">
        <f t="shared" si="433"/>
        <v>504901.79872749391</v>
      </c>
      <c r="AI167" s="1100">
        <f t="shared" si="433"/>
        <v>6638484.8511764705</v>
      </c>
      <c r="AJ167" s="1142"/>
      <c r="AK167" s="1142"/>
      <c r="AL167" s="1142"/>
      <c r="AM167" s="1142"/>
      <c r="AN167" s="1142"/>
      <c r="AO167" s="1142"/>
      <c r="AP167" s="1142"/>
      <c r="AQ167" s="1142"/>
      <c r="AR167" s="1142"/>
      <c r="AS167" s="1142">
        <f t="shared" si="433"/>
        <v>5484435.5199999996</v>
      </c>
      <c r="AT167" s="1144"/>
      <c r="AX167" s="1142"/>
      <c r="AY167" s="1142"/>
      <c r="AZ167" s="1142"/>
      <c r="BA167" s="1142"/>
      <c r="BD167" s="1142"/>
      <c r="BE167" s="1142"/>
      <c r="BF167" s="1142"/>
      <c r="BG167" s="1142"/>
      <c r="BJ167" s="1142"/>
      <c r="BK167" s="1142"/>
      <c r="BL167" s="1142"/>
      <c r="BM167" s="1142"/>
      <c r="BP167" s="1142"/>
      <c r="BQ167" s="1142"/>
      <c r="BR167" s="1142"/>
      <c r="BS167" s="1142"/>
      <c r="BV167" s="1142"/>
      <c r="BW167" s="1142"/>
      <c r="BX167" s="1142"/>
      <c r="BY167" s="1142"/>
      <c r="CB167" s="1142"/>
      <c r="CC167" s="1142"/>
      <c r="CD167" s="1142"/>
      <c r="CE167" s="1142"/>
      <c r="CG167" s="23"/>
      <c r="CH167" s="23"/>
    </row>
    <row r="168" spans="1:96" ht="39.75" thickBot="1" x14ac:dyDescent="0.3">
      <c r="A168" s="279" t="str">
        <f>CONCATENATE('3 pr-2'!A169)</f>
        <v>3.1.1.</v>
      </c>
      <c r="B168" s="117" t="str">
        <f>CONCATENATE('3 pr-2'!B169)</f>
        <v>Uždavinys:
Sumažinti sąvartynuose šalinamų komunalinių atliekų kiekį</v>
      </c>
      <c r="C168" s="110">
        <f t="shared" ref="C168:AI168" si="436">SUM(C169)</f>
        <v>0</v>
      </c>
      <c r="D168" s="110">
        <f t="shared" si="436"/>
        <v>0</v>
      </c>
      <c r="E168" s="110">
        <f t="shared" si="436"/>
        <v>0</v>
      </c>
      <c r="F168" s="110">
        <f t="shared" si="436"/>
        <v>0</v>
      </c>
      <c r="G168" s="110"/>
      <c r="H168" s="110"/>
      <c r="I168" s="110"/>
      <c r="J168" s="110">
        <f t="shared" si="436"/>
        <v>0</v>
      </c>
      <c r="K168" s="110">
        <f t="shared" si="436"/>
        <v>666385.71</v>
      </c>
      <c r="L168" s="1136">
        <f t="shared" si="436"/>
        <v>0</v>
      </c>
      <c r="M168" s="1136">
        <f t="shared" si="436"/>
        <v>0</v>
      </c>
      <c r="N168" s="1136">
        <f t="shared" si="436"/>
        <v>0</v>
      </c>
      <c r="O168" s="1136">
        <f t="shared" si="436"/>
        <v>0</v>
      </c>
      <c r="P168" s="110">
        <f t="shared" si="436"/>
        <v>607002.71</v>
      </c>
      <c r="Q168" s="110">
        <f t="shared" si="436"/>
        <v>2311645.3182815355</v>
      </c>
      <c r="R168" s="1136"/>
      <c r="S168" s="1136"/>
      <c r="T168" s="1136"/>
      <c r="U168" s="1136"/>
      <c r="V168" s="110">
        <f t="shared" si="436"/>
        <v>1832209.9577696526</v>
      </c>
      <c r="W168" s="110">
        <f t="shared" si="436"/>
        <v>1152656.0217184643</v>
      </c>
      <c r="X168" s="1136"/>
      <c r="Y168" s="1136"/>
      <c r="Z168" s="1136"/>
      <c r="AA168" s="1136"/>
      <c r="AB168" s="110">
        <f t="shared" si="436"/>
        <v>913595.10223034734</v>
      </c>
      <c r="AC168" s="110">
        <f t="shared" si="436"/>
        <v>0</v>
      </c>
      <c r="AD168" s="1136"/>
      <c r="AE168" s="1136"/>
      <c r="AF168" s="1136"/>
      <c r="AG168" s="1136"/>
      <c r="AH168" s="110">
        <f t="shared" si="436"/>
        <v>0</v>
      </c>
      <c r="AI168" s="770">
        <f t="shared" si="436"/>
        <v>4130687.05</v>
      </c>
      <c r="AJ168" s="110"/>
      <c r="AK168" s="110"/>
      <c r="AL168" s="110"/>
      <c r="AM168" s="110"/>
      <c r="AN168" s="110"/>
      <c r="AO168" s="110"/>
      <c r="AP168" s="110"/>
      <c r="AQ168" s="110"/>
      <c r="AR168" s="110"/>
      <c r="AS168" s="110">
        <f>SUM(AS169)</f>
        <v>3352807.77</v>
      </c>
      <c r="AT168" s="500"/>
      <c r="AX168" s="110"/>
      <c r="AY168" s="110"/>
      <c r="AZ168" s="110"/>
      <c r="BA168" s="110"/>
      <c r="BD168" s="110"/>
      <c r="BE168" s="110"/>
      <c r="BF168" s="110"/>
      <c r="BG168" s="110"/>
      <c r="BJ168" s="110"/>
      <c r="BK168" s="110"/>
      <c r="BL168" s="110"/>
      <c r="BM168" s="110"/>
      <c r="BP168" s="110"/>
      <c r="BQ168" s="110"/>
      <c r="BR168" s="110"/>
      <c r="BS168" s="110"/>
      <c r="BV168" s="110"/>
      <c r="BW168" s="110"/>
      <c r="BX168" s="110"/>
      <c r="BY168" s="110"/>
      <c r="CB168" s="110"/>
      <c r="CC168" s="110"/>
      <c r="CD168" s="110"/>
      <c r="CE168" s="110"/>
      <c r="CG168" s="23"/>
      <c r="CH168" s="23"/>
    </row>
    <row r="169" spans="1:96" ht="39.75" thickBot="1" x14ac:dyDescent="0.3">
      <c r="A169" s="278" t="str">
        <f>CONCATENATE('3 pr-2'!A170)</f>
        <v>3.1.1.1</v>
      </c>
      <c r="B169" s="118" t="str">
        <f>CONCATENATE('3 pr-2'!B170)</f>
        <v>Priemonė:
Komunalinių atliekų tvarkymo infrastruktūros plėtra</v>
      </c>
      <c r="C169" s="1079">
        <f t="shared" ref="C169:AS169" si="437">SUM(C170:C171)</f>
        <v>0</v>
      </c>
      <c r="D169" s="1079">
        <f t="shared" si="437"/>
        <v>0</v>
      </c>
      <c r="E169" s="1079">
        <f t="shared" si="437"/>
        <v>0</v>
      </c>
      <c r="F169" s="1079">
        <f t="shared" ref="F169" si="438">SUM(F170:F171)</f>
        <v>0</v>
      </c>
      <c r="G169" s="1079"/>
      <c r="H169" s="1079"/>
      <c r="I169" s="1079"/>
      <c r="J169" s="1079">
        <f t="shared" si="437"/>
        <v>0</v>
      </c>
      <c r="K169" s="1079">
        <f t="shared" si="437"/>
        <v>666385.71</v>
      </c>
      <c r="L169" s="1135">
        <f t="shared" ref="L169:O169" si="439">SUM(L170:L171)</f>
        <v>0</v>
      </c>
      <c r="M169" s="1135">
        <f t="shared" si="439"/>
        <v>0</v>
      </c>
      <c r="N169" s="1135">
        <f t="shared" si="439"/>
        <v>0</v>
      </c>
      <c r="O169" s="1135">
        <f t="shared" si="439"/>
        <v>0</v>
      </c>
      <c r="P169" s="1079">
        <f t="shared" si="437"/>
        <v>607002.71</v>
      </c>
      <c r="Q169" s="1079">
        <f t="shared" si="437"/>
        <v>2311645.3182815355</v>
      </c>
      <c r="R169" s="1135"/>
      <c r="S169" s="1135"/>
      <c r="T169" s="1135"/>
      <c r="U169" s="1135"/>
      <c r="V169" s="1079">
        <f t="shared" si="437"/>
        <v>1832209.9577696526</v>
      </c>
      <c r="W169" s="1079">
        <f t="shared" si="437"/>
        <v>1152656.0217184643</v>
      </c>
      <c r="X169" s="1135"/>
      <c r="Y169" s="1135"/>
      <c r="Z169" s="1135"/>
      <c r="AA169" s="1135"/>
      <c r="AB169" s="1079">
        <f t="shared" si="437"/>
        <v>913595.10223034734</v>
      </c>
      <c r="AC169" s="1079">
        <f t="shared" si="437"/>
        <v>0</v>
      </c>
      <c r="AD169" s="1135"/>
      <c r="AE169" s="1135"/>
      <c r="AF169" s="1135"/>
      <c r="AG169" s="1135"/>
      <c r="AH169" s="1079">
        <f t="shared" si="437"/>
        <v>0</v>
      </c>
      <c r="AI169" s="1080">
        <f t="shared" si="437"/>
        <v>4130687.05</v>
      </c>
      <c r="AJ169" s="1079"/>
      <c r="AK169" s="1079"/>
      <c r="AL169" s="1079"/>
      <c r="AM169" s="1079"/>
      <c r="AN169" s="1079"/>
      <c r="AO169" s="1079"/>
      <c r="AP169" s="1079"/>
      <c r="AQ169" s="1079"/>
      <c r="AR169" s="1079"/>
      <c r="AS169" s="1079">
        <f t="shared" si="437"/>
        <v>3352807.77</v>
      </c>
      <c r="AT169" s="1079"/>
      <c r="AU169" s="1066">
        <v>0</v>
      </c>
      <c r="AV169" s="24">
        <v>0</v>
      </c>
      <c r="AW169" s="24">
        <v>100</v>
      </c>
      <c r="AX169" s="1079">
        <v>100</v>
      </c>
      <c r="AY169" s="1079">
        <v>100</v>
      </c>
      <c r="AZ169" s="1079">
        <v>100</v>
      </c>
      <c r="BA169" s="1079">
        <v>100</v>
      </c>
      <c r="BB169" s="24">
        <v>100</v>
      </c>
      <c r="BC169" s="24">
        <v>0</v>
      </c>
      <c r="BD169" s="1079">
        <v>0</v>
      </c>
      <c r="BE169" s="1079">
        <v>0</v>
      </c>
      <c r="BF169" s="1079">
        <v>0</v>
      </c>
      <c r="BG169" s="1079">
        <v>0</v>
      </c>
      <c r="BH169" s="24">
        <v>0</v>
      </c>
      <c r="BI169" s="24">
        <v>0</v>
      </c>
      <c r="BJ169" s="1079">
        <v>0</v>
      </c>
      <c r="BK169" s="1079">
        <v>0</v>
      </c>
      <c r="BL169" s="1079">
        <v>0</v>
      </c>
      <c r="BM169" s="1079">
        <v>0</v>
      </c>
      <c r="BN169" s="24">
        <v>0</v>
      </c>
      <c r="BO169" s="24">
        <v>0</v>
      </c>
      <c r="BP169" s="1079">
        <v>0</v>
      </c>
      <c r="BQ169" s="1079">
        <v>0</v>
      </c>
      <c r="BR169" s="1079">
        <v>0</v>
      </c>
      <c r="BS169" s="1079">
        <v>0</v>
      </c>
      <c r="BT169" s="24">
        <v>0</v>
      </c>
      <c r="BU169" s="24">
        <v>0</v>
      </c>
      <c r="BV169" s="1079">
        <v>0</v>
      </c>
      <c r="BW169" s="1079">
        <v>0</v>
      </c>
      <c r="BX169" s="1079">
        <v>0</v>
      </c>
      <c r="BY169" s="1079">
        <v>0</v>
      </c>
      <c r="BZ169" s="24">
        <v>0</v>
      </c>
      <c r="CA169" s="24">
        <v>100</v>
      </c>
      <c r="CB169" s="1079">
        <v>100</v>
      </c>
      <c r="CC169" s="1079">
        <v>100</v>
      </c>
      <c r="CD169" s="1079">
        <v>100</v>
      </c>
      <c r="CE169" s="1079">
        <v>100</v>
      </c>
      <c r="CF169" s="359">
        <v>100</v>
      </c>
      <c r="CG169" s="23"/>
      <c r="CH169" s="23"/>
    </row>
    <row r="170" spans="1:96" ht="26.25" thickBot="1" x14ac:dyDescent="0.3">
      <c r="A170" s="58" t="str">
        <f>CONCATENATE('3 pr-2'!A171)</f>
        <v>3.1.1.1.1</v>
      </c>
      <c r="B170" s="21" t="str">
        <f>CONCATENATE('3 pr-2'!D171)</f>
        <v>Komunalinių atliekų tvarkymo sistemos plėtra Alytaus regione</v>
      </c>
      <c r="C170" s="71">
        <v>0</v>
      </c>
      <c r="D170" s="71">
        <v>0</v>
      </c>
      <c r="E170" s="71">
        <v>0</v>
      </c>
      <c r="F170" s="282">
        <v>0</v>
      </c>
      <c r="G170" s="282">
        <v>0</v>
      </c>
      <c r="H170" s="282">
        <v>0</v>
      </c>
      <c r="I170" s="282">
        <v>0</v>
      </c>
      <c r="J170" s="71">
        <v>0</v>
      </c>
      <c r="K170" s="305">
        <f>SUM('ketv. 7 '!L169-'IV-1 su proj'!E170)</f>
        <v>666385.71</v>
      </c>
      <c r="L170" s="288">
        <f>SUM('ketv. 7 '!Q169-'IV-1 su proj'!F170)</f>
        <v>0</v>
      </c>
      <c r="M170" s="288">
        <v>0</v>
      </c>
      <c r="N170" s="288">
        <v>0</v>
      </c>
      <c r="O170" s="288">
        <v>0</v>
      </c>
      <c r="P170" s="305">
        <f>SUM('ketv. 7 '!AK169-'IV-1 su proj'!J170)</f>
        <v>607002.71</v>
      </c>
      <c r="Q170" s="305">
        <f>IF(YEAR($CG170)=2017,($BI$4-$BC$4)*$AJ170/($CH170-$BC$4))</f>
        <v>2311645.3182815355</v>
      </c>
      <c r="R170" s="288">
        <f>IF(YEAR($CG170)=2017,($BI$4-$BC$4)*$AL170/($CH170-$BC$4))</f>
        <v>519060.21425959765</v>
      </c>
      <c r="S170" s="286">
        <v>0</v>
      </c>
      <c r="T170" s="286">
        <v>0</v>
      </c>
      <c r="U170" s="286">
        <v>0</v>
      </c>
      <c r="V170" s="305">
        <f>IF(YEAR($CG170)=2017,($BI$4-$BC$4)*$AT170/($CH170-$BC$4))</f>
        <v>1832209.9577696526</v>
      </c>
      <c r="W170" s="361">
        <f>IF(YEAR($CH170)=2019,($CH170-$BI$4)*$AJ170/($CH170-$BC$4),0)</f>
        <v>1152656.0217184643</v>
      </c>
      <c r="X170" s="288">
        <f>IF(YEAR($CH170)=2019,($CH170-$BI$4)*$AL170/($CH170-$BC$4),0)</f>
        <v>258819.06574040209</v>
      </c>
      <c r="Y170" s="286">
        <v>0</v>
      </c>
      <c r="Z170" s="286">
        <v>0</v>
      </c>
      <c r="AA170" s="286">
        <v>0</v>
      </c>
      <c r="AB170" s="305">
        <f>IF(YEAR($CH170)=2019,($CH170-$BI$4)*$AT170/($CH170-$BC$4),0)</f>
        <v>913595.10223034734</v>
      </c>
      <c r="AC170" s="71">
        <f>SUM(AI170*BU170/CA170)</f>
        <v>0</v>
      </c>
      <c r="AD170" s="287">
        <f>SUM(AK170*BV170/CB170)</f>
        <v>0</v>
      </c>
      <c r="AE170" s="287">
        <f>SUM(AM170*BW170/CC170)</f>
        <v>0</v>
      </c>
      <c r="AF170" s="287">
        <f>SUM(AO170*BX170/CD170)</f>
        <v>0</v>
      </c>
      <c r="AG170" s="287">
        <f>SUM(AQ170*BY170/CE170)</f>
        <v>0</v>
      </c>
      <c r="AH170" s="71">
        <f>SUM(AS170*BZ170/CF170)</f>
        <v>0</v>
      </c>
      <c r="AI170" s="768">
        <f>SUM('3 pr-2'!L171)</f>
        <v>4130687.05</v>
      </c>
      <c r="AJ170" s="1139">
        <f>SUM(AI170-K170)</f>
        <v>3464301.34</v>
      </c>
      <c r="AK170" s="282">
        <f>SUM('3 pr-2'!O171)</f>
        <v>777879.2799999998</v>
      </c>
      <c r="AL170" s="1139">
        <f>SUM(AK170-F170-L170)</f>
        <v>777879.2799999998</v>
      </c>
      <c r="AM170" s="282">
        <f>SUM('3 pr-2'!R171)</f>
        <v>0</v>
      </c>
      <c r="AN170" s="1139"/>
      <c r="AO170" s="282">
        <f>SUM('3 pr-2'!U171)</f>
        <v>0</v>
      </c>
      <c r="AP170" s="1139"/>
      <c r="AQ170" s="282">
        <f>SUM('3 pr-2'!X171)</f>
        <v>0</v>
      </c>
      <c r="AR170" s="1139"/>
      <c r="AS170" s="109">
        <f>SUM('3 pr-2'!AA171)</f>
        <v>3352807.77</v>
      </c>
      <c r="AT170" s="1139">
        <f t="shared" ref="AT170" si="440">SUM(AS170-J170-P170)</f>
        <v>2745805.06</v>
      </c>
      <c r="AU170" s="1066">
        <v>0</v>
      </c>
      <c r="AV170" s="24">
        <v>0</v>
      </c>
      <c r="AW170" s="24">
        <v>0</v>
      </c>
      <c r="AX170" s="283">
        <v>0</v>
      </c>
      <c r="AY170" s="283">
        <v>0</v>
      </c>
      <c r="AZ170" s="283">
        <v>0</v>
      </c>
      <c r="BA170" s="283">
        <v>0</v>
      </c>
      <c r="BB170" s="24">
        <v>0</v>
      </c>
      <c r="BC170" s="24">
        <v>0</v>
      </c>
      <c r="BD170" s="283">
        <v>0</v>
      </c>
      <c r="BE170" s="283">
        <v>0</v>
      </c>
      <c r="BF170" s="283">
        <v>0</v>
      </c>
      <c r="BG170" s="283">
        <v>0</v>
      </c>
      <c r="BH170" s="24">
        <v>0</v>
      </c>
      <c r="BI170" s="24">
        <v>50</v>
      </c>
      <c r="BJ170" s="283">
        <v>50</v>
      </c>
      <c r="BK170" s="283">
        <v>50</v>
      </c>
      <c r="BL170" s="283">
        <v>50</v>
      </c>
      <c r="BM170" s="283">
        <v>50</v>
      </c>
      <c r="BN170" s="24">
        <v>50</v>
      </c>
      <c r="BO170" s="24">
        <v>50</v>
      </c>
      <c r="BP170" s="283">
        <v>50</v>
      </c>
      <c r="BQ170" s="283">
        <v>50</v>
      </c>
      <c r="BR170" s="283">
        <v>50</v>
      </c>
      <c r="BS170" s="283">
        <v>50</v>
      </c>
      <c r="BT170" s="24">
        <v>50</v>
      </c>
      <c r="BU170" s="24">
        <v>0</v>
      </c>
      <c r="BV170" s="283">
        <v>0</v>
      </c>
      <c r="BW170" s="283">
        <v>0</v>
      </c>
      <c r="BX170" s="283">
        <v>0</v>
      </c>
      <c r="BY170" s="283">
        <v>0</v>
      </c>
      <c r="BZ170" s="24">
        <v>0</v>
      </c>
      <c r="CA170" s="24">
        <v>100</v>
      </c>
      <c r="CB170" s="283">
        <v>100</v>
      </c>
      <c r="CC170" s="283">
        <v>100</v>
      </c>
      <c r="CD170" s="283">
        <v>100</v>
      </c>
      <c r="CE170" s="283">
        <v>100</v>
      </c>
      <c r="CF170" s="359">
        <v>100</v>
      </c>
      <c r="CG170" s="1068">
        <v>42979</v>
      </c>
      <c r="CH170" s="1068">
        <v>43647</v>
      </c>
      <c r="CI170" s="1138">
        <f>SUM(J170+P170+V170+AB170+AH170)</f>
        <v>3352807.77</v>
      </c>
      <c r="CJ170" s="176">
        <f>SUM(AI170-(K170+Q170+W170+AC170))</f>
        <v>0</v>
      </c>
      <c r="CK170" s="1169">
        <f>SUM(AJ170/(CH170-$K$3))</f>
        <v>6333.2748446069463</v>
      </c>
      <c r="CL170" s="1169">
        <f>SUM(AL170/(CH170-$K$3))</f>
        <v>1422.0827787934184</v>
      </c>
      <c r="CM170" s="1169">
        <f>SUM(AN170/(CH170-$K$3))</f>
        <v>0</v>
      </c>
      <c r="CN170" s="1171">
        <f>SUM(AT170/(CH170-$K$3))</f>
        <v>5019.7533089579529</v>
      </c>
    </row>
    <row r="171" spans="1:96" ht="16.5" thickBot="1" x14ac:dyDescent="0.3">
      <c r="A171" s="58"/>
      <c r="B171" s="21"/>
      <c r="C171" s="71">
        <f>SUM(AI171*AU171/CA171)</f>
        <v>0</v>
      </c>
      <c r="D171" s="71">
        <f>SUM(AS171*AV171/CF171)</f>
        <v>0</v>
      </c>
      <c r="E171" s="71">
        <f>SUM(AI171*AW171/CA171)</f>
        <v>0</v>
      </c>
      <c r="F171" s="283">
        <f>SUM(AK171*AX171/CB171)</f>
        <v>0</v>
      </c>
      <c r="G171" s="283"/>
      <c r="H171" s="283"/>
      <c r="I171" s="283"/>
      <c r="J171" s="71">
        <f>SUM(AS171*BB171/CF171)</f>
        <v>0</v>
      </c>
      <c r="K171" s="71">
        <f>SUM(AI171*BC171/CA171)</f>
        <v>0</v>
      </c>
      <c r="L171" s="287">
        <f>SUM(AK171*BD171/CB171)</f>
        <v>0</v>
      </c>
      <c r="M171" s="287">
        <f>SUM(AM171*BE171/CC171)</f>
        <v>0</v>
      </c>
      <c r="N171" s="287">
        <f>SUM(AO171*BF171/CD171)</f>
        <v>0</v>
      </c>
      <c r="O171" s="287">
        <f>SUM(AQ171*BG171/CE171)</f>
        <v>0</v>
      </c>
      <c r="P171" s="71">
        <f>SUM(AS171*BH171/CF171)</f>
        <v>0</v>
      </c>
      <c r="Q171" s="71">
        <f>SUM(AI171*BI171/CA171)</f>
        <v>0</v>
      </c>
      <c r="R171" s="287"/>
      <c r="S171" s="287"/>
      <c r="T171" s="287"/>
      <c r="U171" s="287"/>
      <c r="V171" s="71">
        <f>SUM(AS171*BN171/CF171)</f>
        <v>0</v>
      </c>
      <c r="W171" s="71">
        <f>SUM(AI171*BO171/CA171)</f>
        <v>0</v>
      </c>
      <c r="X171" s="287"/>
      <c r="Y171" s="287"/>
      <c r="Z171" s="287"/>
      <c r="AA171" s="287"/>
      <c r="AB171" s="71">
        <f>SUM(AS171*BT171/CF171)</f>
        <v>0</v>
      </c>
      <c r="AC171" s="71">
        <f>SUM(AI171*BU171/CA171)</f>
        <v>0</v>
      </c>
      <c r="AD171" s="287"/>
      <c r="AE171" s="287"/>
      <c r="AF171" s="287"/>
      <c r="AG171" s="287"/>
      <c r="AH171" s="71">
        <f>SUM(AS171*BZ171/CF171)</f>
        <v>0</v>
      </c>
      <c r="AI171" s="768">
        <v>0</v>
      </c>
      <c r="AJ171" s="84"/>
      <c r="AK171" s="283"/>
      <c r="AL171" s="283"/>
      <c r="AM171" s="283"/>
      <c r="AN171" s="283"/>
      <c r="AO171" s="283"/>
      <c r="AP171" s="283"/>
      <c r="AQ171" s="283"/>
      <c r="AR171" s="1114"/>
      <c r="AS171" s="109">
        <v>0</v>
      </c>
      <c r="AT171" s="499"/>
      <c r="AU171" s="1066">
        <v>0</v>
      </c>
      <c r="AV171" s="24">
        <v>0</v>
      </c>
      <c r="AW171" s="24">
        <v>100</v>
      </c>
      <c r="AX171" s="283">
        <v>100</v>
      </c>
      <c r="AY171" s="283">
        <v>100</v>
      </c>
      <c r="AZ171" s="283">
        <v>100</v>
      </c>
      <c r="BA171" s="283">
        <v>100</v>
      </c>
      <c r="BB171" s="24">
        <v>100</v>
      </c>
      <c r="BC171" s="24">
        <v>0</v>
      </c>
      <c r="BD171" s="283">
        <v>0</v>
      </c>
      <c r="BE171" s="283">
        <v>0</v>
      </c>
      <c r="BF171" s="283">
        <v>0</v>
      </c>
      <c r="BG171" s="283">
        <v>0</v>
      </c>
      <c r="BH171" s="24">
        <v>0</v>
      </c>
      <c r="BI171" s="24">
        <v>0</v>
      </c>
      <c r="BJ171" s="283">
        <v>0</v>
      </c>
      <c r="BK171" s="283">
        <v>0</v>
      </c>
      <c r="BL171" s="283">
        <v>0</v>
      </c>
      <c r="BM171" s="283">
        <v>0</v>
      </c>
      <c r="BN171" s="24">
        <v>0</v>
      </c>
      <c r="BO171" s="24">
        <v>0</v>
      </c>
      <c r="BP171" s="283">
        <v>0</v>
      </c>
      <c r="BQ171" s="283">
        <v>0</v>
      </c>
      <c r="BR171" s="283">
        <v>0</v>
      </c>
      <c r="BS171" s="283">
        <v>0</v>
      </c>
      <c r="BT171" s="24">
        <v>0</v>
      </c>
      <c r="BU171" s="24">
        <v>0</v>
      </c>
      <c r="BV171" s="283">
        <v>0</v>
      </c>
      <c r="BW171" s="283">
        <v>0</v>
      </c>
      <c r="BX171" s="283">
        <v>0</v>
      </c>
      <c r="BY171" s="283">
        <v>0</v>
      </c>
      <c r="BZ171" s="24">
        <v>0</v>
      </c>
      <c r="CA171" s="24">
        <v>100</v>
      </c>
      <c r="CB171" s="283">
        <v>100</v>
      </c>
      <c r="CC171" s="283">
        <v>100</v>
      </c>
      <c r="CD171" s="283">
        <v>100</v>
      </c>
      <c r="CE171" s="283">
        <v>100</v>
      </c>
      <c r="CF171" s="359">
        <v>100</v>
      </c>
      <c r="CG171" s="23"/>
      <c r="CH171" s="23"/>
    </row>
    <row r="172" spans="1:96" ht="39.75" thickBot="1" x14ac:dyDescent="0.3">
      <c r="A172" s="279" t="str">
        <f>CONCATENATE('3 pr-2'!A172)</f>
        <v>3.1.2.</v>
      </c>
      <c r="B172" s="117" t="str">
        <f>CONCATENATE('3 pr-2'!B172)</f>
        <v>Uždavinys:
Kraštovaizdžio apsauga, planavimas ir tvarkymas</v>
      </c>
      <c r="C172" s="110">
        <f t="shared" ref="C172:AI172" si="441">SUM(C173)</f>
        <v>0</v>
      </c>
      <c r="D172" s="110">
        <f t="shared" si="441"/>
        <v>0</v>
      </c>
      <c r="E172" s="110">
        <f t="shared" si="441"/>
        <v>0</v>
      </c>
      <c r="F172" s="110">
        <f t="shared" si="441"/>
        <v>0</v>
      </c>
      <c r="G172" s="110">
        <f t="shared" si="441"/>
        <v>0</v>
      </c>
      <c r="H172" s="110">
        <f t="shared" si="441"/>
        <v>0</v>
      </c>
      <c r="I172" s="110">
        <f t="shared" si="441"/>
        <v>0</v>
      </c>
      <c r="J172" s="110">
        <f t="shared" si="441"/>
        <v>0</v>
      </c>
      <c r="K172" s="110">
        <f t="shared" si="441"/>
        <v>243134.93</v>
      </c>
      <c r="L172" s="110">
        <f t="shared" si="441"/>
        <v>3196.9</v>
      </c>
      <c r="M172" s="110">
        <f t="shared" si="441"/>
        <v>0</v>
      </c>
      <c r="N172" s="110">
        <f t="shared" si="441"/>
        <v>0</v>
      </c>
      <c r="O172" s="110">
        <f t="shared" si="441"/>
        <v>0</v>
      </c>
      <c r="P172" s="110">
        <f t="shared" si="441"/>
        <v>239938.03</v>
      </c>
      <c r="Q172" s="110">
        <f t="shared" si="441"/>
        <v>735597.90999999992</v>
      </c>
      <c r="R172" s="110">
        <f t="shared" si="441"/>
        <v>143613.06</v>
      </c>
      <c r="S172" s="110">
        <f t="shared" si="441"/>
        <v>0</v>
      </c>
      <c r="T172" s="110">
        <f t="shared" si="441"/>
        <v>0</v>
      </c>
      <c r="U172" s="110">
        <f t="shared" si="441"/>
        <v>0</v>
      </c>
      <c r="V172" s="110">
        <f t="shared" si="441"/>
        <v>591984.85</v>
      </c>
      <c r="W172" s="110">
        <f t="shared" si="441"/>
        <v>935062.53940217546</v>
      </c>
      <c r="X172" s="110">
        <f t="shared" si="441"/>
        <v>140259.46812966937</v>
      </c>
      <c r="Y172" s="110">
        <f t="shared" si="441"/>
        <v>0</v>
      </c>
      <c r="Z172" s="110">
        <f t="shared" si="441"/>
        <v>0</v>
      </c>
      <c r="AA172" s="110">
        <f t="shared" si="441"/>
        <v>0</v>
      </c>
      <c r="AB172" s="110">
        <f t="shared" si="441"/>
        <v>794803.07127250615</v>
      </c>
      <c r="AC172" s="110">
        <f t="shared" si="441"/>
        <v>594002.42177429504</v>
      </c>
      <c r="AD172" s="110">
        <f t="shared" si="441"/>
        <v>89100.623046801207</v>
      </c>
      <c r="AE172" s="110">
        <f t="shared" si="441"/>
        <v>0</v>
      </c>
      <c r="AF172" s="110">
        <f t="shared" si="441"/>
        <v>0</v>
      </c>
      <c r="AG172" s="110">
        <f t="shared" si="441"/>
        <v>0</v>
      </c>
      <c r="AH172" s="110">
        <f t="shared" si="441"/>
        <v>504901.79872749391</v>
      </c>
      <c r="AI172" s="770">
        <f t="shared" si="441"/>
        <v>2507797.8011764702</v>
      </c>
      <c r="AJ172" s="110"/>
      <c r="AK172" s="110"/>
      <c r="AL172" s="110"/>
      <c r="AM172" s="110"/>
      <c r="AN172" s="110"/>
      <c r="AO172" s="110"/>
      <c r="AP172" s="110"/>
      <c r="AQ172" s="110"/>
      <c r="AR172" s="110"/>
      <c r="AS172" s="110">
        <f>SUM(AS173)</f>
        <v>2131627.75</v>
      </c>
      <c r="AT172" s="1145"/>
      <c r="AU172" s="1066">
        <v>0</v>
      </c>
      <c r="AV172" s="24">
        <v>0</v>
      </c>
      <c r="AW172" s="24">
        <v>0</v>
      </c>
      <c r="AX172" s="110"/>
      <c r="AY172" s="110"/>
      <c r="AZ172" s="110"/>
      <c r="BA172" s="110"/>
      <c r="BB172" s="24">
        <v>0</v>
      </c>
      <c r="BC172" s="24">
        <v>0</v>
      </c>
      <c r="BD172" s="110"/>
      <c r="BE172" s="110"/>
      <c r="BF172" s="110"/>
      <c r="BG172" s="110"/>
      <c r="BH172" s="24">
        <v>0</v>
      </c>
      <c r="BI172" s="24">
        <v>25</v>
      </c>
      <c r="BJ172" s="110"/>
      <c r="BK172" s="110"/>
      <c r="BL172" s="110"/>
      <c r="BM172" s="110"/>
      <c r="BN172" s="24">
        <v>25</v>
      </c>
      <c r="BO172" s="24">
        <v>45</v>
      </c>
      <c r="BP172" s="110"/>
      <c r="BQ172" s="110"/>
      <c r="BR172" s="110"/>
      <c r="BS172" s="110"/>
      <c r="BT172" s="24">
        <v>45</v>
      </c>
      <c r="BU172" s="24">
        <v>30</v>
      </c>
      <c r="BV172" s="110"/>
      <c r="BW172" s="110"/>
      <c r="BX172" s="110"/>
      <c r="BY172" s="110"/>
      <c r="BZ172" s="24">
        <v>30</v>
      </c>
      <c r="CA172" s="24">
        <v>100</v>
      </c>
      <c r="CB172" s="110"/>
      <c r="CC172" s="110"/>
      <c r="CD172" s="110"/>
      <c r="CE172" s="110"/>
      <c r="CF172" s="359">
        <v>100</v>
      </c>
      <c r="CG172" s="1069"/>
      <c r="CH172" s="23"/>
    </row>
    <row r="173" spans="1:96" ht="27" thickBot="1" x14ac:dyDescent="0.3">
      <c r="A173" s="278" t="str">
        <f>CONCATENATE('3 pr-2'!A173)</f>
        <v>3.1.2.1</v>
      </c>
      <c r="B173" s="118" t="str">
        <f>CONCATENATE('3 pr-2'!B173)</f>
        <v>Priemonė:
Kraštovaizdžio apsauga/plėtra</v>
      </c>
      <c r="C173" s="1079">
        <f t="shared" ref="C173:AH173" si="442">SUM(C174:C182)</f>
        <v>0</v>
      </c>
      <c r="D173" s="1079">
        <f t="shared" si="442"/>
        <v>0</v>
      </c>
      <c r="E173" s="1079">
        <f t="shared" si="442"/>
        <v>0</v>
      </c>
      <c r="F173" s="1079">
        <f t="shared" si="442"/>
        <v>0</v>
      </c>
      <c r="G173" s="1079">
        <f t="shared" si="442"/>
        <v>0</v>
      </c>
      <c r="H173" s="1079">
        <f t="shared" si="442"/>
        <v>0</v>
      </c>
      <c r="I173" s="1079">
        <f t="shared" si="442"/>
        <v>0</v>
      </c>
      <c r="J173" s="1079">
        <f t="shared" si="442"/>
        <v>0</v>
      </c>
      <c r="K173" s="1079">
        <f t="shared" si="442"/>
        <v>243134.93</v>
      </c>
      <c r="L173" s="1079">
        <f t="shared" si="442"/>
        <v>3196.9</v>
      </c>
      <c r="M173" s="1079">
        <f t="shared" si="442"/>
        <v>0</v>
      </c>
      <c r="N173" s="1079">
        <f t="shared" si="442"/>
        <v>0</v>
      </c>
      <c r="O173" s="1079">
        <f t="shared" si="442"/>
        <v>0</v>
      </c>
      <c r="P173" s="1079">
        <f t="shared" si="442"/>
        <v>239938.03</v>
      </c>
      <c r="Q173" s="1079">
        <f t="shared" si="442"/>
        <v>735597.90999999992</v>
      </c>
      <c r="R173" s="1079">
        <f t="shared" si="442"/>
        <v>143613.06</v>
      </c>
      <c r="S173" s="1079">
        <f t="shared" si="442"/>
        <v>0</v>
      </c>
      <c r="T173" s="1079">
        <f t="shared" si="442"/>
        <v>0</v>
      </c>
      <c r="U173" s="1079">
        <f t="shared" si="442"/>
        <v>0</v>
      </c>
      <c r="V173" s="1079">
        <f t="shared" si="442"/>
        <v>591984.85</v>
      </c>
      <c r="W173" s="1079">
        <f t="shared" si="442"/>
        <v>935062.53940217546</v>
      </c>
      <c r="X173" s="1079">
        <f t="shared" si="442"/>
        <v>140259.46812966937</v>
      </c>
      <c r="Y173" s="1079">
        <f t="shared" si="442"/>
        <v>0</v>
      </c>
      <c r="Z173" s="1079">
        <f t="shared" si="442"/>
        <v>0</v>
      </c>
      <c r="AA173" s="1079">
        <f t="shared" si="442"/>
        <v>0</v>
      </c>
      <c r="AB173" s="1079">
        <f t="shared" si="442"/>
        <v>794803.07127250615</v>
      </c>
      <c r="AC173" s="1079">
        <f t="shared" si="442"/>
        <v>594002.42177429504</v>
      </c>
      <c r="AD173" s="1079">
        <f t="shared" si="442"/>
        <v>89100.623046801207</v>
      </c>
      <c r="AE173" s="1079">
        <f t="shared" si="442"/>
        <v>0</v>
      </c>
      <c r="AF173" s="1079">
        <f t="shared" si="442"/>
        <v>0</v>
      </c>
      <c r="AG173" s="1079">
        <f t="shared" si="442"/>
        <v>0</v>
      </c>
      <c r="AH173" s="1079">
        <f t="shared" si="442"/>
        <v>504901.79872749391</v>
      </c>
      <c r="AI173" s="1080">
        <f>SUM(AI174:AI182)</f>
        <v>2507797.8011764702</v>
      </c>
      <c r="AJ173" s="1079"/>
      <c r="AK173" s="1079"/>
      <c r="AL173" s="1079"/>
      <c r="AM173" s="1079"/>
      <c r="AN173" s="1079"/>
      <c r="AO173" s="1079"/>
      <c r="AP173" s="1079"/>
      <c r="AQ173" s="1079"/>
      <c r="AR173" s="1079"/>
      <c r="AS173" s="1079">
        <f>SUM(AS174:AS182)</f>
        <v>2131627.75</v>
      </c>
      <c r="AT173" s="1079"/>
      <c r="AU173" s="1146"/>
      <c r="AV173" s="1146"/>
      <c r="AW173" s="1146"/>
      <c r="AX173" s="1124"/>
      <c r="AY173" s="1124"/>
      <c r="AZ173" s="1124"/>
      <c r="BA173" s="1124"/>
      <c r="BB173" s="1147"/>
      <c r="BC173" s="1147"/>
      <c r="BD173" s="1124"/>
      <c r="BE173" s="1124"/>
      <c r="BF173" s="1124"/>
      <c r="BG173" s="1124"/>
      <c r="BH173" s="1147"/>
      <c r="BI173" s="1147"/>
      <c r="BJ173" s="1079"/>
      <c r="BK173" s="1079"/>
      <c r="BL173" s="1079"/>
      <c r="BM173" s="1079"/>
      <c r="BN173" s="1147"/>
      <c r="BO173" s="1147"/>
      <c r="BP173" s="1079"/>
      <c r="BQ173" s="1079"/>
      <c r="BR173" s="1079"/>
      <c r="BS173" s="1079"/>
      <c r="BT173" s="1147"/>
      <c r="BU173" s="1147"/>
      <c r="BV173" s="1079"/>
      <c r="BW173" s="1079"/>
      <c r="BX173" s="1079"/>
      <c r="BY173" s="1079"/>
      <c r="BZ173" s="1147"/>
      <c r="CA173" s="1147"/>
      <c r="CB173" s="1079">
        <v>100</v>
      </c>
      <c r="CC173" s="1079">
        <v>100</v>
      </c>
      <c r="CD173" s="1079">
        <v>100</v>
      </c>
      <c r="CE173" s="1079">
        <v>100</v>
      </c>
      <c r="CF173" s="1148">
        <v>100</v>
      </c>
      <c r="CG173" s="1069"/>
      <c r="CH173" s="23"/>
      <c r="CK173" s="25" t="s">
        <v>1613</v>
      </c>
      <c r="CL173" s="25" t="s">
        <v>1417</v>
      </c>
      <c r="CM173" s="25" t="s">
        <v>1418</v>
      </c>
      <c r="CN173" s="25" t="s">
        <v>1460</v>
      </c>
    </row>
    <row r="174" spans="1:96" ht="45.75" customHeight="1" thickBot="1" x14ac:dyDescent="0.3">
      <c r="A174" s="58" t="str">
        <f>CONCATENATE('3 pr-2'!A174)</f>
        <v>3.1.2.1.1</v>
      </c>
      <c r="B174" s="22" t="str">
        <f>CONCATENATE('3 pr-2'!D174)</f>
        <v>Kraštovaizdžio formavimas ir tvarkymas Varėnos r. savivaldybėje (I etapas)</v>
      </c>
      <c r="C174" s="71">
        <v>0</v>
      </c>
      <c r="D174" s="71">
        <v>0</v>
      </c>
      <c r="E174" s="71">
        <v>0</v>
      </c>
      <c r="F174" s="282">
        <v>0</v>
      </c>
      <c r="G174" s="282">
        <v>0</v>
      </c>
      <c r="H174" s="282">
        <v>0</v>
      </c>
      <c r="I174" s="282">
        <v>0</v>
      </c>
      <c r="J174" s="71">
        <v>0</v>
      </c>
      <c r="K174" s="305">
        <f>SUM('ketv. 7 '!M172-'IV-1 su proj'!E174)</f>
        <v>89683.650000000009</v>
      </c>
      <c r="L174" s="288">
        <f>SUM('ketv. 7 '!R172-'IV-1 su proj'!F174)</f>
        <v>1613.33</v>
      </c>
      <c r="M174" s="288">
        <v>0</v>
      </c>
      <c r="N174" s="288">
        <v>0</v>
      </c>
      <c r="O174" s="288">
        <v>0</v>
      </c>
      <c r="P174" s="305">
        <f>SUM('ketv. 7 '!AL172-'IV-1 su proj'!J174)</f>
        <v>88070.32</v>
      </c>
      <c r="Q174" s="305">
        <f>SUM(R174:V174)</f>
        <v>219838.35</v>
      </c>
      <c r="R174" s="288">
        <f>SUM(V174*AL174/AT174)</f>
        <v>44814.97</v>
      </c>
      <c r="S174" s="286">
        <v>0</v>
      </c>
      <c r="T174" s="286">
        <v>0</v>
      </c>
      <c r="U174" s="286">
        <v>0</v>
      </c>
      <c r="V174" s="305">
        <f>IF(YEAR($CG174)=2017,($BI$4-$BC$4)*$AT174/($CH174-$BC$4))</f>
        <v>175023.38</v>
      </c>
      <c r="W174" s="305">
        <f>SUM(X174:AB174)</f>
        <v>0</v>
      </c>
      <c r="X174" s="288">
        <f>SUM(AB174*AL174/AT174)</f>
        <v>0</v>
      </c>
      <c r="Y174" s="286">
        <v>0</v>
      </c>
      <c r="Z174" s="286">
        <v>0</v>
      </c>
      <c r="AA174" s="286">
        <v>0</v>
      </c>
      <c r="AB174" s="305">
        <f>IF(YEAR($CH174)=2019,($CH174-$BI$4)*$AT174/($CH174-$BC$4),0)</f>
        <v>0</v>
      </c>
      <c r="AC174" s="85">
        <v>0</v>
      </c>
      <c r="AD174" s="282">
        <v>0</v>
      </c>
      <c r="AE174" s="282">
        <v>0</v>
      </c>
      <c r="AF174" s="282">
        <v>0</v>
      </c>
      <c r="AG174" s="282">
        <v>0</v>
      </c>
      <c r="AH174" s="85">
        <v>0</v>
      </c>
      <c r="AI174" s="767">
        <f>SUM('3 pr-2'!L174)</f>
        <v>309522</v>
      </c>
      <c r="AJ174" s="1172">
        <f>SUM(AI174-K174)</f>
        <v>219838.34999999998</v>
      </c>
      <c r="AK174" s="282">
        <f>SUM('3 pr-2'!O174)</f>
        <v>46428.3</v>
      </c>
      <c r="AL174" s="1172">
        <f t="shared" ref="AL174:AL182" si="443">SUM(AK174-F174-L174)</f>
        <v>44814.97</v>
      </c>
      <c r="AM174" s="282">
        <f>SUM('3 pr-2'!R174)</f>
        <v>0</v>
      </c>
      <c r="AN174" s="1139"/>
      <c r="AO174" s="282">
        <f>SUM('3 pr-2'!U174)</f>
        <v>0</v>
      </c>
      <c r="AP174" s="1139"/>
      <c r="AQ174" s="282">
        <f>SUM('3 pr-2'!X174)</f>
        <v>0</v>
      </c>
      <c r="AR174" s="1139"/>
      <c r="AS174" s="1149">
        <f>SUM('3 pr-2'!AA174)</f>
        <v>263093.7</v>
      </c>
      <c r="AT174" s="1172">
        <f t="shared" ref="AT174:AT182" si="444">SUM(AS174-J174-P174)</f>
        <v>175023.38</v>
      </c>
      <c r="AU174" s="1071"/>
      <c r="AV174" s="1071"/>
      <c r="AW174" s="1071"/>
      <c r="AX174" s="1150"/>
      <c r="AY174" s="1150"/>
      <c r="AZ174" s="1150"/>
      <c r="BA174" s="1150"/>
      <c r="BB174" s="1071"/>
      <c r="BC174" s="1093"/>
      <c r="BD174" s="1150"/>
      <c r="BE174" s="1150"/>
      <c r="BF174" s="1150"/>
      <c r="BG174" s="1150"/>
      <c r="BH174" s="1093"/>
      <c r="BI174" s="1093"/>
      <c r="BJ174" s="1150"/>
      <c r="BK174" s="1150"/>
      <c r="BL174" s="1150"/>
      <c r="BM174" s="1150"/>
      <c r="BN174" s="1093"/>
      <c r="BO174" s="1093"/>
      <c r="BP174" s="1150"/>
      <c r="BQ174" s="1150"/>
      <c r="BR174" s="1150"/>
      <c r="BS174" s="1150"/>
      <c r="BT174" s="1093"/>
      <c r="BU174" s="1093"/>
      <c r="BV174" s="1150"/>
      <c r="BW174" s="1150"/>
      <c r="BX174" s="1150"/>
      <c r="BY174" s="1150"/>
      <c r="BZ174" s="1093"/>
      <c r="CA174" s="24"/>
      <c r="CB174" s="1150"/>
      <c r="CC174" s="1150"/>
      <c r="CD174" s="1150"/>
      <c r="CE174" s="1150"/>
      <c r="CF174" s="359"/>
      <c r="CG174" s="1112">
        <f>SUM('3 pr-2'!AI174)</f>
        <v>42901</v>
      </c>
      <c r="CH174" s="1112">
        <f>SUM('3 pr-2'!AK174)</f>
        <v>43465</v>
      </c>
      <c r="CI174" s="1138">
        <f t="shared" ref="CI174:CI182" si="445">SUM(J174+P174+V174+AB174+AH174)</f>
        <v>263093.7</v>
      </c>
      <c r="CK174" s="1169">
        <f>SUM(AJ174/(CH174-$K$3))</f>
        <v>602.29684931506847</v>
      </c>
      <c r="CL174" s="1169">
        <f>SUM(AL174/(CH174-$K$3))</f>
        <v>122.78073972602741</v>
      </c>
      <c r="CM174" s="1169">
        <f>SUM(AN174/(CH174-$K$3))</f>
        <v>0</v>
      </c>
      <c r="CN174" s="1171">
        <f>SUM(AT174/(CH174-$K$3))</f>
        <v>479.51610958904109</v>
      </c>
      <c r="CQ174" s="1069">
        <f>SUM(E174+K174+Q174+W174+AC174)</f>
        <v>309522</v>
      </c>
      <c r="CR174" s="1070">
        <f t="shared" ref="CR174:CR180" si="446">SUM(J174+P174+V174+AB174+AH174)</f>
        <v>263093.7</v>
      </c>
    </row>
    <row r="175" spans="1:96" ht="38.25" customHeight="1" thickBot="1" x14ac:dyDescent="0.3">
      <c r="A175" s="58" t="str">
        <f>CONCATENATE('3 pr-2'!A175)</f>
        <v>3.1.2.1.2</v>
      </c>
      <c r="B175" s="22" t="str">
        <f>CONCATENATE('3 pr-2'!D175)</f>
        <v>Kraštovaizdžio formavimas ir tvarkymas Varėnos r. savivaldybėje (II etapas)</v>
      </c>
      <c r="C175" s="71">
        <f>SUM(AI175*AU175/CA175)</f>
        <v>0</v>
      </c>
      <c r="D175" s="71">
        <f t="shared" ref="D175" si="447">SUM(AS175*AV175/CF175)</f>
        <v>0</v>
      </c>
      <c r="E175" s="71">
        <f>SUM(AI175*AW175/CA175)</f>
        <v>0</v>
      </c>
      <c r="F175" s="282">
        <v>0</v>
      </c>
      <c r="G175" s="282">
        <v>0</v>
      </c>
      <c r="H175" s="282">
        <v>0</v>
      </c>
      <c r="I175" s="282">
        <v>0</v>
      </c>
      <c r="J175" s="71">
        <v>0</v>
      </c>
      <c r="K175" s="305">
        <f>SUM('ketv. 7 '!M173-'IV-1 su proj'!E175)</f>
        <v>0</v>
      </c>
      <c r="L175" s="288">
        <f>SUM('ketv. 7 '!R173-'IV-1 su proj'!F175)</f>
        <v>0</v>
      </c>
      <c r="M175" s="288">
        <v>0</v>
      </c>
      <c r="N175" s="288">
        <v>0</v>
      </c>
      <c r="O175" s="288">
        <v>0</v>
      </c>
      <c r="P175" s="305">
        <f>SUM('ketv. 7 '!AL173-'IV-1 su proj'!J175)</f>
        <v>0</v>
      </c>
      <c r="Q175" s="305">
        <v>0</v>
      </c>
      <c r="R175" s="288">
        <v>0</v>
      </c>
      <c r="S175" s="286">
        <v>0</v>
      </c>
      <c r="T175" s="286">
        <v>0</v>
      </c>
      <c r="U175" s="286">
        <v>0</v>
      </c>
      <c r="V175" s="305">
        <v>0</v>
      </c>
      <c r="W175" s="361">
        <f>SUM($W$3-$CG$175)*CK175</f>
        <v>139058.41697080291</v>
      </c>
      <c r="X175" s="288">
        <f>SUM($W$3-$CG$175)*CL175</f>
        <v>20858.850364963502</v>
      </c>
      <c r="Y175" s="286">
        <f>SUM($W$3-$CG$175)*CM175</f>
        <v>0</v>
      </c>
      <c r="Z175" s="286">
        <v>0</v>
      </c>
      <c r="AA175" s="286">
        <v>0</v>
      </c>
      <c r="AB175" s="305">
        <f>SUM($W$3-$CG$175)*CN175</f>
        <v>118199.56660583941</v>
      </c>
      <c r="AC175" s="85">
        <f>SUM($CH$175-$W$3)*CK175</f>
        <v>415152.58302919706</v>
      </c>
      <c r="AD175" s="282">
        <f>SUM($CH$175-$W$3)*CL175</f>
        <v>62273.149635036498</v>
      </c>
      <c r="AE175" s="282">
        <f>SUM($CH$175-$W$3)*CM175</f>
        <v>0</v>
      </c>
      <c r="AF175" s="282">
        <v>0</v>
      </c>
      <c r="AG175" s="282">
        <v>0</v>
      </c>
      <c r="AH175" s="85">
        <f>SUM($CH$175-$W$3)*CN175</f>
        <v>352879.43339416059</v>
      </c>
      <c r="AI175" s="767">
        <f>SUM('3 pr-2'!L175)</f>
        <v>554211</v>
      </c>
      <c r="AJ175" s="1139">
        <f t="shared" ref="AJ175" si="448">SUM(AI175-E175)</f>
        <v>554211</v>
      </c>
      <c r="AK175" s="282">
        <f>SUM('3 pr-2'!O175)</f>
        <v>83132</v>
      </c>
      <c r="AL175" s="1139">
        <f t="shared" si="443"/>
        <v>83132</v>
      </c>
      <c r="AM175" s="282">
        <f>SUM('3 pr-2'!R175)</f>
        <v>0</v>
      </c>
      <c r="AN175" s="1139"/>
      <c r="AO175" s="282">
        <f>SUM('3 pr-2'!U175)</f>
        <v>0</v>
      </c>
      <c r="AP175" s="1139"/>
      <c r="AQ175" s="282">
        <f>SUM('3 pr-2'!X175)</f>
        <v>0</v>
      </c>
      <c r="AR175" s="1139"/>
      <c r="AS175" s="1151">
        <f>SUM('3 pr-2'!AA175)</f>
        <v>471079</v>
      </c>
      <c r="AT175" s="1139">
        <f t="shared" si="444"/>
        <v>471079</v>
      </c>
      <c r="AU175" s="1071">
        <v>0</v>
      </c>
      <c r="AV175" s="1071">
        <v>0</v>
      </c>
      <c r="AW175" s="1071">
        <v>0</v>
      </c>
      <c r="AX175" s="283">
        <v>0</v>
      </c>
      <c r="AY175" s="283">
        <v>0</v>
      </c>
      <c r="AZ175" s="283">
        <v>0</v>
      </c>
      <c r="BA175" s="283">
        <v>0</v>
      </c>
      <c r="BB175" s="1071">
        <v>0</v>
      </c>
      <c r="BC175" s="1071">
        <v>0</v>
      </c>
      <c r="BD175" s="283">
        <v>0</v>
      </c>
      <c r="BE175" s="283">
        <v>0</v>
      </c>
      <c r="BF175" s="283">
        <v>0</v>
      </c>
      <c r="BG175" s="283">
        <v>0</v>
      </c>
      <c r="BH175" s="1071">
        <v>0</v>
      </c>
      <c r="BI175" s="1071">
        <v>0</v>
      </c>
      <c r="BJ175" s="283">
        <v>0</v>
      </c>
      <c r="BK175" s="283">
        <v>0</v>
      </c>
      <c r="BL175" s="283">
        <v>0</v>
      </c>
      <c r="BM175" s="283">
        <v>0</v>
      </c>
      <c r="BN175" s="1071">
        <v>0</v>
      </c>
      <c r="BO175" s="1093">
        <v>50</v>
      </c>
      <c r="BP175" s="283">
        <v>50</v>
      </c>
      <c r="BQ175" s="283">
        <v>50</v>
      </c>
      <c r="BR175" s="283">
        <v>50</v>
      </c>
      <c r="BS175" s="283">
        <v>50</v>
      </c>
      <c r="BT175" s="1093">
        <v>50</v>
      </c>
      <c r="BU175" s="1093">
        <v>50</v>
      </c>
      <c r="BV175" s="283">
        <v>50</v>
      </c>
      <c r="BW175" s="283">
        <v>50</v>
      </c>
      <c r="BX175" s="283">
        <v>50</v>
      </c>
      <c r="BY175" s="283">
        <v>50</v>
      </c>
      <c r="BZ175" s="1093">
        <v>50</v>
      </c>
      <c r="CA175" s="24">
        <v>100</v>
      </c>
      <c r="CB175" s="283">
        <v>100</v>
      </c>
      <c r="CC175" s="283">
        <v>100</v>
      </c>
      <c r="CD175" s="283">
        <v>100</v>
      </c>
      <c r="CE175" s="283">
        <v>100</v>
      </c>
      <c r="CF175" s="359">
        <v>100</v>
      </c>
      <c r="CG175" s="1112">
        <f>SUM('3 pr-2'!AI175)</f>
        <v>43555</v>
      </c>
      <c r="CH175" s="1112">
        <f>SUM('3 pr-2'!AK175)</f>
        <v>44651</v>
      </c>
      <c r="CI175" s="1138">
        <f t="shared" si="445"/>
        <v>471079</v>
      </c>
      <c r="CK175" s="1169">
        <f t="shared" ref="CK175" si="449">SUM(AI175/(CH175-CG175))</f>
        <v>505.66697080291971</v>
      </c>
      <c r="CL175" s="1169">
        <f t="shared" ref="CL175" si="450">SUM(AK175/(CH175-CG175))</f>
        <v>75.850364963503651</v>
      </c>
      <c r="CM175" s="1169">
        <f t="shared" ref="CM175" si="451">SUM(AM175/(CH175-CG175))</f>
        <v>0</v>
      </c>
      <c r="CN175" s="1171">
        <f t="shared" ref="CN175" si="452">SUM(AS175/(CH175-CG175))</f>
        <v>429.81660583941607</v>
      </c>
      <c r="CQ175" s="1069">
        <f t="shared" ref="CQ175:CQ182" si="453">SUM(E175+K175+Q175+W175+AC175)</f>
        <v>554211</v>
      </c>
      <c r="CR175" s="1070">
        <f t="shared" si="446"/>
        <v>471079</v>
      </c>
    </row>
    <row r="176" spans="1:96" ht="29.25" customHeight="1" thickBot="1" x14ac:dyDescent="0.3">
      <c r="A176" s="58" t="str">
        <f>CONCATENATE('3 pr-2'!A176)</f>
        <v>3.1.2.1.3</v>
      </c>
      <c r="B176" s="22" t="str">
        <f>CONCATENATE('3 pr-2'!D176)</f>
        <v>Bešeimininkių apleistų pastatų ir įrenginių tvarkymas Alytaus rajono savivaldybėje</v>
      </c>
      <c r="C176" s="71">
        <v>0</v>
      </c>
      <c r="D176" s="71">
        <v>0</v>
      </c>
      <c r="E176" s="71">
        <v>0</v>
      </c>
      <c r="F176" s="282">
        <f>SUM(AK175*AX175/CB175)</f>
        <v>0</v>
      </c>
      <c r="G176" s="282">
        <f>SUM(AM175*AY175/CC175)</f>
        <v>0</v>
      </c>
      <c r="H176" s="282">
        <f>SUM(AO175*AZ175/CD175)</f>
        <v>0</v>
      </c>
      <c r="I176" s="282">
        <f>SUM(AQ175*BA175/CE175)</f>
        <v>0</v>
      </c>
      <c r="J176" s="71">
        <v>0</v>
      </c>
      <c r="K176" s="305">
        <f>SUM('ketv. 7 '!M174-'IV-1 su proj'!E176)</f>
        <v>0</v>
      </c>
      <c r="L176" s="286">
        <f>SUM('ketv. 7 '!R174-'IV-1 su proj'!F176)</f>
        <v>0</v>
      </c>
      <c r="M176" s="286">
        <f>IF(YEAR($CG$176)=2017,($BC$4-$CG$176)*AM$176/($CH$176-$CG$176),0)</f>
        <v>0</v>
      </c>
      <c r="N176" s="286">
        <f>IF(YEAR($CG$176)=2017,($BC$4-$CG$176)*AO$176/($CH$176-$CG$176),0)</f>
        <v>0</v>
      </c>
      <c r="O176" s="286">
        <f>IF(YEAR($CG$176)=2017,($BC$4-$CG$176)*AQ$176/($CH$176-$CG$176),0)</f>
        <v>0</v>
      </c>
      <c r="P176" s="361">
        <f>SUM('ketv. 7 '!AL174-'IV-1 su proj'!J176)</f>
        <v>0</v>
      </c>
      <c r="Q176" s="85">
        <f>SUM(CH176-$K$3)*CK176</f>
        <v>101765.7</v>
      </c>
      <c r="R176" s="286">
        <f>SUM(CH176-$K$3)*CL176</f>
        <v>15264.899999999998</v>
      </c>
      <c r="S176" s="286">
        <f>SUM(CH176-$K$3)*CM176</f>
        <v>0</v>
      </c>
      <c r="T176" s="286">
        <v>0</v>
      </c>
      <c r="U176" s="286">
        <v>0</v>
      </c>
      <c r="V176" s="361">
        <f>SUM(CH176-$K$3)*CN176</f>
        <v>86500.800000000003</v>
      </c>
      <c r="W176" s="85">
        <v>0</v>
      </c>
      <c r="X176" s="286">
        <v>0</v>
      </c>
      <c r="Y176" s="286">
        <v>0</v>
      </c>
      <c r="Z176" s="286">
        <v>0</v>
      </c>
      <c r="AA176" s="286">
        <v>0</v>
      </c>
      <c r="AB176" s="85">
        <v>0</v>
      </c>
      <c r="AC176" s="85">
        <v>0</v>
      </c>
      <c r="AD176" s="282">
        <v>0</v>
      </c>
      <c r="AE176" s="282">
        <v>0</v>
      </c>
      <c r="AF176" s="282">
        <v>0</v>
      </c>
      <c r="AG176" s="282">
        <v>0</v>
      </c>
      <c r="AH176" s="85">
        <v>0</v>
      </c>
      <c r="AI176" s="767">
        <f>SUM('3 pr-2'!L176)</f>
        <v>101765.7</v>
      </c>
      <c r="AJ176" s="1139">
        <f t="shared" ref="AJ176:AJ182" si="454">SUM(AI176-K176)</f>
        <v>101765.7</v>
      </c>
      <c r="AK176" s="282">
        <f>SUM('3 pr-2'!O176)</f>
        <v>15264.9</v>
      </c>
      <c r="AL176" s="1139">
        <f t="shared" si="443"/>
        <v>15264.9</v>
      </c>
      <c r="AM176" s="282">
        <f>SUM('3 pr-2'!R176)</f>
        <v>0</v>
      </c>
      <c r="AN176" s="1139"/>
      <c r="AO176" s="282">
        <f>SUM('3 pr-2'!U176)</f>
        <v>0</v>
      </c>
      <c r="AP176" s="1139"/>
      <c r="AQ176" s="282">
        <f>SUM('3 pr-2'!X176)</f>
        <v>0</v>
      </c>
      <c r="AR176" s="1139"/>
      <c r="AS176" s="1151">
        <f>SUM('3 pr-2'!AA176)</f>
        <v>86500.800000000003</v>
      </c>
      <c r="AT176" s="1139">
        <f t="shared" si="444"/>
        <v>86500.800000000003</v>
      </c>
      <c r="AU176" s="1071"/>
      <c r="AV176" s="1071"/>
      <c r="AW176" s="1071"/>
      <c r="AX176" s="283"/>
      <c r="AY176" s="283"/>
      <c r="AZ176" s="283"/>
      <c r="BA176" s="283"/>
      <c r="BB176" s="1071"/>
      <c r="BC176" s="1093"/>
      <c r="BD176" s="283"/>
      <c r="BE176" s="283"/>
      <c r="BF176" s="283"/>
      <c r="BG176" s="283"/>
      <c r="BH176" s="1093"/>
      <c r="BI176" s="1093"/>
      <c r="BJ176" s="283"/>
      <c r="BK176" s="283"/>
      <c r="BL176" s="283"/>
      <c r="BM176" s="283"/>
      <c r="BN176" s="1093"/>
      <c r="BO176" s="1093"/>
      <c r="BP176" s="283"/>
      <c r="BQ176" s="283"/>
      <c r="BR176" s="283"/>
      <c r="BS176" s="283"/>
      <c r="BT176" s="1093"/>
      <c r="BU176" s="1093"/>
      <c r="BV176" s="283"/>
      <c r="BW176" s="283"/>
      <c r="BX176" s="283"/>
      <c r="BY176" s="283"/>
      <c r="BZ176" s="1093"/>
      <c r="CA176" s="24"/>
      <c r="CB176" s="283"/>
      <c r="CC176" s="283"/>
      <c r="CD176" s="283"/>
      <c r="CE176" s="283"/>
      <c r="CF176" s="359"/>
      <c r="CG176" s="1112">
        <f>SUM('3 pr-2'!AI176)</f>
        <v>42998</v>
      </c>
      <c r="CH176" s="1112">
        <f>SUM('3 pr-2'!AK176)</f>
        <v>43465</v>
      </c>
      <c r="CI176" s="1138">
        <f t="shared" si="445"/>
        <v>86500.800000000003</v>
      </c>
      <c r="CK176" s="1169">
        <f>SUM(AJ176/(CH176-$K$3))</f>
        <v>278.81013698630136</v>
      </c>
      <c r="CL176" s="1169">
        <f>SUM(AL176/(CH176-$K$3))</f>
        <v>41.821643835616435</v>
      </c>
      <c r="CM176" s="1169">
        <f>SUM(AN176/(CH176-$K$3))</f>
        <v>0</v>
      </c>
      <c r="CN176" s="1171">
        <f>SUM(AT176/(CH176-$K$3))</f>
        <v>236.98849315068495</v>
      </c>
      <c r="CQ176" s="1069">
        <f t="shared" si="453"/>
        <v>101765.7</v>
      </c>
      <c r="CR176" s="1070">
        <f t="shared" si="446"/>
        <v>86500.800000000003</v>
      </c>
    </row>
    <row r="177" spans="1:96" ht="51.75" thickBot="1" x14ac:dyDescent="0.3">
      <c r="A177" s="58" t="str">
        <f>CONCATENATE('3 pr-2'!A177)</f>
        <v>3.1.2.1.4</v>
      </c>
      <c r="B177" s="22" t="str">
        <f>CONCATENATE('3 pr-2'!D177)</f>
        <v>Alytaus miesto bendrojo plano korektūra zonuojant kraštovaizdžio struktūrą, nustatant reglamentus ir principus</v>
      </c>
      <c r="C177" s="71">
        <v>0</v>
      </c>
      <c r="D177" s="71">
        <v>0</v>
      </c>
      <c r="E177" s="71">
        <v>0</v>
      </c>
      <c r="F177" s="282">
        <v>0</v>
      </c>
      <c r="G177" s="282">
        <v>0</v>
      </c>
      <c r="H177" s="282">
        <v>0</v>
      </c>
      <c r="I177" s="282">
        <v>0</v>
      </c>
      <c r="J177" s="71">
        <v>0</v>
      </c>
      <c r="K177" s="305">
        <f>SUM('ketv. 7 '!M175-'IV-1 su proj'!E177)</f>
        <v>0</v>
      </c>
      <c r="L177" s="286">
        <f>SUM('ketv. 7 '!R175-'IV-1 su proj'!F177)</f>
        <v>0</v>
      </c>
      <c r="M177" s="286">
        <f>IF(YEAR($CG$177)=2017,($BC$4-$CG$177)*AM$177/($CH$177-$CG$177),0)</f>
        <v>0</v>
      </c>
      <c r="N177" s="286">
        <f>IF(YEAR($CG$177)=2017,($BC$4-$CG$177)*AO$177/($CH$177-$CG$177),0)</f>
        <v>0</v>
      </c>
      <c r="O177" s="286">
        <f>IF(YEAR($CG$177)=2017,($BC$4-$CG$177)*AQ$177/($CH$177-$CG$177),0)</f>
        <v>0</v>
      </c>
      <c r="P177" s="361">
        <f>SUM('ketv. 7 '!AL175-'IV-1 su proj'!J177)</f>
        <v>0</v>
      </c>
      <c r="Q177" s="85">
        <f>SUM(CH177-$K$3)*CK177</f>
        <v>3993</v>
      </c>
      <c r="R177" s="286">
        <f>SUM(CH177-$K$3)*CL177</f>
        <v>598.95000000000005</v>
      </c>
      <c r="S177" s="286">
        <f>SUM(CH177-$K$3)*CM177</f>
        <v>0</v>
      </c>
      <c r="T177" s="286">
        <v>0</v>
      </c>
      <c r="U177" s="286">
        <v>0</v>
      </c>
      <c r="V177" s="361">
        <f>SUM(CH177-$K$3)*CN177</f>
        <v>3394.05</v>
      </c>
      <c r="W177" s="85">
        <f>IF(YEAR($CH$177)=2019,($CH$177-$BI$4)*AI$177/($CH$177-$CG$177),0)</f>
        <v>0</v>
      </c>
      <c r="X177" s="286">
        <f>IF(YEAR($CH$177)=2019,($CH$177-$BI$4)*AK$177/($CH$177-$CG$177),0)</f>
        <v>0</v>
      </c>
      <c r="Y177" s="286">
        <f>IF(YEAR($CH$177)=2019,($CH$177-$BI$4)*AM$177/($CH$177-$CG$177),0)</f>
        <v>0</v>
      </c>
      <c r="Z177" s="286">
        <f>IF(YEAR($CH$177)=2019,($CH$177-$BI$4)*AO$177/($CH$177-$CG$177),0)</f>
        <v>0</v>
      </c>
      <c r="AA177" s="286">
        <f>IF(YEAR($CH$177)=2019,($CH$177-$BI$4)*AQ$177/($CH$177-$CG$177),0)</f>
        <v>0</v>
      </c>
      <c r="AB177" s="85">
        <f>IF(YEAR($CH$177)=2019,($CH$177-$BI$4)*AS$177/($CH$177-$CG$177),0)</f>
        <v>0</v>
      </c>
      <c r="AC177" s="85">
        <v>0</v>
      </c>
      <c r="AD177" s="282">
        <v>0</v>
      </c>
      <c r="AE177" s="282">
        <v>0</v>
      </c>
      <c r="AF177" s="282">
        <v>0</v>
      </c>
      <c r="AG177" s="282">
        <v>0</v>
      </c>
      <c r="AH177" s="85">
        <v>0</v>
      </c>
      <c r="AI177" s="767">
        <f>SUM('3 pr-2'!L177)</f>
        <v>3993</v>
      </c>
      <c r="AJ177" s="1139">
        <f t="shared" si="454"/>
        <v>3993</v>
      </c>
      <c r="AK177" s="282">
        <f>SUM('3 pr-2'!O177)</f>
        <v>598.95000000000005</v>
      </c>
      <c r="AL177" s="1139">
        <f t="shared" si="443"/>
        <v>598.95000000000005</v>
      </c>
      <c r="AM177" s="282">
        <f>SUM('3 pr-2'!R177)</f>
        <v>0</v>
      </c>
      <c r="AN177" s="1139"/>
      <c r="AO177" s="282">
        <f>SUM('3 pr-2'!U177)</f>
        <v>0</v>
      </c>
      <c r="AP177" s="1139"/>
      <c r="AQ177" s="282">
        <f>SUM('3 pr-2'!X177)</f>
        <v>0</v>
      </c>
      <c r="AR177" s="1139"/>
      <c r="AS177" s="1151">
        <f>SUM('3 pr-2'!AA177)</f>
        <v>3394.05</v>
      </c>
      <c r="AT177" s="1139">
        <f t="shared" si="444"/>
        <v>3394.05</v>
      </c>
      <c r="AU177" s="1071"/>
      <c r="AV177" s="1071"/>
      <c r="AW177" s="1071"/>
      <c r="AX177" s="283"/>
      <c r="AY177" s="283"/>
      <c r="AZ177" s="283"/>
      <c r="BA177" s="283"/>
      <c r="BB177" s="1071"/>
      <c r="BC177" s="1093"/>
      <c r="BD177" s="283"/>
      <c r="BE177" s="283"/>
      <c r="BF177" s="283"/>
      <c r="BG177" s="283"/>
      <c r="BH177" s="1093"/>
      <c r="BI177" s="1093"/>
      <c r="BJ177" s="283"/>
      <c r="BK177" s="283"/>
      <c r="BL177" s="283"/>
      <c r="BM177" s="283"/>
      <c r="BN177" s="1093"/>
      <c r="BO177" s="1093"/>
      <c r="BP177" s="283"/>
      <c r="BQ177" s="283"/>
      <c r="BR177" s="283"/>
      <c r="BS177" s="283"/>
      <c r="BT177" s="1093"/>
      <c r="BU177" s="1093"/>
      <c r="BV177" s="283"/>
      <c r="BW177" s="283"/>
      <c r="BX177" s="283"/>
      <c r="BY177" s="283"/>
      <c r="BZ177" s="1093"/>
      <c r="CA177" s="24"/>
      <c r="CB177" s="283"/>
      <c r="CC177" s="283"/>
      <c r="CD177" s="283"/>
      <c r="CE177" s="283"/>
      <c r="CF177" s="359"/>
      <c r="CG177" s="1112">
        <f>SUM('3 pr-2'!AI177)</f>
        <v>42965</v>
      </c>
      <c r="CH177" s="1112">
        <f>SUM('3 pr-2'!AK177)</f>
        <v>43465</v>
      </c>
      <c r="CI177" s="1138">
        <f t="shared" si="445"/>
        <v>3394.05</v>
      </c>
      <c r="CK177" s="1169">
        <f>SUM(AJ177/(CH177-$K$3))</f>
        <v>10.93972602739726</v>
      </c>
      <c r="CL177" s="1169">
        <f>SUM(AL177/(CH177-$K$3))</f>
        <v>1.6409589041095891</v>
      </c>
      <c r="CM177" s="1169">
        <f>SUM(AN177/(CH177-$K$3))</f>
        <v>0</v>
      </c>
      <c r="CN177" s="1171">
        <f>SUM(AT177/(CH177-$K$3))</f>
        <v>9.2987671232876714</v>
      </c>
      <c r="CQ177" s="1069">
        <f t="shared" si="453"/>
        <v>3993</v>
      </c>
      <c r="CR177" s="1070">
        <f t="shared" si="446"/>
        <v>3394.05</v>
      </c>
    </row>
    <row r="178" spans="1:96" ht="39" thickBot="1" x14ac:dyDescent="0.3">
      <c r="A178" s="58" t="str">
        <f>CONCATENATE('3 pr-2'!A178)</f>
        <v>3.1.2.1.5</v>
      </c>
      <c r="B178" s="22" t="str">
        <f>CONCATENATE('3 pr-2'!D178)</f>
        <v>Bešeimininkių apleistų pastatų Druskininkų savivaldybės teritorijoje likvidavimas</v>
      </c>
      <c r="C178" s="71">
        <v>0</v>
      </c>
      <c r="D178" s="71">
        <v>0</v>
      </c>
      <c r="E178" s="71">
        <v>0</v>
      </c>
      <c r="F178" s="282">
        <v>0</v>
      </c>
      <c r="G178" s="282">
        <v>0</v>
      </c>
      <c r="H178" s="282">
        <v>0</v>
      </c>
      <c r="I178" s="282">
        <v>0</v>
      </c>
      <c r="J178" s="71">
        <v>0</v>
      </c>
      <c r="K178" s="305">
        <f>SUM('ketv. 7 '!M176-'IV-1 su proj'!E178)</f>
        <v>37893.879999999997</v>
      </c>
      <c r="L178" s="288">
        <f>SUM('ketv. 7 '!R176-'IV-1 su proj'!F178)</f>
        <v>1049.96</v>
      </c>
      <c r="M178" s="288">
        <v>0</v>
      </c>
      <c r="N178" s="288">
        <v>0</v>
      </c>
      <c r="O178" s="288">
        <v>0</v>
      </c>
      <c r="P178" s="305">
        <f>SUM('ketv. 7 '!AL176-'IV-1 su proj'!J178)</f>
        <v>36843.919999999998</v>
      </c>
      <c r="Q178" s="85">
        <f>SUM(CH178-$K$3)*CK178</f>
        <v>83259.670000000013</v>
      </c>
      <c r="R178" s="286">
        <f>SUM(CH178-$K$3)*CL178</f>
        <v>17123.07</v>
      </c>
      <c r="S178" s="286">
        <f>SUM(CH178-$K$3)*CM178</f>
        <v>0</v>
      </c>
      <c r="T178" s="286">
        <v>0</v>
      </c>
      <c r="U178" s="286">
        <v>0</v>
      </c>
      <c r="V178" s="361">
        <f>SUM(CH178-$K$3)*CN178</f>
        <v>66136.600000000006</v>
      </c>
      <c r="W178" s="305">
        <f>SUM(X178:AB178)</f>
        <v>0</v>
      </c>
      <c r="X178" s="288">
        <f>IF(YEAR($CH178)=2019,($CH178-$BI$4)*$AL178/($CH178-$BC$4),0)</f>
        <v>0</v>
      </c>
      <c r="Y178" s="286">
        <v>0</v>
      </c>
      <c r="Z178" s="286">
        <v>0</v>
      </c>
      <c r="AA178" s="286">
        <v>0</v>
      </c>
      <c r="AB178" s="305">
        <f>IF(YEAR($CH178)=2019,($CH178-$BI$4)*$AT178/($CH178-$BC$4),0)</f>
        <v>0</v>
      </c>
      <c r="AC178" s="85">
        <v>0</v>
      </c>
      <c r="AD178" s="282">
        <v>0</v>
      </c>
      <c r="AE178" s="282">
        <v>0</v>
      </c>
      <c r="AF178" s="282">
        <v>0</v>
      </c>
      <c r="AG178" s="282">
        <v>0</v>
      </c>
      <c r="AH178" s="85">
        <v>0</v>
      </c>
      <c r="AI178" s="767">
        <f>SUM('3 pr-2'!L178)</f>
        <v>121153.55</v>
      </c>
      <c r="AJ178" s="1139">
        <f t="shared" si="454"/>
        <v>83259.670000000013</v>
      </c>
      <c r="AK178" s="282">
        <f>SUM('3 pr-2'!O178)</f>
        <v>18173.03</v>
      </c>
      <c r="AL178" s="1139">
        <f t="shared" si="443"/>
        <v>17123.07</v>
      </c>
      <c r="AM178" s="282">
        <f>SUM('3 pr-2'!R178)</f>
        <v>0</v>
      </c>
      <c r="AN178" s="1139"/>
      <c r="AO178" s="282">
        <f>SUM('3 pr-2'!U178)</f>
        <v>0</v>
      </c>
      <c r="AP178" s="1139"/>
      <c r="AQ178" s="282">
        <f>SUM('3 pr-2'!X178)</f>
        <v>0</v>
      </c>
      <c r="AR178" s="1139"/>
      <c r="AS178" s="1151">
        <f>SUM('3 pr-2'!AA178)</f>
        <v>102980.52</v>
      </c>
      <c r="AT178" s="1139">
        <f t="shared" si="444"/>
        <v>66136.600000000006</v>
      </c>
      <c r="AU178" s="1071"/>
      <c r="AV178" s="1071"/>
      <c r="AW178" s="1071"/>
      <c r="AX178" s="283"/>
      <c r="AY178" s="283"/>
      <c r="AZ178" s="283"/>
      <c r="BA178" s="283"/>
      <c r="BB178" s="1071"/>
      <c r="BC178" s="1093"/>
      <c r="BD178" s="283"/>
      <c r="BE178" s="283"/>
      <c r="BF178" s="283"/>
      <c r="BG178" s="283"/>
      <c r="BH178" s="1093"/>
      <c r="BI178" s="1093"/>
      <c r="BJ178" s="283"/>
      <c r="BK178" s="283"/>
      <c r="BL178" s="283"/>
      <c r="BM178" s="283"/>
      <c r="BN178" s="1093"/>
      <c r="BO178" s="1093"/>
      <c r="BP178" s="283"/>
      <c r="BQ178" s="283"/>
      <c r="BR178" s="283"/>
      <c r="BS178" s="283"/>
      <c r="BT178" s="1093"/>
      <c r="BU178" s="1093"/>
      <c r="BV178" s="283"/>
      <c r="BW178" s="283"/>
      <c r="BX178" s="283"/>
      <c r="BY178" s="283"/>
      <c r="BZ178" s="1093"/>
      <c r="CA178" s="24"/>
      <c r="CB178" s="283"/>
      <c r="CC178" s="283"/>
      <c r="CD178" s="283"/>
      <c r="CE178" s="283"/>
      <c r="CF178" s="359"/>
      <c r="CG178" s="1112">
        <f>SUM('3 pr-2'!AI178)</f>
        <v>42978</v>
      </c>
      <c r="CH178" s="1112">
        <f>SUM('3 pr-2'!AK178)</f>
        <v>43465</v>
      </c>
      <c r="CI178" s="1138">
        <f t="shared" si="445"/>
        <v>102980.52</v>
      </c>
      <c r="CK178" s="1169">
        <f>SUM(AJ178/(CH178-$K$3))</f>
        <v>228.10868493150687</v>
      </c>
      <c r="CL178" s="1169">
        <f>SUM(AL178/(CH178-$K$3))</f>
        <v>46.912520547945206</v>
      </c>
      <c r="CM178" s="1169">
        <f>SUM(AN178/(CH178-$K$3))</f>
        <v>0</v>
      </c>
      <c r="CN178" s="1171">
        <f>SUM(AT178/(CH178-$K$3))</f>
        <v>181.19616438356167</v>
      </c>
      <c r="CQ178" s="1152">
        <f t="shared" si="453"/>
        <v>121153.55000000002</v>
      </c>
      <c r="CR178" s="1070">
        <f t="shared" si="446"/>
        <v>102980.52</v>
      </c>
    </row>
    <row r="179" spans="1:96" ht="34.5" customHeight="1" thickBot="1" x14ac:dyDescent="0.3">
      <c r="A179" s="58" t="str">
        <f>CONCATENATE('3 pr-2'!A179)</f>
        <v>3.1.2.1.6</v>
      </c>
      <c r="B179" s="22" t="str">
        <f>CONCATENATE('3 pr-2'!D179)</f>
        <v>Kraštovaizdžio formavimas Lazdijų rajono savivaldybėje</v>
      </c>
      <c r="C179" s="71">
        <v>0</v>
      </c>
      <c r="D179" s="71">
        <v>0</v>
      </c>
      <c r="E179" s="71">
        <v>0</v>
      </c>
      <c r="F179" s="282">
        <v>0</v>
      </c>
      <c r="G179" s="282">
        <v>0</v>
      </c>
      <c r="H179" s="282">
        <v>0</v>
      </c>
      <c r="I179" s="282">
        <v>0</v>
      </c>
      <c r="J179" s="71">
        <v>0</v>
      </c>
      <c r="K179" s="305">
        <f>SUM('ketv. 7 '!M177-'IV-1 su proj'!E179)</f>
        <v>115557.4</v>
      </c>
      <c r="L179" s="288">
        <f>SUM('ketv. 7 '!R177-'IV-1 su proj'!F179)</f>
        <v>533.61</v>
      </c>
      <c r="M179" s="288">
        <v>0</v>
      </c>
      <c r="N179" s="288">
        <v>0</v>
      </c>
      <c r="O179" s="288">
        <v>0</v>
      </c>
      <c r="P179" s="305">
        <f>SUM('ketv. 7 '!AL177-'IV-1 su proj'!J179)</f>
        <v>115023.79</v>
      </c>
      <c r="Q179" s="305">
        <f>SUM(R179:V179)</f>
        <v>326741.19</v>
      </c>
      <c r="R179" s="288">
        <f>IF(YEAR($CG179)=2017,($BI$4-$BC$4)*$AL179/($CH179-$BC$4))</f>
        <v>65811.17</v>
      </c>
      <c r="S179" s="286">
        <v>0</v>
      </c>
      <c r="T179" s="286">
        <v>0</v>
      </c>
      <c r="U179" s="286">
        <v>0</v>
      </c>
      <c r="V179" s="305">
        <f>IF(YEAR($CG179)=2017,($BI$4-$BC$4)*$AT179/($CH179-$BC$4))</f>
        <v>260930.02000000002</v>
      </c>
      <c r="W179" s="305">
        <f>SUM(X179:AB179)</f>
        <v>0</v>
      </c>
      <c r="X179" s="288">
        <f>IF(YEAR($CH179)=2019,($CH179-$BI$4)*$AL179/($CH179-$BC$4),0)</f>
        <v>0</v>
      </c>
      <c r="Y179" s="286">
        <v>0</v>
      </c>
      <c r="Z179" s="286">
        <v>0</v>
      </c>
      <c r="AA179" s="286">
        <v>0</v>
      </c>
      <c r="AB179" s="305">
        <f>IF(YEAR($CH179)=2019,($CH179-$BI$4)*$AT179/($CH179-$BC$4),0)</f>
        <v>0</v>
      </c>
      <c r="AC179" s="85">
        <v>0</v>
      </c>
      <c r="AD179" s="282">
        <v>0</v>
      </c>
      <c r="AE179" s="282">
        <v>0</v>
      </c>
      <c r="AF179" s="282">
        <v>0</v>
      </c>
      <c r="AG179" s="282">
        <v>0</v>
      </c>
      <c r="AH179" s="85">
        <v>0</v>
      </c>
      <c r="AI179" s="767">
        <f>SUM('3 pr-2'!L179)</f>
        <v>442298.58999999997</v>
      </c>
      <c r="AJ179" s="1139">
        <f t="shared" si="454"/>
        <v>326741.18999999994</v>
      </c>
      <c r="AK179" s="282">
        <f>SUM('3 pr-2'!O179)</f>
        <v>66344.78</v>
      </c>
      <c r="AL179" s="1139">
        <f t="shared" si="443"/>
        <v>65811.17</v>
      </c>
      <c r="AM179" s="282">
        <f>SUM('3 pr-2'!R179)</f>
        <v>0</v>
      </c>
      <c r="AN179" s="1139"/>
      <c r="AO179" s="282">
        <f>SUM('3 pr-2'!U179)</f>
        <v>0</v>
      </c>
      <c r="AP179" s="1139"/>
      <c r="AQ179" s="282">
        <f>SUM('3 pr-2'!X179)</f>
        <v>0</v>
      </c>
      <c r="AR179" s="1139"/>
      <c r="AS179" s="1151">
        <f>SUM('3 pr-2'!AA179)</f>
        <v>375953.81</v>
      </c>
      <c r="AT179" s="1139">
        <f t="shared" si="444"/>
        <v>260930.02000000002</v>
      </c>
      <c r="AU179" s="1071"/>
      <c r="AV179" s="1071"/>
      <c r="AW179" s="1071"/>
      <c r="AX179" s="283"/>
      <c r="AY179" s="283"/>
      <c r="AZ179" s="283"/>
      <c r="BA179" s="283"/>
      <c r="BB179" s="1071"/>
      <c r="BC179" s="1093"/>
      <c r="BD179" s="283"/>
      <c r="BE179" s="283"/>
      <c r="BF179" s="283"/>
      <c r="BG179" s="283"/>
      <c r="BH179" s="1093"/>
      <c r="BI179" s="1093"/>
      <c r="BJ179" s="283"/>
      <c r="BK179" s="283"/>
      <c r="BL179" s="283"/>
      <c r="BM179" s="283"/>
      <c r="BN179" s="1093"/>
      <c r="BO179" s="1093"/>
      <c r="BP179" s="283"/>
      <c r="BQ179" s="283"/>
      <c r="BR179" s="283"/>
      <c r="BS179" s="283"/>
      <c r="BT179" s="1093"/>
      <c r="BU179" s="1093"/>
      <c r="BV179" s="283"/>
      <c r="BW179" s="283"/>
      <c r="BX179" s="283"/>
      <c r="BY179" s="283"/>
      <c r="BZ179" s="1093"/>
      <c r="CA179" s="24"/>
      <c r="CB179" s="283"/>
      <c r="CC179" s="283"/>
      <c r="CD179" s="283"/>
      <c r="CE179" s="283"/>
      <c r="CF179" s="359"/>
      <c r="CG179" s="1112">
        <f>SUM('3 pr-2'!AI179)</f>
        <v>42935</v>
      </c>
      <c r="CH179" s="1112">
        <f>SUM('3 pr-2'!AK179)</f>
        <v>43465</v>
      </c>
      <c r="CI179" s="1138">
        <f t="shared" si="445"/>
        <v>375953.81</v>
      </c>
      <c r="CK179" s="1169">
        <f>SUM(AJ179/(CH179-$K$3))</f>
        <v>895.18134246575323</v>
      </c>
      <c r="CL179" s="1169">
        <f>SUM(AL179/(CH179-$K$3))</f>
        <v>180.30457534246574</v>
      </c>
      <c r="CM179" s="1169">
        <f>SUM(AN179/(CH179-$K$3))</f>
        <v>0</v>
      </c>
      <c r="CN179" s="1171">
        <f>SUM(AT179/(CH179-$K$3))</f>
        <v>714.87676712328778</v>
      </c>
      <c r="CQ179" s="1152">
        <f t="shared" si="453"/>
        <v>442298.58999999997</v>
      </c>
      <c r="CR179" s="1070">
        <f t="shared" si="446"/>
        <v>375953.81</v>
      </c>
    </row>
    <row r="180" spans="1:96" ht="26.25" thickBot="1" x14ac:dyDescent="0.3">
      <c r="A180" s="58" t="str">
        <f>CONCATENATE('3 pr-2'!A180)</f>
        <v>3.1.2.1.7</v>
      </c>
      <c r="B180" s="22" t="str">
        <f>CONCATENATE('3 pr-2'!D180)</f>
        <v>Kraštovaizdžio formavimas Lazdijų rajono savivaldybėje (II etapas)</v>
      </c>
      <c r="C180" s="71">
        <f>SUM(AI180*AU180/CA180)</f>
        <v>0</v>
      </c>
      <c r="D180" s="71">
        <f t="shared" ref="D180:D181" si="455">SUM(AS180*AV180/CF180)</f>
        <v>0</v>
      </c>
      <c r="E180" s="71">
        <f>SUM(AI180*AW180/CA180)</f>
        <v>0</v>
      </c>
      <c r="F180" s="282">
        <v>0</v>
      </c>
      <c r="G180" s="282">
        <v>0</v>
      </c>
      <c r="H180" s="282">
        <v>0</v>
      </c>
      <c r="I180" s="282">
        <v>0</v>
      </c>
      <c r="J180" s="71">
        <v>0</v>
      </c>
      <c r="K180" s="305">
        <f>SUM('ketv. 7 '!M178-'IV-1 su proj'!E180)</f>
        <v>0</v>
      </c>
      <c r="L180" s="286">
        <f>SUM('ketv. 7 '!R178-'IV-1 su proj'!F180)</f>
        <v>0</v>
      </c>
      <c r="M180" s="286">
        <f t="shared" ref="M180:M181" si="456">SUM(AM180*BE180/CC180)</f>
        <v>0</v>
      </c>
      <c r="N180" s="286">
        <f t="shared" ref="N180:N181" si="457">SUM(AO180*BF180/CD180)</f>
        <v>0</v>
      </c>
      <c r="O180" s="286">
        <f t="shared" ref="O180:O181" si="458">SUM(AQ180*BG180/CE180)</f>
        <v>0</v>
      </c>
      <c r="P180" s="304">
        <f>SUM('ketv. 7 '!AL178-'IV-1 su proj'!J180)</f>
        <v>0</v>
      </c>
      <c r="Q180" s="304">
        <f>SUM(AI180*BI180/CA180)</f>
        <v>0</v>
      </c>
      <c r="R180" s="287">
        <f t="shared" ref="R180:R181" si="459">SUM(AK180*BJ180/CB180)</f>
        <v>0</v>
      </c>
      <c r="S180" s="287">
        <f t="shared" ref="S180:S181" si="460">SUM(AM180*BK180/CC180)</f>
        <v>0</v>
      </c>
      <c r="T180" s="287">
        <f t="shared" ref="T180:T181" si="461">SUM(AO180*BL180/CD180)</f>
        <v>0</v>
      </c>
      <c r="U180" s="287">
        <f t="shared" ref="U180:U181" si="462">SUM(AQ180*BM180/CE180)</f>
        <v>0</v>
      </c>
      <c r="V180" s="304">
        <f t="shared" ref="V180:V181" si="463">SUM(AS180*BN180/CF180)</f>
        <v>0</v>
      </c>
      <c r="W180" s="304">
        <f>SUM(AI180*BO180/CA180)</f>
        <v>29958.444</v>
      </c>
      <c r="X180" s="287">
        <f t="shared" ref="X180:X181" si="464">SUM(AK180*BP180/CB180)</f>
        <v>4493.7660000000005</v>
      </c>
      <c r="Y180" s="287">
        <f t="shared" ref="Y180:Y181" si="465">SUM(AM180*BQ180/CC180)</f>
        <v>0</v>
      </c>
      <c r="Z180" s="287">
        <f t="shared" ref="Z180:Z181" si="466">SUM(AO180*BR180/CD180)</f>
        <v>0</v>
      </c>
      <c r="AA180" s="287">
        <f t="shared" ref="AA180:AA181" si="467">SUM(AQ180*BS180/CE180)</f>
        <v>0</v>
      </c>
      <c r="AB180" s="85">
        <f t="shared" ref="AB180:AB181" si="468">SUM(AS180*BT180/CF180)</f>
        <v>25464.678</v>
      </c>
      <c r="AC180" s="85">
        <f>SUM(AI180*BU180/CA180)</f>
        <v>119833.776</v>
      </c>
      <c r="AD180" s="282">
        <f t="shared" ref="AD180:AD181" si="469">SUM(AK180*BV180/CB180)</f>
        <v>17975.064000000002</v>
      </c>
      <c r="AE180" s="282">
        <f t="shared" ref="AE180:AE181" si="470">SUM(AM180*BW180/CC180)</f>
        <v>0</v>
      </c>
      <c r="AF180" s="282">
        <f t="shared" ref="AF180:AF181" si="471">SUM(AO180*BX180/CD180)</f>
        <v>0</v>
      </c>
      <c r="AG180" s="282">
        <f t="shared" ref="AG180:AG181" si="472">SUM(AQ180*BY180/CE180)</f>
        <v>0</v>
      </c>
      <c r="AH180" s="85">
        <f t="shared" ref="AH180:AH181" si="473">SUM(AS180*BZ180/CF180)</f>
        <v>101858.712</v>
      </c>
      <c r="AI180" s="767">
        <f>SUM('3 pr-2'!L180)</f>
        <v>149792.22</v>
      </c>
      <c r="AJ180" s="1139">
        <f t="shared" si="454"/>
        <v>149792.22</v>
      </c>
      <c r="AK180" s="282">
        <f>SUM('3 pr-2'!O180)</f>
        <v>22468.83</v>
      </c>
      <c r="AL180" s="1139">
        <f t="shared" si="443"/>
        <v>22468.83</v>
      </c>
      <c r="AM180" s="282">
        <f>SUM('3 pr-2'!R180)</f>
        <v>0</v>
      </c>
      <c r="AN180" s="1139"/>
      <c r="AO180" s="282">
        <f>SUM('3 pr-2'!U180)</f>
        <v>0</v>
      </c>
      <c r="AP180" s="1139"/>
      <c r="AQ180" s="282">
        <f>SUM('3 pr-2'!X180)</f>
        <v>0</v>
      </c>
      <c r="AR180" s="1139"/>
      <c r="AS180" s="1151">
        <f>SUM('3 pr-2'!AA180)</f>
        <v>127323.39</v>
      </c>
      <c r="AT180" s="1139">
        <f t="shared" si="444"/>
        <v>127323.39</v>
      </c>
      <c r="AU180" s="1071">
        <v>0</v>
      </c>
      <c r="AV180" s="1071">
        <v>0</v>
      </c>
      <c r="AW180" s="1071">
        <v>0</v>
      </c>
      <c r="AX180" s="283">
        <v>0</v>
      </c>
      <c r="AY180" s="283">
        <v>0</v>
      </c>
      <c r="AZ180" s="283">
        <v>0</v>
      </c>
      <c r="BA180" s="283">
        <v>0</v>
      </c>
      <c r="BB180" s="1071">
        <v>0</v>
      </c>
      <c r="BC180" s="1153">
        <v>0</v>
      </c>
      <c r="BD180" s="283">
        <v>0</v>
      </c>
      <c r="BE180" s="283">
        <v>0</v>
      </c>
      <c r="BF180" s="283">
        <v>0</v>
      </c>
      <c r="BG180" s="283">
        <v>0</v>
      </c>
      <c r="BH180" s="1153">
        <v>0</v>
      </c>
      <c r="BI180" s="1071">
        <v>0</v>
      </c>
      <c r="BJ180" s="283">
        <v>0</v>
      </c>
      <c r="BK180" s="283">
        <v>0</v>
      </c>
      <c r="BL180" s="283">
        <v>0</v>
      </c>
      <c r="BM180" s="283">
        <v>0</v>
      </c>
      <c r="BN180" s="1071">
        <v>0</v>
      </c>
      <c r="BO180" s="1153">
        <v>20</v>
      </c>
      <c r="BP180" s="283">
        <v>20</v>
      </c>
      <c r="BQ180" s="283">
        <v>20</v>
      </c>
      <c r="BR180" s="283">
        <v>20</v>
      </c>
      <c r="BS180" s="283">
        <v>20</v>
      </c>
      <c r="BT180" s="1153">
        <v>20</v>
      </c>
      <c r="BU180" s="1153">
        <v>80</v>
      </c>
      <c r="BV180" s="283">
        <v>80</v>
      </c>
      <c r="BW180" s="283">
        <v>80</v>
      </c>
      <c r="BX180" s="283">
        <v>80</v>
      </c>
      <c r="BY180" s="283">
        <v>80</v>
      </c>
      <c r="BZ180" s="1153">
        <v>80</v>
      </c>
      <c r="CA180" s="24">
        <v>100</v>
      </c>
      <c r="CB180" s="283">
        <v>100</v>
      </c>
      <c r="CC180" s="283">
        <v>100</v>
      </c>
      <c r="CD180" s="283">
        <v>100</v>
      </c>
      <c r="CE180" s="283">
        <v>100</v>
      </c>
      <c r="CF180" s="359">
        <v>100</v>
      </c>
      <c r="CG180" s="1112">
        <f>SUM('3 pr-2'!AI180)</f>
        <v>43554</v>
      </c>
      <c r="CH180" s="1112">
        <f>SUM('3 pr-2'!AK180)</f>
        <v>44469</v>
      </c>
      <c r="CI180" s="1138">
        <f t="shared" si="445"/>
        <v>127323.39</v>
      </c>
      <c r="CK180" s="1169">
        <f t="shared" ref="CK180:CK182" si="474">SUM(AI180/(CH180-CG180))</f>
        <v>163.70734426229509</v>
      </c>
      <c r="CL180" s="1169">
        <f t="shared" ref="CL180:CL182" si="475">SUM(AK180/(CH180-CG180))</f>
        <v>24.556098360655739</v>
      </c>
      <c r="CM180" s="1169">
        <f t="shared" ref="CM180:CM182" si="476">SUM(AM180/(CH180-CG180))</f>
        <v>0</v>
      </c>
      <c r="CN180" s="1171">
        <f t="shared" ref="CN180:CN182" si="477">SUM(AS180/(CH180-CG180))</f>
        <v>139.15124590163936</v>
      </c>
      <c r="CQ180" s="1069">
        <f t="shared" si="453"/>
        <v>149792.22</v>
      </c>
      <c r="CR180" s="1070">
        <f t="shared" si="446"/>
        <v>127323.39</v>
      </c>
    </row>
    <row r="181" spans="1:96" ht="39" thickBot="1" x14ac:dyDescent="0.3">
      <c r="A181" s="58" t="str">
        <f>CONCATENATE('3 pr-2'!A181)</f>
        <v>3.1.2.1.8</v>
      </c>
      <c r="B181" s="22" t="str">
        <f>CONCATENATE('3 pr-2'!D181)</f>
        <v>Bešeimininkių apleistų pastatų ir įrenginių tvarkymas Alytaus rajono savivaldybėje (II etapas)</v>
      </c>
      <c r="C181" s="71">
        <f>SUM(AI181*AU181/CA181)</f>
        <v>0</v>
      </c>
      <c r="D181" s="71">
        <f t="shared" si="455"/>
        <v>0</v>
      </c>
      <c r="E181" s="71">
        <f>SUM(AI181*AW181/CA181)</f>
        <v>0</v>
      </c>
      <c r="F181" s="282">
        <v>0</v>
      </c>
      <c r="G181" s="282">
        <v>0</v>
      </c>
      <c r="H181" s="282">
        <v>0</v>
      </c>
      <c r="I181" s="282">
        <v>0</v>
      </c>
      <c r="J181" s="71">
        <v>0</v>
      </c>
      <c r="K181" s="305">
        <f>SUM('ketv. 7 '!M179-'IV-1 su proj'!E181)</f>
        <v>0</v>
      </c>
      <c r="L181" s="286">
        <f>SUM('ketv. 7 '!R179-'IV-1 su proj'!F181)</f>
        <v>0</v>
      </c>
      <c r="M181" s="286">
        <f t="shared" si="456"/>
        <v>0</v>
      </c>
      <c r="N181" s="286">
        <f t="shared" si="457"/>
        <v>0</v>
      </c>
      <c r="O181" s="286">
        <f t="shared" si="458"/>
        <v>0</v>
      </c>
      <c r="P181" s="304">
        <f>SUM('ketv. 7 '!AL179-'IV-1 su proj'!J181)</f>
        <v>0</v>
      </c>
      <c r="Q181" s="304">
        <f>SUM(AI181*BI181/CA181)</f>
        <v>0</v>
      </c>
      <c r="R181" s="287">
        <f t="shared" si="459"/>
        <v>0</v>
      </c>
      <c r="S181" s="287">
        <f t="shared" si="460"/>
        <v>0</v>
      </c>
      <c r="T181" s="287">
        <f t="shared" si="461"/>
        <v>0</v>
      </c>
      <c r="U181" s="287">
        <f t="shared" si="462"/>
        <v>0</v>
      </c>
      <c r="V181" s="304">
        <f t="shared" si="463"/>
        <v>0</v>
      </c>
      <c r="W181" s="304">
        <f>SUM(AI181*BO181/CA181)</f>
        <v>736537.64705882361</v>
      </c>
      <c r="X181" s="287">
        <f t="shared" si="464"/>
        <v>110480.64705882352</v>
      </c>
      <c r="Y181" s="287">
        <f t="shared" si="465"/>
        <v>0</v>
      </c>
      <c r="Z181" s="287">
        <f t="shared" si="466"/>
        <v>0</v>
      </c>
      <c r="AA181" s="287">
        <f t="shared" si="467"/>
        <v>0</v>
      </c>
      <c r="AB181" s="85">
        <f t="shared" si="468"/>
        <v>626057</v>
      </c>
      <c r="AC181" s="85">
        <f>SUM(AI181*BU181/CA181)</f>
        <v>0</v>
      </c>
      <c r="AD181" s="282">
        <f t="shared" si="469"/>
        <v>0</v>
      </c>
      <c r="AE181" s="282">
        <f t="shared" si="470"/>
        <v>0</v>
      </c>
      <c r="AF181" s="282">
        <f t="shared" si="471"/>
        <v>0</v>
      </c>
      <c r="AG181" s="282">
        <f t="shared" si="472"/>
        <v>0</v>
      </c>
      <c r="AH181" s="85">
        <f t="shared" si="473"/>
        <v>0</v>
      </c>
      <c r="AI181" s="767">
        <f>SUM('3 pr-2'!L181)</f>
        <v>736537.6470588235</v>
      </c>
      <c r="AJ181" s="1139">
        <f t="shared" si="454"/>
        <v>736537.6470588235</v>
      </c>
      <c r="AK181" s="282">
        <f>SUM('3 pr-2'!O181)</f>
        <v>110480.64705882352</v>
      </c>
      <c r="AL181" s="1139">
        <f t="shared" si="443"/>
        <v>110480.64705882352</v>
      </c>
      <c r="AM181" s="282">
        <f>SUM('3 pr-2'!R181)</f>
        <v>0</v>
      </c>
      <c r="AN181" s="1139"/>
      <c r="AO181" s="282">
        <f>SUM('3 pr-2'!U181)</f>
        <v>0</v>
      </c>
      <c r="AP181" s="1139"/>
      <c r="AQ181" s="282">
        <f>SUM('3 pr-2'!X181)</f>
        <v>0</v>
      </c>
      <c r="AR181" s="1139"/>
      <c r="AS181" s="1151">
        <f>SUM('3 pr-2'!AA181)</f>
        <v>626057</v>
      </c>
      <c r="AT181" s="1139">
        <f t="shared" si="444"/>
        <v>626057</v>
      </c>
      <c r="AU181" s="1071">
        <v>0</v>
      </c>
      <c r="AV181" s="1071">
        <v>0</v>
      </c>
      <c r="AW181" s="1071">
        <v>0</v>
      </c>
      <c r="AX181" s="283">
        <v>0</v>
      </c>
      <c r="AY181" s="283">
        <v>0</v>
      </c>
      <c r="AZ181" s="283">
        <v>0</v>
      </c>
      <c r="BA181" s="283">
        <v>0</v>
      </c>
      <c r="BB181" s="1071">
        <v>0</v>
      </c>
      <c r="BC181" s="1093">
        <v>0</v>
      </c>
      <c r="BD181" s="283">
        <v>0</v>
      </c>
      <c r="BE181" s="283">
        <v>0</v>
      </c>
      <c r="BF181" s="283">
        <v>0</v>
      </c>
      <c r="BG181" s="283">
        <v>0</v>
      </c>
      <c r="BH181" s="1093">
        <v>0</v>
      </c>
      <c r="BI181" s="1093">
        <v>0</v>
      </c>
      <c r="BJ181" s="283">
        <v>0</v>
      </c>
      <c r="BK181" s="283">
        <v>0</v>
      </c>
      <c r="BL181" s="283">
        <v>0</v>
      </c>
      <c r="BM181" s="283">
        <v>0</v>
      </c>
      <c r="BN181" s="1093">
        <v>0</v>
      </c>
      <c r="BO181" s="1093">
        <v>100</v>
      </c>
      <c r="BP181" s="283">
        <v>100</v>
      </c>
      <c r="BQ181" s="283">
        <v>100</v>
      </c>
      <c r="BR181" s="283">
        <v>100</v>
      </c>
      <c r="BS181" s="283">
        <v>100</v>
      </c>
      <c r="BT181" s="1093">
        <v>100</v>
      </c>
      <c r="BU181" s="1093">
        <v>0</v>
      </c>
      <c r="BV181" s="283">
        <v>0</v>
      </c>
      <c r="BW181" s="283">
        <v>0</v>
      </c>
      <c r="BX181" s="283">
        <v>0</v>
      </c>
      <c r="BY181" s="283">
        <v>0</v>
      </c>
      <c r="BZ181" s="1093">
        <v>0</v>
      </c>
      <c r="CA181" s="24">
        <v>100</v>
      </c>
      <c r="CB181" s="283">
        <v>100</v>
      </c>
      <c r="CC181" s="283">
        <v>100</v>
      </c>
      <c r="CD181" s="283">
        <v>100</v>
      </c>
      <c r="CE181" s="283">
        <v>100</v>
      </c>
      <c r="CF181" s="359">
        <v>100</v>
      </c>
      <c r="CG181" s="1112">
        <f>SUM('3 pr-2'!AI181)</f>
        <v>43342</v>
      </c>
      <c r="CH181" s="1112">
        <f>SUM('3 pr-2'!AK181)</f>
        <v>43830</v>
      </c>
      <c r="CI181" s="1138">
        <f t="shared" si="445"/>
        <v>626057</v>
      </c>
      <c r="CK181" s="1169">
        <f t="shared" si="474"/>
        <v>1509.2984570877531</v>
      </c>
      <c r="CL181" s="1169">
        <f t="shared" si="475"/>
        <v>226.39476856316296</v>
      </c>
      <c r="CM181" s="1169">
        <f t="shared" si="476"/>
        <v>0</v>
      </c>
      <c r="CN181" s="1171">
        <f t="shared" si="477"/>
        <v>1282.9036885245901</v>
      </c>
      <c r="CQ181" s="1069">
        <f t="shared" si="453"/>
        <v>736537.64705882361</v>
      </c>
      <c r="CR181" s="1070">
        <f>SUM(J181+P181+V181+AB181+AH181)</f>
        <v>626057</v>
      </c>
    </row>
    <row r="182" spans="1:96" ht="39" thickBot="1" x14ac:dyDescent="0.3">
      <c r="A182" s="58" t="str">
        <f>CONCATENATE('3 pr-2'!A182)</f>
        <v>3.1.2.1.9</v>
      </c>
      <c r="B182" s="22" t="str">
        <f>CONCATENATE('3 pr-2'!D182)</f>
        <v>Etaloninio kraštovaizdžio formavimas Druskininkų savivaldybės pasienyje</v>
      </c>
      <c r="C182" s="85">
        <v>0</v>
      </c>
      <c r="D182" s="85">
        <v>0</v>
      </c>
      <c r="E182" s="85">
        <v>0</v>
      </c>
      <c r="F182" s="282">
        <v>0</v>
      </c>
      <c r="G182" s="282">
        <v>0</v>
      </c>
      <c r="H182" s="282">
        <v>0</v>
      </c>
      <c r="I182" s="282">
        <v>0</v>
      </c>
      <c r="J182" s="85">
        <v>0</v>
      </c>
      <c r="K182" s="305">
        <f>SUM('ketv. 7 '!M180-'IV-1 su proj'!E182)</f>
        <v>0</v>
      </c>
      <c r="L182" s="286">
        <f>SUM('ketv. 7 '!R180-'IV-1 su proj'!F182)</f>
        <v>0</v>
      </c>
      <c r="M182" s="286">
        <v>0</v>
      </c>
      <c r="N182" s="286">
        <v>0</v>
      </c>
      <c r="O182" s="286">
        <v>0</v>
      </c>
      <c r="P182" s="361">
        <f>SUM('ketv. 7 '!AL180-'IV-1 su proj'!J182)</f>
        <v>0</v>
      </c>
      <c r="Q182" s="361">
        <v>0</v>
      </c>
      <c r="R182" s="286">
        <v>0</v>
      </c>
      <c r="S182" s="286">
        <v>0</v>
      </c>
      <c r="T182" s="286">
        <v>0</v>
      </c>
      <c r="U182" s="286">
        <v>0</v>
      </c>
      <c r="V182" s="361">
        <v>0</v>
      </c>
      <c r="W182" s="361">
        <f>SUM($W$3-$CG$182)*CK182</f>
        <v>29508.03137254902</v>
      </c>
      <c r="X182" s="286">
        <f>SUM($W$3-$CG$182)*CL182</f>
        <v>4426.2047058823537</v>
      </c>
      <c r="Y182" s="286">
        <f>SUM($W$3-$CG$182)*CM182</f>
        <v>0</v>
      </c>
      <c r="Z182" s="286">
        <v>0</v>
      </c>
      <c r="AA182" s="286">
        <v>0</v>
      </c>
      <c r="AB182" s="85">
        <f>SUM($W$3-$CG$182)*CN182</f>
        <v>25081.826666666664</v>
      </c>
      <c r="AC182" s="85">
        <f>SUM($CH$182-$W$3)*CK182</f>
        <v>59016.062745098039</v>
      </c>
      <c r="AD182" s="282">
        <f>SUM($CH$182-$W$3)*CL182</f>
        <v>8852.4094117647073</v>
      </c>
      <c r="AE182" s="282">
        <f>SUM($CH$182-$W$3)*CM182</f>
        <v>0</v>
      </c>
      <c r="AF182" s="282">
        <v>0</v>
      </c>
      <c r="AG182" s="282">
        <v>0</v>
      </c>
      <c r="AH182" s="85">
        <f>SUM($CH$182-$W$3)*CN182</f>
        <v>50163.653333333328</v>
      </c>
      <c r="AI182" s="767">
        <f>SUM('3 pr-2'!L182)</f>
        <v>88524.094117647051</v>
      </c>
      <c r="AJ182" s="1139">
        <f t="shared" si="454"/>
        <v>88524.094117647051</v>
      </c>
      <c r="AK182" s="282">
        <f>SUM('3 pr-2'!O182)</f>
        <v>13278.614117647059</v>
      </c>
      <c r="AL182" s="1139">
        <f t="shared" si="443"/>
        <v>13278.614117647059</v>
      </c>
      <c r="AM182" s="282">
        <f>SUM('3 pr-2'!R182)</f>
        <v>0</v>
      </c>
      <c r="AN182" s="1139"/>
      <c r="AO182" s="282">
        <f>SUM('3 pr-2'!U182)</f>
        <v>0</v>
      </c>
      <c r="AP182" s="1139"/>
      <c r="AQ182" s="282">
        <f>SUM('3 pr-2'!X182)</f>
        <v>0</v>
      </c>
      <c r="AR182" s="1139"/>
      <c r="AS182" s="1151">
        <f>SUM('3 pr-2'!AA182)</f>
        <v>75245.48</v>
      </c>
      <c r="AT182" s="1139">
        <f t="shared" si="444"/>
        <v>75245.48</v>
      </c>
      <c r="AU182" s="1071"/>
      <c r="AV182" s="1071"/>
      <c r="AW182" s="1071"/>
      <c r="AX182" s="283"/>
      <c r="AY182" s="283"/>
      <c r="AZ182" s="283"/>
      <c r="BA182" s="283"/>
      <c r="BB182" s="1071"/>
      <c r="BC182" s="1093"/>
      <c r="BD182" s="283"/>
      <c r="BE182" s="283"/>
      <c r="BF182" s="283"/>
      <c r="BG182" s="283"/>
      <c r="BH182" s="1093"/>
      <c r="BI182" s="1093"/>
      <c r="BJ182" s="283"/>
      <c r="BK182" s="283"/>
      <c r="BL182" s="283"/>
      <c r="BM182" s="283"/>
      <c r="BN182" s="1093"/>
      <c r="BO182" s="1093"/>
      <c r="BP182" s="283"/>
      <c r="BQ182" s="283"/>
      <c r="BR182" s="283"/>
      <c r="BS182" s="283"/>
      <c r="BT182" s="1093"/>
      <c r="BU182" s="1093"/>
      <c r="BV182" s="283"/>
      <c r="BW182" s="283"/>
      <c r="BX182" s="283"/>
      <c r="BY182" s="283"/>
      <c r="BZ182" s="1093"/>
      <c r="CA182" s="24"/>
      <c r="CB182" s="283"/>
      <c r="CC182" s="283"/>
      <c r="CD182" s="283"/>
      <c r="CE182" s="283"/>
      <c r="CF182" s="359"/>
      <c r="CG182" s="1112">
        <f>SUM('3 pr-2'!AI182)</f>
        <v>43647</v>
      </c>
      <c r="CH182" s="1112">
        <f>SUM('3 pr-2'!AK182)</f>
        <v>44196</v>
      </c>
      <c r="CI182" s="1138">
        <f t="shared" si="445"/>
        <v>75245.48</v>
      </c>
      <c r="CJ182" s="25">
        <f>SUM(AC3-AC2)</f>
        <v>365</v>
      </c>
      <c r="CK182" s="1169">
        <f t="shared" si="474"/>
        <v>161.24607307403835</v>
      </c>
      <c r="CL182" s="1169">
        <f t="shared" si="475"/>
        <v>24.186910961105756</v>
      </c>
      <c r="CM182" s="1169">
        <f t="shared" si="476"/>
        <v>0</v>
      </c>
      <c r="CN182" s="1171">
        <f t="shared" si="477"/>
        <v>137.0591621129326</v>
      </c>
      <c r="CQ182" s="1069">
        <f t="shared" si="453"/>
        <v>88524.094117647066</v>
      </c>
      <c r="CR182" s="1070">
        <f>SUM(J182+P182+V182+AB182+AH182)</f>
        <v>75245.48</v>
      </c>
    </row>
    <row r="183" spans="1:96" ht="15.75" thickBot="1" x14ac:dyDescent="0.3">
      <c r="A183" s="129"/>
      <c r="B183" s="115"/>
      <c r="C183" s="1828" t="s">
        <v>45</v>
      </c>
      <c r="D183" s="1829"/>
      <c r="E183" s="1829"/>
      <c r="F183" s="1829"/>
      <c r="G183" s="1829"/>
      <c r="H183" s="1829"/>
      <c r="I183" s="1829"/>
      <c r="J183" s="1829"/>
      <c r="K183" s="1829"/>
      <c r="L183" s="1829"/>
      <c r="M183" s="1829"/>
      <c r="N183" s="1829"/>
      <c r="O183" s="1829"/>
      <c r="P183" s="1829"/>
      <c r="Q183" s="1829"/>
      <c r="R183" s="1829"/>
      <c r="S183" s="1829"/>
      <c r="T183" s="1829"/>
      <c r="U183" s="1829"/>
      <c r="V183" s="1829"/>
      <c r="W183" s="1829"/>
      <c r="X183" s="1829"/>
      <c r="Y183" s="1829"/>
      <c r="Z183" s="1829"/>
      <c r="AA183" s="1829"/>
      <c r="AB183" s="1829"/>
      <c r="AC183" s="1829"/>
      <c r="AD183" s="1829"/>
      <c r="AE183" s="1829"/>
      <c r="AF183" s="1829"/>
      <c r="AG183" s="1829"/>
      <c r="AH183" s="1829"/>
      <c r="AI183" s="1829"/>
      <c r="AJ183" s="1829"/>
      <c r="AK183" s="1829"/>
      <c r="AL183" s="1829"/>
      <c r="AM183" s="1829"/>
      <c r="AN183" s="1829"/>
      <c r="AO183" s="1829"/>
      <c r="AP183" s="1829"/>
      <c r="AQ183" s="1829"/>
      <c r="AR183" s="1829"/>
      <c r="AS183" s="1830"/>
      <c r="AT183" s="1154"/>
      <c r="AV183" s="68">
        <f>SUM(V173+AB173+AH173)</f>
        <v>1891689.72</v>
      </c>
      <c r="AX183" s="1134"/>
      <c r="AY183" s="1134"/>
      <c r="AZ183" s="1134"/>
      <c r="BA183" s="1134"/>
      <c r="BD183" s="1134"/>
      <c r="BE183" s="1134"/>
      <c r="BF183" s="1134"/>
      <c r="BG183" s="1134"/>
      <c r="BJ183" s="1134"/>
      <c r="BK183" s="1134"/>
      <c r="BL183" s="1134"/>
      <c r="BM183" s="1134"/>
      <c r="BP183" s="1134"/>
      <c r="BQ183" s="1134"/>
      <c r="BR183" s="1134"/>
      <c r="BS183" s="1134"/>
      <c r="BV183" s="1134"/>
      <c r="BW183" s="1134"/>
      <c r="BX183" s="1134"/>
      <c r="BY183" s="1134"/>
      <c r="CB183" s="1134"/>
      <c r="CC183" s="1134"/>
      <c r="CD183" s="1134"/>
      <c r="CE183" s="1134"/>
      <c r="CG183" s="23"/>
      <c r="CH183" s="23"/>
    </row>
    <row r="184" spans="1:96" ht="29.25" customHeight="1" thickBot="1" x14ac:dyDescent="0.3">
      <c r="A184" s="129"/>
      <c r="B184" s="115"/>
      <c r="C184" s="1821">
        <v>2015</v>
      </c>
      <c r="D184" s="1822"/>
      <c r="E184" s="1823">
        <v>2016</v>
      </c>
      <c r="F184" s="1824"/>
      <c r="G184" s="1824"/>
      <c r="H184" s="1824"/>
      <c r="I184" s="1824"/>
      <c r="J184" s="1822"/>
      <c r="K184" s="1823">
        <v>2017</v>
      </c>
      <c r="L184" s="1824"/>
      <c r="M184" s="1824"/>
      <c r="N184" s="1824"/>
      <c r="O184" s="1824"/>
      <c r="P184" s="1822"/>
      <c r="Q184" s="1823">
        <v>2018</v>
      </c>
      <c r="R184" s="1824"/>
      <c r="S184" s="1824"/>
      <c r="T184" s="1824"/>
      <c r="U184" s="1824"/>
      <c r="V184" s="1822"/>
      <c r="W184" s="1823">
        <v>2019</v>
      </c>
      <c r="X184" s="1824"/>
      <c r="Y184" s="1824"/>
      <c r="Z184" s="1824"/>
      <c r="AA184" s="1824"/>
      <c r="AB184" s="1822"/>
      <c r="AC184" s="1823">
        <v>2020</v>
      </c>
      <c r="AD184" s="1824"/>
      <c r="AE184" s="1824"/>
      <c r="AF184" s="1824"/>
      <c r="AG184" s="1824"/>
      <c r="AH184" s="1822"/>
      <c r="AI184" s="1155" t="s">
        <v>6</v>
      </c>
      <c r="AJ184" s="1156"/>
      <c r="AK184" s="1157"/>
      <c r="AL184" s="1157"/>
      <c r="AM184" s="1157"/>
      <c r="AN184" s="1157"/>
      <c r="AO184" s="1157"/>
      <c r="AP184" s="1157"/>
      <c r="AQ184" s="1157"/>
      <c r="AR184" s="1157"/>
      <c r="AS184" s="1158"/>
      <c r="AT184" s="1039"/>
      <c r="BN184" s="1113"/>
      <c r="BO184" s="1113"/>
      <c r="BT184" s="1113"/>
      <c r="BU184" s="176"/>
      <c r="CG184" s="23"/>
      <c r="CH184" s="23"/>
    </row>
    <row r="185" spans="1:96" ht="29.25" customHeight="1" thickBot="1" x14ac:dyDescent="0.3">
      <c r="A185" s="129"/>
      <c r="B185" s="115"/>
      <c r="C185" s="1041" t="s">
        <v>9</v>
      </c>
      <c r="D185" s="1041" t="s">
        <v>10</v>
      </c>
      <c r="E185" s="1041" t="s">
        <v>9</v>
      </c>
      <c r="F185" s="1041"/>
      <c r="G185" s="1041"/>
      <c r="H185" s="1041"/>
      <c r="I185" s="1041"/>
      <c r="J185" s="1041" t="s">
        <v>10</v>
      </c>
      <c r="K185" s="1041" t="s">
        <v>9</v>
      </c>
      <c r="L185" s="1041"/>
      <c r="M185" s="1041"/>
      <c r="N185" s="1041"/>
      <c r="O185" s="1041"/>
      <c r="P185" s="1041" t="s">
        <v>10</v>
      </c>
      <c r="Q185" s="1041" t="s">
        <v>9</v>
      </c>
      <c r="R185" s="1041"/>
      <c r="S185" s="1041"/>
      <c r="T185" s="1041"/>
      <c r="U185" s="1041"/>
      <c r="V185" s="1041" t="s">
        <v>10</v>
      </c>
      <c r="W185" s="1041" t="s">
        <v>9</v>
      </c>
      <c r="X185" s="1041"/>
      <c r="Y185" s="1041"/>
      <c r="Z185" s="1041"/>
      <c r="AA185" s="1041"/>
      <c r="AB185" s="1041" t="s">
        <v>10</v>
      </c>
      <c r="AC185" s="1041" t="s">
        <v>9</v>
      </c>
      <c r="AD185" s="1041"/>
      <c r="AE185" s="1041"/>
      <c r="AF185" s="1041"/>
      <c r="AG185" s="1041"/>
      <c r="AH185" s="1041" t="s">
        <v>10</v>
      </c>
      <c r="AI185" s="1041" t="s">
        <v>9</v>
      </c>
      <c r="AJ185" s="1041"/>
      <c r="AK185" s="1041"/>
      <c r="AL185" s="1041"/>
      <c r="AM185" s="1041"/>
      <c r="AN185" s="1041"/>
      <c r="AO185" s="1041"/>
      <c r="AP185" s="1041"/>
      <c r="AQ185" s="1041"/>
      <c r="AR185" s="1157"/>
      <c r="AS185" s="1159" t="s">
        <v>10</v>
      </c>
      <c r="AT185" s="1048"/>
      <c r="AX185" s="1041"/>
      <c r="AY185" s="1041"/>
      <c r="AZ185" s="1041"/>
      <c r="BA185" s="1041"/>
      <c r="BD185" s="1041"/>
      <c r="BE185" s="1041"/>
      <c r="BF185" s="1041"/>
      <c r="BG185" s="1041"/>
      <c r="BJ185" s="1041"/>
      <c r="BK185" s="1041"/>
      <c r="BL185" s="1041"/>
      <c r="BM185" s="1041"/>
      <c r="BP185" s="1041"/>
      <c r="BQ185" s="1041"/>
      <c r="BR185" s="1041"/>
      <c r="BS185" s="1041"/>
      <c r="BV185" s="1041"/>
      <c r="BW185" s="1041"/>
      <c r="BX185" s="1041"/>
      <c r="BY185" s="1041"/>
      <c r="CB185" s="1041"/>
      <c r="CC185" s="1041"/>
      <c r="CD185" s="1041"/>
      <c r="CE185" s="1041"/>
      <c r="CG185" s="23"/>
      <c r="CH185" s="23"/>
    </row>
    <row r="186" spans="1:96" ht="29.25" customHeight="1" thickBot="1" x14ac:dyDescent="0.3">
      <c r="A186" s="131"/>
      <c r="B186" s="124"/>
      <c r="C186" s="1160">
        <f>SUM(C6+C99+C167)</f>
        <v>0</v>
      </c>
      <c r="D186" s="1160">
        <f>SUM(D6+D99+D167)</f>
        <v>0</v>
      </c>
      <c r="E186" s="1160">
        <f>SUM(E6+E99+E167)</f>
        <v>1107408.0345507418</v>
      </c>
      <c r="F186" s="1041"/>
      <c r="G186" s="1041"/>
      <c r="H186" s="1041"/>
      <c r="I186" s="1041"/>
      <c r="J186" s="1160">
        <f>SUM(J6+J99+J167)</f>
        <v>608263.2015903896</v>
      </c>
      <c r="K186" s="1160">
        <f>SUM(K6+K99+K167)</f>
        <v>8016017.6799999988</v>
      </c>
      <c r="L186" s="1161"/>
      <c r="M186" s="1161"/>
      <c r="N186" s="1161"/>
      <c r="O186" s="1161"/>
      <c r="P186" s="1160">
        <f>SUM(P6+P99+P167)</f>
        <v>6840851.71840961</v>
      </c>
      <c r="Q186" s="1160">
        <f>SUM(Q6+Q99+Q167)</f>
        <v>24959227.891321249</v>
      </c>
      <c r="R186" s="1161"/>
      <c r="S186" s="1161"/>
      <c r="T186" s="1161"/>
      <c r="U186" s="1161"/>
      <c r="V186" s="1160">
        <f>SUM(V6+V99+V167)</f>
        <v>16988945.38147546</v>
      </c>
      <c r="W186" s="1160">
        <f>SUM(W6+W99+W167)</f>
        <v>20526467.1646243</v>
      </c>
      <c r="X186" s="1161"/>
      <c r="Y186" s="1161"/>
      <c r="Z186" s="1161"/>
      <c r="AA186" s="1161"/>
      <c r="AB186" s="1160">
        <f>SUM(AB6+AB99+AB167)</f>
        <v>14687189.718889443</v>
      </c>
      <c r="AC186" s="1160">
        <f>SUM(AC6+AC99+AC167)</f>
        <v>12617533.497739002</v>
      </c>
      <c r="AD186" s="1161"/>
      <c r="AE186" s="1161"/>
      <c r="AF186" s="1161"/>
      <c r="AG186" s="1161"/>
      <c r="AH186" s="1160">
        <f>SUM(AH6+AH99+AH167)</f>
        <v>8988919.1096350942</v>
      </c>
      <c r="AI186" s="1162">
        <f>SUM(AI6+AI99+AI167)</f>
        <v>67226654.268235296</v>
      </c>
      <c r="AJ186" s="1163"/>
      <c r="AK186" s="1160"/>
      <c r="AL186" s="1160"/>
      <c r="AM186" s="1160"/>
      <c r="AN186" s="1160"/>
      <c r="AO186" s="1160"/>
      <c r="AP186" s="1160"/>
      <c r="AQ186" s="1160"/>
      <c r="AR186" s="1164"/>
      <c r="AS186" s="1162">
        <f>SUM(AS6+AS99+AS167)</f>
        <v>48114169.129999995</v>
      </c>
      <c r="AT186" s="1165"/>
      <c r="AX186" s="1160"/>
      <c r="AY186" s="1160"/>
      <c r="AZ186" s="1160"/>
      <c r="BA186" s="1160"/>
      <c r="BD186" s="1160"/>
      <c r="BE186" s="1160"/>
      <c r="BF186" s="1160"/>
      <c r="BG186" s="1160"/>
      <c r="BJ186" s="1160"/>
      <c r="BK186" s="1160"/>
      <c r="BL186" s="1160"/>
      <c r="BM186" s="1160"/>
      <c r="BP186" s="1160"/>
      <c r="BQ186" s="1160"/>
      <c r="BR186" s="1160"/>
      <c r="BS186" s="1160"/>
      <c r="BV186" s="1160"/>
      <c r="BW186" s="1160"/>
      <c r="BX186" s="1160"/>
      <c r="BY186" s="1160"/>
      <c r="CB186" s="1160"/>
      <c r="CC186" s="1160"/>
      <c r="CD186" s="1160"/>
      <c r="CE186" s="1160"/>
      <c r="CG186" s="23"/>
      <c r="CH186" s="23"/>
    </row>
    <row r="187" spans="1:96" ht="29.25" customHeight="1" thickTop="1" thickBot="1" x14ac:dyDescent="0.3">
      <c r="F187" s="1160"/>
      <c r="G187" s="1160"/>
      <c r="H187" s="1160"/>
      <c r="I187" s="1160"/>
      <c r="L187" s="1166"/>
      <c r="M187" s="1166"/>
      <c r="N187" s="1166"/>
      <c r="O187" s="1166"/>
      <c r="R187" s="1166"/>
      <c r="S187" s="1166"/>
      <c r="T187" s="1166"/>
      <c r="U187" s="1166"/>
      <c r="X187" s="1166"/>
      <c r="Y187" s="1166"/>
      <c r="Z187" s="1166"/>
      <c r="AA187" s="1166"/>
      <c r="AD187" s="1166"/>
      <c r="AE187" s="1166"/>
      <c r="AF187" s="1166"/>
      <c r="AG187" s="1166"/>
    </row>
    <row r="188" spans="1:96" ht="29.25" customHeight="1" thickTop="1" x14ac:dyDescent="0.25"/>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9"/>
  <sheetViews>
    <sheetView topLeftCell="A25" workbookViewId="0">
      <selection activeCell="C50" sqref="C50"/>
    </sheetView>
  </sheetViews>
  <sheetFormatPr defaultColWidth="9" defaultRowHeight="15" x14ac:dyDescent="0.25"/>
  <cols>
    <col min="2" max="2" width="53.140625" customWidth="1"/>
    <col min="3" max="3" width="70" customWidth="1"/>
    <col min="4" max="4" width="20.7109375" customWidth="1"/>
  </cols>
  <sheetData>
    <row r="1" spans="2:17" x14ac:dyDescent="0.25">
      <c r="B1" t="s">
        <v>1693</v>
      </c>
      <c r="C1" t="s">
        <v>372</v>
      </c>
      <c r="D1" t="s">
        <v>371</v>
      </c>
      <c r="G1" t="s">
        <v>1694</v>
      </c>
      <c r="H1" t="s">
        <v>1695</v>
      </c>
      <c r="I1" t="s">
        <v>1696</v>
      </c>
      <c r="J1" t="s">
        <v>1697</v>
      </c>
      <c r="K1" t="s">
        <v>1698</v>
      </c>
      <c r="L1" t="s">
        <v>1699</v>
      </c>
      <c r="M1" t="s">
        <v>1700</v>
      </c>
      <c r="N1" t="s">
        <v>1701</v>
      </c>
      <c r="O1" t="s">
        <v>1702</v>
      </c>
      <c r="P1" t="s">
        <v>1703</v>
      </c>
      <c r="Q1" t="s">
        <v>1704</v>
      </c>
    </row>
    <row r="2" spans="2:17" x14ac:dyDescent="0.25">
      <c r="D2" s="1304" t="s">
        <v>1705</v>
      </c>
    </row>
    <row r="3" spans="2:17" x14ac:dyDescent="0.25">
      <c r="C3" t="s">
        <v>375</v>
      </c>
      <c r="D3" s="1304" t="s">
        <v>1706</v>
      </c>
      <c r="G3" t="s">
        <v>375</v>
      </c>
      <c r="H3" t="s">
        <v>375</v>
      </c>
      <c r="I3" t="s">
        <v>349</v>
      </c>
      <c r="J3" t="s">
        <v>367</v>
      </c>
      <c r="K3" t="s">
        <v>355</v>
      </c>
      <c r="L3" t="s">
        <v>1456</v>
      </c>
      <c r="M3" t="s">
        <v>1707</v>
      </c>
      <c r="N3" t="s">
        <v>1708</v>
      </c>
      <c r="O3" t="s">
        <v>355</v>
      </c>
      <c r="P3" t="s">
        <v>375</v>
      </c>
      <c r="Q3" t="s">
        <v>375</v>
      </c>
    </row>
    <row r="4" spans="2:17" x14ac:dyDescent="0.25">
      <c r="C4" t="s">
        <v>351</v>
      </c>
      <c r="D4" s="1304" t="s">
        <v>1709</v>
      </c>
      <c r="G4" t="s">
        <v>351</v>
      </c>
      <c r="H4" t="s">
        <v>351</v>
      </c>
      <c r="I4" t="s">
        <v>352</v>
      </c>
      <c r="J4" t="s">
        <v>366</v>
      </c>
      <c r="K4" t="s">
        <v>353</v>
      </c>
      <c r="L4" t="s">
        <v>363</v>
      </c>
      <c r="M4" t="s">
        <v>1710</v>
      </c>
      <c r="N4" t="s">
        <v>342</v>
      </c>
      <c r="O4" t="s">
        <v>358</v>
      </c>
      <c r="P4" t="s">
        <v>351</v>
      </c>
      <c r="Q4" t="s">
        <v>351</v>
      </c>
    </row>
    <row r="5" spans="2:17" x14ac:dyDescent="0.25">
      <c r="C5" t="s">
        <v>1711</v>
      </c>
      <c r="D5" s="1304" t="s">
        <v>1712</v>
      </c>
      <c r="G5" t="s">
        <v>1711</v>
      </c>
      <c r="H5" t="s">
        <v>1711</v>
      </c>
      <c r="I5" t="s">
        <v>1713</v>
      </c>
      <c r="J5" t="s">
        <v>1456</v>
      </c>
      <c r="K5" t="s">
        <v>358</v>
      </c>
      <c r="L5" t="s">
        <v>364</v>
      </c>
      <c r="M5" t="s">
        <v>360</v>
      </c>
      <c r="N5" t="s">
        <v>348</v>
      </c>
      <c r="O5" t="s">
        <v>354</v>
      </c>
      <c r="P5" t="s">
        <v>1711</v>
      </c>
      <c r="Q5" t="s">
        <v>1711</v>
      </c>
    </row>
    <row r="6" spans="2:17" x14ac:dyDescent="0.25">
      <c r="C6" t="s">
        <v>1714</v>
      </c>
      <c r="D6" s="1304" t="s">
        <v>1715</v>
      </c>
      <c r="G6" t="s">
        <v>1714</v>
      </c>
      <c r="H6" t="s">
        <v>1716</v>
      </c>
      <c r="I6" t="s">
        <v>1716</v>
      </c>
      <c r="J6" t="s">
        <v>363</v>
      </c>
      <c r="K6" t="s">
        <v>354</v>
      </c>
      <c r="L6" t="s">
        <v>1716</v>
      </c>
      <c r="M6" t="s">
        <v>362</v>
      </c>
      <c r="N6" t="s">
        <v>1717</v>
      </c>
      <c r="O6" t="s">
        <v>1718</v>
      </c>
      <c r="P6" t="s">
        <v>369</v>
      </c>
      <c r="Q6" t="s">
        <v>1714</v>
      </c>
    </row>
    <row r="7" spans="2:17" x14ac:dyDescent="0.25">
      <c r="C7" t="s">
        <v>369</v>
      </c>
      <c r="D7" s="1304" t="s">
        <v>1719</v>
      </c>
      <c r="G7" t="s">
        <v>369</v>
      </c>
      <c r="H7" t="s">
        <v>1720</v>
      </c>
      <c r="I7" t="s">
        <v>1720</v>
      </c>
      <c r="J7" t="s">
        <v>365</v>
      </c>
      <c r="K7" t="s">
        <v>1718</v>
      </c>
      <c r="L7" t="s">
        <v>1720</v>
      </c>
      <c r="M7" t="s">
        <v>361</v>
      </c>
      <c r="N7" t="s">
        <v>352</v>
      </c>
      <c r="O7" t="s">
        <v>1721</v>
      </c>
      <c r="P7" t="s">
        <v>344</v>
      </c>
      <c r="Q7" t="s">
        <v>369</v>
      </c>
    </row>
    <row r="8" spans="2:17" x14ac:dyDescent="0.25">
      <c r="C8" t="s">
        <v>344</v>
      </c>
      <c r="D8" s="1304" t="s">
        <v>1722</v>
      </c>
      <c r="G8" t="s">
        <v>344</v>
      </c>
      <c r="H8" t="s">
        <v>1723</v>
      </c>
      <c r="I8" t="s">
        <v>1723</v>
      </c>
      <c r="J8" t="s">
        <v>1716</v>
      </c>
      <c r="K8" t="s">
        <v>1721</v>
      </c>
      <c r="L8" t="s">
        <v>1723</v>
      </c>
      <c r="M8" t="s">
        <v>1716</v>
      </c>
      <c r="N8" t="s">
        <v>1724</v>
      </c>
      <c r="O8" t="s">
        <v>356</v>
      </c>
      <c r="P8" t="s">
        <v>345</v>
      </c>
      <c r="Q8" t="s">
        <v>344</v>
      </c>
    </row>
    <row r="9" spans="2:17" x14ac:dyDescent="0.25">
      <c r="C9" t="s">
        <v>345</v>
      </c>
      <c r="D9" s="1304" t="s">
        <v>1725</v>
      </c>
      <c r="G9" t="s">
        <v>345</v>
      </c>
      <c r="J9" t="s">
        <v>1720</v>
      </c>
      <c r="K9" t="s">
        <v>1726</v>
      </c>
      <c r="M9" t="s">
        <v>1720</v>
      </c>
      <c r="N9" t="s">
        <v>1713</v>
      </c>
      <c r="O9" t="s">
        <v>361</v>
      </c>
      <c r="P9" t="s">
        <v>346</v>
      </c>
      <c r="Q9" t="s">
        <v>345</v>
      </c>
    </row>
    <row r="10" spans="2:17" x14ac:dyDescent="0.25">
      <c r="C10" t="s">
        <v>346</v>
      </c>
      <c r="D10" s="1304" t="s">
        <v>1727</v>
      </c>
      <c r="G10" t="s">
        <v>346</v>
      </c>
      <c r="J10" t="s">
        <v>1723</v>
      </c>
      <c r="K10" t="s">
        <v>1728</v>
      </c>
      <c r="M10" t="s">
        <v>1723</v>
      </c>
      <c r="N10" t="s">
        <v>1716</v>
      </c>
      <c r="O10" t="s">
        <v>341</v>
      </c>
      <c r="P10" t="s">
        <v>355</v>
      </c>
      <c r="Q10" t="s">
        <v>346</v>
      </c>
    </row>
    <row r="11" spans="2:17" x14ac:dyDescent="0.25">
      <c r="C11" t="s">
        <v>355</v>
      </c>
      <c r="D11" s="1304" t="s">
        <v>1729</v>
      </c>
      <c r="G11" t="s">
        <v>355</v>
      </c>
      <c r="K11" t="s">
        <v>1730</v>
      </c>
      <c r="N11" t="s">
        <v>1720</v>
      </c>
      <c r="O11" t="s">
        <v>339</v>
      </c>
      <c r="P11" t="s">
        <v>358</v>
      </c>
      <c r="Q11" t="s">
        <v>355</v>
      </c>
    </row>
    <row r="12" spans="2:17" x14ac:dyDescent="0.25">
      <c r="C12" t="s">
        <v>353</v>
      </c>
      <c r="D12" s="1304" t="s">
        <v>1731</v>
      </c>
      <c r="G12" t="s">
        <v>353</v>
      </c>
      <c r="K12" t="s">
        <v>1430</v>
      </c>
      <c r="N12" t="s">
        <v>1723</v>
      </c>
      <c r="O12" t="s">
        <v>338</v>
      </c>
      <c r="P12" t="s">
        <v>354</v>
      </c>
      <c r="Q12" t="s">
        <v>353</v>
      </c>
    </row>
    <row r="13" spans="2:17" x14ac:dyDescent="0.25">
      <c r="C13" t="s">
        <v>358</v>
      </c>
      <c r="D13" s="1304" t="s">
        <v>1732</v>
      </c>
      <c r="G13" t="s">
        <v>356</v>
      </c>
      <c r="K13" t="s">
        <v>356</v>
      </c>
      <c r="O13" t="s">
        <v>1733</v>
      </c>
      <c r="P13" t="s">
        <v>1718</v>
      </c>
      <c r="Q13" t="s">
        <v>358</v>
      </c>
    </row>
    <row r="14" spans="2:17" x14ac:dyDescent="0.25">
      <c r="C14" t="s">
        <v>354</v>
      </c>
      <c r="D14" s="1304" t="s">
        <v>1734</v>
      </c>
      <c r="G14" t="s">
        <v>341</v>
      </c>
      <c r="K14" t="s">
        <v>357</v>
      </c>
      <c r="O14" t="s">
        <v>363</v>
      </c>
      <c r="P14" t="s">
        <v>1721</v>
      </c>
      <c r="Q14" t="s">
        <v>354</v>
      </c>
    </row>
    <row r="15" spans="2:17" x14ac:dyDescent="0.25">
      <c r="C15" t="s">
        <v>1718</v>
      </c>
      <c r="D15" s="1304" t="s">
        <v>1735</v>
      </c>
      <c r="G15" t="s">
        <v>1708</v>
      </c>
      <c r="K15" t="s">
        <v>368</v>
      </c>
      <c r="O15" t="s">
        <v>349</v>
      </c>
      <c r="P15" t="s">
        <v>361</v>
      </c>
      <c r="Q15" t="s">
        <v>1718</v>
      </c>
    </row>
    <row r="16" spans="2:17" x14ac:dyDescent="0.25">
      <c r="C16" t="s">
        <v>1721</v>
      </c>
      <c r="D16" s="1304" t="s">
        <v>1736</v>
      </c>
      <c r="G16" t="s">
        <v>1737</v>
      </c>
      <c r="K16" t="s">
        <v>1716</v>
      </c>
      <c r="O16" t="s">
        <v>340</v>
      </c>
      <c r="P16" t="s">
        <v>1456</v>
      </c>
      <c r="Q16" t="s">
        <v>1721</v>
      </c>
    </row>
    <row r="17" spans="3:17" x14ac:dyDescent="0.25">
      <c r="C17" t="s">
        <v>1726</v>
      </c>
      <c r="D17" s="1304" t="s">
        <v>1738</v>
      </c>
      <c r="G17" t="s">
        <v>370</v>
      </c>
      <c r="O17" t="s">
        <v>1708</v>
      </c>
      <c r="P17" t="s">
        <v>341</v>
      </c>
      <c r="Q17" t="s">
        <v>1726</v>
      </c>
    </row>
    <row r="18" spans="3:17" x14ac:dyDescent="0.25">
      <c r="C18" t="s">
        <v>1728</v>
      </c>
      <c r="D18" s="1304" t="s">
        <v>1739</v>
      </c>
      <c r="G18" t="s">
        <v>1740</v>
      </c>
      <c r="O18" t="s">
        <v>342</v>
      </c>
      <c r="P18" t="s">
        <v>339</v>
      </c>
      <c r="Q18" t="s">
        <v>1728</v>
      </c>
    </row>
    <row r="19" spans="3:17" x14ac:dyDescent="0.25">
      <c r="C19" t="s">
        <v>1730</v>
      </c>
      <c r="D19" s="1304" t="s">
        <v>1741</v>
      </c>
      <c r="G19" t="s">
        <v>1742</v>
      </c>
      <c r="O19" t="s">
        <v>357</v>
      </c>
      <c r="P19" t="s">
        <v>338</v>
      </c>
      <c r="Q19" t="s">
        <v>1730</v>
      </c>
    </row>
    <row r="20" spans="3:17" x14ac:dyDescent="0.25">
      <c r="C20" t="s">
        <v>1430</v>
      </c>
      <c r="D20" s="1304" t="s">
        <v>1743</v>
      </c>
      <c r="G20" t="s">
        <v>357</v>
      </c>
      <c r="O20" t="s">
        <v>352</v>
      </c>
      <c r="P20" t="s">
        <v>1733</v>
      </c>
      <c r="Q20" t="s">
        <v>1430</v>
      </c>
    </row>
    <row r="21" spans="3:17" x14ac:dyDescent="0.25">
      <c r="C21" t="s">
        <v>356</v>
      </c>
      <c r="D21" s="1304" t="s">
        <v>1744</v>
      </c>
      <c r="G21" t="s">
        <v>348</v>
      </c>
      <c r="O21" t="s">
        <v>1724</v>
      </c>
      <c r="P21" t="s">
        <v>363</v>
      </c>
      <c r="Q21" t="s">
        <v>356</v>
      </c>
    </row>
    <row r="22" spans="3:17" x14ac:dyDescent="0.25">
      <c r="C22" t="s">
        <v>1707</v>
      </c>
      <c r="D22" s="1304" t="s">
        <v>1745</v>
      </c>
      <c r="G22" t="s">
        <v>1717</v>
      </c>
      <c r="O22" t="s">
        <v>1713</v>
      </c>
      <c r="P22" t="s">
        <v>349</v>
      </c>
      <c r="Q22" t="s">
        <v>1707</v>
      </c>
    </row>
    <row r="23" spans="3:17" x14ac:dyDescent="0.25">
      <c r="C23" t="s">
        <v>1710</v>
      </c>
      <c r="D23" s="1304" t="s">
        <v>1746</v>
      </c>
      <c r="G23" t="s">
        <v>1724</v>
      </c>
      <c r="O23" t="s">
        <v>368</v>
      </c>
      <c r="P23" t="s">
        <v>340</v>
      </c>
      <c r="Q23" t="s">
        <v>1710</v>
      </c>
    </row>
    <row r="24" spans="3:17" x14ac:dyDescent="0.25">
      <c r="C24" t="s">
        <v>360</v>
      </c>
      <c r="D24" s="1304" t="s">
        <v>1747</v>
      </c>
      <c r="G24" t="s">
        <v>1713</v>
      </c>
      <c r="O24" t="s">
        <v>1716</v>
      </c>
      <c r="P24" t="s">
        <v>370</v>
      </c>
      <c r="Q24" t="s">
        <v>360</v>
      </c>
    </row>
    <row r="25" spans="3:17" x14ac:dyDescent="0.25">
      <c r="C25" t="s">
        <v>362</v>
      </c>
      <c r="D25" s="1304" t="s">
        <v>1748</v>
      </c>
      <c r="G25" t="s">
        <v>1716</v>
      </c>
      <c r="O25" t="s">
        <v>1720</v>
      </c>
      <c r="P25" t="s">
        <v>1740</v>
      </c>
      <c r="Q25" t="s">
        <v>362</v>
      </c>
    </row>
    <row r="26" spans="3:17" x14ac:dyDescent="0.25">
      <c r="C26" t="s">
        <v>361</v>
      </c>
      <c r="D26" s="1304" t="s">
        <v>1749</v>
      </c>
      <c r="G26" t="s">
        <v>1720</v>
      </c>
      <c r="O26" t="s">
        <v>1723</v>
      </c>
      <c r="P26" t="s">
        <v>357</v>
      </c>
      <c r="Q26" t="s">
        <v>361</v>
      </c>
    </row>
    <row r="27" spans="3:17" x14ac:dyDescent="0.25">
      <c r="C27" t="s">
        <v>367</v>
      </c>
      <c r="D27" s="1304" t="s">
        <v>1750</v>
      </c>
      <c r="G27" t="s">
        <v>1723</v>
      </c>
      <c r="P27" t="s">
        <v>348</v>
      </c>
      <c r="Q27" t="s">
        <v>367</v>
      </c>
    </row>
    <row r="28" spans="3:17" x14ac:dyDescent="0.25">
      <c r="C28" t="s">
        <v>366</v>
      </c>
      <c r="D28" s="1304" t="s">
        <v>1751</v>
      </c>
      <c r="P28" t="s">
        <v>1717</v>
      </c>
      <c r="Q28" t="s">
        <v>366</v>
      </c>
    </row>
    <row r="29" spans="3:17" x14ac:dyDescent="0.25">
      <c r="C29" t="s">
        <v>1456</v>
      </c>
      <c r="D29" s="1304" t="s">
        <v>1752</v>
      </c>
      <c r="P29" t="s">
        <v>352</v>
      </c>
      <c r="Q29" t="s">
        <v>1456</v>
      </c>
    </row>
    <row r="30" spans="3:17" ht="36.75" customHeight="1" x14ac:dyDescent="0.25">
      <c r="C30" t="s">
        <v>341</v>
      </c>
      <c r="D30" s="1304" t="s">
        <v>1753</v>
      </c>
      <c r="P30" t="s">
        <v>1724</v>
      </c>
      <c r="Q30" t="s">
        <v>341</v>
      </c>
    </row>
    <row r="31" spans="3:17" x14ac:dyDescent="0.25">
      <c r="C31" t="s">
        <v>339</v>
      </c>
      <c r="D31" s="1304" t="s">
        <v>1754</v>
      </c>
      <c r="P31" t="s">
        <v>1713</v>
      </c>
      <c r="Q31" t="s">
        <v>339</v>
      </c>
    </row>
    <row r="32" spans="3:17" x14ac:dyDescent="0.25">
      <c r="C32" t="s">
        <v>338</v>
      </c>
      <c r="D32" s="1304" t="s">
        <v>1755</v>
      </c>
      <c r="P32" t="s">
        <v>364</v>
      </c>
      <c r="Q32" t="s">
        <v>338</v>
      </c>
    </row>
    <row r="33" spans="3:17" x14ac:dyDescent="0.25">
      <c r="C33" t="s">
        <v>1733</v>
      </c>
      <c r="D33" s="1304" t="s">
        <v>1756</v>
      </c>
      <c r="P33" t="s">
        <v>365</v>
      </c>
      <c r="Q33" t="s">
        <v>1733</v>
      </c>
    </row>
    <row r="34" spans="3:17" x14ac:dyDescent="0.25">
      <c r="C34" t="s">
        <v>363</v>
      </c>
      <c r="D34" s="1304" t="s">
        <v>1757</v>
      </c>
      <c r="P34" t="s">
        <v>1716</v>
      </c>
      <c r="Q34" t="s">
        <v>363</v>
      </c>
    </row>
    <row r="35" spans="3:17" x14ac:dyDescent="0.25">
      <c r="C35" t="s">
        <v>349</v>
      </c>
      <c r="D35" s="1304" t="s">
        <v>1758</v>
      </c>
      <c r="P35" t="s">
        <v>1720</v>
      </c>
      <c r="Q35" t="s">
        <v>349</v>
      </c>
    </row>
    <row r="36" spans="3:17" x14ac:dyDescent="0.25">
      <c r="C36" t="s">
        <v>340</v>
      </c>
      <c r="D36" s="1304" t="s">
        <v>1759</v>
      </c>
      <c r="P36" t="s">
        <v>1723</v>
      </c>
      <c r="Q36" t="s">
        <v>340</v>
      </c>
    </row>
    <row r="37" spans="3:17" x14ac:dyDescent="0.25">
      <c r="C37" t="s">
        <v>1708</v>
      </c>
      <c r="D37" s="1304" t="s">
        <v>1760</v>
      </c>
      <c r="Q37" t="s">
        <v>1708</v>
      </c>
    </row>
    <row r="38" spans="3:17" x14ac:dyDescent="0.25">
      <c r="C38" t="s">
        <v>342</v>
      </c>
      <c r="D38" s="1304" t="s">
        <v>1761</v>
      </c>
      <c r="Q38" t="s">
        <v>342</v>
      </c>
    </row>
    <row r="39" spans="3:17" x14ac:dyDescent="0.25">
      <c r="C39" t="s">
        <v>1737</v>
      </c>
      <c r="D39" s="1304" t="s">
        <v>1762</v>
      </c>
      <c r="Q39" t="s">
        <v>1737</v>
      </c>
    </row>
    <row r="40" spans="3:17" x14ac:dyDescent="0.25">
      <c r="C40" t="s">
        <v>370</v>
      </c>
      <c r="D40" s="1304" t="s">
        <v>1763</v>
      </c>
      <c r="Q40" t="s">
        <v>370</v>
      </c>
    </row>
    <row r="41" spans="3:17" x14ac:dyDescent="0.25">
      <c r="C41" t="s">
        <v>1740</v>
      </c>
      <c r="D41" s="1304" t="s">
        <v>1764</v>
      </c>
      <c r="Q41" t="s">
        <v>1740</v>
      </c>
    </row>
    <row r="42" spans="3:17" x14ac:dyDescent="0.25">
      <c r="C42" t="s">
        <v>1742</v>
      </c>
      <c r="D42" s="1304" t="s">
        <v>1765</v>
      </c>
      <c r="Q42" t="s">
        <v>1742</v>
      </c>
    </row>
    <row r="43" spans="3:17" x14ac:dyDescent="0.25">
      <c r="C43" t="s">
        <v>357</v>
      </c>
      <c r="D43" s="1304" t="s">
        <v>1766</v>
      </c>
      <c r="Q43" t="s">
        <v>357</v>
      </c>
    </row>
    <row r="44" spans="3:17" x14ac:dyDescent="0.25">
      <c r="C44" t="s">
        <v>348</v>
      </c>
      <c r="D44" s="1304" t="s">
        <v>1767</v>
      </c>
      <c r="Q44" t="s">
        <v>348</v>
      </c>
    </row>
    <row r="45" spans="3:17" x14ac:dyDescent="0.25">
      <c r="C45" t="s">
        <v>1717</v>
      </c>
      <c r="D45" s="1304" t="s">
        <v>1768</v>
      </c>
      <c r="Q45" t="s">
        <v>1717</v>
      </c>
    </row>
    <row r="46" spans="3:17" x14ac:dyDescent="0.25">
      <c r="C46" t="s">
        <v>352</v>
      </c>
      <c r="D46" s="1304" t="s">
        <v>1769</v>
      </c>
      <c r="Q46" t="s">
        <v>352</v>
      </c>
    </row>
    <row r="47" spans="3:17" x14ac:dyDescent="0.25">
      <c r="C47" t="s">
        <v>1724</v>
      </c>
      <c r="D47" s="1304" t="s">
        <v>1770</v>
      </c>
      <c r="Q47" t="s">
        <v>1724</v>
      </c>
    </row>
    <row r="48" spans="3:17" x14ac:dyDescent="0.25">
      <c r="C48" t="s">
        <v>1713</v>
      </c>
      <c r="D48" s="1304" t="s">
        <v>1771</v>
      </c>
      <c r="Q48" t="s">
        <v>1713</v>
      </c>
    </row>
    <row r="49" spans="3:17" x14ac:dyDescent="0.25">
      <c r="C49" t="s">
        <v>364</v>
      </c>
      <c r="D49" s="1304" t="s">
        <v>1457</v>
      </c>
      <c r="Q49" t="s">
        <v>364</v>
      </c>
    </row>
    <row r="50" spans="3:17" x14ac:dyDescent="0.25">
      <c r="C50" t="s">
        <v>365</v>
      </c>
      <c r="D50" s="1304" t="s">
        <v>1772</v>
      </c>
      <c r="Q50" t="s">
        <v>365</v>
      </c>
    </row>
    <row r="51" spans="3:17" x14ac:dyDescent="0.25">
      <c r="C51" t="s">
        <v>368</v>
      </c>
      <c r="D51" s="1304" t="s">
        <v>1773</v>
      </c>
      <c r="Q51" t="s">
        <v>368</v>
      </c>
    </row>
    <row r="52" spans="3:17" x14ac:dyDescent="0.25">
      <c r="C52" t="s">
        <v>1716</v>
      </c>
      <c r="D52" s="1304" t="s">
        <v>1774</v>
      </c>
      <c r="Q52" t="s">
        <v>1716</v>
      </c>
    </row>
    <row r="53" spans="3:17" x14ac:dyDescent="0.25">
      <c r="C53" t="s">
        <v>1720</v>
      </c>
      <c r="D53" s="1304" t="s">
        <v>1775</v>
      </c>
      <c r="Q53" t="s">
        <v>1720</v>
      </c>
    </row>
    <row r="54" spans="3:17" x14ac:dyDescent="0.25">
      <c r="C54" t="s">
        <v>1723</v>
      </c>
      <c r="D54" s="1304" t="s">
        <v>1776</v>
      </c>
      <c r="Q54" t="s">
        <v>1723</v>
      </c>
    </row>
    <row r="58" spans="3:17" x14ac:dyDescent="0.25">
      <c r="D58" t="s">
        <v>1777</v>
      </c>
    </row>
    <row r="59" spans="3:17" x14ac:dyDescent="0.25">
      <c r="D59" t="s">
        <v>1694</v>
      </c>
    </row>
    <row r="60" spans="3:17" x14ac:dyDescent="0.25">
      <c r="D60" t="s">
        <v>1695</v>
      </c>
    </row>
    <row r="61" spans="3:17" x14ac:dyDescent="0.25">
      <c r="D61" t="s">
        <v>1696</v>
      </c>
    </row>
    <row r="62" spans="3:17" x14ac:dyDescent="0.25">
      <c r="D62" t="s">
        <v>1697</v>
      </c>
    </row>
    <row r="63" spans="3:17" x14ac:dyDescent="0.25">
      <c r="D63" t="s">
        <v>1698</v>
      </c>
    </row>
    <row r="64" spans="3:17" x14ac:dyDescent="0.25">
      <c r="D64" t="s">
        <v>1699</v>
      </c>
    </row>
    <row r="65" spans="4:4" x14ac:dyDescent="0.25">
      <c r="D65" t="s">
        <v>1700</v>
      </c>
    </row>
    <row r="66" spans="4:4" x14ac:dyDescent="0.25">
      <c r="D66" t="s">
        <v>1701</v>
      </c>
    </row>
    <row r="67" spans="4:4" x14ac:dyDescent="0.25">
      <c r="D67" t="s">
        <v>1702</v>
      </c>
    </row>
    <row r="68" spans="4:4" x14ac:dyDescent="0.25">
      <c r="D68" t="s">
        <v>1703</v>
      </c>
    </row>
    <row r="69" spans="4:4" x14ac:dyDescent="0.25">
      <c r="D69" t="s">
        <v>1704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0"/>
  <sheetViews>
    <sheetView topLeftCell="A10" workbookViewId="0">
      <pane ySplit="1935" topLeftCell="A58" activePane="bottomLeft"/>
      <selection activeCell="C8" sqref="C8"/>
      <selection pane="bottomLeft" activeCell="B70" sqref="B70"/>
    </sheetView>
  </sheetViews>
  <sheetFormatPr defaultRowHeight="15" x14ac:dyDescent="0.25"/>
  <cols>
    <col min="1" max="1" width="21.7109375" bestFit="1" customWidth="1"/>
    <col min="2" max="2" width="36.5703125" bestFit="1" customWidth="1"/>
    <col min="3" max="4" width="11.5703125" bestFit="1" customWidth="1"/>
    <col min="5" max="12" width="9.28515625" bestFit="1" customWidth="1"/>
  </cols>
  <sheetData>
    <row r="1" spans="1:19" ht="15.75" customHeight="1" x14ac:dyDescent="0.25">
      <c r="F1" s="2015" t="s">
        <v>1786</v>
      </c>
      <c r="G1" s="2015"/>
      <c r="H1" s="2015"/>
      <c r="I1" s="2015"/>
      <c r="P1" s="2015"/>
      <c r="Q1" s="2015"/>
      <c r="R1" s="2015"/>
      <c r="S1" s="2015"/>
    </row>
    <row r="2" spans="1:19" ht="15.75" customHeight="1" x14ac:dyDescent="0.25">
      <c r="F2" s="2016" t="s">
        <v>1787</v>
      </c>
      <c r="G2" s="2016"/>
      <c r="H2" s="2016"/>
      <c r="I2" s="2016"/>
      <c r="P2" s="2016"/>
      <c r="Q2" s="2016"/>
      <c r="R2" s="2016"/>
      <c r="S2" s="2016"/>
    </row>
    <row r="3" spans="1:19" ht="15.75" customHeight="1" x14ac:dyDescent="0.25">
      <c r="F3" s="2016" t="s">
        <v>1788</v>
      </c>
      <c r="G3" s="2016"/>
      <c r="H3" s="2016"/>
      <c r="I3" s="2016"/>
      <c r="P3" s="2016"/>
      <c r="Q3" s="2016"/>
      <c r="R3" s="2016"/>
      <c r="S3" s="2016"/>
    </row>
    <row r="5" spans="1:19" ht="15.75" x14ac:dyDescent="0.25">
      <c r="B5" s="2014" t="s">
        <v>1789</v>
      </c>
      <c r="C5" s="2014"/>
      <c r="D5" s="2014"/>
      <c r="E5" s="2014"/>
      <c r="F5" s="2014"/>
      <c r="G5" s="2014"/>
      <c r="H5" s="1328"/>
      <c r="I5" s="1328"/>
      <c r="J5" s="1328"/>
      <c r="K5" s="1328"/>
      <c r="L5" s="1328"/>
      <c r="M5" s="1328"/>
      <c r="N5" s="1328"/>
      <c r="O5" s="1328"/>
      <c r="P5" s="1328"/>
      <c r="Q5" s="1328"/>
      <c r="R5" s="1328"/>
      <c r="S5" s="1328"/>
    </row>
    <row r="6" spans="1:19" ht="15.75" x14ac:dyDescent="0.25">
      <c r="B6" s="1330"/>
      <c r="C6" s="1330"/>
      <c r="D6" s="1330"/>
      <c r="E6" s="1330"/>
      <c r="F6" s="1330"/>
      <c r="G6" s="1330"/>
      <c r="H6" s="1328"/>
      <c r="I6" s="1328"/>
      <c r="J6" s="1328"/>
      <c r="K6" s="1328"/>
      <c r="L6" s="1328"/>
      <c r="M6" s="1328"/>
      <c r="N6" s="1328"/>
      <c r="O6" s="1328"/>
      <c r="P6" s="1328"/>
      <c r="Q6" s="1328"/>
      <c r="R6" s="1328"/>
      <c r="S6" s="1328"/>
    </row>
    <row r="7" spans="1:19" ht="15.75" x14ac:dyDescent="0.25">
      <c r="B7" s="1331" t="s">
        <v>1790</v>
      </c>
      <c r="C7" s="1335">
        <v>43381</v>
      </c>
      <c r="D7" s="1330"/>
      <c r="E7" s="1330"/>
      <c r="F7" s="1330"/>
      <c r="G7" s="1330"/>
      <c r="H7" s="1328"/>
      <c r="I7" s="1328"/>
      <c r="J7" s="1328"/>
      <c r="K7" s="1328"/>
      <c r="L7" s="1328"/>
      <c r="M7" s="1328"/>
      <c r="N7" s="1328"/>
      <c r="O7" s="1328"/>
      <c r="P7" s="1328"/>
      <c r="Q7" s="1328"/>
      <c r="R7" s="1328"/>
      <c r="S7" s="1328"/>
    </row>
    <row r="8" spans="1:19" ht="15.75" x14ac:dyDescent="0.25">
      <c r="B8" s="1332"/>
      <c r="C8" s="1332"/>
      <c r="D8" s="1333"/>
      <c r="E8" s="1333"/>
      <c r="F8" s="1333"/>
      <c r="G8" s="1333"/>
      <c r="H8" s="1333"/>
      <c r="I8" s="1333"/>
      <c r="J8" s="1333"/>
      <c r="K8" s="1333"/>
      <c r="L8" s="1333"/>
      <c r="M8" s="1333"/>
      <c r="N8" s="1333"/>
      <c r="O8" s="1333"/>
      <c r="P8" s="1333"/>
      <c r="Q8" s="1333"/>
      <c r="R8" s="1333"/>
      <c r="S8" s="1333"/>
    </row>
    <row r="9" spans="1:19" ht="16.5" thickBot="1" x14ac:dyDescent="0.3">
      <c r="A9" s="1331" t="s">
        <v>748</v>
      </c>
    </row>
    <row r="10" spans="1:19" ht="38.25" thickBot="1" x14ac:dyDescent="0.3">
      <c r="A10" s="412" t="s">
        <v>371</v>
      </c>
      <c r="B10" s="412" t="s">
        <v>750</v>
      </c>
      <c r="C10" s="412" t="s">
        <v>749</v>
      </c>
      <c r="D10" s="412"/>
      <c r="E10" s="412"/>
      <c r="F10" s="412"/>
      <c r="G10" s="412"/>
      <c r="H10" s="412"/>
      <c r="I10" s="412"/>
      <c r="J10" s="412"/>
      <c r="K10" s="412"/>
    </row>
    <row r="11" spans="1:19" ht="16.5" thickBot="1" x14ac:dyDescent="0.3">
      <c r="A11" s="261"/>
      <c r="B11" s="261"/>
      <c r="C11" s="483">
        <v>2015</v>
      </c>
      <c r="D11" s="483">
        <v>2016</v>
      </c>
      <c r="E11" s="483">
        <v>2017</v>
      </c>
      <c r="F11" s="483">
        <v>2018</v>
      </c>
      <c r="G11" s="483">
        <v>2019</v>
      </c>
      <c r="H11" s="483">
        <v>2020</v>
      </c>
      <c r="I11" s="483">
        <v>2021</v>
      </c>
      <c r="J11" s="483">
        <v>2022</v>
      </c>
      <c r="K11" s="483">
        <v>2023</v>
      </c>
    </row>
    <row r="12" spans="1:19" ht="27" customHeight="1" thickBot="1" x14ac:dyDescent="0.3">
      <c r="A12" s="484" t="s">
        <v>868</v>
      </c>
      <c r="B12" s="1999" t="s">
        <v>1569</v>
      </c>
      <c r="C12" s="2000"/>
      <c r="D12" s="2000"/>
      <c r="E12" s="2000"/>
      <c r="F12" s="2000"/>
      <c r="G12" s="2000"/>
      <c r="H12" s="2000"/>
      <c r="I12" s="2000"/>
      <c r="J12" s="2000"/>
      <c r="K12" s="2001"/>
    </row>
    <row r="13" spans="1:19" ht="57.75" thickBot="1" x14ac:dyDescent="0.3">
      <c r="A13" s="1247" t="s">
        <v>751</v>
      </c>
      <c r="B13" s="451" t="s">
        <v>1653</v>
      </c>
      <c r="C13" s="633" t="s">
        <v>927</v>
      </c>
      <c r="D13" s="633" t="s">
        <v>927</v>
      </c>
      <c r="E13" s="633" t="s">
        <v>927</v>
      </c>
      <c r="F13" s="633" t="s">
        <v>1570</v>
      </c>
      <c r="G13" s="633" t="s">
        <v>1571</v>
      </c>
      <c r="H13" s="633" t="s">
        <v>1572</v>
      </c>
      <c r="I13" s="633" t="s">
        <v>1573</v>
      </c>
      <c r="J13" s="633" t="s">
        <v>1574</v>
      </c>
      <c r="K13" s="1024" t="s">
        <v>1575</v>
      </c>
    </row>
    <row r="14" spans="1:19" ht="16.5" thickBot="1" x14ac:dyDescent="0.3">
      <c r="A14" s="456"/>
      <c r="B14" s="457" t="s">
        <v>752</v>
      </c>
      <c r="C14" s="458" t="s">
        <v>1150</v>
      </c>
      <c r="D14" s="458" t="s">
        <v>1150</v>
      </c>
      <c r="E14" s="460" t="s">
        <v>1150</v>
      </c>
      <c r="F14" s="460"/>
      <c r="G14" s="460"/>
      <c r="H14" s="460"/>
      <c r="I14" s="460"/>
      <c r="J14" s="460"/>
      <c r="K14" s="460"/>
    </row>
    <row r="15" spans="1:19" ht="30.75" thickBot="1" x14ac:dyDescent="0.3">
      <c r="A15" s="456"/>
      <c r="B15" s="461" t="s">
        <v>1151</v>
      </c>
      <c r="C15" s="462" t="s">
        <v>1150</v>
      </c>
      <c r="D15" s="1250" t="s">
        <v>1150</v>
      </c>
      <c r="E15" s="460" t="s">
        <v>1150</v>
      </c>
      <c r="F15" s="460"/>
      <c r="G15" s="460"/>
      <c r="H15" s="460"/>
      <c r="I15" s="460"/>
      <c r="J15" s="460"/>
      <c r="K15" s="460"/>
    </row>
    <row r="16" spans="1:19" ht="16.5" customHeight="1" thickBot="1" x14ac:dyDescent="0.3">
      <c r="A16" s="484" t="s">
        <v>882</v>
      </c>
      <c r="B16" s="1999" t="s">
        <v>1152</v>
      </c>
      <c r="C16" s="2000"/>
      <c r="D16" s="2000"/>
      <c r="E16" s="2000"/>
      <c r="F16" s="2000"/>
      <c r="G16" s="2000"/>
      <c r="H16" s="2000"/>
      <c r="I16" s="2000"/>
      <c r="J16" s="2000"/>
      <c r="K16" s="2001"/>
    </row>
    <row r="17" spans="1:11" ht="15.75" x14ac:dyDescent="0.25">
      <c r="A17" s="2002" t="s">
        <v>751</v>
      </c>
      <c r="B17" s="2008" t="s">
        <v>1653</v>
      </c>
      <c r="C17" s="2004" t="s">
        <v>927</v>
      </c>
      <c r="D17" s="2006" t="s">
        <v>927</v>
      </c>
      <c r="E17" s="2006" t="s">
        <v>927</v>
      </c>
      <c r="F17" s="466" t="s">
        <v>928</v>
      </c>
      <c r="G17" s="465" t="s">
        <v>931</v>
      </c>
      <c r="H17" s="465" t="s">
        <v>934</v>
      </c>
      <c r="I17" s="465" t="s">
        <v>937</v>
      </c>
      <c r="J17" s="465" t="s">
        <v>940</v>
      </c>
      <c r="K17" s="465" t="s">
        <v>943</v>
      </c>
    </row>
    <row r="18" spans="1:11" ht="15.75" x14ac:dyDescent="0.25">
      <c r="A18" s="2003"/>
      <c r="B18" s="2009"/>
      <c r="C18" s="2005"/>
      <c r="D18" s="2007"/>
      <c r="E18" s="2007"/>
      <c r="F18" s="466" t="s">
        <v>929</v>
      </c>
      <c r="G18" s="465" t="s">
        <v>932</v>
      </c>
      <c r="H18" s="465" t="s">
        <v>935</v>
      </c>
      <c r="I18" s="465" t="s">
        <v>938</v>
      </c>
      <c r="J18" s="465" t="s">
        <v>941</v>
      </c>
      <c r="K18" s="465" t="s">
        <v>944</v>
      </c>
    </row>
    <row r="19" spans="1:11" ht="23.25" customHeight="1" thickBot="1" x14ac:dyDescent="0.3">
      <c r="A19" s="2003"/>
      <c r="B19" s="2010"/>
      <c r="C19" s="2005"/>
      <c r="D19" s="2007"/>
      <c r="E19" s="2007"/>
      <c r="F19" s="466" t="s">
        <v>930</v>
      </c>
      <c r="G19" s="465" t="s">
        <v>933</v>
      </c>
      <c r="H19" s="465" t="s">
        <v>936</v>
      </c>
      <c r="I19" s="465" t="s">
        <v>939</v>
      </c>
      <c r="J19" s="465" t="s">
        <v>942</v>
      </c>
      <c r="K19" s="465" t="s">
        <v>945</v>
      </c>
    </row>
    <row r="20" spans="1:11" ht="16.5" thickBot="1" x14ac:dyDescent="0.3">
      <c r="A20" s="456"/>
      <c r="B20" s="1251" t="s">
        <v>752</v>
      </c>
      <c r="C20" s="1252" t="s">
        <v>1150</v>
      </c>
      <c r="D20" s="1252" t="s">
        <v>1150</v>
      </c>
      <c r="E20" s="1252" t="s">
        <v>1153</v>
      </c>
      <c r="F20" s="1253"/>
      <c r="G20" s="1253"/>
      <c r="H20" s="1253"/>
      <c r="I20" s="1253"/>
      <c r="J20" s="1253"/>
      <c r="K20" s="1253"/>
    </row>
    <row r="21" spans="1:11" ht="30.75" thickBot="1" x14ac:dyDescent="0.3">
      <c r="A21" s="456"/>
      <c r="B21" s="461" t="s">
        <v>1151</v>
      </c>
      <c r="C21" s="462"/>
      <c r="D21" s="463"/>
      <c r="E21" s="460"/>
      <c r="F21" s="460"/>
      <c r="G21" s="460"/>
      <c r="H21" s="460"/>
      <c r="I21" s="460"/>
      <c r="J21" s="460"/>
      <c r="K21" s="460"/>
    </row>
    <row r="22" spans="1:11" ht="16.5" customHeight="1" thickBot="1" x14ac:dyDescent="0.3">
      <c r="A22" s="484" t="s">
        <v>885</v>
      </c>
      <c r="B22" s="1999" t="s">
        <v>886</v>
      </c>
      <c r="C22" s="2000"/>
      <c r="D22" s="2000"/>
      <c r="E22" s="2000"/>
      <c r="F22" s="2000"/>
      <c r="G22" s="2000"/>
      <c r="H22" s="2000"/>
      <c r="I22" s="2000"/>
      <c r="J22" s="2000"/>
      <c r="K22" s="2001"/>
    </row>
    <row r="23" spans="1:11" ht="15.75" x14ac:dyDescent="0.25">
      <c r="A23" s="2002" t="s">
        <v>751</v>
      </c>
      <c r="B23" s="451" t="s">
        <v>1649</v>
      </c>
      <c r="C23" s="465" t="s">
        <v>946</v>
      </c>
      <c r="D23" s="465" t="s">
        <v>949</v>
      </c>
      <c r="E23" s="465" t="s">
        <v>952</v>
      </c>
      <c r="F23" s="465" t="s">
        <v>955</v>
      </c>
      <c r="G23" s="465" t="s">
        <v>958</v>
      </c>
      <c r="H23" s="465" t="s">
        <v>961</v>
      </c>
      <c r="I23" s="465" t="s">
        <v>964</v>
      </c>
      <c r="J23" s="465" t="s">
        <v>967</v>
      </c>
      <c r="K23" s="465" t="s">
        <v>970</v>
      </c>
    </row>
    <row r="24" spans="1:11" ht="15.75" x14ac:dyDescent="0.25">
      <c r="A24" s="2003"/>
      <c r="B24" s="451" t="s">
        <v>1650</v>
      </c>
      <c r="C24" s="465" t="s">
        <v>947</v>
      </c>
      <c r="D24" s="465" t="s">
        <v>950</v>
      </c>
      <c r="E24" s="465" t="s">
        <v>953</v>
      </c>
      <c r="F24" s="465" t="s">
        <v>956</v>
      </c>
      <c r="G24" s="465" t="s">
        <v>959</v>
      </c>
      <c r="H24" s="465" t="s">
        <v>962</v>
      </c>
      <c r="I24" s="465" t="s">
        <v>965</v>
      </c>
      <c r="J24" s="465" t="s">
        <v>968</v>
      </c>
      <c r="K24" s="465" t="s">
        <v>971</v>
      </c>
    </row>
    <row r="25" spans="1:11" ht="15.75" x14ac:dyDescent="0.25">
      <c r="A25" s="2003"/>
      <c r="B25" s="451" t="s">
        <v>1651</v>
      </c>
      <c r="C25" s="465" t="s">
        <v>948</v>
      </c>
      <c r="D25" s="465" t="s">
        <v>951</v>
      </c>
      <c r="E25" s="465" t="s">
        <v>954</v>
      </c>
      <c r="F25" s="465" t="s">
        <v>957</v>
      </c>
      <c r="G25" s="465" t="s">
        <v>960</v>
      </c>
      <c r="H25" s="465" t="s">
        <v>963</v>
      </c>
      <c r="I25" s="465" t="s">
        <v>966</v>
      </c>
      <c r="J25" s="465" t="s">
        <v>969</v>
      </c>
      <c r="K25" s="465" t="s">
        <v>972</v>
      </c>
    </row>
    <row r="26" spans="1:11" ht="16.5" thickBot="1" x14ac:dyDescent="0.3">
      <c r="A26" s="2011"/>
      <c r="B26" s="452" t="s">
        <v>1652</v>
      </c>
      <c r="C26" s="455"/>
      <c r="D26" s="455"/>
      <c r="E26" s="455"/>
      <c r="F26" s="455"/>
      <c r="G26" s="455"/>
      <c r="H26" s="455"/>
      <c r="I26" s="455"/>
      <c r="J26" s="455"/>
      <c r="K26" s="455"/>
    </row>
    <row r="27" spans="1:11" ht="16.5" thickBot="1" x14ac:dyDescent="0.3">
      <c r="A27" s="456"/>
      <c r="B27" s="457" t="s">
        <v>752</v>
      </c>
      <c r="C27" s="459" t="s">
        <v>1150</v>
      </c>
      <c r="D27" s="459" t="s">
        <v>1150</v>
      </c>
      <c r="E27" s="460"/>
      <c r="F27" s="460"/>
      <c r="G27" s="460"/>
      <c r="H27" s="460"/>
      <c r="I27" s="460"/>
      <c r="J27" s="460"/>
      <c r="K27" s="460"/>
    </row>
    <row r="28" spans="1:11" ht="30.75" thickBot="1" x14ac:dyDescent="0.3">
      <c r="A28" s="456"/>
      <c r="B28" s="461" t="s">
        <v>1151</v>
      </c>
      <c r="C28" s="459" t="s">
        <v>1150</v>
      </c>
      <c r="D28" s="459" t="s">
        <v>1150</v>
      </c>
      <c r="E28" s="460"/>
      <c r="F28" s="460"/>
      <c r="G28" s="460"/>
      <c r="H28" s="460"/>
      <c r="I28" s="460"/>
      <c r="J28" s="460"/>
      <c r="K28" s="460"/>
    </row>
    <row r="29" spans="1:11" ht="16.5" customHeight="1" thickBot="1" x14ac:dyDescent="0.3">
      <c r="A29" s="484" t="s">
        <v>888</v>
      </c>
      <c r="B29" s="1999" t="s">
        <v>890</v>
      </c>
      <c r="C29" s="2000"/>
      <c r="D29" s="2000"/>
      <c r="E29" s="2000"/>
      <c r="F29" s="2000"/>
      <c r="G29" s="2000"/>
      <c r="H29" s="2000"/>
      <c r="I29" s="2000"/>
      <c r="J29" s="2000"/>
      <c r="K29" s="2001"/>
    </row>
    <row r="30" spans="1:11" ht="15.75" x14ac:dyDescent="0.25">
      <c r="A30" s="2002" t="s">
        <v>751</v>
      </c>
      <c r="B30" s="451" t="s">
        <v>1649</v>
      </c>
      <c r="C30" s="2004" t="s">
        <v>927</v>
      </c>
      <c r="D30" s="2006" t="s">
        <v>927</v>
      </c>
      <c r="E30" s="466" t="s">
        <v>973</v>
      </c>
      <c r="F30" s="465" t="s">
        <v>975</v>
      </c>
      <c r="G30" s="465" t="s">
        <v>978</v>
      </c>
      <c r="H30" s="465" t="s">
        <v>981</v>
      </c>
      <c r="I30" s="465" t="s">
        <v>984</v>
      </c>
      <c r="J30" s="465" t="s">
        <v>987</v>
      </c>
      <c r="K30" s="465" t="s">
        <v>990</v>
      </c>
    </row>
    <row r="31" spans="1:11" ht="15.75" x14ac:dyDescent="0.25">
      <c r="A31" s="2003"/>
      <c r="B31" s="451" t="s">
        <v>1650</v>
      </c>
      <c r="C31" s="2005"/>
      <c r="D31" s="2007"/>
      <c r="E31" s="466" t="s">
        <v>974</v>
      </c>
      <c r="F31" s="465" t="s">
        <v>976</v>
      </c>
      <c r="G31" s="465" t="s">
        <v>979</v>
      </c>
      <c r="H31" s="465" t="s">
        <v>982</v>
      </c>
      <c r="I31" s="465" t="s">
        <v>985</v>
      </c>
      <c r="J31" s="465" t="s">
        <v>988</v>
      </c>
      <c r="K31" s="465" t="s">
        <v>991</v>
      </c>
    </row>
    <row r="32" spans="1:11" ht="15.75" x14ac:dyDescent="0.25">
      <c r="A32" s="2003"/>
      <c r="B32" s="451" t="s">
        <v>1651</v>
      </c>
      <c r="C32" s="2005"/>
      <c r="D32" s="2007"/>
      <c r="E32" s="466"/>
      <c r="F32" s="465" t="s">
        <v>977</v>
      </c>
      <c r="G32" s="465" t="s">
        <v>980</v>
      </c>
      <c r="H32" s="465" t="s">
        <v>983</v>
      </c>
      <c r="I32" s="465" t="s">
        <v>986</v>
      </c>
      <c r="J32" s="465" t="s">
        <v>989</v>
      </c>
      <c r="K32" s="465" t="s">
        <v>992</v>
      </c>
    </row>
    <row r="33" spans="1:11" ht="16.5" thickBot="1" x14ac:dyDescent="0.3">
      <c r="A33" s="2011"/>
      <c r="B33" s="452" t="s">
        <v>1652</v>
      </c>
      <c r="C33" s="2012"/>
      <c r="D33" s="2013"/>
      <c r="E33" s="467"/>
      <c r="F33" s="455"/>
      <c r="G33" s="455"/>
      <c r="H33" s="455"/>
      <c r="I33" s="455"/>
      <c r="J33" s="455"/>
      <c r="K33" s="455"/>
    </row>
    <row r="34" spans="1:11" ht="16.5" thickBot="1" x14ac:dyDescent="0.3">
      <c r="A34" s="456"/>
      <c r="B34" s="457" t="s">
        <v>752</v>
      </c>
      <c r="C34" s="459" t="s">
        <v>1150</v>
      </c>
      <c r="D34" s="459" t="s">
        <v>1150</v>
      </c>
      <c r="E34" s="460"/>
      <c r="F34" s="460"/>
      <c r="G34" s="460"/>
      <c r="H34" s="460"/>
      <c r="I34" s="460"/>
      <c r="J34" s="460"/>
      <c r="K34" s="460"/>
    </row>
    <row r="35" spans="1:11" ht="30.75" thickBot="1" x14ac:dyDescent="0.3">
      <c r="A35" s="468"/>
      <c r="B35" s="469" t="s">
        <v>1151</v>
      </c>
      <c r="C35" s="470" t="s">
        <v>1150</v>
      </c>
      <c r="D35" s="471" t="s">
        <v>1150</v>
      </c>
      <c r="E35" s="460"/>
      <c r="F35" s="460"/>
      <c r="G35" s="460"/>
      <c r="H35" s="460"/>
      <c r="I35" s="460"/>
      <c r="J35" s="460"/>
      <c r="K35" s="460"/>
    </row>
    <row r="36" spans="1:11" ht="16.5" customHeight="1" thickBot="1" x14ac:dyDescent="0.3">
      <c r="A36" s="484" t="s">
        <v>891</v>
      </c>
      <c r="B36" s="1999" t="s">
        <v>892</v>
      </c>
      <c r="C36" s="2000"/>
      <c r="D36" s="2000"/>
      <c r="E36" s="2000"/>
      <c r="F36" s="2000"/>
      <c r="G36" s="2000"/>
      <c r="H36" s="2000"/>
      <c r="I36" s="2000"/>
      <c r="J36" s="2000"/>
      <c r="K36" s="2001"/>
    </row>
    <row r="37" spans="1:11" ht="57.75" thickBot="1" x14ac:dyDescent="0.3">
      <c r="A37" s="1248" t="s">
        <v>751</v>
      </c>
      <c r="B37" s="451" t="s">
        <v>1654</v>
      </c>
      <c r="C37" s="633" t="s">
        <v>927</v>
      </c>
      <c r="D37" s="633" t="s">
        <v>927</v>
      </c>
      <c r="E37" s="633" t="s">
        <v>927</v>
      </c>
      <c r="F37" s="633" t="s">
        <v>927</v>
      </c>
      <c r="G37" s="633" t="s">
        <v>1577</v>
      </c>
      <c r="H37" s="633" t="s">
        <v>1578</v>
      </c>
      <c r="I37" s="633" t="s">
        <v>1579</v>
      </c>
      <c r="J37" s="633" t="s">
        <v>1580</v>
      </c>
      <c r="K37" s="1024" t="s">
        <v>1580</v>
      </c>
    </row>
    <row r="38" spans="1:11" ht="16.5" thickBot="1" x14ac:dyDescent="0.3">
      <c r="A38" s="463"/>
      <c r="B38" s="1251" t="s">
        <v>752</v>
      </c>
      <c r="C38" s="459" t="s">
        <v>1150</v>
      </c>
      <c r="D38" s="459" t="s">
        <v>1150</v>
      </c>
      <c r="E38" s="1253" t="s">
        <v>1154</v>
      </c>
      <c r="F38" s="1253"/>
      <c r="G38" s="1253"/>
      <c r="H38" s="1253"/>
      <c r="I38" s="1253"/>
      <c r="J38" s="1253"/>
      <c r="K38" s="1253"/>
    </row>
    <row r="39" spans="1:11" ht="30.75" thickBot="1" x14ac:dyDescent="0.3">
      <c r="A39" s="463"/>
      <c r="B39" s="473" t="s">
        <v>1151</v>
      </c>
      <c r="C39" s="459" t="s">
        <v>1150</v>
      </c>
      <c r="D39" s="459" t="s">
        <v>1150</v>
      </c>
      <c r="E39" s="459" t="s">
        <v>1150</v>
      </c>
      <c r="F39" s="460"/>
      <c r="G39" s="460"/>
      <c r="H39" s="460"/>
      <c r="I39" s="460"/>
      <c r="J39" s="460"/>
      <c r="K39" s="460"/>
    </row>
    <row r="40" spans="1:11" ht="19.5" customHeight="1" thickBot="1" x14ac:dyDescent="0.3">
      <c r="A40" s="484" t="s">
        <v>871</v>
      </c>
      <c r="B40" s="1999" t="s">
        <v>873</v>
      </c>
      <c r="C40" s="2000"/>
      <c r="D40" s="2000"/>
      <c r="E40" s="2000"/>
      <c r="F40" s="2000"/>
      <c r="G40" s="2000"/>
      <c r="H40" s="2000"/>
      <c r="I40" s="2000"/>
      <c r="J40" s="2000"/>
      <c r="K40" s="2001"/>
    </row>
    <row r="41" spans="1:11" ht="15.75" x14ac:dyDescent="0.25">
      <c r="A41" s="2002" t="s">
        <v>751</v>
      </c>
      <c r="B41" s="451" t="s">
        <v>1649</v>
      </c>
      <c r="C41" s="464" t="s">
        <v>1005</v>
      </c>
      <c r="D41" s="474" t="s">
        <v>1008</v>
      </c>
      <c r="E41" s="474" t="s">
        <v>1011</v>
      </c>
      <c r="F41" s="474" t="s">
        <v>1014</v>
      </c>
      <c r="G41" s="474" t="s">
        <v>1017</v>
      </c>
      <c r="H41" s="474" t="s">
        <v>1020</v>
      </c>
      <c r="I41" s="474" t="s">
        <v>1023</v>
      </c>
      <c r="J41" s="474" t="s">
        <v>1026</v>
      </c>
      <c r="K41" s="466" t="s">
        <v>1029</v>
      </c>
    </row>
    <row r="42" spans="1:11" ht="15.75" x14ac:dyDescent="0.25">
      <c r="A42" s="2003"/>
      <c r="B42" s="451" t="s">
        <v>1650</v>
      </c>
      <c r="C42" s="464" t="s">
        <v>1006</v>
      </c>
      <c r="D42" s="474" t="s">
        <v>1009</v>
      </c>
      <c r="E42" s="474" t="s">
        <v>1012</v>
      </c>
      <c r="F42" s="474" t="s">
        <v>1015</v>
      </c>
      <c r="G42" s="474" t="s">
        <v>1018</v>
      </c>
      <c r="H42" s="474" t="s">
        <v>1021</v>
      </c>
      <c r="I42" s="474" t="s">
        <v>1024</v>
      </c>
      <c r="J42" s="474" t="s">
        <v>1027</v>
      </c>
      <c r="K42" s="466" t="s">
        <v>1030</v>
      </c>
    </row>
    <row r="43" spans="1:11" ht="15.75" x14ac:dyDescent="0.25">
      <c r="A43" s="2003"/>
      <c r="B43" s="451" t="s">
        <v>1651</v>
      </c>
      <c r="C43" s="464" t="s">
        <v>1007</v>
      </c>
      <c r="D43" s="474" t="s">
        <v>1010</v>
      </c>
      <c r="E43" s="474" t="s">
        <v>1013</v>
      </c>
      <c r="F43" s="474" t="s">
        <v>1016</v>
      </c>
      <c r="G43" s="474" t="s">
        <v>1019</v>
      </c>
      <c r="H43" s="474" t="s">
        <v>1022</v>
      </c>
      <c r="I43" s="474" t="s">
        <v>1025</v>
      </c>
      <c r="J43" s="474" t="s">
        <v>1028</v>
      </c>
      <c r="K43" s="466" t="s">
        <v>1031</v>
      </c>
    </row>
    <row r="44" spans="1:11" ht="16.5" thickBot="1" x14ac:dyDescent="0.3">
      <c r="A44" s="2011"/>
      <c r="B44" s="452" t="s">
        <v>1652</v>
      </c>
      <c r="C44" s="453"/>
      <c r="D44" s="475"/>
      <c r="E44" s="475"/>
      <c r="F44" s="475"/>
      <c r="G44" s="475"/>
      <c r="H44" s="475"/>
      <c r="I44" s="475"/>
      <c r="J44" s="475"/>
      <c r="K44" s="454"/>
    </row>
    <row r="45" spans="1:11" ht="16.5" thickBot="1" x14ac:dyDescent="0.3">
      <c r="A45" s="456"/>
      <c r="B45" s="457" t="s">
        <v>752</v>
      </c>
      <c r="C45" s="458">
        <v>98.1</v>
      </c>
      <c r="D45" s="458">
        <v>98.3</v>
      </c>
      <c r="E45" s="460">
        <v>96.24</v>
      </c>
      <c r="F45" s="460"/>
      <c r="G45" s="460"/>
      <c r="H45" s="460"/>
      <c r="I45" s="460"/>
      <c r="J45" s="462"/>
      <c r="K45" s="463"/>
    </row>
    <row r="46" spans="1:11" ht="31.5" thickBot="1" x14ac:dyDescent="0.3">
      <c r="A46" s="456"/>
      <c r="B46" s="461" t="s">
        <v>1151</v>
      </c>
      <c r="C46" s="476" t="s">
        <v>1155</v>
      </c>
      <c r="D46" s="477" t="s">
        <v>1155</v>
      </c>
      <c r="E46" s="460"/>
      <c r="F46" s="460"/>
      <c r="G46" s="460"/>
      <c r="H46" s="460"/>
      <c r="I46" s="460"/>
      <c r="J46" s="460"/>
      <c r="K46" s="460"/>
    </row>
    <row r="47" spans="1:11" ht="31.5" customHeight="1" thickBot="1" x14ac:dyDescent="0.3">
      <c r="A47" s="484" t="s">
        <v>893</v>
      </c>
      <c r="B47" s="1999" t="s">
        <v>895</v>
      </c>
      <c r="C47" s="2000"/>
      <c r="D47" s="2000"/>
      <c r="E47" s="2000"/>
      <c r="F47" s="2000"/>
      <c r="G47" s="2000"/>
      <c r="H47" s="2000"/>
      <c r="I47" s="2000"/>
      <c r="J47" s="2000"/>
      <c r="K47" s="2001"/>
    </row>
    <row r="48" spans="1:11" ht="57.75" thickBot="1" x14ac:dyDescent="0.3">
      <c r="A48" s="1249" t="s">
        <v>751</v>
      </c>
      <c r="B48" s="451" t="s">
        <v>1653</v>
      </c>
      <c r="C48" s="633" t="s">
        <v>927</v>
      </c>
      <c r="D48" s="632" t="s">
        <v>927</v>
      </c>
      <c r="E48" s="632" t="s">
        <v>927</v>
      </c>
      <c r="F48" s="632" t="s">
        <v>927</v>
      </c>
      <c r="G48" s="632" t="s">
        <v>1581</v>
      </c>
      <c r="H48" s="632" t="s">
        <v>1536</v>
      </c>
      <c r="I48" s="632" t="s">
        <v>1582</v>
      </c>
      <c r="J48" s="632" t="s">
        <v>1582</v>
      </c>
      <c r="K48" s="634" t="s">
        <v>1582</v>
      </c>
    </row>
    <row r="49" spans="1:11" ht="16.5" thickBot="1" x14ac:dyDescent="0.3">
      <c r="A49" s="456"/>
      <c r="B49" s="478" t="s">
        <v>752</v>
      </c>
      <c r="C49" s="459" t="s">
        <v>1150</v>
      </c>
      <c r="D49" s="459" t="s">
        <v>1150</v>
      </c>
      <c r="E49" s="1253" t="s">
        <v>1154</v>
      </c>
      <c r="F49" s="460"/>
      <c r="G49" s="460"/>
      <c r="H49" s="460"/>
      <c r="I49" s="460"/>
      <c r="J49" s="460"/>
      <c r="K49" s="460"/>
    </row>
    <row r="50" spans="1:11" ht="30.75" thickBot="1" x14ac:dyDescent="0.3">
      <c r="A50" s="456"/>
      <c r="B50" s="461" t="s">
        <v>1151</v>
      </c>
      <c r="C50" s="459" t="s">
        <v>1150</v>
      </c>
      <c r="D50" s="459" t="s">
        <v>1150</v>
      </c>
      <c r="E50" s="459" t="s">
        <v>1150</v>
      </c>
      <c r="F50" s="460"/>
      <c r="G50" s="460"/>
      <c r="H50" s="460"/>
      <c r="I50" s="460"/>
      <c r="J50" s="460"/>
      <c r="K50" s="460"/>
    </row>
    <row r="51" spans="1:11" ht="16.5" customHeight="1" thickBot="1" x14ac:dyDescent="0.3">
      <c r="A51" s="484" t="s">
        <v>1033</v>
      </c>
      <c r="B51" s="1999" t="s">
        <v>897</v>
      </c>
      <c r="C51" s="2000"/>
      <c r="D51" s="2000"/>
      <c r="E51" s="2000"/>
      <c r="F51" s="2000"/>
      <c r="G51" s="2000"/>
      <c r="H51" s="2000"/>
      <c r="I51" s="2000"/>
      <c r="J51" s="2000"/>
      <c r="K51" s="2001"/>
    </row>
    <row r="52" spans="1:11" ht="57.75" thickBot="1" x14ac:dyDescent="0.3">
      <c r="A52" s="1247" t="s">
        <v>751</v>
      </c>
      <c r="B52" s="451" t="s">
        <v>1653</v>
      </c>
      <c r="C52" s="632" t="s">
        <v>927</v>
      </c>
      <c r="D52" s="632" t="s">
        <v>927</v>
      </c>
      <c r="E52" s="632" t="s">
        <v>927</v>
      </c>
      <c r="F52" s="632" t="s">
        <v>927</v>
      </c>
      <c r="G52" s="632" t="s">
        <v>1583</v>
      </c>
      <c r="H52" s="632" t="s">
        <v>1584</v>
      </c>
      <c r="I52" s="632" t="s">
        <v>1585</v>
      </c>
      <c r="J52" s="632" t="s">
        <v>1585</v>
      </c>
      <c r="K52" s="634" t="s">
        <v>1585</v>
      </c>
    </row>
    <row r="53" spans="1:11" ht="16.5" thickBot="1" x14ac:dyDescent="0.3">
      <c r="A53" s="456"/>
      <c r="B53" s="457" t="s">
        <v>752</v>
      </c>
      <c r="C53" s="459" t="s">
        <v>1150</v>
      </c>
      <c r="D53" s="459" t="s">
        <v>1150</v>
      </c>
      <c r="E53" s="1253" t="s">
        <v>1154</v>
      </c>
      <c r="F53" s="460"/>
      <c r="G53" s="460"/>
      <c r="H53" s="460"/>
      <c r="I53" s="460"/>
      <c r="J53" s="460"/>
      <c r="K53" s="460"/>
    </row>
    <row r="54" spans="1:11" ht="30.75" thickBot="1" x14ac:dyDescent="0.3">
      <c r="A54" s="456"/>
      <c r="B54" s="461" t="s">
        <v>1151</v>
      </c>
      <c r="C54" s="470" t="s">
        <v>1150</v>
      </c>
      <c r="D54" s="471" t="s">
        <v>1150</v>
      </c>
      <c r="E54" s="459" t="s">
        <v>1150</v>
      </c>
      <c r="F54" s="460"/>
      <c r="G54" s="460"/>
      <c r="H54" s="460"/>
      <c r="I54" s="460"/>
      <c r="J54" s="460"/>
      <c r="K54" s="460"/>
    </row>
    <row r="55" spans="1:11" ht="31.5" customHeight="1" thickBot="1" x14ac:dyDescent="0.3">
      <c r="A55" s="484" t="s">
        <v>898</v>
      </c>
      <c r="B55" s="1999" t="s">
        <v>899</v>
      </c>
      <c r="C55" s="2000"/>
      <c r="D55" s="2000"/>
      <c r="E55" s="2000"/>
      <c r="F55" s="2000"/>
      <c r="G55" s="2000"/>
      <c r="H55" s="2000"/>
      <c r="I55" s="2000"/>
      <c r="J55" s="2000"/>
      <c r="K55" s="2001"/>
    </row>
    <row r="56" spans="1:11" ht="57.75" thickBot="1" x14ac:dyDescent="0.3">
      <c r="A56" s="1247" t="s">
        <v>751</v>
      </c>
      <c r="B56" s="451" t="s">
        <v>1653</v>
      </c>
      <c r="C56" s="633" t="s">
        <v>927</v>
      </c>
      <c r="D56" s="632" t="s">
        <v>927</v>
      </c>
      <c r="E56" s="632" t="s">
        <v>927</v>
      </c>
      <c r="F56" s="632" t="s">
        <v>927</v>
      </c>
      <c r="G56" s="632" t="s">
        <v>1586</v>
      </c>
      <c r="H56" s="632" t="s">
        <v>1587</v>
      </c>
      <c r="I56" s="632" t="s">
        <v>1588</v>
      </c>
      <c r="J56" s="632" t="s">
        <v>1588</v>
      </c>
      <c r="K56" s="634" t="s">
        <v>1588</v>
      </c>
    </row>
    <row r="57" spans="1:11" ht="16.5" thickBot="1" x14ac:dyDescent="0.3">
      <c r="A57" s="456"/>
      <c r="B57" s="457" t="s">
        <v>752</v>
      </c>
      <c r="C57" s="459" t="s">
        <v>1150</v>
      </c>
      <c r="D57" s="459" t="s">
        <v>1150</v>
      </c>
      <c r="E57" s="1253" t="s">
        <v>1154</v>
      </c>
      <c r="F57" s="460"/>
      <c r="G57" s="460"/>
      <c r="H57" s="460"/>
      <c r="I57" s="460"/>
      <c r="J57" s="460"/>
      <c r="K57" s="460"/>
    </row>
    <row r="58" spans="1:11" ht="30.75" thickBot="1" x14ac:dyDescent="0.3">
      <c r="A58" s="456"/>
      <c r="B58" s="461" t="s">
        <v>1151</v>
      </c>
      <c r="C58" s="470" t="s">
        <v>1150</v>
      </c>
      <c r="D58" s="471" t="s">
        <v>1150</v>
      </c>
      <c r="E58" s="459" t="s">
        <v>1150</v>
      </c>
      <c r="F58" s="460"/>
      <c r="G58" s="460"/>
      <c r="H58" s="460"/>
      <c r="I58" s="460"/>
      <c r="J58" s="460"/>
      <c r="K58" s="460"/>
    </row>
    <row r="59" spans="1:11" ht="39" customHeight="1" thickBot="1" x14ac:dyDescent="0.3">
      <c r="A59" s="484" t="s">
        <v>900</v>
      </c>
      <c r="B59" s="1999" t="s">
        <v>902</v>
      </c>
      <c r="C59" s="2000"/>
      <c r="D59" s="2000"/>
      <c r="E59" s="2000"/>
      <c r="F59" s="2000"/>
      <c r="G59" s="2000"/>
      <c r="H59" s="2000"/>
      <c r="I59" s="2000"/>
      <c r="J59" s="2000"/>
      <c r="K59" s="2001"/>
    </row>
    <row r="60" spans="1:11" ht="63.75" thickBot="1" x14ac:dyDescent="0.3">
      <c r="A60" s="1247" t="s">
        <v>751</v>
      </c>
      <c r="B60" s="451" t="s">
        <v>1654</v>
      </c>
      <c r="C60" s="1246" t="s">
        <v>927</v>
      </c>
      <c r="D60" s="1246" t="s">
        <v>927</v>
      </c>
      <c r="E60" s="1246" t="s">
        <v>927</v>
      </c>
      <c r="F60" s="1246" t="s">
        <v>927</v>
      </c>
      <c r="G60" s="99" t="s">
        <v>1518</v>
      </c>
      <c r="H60" s="1031" t="s">
        <v>1519</v>
      </c>
      <c r="I60" s="1031" t="s">
        <v>1520</v>
      </c>
      <c r="J60" s="1031" t="s">
        <v>1521</v>
      </c>
      <c r="K60" s="1036" t="s">
        <v>1521</v>
      </c>
    </row>
    <row r="61" spans="1:11" ht="17.25" thickTop="1" thickBot="1" x14ac:dyDescent="0.3">
      <c r="A61" s="456"/>
      <c r="B61" s="457" t="s">
        <v>752</v>
      </c>
      <c r="C61" s="459" t="s">
        <v>1150</v>
      </c>
      <c r="D61" s="459" t="s">
        <v>1150</v>
      </c>
      <c r="E61" s="459" t="s">
        <v>1150</v>
      </c>
      <c r="F61" s="460"/>
      <c r="G61" s="460"/>
      <c r="H61" s="460"/>
      <c r="I61" s="460"/>
      <c r="J61" s="460"/>
      <c r="K61" s="460"/>
    </row>
    <row r="62" spans="1:11" ht="30.75" thickBot="1" x14ac:dyDescent="0.3">
      <c r="A62" s="456"/>
      <c r="B62" s="461" t="s">
        <v>1151</v>
      </c>
      <c r="C62" s="470" t="s">
        <v>1150</v>
      </c>
      <c r="D62" s="471" t="s">
        <v>1150</v>
      </c>
      <c r="E62" s="471" t="s">
        <v>1150</v>
      </c>
      <c r="F62" s="460"/>
      <c r="G62" s="460"/>
      <c r="H62" s="460"/>
      <c r="I62" s="460"/>
      <c r="J62" s="460"/>
      <c r="K62" s="460"/>
    </row>
    <row r="63" spans="1:11" ht="34.5" customHeight="1" thickBot="1" x14ac:dyDescent="0.3">
      <c r="A63" s="484" t="s">
        <v>903</v>
      </c>
      <c r="B63" s="1999" t="s">
        <v>904</v>
      </c>
      <c r="C63" s="2000"/>
      <c r="D63" s="2000"/>
      <c r="E63" s="2000"/>
      <c r="F63" s="2000"/>
      <c r="G63" s="2000"/>
      <c r="H63" s="2000"/>
      <c r="I63" s="2000"/>
      <c r="J63" s="2000"/>
      <c r="K63" s="2001"/>
    </row>
    <row r="64" spans="1:11" ht="57.75" thickBot="1" x14ac:dyDescent="0.3">
      <c r="A64" s="1247" t="s">
        <v>751</v>
      </c>
      <c r="B64" s="451" t="s">
        <v>1654</v>
      </c>
      <c r="C64" s="1246" t="s">
        <v>927</v>
      </c>
      <c r="D64" s="1246" t="s">
        <v>927</v>
      </c>
      <c r="E64" s="1246" t="s">
        <v>927</v>
      </c>
      <c r="F64" s="1246" t="s">
        <v>927</v>
      </c>
      <c r="G64" s="99" t="s">
        <v>1522</v>
      </c>
      <c r="H64" s="99" t="s">
        <v>1523</v>
      </c>
      <c r="I64" s="99" t="s">
        <v>1524</v>
      </c>
      <c r="J64" s="99" t="s">
        <v>1525</v>
      </c>
      <c r="K64" s="783" t="s">
        <v>1526</v>
      </c>
    </row>
    <row r="65" spans="1:11" ht="17.25" thickTop="1" thickBot="1" x14ac:dyDescent="0.3">
      <c r="A65" s="456"/>
      <c r="B65" s="457" t="s">
        <v>752</v>
      </c>
      <c r="C65" s="459" t="s">
        <v>1150</v>
      </c>
      <c r="D65" s="459" t="s">
        <v>1150</v>
      </c>
      <c r="E65" s="459" t="s">
        <v>1150</v>
      </c>
      <c r="F65" s="460"/>
      <c r="G65" s="460"/>
      <c r="H65" s="460"/>
      <c r="I65" s="460"/>
      <c r="J65" s="460"/>
      <c r="K65" s="460"/>
    </row>
    <row r="66" spans="1:11" ht="30.75" thickBot="1" x14ac:dyDescent="0.3">
      <c r="A66" s="456"/>
      <c r="B66" s="461" t="s">
        <v>1151</v>
      </c>
      <c r="C66" s="470" t="s">
        <v>1150</v>
      </c>
      <c r="D66" s="471" t="s">
        <v>1150</v>
      </c>
      <c r="E66" s="471" t="s">
        <v>1150</v>
      </c>
      <c r="F66" s="460"/>
      <c r="G66" s="460"/>
      <c r="H66" s="460"/>
      <c r="I66" s="460"/>
      <c r="J66" s="460"/>
      <c r="K66" s="460"/>
    </row>
    <row r="67" spans="1:11" ht="36" customHeight="1" thickBot="1" x14ac:dyDescent="0.3">
      <c r="A67" s="484" t="s">
        <v>905</v>
      </c>
      <c r="B67" s="1999" t="s">
        <v>1156</v>
      </c>
      <c r="C67" s="2000"/>
      <c r="D67" s="2000"/>
      <c r="E67" s="2000"/>
      <c r="F67" s="2000"/>
      <c r="G67" s="2000"/>
      <c r="H67" s="2000"/>
      <c r="I67" s="2000"/>
      <c r="J67" s="2000"/>
      <c r="K67" s="2001"/>
    </row>
    <row r="68" spans="1:11" ht="58.5" thickTop="1" thickBot="1" x14ac:dyDescent="0.3">
      <c r="A68" s="1247" t="s">
        <v>751</v>
      </c>
      <c r="B68" s="451" t="s">
        <v>1653</v>
      </c>
      <c r="C68" s="1245" t="s">
        <v>927</v>
      </c>
      <c r="D68" s="1245" t="s">
        <v>927</v>
      </c>
      <c r="E68" s="1245" t="s">
        <v>927</v>
      </c>
      <c r="F68" s="1245" t="s">
        <v>927</v>
      </c>
      <c r="G68" s="354" t="s">
        <v>1655</v>
      </c>
      <c r="H68" s="354" t="s">
        <v>1656</v>
      </c>
      <c r="I68" s="354" t="s">
        <v>1657</v>
      </c>
      <c r="J68" s="354" t="s">
        <v>1658</v>
      </c>
      <c r="K68" s="782" t="s">
        <v>1659</v>
      </c>
    </row>
    <row r="69" spans="1:11" ht="16.5" thickBot="1" x14ac:dyDescent="0.3">
      <c r="A69" s="456"/>
      <c r="B69" s="457" t="s">
        <v>752</v>
      </c>
      <c r="C69" s="1254" t="s">
        <v>1150</v>
      </c>
      <c r="D69" s="1252" t="s">
        <v>1150</v>
      </c>
      <c r="E69" s="1254" t="s">
        <v>1150</v>
      </c>
      <c r="F69" s="1253"/>
      <c r="G69" s="1253"/>
      <c r="H69" s="1253"/>
      <c r="I69" s="1253"/>
      <c r="J69" s="1253"/>
      <c r="K69" s="1253"/>
    </row>
    <row r="70" spans="1:11" ht="30.75" thickBot="1" x14ac:dyDescent="0.3">
      <c r="A70" s="456"/>
      <c r="B70" s="461" t="s">
        <v>1151</v>
      </c>
      <c r="C70" s="470" t="s">
        <v>1150</v>
      </c>
      <c r="D70" s="471" t="s">
        <v>1150</v>
      </c>
      <c r="E70" s="471" t="s">
        <v>1150</v>
      </c>
      <c r="F70" s="460"/>
      <c r="G70" s="460"/>
      <c r="H70" s="460"/>
      <c r="I70" s="460"/>
      <c r="J70" s="460"/>
      <c r="K70" s="460"/>
    </row>
    <row r="71" spans="1:11" ht="31.5" customHeight="1" thickBot="1" x14ac:dyDescent="0.3">
      <c r="A71" s="484" t="s">
        <v>910</v>
      </c>
      <c r="B71" s="1999" t="s">
        <v>1660</v>
      </c>
      <c r="C71" s="2000"/>
      <c r="D71" s="2000"/>
      <c r="E71" s="2000"/>
      <c r="F71" s="2000"/>
      <c r="G71" s="2000"/>
      <c r="H71" s="2000"/>
      <c r="I71" s="2000"/>
      <c r="J71" s="2000"/>
      <c r="K71" s="2001"/>
    </row>
    <row r="72" spans="1:11" ht="58.5" thickTop="1" thickBot="1" x14ac:dyDescent="0.3">
      <c r="A72" s="1247" t="s">
        <v>751</v>
      </c>
      <c r="B72" s="451" t="s">
        <v>1653</v>
      </c>
      <c r="C72" s="1245" t="s">
        <v>927</v>
      </c>
      <c r="D72" s="1245" t="s">
        <v>927</v>
      </c>
      <c r="E72" s="1245" t="s">
        <v>927</v>
      </c>
      <c r="F72" s="1245" t="s">
        <v>927</v>
      </c>
      <c r="G72" s="354" t="s">
        <v>1661</v>
      </c>
      <c r="H72" s="354" t="s">
        <v>1662</v>
      </c>
      <c r="I72" s="354" t="s">
        <v>1663</v>
      </c>
      <c r="J72" s="354" t="s">
        <v>1665</v>
      </c>
      <c r="K72" s="782" t="s">
        <v>1664</v>
      </c>
    </row>
    <row r="73" spans="1:11" ht="16.5" thickBot="1" x14ac:dyDescent="0.3">
      <c r="A73" s="456"/>
      <c r="B73" s="457" t="s">
        <v>752</v>
      </c>
      <c r="C73" s="1254" t="s">
        <v>1150</v>
      </c>
      <c r="D73" s="1252" t="s">
        <v>1150</v>
      </c>
      <c r="E73" s="1252" t="s">
        <v>1150</v>
      </c>
      <c r="F73" s="1253"/>
      <c r="G73" s="1253"/>
      <c r="H73" s="1253"/>
      <c r="I73" s="1253"/>
      <c r="J73" s="1253"/>
      <c r="K73" s="1253"/>
    </row>
    <row r="74" spans="1:11" ht="30.75" thickBot="1" x14ac:dyDescent="0.3">
      <c r="A74" s="456"/>
      <c r="B74" s="461" t="s">
        <v>1151</v>
      </c>
      <c r="C74" s="470" t="s">
        <v>1150</v>
      </c>
      <c r="D74" s="471" t="s">
        <v>1150</v>
      </c>
      <c r="E74" s="471" t="s">
        <v>1150</v>
      </c>
      <c r="F74" s="460"/>
      <c r="G74" s="460"/>
      <c r="H74" s="460"/>
      <c r="I74" s="460"/>
      <c r="J74" s="460"/>
      <c r="K74" s="460"/>
    </row>
    <row r="75" spans="1:11" ht="31.5" customHeight="1" thickBot="1" x14ac:dyDescent="0.3">
      <c r="A75" s="484" t="s">
        <v>913</v>
      </c>
      <c r="B75" s="1999" t="s">
        <v>914</v>
      </c>
      <c r="C75" s="2000"/>
      <c r="D75" s="2000"/>
      <c r="E75" s="2000"/>
      <c r="F75" s="2000"/>
      <c r="G75" s="2000"/>
      <c r="H75" s="2000"/>
      <c r="I75" s="2000"/>
      <c r="J75" s="2000"/>
      <c r="K75" s="2001"/>
    </row>
    <row r="76" spans="1:11" ht="57.75" thickBot="1" x14ac:dyDescent="0.3">
      <c r="A76" s="1247" t="s">
        <v>751</v>
      </c>
      <c r="B76" s="451" t="s">
        <v>1653</v>
      </c>
      <c r="C76" s="464" t="s">
        <v>1666</v>
      </c>
      <c r="D76" s="474" t="s">
        <v>1666</v>
      </c>
      <c r="E76" s="474" t="s">
        <v>1666</v>
      </c>
      <c r="F76" s="474" t="s">
        <v>1666</v>
      </c>
      <c r="G76" s="474" t="s">
        <v>1667</v>
      </c>
      <c r="H76" s="474" t="s">
        <v>1668</v>
      </c>
      <c r="I76" s="474" t="s">
        <v>1669</v>
      </c>
      <c r="J76" s="474" t="s">
        <v>1670</v>
      </c>
      <c r="K76" s="466" t="s">
        <v>1671</v>
      </c>
    </row>
    <row r="77" spans="1:11" ht="16.5" thickBot="1" x14ac:dyDescent="0.3">
      <c r="A77" s="456"/>
      <c r="B77" s="457" t="s">
        <v>752</v>
      </c>
      <c r="C77" s="1254" t="s">
        <v>1150</v>
      </c>
      <c r="D77" s="1252" t="s">
        <v>1150</v>
      </c>
      <c r="E77" s="1252" t="s">
        <v>1150</v>
      </c>
      <c r="F77" s="1253"/>
      <c r="G77" s="1253"/>
      <c r="H77" s="1253"/>
      <c r="I77" s="1253"/>
      <c r="J77" s="1253"/>
      <c r="K77" s="1253"/>
    </row>
    <row r="78" spans="1:11" ht="30.75" thickBot="1" x14ac:dyDescent="0.3">
      <c r="A78" s="456"/>
      <c r="B78" s="461" t="s">
        <v>1151</v>
      </c>
      <c r="C78" s="470" t="s">
        <v>1150</v>
      </c>
      <c r="D78" s="471" t="s">
        <v>1150</v>
      </c>
      <c r="E78" s="471" t="s">
        <v>1150</v>
      </c>
      <c r="F78" s="460"/>
      <c r="G78" s="460"/>
      <c r="H78" s="460"/>
      <c r="I78" s="460"/>
      <c r="J78" s="460"/>
      <c r="K78" s="460"/>
    </row>
    <row r="79" spans="1:11" ht="19.5" customHeight="1" thickBot="1" x14ac:dyDescent="0.3">
      <c r="A79" s="484" t="s">
        <v>877</v>
      </c>
      <c r="B79" s="1999" t="s">
        <v>1589</v>
      </c>
      <c r="C79" s="2000"/>
      <c r="D79" s="2000"/>
      <c r="E79" s="2000"/>
      <c r="F79" s="2000"/>
      <c r="G79" s="2000"/>
      <c r="H79" s="2000"/>
      <c r="I79" s="2000"/>
      <c r="J79" s="2000"/>
      <c r="K79" s="2001"/>
    </row>
    <row r="80" spans="1:11" ht="57.75" thickBot="1" x14ac:dyDescent="0.3">
      <c r="A80" s="1247" t="s">
        <v>751</v>
      </c>
      <c r="B80" s="451" t="s">
        <v>1654</v>
      </c>
      <c r="C80" s="1027" t="s">
        <v>927</v>
      </c>
      <c r="D80" s="1028" t="s">
        <v>927</v>
      </c>
      <c r="E80" s="1034" t="s">
        <v>927</v>
      </c>
      <c r="F80" s="1034" t="s">
        <v>1527</v>
      </c>
      <c r="G80" s="1034" t="s">
        <v>1528</v>
      </c>
      <c r="H80" s="1034" t="s">
        <v>1529</v>
      </c>
      <c r="I80" s="1034" t="s">
        <v>1530</v>
      </c>
      <c r="J80" s="1034" t="s">
        <v>1531</v>
      </c>
      <c r="K80" s="1034" t="s">
        <v>1532</v>
      </c>
    </row>
    <row r="81" spans="1:11" ht="16.5" thickBot="1" x14ac:dyDescent="0.3">
      <c r="A81" s="456"/>
      <c r="B81" s="457" t="s">
        <v>752</v>
      </c>
      <c r="C81" s="1254" t="s">
        <v>1150</v>
      </c>
      <c r="D81" s="1252" t="s">
        <v>1150</v>
      </c>
      <c r="E81" s="1252" t="s">
        <v>1150</v>
      </c>
      <c r="F81" s="460"/>
      <c r="G81" s="460"/>
      <c r="H81" s="460"/>
      <c r="I81" s="460"/>
      <c r="J81" s="460"/>
      <c r="K81" s="460"/>
    </row>
    <row r="82" spans="1:11" ht="30.75" thickBot="1" x14ac:dyDescent="0.3">
      <c r="A82" s="456"/>
      <c r="B82" s="461" t="s">
        <v>1151</v>
      </c>
      <c r="C82" s="470" t="s">
        <v>1150</v>
      </c>
      <c r="D82" s="471" t="s">
        <v>1150</v>
      </c>
      <c r="E82" s="471" t="s">
        <v>1150</v>
      </c>
      <c r="F82" s="460"/>
      <c r="G82" s="460"/>
      <c r="H82" s="460"/>
      <c r="I82" s="460"/>
      <c r="J82" s="460"/>
      <c r="K82" s="460"/>
    </row>
    <row r="83" spans="1:11" ht="16.5" customHeight="1" thickBot="1" x14ac:dyDescent="0.3">
      <c r="A83" s="484" t="s">
        <v>917</v>
      </c>
      <c r="B83" s="1999" t="s">
        <v>919</v>
      </c>
      <c r="C83" s="2000"/>
      <c r="D83" s="2000"/>
      <c r="E83" s="2000"/>
      <c r="F83" s="2000"/>
      <c r="G83" s="2000"/>
      <c r="H83" s="2000"/>
      <c r="I83" s="2000"/>
      <c r="J83" s="2000"/>
      <c r="K83" s="2001"/>
    </row>
    <row r="84" spans="1:11" ht="57.75" thickBot="1" x14ac:dyDescent="0.3">
      <c r="A84" s="1247" t="s">
        <v>751</v>
      </c>
      <c r="B84" s="451" t="s">
        <v>1653</v>
      </c>
      <c r="C84" s="633" t="s">
        <v>927</v>
      </c>
      <c r="D84" s="633" t="s">
        <v>927</v>
      </c>
      <c r="E84" s="632" t="s">
        <v>927</v>
      </c>
      <c r="F84" s="632" t="s">
        <v>1533</v>
      </c>
      <c r="G84" s="632" t="s">
        <v>1534</v>
      </c>
      <c r="H84" s="632" t="s">
        <v>1535</v>
      </c>
      <c r="I84" s="632" t="s">
        <v>1536</v>
      </c>
      <c r="J84" s="632" t="s">
        <v>1537</v>
      </c>
      <c r="K84" s="634" t="s">
        <v>1538</v>
      </c>
    </row>
    <row r="85" spans="1:11" ht="16.5" thickBot="1" x14ac:dyDescent="0.3">
      <c r="A85" s="456"/>
      <c r="B85" s="457" t="s">
        <v>752</v>
      </c>
      <c r="C85" s="1254" t="s">
        <v>1150</v>
      </c>
      <c r="D85" s="1252" t="s">
        <v>1150</v>
      </c>
      <c r="E85" s="1252" t="s">
        <v>1150</v>
      </c>
      <c r="F85" s="460"/>
      <c r="G85" s="460"/>
      <c r="H85" s="460"/>
      <c r="I85" s="460"/>
      <c r="J85" s="460"/>
      <c r="K85" s="460"/>
    </row>
    <row r="86" spans="1:11" ht="30.75" thickBot="1" x14ac:dyDescent="0.3">
      <c r="A86" s="468"/>
      <c r="B86" s="469" t="s">
        <v>1151</v>
      </c>
      <c r="C86" s="470" t="s">
        <v>1150</v>
      </c>
      <c r="D86" s="471" t="s">
        <v>1150</v>
      </c>
      <c r="E86" s="471" t="s">
        <v>1150</v>
      </c>
      <c r="F86" s="460"/>
      <c r="G86" s="460"/>
      <c r="H86" s="460"/>
      <c r="I86" s="460"/>
      <c r="J86" s="460"/>
      <c r="K86" s="460"/>
    </row>
    <row r="87" spans="1:11" ht="16.5" customHeight="1" thickBot="1" x14ac:dyDescent="0.3">
      <c r="A87" s="484" t="s">
        <v>920</v>
      </c>
      <c r="B87" s="1999" t="s">
        <v>922</v>
      </c>
      <c r="C87" s="2000"/>
      <c r="D87" s="2000"/>
      <c r="E87" s="2000"/>
      <c r="F87" s="2000"/>
      <c r="G87" s="2000"/>
      <c r="H87" s="2000"/>
      <c r="I87" s="2000"/>
      <c r="J87" s="2000"/>
      <c r="K87" s="2001"/>
    </row>
    <row r="88" spans="1:11" ht="57.75" thickBot="1" x14ac:dyDescent="0.3">
      <c r="A88" s="1248" t="s">
        <v>751</v>
      </c>
      <c r="B88" s="451" t="s">
        <v>1654</v>
      </c>
      <c r="C88" s="632" t="s">
        <v>927</v>
      </c>
      <c r="D88" s="632" t="s">
        <v>927</v>
      </c>
      <c r="E88" s="632" t="s">
        <v>1539</v>
      </c>
      <c r="F88" s="632" t="s">
        <v>1540</v>
      </c>
      <c r="G88" s="632" t="s">
        <v>1541</v>
      </c>
      <c r="H88" s="632" t="s">
        <v>1542</v>
      </c>
      <c r="I88" s="632" t="s">
        <v>1543</v>
      </c>
      <c r="J88" s="632" t="s">
        <v>1544</v>
      </c>
      <c r="K88" s="634" t="s">
        <v>1545</v>
      </c>
    </row>
    <row r="89" spans="1:11" ht="16.5" thickBot="1" x14ac:dyDescent="0.3">
      <c r="A89" s="463"/>
      <c r="B89" s="472" t="s">
        <v>752</v>
      </c>
      <c r="C89" s="459" t="s">
        <v>1150</v>
      </c>
      <c r="D89" s="459" t="s">
        <v>1150</v>
      </c>
      <c r="E89" s="460"/>
      <c r="F89" s="460"/>
      <c r="G89" s="460"/>
      <c r="H89" s="460"/>
      <c r="I89" s="460"/>
      <c r="J89" s="460"/>
      <c r="K89" s="460"/>
    </row>
    <row r="90" spans="1:11" ht="30.75" thickBot="1" x14ac:dyDescent="0.3">
      <c r="A90" s="463"/>
      <c r="B90" s="473" t="s">
        <v>1151</v>
      </c>
      <c r="C90" s="470" t="s">
        <v>1150</v>
      </c>
      <c r="D90" s="471" t="s">
        <v>1150</v>
      </c>
      <c r="E90" s="460"/>
      <c r="F90" s="460"/>
      <c r="G90" s="460"/>
      <c r="H90" s="460"/>
      <c r="I90" s="460"/>
      <c r="J90" s="460"/>
      <c r="K90" s="460"/>
    </row>
  </sheetData>
  <mergeCells count="34">
    <mergeCell ref="B5:G5"/>
    <mergeCell ref="F1:I1"/>
    <mergeCell ref="P1:S1"/>
    <mergeCell ref="F2:I2"/>
    <mergeCell ref="P2:S2"/>
    <mergeCell ref="F3:I3"/>
    <mergeCell ref="P3:S3"/>
    <mergeCell ref="B75:K75"/>
    <mergeCell ref="B79:K79"/>
    <mergeCell ref="B83:K83"/>
    <mergeCell ref="B87:K87"/>
    <mergeCell ref="B55:K55"/>
    <mergeCell ref="B59:K59"/>
    <mergeCell ref="B63:K63"/>
    <mergeCell ref="B67:K67"/>
    <mergeCell ref="B71:K71"/>
    <mergeCell ref="B36:K36"/>
    <mergeCell ref="B40:K40"/>
    <mergeCell ref="A41:A44"/>
    <mergeCell ref="B47:K47"/>
    <mergeCell ref="B51:K51"/>
    <mergeCell ref="B22:K22"/>
    <mergeCell ref="A23:A26"/>
    <mergeCell ref="B29:K29"/>
    <mergeCell ref="A30:A33"/>
    <mergeCell ref="C30:C33"/>
    <mergeCell ref="D30:D33"/>
    <mergeCell ref="B12:K12"/>
    <mergeCell ref="B16:K16"/>
    <mergeCell ref="A17:A19"/>
    <mergeCell ref="C17:C19"/>
    <mergeCell ref="D17:D19"/>
    <mergeCell ref="E17:E19"/>
    <mergeCell ref="B17:B19"/>
  </mergeCells>
  <pageMargins left="0.23622047244094491" right="0.23622047244094491" top="0.74803149606299213" bottom="0.74803149606299213" header="0.31496062992125984" footer="0.31496062992125984"/>
  <pageSetup paperSize="9" scale="6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86"/>
  <sheetViews>
    <sheetView workbookViewId="0">
      <pane ySplit="2610" topLeftCell="A49"/>
      <selection activeCell="B3" sqref="B1:B1048576"/>
      <selection pane="bottomLeft" activeCell="Z50" sqref="Z50"/>
    </sheetView>
  </sheetViews>
  <sheetFormatPr defaultRowHeight="15" x14ac:dyDescent="0.25"/>
  <cols>
    <col min="1" max="1" width="7.85546875" bestFit="1" customWidth="1"/>
    <col min="2" max="2" width="13" hidden="1" customWidth="1"/>
    <col min="3" max="3" width="13" customWidth="1"/>
    <col min="4" max="4" width="37.28515625" customWidth="1"/>
    <col min="5" max="5" width="13.140625" customWidth="1"/>
    <col min="6" max="6" width="13" customWidth="1"/>
    <col min="7" max="7" width="11.28515625" bestFit="1" customWidth="1"/>
    <col min="8" max="8" width="27.140625" customWidth="1"/>
    <col min="9" max="9" width="5.42578125" bestFit="1" customWidth="1"/>
    <col min="10" max="10" width="5.5703125" bestFit="1" customWidth="1"/>
    <col min="11" max="11" width="18" bestFit="1" customWidth="1"/>
    <col min="12" max="13" width="14.28515625" hidden="1" customWidth="1"/>
    <col min="14" max="14" width="16.42578125" bestFit="1" customWidth="1"/>
    <col min="15" max="16" width="12.85546875" hidden="1" customWidth="1"/>
    <col min="17" max="17" width="16.42578125" bestFit="1" customWidth="1"/>
    <col min="18" max="19" width="12.7109375" hidden="1" customWidth="1"/>
    <col min="20" max="20" width="16.42578125" bestFit="1" customWidth="1"/>
    <col min="21" max="22" width="12.7109375" hidden="1" customWidth="1"/>
    <col min="23" max="23" width="12.85546875" bestFit="1" customWidth="1"/>
    <col min="24" max="25" width="9.140625" hidden="1" customWidth="1"/>
    <col min="26" max="26" width="18" bestFit="1" customWidth="1"/>
    <col min="27" max="28" width="14.140625" hidden="1" customWidth="1"/>
    <col min="29" max="29" width="10.85546875" customWidth="1"/>
    <col min="30" max="30" width="9" bestFit="1" customWidth="1"/>
    <col min="31" max="31" width="9.5703125" customWidth="1"/>
    <col min="32" max="32" width="9.7109375" hidden="1" customWidth="1"/>
    <col min="33" max="33" width="9.7109375" customWidth="1"/>
  </cols>
  <sheetData>
    <row r="1" spans="1:33" ht="16.5" thickBot="1" x14ac:dyDescent="0.3">
      <c r="A1" s="2019" t="s">
        <v>1791</v>
      </c>
      <c r="B1" s="2019"/>
      <c r="C1" s="2019"/>
      <c r="D1" s="2020"/>
      <c r="E1" s="2020"/>
      <c r="F1" s="2020"/>
      <c r="G1" s="2020"/>
      <c r="H1" s="2020"/>
      <c r="I1" s="2020"/>
      <c r="J1" s="2020"/>
      <c r="K1" s="2020"/>
      <c r="L1" s="2020"/>
      <c r="M1" s="2020"/>
      <c r="N1" s="2020"/>
      <c r="O1" s="1273"/>
      <c r="P1" s="1276"/>
    </row>
    <row r="2" spans="1:33" ht="30.75" customHeight="1" thickBot="1" x14ac:dyDescent="0.3">
      <c r="A2" s="2017" t="s">
        <v>46</v>
      </c>
      <c r="B2" s="2018"/>
      <c r="C2" s="2018"/>
      <c r="D2" s="2018"/>
      <c r="E2" s="2018"/>
      <c r="F2" s="2018"/>
      <c r="G2" s="2018"/>
      <c r="H2" s="2018"/>
      <c r="I2" s="2018"/>
      <c r="J2" s="2021"/>
      <c r="K2" s="2017" t="s">
        <v>1805</v>
      </c>
      <c r="L2" s="2018"/>
      <c r="M2" s="2018"/>
      <c r="N2" s="2018"/>
      <c r="O2" s="2018"/>
      <c r="P2" s="2018"/>
      <c r="Q2" s="2018"/>
      <c r="R2" s="2018"/>
      <c r="S2" s="2018"/>
      <c r="T2" s="2018"/>
      <c r="U2" s="2018"/>
      <c r="V2" s="2018"/>
      <c r="W2" s="2018"/>
      <c r="X2" s="2018"/>
      <c r="Y2" s="2018"/>
      <c r="Z2" s="2018"/>
      <c r="AA2" s="1921"/>
      <c r="AB2" s="1921"/>
      <c r="AC2" s="1922"/>
      <c r="AD2" s="2017" t="s">
        <v>686</v>
      </c>
      <c r="AE2" s="2018"/>
      <c r="AF2" s="2018"/>
      <c r="AG2" s="1922"/>
    </row>
    <row r="3" spans="1:33" ht="51.75" thickBot="1" x14ac:dyDescent="0.3">
      <c r="A3" s="201" t="s">
        <v>7</v>
      </c>
      <c r="B3" s="290" t="s">
        <v>703</v>
      </c>
      <c r="C3" s="201" t="s">
        <v>1796</v>
      </c>
      <c r="D3" s="202" t="s">
        <v>49</v>
      </c>
      <c r="E3" s="202" t="s">
        <v>1797</v>
      </c>
      <c r="F3" s="202" t="s">
        <v>51</v>
      </c>
      <c r="G3" s="202" t="s">
        <v>52</v>
      </c>
      <c r="H3" s="202" t="s">
        <v>687</v>
      </c>
      <c r="I3" s="202" t="s">
        <v>1798</v>
      </c>
      <c r="J3" s="203" t="s">
        <v>1799</v>
      </c>
      <c r="K3" s="201" t="s">
        <v>57</v>
      </c>
      <c r="L3" s="1277" t="s">
        <v>1685</v>
      </c>
      <c r="M3" s="1286" t="s">
        <v>1686</v>
      </c>
      <c r="N3" s="1284" t="s">
        <v>58</v>
      </c>
      <c r="O3" s="1277" t="s">
        <v>1684</v>
      </c>
      <c r="P3" s="1286" t="s">
        <v>1687</v>
      </c>
      <c r="Q3" s="1275" t="s">
        <v>59</v>
      </c>
      <c r="R3" s="1285" t="s">
        <v>1683</v>
      </c>
      <c r="S3" s="1289" t="s">
        <v>1688</v>
      </c>
      <c r="T3" s="202" t="s">
        <v>60</v>
      </c>
      <c r="U3" s="1277" t="s">
        <v>1682</v>
      </c>
      <c r="V3" s="1286" t="s">
        <v>1689</v>
      </c>
      <c r="W3" s="1284" t="s">
        <v>61</v>
      </c>
      <c r="X3" s="1280" t="s">
        <v>1681</v>
      </c>
      <c r="Y3" s="1290" t="s">
        <v>1690</v>
      </c>
      <c r="Z3" s="203" t="s">
        <v>10</v>
      </c>
      <c r="AA3" s="1277" t="s">
        <v>1680</v>
      </c>
      <c r="AB3" s="1286" t="s">
        <v>1691</v>
      </c>
      <c r="AC3" s="203" t="s">
        <v>1806</v>
      </c>
      <c r="AD3" s="396" t="s">
        <v>1802</v>
      </c>
      <c r="AE3" s="396" t="s">
        <v>1801</v>
      </c>
      <c r="AF3" s="479" t="s">
        <v>697</v>
      </c>
      <c r="AG3" s="1354" t="s">
        <v>1800</v>
      </c>
    </row>
    <row r="4" spans="1:33" ht="16.5" thickBot="1" x14ac:dyDescent="0.3">
      <c r="A4" s="291"/>
      <c r="B4" s="292"/>
      <c r="C4" s="291"/>
      <c r="D4" s="293"/>
      <c r="E4" s="293"/>
      <c r="F4" s="293"/>
      <c r="G4" s="293"/>
      <c r="H4" s="293"/>
      <c r="I4" s="293"/>
      <c r="J4" s="294"/>
      <c r="K4" s="291"/>
      <c r="L4" s="1278"/>
      <c r="M4" s="1287"/>
      <c r="N4" s="293"/>
      <c r="O4" s="1278"/>
      <c r="P4" s="1287"/>
      <c r="Q4" s="293"/>
      <c r="R4" s="1278"/>
      <c r="S4" s="1287"/>
      <c r="T4" s="293"/>
      <c r="U4" s="1278"/>
      <c r="V4" s="1287"/>
      <c r="W4" s="293"/>
      <c r="X4" s="1281"/>
      <c r="Y4" s="1291"/>
      <c r="Z4" s="294"/>
      <c r="AA4" s="1278"/>
      <c r="AB4" s="1287"/>
      <c r="AC4" s="294"/>
      <c r="AD4" s="197" t="s">
        <v>690</v>
      </c>
      <c r="AE4" s="197"/>
      <c r="AF4" s="192"/>
      <c r="AG4" s="1356"/>
    </row>
    <row r="5" spans="1:33" ht="16.5" thickBot="1" x14ac:dyDescent="0.3">
      <c r="A5" s="295"/>
      <c r="B5" s="296"/>
      <c r="C5" s="295"/>
      <c r="D5" s="297"/>
      <c r="E5" s="297"/>
      <c r="F5" s="297"/>
      <c r="G5" s="297"/>
      <c r="H5" s="297"/>
      <c r="I5" s="297"/>
      <c r="J5" s="270"/>
      <c r="K5" s="298"/>
      <c r="L5" s="1279"/>
      <c r="M5" s="1288"/>
      <c r="N5" s="299"/>
      <c r="O5" s="1279"/>
      <c r="P5" s="1288"/>
      <c r="Q5" s="299"/>
      <c r="R5" s="1279"/>
      <c r="S5" s="1288"/>
      <c r="T5" s="299"/>
      <c r="U5" s="1279"/>
      <c r="V5" s="1288"/>
      <c r="W5" s="299"/>
      <c r="X5" s="1282"/>
      <c r="Y5" s="1292"/>
      <c r="Z5" s="300"/>
      <c r="AA5" s="1279"/>
      <c r="AB5" s="1288"/>
      <c r="AC5" s="300"/>
      <c r="AD5" s="480"/>
      <c r="AE5" s="481"/>
      <c r="AF5" s="482"/>
      <c r="AG5" s="1355"/>
    </row>
    <row r="6" spans="1:33" ht="75" customHeight="1" thickBot="1" x14ac:dyDescent="0.35">
      <c r="A6" s="412" t="str">
        <f>CONCATENATE('3 pr-2'!A7)</f>
        <v>1.1.</v>
      </c>
      <c r="B6" s="413"/>
      <c r="C6" s="2028" t="str">
        <f>CONCATENATE('3 pr-2'!B7)</f>
        <v>Tikslas: 
DIDINTI ŪKINĖS VEIKLOS ĮVAIROVĘ IR PAGERINTI SĄLYGAS INVESTICIJŲ PRITRAUKIMUI, MAŽINANT GEOGRAFINIŲ SĄLYGŲ IR DEMOGRAFINIŲ PROCESŲ SUKELIAMUS GYVENIMO KOKYBĖS NETOLYGUMUS</v>
      </c>
      <c r="D6" s="2023"/>
      <c r="E6" s="2023"/>
      <c r="F6" s="2023"/>
      <c r="G6" s="2023"/>
      <c r="H6" s="2023"/>
      <c r="I6" s="2023"/>
      <c r="J6" s="2024"/>
      <c r="K6" s="1514">
        <f>SUM(K7+K72)</f>
        <v>45338561.56941177</v>
      </c>
      <c r="L6" s="1521">
        <f t="shared" ref="L6" si="0">SUM(L7+L31+L37+L44+L48+L54+L56+L60+L65)</f>
        <v>45783009.269999996</v>
      </c>
      <c r="M6" s="1522">
        <f t="shared" ref="M6" ca="1" si="1">SUM(M7+M31+M37+M44+M48+M54+M56+M60+M65)</f>
        <v>38762488.26176805</v>
      </c>
      <c r="N6" s="1514">
        <f t="shared" ref="N6:Z6" si="2">SUM(N7+N72)</f>
        <v>5166638.3894117642</v>
      </c>
      <c r="O6" s="1521">
        <f t="shared" ref="O6:P6" si="3">SUM(O7+O31+O37+O44+O48+O54+O56+O60+O65)</f>
        <v>3469501.64</v>
      </c>
      <c r="P6" s="1522">
        <f t="shared" ca="1" si="3"/>
        <v>3608206.0917680478</v>
      </c>
      <c r="Q6" s="1514">
        <f t="shared" si="2"/>
        <v>1177136.17</v>
      </c>
      <c r="R6" s="1521">
        <f t="shared" ref="R6:S6" si="4">SUM(R7+R31+R37+R44+R48+R54+R56+R60+R65)</f>
        <v>1539064.4300000002</v>
      </c>
      <c r="S6" s="1522">
        <f t="shared" ca="1" si="4"/>
        <v>1166756.3600000001</v>
      </c>
      <c r="T6" s="1514">
        <f t="shared" si="2"/>
        <v>8480639.0100000016</v>
      </c>
      <c r="U6" s="1521">
        <f t="shared" ref="U6" si="5">SUM(U7+U31+U37+U44+U48+U54+U56+U60+U65)</f>
        <v>11241520.149999999</v>
      </c>
      <c r="V6" s="1522">
        <f t="shared" ref="V6" ca="1" si="6">SUM(V7+V31+V37+V44+V48+V54+V56+V60+V65)</f>
        <v>7658929.7000000002</v>
      </c>
      <c r="W6" s="1514">
        <f t="shared" si="2"/>
        <v>415060.82</v>
      </c>
      <c r="X6" s="1521">
        <f>SUM(X7+X31+X37+X44+X48+X54+X56+X60+X65)</f>
        <v>0</v>
      </c>
      <c r="Y6" s="1522">
        <f ca="1">SUM(Y7+Y31+Y37+Y44+Y48+Y54+Y56+Y60+Y65)</f>
        <v>352400.82</v>
      </c>
      <c r="Z6" s="1514">
        <f t="shared" si="2"/>
        <v>30099087.180000003</v>
      </c>
      <c r="AA6" s="1521">
        <f t="shared" ref="N6:AB7" si="7">SUM(AA7+AA31+AA37+AA44+AA48+AA54+AA56+AA60+AA65)</f>
        <v>29532923.050000004</v>
      </c>
      <c r="AB6" s="1522">
        <f t="shared" ca="1" si="7"/>
        <v>18579021.689999998</v>
      </c>
      <c r="AC6" s="1514">
        <f t="shared" ref="AC6:AC8" si="8">SUM(AC7+AC72)</f>
        <v>0</v>
      </c>
      <c r="AD6" s="157" t="s">
        <v>690</v>
      </c>
      <c r="AE6" s="157" t="s">
        <v>690</v>
      </c>
      <c r="AF6" s="157" t="s">
        <v>690</v>
      </c>
      <c r="AG6" s="157"/>
    </row>
    <row r="7" spans="1:33" ht="59.25" customHeight="1" thickBot="1" x14ac:dyDescent="0.3">
      <c r="A7" s="261" t="s">
        <v>691</v>
      </c>
      <c r="B7" s="407"/>
      <c r="C7" s="2022" t="str">
        <f>CONCATENATE('3 pr-2'!B8)</f>
        <v>Uždavinys: 
Sudaryti sąlygas darbo vietų kūrimui, kuriant ir atnaujinant viešąją ir ekoinžinerinę  infrastruktūrą,  gamtos, kultūros paveldo objektus ir kultūros įstaigas</v>
      </c>
      <c r="D7" s="2023"/>
      <c r="E7" s="2023"/>
      <c r="F7" s="2023"/>
      <c r="G7" s="2023"/>
      <c r="H7" s="2023"/>
      <c r="I7" s="2023"/>
      <c r="J7" s="2024"/>
      <c r="K7" s="1420">
        <f>SUM(K8+K32+K38+K45+K49+K55+K57+K61+K66)</f>
        <v>37686369.949411765</v>
      </c>
      <c r="L7" s="1523">
        <f t="shared" ref="L7" si="9">SUM(L8+L32+L38+L45+L49+L55+L57+L61+L66)</f>
        <v>37938947.659999996</v>
      </c>
      <c r="M7" s="1524">
        <f t="shared" ref="M7" ca="1" si="10">SUM(M8+M32+M38+M45+M49+M55+M57+M61+M66)</f>
        <v>32969929.821768049</v>
      </c>
      <c r="N7" s="1420">
        <f t="shared" si="7"/>
        <v>3022160.9994117641</v>
      </c>
      <c r="O7" s="1523">
        <f t="shared" ref="O7:P7" si="11">SUM(O8+O32+O38+O45+O49+O55+O57+O61+O66)</f>
        <v>2882909.66</v>
      </c>
      <c r="P7" s="1524">
        <f t="shared" ca="1" si="11"/>
        <v>3346673.7117680479</v>
      </c>
      <c r="Q7" s="1420">
        <f t="shared" si="7"/>
        <v>1177136.17</v>
      </c>
      <c r="R7" s="1523">
        <f t="shared" ref="R7:S7" si="12">SUM(R8+R32+R38+R45+R49+R55+R57+R61+R66)</f>
        <v>1421026.62</v>
      </c>
      <c r="S7" s="1524">
        <f t="shared" ca="1" si="12"/>
        <v>1090452.5</v>
      </c>
      <c r="T7" s="1420">
        <f t="shared" si="7"/>
        <v>8057947.0100000007</v>
      </c>
      <c r="U7" s="1523">
        <f t="shared" ref="U7" si="13">SUM(U8+U32+U38+U45+U49+U55+U57+U61+U66)</f>
        <v>9897793.5399999991</v>
      </c>
      <c r="V7" s="1524">
        <f t="shared" ref="V7" ca="1" si="14">SUM(V8+V32+V38+V45+V49+V55+V57+V61+V66)</f>
        <v>6624263.0899999999</v>
      </c>
      <c r="W7" s="1420">
        <f t="shared" si="7"/>
        <v>352400.82</v>
      </c>
      <c r="X7" s="1523">
        <f t="shared" ref="X7:Y7" si="15">SUM(X8+X32+X38+X45+X49+X55+X57+X61+X66)</f>
        <v>0</v>
      </c>
      <c r="Y7" s="1524">
        <f t="shared" ca="1" si="15"/>
        <v>352400.82</v>
      </c>
      <c r="Z7" s="1420">
        <f t="shared" si="7"/>
        <v>25076724.950000003</v>
      </c>
      <c r="AA7" s="1523">
        <f t="shared" si="7"/>
        <v>23737217.840000004</v>
      </c>
      <c r="AB7" s="1524">
        <f t="shared" ca="1" si="7"/>
        <v>14158966.1</v>
      </c>
      <c r="AC7" s="1420">
        <f t="shared" si="8"/>
        <v>0</v>
      </c>
      <c r="AD7" s="236" t="s">
        <v>690</v>
      </c>
      <c r="AE7" s="409" t="s">
        <v>690</v>
      </c>
      <c r="AF7" s="408" t="s">
        <v>690</v>
      </c>
      <c r="AG7" s="239"/>
    </row>
    <row r="8" spans="1:33" ht="33.75" customHeight="1" thickBot="1" x14ac:dyDescent="0.3">
      <c r="A8" s="326" t="s">
        <v>67</v>
      </c>
      <c r="B8" s="388"/>
      <c r="C8" s="2025" t="str">
        <f>CONCATENATE('3 pr-2'!B9)</f>
        <v>Priemonė:
Kaimo gyvenamųjų vietovių (turinčių iki 1 tūkst. gyventojų) atnaujinimas</v>
      </c>
      <c r="D8" s="2026"/>
      <c r="E8" s="2026"/>
      <c r="F8" s="2026"/>
      <c r="G8" s="2026"/>
      <c r="H8" s="2026"/>
      <c r="I8" s="2026"/>
      <c r="J8" s="2027"/>
      <c r="K8" s="1293">
        <f>SUM(K9:K31)</f>
        <v>4207747</v>
      </c>
      <c r="L8" s="1294">
        <f t="shared" ref="L8" si="16">SUM(L9:L31)</f>
        <v>4207747</v>
      </c>
      <c r="M8" s="1295">
        <f t="shared" ref="M8" si="17">SUM(M9:M31)</f>
        <v>4280761.7717680484</v>
      </c>
      <c r="N8" s="1293">
        <f t="shared" ref="N8:AB8" si="18">SUM(N9:N31)</f>
        <v>908274</v>
      </c>
      <c r="O8" s="1294">
        <f t="shared" ref="O8:P8" si="19">SUM(O9:O31)</f>
        <v>908274</v>
      </c>
      <c r="P8" s="1295">
        <f t="shared" si="19"/>
        <v>1257450.7717680482</v>
      </c>
      <c r="Q8" s="1293">
        <f t="shared" si="18"/>
        <v>494922</v>
      </c>
      <c r="R8" s="1294">
        <f t="shared" ref="R8:S8" si="20">SUM(R9:R31)</f>
        <v>494922</v>
      </c>
      <c r="S8" s="1295">
        <f t="shared" si="20"/>
        <v>453496.64999999991</v>
      </c>
      <c r="T8" s="1293">
        <f t="shared" si="18"/>
        <v>0</v>
      </c>
      <c r="U8" s="1294">
        <f t="shared" ref="U8" si="21">SUM(U9:U31)</f>
        <v>0</v>
      </c>
      <c r="V8" s="1295">
        <f t="shared" ref="V8" si="22">SUM(V9:V31)</f>
        <v>0</v>
      </c>
      <c r="W8" s="1293">
        <f t="shared" si="18"/>
        <v>0</v>
      </c>
      <c r="X8" s="1294">
        <f t="shared" ref="X8:Y8" si="23">SUM(X9:X31)</f>
        <v>0</v>
      </c>
      <c r="Y8" s="1295">
        <f t="shared" si="23"/>
        <v>0</v>
      </c>
      <c r="Z8" s="1293">
        <f t="shared" si="18"/>
        <v>2804551</v>
      </c>
      <c r="AA8" s="1294">
        <f t="shared" si="18"/>
        <v>2804551</v>
      </c>
      <c r="AB8" s="1295">
        <f t="shared" si="18"/>
        <v>2569814.3499999996</v>
      </c>
      <c r="AC8" s="1293">
        <f t="shared" si="8"/>
        <v>0</v>
      </c>
      <c r="AD8" s="398"/>
      <c r="AE8" s="399"/>
      <c r="AF8" s="398"/>
      <c r="AG8" s="399"/>
    </row>
    <row r="9" spans="1:33" ht="48.75" x14ac:dyDescent="0.25">
      <c r="A9" s="182" t="str">
        <f>CONCATENATE('3 pr-2'!A10)</f>
        <v>1.1.1.1.1</v>
      </c>
      <c r="B9" s="309" t="s">
        <v>1233</v>
      </c>
      <c r="C9" s="182" t="str">
        <f>CONCATENATE('3 pr-2'!B10)</f>
        <v>R01-ZM72-120000-1101</v>
      </c>
      <c r="D9" s="182"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82" t="str">
        <f>CONCATENATE('3 pr-2'!J10)</f>
        <v>-</v>
      </c>
      <c r="K9" s="1296">
        <f>IF(AE9&gt;0,'3 pr-2'!L10,0)</f>
        <v>198893</v>
      </c>
      <c r="L9" s="1297">
        <v>198893</v>
      </c>
      <c r="M9" s="1298">
        <f>SUM(P9+S9+V9+Y9+AB9)</f>
        <v>191129.56</v>
      </c>
      <c r="N9" s="1296">
        <f>IF(AE9&gt;0,'3 pr-2'!O10,0)</f>
        <v>39779</v>
      </c>
      <c r="O9" s="1297">
        <v>39779</v>
      </c>
      <c r="P9" s="1298">
        <f>SUM('ketv. 6 '!P9)</f>
        <v>32014.560000000001</v>
      </c>
      <c r="Q9" s="1296">
        <f>IF(AE9&gt;0,'3 pr-2'!R10,0)</f>
        <v>23867</v>
      </c>
      <c r="R9" s="1297">
        <v>23867</v>
      </c>
      <c r="S9" s="1298">
        <f>SUM('ketv. 6 '!T9)</f>
        <v>23867.25</v>
      </c>
      <c r="T9" s="1296">
        <f>IF(AE9&gt;0,'3 pr-2'!U10,0)</f>
        <v>0</v>
      </c>
      <c r="U9" s="1297">
        <v>0</v>
      </c>
      <c r="V9" s="1298">
        <f>SUM('ketv. 6 '!X9)</f>
        <v>0</v>
      </c>
      <c r="W9" s="1296">
        <f>IF(AE9&gt;0,'3 pr-2'!X10,0)</f>
        <v>0</v>
      </c>
      <c r="X9" s="1297">
        <v>0</v>
      </c>
      <c r="Y9" s="1298">
        <f>SUM('ketv. 6 '!AB9)</f>
        <v>0</v>
      </c>
      <c r="Z9" s="1296">
        <f>IF($AE$9&gt;0,'3 pr-2'!AA10,0)</f>
        <v>135247</v>
      </c>
      <c r="AA9" s="1297">
        <v>135247</v>
      </c>
      <c r="AB9" s="1298">
        <f>SUM('ketv. 6 '!AF9)</f>
        <v>135247.75</v>
      </c>
      <c r="AC9" s="1296">
        <f>IF($AE$9&gt;0,'3 pr-2'!AB10,0)</f>
        <v>0</v>
      </c>
      <c r="AD9" s="1336">
        <f>SUM('3 pr-2'!AG10)</f>
        <v>42855</v>
      </c>
      <c r="AE9" s="1342">
        <v>42839</v>
      </c>
      <c r="AF9" s="216">
        <f>IF((YEAR(AD9)-YEAR(AE9))=0,0,YEAR(AD9)-YEAR(AE9))</f>
        <v>0</v>
      </c>
      <c r="AG9" s="445" t="str">
        <f>IF(AD9-AE9&lt;0,(AD9-AE9)/30.41667,"–")</f>
        <v>–</v>
      </c>
    </row>
    <row r="10" spans="1:33" ht="48.75" x14ac:dyDescent="0.25">
      <c r="A10" s="182" t="str">
        <f>CONCATENATE('3 pr-2'!A11)</f>
        <v>1.1.1.1.2</v>
      </c>
      <c r="B10" s="309" t="s">
        <v>1234</v>
      </c>
      <c r="C10" s="182" t="str">
        <f>CONCATENATE('3 pr-2'!B11)</f>
        <v>R01-ZM72-120000-1102</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96">
        <f>IF(AE10&gt;0,'3 pr-2'!L11,0)</f>
        <v>151340</v>
      </c>
      <c r="L10" s="1297">
        <v>151340</v>
      </c>
      <c r="M10" s="1298">
        <f t="shared" ref="M10:M71" si="24">SUM(P10+S10+V10+Y10+AB10)</f>
        <v>161570</v>
      </c>
      <c r="N10" s="1296">
        <f>IF(AE10&gt;0,'3 pr-2'!O11,0)</f>
        <v>30268</v>
      </c>
      <c r="O10" s="1297">
        <v>30268</v>
      </c>
      <c r="P10" s="1298">
        <f>SUM('ketv. 6 '!P10)</f>
        <v>40499</v>
      </c>
      <c r="Q10" s="1296">
        <f>IF(AE10&gt;0,'3 pr-2'!R11,0)</f>
        <v>18161</v>
      </c>
      <c r="R10" s="1297">
        <v>18161</v>
      </c>
      <c r="S10" s="1298">
        <f>SUM('ketv. 6 '!T10)</f>
        <v>18160.650000000001</v>
      </c>
      <c r="T10" s="1296">
        <f>IF(AE10&gt;0,'3 pr-2'!U11,0)</f>
        <v>0</v>
      </c>
      <c r="U10" s="1297">
        <v>0</v>
      </c>
      <c r="V10" s="1298">
        <f>SUM('ketv. 6 '!X10)</f>
        <v>0</v>
      </c>
      <c r="W10" s="1296">
        <f>IF(AE10&gt;0,'3 pr-2'!X11,0)</f>
        <v>0</v>
      </c>
      <c r="X10" s="1297">
        <v>0</v>
      </c>
      <c r="Y10" s="1298">
        <f>SUM('ketv. 6 '!AB10)</f>
        <v>0</v>
      </c>
      <c r="Z10" s="1296">
        <f>IF(AE10&gt;0,'3 pr-2'!AA11,0)</f>
        <v>102911</v>
      </c>
      <c r="AA10" s="1297">
        <v>102911</v>
      </c>
      <c r="AB10" s="1298">
        <f>SUM('ketv. 6 '!AF10)</f>
        <v>102910.35</v>
      </c>
      <c r="AC10" s="1296">
        <f>IF($AE$9&gt;0,'3 pr-2'!AB11,0)</f>
        <v>0</v>
      </c>
      <c r="AD10" s="1336">
        <f>SUM('3 pr-2'!AG11)</f>
        <v>42855</v>
      </c>
      <c r="AE10" s="1342">
        <v>42839</v>
      </c>
      <c r="AF10" s="216">
        <f>IF((YEAR(AD10)-YEAR(AE10))=0,0,YEAR(AD10)-YEAR(AE10))</f>
        <v>0</v>
      </c>
      <c r="AG10" s="445" t="str">
        <f t="shared" ref="AG10:AG71" si="25">IF(AD10-AE10&lt;0,(AD10-AE10)/30.41667,"–")</f>
        <v>–</v>
      </c>
    </row>
    <row r="11" spans="1:33" ht="48.75" x14ac:dyDescent="0.25">
      <c r="A11" s="182" t="str">
        <f>CONCATENATE('3 pr-2'!A12)</f>
        <v>1.1.1.1.3</v>
      </c>
      <c r="B11" s="309" t="s">
        <v>1235</v>
      </c>
      <c r="C11" s="182" t="str">
        <f>CONCATENATE('3 pr-2'!B12)</f>
        <v>R01-ZM72-120000-1103</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96">
        <f>IF(AE11&gt;0,'3 pr-2'!L12,0)</f>
        <v>193059</v>
      </c>
      <c r="L11" s="1297">
        <v>193059</v>
      </c>
      <c r="M11" s="1298">
        <f t="shared" si="24"/>
        <v>189886.66</v>
      </c>
      <c r="N11" s="1296">
        <f>IF(AE11&gt;0,'3 pr-2'!O12,0)</f>
        <v>38612</v>
      </c>
      <c r="O11" s="1297">
        <v>38612</v>
      </c>
      <c r="P11" s="1298">
        <f>SUM('ketv. 6 '!P11)</f>
        <v>35440.660000000003</v>
      </c>
      <c r="Q11" s="1296">
        <f>IF(AE11&gt;0,'3 pr-2'!R12,0)</f>
        <v>23167</v>
      </c>
      <c r="R11" s="1297">
        <v>23167</v>
      </c>
      <c r="S11" s="1298">
        <f>SUM('ketv. 6 '!T11)</f>
        <v>23166.9</v>
      </c>
      <c r="T11" s="1296">
        <f>IF(AE11&gt;0,'3 pr-2'!U12,0)</f>
        <v>0</v>
      </c>
      <c r="U11" s="1297">
        <v>0</v>
      </c>
      <c r="V11" s="1298">
        <f>SUM('ketv. 6 '!X11)</f>
        <v>0</v>
      </c>
      <c r="W11" s="1296">
        <f>IF(AE11&gt;0,'3 pr-2'!X12,0)</f>
        <v>0</v>
      </c>
      <c r="X11" s="1297">
        <v>0</v>
      </c>
      <c r="Y11" s="1298">
        <f>SUM('ketv. 6 '!AB11)</f>
        <v>0</v>
      </c>
      <c r="Z11" s="1296">
        <f>IF(AE11&gt;0,'3 pr-2'!AA12,0)</f>
        <v>131280</v>
      </c>
      <c r="AA11" s="1297">
        <v>131280</v>
      </c>
      <c r="AB11" s="1298">
        <f>SUM('ketv. 6 '!AF11)</f>
        <v>131279.1</v>
      </c>
      <c r="AC11" s="1296">
        <f>IF($AE$9&gt;0,'3 pr-2'!AB12,0)</f>
        <v>0</v>
      </c>
      <c r="AD11" s="1336">
        <f>SUM('3 pr-2'!AG12)</f>
        <v>42855</v>
      </c>
      <c r="AE11" s="1342">
        <v>42839</v>
      </c>
      <c r="AF11" s="216">
        <f t="shared" ref="AF11:AF31" si="26">IF((YEAR(AD11)-YEAR(AE11))=0,0,YEAR(AD11)-YEAR(AE11))</f>
        <v>0</v>
      </c>
      <c r="AG11" s="445" t="str">
        <f t="shared" si="25"/>
        <v>–</v>
      </c>
    </row>
    <row r="12" spans="1:33" ht="48.75" x14ac:dyDescent="0.25">
      <c r="A12" s="182" t="str">
        <f>CONCATENATE('3 pr-2'!A13)</f>
        <v>1.1.1.1.4</v>
      </c>
      <c r="B12" s="309" t="s">
        <v>1236</v>
      </c>
      <c r="C12" s="182" t="str">
        <f>CONCATENATE('3 pr-2'!B13)</f>
        <v>R01-ZM72-330200-1104</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96">
        <f>IF(AE12&gt;0,'3 pr-2'!L13,0)</f>
        <v>125000</v>
      </c>
      <c r="L12" s="1297">
        <v>125000</v>
      </c>
      <c r="M12" s="1298">
        <f t="shared" si="24"/>
        <v>123160</v>
      </c>
      <c r="N12" s="1296">
        <f>IF(AE12&gt;0,'3 pr-2'!O13,0)</f>
        <v>25000</v>
      </c>
      <c r="O12" s="1297">
        <v>25000</v>
      </c>
      <c r="P12" s="1298">
        <f>SUM('ketv. 6 '!P12)</f>
        <v>24632</v>
      </c>
      <c r="Q12" s="1296">
        <f>IF(AE12&gt;0,'3 pr-2'!R13,0)</f>
        <v>15000</v>
      </c>
      <c r="R12" s="1297">
        <v>15000</v>
      </c>
      <c r="S12" s="1298">
        <f>SUM('ketv. 6 '!T12)</f>
        <v>14779.2</v>
      </c>
      <c r="T12" s="1296">
        <f>IF(AE12&gt;0,'3 pr-2'!U13,0)</f>
        <v>0</v>
      </c>
      <c r="U12" s="1297">
        <v>0</v>
      </c>
      <c r="V12" s="1298">
        <f>SUM('ketv. 6 '!X12)</f>
        <v>0</v>
      </c>
      <c r="W12" s="1296">
        <f>IF(AE12&gt;0,'3 pr-2'!X13,0)</f>
        <v>0</v>
      </c>
      <c r="X12" s="1297">
        <v>0</v>
      </c>
      <c r="Y12" s="1298">
        <f>SUM('ketv. 6 '!AB12)</f>
        <v>0</v>
      </c>
      <c r="Z12" s="1296">
        <f>IF(AE12&gt;0,'3 pr-2'!AA13,0)</f>
        <v>85000</v>
      </c>
      <c r="AA12" s="1297">
        <v>85000</v>
      </c>
      <c r="AB12" s="1298">
        <f>SUM('ketv. 6 '!AF12)</f>
        <v>83748.800000000003</v>
      </c>
      <c r="AC12" s="1296">
        <f>IF($AE$9&gt;0,'3 pr-2'!AB13,0)</f>
        <v>0</v>
      </c>
      <c r="AD12" s="1336">
        <f>SUM('3 pr-2'!AG13)</f>
        <v>42855</v>
      </c>
      <c r="AE12" s="1342">
        <v>42839</v>
      </c>
      <c r="AF12" s="216">
        <f t="shared" si="26"/>
        <v>0</v>
      </c>
      <c r="AG12" s="445" t="str">
        <f t="shared" si="25"/>
        <v>–</v>
      </c>
    </row>
    <row r="13" spans="1:33" ht="48.75" x14ac:dyDescent="0.25">
      <c r="A13" s="182" t="str">
        <f>CONCATENATE('3 pr-2'!A14)</f>
        <v>1.1.1.1.5</v>
      </c>
      <c r="B13" s="309" t="s">
        <v>1237</v>
      </c>
      <c r="C13" s="182" t="str">
        <f>CONCATENATE('3 pr-2'!B14)</f>
        <v>R01-ZM72-120000-1105</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96">
        <f>IF(AE13&gt;0,'3 pr-2'!L14,0)</f>
        <v>240940</v>
      </c>
      <c r="L13" s="1297">
        <v>240940</v>
      </c>
      <c r="M13" s="1298">
        <f t="shared" si="24"/>
        <v>207509.88999999998</v>
      </c>
      <c r="N13" s="1296">
        <f>IF(AE13&gt;0,'3 pr-2'!O14,0)</f>
        <v>112896</v>
      </c>
      <c r="O13" s="1297">
        <v>112896</v>
      </c>
      <c r="P13" s="1298">
        <f>SUM('ketv. 6 '!P13)</f>
        <v>79465.89</v>
      </c>
      <c r="Q13" s="1296">
        <f>IF(AE13&gt;0,'3 pr-2'!R14,0)</f>
        <v>19207</v>
      </c>
      <c r="R13" s="1297">
        <v>19207</v>
      </c>
      <c r="S13" s="1298">
        <f>SUM('ketv. 6 '!T13)</f>
        <v>19206.599999999999</v>
      </c>
      <c r="T13" s="1296">
        <f>IF(AE13&gt;0,'3 pr-2'!U14,0)</f>
        <v>0</v>
      </c>
      <c r="U13" s="1297">
        <v>0</v>
      </c>
      <c r="V13" s="1298">
        <f>SUM('ketv. 6 '!X13)</f>
        <v>0</v>
      </c>
      <c r="W13" s="1296">
        <f>IF(AE13&gt;0,'3 pr-2'!X14,0)</f>
        <v>0</v>
      </c>
      <c r="X13" s="1297">
        <v>0</v>
      </c>
      <c r="Y13" s="1298">
        <f>SUM('ketv. 6 '!AB13)</f>
        <v>0</v>
      </c>
      <c r="Z13" s="1296">
        <f>IF(AE13&gt;0,'3 pr-2'!AA14,0)</f>
        <v>108837</v>
      </c>
      <c r="AA13" s="1297">
        <v>108837</v>
      </c>
      <c r="AB13" s="1298">
        <f>SUM('ketv. 6 '!AF13)</f>
        <v>108837.4</v>
      </c>
      <c r="AC13" s="1296">
        <f>IF($AE$9&gt;0,'3 pr-2'!AB14,0)</f>
        <v>0</v>
      </c>
      <c r="AD13" s="1336">
        <f>SUM('3 pr-2'!AG14)</f>
        <v>42855</v>
      </c>
      <c r="AE13" s="1342">
        <v>42839</v>
      </c>
      <c r="AF13" s="216">
        <f t="shared" si="26"/>
        <v>0</v>
      </c>
      <c r="AG13" s="445" t="str">
        <f t="shared" si="25"/>
        <v>–</v>
      </c>
    </row>
    <row r="14" spans="1:33" ht="60.75" x14ac:dyDescent="0.25">
      <c r="A14" s="182" t="str">
        <f>CONCATENATE('3 pr-2'!A15)</f>
        <v>1.1.1.1.6</v>
      </c>
      <c r="B14" s="309" t="s">
        <v>1238</v>
      </c>
      <c r="C14" s="182" t="str">
        <f>CONCATENATE('3 pr-2'!B15)</f>
        <v>R01-ZM72-330200-1106</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96">
        <f>IF(AE14&gt;0,'3 pr-2'!L15,0)</f>
        <v>201000</v>
      </c>
      <c r="L14" s="1297">
        <v>201000</v>
      </c>
      <c r="M14" s="1298">
        <f t="shared" si="24"/>
        <v>200999</v>
      </c>
      <c r="N14" s="1296">
        <f>IF(AE14&gt;0,'3 pr-2'!O15,0)</f>
        <v>40200</v>
      </c>
      <c r="O14" s="1297">
        <v>40200</v>
      </c>
      <c r="P14" s="1298">
        <f>SUM('ketv. 6 '!P14)</f>
        <v>41071</v>
      </c>
      <c r="Q14" s="1296">
        <f>IF(AE14&gt;0,'3 pr-2'!R15,0)</f>
        <v>24120</v>
      </c>
      <c r="R14" s="1297">
        <v>24120</v>
      </c>
      <c r="S14" s="1298">
        <f>SUM('ketv. 6 '!T14)</f>
        <v>23989.200000000001</v>
      </c>
      <c r="T14" s="1296">
        <f>IF(AE14&gt;0,'3 pr-2'!U15,0)</f>
        <v>0</v>
      </c>
      <c r="U14" s="1297">
        <v>0</v>
      </c>
      <c r="V14" s="1298">
        <f>SUM('ketv. 6 '!X14)</f>
        <v>0</v>
      </c>
      <c r="W14" s="1296">
        <f>IF(AE14&gt;0,'3 pr-2'!X15,0)</f>
        <v>0</v>
      </c>
      <c r="X14" s="1297">
        <v>0</v>
      </c>
      <c r="Y14" s="1298">
        <f>SUM('ketv. 6 '!AB14)</f>
        <v>0</v>
      </c>
      <c r="Z14" s="1296">
        <f>IF(AE14&gt;0,'3 pr-2'!AA15,0)</f>
        <v>136680</v>
      </c>
      <c r="AA14" s="1297">
        <v>136680</v>
      </c>
      <c r="AB14" s="1298">
        <f>SUM('ketv. 6 '!AF14)</f>
        <v>135938.79999999999</v>
      </c>
      <c r="AC14" s="1296">
        <f>IF($AE$9&gt;0,'3 pr-2'!AB15,0)</f>
        <v>0</v>
      </c>
      <c r="AD14" s="1336">
        <f>SUM('3 pr-2'!AG15)</f>
        <v>42855</v>
      </c>
      <c r="AE14" s="1342">
        <v>42839</v>
      </c>
      <c r="AF14" s="216">
        <f t="shared" si="26"/>
        <v>0</v>
      </c>
      <c r="AG14" s="445" t="str">
        <f t="shared" si="25"/>
        <v>–</v>
      </c>
    </row>
    <row r="15" spans="1:33" ht="48.75" x14ac:dyDescent="0.25">
      <c r="A15" s="182" t="str">
        <f>CONCATENATE('3 pr-2'!A16)</f>
        <v>1.1.1.1.7</v>
      </c>
      <c r="B15" s="309" t="s">
        <v>1239</v>
      </c>
      <c r="C15" s="182" t="str">
        <f>CONCATENATE('3 pr-2'!B16)</f>
        <v>R01-ZM72-123200-1107</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96">
        <f>IF(AE15&gt;0,'3 pr-2'!L16,0)</f>
        <v>252212</v>
      </c>
      <c r="L15" s="1297">
        <v>252212</v>
      </c>
      <c r="M15" s="1298">
        <f t="shared" si="24"/>
        <v>252212</v>
      </c>
      <c r="N15" s="1296">
        <f>IF(AE15&gt;0,'3 pr-2'!O16,0)</f>
        <v>52212</v>
      </c>
      <c r="O15" s="1297">
        <v>52212</v>
      </c>
      <c r="P15" s="1298">
        <f>SUM('ketv. 6 '!P15)</f>
        <v>52212</v>
      </c>
      <c r="Q15" s="1296">
        <f>IF(AE15&gt;0,'3 pr-2'!R16,0)</f>
        <v>30000</v>
      </c>
      <c r="R15" s="1297">
        <v>30000</v>
      </c>
      <c r="S15" s="1298">
        <f>SUM('ketv. 6 '!T15)</f>
        <v>30000</v>
      </c>
      <c r="T15" s="1296">
        <f>IF(AE15&gt;0,'3 pr-2'!U16,0)</f>
        <v>0</v>
      </c>
      <c r="U15" s="1297">
        <v>0</v>
      </c>
      <c r="V15" s="1298">
        <f>SUM('ketv. 6 '!X15)</f>
        <v>0</v>
      </c>
      <c r="W15" s="1296">
        <f>IF(AE15&gt;0,'3 pr-2'!X16,0)</f>
        <v>0</v>
      </c>
      <c r="X15" s="1297">
        <v>0</v>
      </c>
      <c r="Y15" s="1298">
        <f>SUM('ketv. 6 '!AB15)</f>
        <v>0</v>
      </c>
      <c r="Z15" s="1296">
        <f>IF(AE15&gt;0,'3 pr-2'!AA16,0)</f>
        <v>170000</v>
      </c>
      <c r="AA15" s="1297">
        <v>170000</v>
      </c>
      <c r="AB15" s="1298">
        <f>SUM('ketv. 6 '!AF15)</f>
        <v>170000</v>
      </c>
      <c r="AC15" s="1296">
        <f>IF($AE$9&gt;0,'3 pr-2'!AB16,0)</f>
        <v>0</v>
      </c>
      <c r="AD15" s="1336">
        <f>SUM('3 pr-2'!AG16)</f>
        <v>42855</v>
      </c>
      <c r="AE15" s="1342">
        <v>42839</v>
      </c>
      <c r="AF15" s="216">
        <f t="shared" si="26"/>
        <v>0</v>
      </c>
      <c r="AG15" s="445" t="str">
        <f t="shared" si="25"/>
        <v>–</v>
      </c>
    </row>
    <row r="16" spans="1:33" ht="48.75" x14ac:dyDescent="0.25">
      <c r="A16" s="182" t="str">
        <f>CONCATENATE('3 pr-2'!A17)</f>
        <v>1.1.1.1.8</v>
      </c>
      <c r="B16" s="309" t="s">
        <v>1240</v>
      </c>
      <c r="C16" s="182" t="str">
        <f>CONCATENATE('3 pr-2'!B17)</f>
        <v>R01-ZM72-123200-1108</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96">
        <f>IF(AE16&gt;0,'3 pr-2'!L17,0)</f>
        <v>250309</v>
      </c>
      <c r="L16" s="1297">
        <v>250309</v>
      </c>
      <c r="M16" s="1298">
        <f t="shared" si="24"/>
        <v>250000</v>
      </c>
      <c r="N16" s="1296">
        <f>IF(AE16&gt;0,'3 pr-2'!O17,0)</f>
        <v>50309</v>
      </c>
      <c r="O16" s="1297">
        <v>50309</v>
      </c>
      <c r="P16" s="1298">
        <f>SUM('ketv. 6 '!P16)</f>
        <v>50000</v>
      </c>
      <c r="Q16" s="1296">
        <f>IF(AE16&gt;0,'3 pr-2'!R17,0)</f>
        <v>30000</v>
      </c>
      <c r="R16" s="1297">
        <v>30000</v>
      </c>
      <c r="S16" s="1298">
        <f>SUM('ketv. 6 '!T16)</f>
        <v>30000</v>
      </c>
      <c r="T16" s="1296">
        <f>IF(AE16&gt;0,'3 pr-2'!U17,0)</f>
        <v>0</v>
      </c>
      <c r="U16" s="1297">
        <v>0</v>
      </c>
      <c r="V16" s="1298">
        <f>SUM('ketv. 6 '!X16)</f>
        <v>0</v>
      </c>
      <c r="W16" s="1296">
        <f>IF(AE16&gt;0,'3 pr-2'!X17,0)</f>
        <v>0</v>
      </c>
      <c r="X16" s="1297">
        <v>0</v>
      </c>
      <c r="Y16" s="1298">
        <f>SUM('ketv. 6 '!AB16)</f>
        <v>0</v>
      </c>
      <c r="Z16" s="1296">
        <f>IF(AE16&gt;0,'3 pr-2'!AA17,0)</f>
        <v>170000</v>
      </c>
      <c r="AA16" s="1297">
        <v>170000</v>
      </c>
      <c r="AB16" s="1298">
        <f>SUM('ketv. 6 '!AF16)</f>
        <v>170000</v>
      </c>
      <c r="AC16" s="1296">
        <f>IF($AE$9&gt;0,'3 pr-2'!AB17,0)</f>
        <v>0</v>
      </c>
      <c r="AD16" s="1336">
        <f>SUM('3 pr-2'!AG17)</f>
        <v>42855</v>
      </c>
      <c r="AE16" s="1342">
        <v>42839</v>
      </c>
      <c r="AF16" s="216">
        <f t="shared" si="26"/>
        <v>0</v>
      </c>
      <c r="AG16" s="445" t="str">
        <f t="shared" si="25"/>
        <v>–</v>
      </c>
    </row>
    <row r="17" spans="1:33" ht="48.75" x14ac:dyDescent="0.25">
      <c r="A17" s="182" t="str">
        <f>CONCATENATE('3 pr-2'!A18)</f>
        <v>1.1.1.1.9</v>
      </c>
      <c r="B17" s="309" t="s">
        <v>1241</v>
      </c>
      <c r="C17" s="182" t="str">
        <f>CONCATENATE('3 pr-2'!B18)</f>
        <v>R01-ZM72-340000-1109</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96">
        <f>IF(AE17&gt;0,'3 pr-2'!L18,0)</f>
        <v>250000</v>
      </c>
      <c r="L17" s="1297">
        <v>250000</v>
      </c>
      <c r="M17" s="1298">
        <f t="shared" si="24"/>
        <v>250000</v>
      </c>
      <c r="N17" s="1296">
        <f>IF(AE17&gt;0,'3 pr-2'!O18,0)</f>
        <v>50000</v>
      </c>
      <c r="O17" s="1297">
        <v>50000</v>
      </c>
      <c r="P17" s="1298">
        <f>SUM('ketv. 6 '!P17)</f>
        <v>50000</v>
      </c>
      <c r="Q17" s="1296">
        <f>IF(AE17&gt;0,'3 pr-2'!R18,0)</f>
        <v>30000</v>
      </c>
      <c r="R17" s="1297">
        <v>30000</v>
      </c>
      <c r="S17" s="1298">
        <f>SUM('ketv. 6 '!T17)</f>
        <v>30000</v>
      </c>
      <c r="T17" s="1296">
        <f>IF(AE17&gt;0,'3 pr-2'!U18,0)</f>
        <v>0</v>
      </c>
      <c r="U17" s="1297">
        <v>0</v>
      </c>
      <c r="V17" s="1298">
        <f>SUM('ketv. 6 '!X17)</f>
        <v>0</v>
      </c>
      <c r="W17" s="1296">
        <f>IF(AE17&gt;0,'3 pr-2'!X18,0)</f>
        <v>0</v>
      </c>
      <c r="X17" s="1297">
        <v>0</v>
      </c>
      <c r="Y17" s="1298">
        <f>SUM('ketv. 6 '!AB17)</f>
        <v>0</v>
      </c>
      <c r="Z17" s="1296">
        <f>IF(AE17&gt;0,'3 pr-2'!AA18,0)</f>
        <v>170000</v>
      </c>
      <c r="AA17" s="1297">
        <v>170000</v>
      </c>
      <c r="AB17" s="1298">
        <f>SUM('ketv. 6 '!AF17)</f>
        <v>170000</v>
      </c>
      <c r="AC17" s="1296">
        <f>IF($AE$9&gt;0,'3 pr-2'!AB18,0)</f>
        <v>0</v>
      </c>
      <c r="AD17" s="1336">
        <f>SUM('3 pr-2'!AG18)</f>
        <v>42855</v>
      </c>
      <c r="AE17" s="1342">
        <v>42839</v>
      </c>
      <c r="AF17" s="216">
        <f t="shared" si="26"/>
        <v>0</v>
      </c>
      <c r="AG17" s="445" t="str">
        <f t="shared" si="25"/>
        <v>–</v>
      </c>
    </row>
    <row r="18" spans="1:33" ht="48.75" x14ac:dyDescent="0.25">
      <c r="A18" s="182" t="str">
        <f>CONCATENATE('3 pr-2'!A19)</f>
        <v>1.1.1.1.10</v>
      </c>
      <c r="B18" s="309" t="s">
        <v>1242</v>
      </c>
      <c r="C18" s="182" t="str">
        <f>CONCATENATE('3 pr-2'!B19)</f>
        <v>R01-ZM72-340200-1110</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96">
        <f>IF(AE18&gt;0,'3 pr-2'!L19,0)</f>
        <v>250000</v>
      </c>
      <c r="L18" s="1297">
        <v>250000</v>
      </c>
      <c r="M18" s="1298">
        <f t="shared" si="24"/>
        <v>250000</v>
      </c>
      <c r="N18" s="1296">
        <f>IF(AE18&gt;0,'3 pr-2'!O19,0)</f>
        <v>50000</v>
      </c>
      <c r="O18" s="1297">
        <v>50000</v>
      </c>
      <c r="P18" s="1298">
        <f>SUM('ketv. 6 '!P18)</f>
        <v>62460</v>
      </c>
      <c r="Q18" s="1296">
        <f>IF(AE18&gt;0,'3 pr-2'!R19,0)</f>
        <v>30000</v>
      </c>
      <c r="R18" s="1297">
        <v>30000</v>
      </c>
      <c r="S18" s="1298">
        <f>SUM('ketv. 6 '!T18)</f>
        <v>28131</v>
      </c>
      <c r="T18" s="1296">
        <f>IF(AE18&gt;0,'3 pr-2'!U19,0)</f>
        <v>0</v>
      </c>
      <c r="U18" s="1297">
        <v>0</v>
      </c>
      <c r="V18" s="1298">
        <f>SUM('ketv. 6 '!X18)</f>
        <v>0</v>
      </c>
      <c r="W18" s="1296">
        <f>IF(AE18&gt;0,'3 pr-2'!X19,0)</f>
        <v>0</v>
      </c>
      <c r="X18" s="1297">
        <v>0</v>
      </c>
      <c r="Y18" s="1298">
        <f>SUM('ketv. 6 '!AB18)</f>
        <v>0</v>
      </c>
      <c r="Z18" s="1296">
        <f>IF(AE18&gt;0,'3 pr-2'!AA19,0)</f>
        <v>170000</v>
      </c>
      <c r="AA18" s="1297">
        <v>170000</v>
      </c>
      <c r="AB18" s="1298">
        <f>SUM('ketv. 6 '!AF18)</f>
        <v>159409</v>
      </c>
      <c r="AC18" s="1296">
        <f>IF($AE$9&gt;0,'3 pr-2'!AB19,0)</f>
        <v>0</v>
      </c>
      <c r="AD18" s="1336">
        <f>SUM('3 pr-2'!AG19)</f>
        <v>42855</v>
      </c>
      <c r="AE18" s="1342">
        <v>42839</v>
      </c>
      <c r="AF18" s="216">
        <f t="shared" si="26"/>
        <v>0</v>
      </c>
      <c r="AG18" s="445" t="str">
        <f t="shared" si="25"/>
        <v>–</v>
      </c>
    </row>
    <row r="19" spans="1:33" ht="48.75" x14ac:dyDescent="0.25">
      <c r="A19" s="182" t="str">
        <f>CONCATENATE('3 pr-2'!A20)</f>
        <v>1.1.1.1.11</v>
      </c>
      <c r="B19" s="309" t="s">
        <v>1243</v>
      </c>
      <c r="C19" s="182" t="str">
        <f>CONCATENATE('3 pr-2'!B20)</f>
        <v>R01-ZM72-320000-1111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96">
        <f>IF(AE19&gt;0,'3 pr-2'!L20,0)</f>
        <v>125000</v>
      </c>
      <c r="L19" s="1297">
        <v>125000</v>
      </c>
      <c r="M19" s="1298">
        <f t="shared" si="24"/>
        <v>128689</v>
      </c>
      <c r="N19" s="1296">
        <f>IF(AE19&gt;0,'3 pr-2'!O20,0)</f>
        <v>25000</v>
      </c>
      <c r="O19" s="1297">
        <v>25000</v>
      </c>
      <c r="P19" s="1298">
        <f>SUM('ketv. 6 '!P19)</f>
        <v>28689</v>
      </c>
      <c r="Q19" s="1296">
        <f>IF(AE19&gt;0,'3 pr-2'!R20,0)</f>
        <v>15000</v>
      </c>
      <c r="R19" s="1297">
        <v>15000</v>
      </c>
      <c r="S19" s="1298">
        <f>SUM('ketv. 6 '!T19)</f>
        <v>15000</v>
      </c>
      <c r="T19" s="1296">
        <f>IF(AE19&gt;0,'3 pr-2'!U20,0)</f>
        <v>0</v>
      </c>
      <c r="U19" s="1297">
        <v>0</v>
      </c>
      <c r="V19" s="1298">
        <f>SUM('ketv. 6 '!X19)</f>
        <v>0</v>
      </c>
      <c r="W19" s="1296">
        <f>IF(AE19&gt;0,'3 pr-2'!X20,0)</f>
        <v>0</v>
      </c>
      <c r="X19" s="1297">
        <v>0</v>
      </c>
      <c r="Y19" s="1298">
        <f>SUM('ketv. 6 '!AB19)</f>
        <v>0</v>
      </c>
      <c r="Z19" s="1296">
        <f>IF(AE19&gt;0,'3 pr-2'!AA20,0)</f>
        <v>85000</v>
      </c>
      <c r="AA19" s="1297">
        <v>85000</v>
      </c>
      <c r="AB19" s="1298">
        <f>SUM('ketv. 6 '!AF19)</f>
        <v>85000</v>
      </c>
      <c r="AC19" s="1296">
        <f>IF($AE$9&gt;0,'3 pr-2'!AB20,0)</f>
        <v>0</v>
      </c>
      <c r="AD19" s="1336">
        <f>SUM('3 pr-2'!AG20)</f>
        <v>42855</v>
      </c>
      <c r="AE19" s="1342">
        <v>42839</v>
      </c>
      <c r="AF19" s="216">
        <f t="shared" si="26"/>
        <v>0</v>
      </c>
      <c r="AG19" s="445" t="str">
        <f t="shared" si="25"/>
        <v>–</v>
      </c>
    </row>
    <row r="20" spans="1:33" ht="48.75" x14ac:dyDescent="0.25">
      <c r="A20" s="182" t="str">
        <f>CONCATENATE('3 pr-2'!A21)</f>
        <v>1.1.1.1.12</v>
      </c>
      <c r="B20" s="309" t="s">
        <v>1244</v>
      </c>
      <c r="C20" s="182" t="str">
        <f>CONCATENATE('3 pr-2'!B21)</f>
        <v>R01-ZM72-120000-1112</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96">
        <f>IF(AE20&gt;0,'3 pr-2'!L21,0)</f>
        <v>153566</v>
      </c>
      <c r="L20" s="1297">
        <v>153566</v>
      </c>
      <c r="M20" s="1298">
        <f t="shared" si="24"/>
        <v>153564.76470768492</v>
      </c>
      <c r="N20" s="1296">
        <f>IF(AE20&gt;0,'3 pr-2'!O21,0)</f>
        <v>30713</v>
      </c>
      <c r="O20" s="1297">
        <v>30713</v>
      </c>
      <c r="P20" s="1298">
        <f>SUM('ketv. 6 '!P20)</f>
        <v>30712.764707684939</v>
      </c>
      <c r="Q20" s="1296">
        <f>IF(AE20&gt;0,'3 pr-2'!R21,0)</f>
        <v>18428</v>
      </c>
      <c r="R20" s="1297">
        <v>18428</v>
      </c>
      <c r="S20" s="1298">
        <f>SUM('ketv. 6 '!T20)</f>
        <v>18427.8</v>
      </c>
      <c r="T20" s="1296">
        <f>IF(AE20&gt;0,'3 pr-2'!U21,0)</f>
        <v>0</v>
      </c>
      <c r="U20" s="1297">
        <v>0</v>
      </c>
      <c r="V20" s="1298">
        <f>SUM('ketv. 6 '!X20)</f>
        <v>0</v>
      </c>
      <c r="W20" s="1296">
        <f>IF(AE20&gt;0,'3 pr-2'!X21,0)</f>
        <v>0</v>
      </c>
      <c r="X20" s="1297">
        <v>0</v>
      </c>
      <c r="Y20" s="1298">
        <f>SUM('ketv. 6 '!AB20)</f>
        <v>0</v>
      </c>
      <c r="Z20" s="1296">
        <f>IF(AE20&gt;0,'3 pr-2'!AA21,0)</f>
        <v>104425</v>
      </c>
      <c r="AA20" s="1297">
        <v>104425</v>
      </c>
      <c r="AB20" s="1298">
        <f>SUM('ketv. 6 '!AF20)</f>
        <v>104424.2</v>
      </c>
      <c r="AC20" s="1296">
        <f>IF($AE$9&gt;0,'3 pr-2'!AB21,0)</f>
        <v>0</v>
      </c>
      <c r="AD20" s="1336">
        <f>SUM('3 pr-2'!AG21)</f>
        <v>42855</v>
      </c>
      <c r="AE20" s="1342">
        <v>42839</v>
      </c>
      <c r="AF20" s="216">
        <f t="shared" si="26"/>
        <v>0</v>
      </c>
      <c r="AG20" s="445" t="str">
        <f t="shared" si="25"/>
        <v>–</v>
      </c>
    </row>
    <row r="21" spans="1:33" ht="48.75" x14ac:dyDescent="0.25">
      <c r="A21" s="182" t="str">
        <f>CONCATENATE('3 pr-2'!A22)</f>
        <v>1.1.1.1.13</v>
      </c>
      <c r="B21" s="309" t="s">
        <v>1245</v>
      </c>
      <c r="C21" s="182" t="str">
        <f>CONCATENATE('3 pr-2'!B22)</f>
        <v>R01-ZM72-123200-1113</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96">
        <f>IF(AE21&gt;0,'3 pr-2'!L22,0)</f>
        <v>250000</v>
      </c>
      <c r="L21" s="1297">
        <v>250000</v>
      </c>
      <c r="M21" s="1298">
        <f t="shared" si="24"/>
        <v>422018</v>
      </c>
      <c r="N21" s="1296">
        <f>IF(AE21&gt;0,'3 pr-2'!O22,0)</f>
        <v>50000</v>
      </c>
      <c r="O21" s="1297">
        <v>50000</v>
      </c>
      <c r="P21" s="1298">
        <f>SUM('ketv. 6 '!P21)</f>
        <v>222018</v>
      </c>
      <c r="Q21" s="1296">
        <f>IF(AE21&gt;0,'3 pr-2'!R22,0)</f>
        <v>30000</v>
      </c>
      <c r="R21" s="1297">
        <v>30000</v>
      </c>
      <c r="S21" s="1298">
        <f>SUM('ketv. 6 '!T21)</f>
        <v>30000</v>
      </c>
      <c r="T21" s="1296">
        <f>IF(AE21&gt;0,'3 pr-2'!U22,0)</f>
        <v>0</v>
      </c>
      <c r="U21" s="1297">
        <v>0</v>
      </c>
      <c r="V21" s="1298">
        <f>SUM('ketv. 6 '!X21)</f>
        <v>0</v>
      </c>
      <c r="W21" s="1296">
        <f>IF(AE21&gt;0,'3 pr-2'!X22,0)</f>
        <v>0</v>
      </c>
      <c r="X21" s="1297">
        <v>0</v>
      </c>
      <c r="Y21" s="1298">
        <f>SUM('ketv. 6 '!AB21)</f>
        <v>0</v>
      </c>
      <c r="Z21" s="1296">
        <f>IF(AE21&gt;0,'3 pr-2'!AA22,0)</f>
        <v>170000</v>
      </c>
      <c r="AA21" s="1297">
        <v>170000</v>
      </c>
      <c r="AB21" s="1298">
        <f>SUM('ketv. 6 '!AF21)</f>
        <v>170000</v>
      </c>
      <c r="AC21" s="1296">
        <f>IF($AE$9&gt;0,'3 pr-2'!AB22,0)</f>
        <v>0</v>
      </c>
      <c r="AD21" s="1336">
        <f>SUM('3 pr-2'!AG22)</f>
        <v>42855</v>
      </c>
      <c r="AE21" s="1342">
        <v>42839</v>
      </c>
      <c r="AF21" s="216">
        <f t="shared" si="26"/>
        <v>0</v>
      </c>
      <c r="AG21" s="445" t="str">
        <f t="shared" si="25"/>
        <v>–</v>
      </c>
    </row>
    <row r="22" spans="1:33" ht="48.75" x14ac:dyDescent="0.25">
      <c r="A22" s="182" t="str">
        <f>CONCATENATE('3 pr-2'!A23)</f>
        <v>1.1.1.1.14</v>
      </c>
      <c r="B22" s="309" t="s">
        <v>1246</v>
      </c>
      <c r="C22" s="182" t="str">
        <f>CONCATENATE('3 pr-2'!B23)</f>
        <v>R01-ZM72-122900-1114</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96">
        <f>IF(AE22&gt;0,'3 pr-2'!L23,0)</f>
        <v>215626</v>
      </c>
      <c r="L22" s="1297">
        <v>215626</v>
      </c>
      <c r="M22" s="1298">
        <f t="shared" si="24"/>
        <v>215626</v>
      </c>
      <c r="N22" s="1296">
        <f>IF(AE22&gt;0,'3 pr-2'!O23,0)</f>
        <v>43125</v>
      </c>
      <c r="O22" s="1297">
        <v>43125</v>
      </c>
      <c r="P22" s="1298">
        <f>SUM('ketv. 6 '!P22)</f>
        <v>43126</v>
      </c>
      <c r="Q22" s="1296">
        <f>IF(AE22&gt;0,'3 pr-2'!R23,0)</f>
        <v>25875</v>
      </c>
      <c r="R22" s="1297">
        <v>25875</v>
      </c>
      <c r="S22" s="1298">
        <f>SUM('ketv. 6 '!T22)</f>
        <v>25875</v>
      </c>
      <c r="T22" s="1296">
        <f>IF(AE22&gt;0,'3 pr-2'!U23,0)</f>
        <v>0</v>
      </c>
      <c r="U22" s="1297">
        <v>0</v>
      </c>
      <c r="V22" s="1298">
        <f>SUM('ketv. 6 '!X22)</f>
        <v>0</v>
      </c>
      <c r="W22" s="1296">
        <f>IF(AE22&gt;0,'3 pr-2'!X23,0)</f>
        <v>0</v>
      </c>
      <c r="X22" s="1297">
        <v>0</v>
      </c>
      <c r="Y22" s="1298">
        <f>SUM('ketv. 6 '!AB22)</f>
        <v>0</v>
      </c>
      <c r="Z22" s="1296">
        <f>IF(AE22&gt;0,'3 pr-2'!AA23,0)</f>
        <v>146626</v>
      </c>
      <c r="AA22" s="1297">
        <v>146626</v>
      </c>
      <c r="AB22" s="1298">
        <f>SUM('ketv. 6 '!AF22)</f>
        <v>146625</v>
      </c>
      <c r="AC22" s="1296">
        <f>IF($AE$9&gt;0,'3 pr-2'!AB23,0)</f>
        <v>0</v>
      </c>
      <c r="AD22" s="1336">
        <f>SUM('3 pr-2'!AG23)</f>
        <v>42855</v>
      </c>
      <c r="AE22" s="1342">
        <v>42839</v>
      </c>
      <c r="AF22" s="216">
        <f t="shared" si="26"/>
        <v>0</v>
      </c>
      <c r="AG22" s="445" t="str">
        <f t="shared" si="25"/>
        <v>–</v>
      </c>
    </row>
    <row r="23" spans="1:33" ht="48.75" x14ac:dyDescent="0.25">
      <c r="A23" s="182" t="str">
        <f>CONCATENATE('3 pr-2'!A24)</f>
        <v>1.1.1.1.15</v>
      </c>
      <c r="B23" s="309" t="s">
        <v>1247</v>
      </c>
      <c r="C23" s="182" t="str">
        <f>CONCATENATE('3 pr-2'!B24)</f>
        <v>R01-ZM72-123200-1115</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96">
        <f>IF(AE23&gt;0,'3 pr-2'!L24,0)</f>
        <v>76480</v>
      </c>
      <c r="L23" s="1297">
        <v>76480</v>
      </c>
      <c r="M23" s="1298">
        <f t="shared" si="24"/>
        <v>0</v>
      </c>
      <c r="N23" s="1296">
        <f>IF(AE23&gt;0,'3 pr-2'!O24,0)</f>
        <v>15296</v>
      </c>
      <c r="O23" s="1297">
        <v>15296</v>
      </c>
      <c r="P23" s="1298">
        <f>SUM('ketv. 6 '!P23)</f>
        <v>0</v>
      </c>
      <c r="Q23" s="1296">
        <f>IF(AE23&gt;0,'3 pr-2'!R24,0)</f>
        <v>9178</v>
      </c>
      <c r="R23" s="1297">
        <v>9178</v>
      </c>
      <c r="S23" s="1298">
        <f>SUM('ketv. 6 '!T23)</f>
        <v>0</v>
      </c>
      <c r="T23" s="1296">
        <f>IF(AE23&gt;0,'3 pr-2'!U24,0)</f>
        <v>0</v>
      </c>
      <c r="U23" s="1297">
        <v>0</v>
      </c>
      <c r="V23" s="1298">
        <f>SUM('ketv. 6 '!X23)</f>
        <v>0</v>
      </c>
      <c r="W23" s="1296">
        <f>IF(AE23&gt;0,'3 pr-2'!X24,0)</f>
        <v>0</v>
      </c>
      <c r="X23" s="1297">
        <v>0</v>
      </c>
      <c r="Y23" s="1298">
        <f>SUM('ketv. 6 '!AB23)</f>
        <v>0</v>
      </c>
      <c r="Z23" s="1296">
        <f>IF(AE23&gt;0,'3 pr-2'!AA24,0)</f>
        <v>52006</v>
      </c>
      <c r="AA23" s="1297">
        <v>52006</v>
      </c>
      <c r="AB23" s="1298">
        <f>SUM('ketv. 6 '!AF23)</f>
        <v>0</v>
      </c>
      <c r="AC23" s="1296">
        <f>IF($AE$9&gt;0,'3 pr-2'!AB24,0)</f>
        <v>0</v>
      </c>
      <c r="AD23" s="1336">
        <f>SUM('3 pr-2'!AG24)</f>
        <v>42855</v>
      </c>
      <c r="AE23" s="1342">
        <v>42839</v>
      </c>
      <c r="AF23" s="216">
        <f t="shared" si="26"/>
        <v>0</v>
      </c>
      <c r="AG23" s="445" t="str">
        <f t="shared" si="25"/>
        <v>–</v>
      </c>
    </row>
    <row r="24" spans="1:33" ht="48.75" x14ac:dyDescent="0.25">
      <c r="A24" s="182" t="str">
        <f>CONCATENATE('3 pr-2'!A25)</f>
        <v>1.1.1.1.16</v>
      </c>
      <c r="B24" s="309" t="s">
        <v>1248</v>
      </c>
      <c r="C24" s="182" t="str">
        <f>CONCATENATE('3 pr-2'!B25)</f>
        <v>R01-ZM72-123200-1116</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96">
        <f>IF(AE24&gt;0,'3 pr-2'!L25,0)</f>
        <v>139472</v>
      </c>
      <c r="L24" s="1297">
        <v>139472</v>
      </c>
      <c r="M24" s="1298">
        <f t="shared" si="24"/>
        <v>141312</v>
      </c>
      <c r="N24" s="1296">
        <f>IF(AE24&gt;0,'3 pr-2'!O25,0)</f>
        <v>27894</v>
      </c>
      <c r="O24" s="1297">
        <v>27894</v>
      </c>
      <c r="P24" s="1298">
        <f>SUM('ketv. 6 '!P24)</f>
        <v>44913</v>
      </c>
      <c r="Q24" s="1296">
        <f>IF(AE24&gt;0,'3 pr-2'!R25,0)</f>
        <v>16737</v>
      </c>
      <c r="R24" s="1297">
        <v>16737</v>
      </c>
      <c r="S24" s="1298">
        <f>SUM('ketv. 6 '!T24)</f>
        <v>14459.85</v>
      </c>
      <c r="T24" s="1296">
        <f>IF(AE24&gt;0,'3 pr-2'!U25,0)</f>
        <v>0</v>
      </c>
      <c r="U24" s="1297">
        <v>0</v>
      </c>
      <c r="V24" s="1298">
        <f>SUM('ketv. 6 '!X24)</f>
        <v>0</v>
      </c>
      <c r="W24" s="1296">
        <f>IF(AE24&gt;0,'3 pr-2'!X25,0)</f>
        <v>0</v>
      </c>
      <c r="X24" s="1297">
        <v>0</v>
      </c>
      <c r="Y24" s="1298">
        <f>SUM('ketv. 6 '!AB24)</f>
        <v>0</v>
      </c>
      <c r="Z24" s="1296">
        <f>IF(AE24&gt;0,'3 pr-2'!AA25,0)</f>
        <v>94841</v>
      </c>
      <c r="AA24" s="1297">
        <v>94841</v>
      </c>
      <c r="AB24" s="1298">
        <f>SUM('ketv. 6 '!AF24)</f>
        <v>81939.149999999994</v>
      </c>
      <c r="AC24" s="1296">
        <f>IF($AE$9&gt;0,'3 pr-2'!AB25,0)</f>
        <v>0</v>
      </c>
      <c r="AD24" s="1336">
        <f>SUM('3 pr-2'!AG25)</f>
        <v>42855</v>
      </c>
      <c r="AE24" s="1342">
        <v>42839</v>
      </c>
      <c r="AF24" s="216">
        <f t="shared" si="26"/>
        <v>0</v>
      </c>
      <c r="AG24" s="445" t="str">
        <f t="shared" si="25"/>
        <v>–</v>
      </c>
    </row>
    <row r="25" spans="1:33" ht="48.75" x14ac:dyDescent="0.25">
      <c r="A25" s="182" t="str">
        <f>CONCATENATE('3 pr-2'!A26)</f>
        <v>1.1.1.1.17</v>
      </c>
      <c r="B25" s="309" t="s">
        <v>1249</v>
      </c>
      <c r="C25" s="182" t="str">
        <f>CONCATENATE('3 pr-2'!B26)</f>
        <v>R01-ZM72-120000-1117</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96">
        <f>IF(AE25&gt;0,'3 pr-2'!L26,0)</f>
        <v>115824</v>
      </c>
      <c r="L25" s="1297">
        <v>115824</v>
      </c>
      <c r="M25" s="1298">
        <f t="shared" si="24"/>
        <v>115624</v>
      </c>
      <c r="N25" s="1296">
        <f>IF(AE25&gt;0,'3 pr-2'!O26,0)</f>
        <v>23165</v>
      </c>
      <c r="O25" s="1297">
        <v>23165</v>
      </c>
      <c r="P25" s="1298">
        <f>SUM('ketv. 6 '!P25)</f>
        <v>23125</v>
      </c>
      <c r="Q25" s="1296">
        <f>IF(AE25&gt;0,'3 pr-2'!R26,0)</f>
        <v>13899</v>
      </c>
      <c r="R25" s="1297">
        <v>13899</v>
      </c>
      <c r="S25" s="1298">
        <f>SUM('ketv. 6 '!T25)</f>
        <v>13874.85</v>
      </c>
      <c r="T25" s="1296">
        <f>IF(AE25&gt;0,'3 pr-2'!U26,0)</f>
        <v>0</v>
      </c>
      <c r="U25" s="1297">
        <v>0</v>
      </c>
      <c r="V25" s="1298">
        <f>SUM('ketv. 6 '!X25)</f>
        <v>0</v>
      </c>
      <c r="W25" s="1296">
        <f>IF(AE25&gt;0,'3 pr-2'!X26,0)</f>
        <v>0</v>
      </c>
      <c r="X25" s="1297">
        <v>0</v>
      </c>
      <c r="Y25" s="1298">
        <f>SUM('ketv. 6 '!AB25)</f>
        <v>0</v>
      </c>
      <c r="Z25" s="1296">
        <f>IF(AE25&gt;0,'3 pr-2'!AA26,0)</f>
        <v>78760</v>
      </c>
      <c r="AA25" s="1297">
        <v>78760</v>
      </c>
      <c r="AB25" s="1298">
        <f>SUM('ketv. 6 '!AF25)</f>
        <v>78624.149999999994</v>
      </c>
      <c r="AC25" s="1296">
        <f>IF($AE$9&gt;0,'3 pr-2'!AB26,0)</f>
        <v>0</v>
      </c>
      <c r="AD25" s="1336">
        <f>SUM('3 pr-2'!AG26)</f>
        <v>42855</v>
      </c>
      <c r="AE25" s="1342">
        <v>42839</v>
      </c>
      <c r="AF25" s="216">
        <f t="shared" si="26"/>
        <v>0</v>
      </c>
      <c r="AG25" s="445" t="str">
        <f t="shared" si="25"/>
        <v>–</v>
      </c>
    </row>
    <row r="26" spans="1:33" ht="48.75" x14ac:dyDescent="0.25">
      <c r="A26" s="182" t="str">
        <f>CONCATENATE('3 pr-2'!A27)</f>
        <v>1.1.1.1.18</v>
      </c>
      <c r="B26" s="309" t="s">
        <v>1250</v>
      </c>
      <c r="C26" s="182" t="str">
        <f>CONCATENATE('3 pr-2'!B27)</f>
        <v>R01-ZM72-340000-1118</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96">
        <f>IF(AE26&gt;0,'3 pr-2'!L27,0)</f>
        <v>250000</v>
      </c>
      <c r="L26" s="1297">
        <v>250000</v>
      </c>
      <c r="M26" s="1298">
        <f t="shared" si="24"/>
        <v>250000</v>
      </c>
      <c r="N26" s="1296">
        <f>IF(AE26&gt;0,'3 pr-2'!O27,0)</f>
        <v>50000</v>
      </c>
      <c r="O26" s="1297">
        <v>50000</v>
      </c>
      <c r="P26" s="1298">
        <f>SUM('ketv. 6 '!P26)</f>
        <v>50000</v>
      </c>
      <c r="Q26" s="1296">
        <f>IF(AE26&gt;0,'3 pr-2'!R27,0)</f>
        <v>30000</v>
      </c>
      <c r="R26" s="1297">
        <v>30000</v>
      </c>
      <c r="S26" s="1298">
        <f>SUM('ketv. 6 '!T26)</f>
        <v>30000</v>
      </c>
      <c r="T26" s="1296">
        <f>IF(AE26&gt;0,'3 pr-2'!U27,0)</f>
        <v>0</v>
      </c>
      <c r="U26" s="1297">
        <v>0</v>
      </c>
      <c r="V26" s="1298">
        <f>SUM('ketv. 6 '!X26)</f>
        <v>0</v>
      </c>
      <c r="W26" s="1296">
        <f>IF(AE26&gt;0,'3 pr-2'!X27,0)</f>
        <v>0</v>
      </c>
      <c r="X26" s="1297">
        <v>0</v>
      </c>
      <c r="Y26" s="1298">
        <f>SUM('ketv. 6 '!AB26)</f>
        <v>0</v>
      </c>
      <c r="Z26" s="1296">
        <f>IF(AE26&gt;0,'3 pr-2'!AA27,0)</f>
        <v>170000</v>
      </c>
      <c r="AA26" s="1297">
        <v>170000</v>
      </c>
      <c r="AB26" s="1298">
        <f>SUM('ketv. 6 '!AF26)</f>
        <v>170000</v>
      </c>
      <c r="AC26" s="1296">
        <f>IF($AE$9&gt;0,'3 pr-2'!AB27,0)</f>
        <v>0</v>
      </c>
      <c r="AD26" s="1336">
        <f>SUM('3 pr-2'!AG27)</f>
        <v>42855</v>
      </c>
      <c r="AE26" s="1342">
        <v>42839</v>
      </c>
      <c r="AF26" s="216">
        <f t="shared" si="26"/>
        <v>0</v>
      </c>
      <c r="AG26" s="445" t="str">
        <f t="shared" si="25"/>
        <v>–</v>
      </c>
    </row>
    <row r="27" spans="1:33" ht="48.75" x14ac:dyDescent="0.25">
      <c r="A27" s="182" t="str">
        <f>CONCATENATE('3 pr-2'!A28)</f>
        <v>1.1.1.1.19</v>
      </c>
      <c r="B27" s="309" t="s">
        <v>1251</v>
      </c>
      <c r="C27" s="182" t="str">
        <f>CONCATENATE('3 pr-2'!B28)</f>
        <v>R01-ZM72-120000-1119</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96">
        <f>IF(AE27&gt;0,'3 pr-2'!L28,0)</f>
        <v>117986</v>
      </c>
      <c r="L27" s="1297">
        <v>117986</v>
      </c>
      <c r="M27" s="1298">
        <f t="shared" si="24"/>
        <v>117985.8970603632</v>
      </c>
      <c r="N27" s="1296">
        <f>IF(AE27&gt;0,'3 pr-2'!O28,0)</f>
        <v>23597</v>
      </c>
      <c r="O27" s="1297">
        <v>23597</v>
      </c>
      <c r="P27" s="1298">
        <f>SUM('ketv. 6 '!P27)</f>
        <v>23596.897060363201</v>
      </c>
      <c r="Q27" s="1296">
        <f>IF(AE27&gt;0,'3 pr-2'!R28,0)</f>
        <v>14158</v>
      </c>
      <c r="R27" s="1297">
        <v>14158</v>
      </c>
      <c r="S27" s="1298">
        <f>SUM('ketv. 6 '!T27)</f>
        <v>14158.35</v>
      </c>
      <c r="T27" s="1296">
        <f>IF(AE27&gt;0,'3 pr-2'!U28,0)</f>
        <v>0</v>
      </c>
      <c r="U27" s="1297">
        <v>0</v>
      </c>
      <c r="V27" s="1298">
        <f>SUM('ketv. 6 '!X27)</f>
        <v>0</v>
      </c>
      <c r="W27" s="1296">
        <f>IF(AE27&gt;0,'3 pr-2'!X28,0)</f>
        <v>0</v>
      </c>
      <c r="X27" s="1297">
        <v>0</v>
      </c>
      <c r="Y27" s="1298">
        <f>SUM('ketv. 6 '!AB27)</f>
        <v>0</v>
      </c>
      <c r="Z27" s="1296">
        <f>IF(AE27&gt;0,'3 pr-2'!AA28,0)</f>
        <v>80231</v>
      </c>
      <c r="AA27" s="1297">
        <v>80231</v>
      </c>
      <c r="AB27" s="1298">
        <f>SUM('ketv. 6 '!AF27)</f>
        <v>80230.649999999994</v>
      </c>
      <c r="AC27" s="1296">
        <f>IF($AE$9&gt;0,'3 pr-2'!AB28,0)</f>
        <v>0</v>
      </c>
      <c r="AD27" s="1336">
        <f>SUM('3 pr-2'!AG28)</f>
        <v>42855</v>
      </c>
      <c r="AE27" s="1342">
        <v>42839</v>
      </c>
      <c r="AF27" s="216">
        <f t="shared" si="26"/>
        <v>0</v>
      </c>
      <c r="AG27" s="445" t="str">
        <f t="shared" si="25"/>
        <v>–</v>
      </c>
    </row>
    <row r="28" spans="1:33" ht="48.75" x14ac:dyDescent="0.25">
      <c r="A28" s="182" t="str">
        <f>CONCATENATE('3 pr-2'!A29)</f>
        <v>1.1.1.1.20</v>
      </c>
      <c r="B28" s="309" t="s">
        <v>1252</v>
      </c>
      <c r="C28" s="182" t="str">
        <f>CONCATENATE('3 pr-2'!B29)</f>
        <v>R01-ZM72-340000-1120</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296">
        <f>IF(AE28&gt;0,'3 pr-2'!L29,0)</f>
        <v>250000</v>
      </c>
      <c r="L28" s="1297">
        <v>250000</v>
      </c>
      <c r="M28" s="1298">
        <f t="shared" si="24"/>
        <v>489475</v>
      </c>
      <c r="N28" s="1296">
        <f>IF(AE28&gt;0,'3 pr-2'!O29,0)</f>
        <v>50000</v>
      </c>
      <c r="O28" s="1297">
        <v>50000</v>
      </c>
      <c r="P28" s="1298">
        <f>SUM('ketv. 6 '!P28)</f>
        <v>289475</v>
      </c>
      <c r="Q28" s="1296">
        <f>IF(AE28&gt;0,'3 pr-2'!R29,0)</f>
        <v>30000</v>
      </c>
      <c r="R28" s="1297">
        <v>30000</v>
      </c>
      <c r="S28" s="1298">
        <f>SUM('ketv. 6 '!T28)</f>
        <v>30000</v>
      </c>
      <c r="T28" s="1296">
        <f>IF(AE28&gt;0,'3 pr-2'!U29,0)</f>
        <v>0</v>
      </c>
      <c r="U28" s="1297">
        <v>0</v>
      </c>
      <c r="V28" s="1298">
        <f>SUM('ketv. 6 '!X28)</f>
        <v>0</v>
      </c>
      <c r="W28" s="1296">
        <f>IF(AE28&gt;0,'3 pr-2'!X29,0)</f>
        <v>0</v>
      </c>
      <c r="X28" s="1297">
        <v>0</v>
      </c>
      <c r="Y28" s="1298">
        <f>SUM('ketv. 6 '!AB28)</f>
        <v>0</v>
      </c>
      <c r="Z28" s="1296">
        <f>IF(AE28&gt;0,'3 pr-2'!AA29,0)</f>
        <v>170000</v>
      </c>
      <c r="AA28" s="1297">
        <v>170000</v>
      </c>
      <c r="AB28" s="1298">
        <f>SUM('ketv. 6 '!AF28)</f>
        <v>170000</v>
      </c>
      <c r="AC28" s="1296">
        <f>IF($AE$9&gt;0,'3 pr-2'!AB29,0)</f>
        <v>0</v>
      </c>
      <c r="AD28" s="1336">
        <f>SUM('3 pr-2'!AG29)</f>
        <v>42855</v>
      </c>
      <c r="AE28" s="1342">
        <v>42839</v>
      </c>
      <c r="AF28" s="216">
        <f t="shared" si="26"/>
        <v>0</v>
      </c>
      <c r="AG28" s="445" t="str">
        <f t="shared" si="25"/>
        <v>–</v>
      </c>
    </row>
    <row r="29" spans="1:33" ht="48.75" x14ac:dyDescent="0.25">
      <c r="A29" s="182" t="str">
        <f>CONCATENATE('3 pr-2'!A30)</f>
        <v>1.1.1.1.21</v>
      </c>
      <c r="B29" s="309" t="s">
        <v>1253</v>
      </c>
      <c r="C29" s="182" t="str">
        <f>CONCATENATE('3 pr-2'!B30)</f>
        <v>R01-ZM72-120000-1121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296">
        <f>IF(AE29&gt;0,'3 pr-2'!L30,0)</f>
        <v>170000</v>
      </c>
      <c r="L29" s="1297">
        <v>170000</v>
      </c>
      <c r="M29" s="1298">
        <f t="shared" si="24"/>
        <v>170000</v>
      </c>
      <c r="N29" s="1296">
        <f>IF(AE29&gt;0,'3 pr-2'!O30,0)</f>
        <v>34000</v>
      </c>
      <c r="O29" s="1297">
        <v>34000</v>
      </c>
      <c r="P29" s="1298">
        <f>SUM('ketv. 6 '!P29)</f>
        <v>34000</v>
      </c>
      <c r="Q29" s="1296">
        <f>IF(AE29&gt;0,'3 pr-2'!R30,0)</f>
        <v>20400</v>
      </c>
      <c r="R29" s="1297">
        <v>20400</v>
      </c>
      <c r="S29" s="1298">
        <f>SUM('ketv. 6 '!T29)</f>
        <v>20400</v>
      </c>
      <c r="T29" s="1296">
        <f>IF(AE29&gt;0,'3 pr-2'!U30,0)</f>
        <v>0</v>
      </c>
      <c r="U29" s="1297">
        <v>0</v>
      </c>
      <c r="V29" s="1298">
        <f>SUM('ketv. 6 '!X29)</f>
        <v>0</v>
      </c>
      <c r="W29" s="1296">
        <f>IF(AE29&gt;0,'3 pr-2'!X30,0)</f>
        <v>0</v>
      </c>
      <c r="X29" s="1297">
        <v>0</v>
      </c>
      <c r="Y29" s="1298">
        <f>SUM('ketv. 6 '!AB29)</f>
        <v>0</v>
      </c>
      <c r="Z29" s="1296">
        <f>IF(AE29&gt;0,'3 pr-2'!AA30,0)</f>
        <v>115600</v>
      </c>
      <c r="AA29" s="1297">
        <v>115600</v>
      </c>
      <c r="AB29" s="1298">
        <f>SUM('ketv. 6 '!AF29)</f>
        <v>115600</v>
      </c>
      <c r="AC29" s="1296">
        <f>IF($AE$9&gt;0,'3 pr-2'!AB30,0)</f>
        <v>0</v>
      </c>
      <c r="AD29" s="1336">
        <f>SUM('3 pr-2'!AG30)</f>
        <v>42855</v>
      </c>
      <c r="AE29" s="1342">
        <v>42839</v>
      </c>
      <c r="AF29" s="216">
        <f t="shared" si="26"/>
        <v>0</v>
      </c>
      <c r="AG29" s="445" t="str">
        <f t="shared" si="25"/>
        <v>–</v>
      </c>
    </row>
    <row r="30" spans="1:33" ht="48.75" x14ac:dyDescent="0.25">
      <c r="A30" s="182" t="str">
        <f>CONCATENATE('3 pr-2'!A31)</f>
        <v>1.1.1.1.22</v>
      </c>
      <c r="B30" s="309" t="s">
        <v>1254</v>
      </c>
      <c r="C30" s="182" t="str">
        <f>CONCATENATE('3 pr-2'!B31)</f>
        <v>R01-ZM72-120000-1122</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96">
        <f>IF(AE30&gt;0,'3 pr-2'!L31,0)</f>
        <v>70991</v>
      </c>
      <c r="L30" s="1297">
        <v>70991</v>
      </c>
      <c r="M30" s="1298">
        <f t="shared" si="24"/>
        <v>0</v>
      </c>
      <c r="N30" s="1296">
        <f>IF(AE30&gt;0,'3 pr-2'!O31,0)</f>
        <v>14198</v>
      </c>
      <c r="O30" s="1297">
        <v>14198</v>
      </c>
      <c r="P30" s="1298">
        <f>SUM('ketv. 6 '!P30)</f>
        <v>0</v>
      </c>
      <c r="Q30" s="1296">
        <f>IF(AE30&gt;0,'3 pr-2'!R31,0)</f>
        <v>8519</v>
      </c>
      <c r="R30" s="1297">
        <v>8519</v>
      </c>
      <c r="S30" s="1298">
        <f>SUM('ketv. 6 '!T30)</f>
        <v>0</v>
      </c>
      <c r="T30" s="1296">
        <f>IF(AE30&gt;0,'3 pr-2'!U31,0)</f>
        <v>0</v>
      </c>
      <c r="U30" s="1297">
        <v>0</v>
      </c>
      <c r="V30" s="1298">
        <f>SUM('ketv. 6 '!X30)</f>
        <v>0</v>
      </c>
      <c r="W30" s="1296">
        <f>IF(AE30&gt;0,'3 pr-2'!X31,0)</f>
        <v>0</v>
      </c>
      <c r="X30" s="1297">
        <v>0</v>
      </c>
      <c r="Y30" s="1298">
        <f>SUM('ketv. 6 '!AB30)</f>
        <v>0</v>
      </c>
      <c r="Z30" s="1296">
        <f>IF(AE30&gt;0,'3 pr-2'!AA31,0)</f>
        <v>48274</v>
      </c>
      <c r="AA30" s="1297">
        <v>48274</v>
      </c>
      <c r="AB30" s="1298">
        <f>SUM('ketv. 6 '!AF30)</f>
        <v>0</v>
      </c>
      <c r="AC30" s="1296">
        <f>IF($AE$9&gt;0,'3 pr-2'!AB31,0)</f>
        <v>0</v>
      </c>
      <c r="AD30" s="1336">
        <f>SUM('3 pr-2'!AG31)</f>
        <v>42855</v>
      </c>
      <c r="AE30" s="1342">
        <v>42839</v>
      </c>
      <c r="AF30" s="216">
        <f t="shared" si="26"/>
        <v>0</v>
      </c>
      <c r="AG30" s="445" t="str">
        <f t="shared" si="25"/>
        <v>–</v>
      </c>
    </row>
    <row r="31" spans="1:33" ht="59.25" customHeight="1" thickBot="1" x14ac:dyDescent="0.3">
      <c r="A31" s="182" t="str">
        <f>CONCATENATE('3 pr-2'!A32)</f>
        <v>1.1.1.1.23</v>
      </c>
      <c r="B31" s="309"/>
      <c r="C31" s="182" t="str">
        <f>CONCATENATE('3 pr-2'!B32)</f>
        <v>R01-ZM72-120000-1123</v>
      </c>
      <c r="D31" s="182"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96">
        <f>IF(AE31&gt;0,'3 pr-2'!L32,0)</f>
        <v>160049</v>
      </c>
      <c r="L31" s="1297">
        <v>160049</v>
      </c>
      <c r="M31" s="1298">
        <f t="shared" si="24"/>
        <v>0</v>
      </c>
      <c r="N31" s="1296">
        <f>IF(AE31&gt;0,'3 pr-2'!O32,0)</f>
        <v>32010</v>
      </c>
      <c r="O31" s="1297">
        <v>32010</v>
      </c>
      <c r="P31" s="1298">
        <f>SUM('ketv. 6 '!P31)</f>
        <v>0</v>
      </c>
      <c r="Q31" s="1296">
        <f>IF(AE31&gt;0,'3 pr-2'!R32,0)</f>
        <v>19206</v>
      </c>
      <c r="R31" s="1297">
        <v>19206</v>
      </c>
      <c r="S31" s="1298">
        <f>SUM('ketv. 6 '!T31)</f>
        <v>0</v>
      </c>
      <c r="T31" s="1296">
        <f>IF(AE31&gt;0,'3 pr-2'!U32,0)</f>
        <v>0</v>
      </c>
      <c r="U31" s="1297">
        <v>0</v>
      </c>
      <c r="V31" s="1298">
        <f>SUM('ketv. 6 '!X31)</f>
        <v>0</v>
      </c>
      <c r="W31" s="1296">
        <f>IF(AE31&gt;0,'3 pr-2'!X32,0)</f>
        <v>0</v>
      </c>
      <c r="X31" s="1297">
        <v>0</v>
      </c>
      <c r="Y31" s="1298">
        <f>SUM('ketv. 6 '!AB31)</f>
        <v>0</v>
      </c>
      <c r="Z31" s="1296">
        <f>IF(AE31&gt;0,'3 pr-2'!AA32,0)</f>
        <v>108833</v>
      </c>
      <c r="AA31" s="1297">
        <v>108833</v>
      </c>
      <c r="AB31" s="1525">
        <f>SUM('ketv. 6 '!AF31)</f>
        <v>0</v>
      </c>
      <c r="AC31" s="1296">
        <f>IF($AE$9&gt;0,'3 pr-2'!AB32,0)</f>
        <v>0</v>
      </c>
      <c r="AD31" s="1336">
        <f>SUM('3 pr-2'!AG32)</f>
        <v>42855</v>
      </c>
      <c r="AE31" s="1342">
        <v>42839</v>
      </c>
      <c r="AF31" s="216">
        <f t="shared" si="26"/>
        <v>0</v>
      </c>
      <c r="AG31" s="445" t="str">
        <f t="shared" si="25"/>
        <v>–</v>
      </c>
    </row>
    <row r="32" spans="1:33" ht="28.5" customHeight="1" thickBot="1" x14ac:dyDescent="0.3">
      <c r="A32" s="326" t="str">
        <f>CONCATENATE('3 pr-2'!A33)</f>
        <v>1.1.1.2</v>
      </c>
      <c r="B32" s="388"/>
      <c r="C32" s="2025" t="str">
        <f>CONCATENATE('3 pr-2'!B33)</f>
        <v>Priemonė:
Kaimo gyvenamųjų vietovių (turinčių 1-6 tūkst. gyventojų) atnaujinimas ir plėtra</v>
      </c>
      <c r="D32" s="2026"/>
      <c r="E32" s="2026"/>
      <c r="F32" s="2026"/>
      <c r="G32" s="2026"/>
      <c r="H32" s="2026"/>
      <c r="I32" s="2026"/>
      <c r="J32" s="2027"/>
      <c r="K32" s="1293">
        <f>SUM(K33:K37)</f>
        <v>2673858.7999999998</v>
      </c>
      <c r="L32" s="1526">
        <f t="shared" ref="L32:AC32" si="27">SUM(L33:L37)</f>
        <v>2514462.38</v>
      </c>
      <c r="M32" s="1295">
        <f t="shared" ca="1" si="27"/>
        <v>2673858.7999999998</v>
      </c>
      <c r="N32" s="1293">
        <f t="shared" si="27"/>
        <v>574103.41999999993</v>
      </c>
      <c r="O32" s="1526">
        <f t="shared" si="27"/>
        <v>414707</v>
      </c>
      <c r="P32" s="1295">
        <f t="shared" ca="1" si="27"/>
        <v>574103.41999999993</v>
      </c>
      <c r="Q32" s="1293">
        <f t="shared" si="27"/>
        <v>170250.74</v>
      </c>
      <c r="R32" s="1526">
        <f t="shared" si="27"/>
        <v>170250.74</v>
      </c>
      <c r="S32" s="1295">
        <f t="shared" ca="1" si="27"/>
        <v>170250.74</v>
      </c>
      <c r="T32" s="1293">
        <f t="shared" si="27"/>
        <v>0</v>
      </c>
      <c r="U32" s="1526">
        <f t="shared" si="27"/>
        <v>0</v>
      </c>
      <c r="V32" s="1295">
        <f t="shared" ca="1" si="27"/>
        <v>0</v>
      </c>
      <c r="W32" s="1293">
        <f t="shared" si="27"/>
        <v>0</v>
      </c>
      <c r="X32" s="1294">
        <f t="shared" si="27"/>
        <v>0</v>
      </c>
      <c r="Y32" s="1295">
        <f t="shared" ca="1" si="27"/>
        <v>0</v>
      </c>
      <c r="Z32" s="1293">
        <f t="shared" si="27"/>
        <v>1929504.6400000001</v>
      </c>
      <c r="AA32" s="1294">
        <f t="shared" si="27"/>
        <v>1929504.6400000001</v>
      </c>
      <c r="AB32" s="1295">
        <f t="shared" ca="1" si="27"/>
        <v>1929504.6400000001</v>
      </c>
      <c r="AC32" s="1293">
        <f t="shared" si="27"/>
        <v>0</v>
      </c>
      <c r="AD32" s="1340" t="s">
        <v>690</v>
      </c>
      <c r="AE32" s="1341" t="s">
        <v>690</v>
      </c>
      <c r="AF32" s="398" t="s">
        <v>690</v>
      </c>
      <c r="AG32" s="399"/>
    </row>
    <row r="33" spans="1:33" ht="48.75" x14ac:dyDescent="0.25">
      <c r="A33" s="182" t="str">
        <f>CONCATENATE('3 pr-2'!A34)</f>
        <v>1.1.1.2.1</v>
      </c>
      <c r="B33" s="309" t="s">
        <v>1623</v>
      </c>
      <c r="C33" s="182" t="str">
        <f>CONCATENATE('3 pr-2'!B34)</f>
        <v>R01-9908-293400-1121</v>
      </c>
      <c r="D33" s="182"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96">
        <f>IF(AE33&gt;0,'3 pr-2'!L34,0)</f>
        <v>815537.61</v>
      </c>
      <c r="L33" s="1297">
        <f>SUM(O33+R33+U33+X33+AA33)</f>
        <v>646197</v>
      </c>
      <c r="M33" s="1298">
        <f t="shared" ca="1" si="24"/>
        <v>815537.61</v>
      </c>
      <c r="N33" s="1296">
        <f>IF(AE33&gt;0,'3 pr-2'!O34,0)</f>
        <v>285195.61</v>
      </c>
      <c r="O33" s="1297">
        <v>115855</v>
      </c>
      <c r="P33" s="1298">
        <f ca="1">SUM('ketv. 6 '!P33)</f>
        <v>285195.61</v>
      </c>
      <c r="Q33" s="1296">
        <f>IF(AE33&gt;0,'3 pr-2'!R34,0)</f>
        <v>43001</v>
      </c>
      <c r="R33" s="1297">
        <v>43001</v>
      </c>
      <c r="S33" s="1298">
        <f ca="1">SUM('ketv. 6 '!T33)</f>
        <v>43001</v>
      </c>
      <c r="T33" s="1296">
        <f>IF(AE33&gt;0,'3 pr-2'!U34,0)</f>
        <v>0</v>
      </c>
      <c r="U33" s="1297">
        <v>0</v>
      </c>
      <c r="V33" s="1298">
        <f ca="1">SUM('ketv. 6 '!X33)</f>
        <v>0</v>
      </c>
      <c r="W33" s="1296">
        <f>IF(AE33&gt;0,'3 pr-2'!X34,0)</f>
        <v>0</v>
      </c>
      <c r="X33" s="1297">
        <v>0</v>
      </c>
      <c r="Y33" s="1298">
        <f ca="1">SUM('ketv. 6 '!AB33)</f>
        <v>0</v>
      </c>
      <c r="Z33" s="1296">
        <f>IF(AE33&gt;0,'3 pr-2'!AA34,0)</f>
        <v>487341</v>
      </c>
      <c r="AA33" s="1297">
        <v>487341</v>
      </c>
      <c r="AB33" s="1486">
        <f ca="1">SUM('ketv. 6 '!AF33)</f>
        <v>487341</v>
      </c>
      <c r="AC33" s="1296">
        <f>IF($AE$9&gt;0,'3 pr-2'!AB34,0)</f>
        <v>0</v>
      </c>
      <c r="AD33" s="1336">
        <f>SUM('3 pr-2'!AG34)</f>
        <v>43124</v>
      </c>
      <c r="AE33" s="1343">
        <v>43124</v>
      </c>
      <c r="AF33" s="216"/>
      <c r="AG33" s="445" t="str">
        <f t="shared" si="25"/>
        <v>–</v>
      </c>
    </row>
    <row r="34" spans="1:33" ht="48.75" x14ac:dyDescent="0.25">
      <c r="A34" s="182" t="str">
        <f>CONCATENATE('3 pr-2'!A35)</f>
        <v>1.1.1.2.2</v>
      </c>
      <c r="B34" s="309" t="s">
        <v>1226</v>
      </c>
      <c r="C34" s="182" t="str">
        <f>CONCATENATE('3 pr-2'!B35)</f>
        <v>R01-9908-290000-1122</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96">
        <f>IF(AE34&gt;0,'3 pr-2'!L35,0)</f>
        <v>605024.19999999995</v>
      </c>
      <c r="L34" s="1297">
        <f>SUM(O34+R34+U34+X34+AA34)</f>
        <v>605024.19999999995</v>
      </c>
      <c r="M34" s="1298">
        <f t="shared" ca="1" si="24"/>
        <v>605024.19999999995</v>
      </c>
      <c r="N34" s="1296">
        <f>IF(AE34&gt;0,'3 pr-2'!O35,0)</f>
        <v>45376.82</v>
      </c>
      <c r="O34" s="1297">
        <v>45376.82</v>
      </c>
      <c r="P34" s="1298">
        <f ca="1">SUM('ketv. 6 '!P34)</f>
        <v>45376.82</v>
      </c>
      <c r="Q34" s="1296">
        <f>IF(AE34&gt;0,'3 pr-2'!R35,0)</f>
        <v>45376.81</v>
      </c>
      <c r="R34" s="1297">
        <v>45376.81</v>
      </c>
      <c r="S34" s="1298">
        <f ca="1">SUM('ketv. 6 '!T34)</f>
        <v>45376.81</v>
      </c>
      <c r="T34" s="1296">
        <f>IF(AE34&gt;0,'3 pr-2'!U35,0)</f>
        <v>0</v>
      </c>
      <c r="U34" s="1297">
        <v>0</v>
      </c>
      <c r="V34" s="1298">
        <f ca="1">SUM('ketv. 6 '!X34)</f>
        <v>0</v>
      </c>
      <c r="W34" s="1296">
        <f>IF(AE34&gt;0,'3 pr-2'!X35,0)</f>
        <v>0</v>
      </c>
      <c r="X34" s="1297">
        <v>0</v>
      </c>
      <c r="Y34" s="1298">
        <f ca="1">SUM('ketv. 6 '!AB34)</f>
        <v>0</v>
      </c>
      <c r="Z34" s="1296">
        <f>IF(AE34&gt;0,'3 pr-2'!AA35,0)</f>
        <v>514270.57</v>
      </c>
      <c r="AA34" s="1297">
        <v>514270.57</v>
      </c>
      <c r="AB34" s="1298">
        <f ca="1">SUM('ketv. 6 '!AF34)</f>
        <v>514270.57</v>
      </c>
      <c r="AC34" s="1296">
        <f>IF($AE$9&gt;0,'3 pr-2'!AB35,0)</f>
        <v>0</v>
      </c>
      <c r="AD34" s="1336">
        <f>SUM('3 pr-2'!AG35)</f>
        <v>42978</v>
      </c>
      <c r="AE34" s="1343">
        <v>42978</v>
      </c>
      <c r="AF34" s="216"/>
      <c r="AG34" s="445" t="str">
        <f t="shared" si="25"/>
        <v>–</v>
      </c>
    </row>
    <row r="35" spans="1:33" ht="49.5" customHeight="1" x14ac:dyDescent="0.25">
      <c r="A35" s="182" t="str">
        <f>CONCATENATE('3 pr-2'!A36)</f>
        <v>1.1.1.2.3</v>
      </c>
      <c r="B35" s="309"/>
      <c r="C35" s="182" t="str">
        <f>CONCATENATE('3 pr-2'!B36)</f>
        <v>R01-9908-290000-1123</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96">
        <f>IF(AE35&gt;0,'3 pr-2'!L36,0)</f>
        <v>0</v>
      </c>
      <c r="L35" s="1297"/>
      <c r="M35" s="1298">
        <f t="shared" ca="1" si="24"/>
        <v>0</v>
      </c>
      <c r="N35" s="1296">
        <f>IF(AE35&gt;0,'3 pr-2'!O36,0)</f>
        <v>0</v>
      </c>
      <c r="O35" s="1297"/>
      <c r="P35" s="1298">
        <f ca="1">SUM('ketv. 6 '!P35)</f>
        <v>0</v>
      </c>
      <c r="Q35" s="1296">
        <f>IF(AE35&gt;0,'3 pr-2'!R36,0)</f>
        <v>0</v>
      </c>
      <c r="R35" s="1297"/>
      <c r="S35" s="1298">
        <f ca="1">SUM('ketv. 6 '!T35)</f>
        <v>0</v>
      </c>
      <c r="T35" s="1296">
        <f>IF(AE35&gt;0,'3 pr-2'!U36,0)</f>
        <v>0</v>
      </c>
      <c r="U35" s="1297"/>
      <c r="V35" s="1298">
        <f ca="1">SUM('ketv. 6 '!X35)</f>
        <v>0</v>
      </c>
      <c r="W35" s="1296">
        <f>IF(AE35&gt;0,'3 pr-2'!X36,0)</f>
        <v>0</v>
      </c>
      <c r="X35" s="1297"/>
      <c r="Y35" s="1298">
        <f ca="1">SUM('ketv. 6 '!AB35)</f>
        <v>0</v>
      </c>
      <c r="Z35" s="1296">
        <f>IF(AE35&gt;0,'3 pr-2'!AA36,0)</f>
        <v>0</v>
      </c>
      <c r="AA35" s="1297"/>
      <c r="AB35" s="1298">
        <f ca="1">SUM('ketv. 6 '!AF35)</f>
        <v>0</v>
      </c>
      <c r="AC35" s="1296">
        <f>IF($AE$9&gt;0,'3 pr-2'!AB36,0)</f>
        <v>0</v>
      </c>
      <c r="AD35" s="1336">
        <f>SUM('3 pr-2'!AG36)</f>
        <v>43465</v>
      </c>
      <c r="AE35" s="1343"/>
      <c r="AF35" s="216"/>
      <c r="AG35" s="445" t="str">
        <f t="shared" si="25"/>
        <v>–</v>
      </c>
    </row>
    <row r="36" spans="1:33" ht="48.75" x14ac:dyDescent="0.25">
      <c r="A36" s="182" t="str">
        <f>CONCATENATE('3 pr-2'!A37)</f>
        <v>1.1.1.2.4</v>
      </c>
      <c r="B36" s="309" t="s">
        <v>1624</v>
      </c>
      <c r="C36" s="182" t="str">
        <f>CONCATENATE('3 pr-2'!B37)</f>
        <v>R01-9908-290000-1124</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96">
        <f>IF(AE36&gt;0,'3 pr-2'!L37,0)</f>
        <v>579418.99</v>
      </c>
      <c r="L36" s="1297">
        <f>SUM(O36+R36+U36+X36+AA36)</f>
        <v>589363.17999999993</v>
      </c>
      <c r="M36" s="1298">
        <f t="shared" ca="1" si="24"/>
        <v>579418.99</v>
      </c>
      <c r="N36" s="1296">
        <f>IF(AE36&gt;0,'3 pr-2'!O37,0)</f>
        <v>192989.99</v>
      </c>
      <c r="O36" s="1297">
        <v>202934.18</v>
      </c>
      <c r="P36" s="1298">
        <f ca="1">SUM('ketv. 6 '!P36)</f>
        <v>192989.99</v>
      </c>
      <c r="Q36" s="1296">
        <f>IF(AE36&gt;0,'3 pr-2'!R37,0)</f>
        <v>31332.09</v>
      </c>
      <c r="R36" s="1297">
        <v>31332.09</v>
      </c>
      <c r="S36" s="1298">
        <f ca="1">SUM('ketv. 6 '!T36)</f>
        <v>31332.09</v>
      </c>
      <c r="T36" s="1296">
        <f>IF(AE36&gt;0,'3 pr-2'!U37,0)</f>
        <v>0</v>
      </c>
      <c r="U36" s="1297">
        <v>0</v>
      </c>
      <c r="V36" s="1298">
        <f ca="1">SUM('ketv. 6 '!X36)</f>
        <v>0</v>
      </c>
      <c r="W36" s="1296">
        <f>IF(AE36&gt;0,'3 pr-2'!X37,0)</f>
        <v>0</v>
      </c>
      <c r="X36" s="1297">
        <v>0</v>
      </c>
      <c r="Y36" s="1298">
        <f ca="1">SUM('ketv. 6 '!AB36)</f>
        <v>0</v>
      </c>
      <c r="Z36" s="1296">
        <f>IF(AE36&gt;0,'3 pr-2'!AA37,0)</f>
        <v>355096.91</v>
      </c>
      <c r="AA36" s="1297">
        <v>355096.91</v>
      </c>
      <c r="AB36" s="1298">
        <f ca="1">SUM('ketv. 6 '!AF36)</f>
        <v>355096.91</v>
      </c>
      <c r="AC36" s="1296">
        <f>IF($AE$9&gt;0,'3 pr-2'!AB37,0)</f>
        <v>0</v>
      </c>
      <c r="AD36" s="1336">
        <f>SUM('3 pr-2'!AG37)</f>
        <v>43124</v>
      </c>
      <c r="AE36" s="1343">
        <v>43124</v>
      </c>
      <c r="AF36" s="216"/>
      <c r="AG36" s="445" t="str">
        <f t="shared" si="25"/>
        <v>–</v>
      </c>
    </row>
    <row r="37" spans="1:33" ht="49.5" thickBot="1" x14ac:dyDescent="0.3">
      <c r="A37" s="182" t="str">
        <f>CONCATENATE('3 pr-2'!A38)</f>
        <v>1.1.1.2.5</v>
      </c>
      <c r="B37" s="309" t="s">
        <v>1625</v>
      </c>
      <c r="C37" s="182" t="str">
        <f>CONCATENATE('3 pr-2'!B38)</f>
        <v>R01-9908-290000-1125</v>
      </c>
      <c r="D37" s="182"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96">
        <f>IF(AE37&gt;0,'3 pr-2'!L38,0)</f>
        <v>673878</v>
      </c>
      <c r="L37" s="1297">
        <f>SUM(O37+R37+U37+X37+AA37)</f>
        <v>673878</v>
      </c>
      <c r="M37" s="1298">
        <f t="shared" ca="1" si="24"/>
        <v>673878</v>
      </c>
      <c r="N37" s="1296">
        <f>IF(AE37&gt;0,'3 pr-2'!O38,0)</f>
        <v>50541</v>
      </c>
      <c r="O37" s="1297">
        <v>50541</v>
      </c>
      <c r="P37" s="1298">
        <f ca="1">SUM('ketv. 6 '!P37)</f>
        <v>50541</v>
      </c>
      <c r="Q37" s="1296">
        <f>IF(AE37&gt;0,'3 pr-2'!R38,0)</f>
        <v>50540.84</v>
      </c>
      <c r="R37" s="1297">
        <v>50540.84</v>
      </c>
      <c r="S37" s="1298">
        <f ca="1">SUM('ketv. 6 '!T37)</f>
        <v>50540.84</v>
      </c>
      <c r="T37" s="1296">
        <f>IF(AE37&gt;0,'3 pr-2'!U38,0)</f>
        <v>0</v>
      </c>
      <c r="U37" s="1297">
        <v>0</v>
      </c>
      <c r="V37" s="1298">
        <f ca="1">SUM('ketv. 6 '!X37)</f>
        <v>0</v>
      </c>
      <c r="W37" s="1296">
        <f>IF(AE37&gt;0,'3 pr-2'!X38,0)</f>
        <v>0</v>
      </c>
      <c r="X37" s="1297">
        <v>0</v>
      </c>
      <c r="Y37" s="1298">
        <f ca="1">SUM('ketv. 6 '!AB37)</f>
        <v>0</v>
      </c>
      <c r="Z37" s="1296">
        <f>IF(AE37&gt;0,'3 pr-2'!AA38,0)</f>
        <v>572796.16000000003</v>
      </c>
      <c r="AA37" s="1297">
        <v>572796.16000000003</v>
      </c>
      <c r="AB37" s="1298">
        <f ca="1">SUM('ketv. 6 '!AF37)</f>
        <v>572796.16000000003</v>
      </c>
      <c r="AC37" s="1296">
        <f>IF($AE$9&gt;0,'3 pr-2'!AB38,0)</f>
        <v>0</v>
      </c>
      <c r="AD37" s="1336">
        <f>SUM('3 pr-2'!AG38)</f>
        <v>43124</v>
      </c>
      <c r="AE37" s="1343">
        <v>43124</v>
      </c>
      <c r="AF37" s="216"/>
      <c r="AG37" s="445" t="str">
        <f t="shared" si="25"/>
        <v>–</v>
      </c>
    </row>
    <row r="38" spans="1:33" ht="30" customHeight="1" thickBot="1" x14ac:dyDescent="0.3">
      <c r="A38" s="326" t="str">
        <f>CONCATENATE('3 pr-2'!A39)</f>
        <v>1.1.1.3</v>
      </c>
      <c r="B38" s="388"/>
      <c r="C38" s="2025" t="str">
        <f>CONCATENATE('3 pr-2'!B39)</f>
        <v>Priemonė:
Varėnos miesto kompleksinė plėtra</v>
      </c>
      <c r="D38" s="2026"/>
      <c r="E38" s="2026"/>
      <c r="F38" s="2026"/>
      <c r="G38" s="2026"/>
      <c r="H38" s="2026"/>
      <c r="I38" s="2026"/>
      <c r="J38" s="2027"/>
      <c r="K38" s="1293">
        <f>SUM(K39:K44)</f>
        <v>4358551.91</v>
      </c>
      <c r="L38" s="1526">
        <f>SUM(L39:L44)</f>
        <v>4196690.13</v>
      </c>
      <c r="M38" s="1527">
        <f ca="1">SUM(M39:M44)</f>
        <v>3932465.29</v>
      </c>
      <c r="N38" s="1293">
        <f t="shared" ref="N38:Z38" si="28">SUM(N39:N44)</f>
        <v>297094.61</v>
      </c>
      <c r="O38" s="1526">
        <f>SUM(O39:O44)</f>
        <v>276828.48</v>
      </c>
      <c r="P38" s="1527">
        <f ca="1">SUM(P39:P44)</f>
        <v>429198.66000000003</v>
      </c>
      <c r="Q38" s="1293">
        <f t="shared" si="28"/>
        <v>364155.41000000003</v>
      </c>
      <c r="R38" s="1526">
        <f>SUM(R39:R44)</f>
        <v>352675.06000000006</v>
      </c>
      <c r="S38" s="1527">
        <f ca="1">SUM(S39:S44)</f>
        <v>318897.09000000003</v>
      </c>
      <c r="T38" s="1293">
        <f t="shared" si="28"/>
        <v>0</v>
      </c>
      <c r="U38" s="1526">
        <f>SUM(U39:U44)</f>
        <v>0</v>
      </c>
      <c r="V38" s="1527">
        <f ca="1">SUM(V39:V44)</f>
        <v>0</v>
      </c>
      <c r="W38" s="1293">
        <f t="shared" si="28"/>
        <v>0</v>
      </c>
      <c r="X38" s="1294">
        <f>SUM(X39:X44)</f>
        <v>0</v>
      </c>
      <c r="Y38" s="1295">
        <f ca="1">SUM(Y39:Y44)</f>
        <v>0</v>
      </c>
      <c r="Z38" s="1293">
        <f t="shared" si="28"/>
        <v>3697301.8899999997</v>
      </c>
      <c r="AA38" s="1294">
        <f>SUM(AA39:AA44)</f>
        <v>3567186.5899999994</v>
      </c>
      <c r="AB38" s="1527">
        <f ca="1">SUM(AB39:AB44)</f>
        <v>3184369.5399999996</v>
      </c>
      <c r="AC38" s="1293">
        <f t="shared" ref="AC38" si="29">SUM(AC39:AC44)</f>
        <v>0</v>
      </c>
      <c r="AD38" s="1340" t="s">
        <v>690</v>
      </c>
      <c r="AE38" s="1341" t="s">
        <v>690</v>
      </c>
      <c r="AF38" s="398" t="s">
        <v>690</v>
      </c>
      <c r="AG38" s="399"/>
    </row>
    <row r="39" spans="1:33" ht="48.75" x14ac:dyDescent="0.25">
      <c r="A39" s="182" t="str">
        <f>CONCATENATE('3 pr-2'!A40)</f>
        <v>1.1.1.3.1</v>
      </c>
      <c r="B39" s="309" t="s">
        <v>720</v>
      </c>
      <c r="C39" s="182" t="str">
        <f>CONCATENATE('3 pr-2'!B40)</f>
        <v>R01-9905-290000-1131</v>
      </c>
      <c r="D39" s="182" t="str">
        <f>CONCATENATE('3 pr-2'!D40)</f>
        <v>Varėnos miesto centrinės dalies modernizavimas ir pritaikymas visuomenės poreikiams (I etapas)</v>
      </c>
      <c r="E39" s="182" t="str">
        <f>CONCATENATE('3 pr-2'!E40)</f>
        <v>Varėnos rajono savivaldybės administracija</v>
      </c>
      <c r="F39" s="182" t="str">
        <f>CONCATENATE('3 pr-2'!F40)</f>
        <v>Lietuvos Respublikos vidaus reikalų ministerija</v>
      </c>
      <c r="G39" s="182" t="str">
        <f>CONCATENATE('3 pr-2'!G40)</f>
        <v>Varėnos r. sav.</v>
      </c>
      <c r="H39" s="182" t="str">
        <f>CONCATENATE('3 pr-2'!H40)</f>
        <v xml:space="preserve">07.1.1-CPVA-R-905 </v>
      </c>
      <c r="I39" s="182" t="str">
        <f>CONCATENATE('3 pr-2'!I40)</f>
        <v>R</v>
      </c>
      <c r="J39" s="182" t="str">
        <f>CONCATENATE('3 pr-2'!J40)</f>
        <v>ITI</v>
      </c>
      <c r="K39" s="1296">
        <f>IF(AE39&gt;0,'3 pr-2'!L40,0)</f>
        <v>1516932.01</v>
      </c>
      <c r="L39" s="1297">
        <f t="shared" ref="L39:L44" si="30">SUM(O39+R39+U39+X39+AA39)</f>
        <v>1516932.01</v>
      </c>
      <c r="M39" s="1298">
        <f t="shared" ca="1" si="24"/>
        <v>1516932.01</v>
      </c>
      <c r="N39" s="1296">
        <f>IF(AE39&gt;0,'3 pr-2'!O40,0)</f>
        <v>75846.61</v>
      </c>
      <c r="O39" s="1297">
        <v>75846.61</v>
      </c>
      <c r="P39" s="1298">
        <f ca="1">SUM('ketv. 6 '!P39)</f>
        <v>75846.61</v>
      </c>
      <c r="Q39" s="1296">
        <f>IF(AE39&gt;0,'3 pr-2'!R40,0)</f>
        <v>151693.20000000001</v>
      </c>
      <c r="R39" s="1297">
        <v>151693.20000000001</v>
      </c>
      <c r="S39" s="1298">
        <f ca="1">SUM('ketv. 6 '!T39)</f>
        <v>151693.20000000001</v>
      </c>
      <c r="T39" s="1296">
        <f>IF(AE39&gt;0,'3 pr-2'!U40,0)</f>
        <v>0</v>
      </c>
      <c r="U39" s="1297">
        <v>0</v>
      </c>
      <c r="V39" s="1298">
        <f ca="1">SUM('ketv. 6 '!X39)</f>
        <v>0</v>
      </c>
      <c r="W39" s="1296">
        <f>IF(AE39&gt;0,'3 pr-2'!X40,0)</f>
        <v>0</v>
      </c>
      <c r="X39" s="1297">
        <v>0</v>
      </c>
      <c r="Y39" s="1298">
        <f ca="1">SUM('ketv. 6 '!AB39)</f>
        <v>0</v>
      </c>
      <c r="Z39" s="1296">
        <f>IF(AE39&gt;0,'3 pr-2'!AA40,0)</f>
        <v>1289392.2</v>
      </c>
      <c r="AA39" s="1297">
        <v>1289392.2</v>
      </c>
      <c r="AB39" s="1298">
        <f ca="1">SUM('ketv. 6 '!AF39)</f>
        <v>1289392.2</v>
      </c>
      <c r="AC39" s="1296">
        <f>IF($AE$9&gt;0,'3 pr-2'!AB40,0)</f>
        <v>0</v>
      </c>
      <c r="AD39" s="1336">
        <f>SUM('3 pr-2'!AG40)</f>
        <v>42528</v>
      </c>
      <c r="AE39" s="1342">
        <v>42528</v>
      </c>
      <c r="AF39" s="216">
        <f t="shared" ref="AF39" si="31">IF((YEAR(AD39)-YEAR(AE39))=0,0,YEAR(AD39)-YEAR(AE39))</f>
        <v>0</v>
      </c>
      <c r="AG39" s="445" t="str">
        <f t="shared" si="25"/>
        <v>–</v>
      </c>
    </row>
    <row r="40" spans="1:33" ht="48.75" x14ac:dyDescent="0.25">
      <c r="A40" s="182" t="str">
        <f>CONCATENATE('3 pr-2'!A41)</f>
        <v>1.1.1.3.2</v>
      </c>
      <c r="B40" s="309" t="s">
        <v>721</v>
      </c>
      <c r="C40" s="182" t="str">
        <f>CONCATENATE('3 pr-2'!B41)</f>
        <v>R01-9905-282900-1132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82" t="str">
        <f>CONCATENATE('3 pr-2'!J41)</f>
        <v>ITI</v>
      </c>
      <c r="K40" s="1296">
        <f>IF(AE40&gt;0,'3 pr-2'!L41,0)</f>
        <v>1004000.8999999999</v>
      </c>
      <c r="L40" s="1297">
        <f t="shared" si="30"/>
        <v>995216.11</v>
      </c>
      <c r="M40" s="1298">
        <f t="shared" ca="1" si="24"/>
        <v>995216.11</v>
      </c>
      <c r="N40" s="1296">
        <f>IF(AE40&gt;0,'3 pr-2'!O41,0)</f>
        <v>83426</v>
      </c>
      <c r="O40" s="1297">
        <v>74641.210000000006</v>
      </c>
      <c r="P40" s="1298">
        <f ca="1">SUM('ketv. 6 '!P40)</f>
        <v>74641.210000000006</v>
      </c>
      <c r="Q40" s="1296">
        <f>IF(AE40&gt;0,'3 pr-2'!R41,0)</f>
        <v>74641.210000000006</v>
      </c>
      <c r="R40" s="1297">
        <v>74641.210000000006</v>
      </c>
      <c r="S40" s="1298">
        <f ca="1">SUM('ketv. 6 '!T40)</f>
        <v>74641.210000000006</v>
      </c>
      <c r="T40" s="1296">
        <f>IF(AE40&gt;0,'3 pr-2'!U41,0)</f>
        <v>0</v>
      </c>
      <c r="U40" s="1297">
        <v>0</v>
      </c>
      <c r="V40" s="1298">
        <f ca="1">SUM('ketv. 6 '!X40)</f>
        <v>0</v>
      </c>
      <c r="W40" s="1296">
        <f>IF(AE40&gt;0,'3 pr-2'!X41,0)</f>
        <v>0</v>
      </c>
      <c r="X40" s="1297">
        <v>0</v>
      </c>
      <c r="Y40" s="1298">
        <f ca="1">SUM('ketv. 6 '!AB40)</f>
        <v>0</v>
      </c>
      <c r="Z40" s="1296">
        <f>IF(AE40&gt;0,'3 pr-2'!AA41,0)</f>
        <v>845933.69</v>
      </c>
      <c r="AA40" s="1297">
        <v>845933.69</v>
      </c>
      <c r="AB40" s="1298">
        <f ca="1">SUM('ketv. 6 '!AF40)</f>
        <v>845933.69</v>
      </c>
      <c r="AC40" s="1296">
        <f>IF($AE$9&gt;0,'3 pr-2'!AB41,0)</f>
        <v>0</v>
      </c>
      <c r="AD40" s="1336">
        <f>SUM('3 pr-2'!AG41)</f>
        <v>42830</v>
      </c>
      <c r="AE40" s="1342">
        <v>42830</v>
      </c>
      <c r="AF40" s="216">
        <f t="shared" ref="AF40" si="32">IF((YEAR(AD40)-YEAR(AE40))=0,0,YEAR(AD40)-YEAR(AE40))</f>
        <v>0</v>
      </c>
      <c r="AG40" s="445" t="str">
        <f t="shared" si="25"/>
        <v>–</v>
      </c>
    </row>
    <row r="41" spans="1:33" ht="48.75" x14ac:dyDescent="0.25">
      <c r="A41" s="182" t="str">
        <f>CONCATENATE('3 pr-2'!A42)</f>
        <v>1.1.1.3.3</v>
      </c>
      <c r="B41" s="309" t="s">
        <v>1622</v>
      </c>
      <c r="C41" s="182" t="str">
        <f>CONCATENATE('3 pr-2'!B42)</f>
        <v>R01-9905-292800-1133</v>
      </c>
      <c r="D41" s="182" t="str">
        <f>CONCATENATE('3 pr-2'!D42)</f>
        <v xml:space="preserve">Varėnos miesto Dainų slėnio infrastruktūros atnaujinimas ir pritaikymas visuomenės poreikiams </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82" t="str">
        <f>CONCATENATE('3 pr-2'!J42)</f>
        <v>ITI</v>
      </c>
      <c r="K41" s="1296">
        <f>IF(AE41&gt;0,'3 pr-2'!L42,0)</f>
        <v>630000</v>
      </c>
      <c r="L41" s="1297">
        <f t="shared" si="30"/>
        <v>630000</v>
      </c>
      <c r="M41" s="1298">
        <f t="shared" ca="1" si="24"/>
        <v>663071.16</v>
      </c>
      <c r="N41" s="1296">
        <f>IF(AE41&gt;0,'3 pr-2'!O42,0)</f>
        <v>47250</v>
      </c>
      <c r="O41" s="1297">
        <v>47250</v>
      </c>
      <c r="P41" s="1298">
        <f ca="1">SUM('ketv. 6 '!P41)</f>
        <v>80321.16</v>
      </c>
      <c r="Q41" s="1296">
        <f>IF(AE41&gt;0,'3 pr-2'!R42,0)</f>
        <v>47250</v>
      </c>
      <c r="R41" s="1297">
        <v>47250</v>
      </c>
      <c r="S41" s="1298">
        <f ca="1">SUM('ketv. 6 '!T41)</f>
        <v>47250</v>
      </c>
      <c r="T41" s="1296">
        <f>IF(AE41&gt;0,'3 pr-2'!U42,0)</f>
        <v>0</v>
      </c>
      <c r="U41" s="1297">
        <v>0</v>
      </c>
      <c r="V41" s="1298">
        <f ca="1">SUM('ketv. 6 '!X41)</f>
        <v>0</v>
      </c>
      <c r="W41" s="1296">
        <f>IF(AE41&gt;0,'3 pr-2'!X42,0)</f>
        <v>0</v>
      </c>
      <c r="X41" s="1297">
        <v>0</v>
      </c>
      <c r="Y41" s="1298">
        <f ca="1">SUM('ketv. 6 '!AB41)</f>
        <v>0</v>
      </c>
      <c r="Z41" s="1296">
        <f>IF(AE41&gt;0,'3 pr-2'!AA42,0)</f>
        <v>535500</v>
      </c>
      <c r="AA41" s="1297">
        <v>535500</v>
      </c>
      <c r="AB41" s="1298">
        <f ca="1">SUM('ketv. 6 '!AF41)</f>
        <v>535500</v>
      </c>
      <c r="AC41" s="1296">
        <f>IF($AE$9&gt;0,'3 pr-2'!AB42,0)</f>
        <v>0</v>
      </c>
      <c r="AD41" s="1336">
        <f>SUM('3 pr-2'!AG42)</f>
        <v>43190</v>
      </c>
      <c r="AE41" s="1336">
        <v>43178</v>
      </c>
      <c r="AF41" s="216"/>
      <c r="AG41" s="445" t="str">
        <f t="shared" si="25"/>
        <v>–</v>
      </c>
    </row>
    <row r="42" spans="1:33" ht="48.75" x14ac:dyDescent="0.25">
      <c r="A42" s="182" t="str">
        <f>CONCATENATE('3 pr-2'!A43)</f>
        <v>1.1.1.3.4</v>
      </c>
      <c r="B42" s="309" t="s">
        <v>822</v>
      </c>
      <c r="C42" s="182" t="str">
        <f>CONCATENATE('3 pr-2'!B43)</f>
        <v>R01-9905-280000-1134</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82" t="str">
        <f>CONCATENATE('3 pr-2'!J43)</f>
        <v>ITI</v>
      </c>
      <c r="K42" s="1296">
        <f>IF(AE42&gt;0,'3 pr-2'!L43,0)</f>
        <v>757246</v>
      </c>
      <c r="L42" s="1297">
        <f t="shared" si="30"/>
        <v>604169.01</v>
      </c>
      <c r="M42" s="1298">
        <f t="shared" ca="1" si="24"/>
        <v>757246.01</v>
      </c>
      <c r="N42" s="1296">
        <f>IF(AE42&gt;0,'3 pr-2'!O43,0)</f>
        <v>56794</v>
      </c>
      <c r="O42" s="1297">
        <v>45312.68</v>
      </c>
      <c r="P42" s="1298">
        <f ca="1">SUM('ketv. 6 '!P42)</f>
        <v>198389.68</v>
      </c>
      <c r="Q42" s="1296">
        <f>IF(AE42&gt;0,'3 pr-2'!R43,0)</f>
        <v>56793</v>
      </c>
      <c r="R42" s="1297">
        <v>45312.68</v>
      </c>
      <c r="S42" s="1298">
        <f ca="1">SUM('ketv. 6 '!T42)</f>
        <v>45312.68</v>
      </c>
      <c r="T42" s="1296">
        <f>IF(AE42&gt;0,'3 pr-2'!U43,0)</f>
        <v>0</v>
      </c>
      <c r="U42" s="1297">
        <v>0</v>
      </c>
      <c r="V42" s="1298">
        <f ca="1">SUM('ketv. 6 '!X42)</f>
        <v>0</v>
      </c>
      <c r="W42" s="1296">
        <f>IF(AE42&gt;0,'3 pr-2'!X43,0)</f>
        <v>0</v>
      </c>
      <c r="X42" s="1297">
        <v>0</v>
      </c>
      <c r="Y42" s="1298">
        <f ca="1">SUM('ketv. 6 '!AB42)</f>
        <v>0</v>
      </c>
      <c r="Z42" s="1296">
        <f>IF(AE42&gt;0,'3 pr-2'!AA43,0)</f>
        <v>643659</v>
      </c>
      <c r="AA42" s="1297">
        <v>513543.65</v>
      </c>
      <c r="AB42" s="1298">
        <f ca="1">SUM('ketv. 6 '!AF42)</f>
        <v>513543.65</v>
      </c>
      <c r="AC42" s="1296">
        <f>IF($AE$9&gt;0,'3 pr-2'!AB43,0)</f>
        <v>0</v>
      </c>
      <c r="AD42" s="1336">
        <f>SUM('3 pr-2'!AG43)</f>
        <v>43280</v>
      </c>
      <c r="AE42" s="1342">
        <v>42923</v>
      </c>
      <c r="AF42" s="216">
        <f t="shared" ref="AF42" si="33">IF((YEAR(AD42)-YEAR(AE42))=0,0,YEAR(AD42)-YEAR(AE42))</f>
        <v>1</v>
      </c>
      <c r="AG42" s="445" t="str">
        <f t="shared" si="25"/>
        <v>–</v>
      </c>
    </row>
    <row r="43" spans="1:33" ht="38.25" customHeight="1" x14ac:dyDescent="0.25">
      <c r="A43" s="182" t="str">
        <f>CONCATENATE('3 pr-2'!A44)</f>
        <v>1.1.1.3.5</v>
      </c>
      <c r="B43" s="309" t="s">
        <v>3526</v>
      </c>
      <c r="C43" s="182" t="str">
        <f>CONCATENATE('3 pr-2'!B44)</f>
        <v>R01-9905-362900-1135</v>
      </c>
      <c r="D43" s="182" t="str">
        <f>CONCATENATE('3 pr-2'!D44)</f>
        <v xml:space="preserve">Nenaudojamų teritorijų Varėnos mieste sutvarkymas ir pritaikymas verslui </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82" t="str">
        <f>CONCATENATE('3 pr-2'!J44)</f>
        <v>ITI</v>
      </c>
      <c r="K43" s="1296">
        <f>IF(AE43&gt;0,'3 pr-2'!L44,0)</f>
        <v>150000</v>
      </c>
      <c r="L43" s="1297">
        <f t="shared" si="30"/>
        <v>150000</v>
      </c>
      <c r="M43" s="1298">
        <f t="shared" ca="1" si="24"/>
        <v>0</v>
      </c>
      <c r="N43" s="1296">
        <f>IF(AE43&gt;0,'3 pr-2'!O44,0)</f>
        <v>11250</v>
      </c>
      <c r="O43" s="1297">
        <v>11250</v>
      </c>
      <c r="P43" s="1298">
        <f ca="1">SUM('ketv. 6 '!P43)</f>
        <v>0</v>
      </c>
      <c r="Q43" s="1296">
        <f>IF(AE43&gt;0,'3 pr-2'!R44,0)</f>
        <v>11250</v>
      </c>
      <c r="R43" s="1297">
        <v>11250</v>
      </c>
      <c r="S43" s="1298">
        <f ca="1">SUM('ketv. 6 '!T43)</f>
        <v>0</v>
      </c>
      <c r="T43" s="1296">
        <f>IF(AE43&gt;0,'3 pr-2'!U44,0)</f>
        <v>0</v>
      </c>
      <c r="U43" s="1297">
        <v>0</v>
      </c>
      <c r="V43" s="1298">
        <f ca="1">SUM('ketv. 6 '!X43)</f>
        <v>0</v>
      </c>
      <c r="W43" s="1296">
        <f>IF(AE43&gt;0,'3 pr-2'!X44,0)</f>
        <v>0</v>
      </c>
      <c r="X43" s="1297">
        <v>0</v>
      </c>
      <c r="Y43" s="1298">
        <f ca="1">SUM('ketv. 6 '!AB43)</f>
        <v>0</v>
      </c>
      <c r="Z43" s="1296">
        <f>IF(AE43&gt;0,'3 pr-2'!AA44,0)</f>
        <v>127500</v>
      </c>
      <c r="AA43" s="1297">
        <v>127500</v>
      </c>
      <c r="AB43" s="1298">
        <f ca="1">SUM('ketv. 6 '!AF43)</f>
        <v>0</v>
      </c>
      <c r="AC43" s="1296">
        <f>IF($AE$9&gt;0,'3 pr-2'!AB44,0)</f>
        <v>0</v>
      </c>
      <c r="AD43" s="1336">
        <f>SUM('3 pr-2'!AG44)</f>
        <v>43342</v>
      </c>
      <c r="AE43" s="1336">
        <v>43311</v>
      </c>
      <c r="AF43" s="216"/>
      <c r="AG43" s="445" t="str">
        <f t="shared" si="25"/>
        <v>–</v>
      </c>
    </row>
    <row r="44" spans="1:33" ht="49.5" customHeight="1" thickBot="1" x14ac:dyDescent="0.3">
      <c r="A44" s="182" t="str">
        <f>CONCATENATE('3 pr-2'!A45)</f>
        <v>1.1.1.3.6</v>
      </c>
      <c r="B44" s="309" t="s">
        <v>3538</v>
      </c>
      <c r="C44" s="182" t="str">
        <f>CONCATENATE('3 pr-2'!B45)</f>
        <v>R01-9905-290000-1136</v>
      </c>
      <c r="D44" s="182" t="str">
        <f>CONCATENATE('3 pr-2'!D45)</f>
        <v xml:space="preserve">Teritorijų prie daugiabučių gyvenamųjų pastatų Varėnos mieste sutvarkymas ir pritaikymas visuomenės poreikiams  </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82" t="str">
        <f>CONCATENATE('3 pr-2'!J45)</f>
        <v>ITI</v>
      </c>
      <c r="K44" s="1296">
        <f>IF(AE44&gt;0,'3 pr-2'!L45,0)</f>
        <v>300373</v>
      </c>
      <c r="L44" s="1297">
        <f t="shared" si="30"/>
        <v>300373</v>
      </c>
      <c r="M44" s="1298">
        <f t="shared" ca="1" si="24"/>
        <v>0</v>
      </c>
      <c r="N44" s="1296">
        <f>IF(AE44&gt;0,'3 pr-2'!O45,0)</f>
        <v>22528</v>
      </c>
      <c r="O44" s="1297">
        <v>22527.98</v>
      </c>
      <c r="P44" s="1298">
        <f ca="1">SUM('ketv. 6 '!P44)</f>
        <v>0</v>
      </c>
      <c r="Q44" s="1296">
        <f>IF(AE44&gt;0,'3 pr-2'!R45,0)</f>
        <v>22528</v>
      </c>
      <c r="R44" s="1297">
        <v>22527.97</v>
      </c>
      <c r="S44" s="1298">
        <f ca="1">SUM('ketv. 6 '!T44)</f>
        <v>0</v>
      </c>
      <c r="T44" s="1296">
        <f>IF(AE44&gt;0,'3 pr-2'!U45,0)</f>
        <v>0</v>
      </c>
      <c r="U44" s="1297">
        <v>0</v>
      </c>
      <c r="V44" s="1298">
        <f ca="1">SUM('ketv. 6 '!X44)</f>
        <v>0</v>
      </c>
      <c r="W44" s="1296">
        <f>IF(AE44&gt;0,'3 pr-2'!X45,0)</f>
        <v>0</v>
      </c>
      <c r="X44" s="1297">
        <v>0</v>
      </c>
      <c r="Y44" s="1298">
        <f ca="1">SUM('ketv. 6 '!AB44)</f>
        <v>0</v>
      </c>
      <c r="Z44" s="1296">
        <f>IF(AE44&gt;0,'3 pr-2'!AA45,0)</f>
        <v>255317</v>
      </c>
      <c r="AA44" s="1297">
        <v>255317.05</v>
      </c>
      <c r="AB44" s="1298">
        <f ca="1">SUM('ketv. 6 '!AF44)</f>
        <v>0</v>
      </c>
      <c r="AC44" s="1296">
        <f>IF($AE$9&gt;0,'3 pr-2'!AB45,0)</f>
        <v>0</v>
      </c>
      <c r="AD44" s="1336">
        <f>SUM('3 pr-2'!AG45)</f>
        <v>43342</v>
      </c>
      <c r="AE44" s="1336">
        <v>43311</v>
      </c>
      <c r="AF44" s="216"/>
      <c r="AG44" s="445" t="str">
        <f t="shared" si="25"/>
        <v>–</v>
      </c>
    </row>
    <row r="45" spans="1:33" ht="39" customHeight="1" thickBot="1" x14ac:dyDescent="0.3">
      <c r="A45" s="326" t="str">
        <f>CONCATENATE('3 pr-2'!A46)</f>
        <v>1.1.1.4</v>
      </c>
      <c r="B45" s="388"/>
      <c r="C45" s="2025" t="str">
        <f>CONCATENATE('3 pr-2'!B46)</f>
        <v xml:space="preserve">Priemonė:
Alytaus, Druskininkų ir Lazdijų miestų kompleksinė plėtra
</v>
      </c>
      <c r="D45" s="2026"/>
      <c r="E45" s="2026"/>
      <c r="F45" s="2026"/>
      <c r="G45" s="2026"/>
      <c r="H45" s="2026"/>
      <c r="I45" s="2026"/>
      <c r="J45" s="2027"/>
      <c r="K45" s="1293">
        <f>SUM(K46:K48)</f>
        <v>2112023.5699999998</v>
      </c>
      <c r="L45" s="1526">
        <f t="shared" ref="L45:AC45" si="34">SUM(L46:L48)</f>
        <v>813862.85</v>
      </c>
      <c r="M45" s="1295">
        <f t="shared" ca="1" si="34"/>
        <v>2014993.6199999999</v>
      </c>
      <c r="N45" s="1293">
        <f t="shared" si="34"/>
        <v>289057.98</v>
      </c>
      <c r="O45" s="1526">
        <f t="shared" si="34"/>
        <v>187599.85</v>
      </c>
      <c r="P45" s="1295">
        <f t="shared" ca="1" si="34"/>
        <v>192028.03</v>
      </c>
      <c r="Q45" s="1293">
        <f t="shared" si="34"/>
        <v>147808.01999999999</v>
      </c>
      <c r="R45" s="1526">
        <f t="shared" si="34"/>
        <v>50778</v>
      </c>
      <c r="S45" s="1295">
        <f t="shared" ca="1" si="34"/>
        <v>147808.01999999999</v>
      </c>
      <c r="T45" s="1293">
        <f t="shared" si="34"/>
        <v>0</v>
      </c>
      <c r="U45" s="1526">
        <f t="shared" si="34"/>
        <v>0</v>
      </c>
      <c r="V45" s="1295">
        <f t="shared" ca="1" si="34"/>
        <v>0</v>
      </c>
      <c r="W45" s="1293">
        <f t="shared" si="34"/>
        <v>0</v>
      </c>
      <c r="X45" s="1294">
        <f t="shared" si="34"/>
        <v>0</v>
      </c>
      <c r="Y45" s="1295">
        <f t="shared" ca="1" si="34"/>
        <v>0</v>
      </c>
      <c r="Z45" s="1293">
        <f t="shared" si="34"/>
        <v>1675157.5699999998</v>
      </c>
      <c r="AA45" s="1294">
        <f t="shared" si="34"/>
        <v>575485</v>
      </c>
      <c r="AB45" s="1295">
        <f t="shared" ca="1" si="34"/>
        <v>1675157.5699999998</v>
      </c>
      <c r="AC45" s="1293">
        <f t="shared" si="34"/>
        <v>0</v>
      </c>
      <c r="AD45" s="1340" t="s">
        <v>690</v>
      </c>
      <c r="AE45" s="1341" t="s">
        <v>690</v>
      </c>
      <c r="AF45" s="398" t="s">
        <v>690</v>
      </c>
      <c r="AG45" s="399"/>
    </row>
    <row r="46" spans="1:33" ht="48.75" x14ac:dyDescent="0.25">
      <c r="A46" s="182" t="str">
        <f>CONCATENATE('3 pr-2'!A47)</f>
        <v>1.1.1.4.1</v>
      </c>
      <c r="B46" s="309" t="s">
        <v>702</v>
      </c>
      <c r="C46" s="182" t="str">
        <f>CONCATENATE('3 pr-2'!B47)</f>
        <v>R01-9902-310000-1141</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82" t="str">
        <f>CONCATENATE('3 pr-2'!J47)</f>
        <v>ITI</v>
      </c>
      <c r="K46" s="1296">
        <f>IF(AE46&gt;0,'3 pr-2'!L47,0)</f>
        <v>1293732.5699999998</v>
      </c>
      <c r="L46" s="1297">
        <f t="shared" ref="L46:L59" si="35">SUM(O46+R46+U46+X46+AA46)</f>
        <v>0</v>
      </c>
      <c r="M46" s="1298">
        <f t="shared" ca="1" si="24"/>
        <v>1196702.6199999999</v>
      </c>
      <c r="N46" s="1296">
        <f>IF(AE46&gt;0,'3 pr-2'!O47,0)</f>
        <v>97029.95</v>
      </c>
      <c r="O46" s="1297"/>
      <c r="P46" s="1298">
        <f ca="1">SUM('ketv. 6 '!P46)</f>
        <v>0</v>
      </c>
      <c r="Q46" s="1296">
        <f>IF(AE46&gt;0,'3 pr-2'!R47,0)</f>
        <v>97029.94</v>
      </c>
      <c r="R46" s="1297"/>
      <c r="S46" s="1298">
        <f>SUM('ketv. 6 '!T46)</f>
        <v>97029.94</v>
      </c>
      <c r="T46" s="1296">
        <f>IF(AE46&gt;0,'3 pr-2'!U47,0)</f>
        <v>0</v>
      </c>
      <c r="U46" s="1297"/>
      <c r="V46" s="1298">
        <f ca="1">SUM('ketv. 6 '!X46)</f>
        <v>0</v>
      </c>
      <c r="W46" s="1296">
        <f>IF(AE46&gt;0,'3 pr-2'!X47,0)</f>
        <v>0</v>
      </c>
      <c r="X46" s="1297"/>
      <c r="Y46" s="1298">
        <f ca="1">SUM('ketv. 6 '!AB46)</f>
        <v>0</v>
      </c>
      <c r="Z46" s="1296">
        <f>IF(AE46&gt;0,'3 pr-2'!AA47,0)</f>
        <v>1099672.68</v>
      </c>
      <c r="AA46" s="1297"/>
      <c r="AB46" s="1298">
        <f>SUM('ketv. 6 '!AF46)</f>
        <v>1099672.68</v>
      </c>
      <c r="AC46" s="1296">
        <f>IF($AE$9&gt;0,'3 pr-2'!AB47,0)</f>
        <v>0</v>
      </c>
      <c r="AD46" s="1336">
        <f>SUM('3 pr-2'!AG47)</f>
        <v>42338</v>
      </c>
      <c r="AE46" s="1344">
        <v>42323</v>
      </c>
      <c r="AF46" s="216">
        <f t="shared" ref="AF46" si="36">IF((YEAR(AD46)-YEAR(AE46))=0,0,YEAR(AD46)-YEAR(AE46))</f>
        <v>0</v>
      </c>
      <c r="AG46" s="445" t="str">
        <f t="shared" si="25"/>
        <v>–</v>
      </c>
    </row>
    <row r="47" spans="1:33" ht="48.75" x14ac:dyDescent="0.25">
      <c r="A47" s="182" t="str">
        <f>CONCATENATE('3 pr-2'!A48)</f>
        <v>1.1.1.4.2</v>
      </c>
      <c r="B47" s="309" t="s">
        <v>722</v>
      </c>
      <c r="C47" s="182" t="str">
        <f>CONCATENATE('3 pr-2'!B48)</f>
        <v>R01-9903-290000-1142</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82" t="str">
        <f>CONCATENATE('3 pr-2'!J48)</f>
        <v>ITI</v>
      </c>
      <c r="K47" s="1296">
        <f>IF(AE47&gt;0,'3 pr-2'!L48,0)</f>
        <v>474784</v>
      </c>
      <c r="L47" s="1297">
        <f t="shared" si="35"/>
        <v>470355.85</v>
      </c>
      <c r="M47" s="1298">
        <f t="shared" ca="1" si="24"/>
        <v>474784</v>
      </c>
      <c r="N47" s="1296">
        <f>IF(AE47&gt;0,'3 pr-2'!O48,0)</f>
        <v>166265</v>
      </c>
      <c r="O47" s="1297">
        <v>161836.85</v>
      </c>
      <c r="P47" s="1298">
        <f ca="1">SUM('ketv. 6 '!P47)</f>
        <v>166265</v>
      </c>
      <c r="Q47" s="1296">
        <f>IF(AE47&gt;0,'3 pr-2'!R48,0)</f>
        <v>25015.06</v>
      </c>
      <c r="R47" s="1297">
        <v>25015</v>
      </c>
      <c r="S47" s="1298">
        <f ca="1">SUM('ketv. 6 '!T47)</f>
        <v>25015.06</v>
      </c>
      <c r="T47" s="1296">
        <f>IF(AE47&gt;0,'3 pr-2'!U48,0)</f>
        <v>0</v>
      </c>
      <c r="U47" s="1297">
        <v>0</v>
      </c>
      <c r="V47" s="1298">
        <f ca="1">SUM('ketv. 6 '!X47)</f>
        <v>0</v>
      </c>
      <c r="W47" s="1296">
        <f>IF(AE47&gt;0,'3 pr-2'!X48,0)</f>
        <v>0</v>
      </c>
      <c r="X47" s="1297">
        <v>0</v>
      </c>
      <c r="Y47" s="1298">
        <f ca="1">SUM('ketv. 6 '!AB47)</f>
        <v>0</v>
      </c>
      <c r="Z47" s="1296">
        <f>IF(AE47&gt;0,'3 pr-2'!AA48,0)</f>
        <v>283503.94</v>
      </c>
      <c r="AA47" s="1297">
        <v>283504</v>
      </c>
      <c r="AB47" s="1298">
        <f ca="1">SUM('ketv. 6 '!AF47)</f>
        <v>283503.94</v>
      </c>
      <c r="AC47" s="1296">
        <f>IF($AE$9&gt;0,'3 pr-2'!AB48,0)</f>
        <v>0</v>
      </c>
      <c r="AD47" s="1336">
        <f>SUM('3 pr-2'!AG48)</f>
        <v>42494</v>
      </c>
      <c r="AE47" s="1344">
        <v>42494</v>
      </c>
      <c r="AF47" s="216">
        <f t="shared" ref="AF47:AF48" si="37">IF((YEAR(AD47)-YEAR(AE47))=0,0,YEAR(AD47)-YEAR(AE47))</f>
        <v>0</v>
      </c>
      <c r="AG47" s="445" t="str">
        <f t="shared" si="25"/>
        <v>–</v>
      </c>
    </row>
    <row r="48" spans="1:33" ht="49.5" thickBot="1" x14ac:dyDescent="0.3">
      <c r="A48" s="182" t="str">
        <f>CONCATENATE('3 pr-2'!A49)</f>
        <v>1.1.1.4.3</v>
      </c>
      <c r="B48" s="309" t="s">
        <v>723</v>
      </c>
      <c r="C48" s="182" t="str">
        <f>CONCATENATE('3 pr-2'!B49)</f>
        <v>R01-9903-290000-1143</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82" t="str">
        <f>CONCATENATE('3 pr-2'!J49)</f>
        <v>ITI</v>
      </c>
      <c r="K48" s="1296">
        <f>IF(AE48&gt;0,'3 pr-2'!L49,0)</f>
        <v>343507</v>
      </c>
      <c r="L48" s="1297">
        <f t="shared" si="35"/>
        <v>343507</v>
      </c>
      <c r="M48" s="1298">
        <f t="shared" ca="1" si="24"/>
        <v>343507</v>
      </c>
      <c r="N48" s="1296">
        <f>IF(AE48&gt;0,'3 pr-2'!O49,0)</f>
        <v>25763.03</v>
      </c>
      <c r="O48" s="1297">
        <v>25763</v>
      </c>
      <c r="P48" s="1298">
        <f ca="1">SUM('ketv. 6 '!P48)</f>
        <v>25763.03</v>
      </c>
      <c r="Q48" s="1296">
        <f>IF(AE48&gt;0,'3 pr-2'!R49,0)</f>
        <v>25763.02</v>
      </c>
      <c r="R48" s="1297">
        <v>25763</v>
      </c>
      <c r="S48" s="1298">
        <f ca="1">SUM('ketv. 6 '!T48)</f>
        <v>25763.02</v>
      </c>
      <c r="T48" s="1296">
        <f>IF(AE48&gt;0,'3 pr-2'!U49,0)</f>
        <v>0</v>
      </c>
      <c r="U48" s="1297">
        <v>0</v>
      </c>
      <c r="V48" s="1298">
        <f ca="1">SUM('ketv. 6 '!X48)</f>
        <v>0</v>
      </c>
      <c r="W48" s="1296">
        <f>IF(AE48&gt;0,'3 pr-2'!X49,0)</f>
        <v>0</v>
      </c>
      <c r="X48" s="1297">
        <v>0</v>
      </c>
      <c r="Y48" s="1298">
        <f ca="1">SUM('ketv. 6 '!AB48)</f>
        <v>0</v>
      </c>
      <c r="Z48" s="1296">
        <f>IF(AE48&gt;0,'3 pr-2'!AA49,0)</f>
        <v>291980.95</v>
      </c>
      <c r="AA48" s="1297">
        <v>291981</v>
      </c>
      <c r="AB48" s="1298">
        <f ca="1">SUM('ketv. 6 '!AF48)</f>
        <v>291980.95</v>
      </c>
      <c r="AC48" s="1296">
        <f>IF($AE$9&gt;0,'3 pr-2'!AB49,0)</f>
        <v>0</v>
      </c>
      <c r="AD48" s="1336">
        <f>SUM('3 pr-2'!AG49)</f>
        <v>42494</v>
      </c>
      <c r="AE48" s="1344">
        <v>42494</v>
      </c>
      <c r="AF48" s="216">
        <f t="shared" si="37"/>
        <v>0</v>
      </c>
      <c r="AG48" s="445" t="str">
        <f t="shared" si="25"/>
        <v>–</v>
      </c>
    </row>
    <row r="49" spans="1:33" ht="36" customHeight="1" thickBot="1" x14ac:dyDescent="0.3">
      <c r="A49" s="326" t="str">
        <f>CONCATENATE('3 pr-2'!A50)</f>
        <v>1.1.1.5</v>
      </c>
      <c r="B49" s="388"/>
      <c r="C49" s="2025" t="str">
        <f>CONCATENATE('3 pr-2'!B50)</f>
        <v xml:space="preserve">Priemonė:
Geriamojo vandens tiekimo ir nuotekų tvarkymo sistemų renovavimas ir plėtra, įmonių valdymo tobulinimas </v>
      </c>
      <c r="D49" s="2026"/>
      <c r="E49" s="2026"/>
      <c r="F49" s="2026"/>
      <c r="G49" s="2026"/>
      <c r="H49" s="2026"/>
      <c r="I49" s="2026"/>
      <c r="J49" s="2027"/>
      <c r="K49" s="1293">
        <f>SUM(K50:K54)</f>
        <v>16378428.970000001</v>
      </c>
      <c r="L49" s="1526">
        <f t="shared" ref="L49:AC49" si="38">SUM(L50:L54)</f>
        <v>18511446.439999998</v>
      </c>
      <c r="M49" s="1295">
        <f t="shared" ca="1" si="38"/>
        <v>13600026.08</v>
      </c>
      <c r="N49" s="1293">
        <f t="shared" si="38"/>
        <v>0</v>
      </c>
      <c r="O49" s="1526">
        <f t="shared" si="38"/>
        <v>402890</v>
      </c>
      <c r="P49" s="1295">
        <f t="shared" ca="1" si="38"/>
        <v>0</v>
      </c>
      <c r="Q49" s="1293">
        <f t="shared" si="38"/>
        <v>0</v>
      </c>
      <c r="R49" s="1526">
        <f t="shared" si="38"/>
        <v>0</v>
      </c>
      <c r="S49" s="1295">
        <f t="shared" ca="1" si="38"/>
        <v>0</v>
      </c>
      <c r="T49" s="1293">
        <f t="shared" si="38"/>
        <v>7458036.4000000004</v>
      </c>
      <c r="U49" s="1526">
        <f t="shared" si="38"/>
        <v>9297882.9299999997</v>
      </c>
      <c r="V49" s="1295">
        <f t="shared" ca="1" si="38"/>
        <v>6202852.4799999995</v>
      </c>
      <c r="W49" s="1293">
        <f t="shared" si="38"/>
        <v>0</v>
      </c>
      <c r="X49" s="1294">
        <f t="shared" si="38"/>
        <v>0</v>
      </c>
      <c r="Y49" s="1295">
        <f t="shared" ca="1" si="38"/>
        <v>0</v>
      </c>
      <c r="Z49" s="1293">
        <f t="shared" si="38"/>
        <v>8920392.5700000003</v>
      </c>
      <c r="AA49" s="1294">
        <f t="shared" si="38"/>
        <v>8810673.5099999998</v>
      </c>
      <c r="AB49" s="1295"/>
      <c r="AC49" s="1293">
        <f t="shared" si="38"/>
        <v>0</v>
      </c>
      <c r="AD49" s="1340"/>
      <c r="AE49" s="1341"/>
      <c r="AF49" s="398"/>
      <c r="AG49" s="399"/>
    </row>
    <row r="50" spans="1:33" ht="48.75" x14ac:dyDescent="0.25">
      <c r="A50" s="182" t="str">
        <f>CONCATENATE('3 pr-2'!A51)</f>
        <v>1.1.1.5.1</v>
      </c>
      <c r="B50" s="309" t="s">
        <v>712</v>
      </c>
      <c r="C50" s="182" t="str">
        <f>CONCATENATE('3 pr-2'!B51)</f>
        <v>R01-0014-060700-1151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82" t="str">
        <f>CONCATENATE('3 pr-2'!J51)</f>
        <v>ITI</v>
      </c>
      <c r="K50" s="1296">
        <f>IF(AE50&gt;0,'3 pr-2'!L51,0)</f>
        <v>2477103.23</v>
      </c>
      <c r="L50" s="1297">
        <f t="shared" si="35"/>
        <v>2539908.79</v>
      </c>
      <c r="M50" s="1298">
        <f t="shared" ca="1" si="24"/>
        <v>2477103.23</v>
      </c>
      <c r="N50" s="1296">
        <f>IF(AE50&gt;0,'3 pr-2'!O51,0)</f>
        <v>0</v>
      </c>
      <c r="O50" s="1297">
        <v>0</v>
      </c>
      <c r="P50" s="1298">
        <f ca="1">SUM('ketv. 6 '!P50)</f>
        <v>0</v>
      </c>
      <c r="Q50" s="1296">
        <f>IF(AE50&gt;0,'3 pr-2'!R51,0)</f>
        <v>0</v>
      </c>
      <c r="R50" s="1297">
        <v>0</v>
      </c>
      <c r="S50" s="1298">
        <f ca="1">SUM('ketv. 6 '!T50)</f>
        <v>0</v>
      </c>
      <c r="T50" s="1296">
        <f>IF(AE50&gt;0,'3 pr-2'!U51,0)</f>
        <v>862874.97</v>
      </c>
      <c r="U50" s="1297">
        <v>925680.53</v>
      </c>
      <c r="V50" s="1298">
        <f ca="1">SUM('ketv. 6 '!X50)</f>
        <v>862874.97</v>
      </c>
      <c r="W50" s="1296">
        <f>IF(AE50&gt;0,'3 pr-2'!X51,0)</f>
        <v>0</v>
      </c>
      <c r="X50" s="1297">
        <v>0</v>
      </c>
      <c r="Y50" s="1298">
        <f ca="1">SUM('ketv. 6 '!AB50)</f>
        <v>0</v>
      </c>
      <c r="Z50" s="1296">
        <f>IF(AE50&gt;0,'3 pr-2'!AA51,0)</f>
        <v>1614228.26</v>
      </c>
      <c r="AA50" s="1297">
        <v>1614228.26</v>
      </c>
      <c r="AB50" s="1298">
        <f ca="1">SUM('ketv. 6 '!AF50)</f>
        <v>1614228.26</v>
      </c>
      <c r="AC50" s="1296">
        <f>IF($AE$9&gt;0,'3 pr-2'!AB51,0)</f>
        <v>0</v>
      </c>
      <c r="AD50" s="1345">
        <f>SUM('3 pr-2'!AG51)</f>
        <v>42551</v>
      </c>
      <c r="AE50" s="1344">
        <v>42551</v>
      </c>
      <c r="AF50" s="216">
        <f t="shared" ref="AF50:AF54" si="39">IF((YEAR(AD50)-YEAR(AE50))=0,0,YEAR(AD50)-YEAR(AE50))</f>
        <v>0</v>
      </c>
      <c r="AG50" s="445" t="str">
        <f t="shared" si="25"/>
        <v>–</v>
      </c>
    </row>
    <row r="51" spans="1:33" ht="48.75" x14ac:dyDescent="0.25">
      <c r="A51" s="182" t="str">
        <f>CONCATENATE('3 pr-2'!A52)</f>
        <v>1.1.1.5.2.</v>
      </c>
      <c r="B51" s="309" t="s">
        <v>713</v>
      </c>
      <c r="C51" s="182" t="str">
        <f>CONCATENATE('3 pr-2'!B52)</f>
        <v>R01-0014-060750-1152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82" t="str">
        <f>CONCATENATE('3 pr-2'!J52)</f>
        <v>ITI</v>
      </c>
      <c r="K51" s="1296">
        <f>IF(AE51&gt;0,'3 pr-2'!L52,0)</f>
        <v>5706088</v>
      </c>
      <c r="L51" s="1297">
        <f t="shared" si="35"/>
        <v>7476987</v>
      </c>
      <c r="M51" s="1298">
        <f t="shared" ca="1" si="24"/>
        <v>5993883</v>
      </c>
      <c r="N51" s="1296">
        <f>IF(AE51&gt;0,'3 pr-2'!O52,0)</f>
        <v>0</v>
      </c>
      <c r="O51" s="1297">
        <v>0</v>
      </c>
      <c r="P51" s="1298">
        <f ca="1">SUM('ketv. 6 '!P51)</f>
        <v>0</v>
      </c>
      <c r="Q51" s="1296">
        <f>IF(AE51&gt;0,'3 pr-2'!R52,0)</f>
        <v>0</v>
      </c>
      <c r="R51" s="1297">
        <v>0</v>
      </c>
      <c r="S51" s="1298">
        <f ca="1">SUM('ketv. 6 '!T51)</f>
        <v>0</v>
      </c>
      <c r="T51" s="1296">
        <f>IF(AE51&gt;0,'3 pr-2'!U52,0)</f>
        <v>3009103.69</v>
      </c>
      <c r="U51" s="1297">
        <v>4830990.75</v>
      </c>
      <c r="V51" s="1298">
        <f ca="1">SUM('ketv. 6 '!X51)</f>
        <v>3347886.75</v>
      </c>
      <c r="W51" s="1296">
        <f>IF(AE51&gt;0,'3 pr-2'!X52,0)</f>
        <v>0</v>
      </c>
      <c r="X51" s="1297">
        <v>0</v>
      </c>
      <c r="Y51" s="1298">
        <f ca="1">SUM('ketv. 6 '!AB51)</f>
        <v>0</v>
      </c>
      <c r="Z51" s="1296">
        <f>IF(AE51&gt;0,'3 pr-2'!AA52,0)</f>
        <v>2696984.31</v>
      </c>
      <c r="AA51" s="1297">
        <v>2645996.25</v>
      </c>
      <c r="AB51" s="1298">
        <f ca="1">SUM('ketv. 6 '!AF51)</f>
        <v>2645996.25</v>
      </c>
      <c r="AC51" s="1296">
        <f>IF($AE$9&gt;0,'3 pr-2'!AB52,0)</f>
        <v>0</v>
      </c>
      <c r="AD51" s="1345">
        <f>SUM('3 pr-2'!AG52)</f>
        <v>42551</v>
      </c>
      <c r="AE51" s="1344">
        <v>42551</v>
      </c>
      <c r="AF51" s="216">
        <f t="shared" si="39"/>
        <v>0</v>
      </c>
      <c r="AG51" s="445" t="str">
        <f t="shared" si="25"/>
        <v>–</v>
      </c>
    </row>
    <row r="52" spans="1:33" ht="48.75" x14ac:dyDescent="0.25">
      <c r="A52" s="182" t="str">
        <f>CONCATENATE('3 pr-2'!A53)</f>
        <v>1.1.1.5.3</v>
      </c>
      <c r="B52" s="309" t="s">
        <v>715</v>
      </c>
      <c r="C52" s="182" t="str">
        <f>CONCATENATE('3 pr-2'!B53)</f>
        <v>R01-0014-070650-1153</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82" t="str">
        <f>CONCATENATE('3 pr-2'!J53)</f>
        <v>-</v>
      </c>
      <c r="K52" s="1296">
        <f>IF(AE52&gt;0,'3 pr-2'!L53,0)</f>
        <v>1437425.74</v>
      </c>
      <c r="L52" s="1297">
        <f t="shared" si="35"/>
        <v>1220128</v>
      </c>
      <c r="M52" s="1298">
        <f t="shared" ca="1" si="24"/>
        <v>1288228.01</v>
      </c>
      <c r="N52" s="1296">
        <f>IF(AE52&gt;0,'3 pr-2'!O53,0)</f>
        <v>0</v>
      </c>
      <c r="O52" s="1297">
        <v>0</v>
      </c>
      <c r="P52" s="1298">
        <f ca="1">SUM('ketv. 6 '!P52)</f>
        <v>0</v>
      </c>
      <c r="Q52" s="1296">
        <f>IF(AE52&gt;0,'3 pr-2'!R53,0)</f>
        <v>0</v>
      </c>
      <c r="R52" s="1297">
        <v>0</v>
      </c>
      <c r="S52" s="1298">
        <f ca="1">SUM('ketv. 6 '!T52)</f>
        <v>0</v>
      </c>
      <c r="T52" s="1296">
        <f>IF(AE52&gt;0,'3 pr-2'!U53,0)</f>
        <v>641323.74</v>
      </c>
      <c r="U52" s="1297">
        <v>430026</v>
      </c>
      <c r="V52" s="1298">
        <f ca="1">SUM('ketv. 6 '!X52)</f>
        <v>498126.01</v>
      </c>
      <c r="W52" s="1296">
        <f>IF(AE52&gt;0,'3 pr-2'!X53,0)</f>
        <v>0</v>
      </c>
      <c r="X52" s="1297">
        <v>0</v>
      </c>
      <c r="Y52" s="1298">
        <f ca="1">SUM('ketv. 6 '!AB52)</f>
        <v>0</v>
      </c>
      <c r="Z52" s="1296">
        <f>IF(AE52&gt;0,'3 pr-2'!AA53,0)</f>
        <v>796102</v>
      </c>
      <c r="AA52" s="1297">
        <v>790102</v>
      </c>
      <c r="AB52" s="1298">
        <f ca="1">SUM('ketv. 6 '!AF52)</f>
        <v>790102</v>
      </c>
      <c r="AC52" s="1296">
        <f>IF($AE$9&gt;0,'3 pr-2'!AB53,0)</f>
        <v>0</v>
      </c>
      <c r="AD52" s="1345">
        <f>SUM('3 pr-2'!AG53)</f>
        <v>42551</v>
      </c>
      <c r="AE52" s="1344">
        <v>42551</v>
      </c>
      <c r="AF52" s="216">
        <f t="shared" si="39"/>
        <v>0</v>
      </c>
      <c r="AG52" s="445" t="str">
        <f t="shared" si="25"/>
        <v>–</v>
      </c>
    </row>
    <row r="53" spans="1:33" ht="48.75" x14ac:dyDescent="0.25">
      <c r="A53" s="182" t="str">
        <f>CONCATENATE('3 pr-2'!A54)</f>
        <v>1.1.1.5.4.</v>
      </c>
      <c r="B53" s="309" t="s">
        <v>716</v>
      </c>
      <c r="C53" s="182" t="str">
        <f>CONCATENATE('3 pr-2'!B54)</f>
        <v>R01-0014-060700-1154</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82" t="str">
        <f>CONCATENATE('3 pr-2'!J54)</f>
        <v>-</v>
      </c>
      <c r="K53" s="1296">
        <f>IF(AE53&gt;0,'3 pr-2'!L54,0)</f>
        <v>5186812</v>
      </c>
      <c r="L53" s="1297">
        <f t="shared" si="35"/>
        <v>5259972.6500000004</v>
      </c>
      <c r="M53" s="1298">
        <f t="shared" ca="1" si="24"/>
        <v>2359811.84</v>
      </c>
      <c r="N53" s="1296">
        <f>IF(AE53&gt;0,'3 pr-2'!O54,0)</f>
        <v>0</v>
      </c>
      <c r="O53" s="1297">
        <v>0</v>
      </c>
      <c r="P53" s="1298">
        <f ca="1">SUM('ketv. 6 '!P53)</f>
        <v>0</v>
      </c>
      <c r="Q53" s="1296">
        <f>IF(AE53&gt;0,'3 pr-2'!R54,0)</f>
        <v>0</v>
      </c>
      <c r="R53" s="1297">
        <v>0</v>
      </c>
      <c r="S53" s="1298">
        <f ca="1">SUM('ketv. 6 '!T53)</f>
        <v>0</v>
      </c>
      <c r="T53" s="1296">
        <f>IF(AE53&gt;0,'3 pr-2'!U54,0)</f>
        <v>2294209</v>
      </c>
      <c r="U53" s="1297">
        <v>2367369.65</v>
      </c>
      <c r="V53" s="1298">
        <f ca="1">SUM('ketv. 6 '!X53)</f>
        <v>880708.75</v>
      </c>
      <c r="W53" s="1296">
        <f>IF(AE53&gt;0,'3 pr-2'!X54,0)</f>
        <v>0</v>
      </c>
      <c r="X53" s="1297"/>
      <c r="Y53" s="1298">
        <f ca="1">SUM('ketv. 6 '!AB53)</f>
        <v>0</v>
      </c>
      <c r="Z53" s="1296">
        <f>IF(AE53&gt;0,'3 pr-2'!AA54,0)</f>
        <v>2892603</v>
      </c>
      <c r="AA53" s="1297">
        <v>2892603</v>
      </c>
      <c r="AB53" s="1298">
        <f ca="1">SUM('ketv. 6 '!AF53)</f>
        <v>1479103.09</v>
      </c>
      <c r="AC53" s="1296">
        <f>IF($AE$9&gt;0,'3 pr-2'!AB54,0)</f>
        <v>0</v>
      </c>
      <c r="AD53" s="1345">
        <f>SUM('3 pr-2'!AG54)</f>
        <v>42551</v>
      </c>
      <c r="AE53" s="1344">
        <v>42551</v>
      </c>
      <c r="AF53" s="216">
        <f t="shared" si="39"/>
        <v>0</v>
      </c>
      <c r="AG53" s="445" t="str">
        <f t="shared" si="25"/>
        <v>–</v>
      </c>
    </row>
    <row r="54" spans="1:33" ht="49.5" thickBot="1" x14ac:dyDescent="0.3">
      <c r="A54" s="182" t="str">
        <f>CONCATENATE('3 pr-2'!A55)</f>
        <v>1.1.1.5.5.</v>
      </c>
      <c r="B54" s="309" t="s">
        <v>714</v>
      </c>
      <c r="C54" s="182" t="str">
        <f>CONCATENATE('3 pr-2'!B55)</f>
        <v>R01-0014-060750-1155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82" t="str">
        <f>CONCATENATE('3 pr-2'!J55)</f>
        <v>-</v>
      </c>
      <c r="K54" s="1296">
        <f>IF(AE54&gt;0,'3 pr-2'!L55,0)</f>
        <v>1571000</v>
      </c>
      <c r="L54" s="1297">
        <f t="shared" si="35"/>
        <v>2014450</v>
      </c>
      <c r="M54" s="1298">
        <f t="shared" ca="1" si="24"/>
        <v>1481000</v>
      </c>
      <c r="N54" s="1296">
        <f>IF(AE54&gt;0,'3 pr-2'!O55,0)</f>
        <v>0</v>
      </c>
      <c r="O54" s="1297">
        <v>402890</v>
      </c>
      <c r="P54" s="1298">
        <f ca="1">SUM('ketv. 6 '!P54)</f>
        <v>0</v>
      </c>
      <c r="Q54" s="1296">
        <f>IF(AE54&gt;0,'3 pr-2'!R55,0)</f>
        <v>0</v>
      </c>
      <c r="R54" s="1297">
        <v>0</v>
      </c>
      <c r="S54" s="1298">
        <f ca="1">SUM('ketv. 6 '!T54)</f>
        <v>0</v>
      </c>
      <c r="T54" s="1296">
        <f>IF(AE54&gt;0,'3 pr-2'!U55,0)</f>
        <v>650525</v>
      </c>
      <c r="U54" s="1297">
        <v>743816</v>
      </c>
      <c r="V54" s="1298">
        <f ca="1">SUM('ketv. 6 '!X54)</f>
        <v>613256</v>
      </c>
      <c r="W54" s="1296">
        <f>IF(AE54&gt;0,'3 pr-2'!X55,0)</f>
        <v>0</v>
      </c>
      <c r="X54" s="1297">
        <v>0</v>
      </c>
      <c r="Y54" s="1298">
        <f ca="1">SUM('ketv. 6 '!AB54)</f>
        <v>0</v>
      </c>
      <c r="Z54" s="1296">
        <f>IF(AE54&gt;0,'3 pr-2'!AA55,0)</f>
        <v>920475</v>
      </c>
      <c r="AA54" s="1297">
        <v>867744</v>
      </c>
      <c r="AB54" s="1298">
        <f ca="1">SUM('ketv. 6 '!AF54)</f>
        <v>867744</v>
      </c>
      <c r="AC54" s="1296">
        <f>IF($AE$9&gt;0,'3 pr-2'!AB55,0)</f>
        <v>0</v>
      </c>
      <c r="AD54" s="1345">
        <f>SUM('3 pr-2'!AG55)</f>
        <v>42551</v>
      </c>
      <c r="AE54" s="1344">
        <v>42551</v>
      </c>
      <c r="AF54" s="216">
        <f t="shared" si="39"/>
        <v>0</v>
      </c>
      <c r="AG54" s="445" t="str">
        <f t="shared" si="25"/>
        <v>–</v>
      </c>
    </row>
    <row r="55" spans="1:33" ht="33.75" customHeight="1" thickBot="1" x14ac:dyDescent="0.3">
      <c r="A55" s="326" t="str">
        <f>CONCATENATE('3 pr-2'!A56)</f>
        <v>1.1.1.6</v>
      </c>
      <c r="B55" s="388"/>
      <c r="C55" s="2025" t="str">
        <f>CONCATENATE('3 pr-2'!B56)</f>
        <v>Priemonė:
Paviršinių nuotekų sistemų tvarkymas</v>
      </c>
      <c r="D55" s="2026"/>
      <c r="E55" s="2026"/>
      <c r="F55" s="2026"/>
      <c r="G55" s="2026"/>
      <c r="H55" s="2026"/>
      <c r="I55" s="2026"/>
      <c r="J55" s="2027"/>
      <c r="K55" s="1293">
        <f>SUM(K56)</f>
        <v>3999404.09</v>
      </c>
      <c r="L55" s="1526">
        <f t="shared" ref="L55:AC55" si="40">SUM(L56)</f>
        <v>3999403.61</v>
      </c>
      <c r="M55" s="1295">
        <f t="shared" ca="1" si="40"/>
        <v>2809404.09</v>
      </c>
      <c r="N55" s="1293">
        <f t="shared" si="40"/>
        <v>0</v>
      </c>
      <c r="O55" s="1294">
        <f t="shared" si="40"/>
        <v>0</v>
      </c>
      <c r="P55" s="1527">
        <f t="shared" ca="1" si="40"/>
        <v>0</v>
      </c>
      <c r="Q55" s="1293">
        <f t="shared" si="40"/>
        <v>0</v>
      </c>
      <c r="R55" s="1294">
        <f t="shared" si="40"/>
        <v>0</v>
      </c>
      <c r="S55" s="1527">
        <f t="shared" ca="1" si="40"/>
        <v>0</v>
      </c>
      <c r="T55" s="1293">
        <f t="shared" si="40"/>
        <v>599910.61</v>
      </c>
      <c r="U55" s="1526">
        <f t="shared" si="40"/>
        <v>599910.61</v>
      </c>
      <c r="V55" s="1295">
        <f t="shared" ca="1" si="40"/>
        <v>421410.61</v>
      </c>
      <c r="W55" s="1293">
        <f t="shared" si="40"/>
        <v>0</v>
      </c>
      <c r="X55" s="1294">
        <f t="shared" si="40"/>
        <v>0</v>
      </c>
      <c r="Y55" s="1295">
        <f t="shared" ca="1" si="40"/>
        <v>0</v>
      </c>
      <c r="Z55" s="1293">
        <f t="shared" si="40"/>
        <v>3399493.48</v>
      </c>
      <c r="AA55" s="1294">
        <f t="shared" si="40"/>
        <v>3399493</v>
      </c>
      <c r="AB55" s="1295">
        <f t="shared" ca="1" si="40"/>
        <v>2387993.48</v>
      </c>
      <c r="AC55" s="1293">
        <f t="shared" si="40"/>
        <v>0</v>
      </c>
      <c r="AD55" s="1340"/>
      <c r="AE55" s="1341"/>
      <c r="AF55" s="398"/>
      <c r="AG55" s="399"/>
    </row>
    <row r="56" spans="1:33" ht="49.5" thickBot="1" x14ac:dyDescent="0.3">
      <c r="A56" s="366" t="str">
        <f>CONCATENATE('3 pr-2'!A57)</f>
        <v>1.1.1.6.1</v>
      </c>
      <c r="B56" s="366" t="s">
        <v>717</v>
      </c>
      <c r="C56" s="182" t="str">
        <f>CONCATENATE('3 pr-2'!B57)</f>
        <v>R01-0007-080000-1161</v>
      </c>
      <c r="D56" s="366" t="str">
        <f>CONCATENATE('3 pr-2'!D57)</f>
        <v>Paviršinių nuotekų sistemų tvarkymas Alytaus mieste</v>
      </c>
      <c r="E56" s="366" t="str">
        <f>CONCATENATE('3 pr-2'!E57)</f>
        <v>UAB “Dzūkijos vandenys“</v>
      </c>
      <c r="F56" s="366" t="str">
        <f>CONCATENATE('3 pr-2'!F57)</f>
        <v>Lietuvos Respublikos aplinkos ministerija</v>
      </c>
      <c r="G56" s="366" t="str">
        <f>CONCATENATE('3 pr-2'!G57)</f>
        <v>Alytaus m. sav.</v>
      </c>
      <c r="H56" s="366" t="str">
        <f>CONCATENATE('3 pr-2'!H57)</f>
        <v>05.1.1-APVA-R-007</v>
      </c>
      <c r="I56" s="366" t="str">
        <f>CONCATENATE('3 pr-2'!I57)</f>
        <v>R</v>
      </c>
      <c r="J56" s="366" t="str">
        <f>CONCATENATE('3 pr-2'!J57)</f>
        <v>-</v>
      </c>
      <c r="K56" s="1296">
        <f>IF(AE56&gt;0,'3 pr-2'!L57,0)</f>
        <v>3999404.09</v>
      </c>
      <c r="L56" s="1297">
        <f t="shared" si="35"/>
        <v>3999403.61</v>
      </c>
      <c r="M56" s="1298">
        <f t="shared" ca="1" si="24"/>
        <v>2809404.09</v>
      </c>
      <c r="N56" s="1296">
        <f>IF(AE56&gt;0,'3 pr-2'!O57,0)</f>
        <v>0</v>
      </c>
      <c r="O56" s="1297">
        <v>0</v>
      </c>
      <c r="P56" s="1298">
        <f ca="1">SUM('ketv. 6 '!P56)</f>
        <v>0</v>
      </c>
      <c r="Q56" s="1296">
        <f>IF(AE56&gt;0,'3 pr-2'!R57,0)</f>
        <v>0</v>
      </c>
      <c r="R56" s="1297">
        <v>0</v>
      </c>
      <c r="S56" s="1298">
        <f ca="1">SUM('ketv. 6 '!T56)</f>
        <v>0</v>
      </c>
      <c r="T56" s="1296">
        <f>IF(AE56&gt;0,'3 pr-2'!U57,0)</f>
        <v>599910.61</v>
      </c>
      <c r="U56" s="1297">
        <v>599910.61</v>
      </c>
      <c r="V56" s="1298">
        <f ca="1">SUM('ketv. 6 '!X56)</f>
        <v>421410.61</v>
      </c>
      <c r="W56" s="1296">
        <f>IF(AE56&gt;0,'3 pr-2'!X57,0)</f>
        <v>0</v>
      </c>
      <c r="X56" s="1297">
        <v>0</v>
      </c>
      <c r="Y56" s="1298">
        <f ca="1">SUM('ketv. 6 '!AB56)</f>
        <v>0</v>
      </c>
      <c r="Z56" s="1296">
        <f>IF(AE56&gt;0,'3 pr-2'!AA57,0)</f>
        <v>3399493.48</v>
      </c>
      <c r="AA56" s="1297">
        <v>3399493</v>
      </c>
      <c r="AB56" s="1298">
        <f ca="1">SUM('ketv. 6 '!AF56)</f>
        <v>2387993.48</v>
      </c>
      <c r="AC56" s="1296">
        <f>IF($AE$9&gt;0,'3 pr-2'!AB57,0)</f>
        <v>0</v>
      </c>
      <c r="AD56" s="1342">
        <f>SUM('3 pr-2'!AG57)</f>
        <v>42551</v>
      </c>
      <c r="AE56" s="1342">
        <v>42551</v>
      </c>
      <c r="AF56" s="423">
        <f t="shared" ref="AF56" si="41">IF((YEAR(AD56)-YEAR(AE56))=0,0,YEAR(AD56)-YEAR(AE56))</f>
        <v>0</v>
      </c>
      <c r="AG56" s="445" t="str">
        <f t="shared" si="25"/>
        <v>–</v>
      </c>
    </row>
    <row r="57" spans="1:33" ht="35.25" customHeight="1" thickBot="1" x14ac:dyDescent="0.3">
      <c r="A57" s="326" t="str">
        <f>CONCATENATE('3 pr-2'!A58)</f>
        <v>1.1.1.7</v>
      </c>
      <c r="B57" s="388"/>
      <c r="C57" s="2025" t="str">
        <f>CONCATENATE('3 pr-2'!B58)</f>
        <v>Priemonė:
Savivaldybes jungiančių turizmo trasų ir turizmo maršrutų informacinės infrastruktūros plėtra</v>
      </c>
      <c r="D57" s="2026"/>
      <c r="E57" s="2026"/>
      <c r="F57" s="2026"/>
      <c r="G57" s="2026"/>
      <c r="H57" s="2026"/>
      <c r="I57" s="2026"/>
      <c r="J57" s="2027"/>
      <c r="K57" s="1293">
        <f>SUM(K58:K60)</f>
        <v>496329.5294117647</v>
      </c>
      <c r="L57" s="1526">
        <f t="shared" ref="L57:AC57" si="42">SUM(L58:L60)</f>
        <v>496329.53</v>
      </c>
      <c r="M57" s="1295">
        <f t="shared" ca="1" si="42"/>
        <v>496329.53</v>
      </c>
      <c r="N57" s="1293">
        <f t="shared" si="42"/>
        <v>74449.429411764708</v>
      </c>
      <c r="O57" s="1294">
        <f t="shared" si="42"/>
        <v>74449.429999999993</v>
      </c>
      <c r="P57" s="1527">
        <f t="shared" ca="1" si="42"/>
        <v>74449.429999999993</v>
      </c>
      <c r="Q57" s="1293">
        <f t="shared" si="42"/>
        <v>0</v>
      </c>
      <c r="R57" s="1294">
        <f t="shared" si="42"/>
        <v>0</v>
      </c>
      <c r="S57" s="1527">
        <f t="shared" ca="1" si="42"/>
        <v>0</v>
      </c>
      <c r="T57" s="1293">
        <f t="shared" si="42"/>
        <v>0</v>
      </c>
      <c r="U57" s="1526">
        <f t="shared" si="42"/>
        <v>0</v>
      </c>
      <c r="V57" s="1295">
        <f t="shared" ca="1" si="42"/>
        <v>0</v>
      </c>
      <c r="W57" s="1293">
        <f t="shared" si="42"/>
        <v>0</v>
      </c>
      <c r="X57" s="1294">
        <f t="shared" si="42"/>
        <v>0</v>
      </c>
      <c r="Y57" s="1295">
        <f t="shared" ca="1" si="42"/>
        <v>0</v>
      </c>
      <c r="Z57" s="1293">
        <f t="shared" si="42"/>
        <v>421880.1</v>
      </c>
      <c r="AA57" s="1294">
        <f t="shared" si="42"/>
        <v>421880.1</v>
      </c>
      <c r="AB57" s="1295">
        <f t="shared" ca="1" si="42"/>
        <v>421880.1</v>
      </c>
      <c r="AC57" s="1293">
        <f t="shared" si="42"/>
        <v>0</v>
      </c>
      <c r="AD57" s="1340"/>
      <c r="AE57" s="1341"/>
      <c r="AF57" s="398"/>
      <c r="AG57" s="399"/>
    </row>
    <row r="58" spans="1:33" ht="36.75" x14ac:dyDescent="0.25">
      <c r="A58" s="182" t="str">
        <f>CONCATENATE('3 pr-2'!A59)</f>
        <v>1.1.1.7.1</v>
      </c>
      <c r="B58" s="309" t="s">
        <v>719</v>
      </c>
      <c r="C58" s="182" t="str">
        <f>CONCATENATE('3 pr-2'!B59)</f>
        <v>R01-8821-420000-1171</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82" t="str">
        <f>CONCATENATE('3 pr-2'!J59)</f>
        <v>-</v>
      </c>
      <c r="K58" s="1296">
        <f>IF(AE58&gt;0,'3 pr-2'!L59,0)</f>
        <v>208223.52941176473</v>
      </c>
      <c r="L58" s="1297">
        <f t="shared" si="35"/>
        <v>208223.53</v>
      </c>
      <c r="M58" s="1298">
        <f t="shared" ca="1" si="24"/>
        <v>208223.53</v>
      </c>
      <c r="N58" s="1296">
        <f>IF(AE58&gt;0,'3 pr-2'!O59,0)</f>
        <v>31233.529411764706</v>
      </c>
      <c r="O58" s="1297">
        <v>31233.53</v>
      </c>
      <c r="P58" s="1298">
        <f ca="1">SUM('ketv. 6 '!P58)</f>
        <v>31233.53</v>
      </c>
      <c r="Q58" s="1296">
        <f>IF(AE58&gt;0,'3 pr-2'!R59,0)</f>
        <v>0</v>
      </c>
      <c r="R58" s="1297">
        <v>0</v>
      </c>
      <c r="S58" s="1298">
        <f ca="1">SUM('ketv. 6 '!T58)</f>
        <v>0</v>
      </c>
      <c r="T58" s="1296">
        <f>IF(AE58&gt;0,'3 pr-2'!U59,0)</f>
        <v>0</v>
      </c>
      <c r="U58" s="1297">
        <v>0</v>
      </c>
      <c r="V58" s="1298">
        <f ca="1">SUM('ketv. 6 '!X58)</f>
        <v>0</v>
      </c>
      <c r="W58" s="1296">
        <f>IF(AE58&gt;0,'3 pr-2'!X59,0)</f>
        <v>0</v>
      </c>
      <c r="X58" s="1297">
        <v>0</v>
      </c>
      <c r="Y58" s="1298">
        <f ca="1">SUM('ketv. 6 '!AB58)</f>
        <v>0</v>
      </c>
      <c r="Z58" s="1296">
        <f>IF(AE58&gt;0,'3 pr-2'!AA59,0)</f>
        <v>176990</v>
      </c>
      <c r="AA58" s="1297">
        <v>176990</v>
      </c>
      <c r="AB58" s="1298">
        <f ca="1">SUM('ketv. 6 '!AF58)</f>
        <v>176990</v>
      </c>
      <c r="AC58" s="1296">
        <f>IF($AE$9&gt;0,'3 pr-2'!AB59,0)</f>
        <v>0</v>
      </c>
      <c r="AD58" s="1336">
        <f>SUM('3 pr-2'!AG59)</f>
        <v>42635</v>
      </c>
      <c r="AE58" s="1342">
        <v>42635</v>
      </c>
      <c r="AF58" s="216">
        <f t="shared" ref="AF58:AF59" si="43">IF((YEAR(AD58)-YEAR(AE58))=0,0,YEAR(AD58)-YEAR(AE58))</f>
        <v>0</v>
      </c>
      <c r="AG58" s="445" t="str">
        <f t="shared" si="25"/>
        <v>–</v>
      </c>
    </row>
    <row r="59" spans="1:33" ht="48.75" x14ac:dyDescent="0.25">
      <c r="A59" s="182" t="str">
        <f>CONCATENATE('3 pr-2'!A60)</f>
        <v>1.1.1.7.2</v>
      </c>
      <c r="B59" s="309" t="s">
        <v>718</v>
      </c>
      <c r="C59" s="182" t="str">
        <f>CONCATENATE('3 pr-2'!B60)</f>
        <v>R01-8821-420000-1172</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82" t="str">
        <f>CONCATENATE('3 pr-2'!J60)</f>
        <v>-</v>
      </c>
      <c r="K59" s="1296">
        <f>IF(AE59&gt;0,'3 pr-2'!L60,0)</f>
        <v>288106</v>
      </c>
      <c r="L59" s="1297">
        <f t="shared" si="35"/>
        <v>288106</v>
      </c>
      <c r="M59" s="1298">
        <f t="shared" ca="1" si="24"/>
        <v>288106</v>
      </c>
      <c r="N59" s="1296">
        <f>IF(AE59&gt;0,'3 pr-2'!O60,0)</f>
        <v>43215.9</v>
      </c>
      <c r="O59" s="1297">
        <v>43215.9</v>
      </c>
      <c r="P59" s="1298">
        <f ca="1">SUM('ketv. 6 '!P59)</f>
        <v>43215.9</v>
      </c>
      <c r="Q59" s="1296">
        <f>IF(AE59&gt;0,'3 pr-2'!R60,0)</f>
        <v>0</v>
      </c>
      <c r="R59" s="1297">
        <v>0</v>
      </c>
      <c r="S59" s="1298">
        <f ca="1">SUM('ketv. 6 '!T59)</f>
        <v>0</v>
      </c>
      <c r="T59" s="1296">
        <f>IF(AE59&gt;0,'3 pr-2'!U60,0)</f>
        <v>0</v>
      </c>
      <c r="U59" s="1297">
        <v>0</v>
      </c>
      <c r="V59" s="1298">
        <f ca="1">SUM('ketv. 6 '!X59)</f>
        <v>0</v>
      </c>
      <c r="W59" s="1296">
        <f>IF(AE59&gt;0,'3 pr-2'!X60,0)</f>
        <v>0</v>
      </c>
      <c r="X59" s="1297">
        <v>0</v>
      </c>
      <c r="Y59" s="1298">
        <f ca="1">SUM('ketv. 6 '!AB59)</f>
        <v>0</v>
      </c>
      <c r="Z59" s="1296">
        <f>IF(AE59&gt;0,'3 pr-2'!AA60,0)</f>
        <v>244890.1</v>
      </c>
      <c r="AA59" s="1297">
        <v>244890.1</v>
      </c>
      <c r="AB59" s="1298">
        <f ca="1">SUM('ketv. 6 '!AF59)</f>
        <v>244890.1</v>
      </c>
      <c r="AC59" s="1296">
        <f>IF($AE$9&gt;0,'3 pr-2'!AB60,0)</f>
        <v>0</v>
      </c>
      <c r="AD59" s="1336">
        <f>SUM('3 pr-2'!AG60)</f>
        <v>42635</v>
      </c>
      <c r="AE59" s="1342">
        <v>42635</v>
      </c>
      <c r="AF59" s="216">
        <f t="shared" si="43"/>
        <v>0</v>
      </c>
      <c r="AG59" s="445" t="str">
        <f t="shared" si="25"/>
        <v>–</v>
      </c>
    </row>
    <row r="60" spans="1:33" ht="49.5" thickBot="1" x14ac:dyDescent="0.3">
      <c r="A60" s="182" t="str">
        <f>CONCATENATE('3 pr-2'!A61)</f>
        <v>1.1.1.7.3</v>
      </c>
      <c r="B60" s="309"/>
      <c r="C60" s="182" t="str">
        <f>CONCATENATE('3 pr-2'!B61)</f>
        <v>R01-8821-420000-1173</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82" t="str">
        <f>CONCATENATE('3 pr-2'!J61)</f>
        <v>-</v>
      </c>
      <c r="K60" s="1296">
        <f>IF(AE60&gt;0,'3 pr-2'!L61,0)</f>
        <v>0</v>
      </c>
      <c r="L60" s="1297"/>
      <c r="M60" s="1298">
        <f t="shared" ca="1" si="24"/>
        <v>0</v>
      </c>
      <c r="N60" s="1296">
        <f>IF(AE60&gt;0,'3 pr-2'!O61,0)</f>
        <v>0</v>
      </c>
      <c r="O60" s="1297"/>
      <c r="P60" s="1298">
        <f ca="1">SUM('ketv. 6 '!P60)</f>
        <v>0</v>
      </c>
      <c r="Q60" s="1296">
        <f>IF(AE60&gt;0,'3 pr-2'!R61,0)</f>
        <v>0</v>
      </c>
      <c r="R60" s="1297"/>
      <c r="S60" s="1298">
        <f ca="1">SUM('ketv. 6 '!T60)</f>
        <v>0</v>
      </c>
      <c r="T60" s="1296">
        <f>IF(AE60&gt;0,'3 pr-2'!U61,0)</f>
        <v>0</v>
      </c>
      <c r="U60" s="1297"/>
      <c r="V60" s="1298">
        <f ca="1">SUM('ketv. 6 '!X60)</f>
        <v>0</v>
      </c>
      <c r="W60" s="1296">
        <f>IF(AE60&gt;0,'3 pr-2'!X61,0)</f>
        <v>0</v>
      </c>
      <c r="X60" s="1297"/>
      <c r="Y60" s="1298">
        <f ca="1">SUM('ketv. 6 '!AB60)</f>
        <v>0</v>
      </c>
      <c r="Z60" s="1296">
        <f>IF(AE60&gt;0,'3 pr-2'!AA61,0)</f>
        <v>0</v>
      </c>
      <c r="AA60" s="1297"/>
      <c r="AB60" s="1298">
        <f ca="1">SUM('ketv. 6 '!AF60)</f>
        <v>0</v>
      </c>
      <c r="AC60" s="1296">
        <f>IF($AE$9&gt;0,'3 pr-2'!AB61,0)</f>
        <v>0</v>
      </c>
      <c r="AD60" s="1336">
        <f>SUM('3 pr-2'!AG61)</f>
        <v>43465</v>
      </c>
      <c r="AE60" s="1336"/>
      <c r="AF60" s="216"/>
      <c r="AG60" s="445" t="str">
        <f t="shared" si="25"/>
        <v>–</v>
      </c>
    </row>
    <row r="61" spans="1:33" ht="29.25" customHeight="1" thickBot="1" x14ac:dyDescent="0.3">
      <c r="A61" s="326" t="str">
        <f>CONCATENATE('3 pr-2'!A62)</f>
        <v>1.1.1.8</v>
      </c>
      <c r="B61" s="388"/>
      <c r="C61" s="2025" t="str">
        <f>CONCATENATE('3 pr-2'!B62)</f>
        <v>Priemonė:
Modernizuoti savivaldybių kultūros infrastruktūrą</v>
      </c>
      <c r="D61" s="2026"/>
      <c r="E61" s="2026"/>
      <c r="F61" s="2026"/>
      <c r="G61" s="2026"/>
      <c r="H61" s="2026"/>
      <c r="I61" s="2026"/>
      <c r="J61" s="2027"/>
      <c r="K61" s="1293">
        <f>SUM(K62:K65)</f>
        <v>1972835.5100000002</v>
      </c>
      <c r="L61" s="1526">
        <f t="shared" ref="L61:AC61" si="44">SUM(L62:L65)</f>
        <v>1762005</v>
      </c>
      <c r="M61" s="1295">
        <f t="shared" ca="1" si="44"/>
        <v>1972835.5100000002</v>
      </c>
      <c r="N61" s="1293">
        <f t="shared" si="44"/>
        <v>422270.99</v>
      </c>
      <c r="O61" s="1294">
        <f t="shared" si="44"/>
        <v>211440.18</v>
      </c>
      <c r="P61" s="1527">
        <f t="shared" ca="1" si="44"/>
        <v>422270.99</v>
      </c>
      <c r="Q61" s="1293">
        <f t="shared" si="44"/>
        <v>0</v>
      </c>
      <c r="R61" s="1294">
        <f t="shared" si="44"/>
        <v>352400.82</v>
      </c>
      <c r="S61" s="1527">
        <f t="shared" ca="1" si="44"/>
        <v>0</v>
      </c>
      <c r="T61" s="1293">
        <f t="shared" si="44"/>
        <v>0</v>
      </c>
      <c r="U61" s="1526">
        <f t="shared" si="44"/>
        <v>0</v>
      </c>
      <c r="V61" s="1295">
        <f t="shared" ca="1" si="44"/>
        <v>0</v>
      </c>
      <c r="W61" s="1293">
        <f t="shared" si="44"/>
        <v>352400.82</v>
      </c>
      <c r="X61" s="1294">
        <f t="shared" si="44"/>
        <v>0</v>
      </c>
      <c r="Y61" s="1295">
        <f t="shared" ca="1" si="44"/>
        <v>352400.82</v>
      </c>
      <c r="Z61" s="1293">
        <f t="shared" si="44"/>
        <v>1198163.7</v>
      </c>
      <c r="AA61" s="1294">
        <f t="shared" si="44"/>
        <v>1198164</v>
      </c>
      <c r="AB61" s="1295">
        <f t="shared" ca="1" si="44"/>
        <v>1198163.7</v>
      </c>
      <c r="AC61" s="1293">
        <f t="shared" si="44"/>
        <v>0</v>
      </c>
      <c r="AD61" s="1340"/>
      <c r="AE61" s="1341"/>
      <c r="AF61" s="398"/>
      <c r="AG61" s="399"/>
    </row>
    <row r="62" spans="1:33" ht="48.75" x14ac:dyDescent="0.25">
      <c r="A62" s="182" t="str">
        <f>CONCATENATE('3 pr-2'!A63)</f>
        <v>1.1.1.8.1</v>
      </c>
      <c r="B62" s="309" t="s">
        <v>724</v>
      </c>
      <c r="C62" s="182" t="str">
        <f>CONCATENATE('3 pr-2'!B63)</f>
        <v>R01-3305-330000-1181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82" t="str">
        <f>CONCATENATE('3 pr-2'!J63)</f>
        <v>ITI</v>
      </c>
      <c r="K62" s="1296">
        <f>IF(AE62&gt;0,'3 pr-2'!L63,0)</f>
        <v>352401</v>
      </c>
      <c r="L62" s="1297">
        <f t="shared" ref="L62:L71" si="45">SUM(O62+R62+U62+X62+AA62)</f>
        <v>352401</v>
      </c>
      <c r="M62" s="1298">
        <f t="shared" ca="1" si="24"/>
        <v>352401</v>
      </c>
      <c r="N62" s="1296">
        <f>IF(AE62&gt;0,'3 pr-2'!O63,0)</f>
        <v>52860.15</v>
      </c>
      <c r="O62" s="1297">
        <v>52860</v>
      </c>
      <c r="P62" s="1298">
        <f ca="1">SUM('ketv. 6 '!P62)</f>
        <v>52860.15</v>
      </c>
      <c r="Q62" s="1296">
        <f>IF(AE62&gt;0,'3 pr-2'!R63,0)</f>
        <v>0</v>
      </c>
      <c r="R62" s="1297">
        <v>0</v>
      </c>
      <c r="S62" s="1298">
        <f ca="1">SUM('ketv. 6 '!T62)</f>
        <v>0</v>
      </c>
      <c r="T62" s="1296">
        <f>IF(AE62&gt;0,'3 pr-2'!U63,0)</f>
        <v>0</v>
      </c>
      <c r="U62" s="1297">
        <v>0</v>
      </c>
      <c r="V62" s="1298">
        <f ca="1">SUM('ketv. 6 '!X62)</f>
        <v>0</v>
      </c>
      <c r="W62" s="1296">
        <f>IF(AE62&gt;0,'3 pr-2'!X63,0)</f>
        <v>0</v>
      </c>
      <c r="X62" s="1297">
        <v>0</v>
      </c>
      <c r="Y62" s="1298">
        <f ca="1">SUM('ketv. 6 '!AB62)</f>
        <v>0</v>
      </c>
      <c r="Z62" s="1296">
        <f>IF(AE62&gt;0,'3 pr-2'!AA63,0)</f>
        <v>299540.84999999998</v>
      </c>
      <c r="AA62" s="1297">
        <v>299541</v>
      </c>
      <c r="AB62" s="1298">
        <f ca="1">SUM('ketv. 6 '!AF62)</f>
        <v>299540.84999999998</v>
      </c>
      <c r="AC62" s="1296">
        <f>IF($AE$9&gt;0,'3 pr-2'!AB63,0)</f>
        <v>0</v>
      </c>
      <c r="AD62" s="1336">
        <f>SUM('3 pr-2'!AG63)</f>
        <v>42632</v>
      </c>
      <c r="AE62" s="1344">
        <v>42632</v>
      </c>
      <c r="AF62" s="216">
        <f t="shared" ref="AF62" si="46">IF((YEAR(AD62)-YEAR(AE62))=0,0,YEAR(AD62)-YEAR(AE62))</f>
        <v>0</v>
      </c>
      <c r="AG62" s="445" t="str">
        <f t="shared" si="25"/>
        <v>–</v>
      </c>
    </row>
    <row r="63" spans="1:33" ht="48.75" x14ac:dyDescent="0.25">
      <c r="A63" s="182" t="str">
        <f>CONCATENATE('3 pr-2'!A64)</f>
        <v>1.1.1.8.2</v>
      </c>
      <c r="B63" s="309" t="s">
        <v>725</v>
      </c>
      <c r="C63" s="182" t="str">
        <f>CONCATENATE('3 pr-2'!B64)</f>
        <v>R01-3305-330000-1182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82" t="str">
        <f>CONCATENATE('3 pr-2'!J64)</f>
        <v>ITI</v>
      </c>
      <c r="K63" s="1296">
        <f>IF(AE63&gt;0,'3 pr-2'!L64,0)</f>
        <v>783264.16</v>
      </c>
      <c r="L63" s="1297">
        <f t="shared" si="45"/>
        <v>704802</v>
      </c>
      <c r="M63" s="1298">
        <f t="shared" ca="1" si="24"/>
        <v>783264.16</v>
      </c>
      <c r="N63" s="1296">
        <f>IF(AE63&gt;0,'3 pr-2'!O64,0)</f>
        <v>131322.34</v>
      </c>
      <c r="O63" s="1297">
        <v>52860.18</v>
      </c>
      <c r="P63" s="1298">
        <f ca="1">SUM('ketv. 6 '!P63)</f>
        <v>131322.34</v>
      </c>
      <c r="Q63" s="1296">
        <f>IF(AE63&gt;0,'3 pr-2'!R64,0)</f>
        <v>0</v>
      </c>
      <c r="R63" s="1297">
        <v>352400.82</v>
      </c>
      <c r="S63" s="1298">
        <f ca="1">SUM('ketv. 6 '!T63)</f>
        <v>0</v>
      </c>
      <c r="T63" s="1296">
        <f>IF(AE63&gt;0,'3 pr-2'!U64,0)</f>
        <v>0</v>
      </c>
      <c r="U63" s="1297">
        <v>0</v>
      </c>
      <c r="V63" s="1298">
        <f ca="1">SUM('ketv. 6 '!X63)</f>
        <v>0</v>
      </c>
      <c r="W63" s="1296">
        <f>IF(AE63&gt;0,'3 pr-2'!X64,0)</f>
        <v>352400.82</v>
      </c>
      <c r="X63" s="1297">
        <v>0</v>
      </c>
      <c r="Y63" s="1298">
        <f ca="1">SUM('ketv. 6 '!AB63)</f>
        <v>352400.82</v>
      </c>
      <c r="Z63" s="1296">
        <f>IF(AE63&gt;0,'3 pr-2'!AA64,0)</f>
        <v>299541</v>
      </c>
      <c r="AA63" s="1297">
        <v>299541</v>
      </c>
      <c r="AB63" s="1298">
        <f ca="1">SUM('ketv. 6 '!AF63)</f>
        <v>299541</v>
      </c>
      <c r="AC63" s="1296">
        <f>IF($AE$9&gt;0,'3 pr-2'!AB64,0)</f>
        <v>0</v>
      </c>
      <c r="AD63" s="1336">
        <f>SUM('3 pr-2'!AG64)</f>
        <v>42703</v>
      </c>
      <c r="AE63" s="1344">
        <v>42703</v>
      </c>
      <c r="AF63" s="216">
        <f t="shared" ref="AF63" si="47">IF((YEAR(AD63)-YEAR(AE63))=0,0,YEAR(AD63)-YEAR(AE63))</f>
        <v>0</v>
      </c>
      <c r="AG63" s="445" t="str">
        <f t="shared" si="25"/>
        <v>–</v>
      </c>
    </row>
    <row r="64" spans="1:33" ht="48.75" x14ac:dyDescent="0.25">
      <c r="A64" s="182" t="str">
        <f>CONCATENATE('3 pr-2'!A65)</f>
        <v>1.1.1.8.3</v>
      </c>
      <c r="B64" s="309" t="s">
        <v>726</v>
      </c>
      <c r="C64" s="182" t="str">
        <f>CONCATENATE('3 pr-2'!B65)</f>
        <v>R01-3305-330000-1183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82" t="str">
        <f>CONCATENATE('3 pr-2'!J65)</f>
        <v>ITI</v>
      </c>
      <c r="K64" s="1296">
        <f>IF(AE64&gt;0,'3 pr-2'!L65,0)</f>
        <v>352401</v>
      </c>
      <c r="L64" s="1297">
        <f t="shared" si="45"/>
        <v>352401</v>
      </c>
      <c r="M64" s="1298">
        <f t="shared" ca="1" si="24"/>
        <v>352401</v>
      </c>
      <c r="N64" s="1296">
        <f>IF(AE64&gt;0,'3 pr-2'!O65,0)</f>
        <v>52860.15</v>
      </c>
      <c r="O64" s="1297">
        <v>52860</v>
      </c>
      <c r="P64" s="1298">
        <f ca="1">SUM('ketv. 6 '!P64)</f>
        <v>52860.15</v>
      </c>
      <c r="Q64" s="1296">
        <f>IF(AE64&gt;0,'3 pr-2'!R65,0)</f>
        <v>0</v>
      </c>
      <c r="R64" s="1297">
        <v>0</v>
      </c>
      <c r="S64" s="1298">
        <f ca="1">SUM('ketv. 6 '!T64)</f>
        <v>0</v>
      </c>
      <c r="T64" s="1296">
        <f>IF(AE64&gt;0,'3 pr-2'!U65,0)</f>
        <v>0</v>
      </c>
      <c r="U64" s="1297">
        <v>0</v>
      </c>
      <c r="V64" s="1298">
        <f ca="1">SUM('ketv. 6 '!X64)</f>
        <v>0</v>
      </c>
      <c r="W64" s="1296">
        <f>IF(AE64&gt;0,'3 pr-2'!X65,0)</f>
        <v>0</v>
      </c>
      <c r="X64" s="1297">
        <v>0</v>
      </c>
      <c r="Y64" s="1298">
        <f ca="1">SUM('ketv. 6 '!AB64)</f>
        <v>0</v>
      </c>
      <c r="Z64" s="1296">
        <f>IF(AE64&gt;0,'3 pr-2'!AA65,0)</f>
        <v>299540.84999999998</v>
      </c>
      <c r="AA64" s="1297">
        <v>299541</v>
      </c>
      <c r="AB64" s="1298">
        <f ca="1">SUM('ketv. 6 '!AF64)</f>
        <v>299540.84999999998</v>
      </c>
      <c r="AC64" s="1296">
        <f>IF($AE$9&gt;0,'3 pr-2'!AB65,0)</f>
        <v>0</v>
      </c>
      <c r="AD64" s="1336">
        <f>SUM('3 pr-2'!AG65)</f>
        <v>42703</v>
      </c>
      <c r="AE64" s="1344">
        <v>42703</v>
      </c>
      <c r="AF64" s="216">
        <f t="shared" ref="AF64:AF65" si="48">IF((YEAR(AD64)-YEAR(AE64))=0,0,YEAR(AD64)-YEAR(AE64))</f>
        <v>0</v>
      </c>
      <c r="AG64" s="445" t="str">
        <f t="shared" si="25"/>
        <v>–</v>
      </c>
    </row>
    <row r="65" spans="1:33" ht="49.5" thickBot="1" x14ac:dyDescent="0.3">
      <c r="A65" s="182" t="str">
        <f>CONCATENATE('3 pr-2'!A66)</f>
        <v>1.1.1.8.4</v>
      </c>
      <c r="B65" s="309" t="s">
        <v>1255</v>
      </c>
      <c r="C65" s="182" t="str">
        <f>CONCATENATE('3 pr-2'!B66)</f>
        <v>R01-3305-330200-1184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82" t="str">
        <f>CONCATENATE('3 pr-2'!J66)</f>
        <v>ITI</v>
      </c>
      <c r="K65" s="1296">
        <f>IF(AE65&gt;0,'3 pr-2'!L66,0)</f>
        <v>484769.35</v>
      </c>
      <c r="L65" s="1297">
        <f t="shared" si="45"/>
        <v>352401</v>
      </c>
      <c r="M65" s="1298">
        <f t="shared" ca="1" si="24"/>
        <v>484769.35</v>
      </c>
      <c r="N65" s="1296">
        <f>IF(AE65&gt;0,'3 pr-2'!O66,0)</f>
        <v>185228.35</v>
      </c>
      <c r="O65" s="1297">
        <v>52860</v>
      </c>
      <c r="P65" s="1298">
        <f ca="1">SUM('ketv. 6 '!P65)</f>
        <v>185228.35</v>
      </c>
      <c r="Q65" s="1296">
        <f>IF(AE65&gt;0,'3 pr-2'!R66,0)</f>
        <v>0</v>
      </c>
      <c r="R65" s="1297">
        <v>0</v>
      </c>
      <c r="S65" s="1298">
        <f ca="1">SUM('ketv. 6 '!T65)</f>
        <v>0</v>
      </c>
      <c r="T65" s="1296">
        <f>IF(AE65&gt;0,'3 pr-2'!U66,0)</f>
        <v>0</v>
      </c>
      <c r="U65" s="1297">
        <v>0</v>
      </c>
      <c r="V65" s="1298">
        <f ca="1">SUM('ketv. 6 '!X65)</f>
        <v>0</v>
      </c>
      <c r="W65" s="1296">
        <f>IF(AE65&gt;0,'3 pr-2'!X66,0)</f>
        <v>0</v>
      </c>
      <c r="X65" s="1297">
        <v>0</v>
      </c>
      <c r="Y65" s="1298">
        <f ca="1">SUM('ketv. 6 '!AB65)</f>
        <v>0</v>
      </c>
      <c r="Z65" s="1296">
        <f>IF(AE65&gt;0,'3 pr-2'!AA66,0)</f>
        <v>299541</v>
      </c>
      <c r="AA65" s="1297">
        <v>299541</v>
      </c>
      <c r="AB65" s="1298">
        <f ca="1">SUM('ketv. 6 '!AF65)</f>
        <v>299541</v>
      </c>
      <c r="AC65" s="1296">
        <f>IF($AE$9&gt;0,'3 pr-2'!AB66,0)</f>
        <v>0</v>
      </c>
      <c r="AD65" s="1336">
        <f>SUM('3 pr-2'!AG66)</f>
        <v>42703</v>
      </c>
      <c r="AE65" s="1344">
        <v>42703</v>
      </c>
      <c r="AF65" s="216">
        <f t="shared" si="48"/>
        <v>0</v>
      </c>
      <c r="AG65" s="445" t="str">
        <f t="shared" si="25"/>
        <v>–</v>
      </c>
    </row>
    <row r="66" spans="1:33" ht="34.5" customHeight="1" thickBot="1" x14ac:dyDescent="0.3">
      <c r="A66" s="326" t="str">
        <f>CONCATENATE('3 pr-2'!A67)</f>
        <v>1.1.1.9</v>
      </c>
      <c r="B66" s="388"/>
      <c r="C66" s="2025" t="str">
        <f>CONCATENATE('3 pr-2'!B67)</f>
        <v>Priemonė:
Aktualizuoti savivaldybių kultūros paveldo objektus</v>
      </c>
      <c r="D66" s="2026"/>
      <c r="E66" s="2026"/>
      <c r="F66" s="2026"/>
      <c r="G66" s="2026"/>
      <c r="H66" s="2026"/>
      <c r="I66" s="2026"/>
      <c r="J66" s="2027"/>
      <c r="K66" s="1293">
        <f>SUM(K67:K71)</f>
        <v>1487190.57</v>
      </c>
      <c r="L66" s="1526">
        <f t="shared" ref="L66:AC66" si="49">SUM(L67:L71)</f>
        <v>1437000.72</v>
      </c>
      <c r="M66" s="1295">
        <f t="shared" ca="1" si="49"/>
        <v>1189255.1300000001</v>
      </c>
      <c r="N66" s="1293">
        <f t="shared" si="49"/>
        <v>456910.57</v>
      </c>
      <c r="O66" s="1294">
        <f t="shared" si="49"/>
        <v>406720.72</v>
      </c>
      <c r="P66" s="1527">
        <f t="shared" ca="1" si="49"/>
        <v>397172.41000000003</v>
      </c>
      <c r="Q66" s="1293">
        <f t="shared" si="49"/>
        <v>0</v>
      </c>
      <c r="R66" s="1294">
        <f t="shared" si="49"/>
        <v>0</v>
      </c>
      <c r="S66" s="1527">
        <f t="shared" ca="1" si="49"/>
        <v>0</v>
      </c>
      <c r="T66" s="1293">
        <f t="shared" si="49"/>
        <v>0</v>
      </c>
      <c r="U66" s="1526">
        <f t="shared" si="49"/>
        <v>0</v>
      </c>
      <c r="V66" s="1295">
        <f t="shared" ca="1" si="49"/>
        <v>0</v>
      </c>
      <c r="W66" s="1293">
        <f t="shared" si="49"/>
        <v>0</v>
      </c>
      <c r="X66" s="1294">
        <f t="shared" si="49"/>
        <v>0</v>
      </c>
      <c r="Y66" s="1295">
        <f t="shared" ca="1" si="49"/>
        <v>0</v>
      </c>
      <c r="Z66" s="1293">
        <f t="shared" si="49"/>
        <v>1030280</v>
      </c>
      <c r="AA66" s="1294">
        <f t="shared" si="49"/>
        <v>1030280</v>
      </c>
      <c r="AB66" s="1295">
        <f t="shared" ca="1" si="49"/>
        <v>792082.72</v>
      </c>
      <c r="AC66" s="1293">
        <f t="shared" si="49"/>
        <v>0</v>
      </c>
      <c r="AD66" s="1340"/>
      <c r="AE66" s="1341"/>
      <c r="AF66" s="398"/>
      <c r="AG66" s="399"/>
    </row>
    <row r="67" spans="1:33" ht="48.75" x14ac:dyDescent="0.25">
      <c r="A67" s="182" t="str">
        <f>CONCATENATE('3 pr-2'!A68)</f>
        <v>1.1.1.9.1</v>
      </c>
      <c r="B67" s="309" t="s">
        <v>1621</v>
      </c>
      <c r="C67" s="182" t="str">
        <f>CONCATENATE('3 pr-2'!B68)</f>
        <v>R01-3302-440000-1191</v>
      </c>
      <c r="D67" s="182" t="str">
        <f>CONCATENATE('3 pr-2'!D68)</f>
        <v>Buvusios sinagogos pastato Kauno g. 9A Alytuje rekonstravimas ir aplinkinės teritorijos sutvarkymas</v>
      </c>
      <c r="E67" s="182" t="str">
        <f>CONCATENATE('3 pr-2'!E68)</f>
        <v>Alytaus miesto savivaldybės administracija</v>
      </c>
      <c r="F67" s="182" t="str">
        <f>CONCATENATE('3 pr-2'!F68)</f>
        <v>Lietuvos Respublikos kultūros ministerija</v>
      </c>
      <c r="G67" s="182" t="str">
        <f>CONCATENATE('3 pr-2'!G68)</f>
        <v>Alytaus m. sav.</v>
      </c>
      <c r="H67" s="182" t="str">
        <f>CONCATENATE('3 pr-2'!H68)</f>
        <v>05.4.1-CPVA-R-302</v>
      </c>
      <c r="I67" s="182" t="str">
        <f>CONCATENATE('3 pr-2'!I68)</f>
        <v>R</v>
      </c>
      <c r="J67" s="182" t="str">
        <f>CONCATENATE('3 pr-2'!J68)</f>
        <v>ITI</v>
      </c>
      <c r="K67" s="1296">
        <f>IF(AE67&gt;0,'3 pr-2'!L68,0)</f>
        <v>444560.16000000003</v>
      </c>
      <c r="L67" s="1297">
        <f t="shared" si="45"/>
        <v>449621.72</v>
      </c>
      <c r="M67" s="1298">
        <f t="shared" ca="1" si="24"/>
        <v>444560.16000000003</v>
      </c>
      <c r="N67" s="1296">
        <f>IF(AE67&gt;0,'3 pr-2'!O68,0)</f>
        <v>238504.16</v>
      </c>
      <c r="O67" s="1297">
        <v>243565.72</v>
      </c>
      <c r="P67" s="1298">
        <f ca="1">SUM('ketv. 6 '!P67)</f>
        <v>238504.16</v>
      </c>
      <c r="Q67" s="1296">
        <f>IF(AE67&gt;0,'3 pr-2'!R68,0)</f>
        <v>0</v>
      </c>
      <c r="R67" s="1297">
        <v>0</v>
      </c>
      <c r="S67" s="1298">
        <f ca="1">SUM('ketv. 6 '!T67)</f>
        <v>0</v>
      </c>
      <c r="T67" s="1296">
        <f>IF(AE67&gt;0,'3 pr-2'!U68,0)</f>
        <v>0</v>
      </c>
      <c r="U67" s="1297">
        <v>0</v>
      </c>
      <c r="V67" s="1298">
        <f ca="1">SUM('ketv. 6 '!X67)</f>
        <v>0</v>
      </c>
      <c r="W67" s="1296">
        <f>IF(AE67&gt;0,'3 pr-2'!X68,0)</f>
        <v>0</v>
      </c>
      <c r="X67" s="1297">
        <v>0</v>
      </c>
      <c r="Y67" s="1298">
        <f ca="1">SUM('ketv. 6 '!AB67)</f>
        <v>0</v>
      </c>
      <c r="Z67" s="1296">
        <f>IF(AE67&gt;0,'3 pr-2'!AA68,0)</f>
        <v>206056</v>
      </c>
      <c r="AA67" s="1297">
        <v>206056</v>
      </c>
      <c r="AB67" s="1298">
        <f ca="1">SUM('ketv. 6 '!AF67)</f>
        <v>206056</v>
      </c>
      <c r="AC67" s="1296">
        <f>IF($AE$9&gt;0,'3 pr-2'!AB68,0)</f>
        <v>0</v>
      </c>
      <c r="AD67" s="1336">
        <f>SUM('3 pr-2'!AG68)</f>
        <v>42794</v>
      </c>
      <c r="AE67" s="1342">
        <v>42787</v>
      </c>
      <c r="AF67" s="216">
        <f t="shared" ref="AF67:AF71" si="50">IF((YEAR(AD67)-YEAR(AE67))=0,0,YEAR(AD67)-YEAR(AE67))</f>
        <v>0</v>
      </c>
      <c r="AG67" s="445" t="str">
        <f t="shared" si="25"/>
        <v>–</v>
      </c>
    </row>
    <row r="68" spans="1:33" ht="48.75" x14ac:dyDescent="0.25">
      <c r="A68" s="182" t="str">
        <f>CONCATENATE('3 pr-2'!A69)</f>
        <v>1.1.1.9.2</v>
      </c>
      <c r="B68" s="309" t="s">
        <v>1618</v>
      </c>
      <c r="C68" s="182" t="str">
        <f>CONCATENATE('3 pr-2'!B69)</f>
        <v>R01-3302-440000-1192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96">
        <f>IF(AE68&gt;0,'3 pr-2'!L69,0)</f>
        <v>297670.41000000003</v>
      </c>
      <c r="L68" s="1297">
        <f t="shared" si="45"/>
        <v>242419</v>
      </c>
      <c r="M68" s="1298">
        <f t="shared" ca="1" si="24"/>
        <v>297670.41000000003</v>
      </c>
      <c r="N68" s="1296">
        <f>IF(AE68&gt;0,'3 pr-2'!O69,0)</f>
        <v>91614.41</v>
      </c>
      <c r="O68" s="1297">
        <v>36363</v>
      </c>
      <c r="P68" s="1298">
        <f ca="1">SUM('ketv. 6 '!P68)</f>
        <v>91614.41</v>
      </c>
      <c r="Q68" s="1296">
        <f>IF(AE68&gt;0,'3 pr-2'!R69,0)</f>
        <v>0</v>
      </c>
      <c r="R68" s="1297">
        <v>0</v>
      </c>
      <c r="S68" s="1298">
        <f ca="1">SUM('ketv. 6 '!T68)</f>
        <v>0</v>
      </c>
      <c r="T68" s="1296">
        <f>IF(AE68&gt;0,'3 pr-2'!U69,0)</f>
        <v>0</v>
      </c>
      <c r="U68" s="1297">
        <v>0</v>
      </c>
      <c r="V68" s="1298">
        <f ca="1">SUM('ketv. 6 '!X68)</f>
        <v>0</v>
      </c>
      <c r="W68" s="1296">
        <f>IF(AE68&gt;0,'3 pr-2'!X69,0)</f>
        <v>0</v>
      </c>
      <c r="X68" s="1297">
        <v>0</v>
      </c>
      <c r="Y68" s="1298">
        <f ca="1">SUM('ketv. 6 '!AB68)</f>
        <v>0</v>
      </c>
      <c r="Z68" s="1296">
        <f>IF(AE68&gt;0,'3 pr-2'!AA69,0)</f>
        <v>206056</v>
      </c>
      <c r="AA68" s="1297">
        <v>206056</v>
      </c>
      <c r="AB68" s="1298">
        <f ca="1">SUM('ketv. 6 '!AF68)</f>
        <v>206056</v>
      </c>
      <c r="AC68" s="1296">
        <f>IF($AE$9&gt;0,'3 pr-2'!AB69,0)</f>
        <v>0</v>
      </c>
      <c r="AD68" s="1336">
        <f>SUM('3 pr-2'!AG69)</f>
        <v>42779</v>
      </c>
      <c r="AE68" s="1342">
        <v>42787</v>
      </c>
      <c r="AF68" s="216">
        <f t="shared" si="50"/>
        <v>0</v>
      </c>
      <c r="AG68" s="445">
        <f t="shared" si="25"/>
        <v>-0.26301366980672114</v>
      </c>
    </row>
    <row r="69" spans="1:33" ht="48.75" x14ac:dyDescent="0.25">
      <c r="A69" s="182" t="str">
        <f>CONCATENATE('3 pr-2'!A70)</f>
        <v>1.1.1.9.3</v>
      </c>
      <c r="B69" s="309" t="s">
        <v>1617</v>
      </c>
      <c r="C69" s="182" t="str">
        <f>CONCATENATE('3 pr-2'!B70)</f>
        <v>R01-3302-440200-1193</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96">
        <f>IF(AE69&gt;0,'3 pr-2'!L70,0)</f>
        <v>242419</v>
      </c>
      <c r="L69" s="1297">
        <f t="shared" si="45"/>
        <v>242419</v>
      </c>
      <c r="M69" s="1298">
        <f t="shared" ca="1" si="24"/>
        <v>242419</v>
      </c>
      <c r="N69" s="1296">
        <f>IF(AE69&gt;0,'3 pr-2'!O70,0)</f>
        <v>36363</v>
      </c>
      <c r="O69" s="1297">
        <v>36363</v>
      </c>
      <c r="P69" s="1298">
        <f ca="1">SUM('ketv. 6 '!P69)</f>
        <v>36363</v>
      </c>
      <c r="Q69" s="1296">
        <f>IF(AE69&gt;0,'3 pr-2'!R70,0)</f>
        <v>0</v>
      </c>
      <c r="R69" s="1297">
        <v>0</v>
      </c>
      <c r="S69" s="1298">
        <f ca="1">SUM('ketv. 6 '!T69)</f>
        <v>0</v>
      </c>
      <c r="T69" s="1296">
        <f>IF(AE69&gt;0,'3 pr-2'!U70,0)</f>
        <v>0</v>
      </c>
      <c r="U69" s="1297">
        <v>0</v>
      </c>
      <c r="V69" s="1298">
        <f ca="1">SUM('ketv. 6 '!X69)</f>
        <v>0</v>
      </c>
      <c r="W69" s="1296">
        <f>IF(AE69&gt;0,'3 pr-2'!X70,0)</f>
        <v>0</v>
      </c>
      <c r="X69" s="1297">
        <v>0</v>
      </c>
      <c r="Y69" s="1298">
        <f ca="1">SUM('ketv. 6 '!AB69)</f>
        <v>0</v>
      </c>
      <c r="Z69" s="1296">
        <f>IF(AE69&gt;0,'3 pr-2'!AA70,0)</f>
        <v>206056</v>
      </c>
      <c r="AA69" s="1297">
        <v>206056</v>
      </c>
      <c r="AB69" s="1298">
        <f ca="1">SUM('ketv. 6 '!AF69)</f>
        <v>206056</v>
      </c>
      <c r="AC69" s="1296">
        <f>IF($AE$9&gt;0,'3 pr-2'!AB70,0)</f>
        <v>0</v>
      </c>
      <c r="AD69" s="1336">
        <f>SUM('3 pr-2'!AG70)</f>
        <v>42794</v>
      </c>
      <c r="AE69" s="1342">
        <v>42787</v>
      </c>
      <c r="AF69" s="216">
        <f t="shared" si="50"/>
        <v>0</v>
      </c>
      <c r="AG69" s="445" t="str">
        <f t="shared" si="25"/>
        <v>–</v>
      </c>
    </row>
    <row r="70" spans="1:33" ht="48.75" x14ac:dyDescent="0.25">
      <c r="A70" s="182" t="str">
        <f>CONCATENATE('3 pr-2'!A71)</f>
        <v>1.1.1.9.4</v>
      </c>
      <c r="B70" s="309" t="s">
        <v>1619</v>
      </c>
      <c r="C70" s="182" t="str">
        <f>CONCATENATE('3 pr-2'!B71)</f>
        <v>R01-3302-440000-1194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96">
        <f>IF(AE70&gt;0,'3 pr-2'!L71,0)</f>
        <v>260122</v>
      </c>
      <c r="L70" s="1297">
        <f t="shared" si="45"/>
        <v>260122</v>
      </c>
      <c r="M70" s="1298">
        <f t="shared" ca="1" si="24"/>
        <v>0</v>
      </c>
      <c r="N70" s="1296">
        <f>IF(AE70&gt;0,'3 pr-2'!O71,0)</f>
        <v>54066</v>
      </c>
      <c r="O70" s="1297">
        <v>54066</v>
      </c>
      <c r="P70" s="1298">
        <f ca="1">SUM('ketv. 6 '!P70)</f>
        <v>0</v>
      </c>
      <c r="Q70" s="1296">
        <f>IF(AE70&gt;0,'3 pr-2'!R71,0)</f>
        <v>0</v>
      </c>
      <c r="R70" s="1297">
        <v>0</v>
      </c>
      <c r="S70" s="1298">
        <f ca="1">SUM('ketv. 6 '!T70)</f>
        <v>0</v>
      </c>
      <c r="T70" s="1296">
        <f>IF(AE70&gt;0,'3 pr-2'!U71,0)</f>
        <v>0</v>
      </c>
      <c r="U70" s="1297">
        <v>0</v>
      </c>
      <c r="V70" s="1298">
        <f ca="1">SUM('ketv. 6 '!X70)</f>
        <v>0</v>
      </c>
      <c r="W70" s="1296">
        <f>IF(AE70&gt;0,'3 pr-2'!X71,0)</f>
        <v>0</v>
      </c>
      <c r="X70" s="1297">
        <v>0</v>
      </c>
      <c r="Y70" s="1298">
        <f ca="1">SUM('ketv. 6 '!AB70)</f>
        <v>0</v>
      </c>
      <c r="Z70" s="1296">
        <f>IF(AE70&gt;0,'3 pr-2'!AA71,0)</f>
        <v>206056</v>
      </c>
      <c r="AA70" s="1297">
        <v>206056</v>
      </c>
      <c r="AB70" s="1298">
        <f ca="1">SUM('ketv. 6 '!AF70)</f>
        <v>0</v>
      </c>
      <c r="AC70" s="1296">
        <f>IF($AE$9&gt;0,'3 pr-2'!AB71,0)</f>
        <v>0</v>
      </c>
      <c r="AD70" s="1336">
        <f>SUM('3 pr-2'!AG71)</f>
        <v>42794</v>
      </c>
      <c r="AE70" s="1342">
        <v>42787</v>
      </c>
      <c r="AF70" s="216">
        <f t="shared" si="50"/>
        <v>0</v>
      </c>
      <c r="AG70" s="445" t="str">
        <f t="shared" si="25"/>
        <v>–</v>
      </c>
    </row>
    <row r="71" spans="1:33" ht="49.5" thickBot="1" x14ac:dyDescent="0.3">
      <c r="A71" s="182" t="str">
        <f>CONCATENATE('3 pr-2'!A72)</f>
        <v>1.1.1.9.5</v>
      </c>
      <c r="B71" s="309" t="s">
        <v>1620</v>
      </c>
      <c r="C71" s="182" t="str">
        <f>CONCATENATE('3 pr-2'!B72)</f>
        <v>R01-3302-440000-1195</v>
      </c>
      <c r="D71" s="182" t="str">
        <f>CONCATENATE('3 pr-2'!D72)</f>
        <v>Vinco Krėvės-Mickevičiaus memorialinio muziejaus atnaujinimas</v>
      </c>
      <c r="E71" s="182" t="str">
        <f>CONCATENATE('3 pr-2'!E72)</f>
        <v>Varėnos rajono savivaldybės administracija</v>
      </c>
      <c r="F71" s="182" t="str">
        <f>CONCATENATE('3 pr-2'!F72)</f>
        <v>Lietuvos Respublikos kultūros ministerija</v>
      </c>
      <c r="G71" s="182" t="str">
        <f>CONCATENATE('3 pr-2'!G72)</f>
        <v>Varėnos r. sav.</v>
      </c>
      <c r="H71" s="182" t="str">
        <f>CONCATENATE('3 pr-2'!H72)</f>
        <v>05.4.1-CPVA-R-302</v>
      </c>
      <c r="I71" s="182" t="str">
        <f>CONCATENATE('3 pr-2'!I72)</f>
        <v>R</v>
      </c>
      <c r="J71" s="182" t="str">
        <f>CONCATENATE('3 pr-2'!J72)</f>
        <v>-</v>
      </c>
      <c r="K71" s="1296">
        <f>IF(AE71&gt;0,'3 pr-2'!L72,0)</f>
        <v>242419</v>
      </c>
      <c r="L71" s="1297">
        <f t="shared" si="45"/>
        <v>242419</v>
      </c>
      <c r="M71" s="1298">
        <f t="shared" ca="1" si="24"/>
        <v>204605.56</v>
      </c>
      <c r="N71" s="1296">
        <f>IF(AE71&gt;0,'3 pr-2'!O72,0)</f>
        <v>36363</v>
      </c>
      <c r="O71" s="1297">
        <v>36363</v>
      </c>
      <c r="P71" s="1298">
        <f ca="1">SUM('ketv. 6 '!P71)</f>
        <v>30690.84</v>
      </c>
      <c r="Q71" s="1296">
        <f>IF(AE71&gt;0,'3 pr-2'!R72,0)</f>
        <v>0</v>
      </c>
      <c r="R71" s="1297">
        <v>0</v>
      </c>
      <c r="S71" s="1298">
        <f ca="1">SUM('ketv. 6 '!T71)</f>
        <v>0</v>
      </c>
      <c r="T71" s="1296">
        <f>IF(AE71&gt;0,'3 pr-2'!U72,0)</f>
        <v>0</v>
      </c>
      <c r="U71" s="1297">
        <v>0</v>
      </c>
      <c r="V71" s="1298">
        <f ca="1">SUM('ketv. 6 '!X71)</f>
        <v>0</v>
      </c>
      <c r="W71" s="1296">
        <f>IF(AE71&gt;0,'3 pr-2'!X72,0)</f>
        <v>0</v>
      </c>
      <c r="X71" s="1297">
        <v>0</v>
      </c>
      <c r="Y71" s="1298">
        <f ca="1">SUM('ketv. 6 '!AB71)</f>
        <v>0</v>
      </c>
      <c r="Z71" s="1296">
        <f>IF(AE71&gt;0,'3 pr-2'!AA72,0)</f>
        <v>206056</v>
      </c>
      <c r="AA71" s="1297">
        <v>206056</v>
      </c>
      <c r="AB71" s="1298">
        <f ca="1">SUM('ketv. 6 '!AF71)</f>
        <v>173914.72</v>
      </c>
      <c r="AC71" s="1296">
        <f>IF($AE$9&gt;0,'3 pr-2'!AB72,0)</f>
        <v>0</v>
      </c>
      <c r="AD71" s="1336">
        <f>SUM('3 pr-2'!AG72)</f>
        <v>42794</v>
      </c>
      <c r="AE71" s="1342">
        <v>42787</v>
      </c>
      <c r="AF71" s="216">
        <f t="shared" si="50"/>
        <v>0</v>
      </c>
      <c r="AG71" s="445" t="str">
        <f t="shared" si="25"/>
        <v>–</v>
      </c>
    </row>
    <row r="72" spans="1:33" ht="39.75" customHeight="1" thickBot="1" x14ac:dyDescent="0.3">
      <c r="A72" s="261" t="str">
        <f>CONCATENATE('3 pr-2'!A73)</f>
        <v>1.1.2.</v>
      </c>
      <c r="B72" s="407"/>
      <c r="C72" s="2022" t="str">
        <f>CONCATENATE('3 pr-2'!B73)</f>
        <v>Uždavinys:
Pagerinti darbo jėgos judėjimo galimybes gerinant susisiekimo sistemas</v>
      </c>
      <c r="D72" s="2023"/>
      <c r="E72" s="2023"/>
      <c r="F72" s="2023"/>
      <c r="G72" s="2023"/>
      <c r="H72" s="2023"/>
      <c r="I72" s="2023"/>
      <c r="J72" s="2024"/>
      <c r="K72" s="1420">
        <f t="shared" ref="K72:AB72" si="51">SUM(K73+K78+K85+K91)</f>
        <v>7652191.620000001</v>
      </c>
      <c r="L72" s="1528">
        <f t="shared" si="51"/>
        <v>7661145.2000000002</v>
      </c>
      <c r="M72" s="1524">
        <f t="shared" ca="1" si="51"/>
        <v>3222419.09</v>
      </c>
      <c r="N72" s="1420">
        <f t="shared" si="51"/>
        <v>2144477.3899999997</v>
      </c>
      <c r="O72" s="1528">
        <f t="shared" si="51"/>
        <v>2220526.89</v>
      </c>
      <c r="P72" s="1524">
        <f t="shared" ca="1" si="51"/>
        <v>459809.1</v>
      </c>
      <c r="Q72" s="1420">
        <f t="shared" si="51"/>
        <v>0</v>
      </c>
      <c r="R72" s="1528">
        <f t="shared" si="51"/>
        <v>0</v>
      </c>
      <c r="S72" s="1524">
        <f t="shared" ca="1" si="51"/>
        <v>0</v>
      </c>
      <c r="T72" s="1420">
        <f t="shared" si="51"/>
        <v>422692</v>
      </c>
      <c r="U72" s="1528">
        <f t="shared" si="51"/>
        <v>508611.95</v>
      </c>
      <c r="V72" s="1524">
        <f t="shared" ca="1" si="51"/>
        <v>0</v>
      </c>
      <c r="W72" s="1420">
        <f t="shared" si="51"/>
        <v>62660</v>
      </c>
      <c r="X72" s="1529">
        <f t="shared" si="51"/>
        <v>62660</v>
      </c>
      <c r="Y72" s="1485">
        <f t="shared" ca="1" si="51"/>
        <v>62660</v>
      </c>
      <c r="Z72" s="1420">
        <f t="shared" si="51"/>
        <v>5022362.2300000004</v>
      </c>
      <c r="AA72" s="1528">
        <f t="shared" si="51"/>
        <v>4869346.3600000003</v>
      </c>
      <c r="AB72" s="1524">
        <f t="shared" ca="1" si="51"/>
        <v>2699949.99</v>
      </c>
      <c r="AC72" s="1420">
        <f t="shared" ref="AC72" si="52">SUM(AC73+AC78+AC85+AC91)</f>
        <v>0</v>
      </c>
      <c r="AD72" s="1338"/>
      <c r="AE72" s="1339"/>
      <c r="AF72" s="408"/>
      <c r="AG72" s="239"/>
    </row>
    <row r="73" spans="1:33" ht="37.5" customHeight="1" thickBot="1" x14ac:dyDescent="0.3">
      <c r="A73" s="326" t="str">
        <f>CONCATENATE('3 pr-2'!A74)</f>
        <v>1.1.2.1</v>
      </c>
      <c r="B73" s="388"/>
      <c r="C73" s="2025" t="str">
        <f>CONCATENATE('3 pr-2'!B74)</f>
        <v>Priemonė:
Vietinio susisiekimo viešojo transporto priemonių parko atnaujinimas</v>
      </c>
      <c r="D73" s="2026"/>
      <c r="E73" s="2026"/>
      <c r="F73" s="2026"/>
      <c r="G73" s="2026"/>
      <c r="H73" s="2026"/>
      <c r="I73" s="2026"/>
      <c r="J73" s="2027"/>
      <c r="K73" s="1293">
        <f>SUM(K74:K77)</f>
        <v>1429119</v>
      </c>
      <c r="L73" s="1526">
        <f t="shared" ref="L73:AA73" si="53">SUM(L74:L77)</f>
        <v>1599686.45</v>
      </c>
      <c r="M73" s="1295">
        <f t="shared" ca="1" si="53"/>
        <v>0</v>
      </c>
      <c r="N73" s="1293">
        <f t="shared" si="53"/>
        <v>88332</v>
      </c>
      <c r="O73" s="1294">
        <f t="shared" si="53"/>
        <v>172980.5</v>
      </c>
      <c r="P73" s="1527">
        <f t="shared" ca="1" si="53"/>
        <v>0</v>
      </c>
      <c r="Q73" s="1293">
        <f t="shared" si="53"/>
        <v>0</v>
      </c>
      <c r="R73" s="1294">
        <f t="shared" si="53"/>
        <v>0</v>
      </c>
      <c r="S73" s="1298">
        <f ca="1">SUM('ketv. 6 '!T73)</f>
        <v>0</v>
      </c>
      <c r="T73" s="1293">
        <f t="shared" si="53"/>
        <v>422692</v>
      </c>
      <c r="U73" s="1526">
        <f t="shared" si="53"/>
        <v>508611.95</v>
      </c>
      <c r="V73" s="1295">
        <f t="shared" ca="1" si="53"/>
        <v>0</v>
      </c>
      <c r="W73" s="1293">
        <f t="shared" si="53"/>
        <v>0</v>
      </c>
      <c r="X73" s="1294">
        <f t="shared" si="53"/>
        <v>0</v>
      </c>
      <c r="Y73" s="1295">
        <f t="shared" ca="1" si="53"/>
        <v>0</v>
      </c>
      <c r="Z73" s="1293">
        <f t="shared" si="53"/>
        <v>918095</v>
      </c>
      <c r="AA73" s="1294">
        <f t="shared" si="53"/>
        <v>918094</v>
      </c>
      <c r="AB73" s="1295">
        <f ca="1">SUM(AB74:AB77)</f>
        <v>0</v>
      </c>
      <c r="AC73" s="1293">
        <f t="shared" ref="AC73" si="54">SUM(AC74:AC77)</f>
        <v>0</v>
      </c>
      <c r="AD73" s="1340"/>
      <c r="AE73" s="1341"/>
      <c r="AF73" s="398"/>
      <c r="AG73" s="399"/>
    </row>
    <row r="74" spans="1:33" ht="48.75" x14ac:dyDescent="0.25">
      <c r="A74" s="182" t="str">
        <f>CONCATENATE('3 pr-2'!A75)</f>
        <v>1.1.2.1.1</v>
      </c>
      <c r="B74" s="309"/>
      <c r="C74" s="182" t="str">
        <f>CONCATENATE('3 pr-2'!B75)</f>
        <v>R01-5518-100000-1211</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96">
        <f>IF(AE74&gt;0,'3 pr-2'!L75,0)</f>
        <v>0</v>
      </c>
      <c r="L74" s="1297">
        <f t="shared" ref="L74:L97" si="55">SUM(O74+R74+U74+X74+AA74)</f>
        <v>0</v>
      </c>
      <c r="M74" s="1298">
        <f ca="1">SUM(P74+S74+V74+Y74+AB74)</f>
        <v>0</v>
      </c>
      <c r="N74" s="1296">
        <f>IF(AE74&gt;0,'3 pr-2'!O75,0)</f>
        <v>0</v>
      </c>
      <c r="O74" s="1297"/>
      <c r="P74" s="1298">
        <f ca="1">SUM('ketv. 6 '!P74)</f>
        <v>0</v>
      </c>
      <c r="Q74" s="1296">
        <f>IF(AE74&gt;0,'3 pr-2'!R75,0)</f>
        <v>0</v>
      </c>
      <c r="R74" s="1297"/>
      <c r="S74" s="1298">
        <f ca="1">SUM('ketv. 6 '!T74)</f>
        <v>0</v>
      </c>
      <c r="T74" s="1296">
        <f>IF(AE74&gt;0,'3 pr-2'!U75,0)</f>
        <v>0</v>
      </c>
      <c r="U74" s="1297"/>
      <c r="V74" s="1298">
        <f ca="1">SUM('ketv. 6 '!X74)</f>
        <v>0</v>
      </c>
      <c r="W74" s="1296">
        <f>IF(AE74&gt;0,'3 pr-2'!X75,0)</f>
        <v>0</v>
      </c>
      <c r="X74" s="1297"/>
      <c r="Y74" s="1298">
        <f ca="1">SUM('ketv. 6 '!AB74)</f>
        <v>0</v>
      </c>
      <c r="Z74" s="1296">
        <f>IF(AE74&gt;0,'3 pr-2'!AA75,0)</f>
        <v>0</v>
      </c>
      <c r="AA74" s="1297"/>
      <c r="AB74" s="1298">
        <f ca="1">SUM('ketv. 6 '!AF74)</f>
        <v>0</v>
      </c>
      <c r="AC74" s="1296">
        <f>IF($AE$9&gt;0,'3 pr-2'!AB75,0)</f>
        <v>0</v>
      </c>
      <c r="AD74" s="1336">
        <f>SUM('3 pr-2'!AG75)</f>
        <v>43465</v>
      </c>
      <c r="AE74" s="1336"/>
      <c r="AF74" s="182"/>
      <c r="AG74" s="445" t="str">
        <f t="shared" ref="AG74:AG97" si="56">IF(AD74-AE74&lt;0,(AD74-AE74)/30.41667,"–")</f>
        <v>–</v>
      </c>
    </row>
    <row r="75" spans="1:33" ht="48.75" x14ac:dyDescent="0.25">
      <c r="A75" s="182" t="str">
        <f>CONCATENATE('3 pr-2'!A76)</f>
        <v>1.1.2.1.2</v>
      </c>
      <c r="B75" s="309"/>
      <c r="C75" s="182" t="str">
        <f>CONCATENATE('3 pr-2'!B76)</f>
        <v>R01-5518-100000-1212</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96">
        <f>IF(AE75&gt;0,'3 pr-2'!L76,0)</f>
        <v>326175</v>
      </c>
      <c r="L75" s="1297">
        <f t="shared" si="55"/>
        <v>496947</v>
      </c>
      <c r="M75" s="1298">
        <f t="shared" ref="M75:M76" ca="1" si="57">SUM(P75+S75+V75+Y75+AB75)</f>
        <v>0</v>
      </c>
      <c r="N75" s="1296">
        <f>IF(AE75&gt;0,'3 pr-2'!O76,0)</f>
        <v>48926</v>
      </c>
      <c r="O75" s="1297">
        <v>133574.5</v>
      </c>
      <c r="P75" s="1298">
        <f ca="1">SUM('ketv. 6 '!P75)</f>
        <v>0</v>
      </c>
      <c r="Q75" s="1296">
        <f>IF(AE75&gt;0,'3 pr-2'!R76,0)</f>
        <v>0</v>
      </c>
      <c r="R75" s="1297">
        <v>0</v>
      </c>
      <c r="S75" s="1298">
        <f ca="1">SUM('ketv. 6 '!T75)</f>
        <v>0</v>
      </c>
      <c r="T75" s="1296">
        <f>IF(AE75&gt;0,'3 pr-2'!U76,0)</f>
        <v>0</v>
      </c>
      <c r="U75" s="1297">
        <v>86123.5</v>
      </c>
      <c r="V75" s="1298">
        <f ca="1">SUM('ketv. 6 '!X75)</f>
        <v>0</v>
      </c>
      <c r="W75" s="1296">
        <f>IF(AE75&gt;0,'3 pr-2'!X76,0)</f>
        <v>0</v>
      </c>
      <c r="X75" s="1297">
        <v>0</v>
      </c>
      <c r="Y75" s="1298">
        <f ca="1">SUM('ketv. 6 '!AB75)</f>
        <v>0</v>
      </c>
      <c r="Z75" s="1296">
        <f>IF(AE75&gt;0,'3 pr-2'!AA76,0)</f>
        <v>277249</v>
      </c>
      <c r="AA75" s="1297">
        <v>277249</v>
      </c>
      <c r="AB75" s="1298">
        <f ca="1">SUM('ketv. 6 '!AF75)</f>
        <v>0</v>
      </c>
      <c r="AC75" s="1296">
        <f>IF($AE$9&gt;0,'3 pr-2'!AB76,0)</f>
        <v>0</v>
      </c>
      <c r="AD75" s="1336">
        <f>SUM('3 pr-2'!AG76)</f>
        <v>43281</v>
      </c>
      <c r="AE75" s="1336">
        <v>42944</v>
      </c>
      <c r="AF75" s="182"/>
      <c r="AG75" s="445" t="str">
        <f t="shared" si="56"/>
        <v>–</v>
      </c>
    </row>
    <row r="76" spans="1:33" ht="48.75" x14ac:dyDescent="0.25">
      <c r="A76" s="182" t="str">
        <f>CONCATENATE('3 pr-2'!A77)</f>
        <v>1.1.2.1.3</v>
      </c>
      <c r="B76" s="309" t="s">
        <v>1679</v>
      </c>
      <c r="C76" s="182" t="str">
        <f>CONCATENATE('3 pr-2'!B77)</f>
        <v>R01-5518-100000-1213</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96">
        <f>IF(AE76&gt;0,'3 pr-2'!L77,0)</f>
        <v>840240</v>
      </c>
      <c r="L76" s="1297">
        <f t="shared" si="55"/>
        <v>840036.45</v>
      </c>
      <c r="M76" s="1298">
        <f t="shared" ca="1" si="57"/>
        <v>0</v>
      </c>
      <c r="N76" s="1296">
        <f>IF(AE76&gt;0,'3 pr-2'!O77,0)</f>
        <v>0</v>
      </c>
      <c r="O76" s="1297">
        <v>0</v>
      </c>
      <c r="P76" s="1298">
        <f ca="1">SUM('ketv. 6 '!P76)</f>
        <v>0</v>
      </c>
      <c r="Q76" s="1296">
        <f>IF(AE76&gt;0,'3 pr-2'!R77,0)</f>
        <v>0</v>
      </c>
      <c r="R76" s="1297">
        <v>0</v>
      </c>
      <c r="S76" s="1298">
        <f ca="1">SUM('ketv. 6 '!T76)</f>
        <v>0</v>
      </c>
      <c r="T76" s="1296">
        <f>IF(AE76&gt;0,'3 pr-2'!U77,0)</f>
        <v>422692</v>
      </c>
      <c r="U76" s="1297">
        <v>422488.45</v>
      </c>
      <c r="V76" s="1298">
        <f ca="1">SUM('ketv. 6 '!X76)</f>
        <v>0</v>
      </c>
      <c r="W76" s="1296">
        <f>IF(AE76&gt;0,'3 pr-2'!X77,0)</f>
        <v>0</v>
      </c>
      <c r="X76" s="1297">
        <v>0</v>
      </c>
      <c r="Y76" s="1298">
        <f ca="1">SUM('ketv. 6 '!AB76)</f>
        <v>0</v>
      </c>
      <c r="Z76" s="1296">
        <f>IF(AE76&gt;0,'3 pr-2'!AA77,0)</f>
        <v>417548</v>
      </c>
      <c r="AA76" s="1297">
        <v>417548</v>
      </c>
      <c r="AB76" s="1298">
        <f ca="1">SUM('ketv. 6 '!AF76)</f>
        <v>0</v>
      </c>
      <c r="AC76" s="1296">
        <f>IF($AE$9&gt;0,'3 pr-2'!AB77,0)</f>
        <v>0</v>
      </c>
      <c r="AD76" s="1336">
        <f>SUM('3 pr-2'!AG77)</f>
        <v>42978</v>
      </c>
      <c r="AE76" s="1336">
        <v>42944</v>
      </c>
      <c r="AF76" s="182"/>
      <c r="AG76" s="445" t="str">
        <f t="shared" si="56"/>
        <v>–</v>
      </c>
    </row>
    <row r="77" spans="1:33" ht="49.5" thickBot="1" x14ac:dyDescent="0.3">
      <c r="A77" s="182" t="str">
        <f>CONCATENATE('3 pr-2'!A78)</f>
        <v>1.1.2.1.4</v>
      </c>
      <c r="B77" s="309" t="s">
        <v>1678</v>
      </c>
      <c r="C77" s="182" t="str">
        <f>CONCATENATE('3 pr-2'!B78)</f>
        <v>R01-5518-100000-1214</v>
      </c>
      <c r="D77" s="182"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96">
        <f>IF(AE77&gt;0,'3 pr-2'!L78,0)</f>
        <v>262704</v>
      </c>
      <c r="L77" s="1297">
        <f t="shared" si="55"/>
        <v>262703</v>
      </c>
      <c r="M77" s="1298">
        <f ca="1">SUM(P77+S77+V77+Y77+AB77)</f>
        <v>0</v>
      </c>
      <c r="N77" s="1296">
        <f>IF(AE77&gt;0,'3 pr-2'!O78,0)</f>
        <v>39406</v>
      </c>
      <c r="O77" s="1297">
        <v>39406</v>
      </c>
      <c r="P77" s="1298">
        <f ca="1">SUM('ketv. 6 '!P77)</f>
        <v>0</v>
      </c>
      <c r="Q77" s="1296">
        <f>IF(AE77&gt;0,'3 pr-2'!R78,0)</f>
        <v>0</v>
      </c>
      <c r="R77" s="1297">
        <v>0</v>
      </c>
      <c r="S77" s="1298">
        <f ca="1">SUM('ketv. 6 '!T77)</f>
        <v>0</v>
      </c>
      <c r="T77" s="1296">
        <f>IF(AE77&gt;0,'3 pr-2'!U78,0)</f>
        <v>0</v>
      </c>
      <c r="U77" s="1297">
        <v>0</v>
      </c>
      <c r="V77" s="1298">
        <f ca="1">SUM('ketv. 6 '!X77)</f>
        <v>0</v>
      </c>
      <c r="W77" s="1296">
        <f>IF(AE77&gt;0,'3 pr-2'!X78,0)</f>
        <v>0</v>
      </c>
      <c r="X77" s="1297">
        <v>0</v>
      </c>
      <c r="Y77" s="1298">
        <f ca="1">SUM('ketv. 6 '!AB77)</f>
        <v>0</v>
      </c>
      <c r="Z77" s="1296">
        <f>IF(AE77&gt;0,'3 pr-2'!AA78,0)</f>
        <v>223298</v>
      </c>
      <c r="AA77" s="1297">
        <v>223297</v>
      </c>
      <c r="AB77" s="1298">
        <f ca="1">SUM('ketv. 6 '!AF77)</f>
        <v>0</v>
      </c>
      <c r="AC77" s="1296">
        <f>IF($AE$9&gt;0,'3 pr-2'!AB78,0)</f>
        <v>0</v>
      </c>
      <c r="AD77" s="1336">
        <f>SUM('3 pr-2'!AG78)</f>
        <v>42978</v>
      </c>
      <c r="AE77" s="1336">
        <v>42944</v>
      </c>
      <c r="AF77" s="182"/>
      <c r="AG77" s="445" t="str">
        <f t="shared" si="56"/>
        <v>–</v>
      </c>
    </row>
    <row r="78" spans="1:33" ht="36" customHeight="1" thickBot="1" x14ac:dyDescent="0.3">
      <c r="A78" s="326" t="str">
        <f>CONCATENATE('3 pr-2'!A79)</f>
        <v>1.1.2.2</v>
      </c>
      <c r="B78" s="388"/>
      <c r="C78" s="2025" t="str">
        <f>CONCATENATE('3 pr-2'!B79)</f>
        <v>Priemonė:
Darnaus judumo priemonių diegimas</v>
      </c>
      <c r="D78" s="2026"/>
      <c r="E78" s="2026"/>
      <c r="F78" s="2026"/>
      <c r="G78" s="2026"/>
      <c r="H78" s="2026"/>
      <c r="I78" s="2026"/>
      <c r="J78" s="2027"/>
      <c r="K78" s="1293">
        <f t="shared" ref="K78:AC78" si="58">SUM(K79:K84)</f>
        <v>751474.24</v>
      </c>
      <c r="L78" s="1526">
        <f t="shared" si="58"/>
        <v>700836.24</v>
      </c>
      <c r="M78" s="1295">
        <f t="shared" ca="1" si="58"/>
        <v>50638</v>
      </c>
      <c r="N78" s="1293">
        <f t="shared" si="58"/>
        <v>112721.14</v>
      </c>
      <c r="O78" s="1294">
        <f t="shared" si="58"/>
        <v>105125.44</v>
      </c>
      <c r="P78" s="1527">
        <f t="shared" ca="1" si="58"/>
        <v>7595.7000000000007</v>
      </c>
      <c r="Q78" s="1293">
        <f t="shared" si="58"/>
        <v>0</v>
      </c>
      <c r="R78" s="1294">
        <f t="shared" si="58"/>
        <v>0</v>
      </c>
      <c r="S78" s="1298">
        <f t="shared" ca="1" si="58"/>
        <v>0</v>
      </c>
      <c r="T78" s="1293">
        <f t="shared" si="58"/>
        <v>0</v>
      </c>
      <c r="U78" s="1526">
        <f t="shared" si="58"/>
        <v>0</v>
      </c>
      <c r="V78" s="1295">
        <f t="shared" ca="1" si="58"/>
        <v>0</v>
      </c>
      <c r="W78" s="1293">
        <f t="shared" si="58"/>
        <v>0</v>
      </c>
      <c r="X78" s="1294">
        <f t="shared" si="58"/>
        <v>0</v>
      </c>
      <c r="Y78" s="1295">
        <f t="shared" ca="1" si="58"/>
        <v>0</v>
      </c>
      <c r="Z78" s="1293">
        <f t="shared" si="58"/>
        <v>638753.1</v>
      </c>
      <c r="AA78" s="1294">
        <f t="shared" si="58"/>
        <v>595710.80000000005</v>
      </c>
      <c r="AB78" s="1295">
        <f t="shared" ca="1" si="58"/>
        <v>43042.3</v>
      </c>
      <c r="AC78" s="1293">
        <f t="shared" si="58"/>
        <v>0</v>
      </c>
      <c r="AD78" s="1340"/>
      <c r="AE78" s="1341"/>
      <c r="AF78" s="398"/>
      <c r="AG78" s="399"/>
    </row>
    <row r="79" spans="1:33" ht="48.75" x14ac:dyDescent="0.25">
      <c r="A79" s="182" t="str">
        <f>CONCATENATE('3 pr-2'!A80)</f>
        <v>1.1.2.2.1</v>
      </c>
      <c r="B79" s="309"/>
      <c r="C79" s="182" t="str">
        <f>CONCATENATE('3 pr-2'!B80)</f>
        <v>R01-5514-190000-1221</v>
      </c>
      <c r="D79" s="182" t="str">
        <f>CONCATENATE('3 pr-2'!D80)</f>
        <v>Darnaus judumo priemonių diegimas Alytaus mieste</v>
      </c>
      <c r="E79" s="182" t="str">
        <f>CONCATENATE('3 pr-2'!E80)</f>
        <v>Alytaus miesto savivaldybės administracija</v>
      </c>
      <c r="F79" s="182" t="str">
        <f>CONCATENATE('3 pr-2'!F80)</f>
        <v>Lietuvos Respublikos susisiekimo ministerija</v>
      </c>
      <c r="G79" s="182" t="str">
        <f>CONCATENATE('3 pr-2'!G80)</f>
        <v>Alytaus m. sav.</v>
      </c>
      <c r="H79" s="182" t="str">
        <f>CONCATENATE('3 pr-2'!H80)</f>
        <v>04.5.1.-TID-R-514</v>
      </c>
      <c r="I79" s="182" t="str">
        <f>CONCATENATE('3 pr-2'!I80)</f>
        <v>R</v>
      </c>
      <c r="J79" s="182" t="str">
        <f>CONCATENATE('3 pr-2'!J80)</f>
        <v>ITI</v>
      </c>
      <c r="K79" s="1296">
        <f>IF(AE79&gt;0,'3 pr-2'!L80,0)</f>
        <v>0</v>
      </c>
      <c r="L79" s="1297">
        <f t="shared" si="55"/>
        <v>0</v>
      </c>
      <c r="M79" s="1298">
        <f t="shared" ref="M79:M98" ca="1" si="59">SUM(P79+S79+V79+Y79+AB79)</f>
        <v>0</v>
      </c>
      <c r="N79" s="1296">
        <f>IF(AE79&gt;0,'3 pr-2'!O80,0)</f>
        <v>0</v>
      </c>
      <c r="O79" s="1297"/>
      <c r="P79" s="1298">
        <f ca="1">SUM('ketv. 6 '!P79)</f>
        <v>0</v>
      </c>
      <c r="Q79" s="1296">
        <f>IF(AE79&gt;0,'3 pr-2'!R80,0)</f>
        <v>0</v>
      </c>
      <c r="R79" s="1297"/>
      <c r="S79" s="1298">
        <f ca="1">SUM('ketv. 6 '!T79)</f>
        <v>0</v>
      </c>
      <c r="T79" s="1296">
        <f>IF(AE79&gt;0,'3 pr-2'!U80,0)</f>
        <v>0</v>
      </c>
      <c r="U79" s="1297"/>
      <c r="V79" s="1298">
        <f ca="1">SUM('ketv. 6 '!X79)</f>
        <v>0</v>
      </c>
      <c r="W79" s="1296">
        <f>IF(AE79&gt;0,'3 pr-2'!X80,0)</f>
        <v>0</v>
      </c>
      <c r="X79" s="1297"/>
      <c r="Y79" s="1298">
        <f ca="1">SUM('ketv. 6 '!AB79)</f>
        <v>0</v>
      </c>
      <c r="Z79" s="1296">
        <f>IF(AE79&gt;0,'3 pr-2'!AA80,0)</f>
        <v>0</v>
      </c>
      <c r="AA79" s="1297"/>
      <c r="AB79" s="1298">
        <f ca="1">SUM('ketv. 6 '!AF79)</f>
        <v>0</v>
      </c>
      <c r="AC79" s="1296">
        <f>IF($AE$9&gt;0,'3 pr-2'!AB80,0)</f>
        <v>0</v>
      </c>
      <c r="AD79" s="1336">
        <f>SUM('3 pr-2'!AG80)</f>
        <v>43388</v>
      </c>
      <c r="AE79" s="1345"/>
      <c r="AF79" s="232"/>
      <c r="AG79" s="445" t="str">
        <f t="shared" si="56"/>
        <v>–</v>
      </c>
    </row>
    <row r="80" spans="1:33" ht="48.75" x14ac:dyDescent="0.25">
      <c r="A80" s="182" t="str">
        <f>CONCATENATE('3 pr-2'!A81)</f>
        <v>1.1.2.2.2</v>
      </c>
      <c r="B80" s="309" t="s">
        <v>728</v>
      </c>
      <c r="C80" s="182" t="str">
        <f>CONCATENATE('3 pr-2'!B81)</f>
        <v>R01-5514-190000-1222</v>
      </c>
      <c r="D80" s="644" t="str">
        <f>CONCATENATE('3 pr-2'!D81)</f>
        <v>Alytaus miesto darnaus judumo plano parengimas</v>
      </c>
      <c r="E80" s="644" t="str">
        <f>CONCATENATE('3 pr-2'!E81)</f>
        <v>Alytaus miesto savivaldybės administracija</v>
      </c>
      <c r="F80" s="644" t="str">
        <f>CONCATENATE('3 pr-2'!F81)</f>
        <v>Lietuvos Respublikos susisiekimo ministerija</v>
      </c>
      <c r="G80" s="644" t="str">
        <f>CONCATENATE('3 pr-2'!G81)</f>
        <v>Alytaus m. sav.</v>
      </c>
      <c r="H80" s="644" t="str">
        <f>CONCATENATE('3 pr-2'!H81)</f>
        <v>04.5.1-TID-V-513</v>
      </c>
      <c r="I80" s="644" t="str">
        <f>CONCATENATE('3 pr-2'!I81)</f>
        <v>V</v>
      </c>
      <c r="J80" s="644" t="str">
        <f>CONCATENATE('3 pr-2'!J81)</f>
        <v>ITI</v>
      </c>
      <c r="K80" s="1460">
        <f>IF(AE80&gt;0,'3 pr-2'!L81,0)</f>
        <v>33638</v>
      </c>
      <c r="L80" s="1297">
        <f t="shared" si="55"/>
        <v>0</v>
      </c>
      <c r="M80" s="1298">
        <f t="shared" ca="1" si="59"/>
        <v>33638</v>
      </c>
      <c r="N80" s="1460">
        <f>IF(AE80&gt;0,'3 pr-2'!O81,0)</f>
        <v>5045.7</v>
      </c>
      <c r="O80" s="1530"/>
      <c r="P80" s="1298">
        <f>SUM('ketv. 6 '!P80)</f>
        <v>5045.7000000000007</v>
      </c>
      <c r="Q80" s="1460">
        <f>IF(AE80&gt;0,'3 pr-2'!R81,0)</f>
        <v>0</v>
      </c>
      <c r="R80" s="1530"/>
      <c r="S80" s="1298">
        <f ca="1">SUM('ketv. 6 '!T80)</f>
        <v>0</v>
      </c>
      <c r="T80" s="1460">
        <f>IF(AE80&gt;0,'3 pr-2'!U81,0)</f>
        <v>0</v>
      </c>
      <c r="U80" s="1530"/>
      <c r="V80" s="1298">
        <f ca="1">SUM('ketv. 6 '!X80)</f>
        <v>0</v>
      </c>
      <c r="W80" s="1460">
        <f>IF(AE80&gt;0,'3 pr-2'!X81,0)</f>
        <v>0</v>
      </c>
      <c r="X80" s="1530"/>
      <c r="Y80" s="1298">
        <f ca="1">SUM('ketv. 6 '!AB80)</f>
        <v>0</v>
      </c>
      <c r="Z80" s="1460">
        <f>IF(AE80&gt;0,'3 pr-2'!AA81,0)</f>
        <v>28592.3</v>
      </c>
      <c r="AA80" s="1530"/>
      <c r="AB80" s="1298">
        <f>SUM('ketv. 6 '!AF80)</f>
        <v>28592.3</v>
      </c>
      <c r="AC80" s="1460">
        <f>IF($AE$9&gt;0,'3 pr-2'!AB81,0)</f>
        <v>0</v>
      </c>
      <c r="AD80" s="1346">
        <f>SUM('3 pr-2'!AG81)</f>
        <v>42674</v>
      </c>
      <c r="AE80" s="1347">
        <v>42671</v>
      </c>
      <c r="AF80" s="648">
        <f t="shared" ref="AF80" si="60">IF((YEAR(AD80)-YEAR(AE80))=0,0,YEAR(AD80)-YEAR(AE80))</f>
        <v>0</v>
      </c>
      <c r="AG80" s="1274" t="str">
        <f t="shared" si="56"/>
        <v>–</v>
      </c>
    </row>
    <row r="81" spans="1:33" ht="48.75" x14ac:dyDescent="0.25">
      <c r="A81" s="182" t="str">
        <f>CONCATENATE('3 pr-2'!A82)</f>
        <v>1.1.2.2.3</v>
      </c>
      <c r="B81" s="309"/>
      <c r="C81" s="182" t="str">
        <f>CONCATENATE('3 pr-2'!B82)</f>
        <v>R01-5514-191800-1223</v>
      </c>
      <c r="D81" s="644" t="str">
        <f>CONCATENATE('3 pr-2'!D82)</f>
        <v>Intelektinių transporto sistemų diegimas Druskininkuose</v>
      </c>
      <c r="E81" s="644" t="str">
        <f>CONCATENATE('3 pr-2'!E82)</f>
        <v>Druskininkų savivaldybės administracija</v>
      </c>
      <c r="F81" s="644" t="str">
        <f>CONCATENATE('3 pr-2'!F82)</f>
        <v>Lietuvos Respublikos susisiekimo ministerija</v>
      </c>
      <c r="G81" s="644" t="str">
        <f>CONCATENATE('3 pr-2'!G82)</f>
        <v>Druskininkų sav.</v>
      </c>
      <c r="H81" s="644" t="str">
        <f>CONCATENATE('3 pr-2'!H82)</f>
        <v>04.5.1.-TID-R-514</v>
      </c>
      <c r="I81" s="644" t="str">
        <f>CONCATENATE('3 pr-2'!I82)</f>
        <v>R</v>
      </c>
      <c r="J81" s="644" t="str">
        <f>CONCATENATE('3 pr-2'!J82)</f>
        <v>-</v>
      </c>
      <c r="K81" s="1460">
        <f>IF(AE81&gt;0,'3 pr-2'!L82,0)</f>
        <v>160836.24</v>
      </c>
      <c r="L81" s="1297">
        <f t="shared" si="55"/>
        <v>160836.24</v>
      </c>
      <c r="M81" s="1298">
        <f t="shared" ca="1" si="59"/>
        <v>0</v>
      </c>
      <c r="N81" s="1460">
        <f>IF(AE81&gt;0,'3 pr-2'!O82,0)</f>
        <v>24125.439999999999</v>
      </c>
      <c r="O81" s="1530">
        <v>24125.439999999999</v>
      </c>
      <c r="P81" s="1298">
        <f ca="1">SUM('ketv. 6 '!P81)</f>
        <v>0</v>
      </c>
      <c r="Q81" s="1460">
        <f>IF(AE81&gt;0,'3 pr-2'!R82,0)</f>
        <v>0</v>
      </c>
      <c r="R81" s="1530">
        <v>0</v>
      </c>
      <c r="S81" s="1298">
        <f ca="1">SUM('ketv. 6 '!T81)</f>
        <v>0</v>
      </c>
      <c r="T81" s="1460">
        <f>IF(AE81&gt;0,'3 pr-2'!U82,0)</f>
        <v>0</v>
      </c>
      <c r="U81" s="1530">
        <v>0</v>
      </c>
      <c r="V81" s="1298">
        <f ca="1">SUM('ketv. 6 '!X81)</f>
        <v>0</v>
      </c>
      <c r="W81" s="1460">
        <f>IF(AE81&gt;0,'3 pr-2'!X82,0)</f>
        <v>0</v>
      </c>
      <c r="X81" s="1530">
        <v>0</v>
      </c>
      <c r="Y81" s="1298">
        <f ca="1">SUM('ketv. 6 '!AB81)</f>
        <v>0</v>
      </c>
      <c r="Z81" s="1460">
        <f>IF(AE81&gt;0,'3 pr-2'!AA82,0)</f>
        <v>136710.79999999999</v>
      </c>
      <c r="AA81" s="1530">
        <v>136710.79999999999</v>
      </c>
      <c r="AB81" s="1298">
        <f ca="1">SUM('ketv. 6 '!AF81)</f>
        <v>0</v>
      </c>
      <c r="AC81" s="1460">
        <f>IF($AE$9&gt;0,'3 pr-2'!AB82,0)</f>
        <v>0</v>
      </c>
      <c r="AD81" s="1346">
        <f>SUM('3 pr-2'!AG82)</f>
        <v>43343</v>
      </c>
      <c r="AE81" s="1348">
        <v>43311</v>
      </c>
      <c r="AF81" s="1179"/>
      <c r="AG81" s="1274" t="str">
        <f t="shared" si="56"/>
        <v>–</v>
      </c>
    </row>
    <row r="82" spans="1:33" ht="48.75" x14ac:dyDescent="0.25">
      <c r="A82" s="182" t="str">
        <f>CONCATENATE('3 pr-2'!A83)</f>
        <v>1.1.2.2.4</v>
      </c>
      <c r="B82" s="309" t="s">
        <v>727</v>
      </c>
      <c r="C82" s="182" t="str">
        <f>CONCATENATE('3 pr-2'!B83)</f>
        <v>R01-5514-190000-1224</v>
      </c>
      <c r="D82" s="644" t="str">
        <f>CONCATENATE('3 pr-2'!D83)</f>
        <v>Darnaus judumo plano Druskininkuose parengimas</v>
      </c>
      <c r="E82" s="644" t="str">
        <f>CONCATENATE('3 pr-2'!E83)</f>
        <v>Druskininkų savivaldybės administracija</v>
      </c>
      <c r="F82" s="644" t="str">
        <f>CONCATENATE('3 pr-2'!F83)</f>
        <v>Lietuvos Respublikos susisiekimo ministerija</v>
      </c>
      <c r="G82" s="644" t="str">
        <f>CONCATENATE('3 pr-2'!G83)</f>
        <v>Druskininkų sav.</v>
      </c>
      <c r="H82" s="644" t="str">
        <f>CONCATENATE('3 pr-2'!H83)</f>
        <v>04.5.1-TID-V-513</v>
      </c>
      <c r="I82" s="644" t="str">
        <f>CONCATENATE('3 pr-2'!I83)</f>
        <v>V</v>
      </c>
      <c r="J82" s="644" t="str">
        <f>CONCATENATE('3 pr-2'!J83)</f>
        <v>ITI</v>
      </c>
      <c r="K82" s="1460">
        <f>IF(AE82&gt;0,'3 pr-2'!L83,0)</f>
        <v>17000</v>
      </c>
      <c r="L82" s="1297">
        <f t="shared" si="55"/>
        <v>0</v>
      </c>
      <c r="M82" s="1298">
        <f t="shared" ca="1" si="59"/>
        <v>17000</v>
      </c>
      <c r="N82" s="1460">
        <f>IF(AE82&gt;0,'3 pr-2'!O83,0)</f>
        <v>2550</v>
      </c>
      <c r="O82" s="1530"/>
      <c r="P82" s="1298">
        <f>SUM('ketv. 6 '!P82)</f>
        <v>2550</v>
      </c>
      <c r="Q82" s="1460">
        <f>IF(AE82&gt;0,'3 pr-2'!R83,0)</f>
        <v>0</v>
      </c>
      <c r="R82" s="1530"/>
      <c r="S82" s="1298">
        <f ca="1">SUM('ketv. 6 '!T82)</f>
        <v>0</v>
      </c>
      <c r="T82" s="1460">
        <f>IF(AE82&gt;0,'3 pr-2'!U83,0)</f>
        <v>0</v>
      </c>
      <c r="U82" s="1530"/>
      <c r="V82" s="1298">
        <f ca="1">SUM('ketv. 6 '!X82)</f>
        <v>0</v>
      </c>
      <c r="W82" s="1460">
        <f>IF(AE82&gt;0,'3 pr-2'!X83,0)</f>
        <v>0</v>
      </c>
      <c r="X82" s="1530"/>
      <c r="Y82" s="1298">
        <f ca="1">SUM('ketv. 6 '!AB82)</f>
        <v>0</v>
      </c>
      <c r="Z82" s="1460">
        <f>IF(AE82&gt;0,'3 pr-2'!AA83,0)</f>
        <v>14450</v>
      </c>
      <c r="AA82" s="1530"/>
      <c r="AB82" s="1298">
        <f>SUM('ketv. 6 '!AF82)</f>
        <v>14450</v>
      </c>
      <c r="AC82" s="1460">
        <f>IF($AE$9&gt;0,'3 pr-2'!AB83,0)</f>
        <v>0</v>
      </c>
      <c r="AD82" s="1346">
        <f>SUM('3 pr-2'!AG83)</f>
        <v>42674</v>
      </c>
      <c r="AE82" s="1347">
        <v>42671</v>
      </c>
      <c r="AF82" s="648">
        <f t="shared" ref="AF82" si="61">IF((YEAR(AD82)-YEAR(AE82))=0,0,YEAR(AD82)-YEAR(AE82))</f>
        <v>0</v>
      </c>
      <c r="AG82" s="1274" t="str">
        <f t="shared" si="56"/>
        <v>–</v>
      </c>
    </row>
    <row r="83" spans="1:33" ht="48.75" x14ac:dyDescent="0.25">
      <c r="A83" s="182" t="str">
        <f>CONCATENATE('3 pr-2'!A84)</f>
        <v>1.1.2.2.5</v>
      </c>
      <c r="B83" s="309"/>
      <c r="C83" s="182" t="str">
        <f>CONCATENATE('3 pr-2'!B84)</f>
        <v>R01-5514-190000-1225</v>
      </c>
      <c r="D83" s="644" t="str">
        <f>CONCATENATE('3 pr-2'!D84)</f>
        <v>Viešojo transporto organizavimo tobulinimas rekonstruojant Druskininkų miesto gatvių infrastruktūrą</v>
      </c>
      <c r="E83" s="644" t="str">
        <f>CONCATENATE('3 pr-2'!E84)</f>
        <v>Druskininkų savivaldybės administracija</v>
      </c>
      <c r="F83" s="644" t="str">
        <f>CONCATENATE('3 pr-2'!F84)</f>
        <v>Lietuvos Respublikos susisiekimo ministerija</v>
      </c>
      <c r="G83" s="644" t="str">
        <f>CONCATENATE('3 pr-2'!G84)</f>
        <v>Druskininkų sav.</v>
      </c>
      <c r="H83" s="644" t="str">
        <f>CONCATENATE('3 pr-2'!H84)</f>
        <v>04.5.1.-TID-R-514</v>
      </c>
      <c r="I83" s="644" t="str">
        <f>CONCATENATE('3 pr-2'!I84)</f>
        <v>R</v>
      </c>
      <c r="J83" s="644" t="str">
        <f>CONCATENATE('3 pr-2'!J84)</f>
        <v>-</v>
      </c>
      <c r="K83" s="1460">
        <f>IF(AE83&gt;0,'3 pr-2'!L84,0)</f>
        <v>290000</v>
      </c>
      <c r="L83" s="1297">
        <f t="shared" si="55"/>
        <v>290000</v>
      </c>
      <c r="M83" s="1298">
        <f t="shared" ca="1" si="59"/>
        <v>0</v>
      </c>
      <c r="N83" s="1460">
        <f>IF(AE83&gt;0,'3 pr-2'!O84,0)</f>
        <v>43500</v>
      </c>
      <c r="O83" s="1530">
        <v>43500</v>
      </c>
      <c r="P83" s="1298">
        <f ca="1">SUM('ketv. 6 '!P83)</f>
        <v>0</v>
      </c>
      <c r="Q83" s="1460">
        <f>IF(AE83&gt;0,'3 pr-2'!R84,0)</f>
        <v>0</v>
      </c>
      <c r="R83" s="1530">
        <v>0</v>
      </c>
      <c r="S83" s="1298">
        <f ca="1">SUM('ketv. 6 '!T83)</f>
        <v>0</v>
      </c>
      <c r="T83" s="1460">
        <f>IF(AE83&gt;0,'3 pr-2'!U84,0)</f>
        <v>0</v>
      </c>
      <c r="U83" s="1530">
        <v>0</v>
      </c>
      <c r="V83" s="1298">
        <f ca="1">SUM('ketv. 6 '!X83)</f>
        <v>0</v>
      </c>
      <c r="W83" s="1460">
        <f>IF(AE83&gt;0,'3 pr-2'!X84,0)</f>
        <v>0</v>
      </c>
      <c r="X83" s="1530">
        <v>0</v>
      </c>
      <c r="Y83" s="1298">
        <f ca="1">SUM('ketv. 6 '!AB83)</f>
        <v>0</v>
      </c>
      <c r="Z83" s="1460">
        <f>IF(AE83&gt;0,'3 pr-2'!AA84,0)</f>
        <v>246500</v>
      </c>
      <c r="AA83" s="1530">
        <v>246500</v>
      </c>
      <c r="AB83" s="1298">
        <f ca="1">SUM('ketv. 6 '!AF83)</f>
        <v>0</v>
      </c>
      <c r="AC83" s="1460">
        <f>IF($AE$9&gt;0,'3 pr-2'!AB84,0)</f>
        <v>0</v>
      </c>
      <c r="AD83" s="1346">
        <f>SUM('3 pr-2'!AG84)</f>
        <v>43343</v>
      </c>
      <c r="AE83" s="1347">
        <v>43311</v>
      </c>
      <c r="AF83" s="648">
        <f t="shared" ref="AF83:AF84" si="62">IF((YEAR(AD83)-YEAR(AE83))=0,0,YEAR(AD83)-YEAR(AE83))</f>
        <v>0</v>
      </c>
      <c r="AG83" s="1274" t="str">
        <f t="shared" ref="AG83:AG84" si="63">IF(AD83-AE83&lt;0,(AD83-AE83)/30.41667,"–")</f>
        <v>–</v>
      </c>
    </row>
    <row r="84" spans="1:33" ht="49.5" thickBot="1" x14ac:dyDescent="0.3">
      <c r="A84" s="182" t="str">
        <f>CONCATENATE('3 pr-2'!A85)</f>
        <v>1.1.2.2.6</v>
      </c>
      <c r="B84" s="309"/>
      <c r="C84" s="182" t="str">
        <f>CONCATENATE('3 pr-2'!B85)</f>
        <v>R01-5514-190000-1226</v>
      </c>
      <c r="D84" s="644" t="str">
        <f>CONCATENATE('3 pr-2'!D85)</f>
        <v>Vandens transporto infrastruktūros įrengimas skatinant kitų rūšių transportą</v>
      </c>
      <c r="E84" s="644" t="str">
        <f>CONCATENATE('3 pr-2'!E85)</f>
        <v>Druskininkų savivaldybės administracija</v>
      </c>
      <c r="F84" s="644" t="str">
        <f>CONCATENATE('3 pr-2'!F85)</f>
        <v>Lietuvos Respublikos susisiekimo ministerija</v>
      </c>
      <c r="G84" s="644" t="str">
        <f>CONCATENATE('3 pr-2'!G85)</f>
        <v>Druskininkų sav.</v>
      </c>
      <c r="H84" s="644" t="str">
        <f>CONCATENATE('3 pr-2'!H85)</f>
        <v>04.5.1.-TID-R-514</v>
      </c>
      <c r="I84" s="644" t="str">
        <f>CONCATENATE('3 pr-2'!I85)</f>
        <v>R</v>
      </c>
      <c r="J84" s="644" t="str">
        <f>CONCATENATE('3 pr-2'!J85)</f>
        <v>-</v>
      </c>
      <c r="K84" s="1460">
        <f>IF(AE84&gt;0,'3 pr-2'!L85,0)</f>
        <v>250000</v>
      </c>
      <c r="L84" s="1297">
        <f t="shared" si="55"/>
        <v>250000</v>
      </c>
      <c r="M84" s="1298">
        <f t="shared" ca="1" si="59"/>
        <v>0</v>
      </c>
      <c r="N84" s="1460">
        <f>IF(AE84&gt;0,'3 pr-2'!O85,0)</f>
        <v>37500</v>
      </c>
      <c r="O84" s="1530">
        <v>37500</v>
      </c>
      <c r="P84" s="1298">
        <f ca="1">SUM('ketv. 6 '!P84)</f>
        <v>0</v>
      </c>
      <c r="Q84" s="1460">
        <f>IF(AE84&gt;0,'3 pr-2'!R85,0)</f>
        <v>0</v>
      </c>
      <c r="R84" s="1530">
        <v>0</v>
      </c>
      <c r="S84" s="1298">
        <f ca="1">SUM('ketv. 6 '!T84)</f>
        <v>0</v>
      </c>
      <c r="T84" s="1460">
        <f>IF(AE84&gt;0,'3 pr-2'!U85,0)</f>
        <v>0</v>
      </c>
      <c r="U84" s="1530">
        <v>0</v>
      </c>
      <c r="V84" s="1298">
        <f ca="1">SUM('ketv. 6 '!X84)</f>
        <v>0</v>
      </c>
      <c r="W84" s="1460">
        <f>IF(AE84&gt;0,'3 pr-2'!X85,0)</f>
        <v>0</v>
      </c>
      <c r="X84" s="1530">
        <v>0</v>
      </c>
      <c r="Y84" s="1298">
        <f ca="1">SUM('ketv. 6 '!AB84)</f>
        <v>0</v>
      </c>
      <c r="Z84" s="1460">
        <f>IF(AE84&gt;0,'3 pr-2'!AA85,0)</f>
        <v>212500</v>
      </c>
      <c r="AA84" s="1530">
        <v>212500</v>
      </c>
      <c r="AB84" s="1298">
        <f ca="1">SUM('ketv. 6 '!AF84)</f>
        <v>0</v>
      </c>
      <c r="AC84" s="1460">
        <f>IF($AE$9&gt;0,'3 pr-2'!AB85,0)</f>
        <v>0</v>
      </c>
      <c r="AD84" s="1346">
        <f>SUM('3 pr-2'!AG85)</f>
        <v>43343</v>
      </c>
      <c r="AE84" s="1347">
        <v>43311</v>
      </c>
      <c r="AF84" s="648">
        <f t="shared" si="62"/>
        <v>0</v>
      </c>
      <c r="AG84" s="1274" t="str">
        <f t="shared" si="63"/>
        <v>–</v>
      </c>
    </row>
    <row r="85" spans="1:33" ht="36.75" customHeight="1" thickBot="1" x14ac:dyDescent="0.3">
      <c r="A85" s="326" t="str">
        <f>CONCATENATE('3 pr-2'!A86)</f>
        <v>1.1.2.3</v>
      </c>
      <c r="B85" s="388"/>
      <c r="C85" s="2025" t="str">
        <f>CONCATENATE('3 pr-2'!B86)</f>
        <v>Priemonė:
Pėsčiųjų ir dviračių takų rekonstrukcija ir plėtra</v>
      </c>
      <c r="D85" s="2026"/>
      <c r="E85" s="2026"/>
      <c r="F85" s="2026"/>
      <c r="G85" s="2026"/>
      <c r="H85" s="2026"/>
      <c r="I85" s="2026"/>
      <c r="J85" s="2027"/>
      <c r="K85" s="1293">
        <f>SUM(K86:K90)</f>
        <v>490058.56</v>
      </c>
      <c r="L85" s="1526">
        <f t="shared" ref="L85:AC85" si="64">SUM(L86:L90)</f>
        <v>552337.55000000005</v>
      </c>
      <c r="M85" s="1295">
        <f t="shared" ca="1" si="64"/>
        <v>421638.05</v>
      </c>
      <c r="N85" s="1293">
        <f t="shared" si="64"/>
        <v>77351.429999999993</v>
      </c>
      <c r="O85" s="1294">
        <f t="shared" si="64"/>
        <v>136613.99</v>
      </c>
      <c r="P85" s="1527">
        <f t="shared" ca="1" si="64"/>
        <v>69600.359999999986</v>
      </c>
      <c r="Q85" s="1293">
        <f t="shared" si="64"/>
        <v>0</v>
      </c>
      <c r="R85" s="1294">
        <f t="shared" si="64"/>
        <v>0</v>
      </c>
      <c r="S85" s="1298">
        <f t="shared" ca="1" si="64"/>
        <v>0</v>
      </c>
      <c r="T85" s="1293">
        <f t="shared" si="64"/>
        <v>0</v>
      </c>
      <c r="U85" s="1526">
        <f t="shared" si="64"/>
        <v>0</v>
      </c>
      <c r="V85" s="1295">
        <f t="shared" ca="1" si="64"/>
        <v>0</v>
      </c>
      <c r="W85" s="1293">
        <f t="shared" si="64"/>
        <v>0</v>
      </c>
      <c r="X85" s="1294">
        <f t="shared" si="64"/>
        <v>0</v>
      </c>
      <c r="Y85" s="1295">
        <f t="shared" ca="1" si="64"/>
        <v>0</v>
      </c>
      <c r="Z85" s="1293">
        <f t="shared" si="64"/>
        <v>412707.13</v>
      </c>
      <c r="AA85" s="1294">
        <f t="shared" si="64"/>
        <v>415723.56</v>
      </c>
      <c r="AB85" s="1295">
        <f t="shared" ca="1" si="64"/>
        <v>352037.69</v>
      </c>
      <c r="AC85" s="1293">
        <f t="shared" si="64"/>
        <v>0</v>
      </c>
      <c r="AD85" s="1340"/>
      <c r="AE85" s="1341"/>
      <c r="AF85" s="398"/>
      <c r="AG85" s="399"/>
    </row>
    <row r="86" spans="1:33" ht="48.75" x14ac:dyDescent="0.25">
      <c r="A86" s="182" t="str">
        <f>CONCATENATE('3 pr-2'!A87)</f>
        <v>1.1.2.3.1</v>
      </c>
      <c r="B86" s="309" t="s">
        <v>1256</v>
      </c>
      <c r="C86" s="182" t="str">
        <f>CONCATENATE('3 pr-2'!B87)</f>
        <v>R01-5516-190000-1231</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96">
        <f>IF(AE86&gt;0,'3 pr-2'!L87,0)</f>
        <v>96513</v>
      </c>
      <c r="L86" s="1297">
        <f t="shared" si="55"/>
        <v>95080</v>
      </c>
      <c r="M86" s="1298">
        <f t="shared" ca="1" si="59"/>
        <v>95080</v>
      </c>
      <c r="N86" s="1296">
        <f>IF(AE86&gt;0,'3 pr-2'!O87,0)</f>
        <v>14477</v>
      </c>
      <c r="O86" s="1297">
        <v>14270</v>
      </c>
      <c r="P86" s="1298">
        <f ca="1">SUM('ketv. 6 '!P86)</f>
        <v>14270</v>
      </c>
      <c r="Q86" s="1296">
        <f>IF(AE86&gt;0,'3 pr-2'!R87,0)</f>
        <v>0</v>
      </c>
      <c r="R86" s="1297">
        <v>0</v>
      </c>
      <c r="S86" s="1298">
        <f ca="1">SUM('ketv. 6 '!T86)</f>
        <v>0</v>
      </c>
      <c r="T86" s="1296">
        <f>IF(AE86&gt;0,'3 pr-2'!U87,0)</f>
        <v>0</v>
      </c>
      <c r="U86" s="1297">
        <v>0</v>
      </c>
      <c r="V86" s="1298">
        <f ca="1">SUM('ketv. 6 '!X86)</f>
        <v>0</v>
      </c>
      <c r="W86" s="1296">
        <f>IF(AE86&gt;0,'3 pr-2'!X87,0)</f>
        <v>0</v>
      </c>
      <c r="X86" s="1297">
        <v>0</v>
      </c>
      <c r="Y86" s="1298">
        <f ca="1">SUM('ketv. 6 '!AB86)</f>
        <v>0</v>
      </c>
      <c r="Z86" s="1296">
        <f>IF(AE86&gt;0,'3 pr-2'!AA87,0)</f>
        <v>82036</v>
      </c>
      <c r="AA86" s="1297">
        <v>80810</v>
      </c>
      <c r="AB86" s="1298">
        <f ca="1">SUM('ketv. 6 '!AF86)</f>
        <v>80810</v>
      </c>
      <c r="AC86" s="1296">
        <f>IF($AE$9&gt;0,'3 pr-2'!AB87,0)</f>
        <v>0</v>
      </c>
      <c r="AD86" s="1336">
        <f>SUM('3 pr-2'!AG87)</f>
        <v>42735</v>
      </c>
      <c r="AE86" s="1342">
        <v>42703</v>
      </c>
      <c r="AF86" s="216">
        <f t="shared" ref="AF86:AF90" si="65">IF((YEAR(AD86)-YEAR(AE86))=0,0,YEAR(AD86)-YEAR(AE86))</f>
        <v>0</v>
      </c>
      <c r="AG86" s="445" t="str">
        <f t="shared" si="56"/>
        <v>–</v>
      </c>
    </row>
    <row r="87" spans="1:33" ht="48.75" x14ac:dyDescent="0.25">
      <c r="A87" s="182" t="str">
        <f>CONCATENATE('3 pr-2'!A88)</f>
        <v>1.1.2.3.2</v>
      </c>
      <c r="B87" s="309" t="s">
        <v>729</v>
      </c>
      <c r="C87" s="182" t="str">
        <f>CONCATENATE('3 pr-2'!B88)</f>
        <v>R01-5516-190000-1232</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96">
        <f>IF(AE87&gt;0,'3 pr-2'!L88,0)</f>
        <v>135732</v>
      </c>
      <c r="L87" s="1297">
        <f t="shared" si="55"/>
        <v>175170.45</v>
      </c>
      <c r="M87" s="1298">
        <f t="shared" ca="1" si="59"/>
        <v>133670.07</v>
      </c>
      <c r="N87" s="1296">
        <f>IF(AE87&gt;0,'3 pr-2'!O88,0)</f>
        <v>20400</v>
      </c>
      <c r="O87" s="1297">
        <v>61550.89</v>
      </c>
      <c r="P87" s="1298">
        <f ca="1">SUM('ketv. 6 '!P87)</f>
        <v>20050.509999999998</v>
      </c>
      <c r="Q87" s="1296">
        <f>IF(AE87&gt;0,'3 pr-2'!R88,0)</f>
        <v>0</v>
      </c>
      <c r="R87" s="1297">
        <v>0</v>
      </c>
      <c r="S87" s="1298">
        <f ca="1">SUM('ketv. 6 '!T87)</f>
        <v>0</v>
      </c>
      <c r="T87" s="1296">
        <f>IF(AE87&gt;0,'3 pr-2'!U88,0)</f>
        <v>0</v>
      </c>
      <c r="U87" s="1297">
        <v>0</v>
      </c>
      <c r="V87" s="1298">
        <f ca="1">SUM('ketv. 6 '!X87)</f>
        <v>0</v>
      </c>
      <c r="W87" s="1296">
        <f>IF(AE87&gt;0,'3 pr-2'!X88,0)</f>
        <v>0</v>
      </c>
      <c r="X87" s="1297">
        <v>0</v>
      </c>
      <c r="Y87" s="1298">
        <f ca="1">SUM('ketv. 6 '!AB87)</f>
        <v>0</v>
      </c>
      <c r="Z87" s="1296">
        <f>IF(AE87&gt;0,'3 pr-2'!AA88,0)</f>
        <v>115332</v>
      </c>
      <c r="AA87" s="1297">
        <v>113619.56</v>
      </c>
      <c r="AB87" s="1298">
        <f ca="1">SUM('ketv. 6 '!AF87)</f>
        <v>113619.56</v>
      </c>
      <c r="AC87" s="1296">
        <f>IF($AE$9&gt;0,'3 pr-2'!AB88,0)</f>
        <v>0</v>
      </c>
      <c r="AD87" s="1336">
        <f>SUM('3 pr-2'!AG88)</f>
        <v>42643</v>
      </c>
      <c r="AE87" s="1342">
        <v>42703</v>
      </c>
      <c r="AF87" s="216">
        <f t="shared" si="65"/>
        <v>0</v>
      </c>
      <c r="AG87" s="445">
        <f t="shared" si="56"/>
        <v>-1.9726025235504083</v>
      </c>
    </row>
    <row r="88" spans="1:33" ht="48.75" x14ac:dyDescent="0.25">
      <c r="A88" s="182" t="str">
        <f>CONCATENATE('3 pr-2'!A89)</f>
        <v>1.1.2.3.3</v>
      </c>
      <c r="B88" s="309" t="s">
        <v>1227</v>
      </c>
      <c r="C88" s="182" t="str">
        <f>CONCATENATE('3 pr-2'!B89)</f>
        <v>R01-5516-190000-1233</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96">
        <f>IF(AE88&gt;0,'3 pr-2'!L89,0)</f>
        <v>87775</v>
      </c>
      <c r="L88" s="1297">
        <f t="shared" si="55"/>
        <v>100658.08</v>
      </c>
      <c r="M88" s="1298">
        <f t="shared" ca="1" si="59"/>
        <v>93938.42</v>
      </c>
      <c r="N88" s="1296">
        <f>IF(AE88&gt;0,'3 pr-2'!O89,0)</f>
        <v>13166</v>
      </c>
      <c r="O88" s="1297">
        <v>27157.08</v>
      </c>
      <c r="P88" s="1298">
        <f ca="1">SUM('ketv. 6 '!P88)</f>
        <v>20437.419999999998</v>
      </c>
      <c r="Q88" s="1296">
        <f>IF(AE88&gt;0,'3 pr-2'!R89,0)</f>
        <v>0</v>
      </c>
      <c r="R88" s="1297">
        <v>0</v>
      </c>
      <c r="S88" s="1298">
        <f ca="1">SUM('ketv. 6 '!T88)</f>
        <v>0</v>
      </c>
      <c r="T88" s="1296">
        <f>IF(AE88&gt;0,'3 pr-2'!U89,0)</f>
        <v>0</v>
      </c>
      <c r="U88" s="1297">
        <v>0</v>
      </c>
      <c r="V88" s="1298">
        <f ca="1">SUM('ketv. 6 '!X88)</f>
        <v>0</v>
      </c>
      <c r="W88" s="1296">
        <f>IF(AE88&gt;0,'3 pr-2'!X89,0)</f>
        <v>0</v>
      </c>
      <c r="X88" s="1297">
        <v>0</v>
      </c>
      <c r="Y88" s="1298">
        <f ca="1">SUM('ketv. 6 '!AB88)</f>
        <v>0</v>
      </c>
      <c r="Z88" s="1296">
        <f>IF(AE88&gt;0,'3 pr-2'!AA89,0)</f>
        <v>74609</v>
      </c>
      <c r="AA88" s="1297">
        <v>73501</v>
      </c>
      <c r="AB88" s="1298">
        <f ca="1">SUM('ketv. 6 '!AF88)</f>
        <v>73501</v>
      </c>
      <c r="AC88" s="1296">
        <f>IF($AE$9&gt;0,'3 pr-2'!AB89,0)</f>
        <v>0</v>
      </c>
      <c r="AD88" s="1336">
        <f>SUM('3 pr-2'!AG89)</f>
        <v>42735</v>
      </c>
      <c r="AE88" s="1342">
        <v>42703</v>
      </c>
      <c r="AF88" s="216">
        <f t="shared" si="65"/>
        <v>0</v>
      </c>
      <c r="AG88" s="445" t="str">
        <f t="shared" si="56"/>
        <v>–</v>
      </c>
    </row>
    <row r="89" spans="1:33" ht="48.75" x14ac:dyDescent="0.25">
      <c r="A89" s="182" t="str">
        <f>CONCATENATE('3 pr-2'!A90)</f>
        <v>1.1.2.3.4</v>
      </c>
      <c r="B89" s="309" t="s">
        <v>1616</v>
      </c>
      <c r="C89" s="182" t="str">
        <f>CONCATENATE('3 pr-2'!B90)</f>
        <v>R01-5516-190000-1234</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96">
        <f>IF(AE89&gt;0,'3 pr-2'!L90,0)</f>
        <v>98949.56</v>
      </c>
      <c r="L89" s="1297">
        <f t="shared" si="55"/>
        <v>110340</v>
      </c>
      <c r="M89" s="1298">
        <f t="shared" ca="1" si="59"/>
        <v>98949.56</v>
      </c>
      <c r="N89" s="1296">
        <f>IF(AE89&gt;0,'3 pr-2'!O90,0)</f>
        <v>14842.43</v>
      </c>
      <c r="O89" s="1297">
        <v>19170</v>
      </c>
      <c r="P89" s="1298">
        <f ca="1">SUM('ketv. 6 '!P89)</f>
        <v>14842.43</v>
      </c>
      <c r="Q89" s="1296">
        <f>IF(AE89&gt;0,'3 pr-2'!R90,0)</f>
        <v>0</v>
      </c>
      <c r="R89" s="1297">
        <v>0</v>
      </c>
      <c r="S89" s="1298">
        <f ca="1">SUM('ketv. 6 '!T89)</f>
        <v>0</v>
      </c>
      <c r="T89" s="1296">
        <f>IF(AE89&gt;0,'3 pr-2'!U90,0)</f>
        <v>0</v>
      </c>
      <c r="U89" s="1297">
        <v>0</v>
      </c>
      <c r="V89" s="1298">
        <f ca="1">SUM('ketv. 6 '!X89)</f>
        <v>0</v>
      </c>
      <c r="W89" s="1296">
        <f>IF(AE89&gt;0,'3 pr-2'!X90,0)</f>
        <v>0</v>
      </c>
      <c r="X89" s="1297">
        <v>0</v>
      </c>
      <c r="Y89" s="1298">
        <f ca="1">SUM('ketv. 6 '!AB89)</f>
        <v>0</v>
      </c>
      <c r="Z89" s="1296">
        <f>IF(AE89&gt;0,'3 pr-2'!AA90,0)</f>
        <v>84107.13</v>
      </c>
      <c r="AA89" s="1297">
        <v>91170</v>
      </c>
      <c r="AB89" s="1298">
        <f ca="1">SUM('ketv. 6 '!AF89)</f>
        <v>84107.13</v>
      </c>
      <c r="AC89" s="1296">
        <f>IF($AE$9&gt;0,'3 pr-2'!AB90,0)</f>
        <v>0</v>
      </c>
      <c r="AD89" s="1336">
        <f>SUM('3 pr-2'!AG90)</f>
        <v>42754</v>
      </c>
      <c r="AE89" s="1342">
        <v>42754</v>
      </c>
      <c r="AF89" s="216">
        <f t="shared" si="65"/>
        <v>0</v>
      </c>
      <c r="AG89" s="445" t="str">
        <f t="shared" si="56"/>
        <v>–</v>
      </c>
    </row>
    <row r="90" spans="1:33" ht="49.5" thickBot="1" x14ac:dyDescent="0.3">
      <c r="A90" s="182" t="str">
        <f>CONCATENATE('3 pr-2'!A91)</f>
        <v>1.1.2.3.5</v>
      </c>
      <c r="B90" s="309"/>
      <c r="C90" s="182" t="str">
        <f>CONCATENATE('3 pr-2'!B91)</f>
        <v>R01-5516-190000-1235</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96">
        <f>IF(AE90&gt;0,'3 pr-2'!L91,0)</f>
        <v>71089</v>
      </c>
      <c r="L90" s="1297">
        <f t="shared" si="55"/>
        <v>71089.02</v>
      </c>
      <c r="M90" s="1298">
        <f t="shared" ca="1" si="59"/>
        <v>0</v>
      </c>
      <c r="N90" s="1296">
        <f>IF(AE90&gt;0,'3 pr-2'!O91,0)</f>
        <v>14466</v>
      </c>
      <c r="O90" s="1297">
        <v>14466.02</v>
      </c>
      <c r="P90" s="1298">
        <f ca="1">SUM('ketv. 6 '!P90)</f>
        <v>0</v>
      </c>
      <c r="Q90" s="1296">
        <f>IF(AE90&gt;0,'3 pr-2'!R91,0)</f>
        <v>0</v>
      </c>
      <c r="R90" s="1297">
        <v>0</v>
      </c>
      <c r="S90" s="1298">
        <f ca="1">SUM('ketv. 6 '!T90)</f>
        <v>0</v>
      </c>
      <c r="T90" s="1296">
        <f>IF(AE90&gt;0,'3 pr-2'!U91,0)</f>
        <v>0</v>
      </c>
      <c r="U90" s="1297">
        <v>0</v>
      </c>
      <c r="V90" s="1298">
        <f ca="1">SUM('ketv. 6 '!X90)</f>
        <v>0</v>
      </c>
      <c r="W90" s="1296">
        <f>IF(AE90&gt;0,'3 pr-2'!X91,0)</f>
        <v>0</v>
      </c>
      <c r="X90" s="1297">
        <v>0</v>
      </c>
      <c r="Y90" s="1298">
        <f ca="1">SUM('ketv. 6 '!AB90)</f>
        <v>0</v>
      </c>
      <c r="Z90" s="1296">
        <f>IF(AE90&gt;0,'3 pr-2'!AA91,0)</f>
        <v>56623</v>
      </c>
      <c r="AA90" s="1297">
        <v>56623</v>
      </c>
      <c r="AB90" s="1298">
        <f ca="1">SUM('ketv. 6 '!AF90)</f>
        <v>0</v>
      </c>
      <c r="AC90" s="1296">
        <f>IF($AE$9&gt;0,'3 pr-2'!AB91,0)</f>
        <v>0</v>
      </c>
      <c r="AD90" s="1336">
        <f>SUM('3 pr-2'!AG91)</f>
        <v>42754</v>
      </c>
      <c r="AE90" s="1342">
        <v>42754</v>
      </c>
      <c r="AF90" s="216">
        <f t="shared" si="65"/>
        <v>0</v>
      </c>
      <c r="AG90" s="445" t="str">
        <f t="shared" si="56"/>
        <v>–</v>
      </c>
    </row>
    <row r="91" spans="1:33" ht="42.75" customHeight="1" thickBot="1" x14ac:dyDescent="0.3">
      <c r="A91" s="326" t="str">
        <f>CONCATENATE('3 pr-2'!A92)</f>
        <v>1.1.2.4</v>
      </c>
      <c r="B91" s="388"/>
      <c r="C91" s="2025" t="str">
        <f>CONCATENATE('3 pr-2'!B92)</f>
        <v>Priemonė:
Vietinių kelių techninių parametrų ir eismo saugos gerinimas</v>
      </c>
      <c r="D91" s="2026"/>
      <c r="E91" s="2026"/>
      <c r="F91" s="2026"/>
      <c r="G91" s="2026"/>
      <c r="H91" s="2026"/>
      <c r="I91" s="2026"/>
      <c r="J91" s="2027"/>
      <c r="K91" s="1293">
        <f>SUM(K92:K98)</f>
        <v>4981539.82</v>
      </c>
      <c r="L91" s="1526">
        <f t="shared" ref="L91:AC91" si="66">SUM(L92:L98)</f>
        <v>4808284.96</v>
      </c>
      <c r="M91" s="1295">
        <f t="shared" ca="1" si="66"/>
        <v>2750143.04</v>
      </c>
      <c r="N91" s="1293">
        <f t="shared" si="66"/>
        <v>1866072.8199999998</v>
      </c>
      <c r="O91" s="1294">
        <f t="shared" si="66"/>
        <v>1805806.96</v>
      </c>
      <c r="P91" s="1527">
        <f t="shared" ca="1" si="66"/>
        <v>382613.04</v>
      </c>
      <c r="Q91" s="1293">
        <f t="shared" si="66"/>
        <v>0</v>
      </c>
      <c r="R91" s="1294">
        <f t="shared" si="66"/>
        <v>0</v>
      </c>
      <c r="S91" s="1298">
        <f t="shared" ca="1" si="66"/>
        <v>0</v>
      </c>
      <c r="T91" s="1293">
        <f t="shared" si="66"/>
        <v>0</v>
      </c>
      <c r="U91" s="1526">
        <f t="shared" si="66"/>
        <v>0</v>
      </c>
      <c r="V91" s="1295">
        <f t="shared" ca="1" si="66"/>
        <v>0</v>
      </c>
      <c r="W91" s="1293">
        <f t="shared" si="66"/>
        <v>62660</v>
      </c>
      <c r="X91" s="1294">
        <f t="shared" si="66"/>
        <v>62660</v>
      </c>
      <c r="Y91" s="1295">
        <f t="shared" ca="1" si="66"/>
        <v>62660</v>
      </c>
      <c r="Z91" s="1293">
        <f t="shared" si="66"/>
        <v>3052807</v>
      </c>
      <c r="AA91" s="1294">
        <f t="shared" si="66"/>
        <v>2939818</v>
      </c>
      <c r="AB91" s="1295">
        <f t="shared" ca="1" si="66"/>
        <v>2304870</v>
      </c>
      <c r="AC91" s="1293">
        <f t="shared" si="66"/>
        <v>0</v>
      </c>
      <c r="AD91" s="1340"/>
      <c r="AE91" s="1341"/>
      <c r="AF91" s="398"/>
      <c r="AG91" s="399"/>
    </row>
    <row r="92" spans="1:33" ht="48.75" x14ac:dyDescent="0.25">
      <c r="A92" s="182" t="str">
        <f>CONCATENATE('3 pr-2'!A93)</f>
        <v>1.1.2.4.1</v>
      </c>
      <c r="B92" s="309" t="s">
        <v>731</v>
      </c>
      <c r="C92" s="182" t="str">
        <f>CONCATENATE('3 pr-2'!B93)</f>
        <v>R01-5511-120000-1241</v>
      </c>
      <c r="D92" s="182" t="str">
        <f>CONCATENATE('3 pr-2'!D93)</f>
        <v>Varėnos miesto J. Basanavičiaus, Savanorių ir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96">
        <f>IF(AE92&gt;0,'3 pr-2'!L93,0)</f>
        <v>835464</v>
      </c>
      <c r="L92" s="1297">
        <f t="shared" si="55"/>
        <v>835464</v>
      </c>
      <c r="M92" s="1298">
        <f t="shared" ca="1" si="59"/>
        <v>835464</v>
      </c>
      <c r="N92" s="1296">
        <f>IF(AE92&gt;0,'3 pr-2'!O93,0)</f>
        <v>62660</v>
      </c>
      <c r="O92" s="1297">
        <v>62660</v>
      </c>
      <c r="P92" s="1298">
        <f ca="1">SUM('ketv. 6 '!P92)</f>
        <v>62660</v>
      </c>
      <c r="Q92" s="1296">
        <f>IF(AE92&gt;0,'3 pr-2'!R93,0)</f>
        <v>0</v>
      </c>
      <c r="R92" s="1297">
        <v>0</v>
      </c>
      <c r="S92" s="1298">
        <f ca="1">SUM('ketv. 6 '!T92)</f>
        <v>0</v>
      </c>
      <c r="T92" s="1296">
        <f>IF(AE92&gt;0,'3 pr-2'!U93,0)</f>
        <v>0</v>
      </c>
      <c r="U92" s="1297">
        <v>0</v>
      </c>
      <c r="V92" s="1298">
        <f ca="1">SUM('ketv. 6 '!X92)</f>
        <v>0</v>
      </c>
      <c r="W92" s="1296">
        <f>IF(AE92&gt;0,'3 pr-2'!X93,0)</f>
        <v>62660</v>
      </c>
      <c r="X92" s="1297">
        <v>62660</v>
      </c>
      <c r="Y92" s="1298">
        <f ca="1">SUM('ketv. 6 '!AB92)</f>
        <v>62660</v>
      </c>
      <c r="Z92" s="1296">
        <f>IF(AE92&gt;0,'3 pr-2'!AA93,0)</f>
        <v>710144</v>
      </c>
      <c r="AA92" s="1297">
        <v>710144</v>
      </c>
      <c r="AB92" s="1298">
        <f ca="1">SUM('ketv. 6 '!AF92)</f>
        <v>710144</v>
      </c>
      <c r="AC92" s="1296">
        <f>IF($AE$9&gt;0,'3 pr-2'!AB93,0)</f>
        <v>0</v>
      </c>
      <c r="AD92" s="1336">
        <f>SUM('3 pr-2'!AG93)</f>
        <v>42732</v>
      </c>
      <c r="AE92" s="1342">
        <v>42732</v>
      </c>
      <c r="AF92" s="216">
        <f t="shared" ref="AF92:AF97" si="67">IF((YEAR(AD92)-YEAR(AE92))=0,0,YEAR(AD92)-YEAR(AE92))</f>
        <v>0</v>
      </c>
      <c r="AG92" s="445" t="str">
        <f t="shared" si="56"/>
        <v>–</v>
      </c>
    </row>
    <row r="93" spans="1:33" ht="48.75" x14ac:dyDescent="0.25">
      <c r="A93" s="182" t="str">
        <f>CONCATENATE('3 pr-2'!A94)</f>
        <v>1.1.2.4.2</v>
      </c>
      <c r="B93" s="309" t="s">
        <v>730</v>
      </c>
      <c r="C93" s="182" t="str">
        <f>CONCATENATE('3 pr-2'!B94)</f>
        <v>R01-5511-110000-1242</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96">
        <f>IF(AE93&gt;0,'3 pr-2'!L94,0)</f>
        <v>1402213</v>
      </c>
      <c r="L93" s="1297">
        <f t="shared" si="55"/>
        <v>1402213.12</v>
      </c>
      <c r="M93" s="1298">
        <f t="shared" ca="1" si="59"/>
        <v>879927.06</v>
      </c>
      <c r="N93" s="1296">
        <f>IF(AE93&gt;0,'3 pr-2'!O94,0)</f>
        <v>654275</v>
      </c>
      <c r="O93" s="1297">
        <v>654275.12</v>
      </c>
      <c r="P93" s="1298">
        <f ca="1">SUM('ketv. 6 '!P93)</f>
        <v>131989.06</v>
      </c>
      <c r="Q93" s="1296">
        <f>IF(AE93&gt;0,'3 pr-2'!R94,0)</f>
        <v>0</v>
      </c>
      <c r="R93" s="1297">
        <v>0</v>
      </c>
      <c r="S93" s="1298">
        <f ca="1">SUM('ketv. 6 '!T93)</f>
        <v>0</v>
      </c>
      <c r="T93" s="1296">
        <f>IF(AE93&gt;0,'3 pr-2'!U94,0)</f>
        <v>0</v>
      </c>
      <c r="U93" s="1297">
        <v>0</v>
      </c>
      <c r="V93" s="1298">
        <f ca="1">SUM('ketv. 6 '!X93)</f>
        <v>0</v>
      </c>
      <c r="W93" s="1296">
        <f>IF(AE93&gt;0,'3 pr-2'!X94,0)</f>
        <v>0</v>
      </c>
      <c r="X93" s="1297">
        <v>0</v>
      </c>
      <c r="Y93" s="1298">
        <f ca="1">SUM('ketv. 6 '!AB93)</f>
        <v>0</v>
      </c>
      <c r="Z93" s="1296">
        <f>IF(AE93&gt;0,'3 pr-2'!AA94,0)</f>
        <v>747938</v>
      </c>
      <c r="AA93" s="1297">
        <v>747938</v>
      </c>
      <c r="AB93" s="1298">
        <f ca="1">SUM('ketv. 6 '!AF93)</f>
        <v>747938</v>
      </c>
      <c r="AC93" s="1296">
        <f>IF($AE$9&gt;0,'3 pr-2'!AB94,0)</f>
        <v>0</v>
      </c>
      <c r="AD93" s="1336">
        <f>SUM('3 pr-2'!AG94)</f>
        <v>42732</v>
      </c>
      <c r="AE93" s="1342">
        <v>42732</v>
      </c>
      <c r="AF93" s="216">
        <f t="shared" si="67"/>
        <v>0</v>
      </c>
      <c r="AG93" s="445" t="str">
        <f t="shared" si="56"/>
        <v>–</v>
      </c>
    </row>
    <row r="94" spans="1:33" ht="48.75" x14ac:dyDescent="0.25">
      <c r="A94" s="182" t="str">
        <f>CONCATENATE('3 pr-2'!A95)</f>
        <v>1.1.2.4.3.</v>
      </c>
      <c r="B94" s="309" t="s">
        <v>1676</v>
      </c>
      <c r="C94" s="182" t="str">
        <f>CONCATENATE('3 pr-2'!B95)</f>
        <v>R01-5511-500000-1243</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96">
        <f>IF(AE94&gt;0,'3 pr-2'!L95,0)</f>
        <v>315614.59999999998</v>
      </c>
      <c r="L94" s="1297">
        <f t="shared" si="55"/>
        <v>315614.59999999998</v>
      </c>
      <c r="M94" s="1298">
        <f t="shared" ca="1" si="59"/>
        <v>0</v>
      </c>
      <c r="N94" s="1296">
        <f>IF(AE94&gt;0,'3 pr-2'!O95,0)</f>
        <v>65315.6</v>
      </c>
      <c r="O94" s="1297">
        <v>65315.6</v>
      </c>
      <c r="P94" s="1298">
        <f ca="1">SUM('ketv. 6 '!P94)</f>
        <v>0</v>
      </c>
      <c r="Q94" s="1296">
        <f>IF(AE94&gt;0,'3 pr-2'!R95,0)</f>
        <v>0</v>
      </c>
      <c r="R94" s="1297">
        <v>0</v>
      </c>
      <c r="S94" s="1298">
        <f ca="1">SUM('ketv. 6 '!T94)</f>
        <v>0</v>
      </c>
      <c r="T94" s="1296">
        <f>IF(AE94&gt;0,'3 pr-2'!U95,0)</f>
        <v>0</v>
      </c>
      <c r="U94" s="1297">
        <v>0</v>
      </c>
      <c r="V94" s="1298">
        <f ca="1">SUM('ketv. 6 '!X94)</f>
        <v>0</v>
      </c>
      <c r="W94" s="1296">
        <f>IF(AE94&gt;0,'3 pr-2'!X95,0)</f>
        <v>0</v>
      </c>
      <c r="X94" s="1297">
        <v>0</v>
      </c>
      <c r="Y94" s="1298">
        <f ca="1">SUM('ketv. 6 '!AB94)</f>
        <v>0</v>
      </c>
      <c r="Z94" s="1296">
        <f>IF(AE94&gt;0,'3 pr-2'!AA95,0)</f>
        <v>250299</v>
      </c>
      <c r="AA94" s="1297">
        <v>250299</v>
      </c>
      <c r="AB94" s="1298">
        <f ca="1">SUM('ketv. 6 '!AF94)</f>
        <v>0</v>
      </c>
      <c r="AC94" s="1296">
        <f>IF($AE$9&gt;0,'3 pr-2'!AB95,0)</f>
        <v>0</v>
      </c>
      <c r="AD94" s="1336">
        <f>SUM('3 pr-2'!AG95)</f>
        <v>42732</v>
      </c>
      <c r="AE94" s="1342">
        <v>42732</v>
      </c>
      <c r="AF94" s="216">
        <f t="shared" si="67"/>
        <v>0</v>
      </c>
      <c r="AG94" s="445" t="str">
        <f t="shared" si="56"/>
        <v>–</v>
      </c>
    </row>
    <row r="95" spans="1:33" ht="48.75" x14ac:dyDescent="0.25">
      <c r="A95" s="182" t="str">
        <f>CONCATENATE('3 pr-2'!A96)</f>
        <v>1.1.2.4.4</v>
      </c>
      <c r="B95" s="309" t="s">
        <v>1614</v>
      </c>
      <c r="C95" s="182" t="str">
        <f>CONCATENATE('3 pr-2'!B96)</f>
        <v>R01-5511-500000-1244</v>
      </c>
      <c r="D95" s="182" t="str">
        <f>CONCATENATE('3 pr-2'!D96)</f>
        <v>Eismo saugos priemonių diegimas Alytaus rajone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96">
        <f>IF(AE95&gt;0,'3 pr-2'!L96,0)</f>
        <v>274817.98</v>
      </c>
      <c r="L95" s="1297">
        <f t="shared" si="55"/>
        <v>236915</v>
      </c>
      <c r="M95" s="1298">
        <f t="shared" ca="1" si="59"/>
        <v>274817.98</v>
      </c>
      <c r="N95" s="1296">
        <f>IF(AE95&gt;0,'3 pr-2'!O96,0)</f>
        <v>73973.98</v>
      </c>
      <c r="O95" s="1297">
        <v>36071</v>
      </c>
      <c r="P95" s="1298">
        <f ca="1">SUM('ketv. 6 '!P95)</f>
        <v>73973.98</v>
      </c>
      <c r="Q95" s="1296">
        <f>IF(AE95&gt;0,'3 pr-2'!R96,0)</f>
        <v>0</v>
      </c>
      <c r="R95" s="1297">
        <v>0</v>
      </c>
      <c r="S95" s="1298">
        <f ca="1">SUM('ketv. 6 '!T95)</f>
        <v>0</v>
      </c>
      <c r="T95" s="1296">
        <f>IF(AE95&gt;0,'3 pr-2'!U96,0)</f>
        <v>0</v>
      </c>
      <c r="U95" s="1297">
        <v>0</v>
      </c>
      <c r="V95" s="1298">
        <f ca="1">SUM('ketv. 6 '!X95)</f>
        <v>0</v>
      </c>
      <c r="W95" s="1296">
        <f>IF(AE95&gt;0,'3 pr-2'!X96,0)</f>
        <v>0</v>
      </c>
      <c r="X95" s="1297">
        <v>0</v>
      </c>
      <c r="Y95" s="1298">
        <f ca="1">SUM('ketv. 6 '!AB95)</f>
        <v>0</v>
      </c>
      <c r="Z95" s="1296">
        <f>IF(AE95&gt;0,'3 pr-2'!AA96,0)</f>
        <v>200844</v>
      </c>
      <c r="AA95" s="1297">
        <v>200844</v>
      </c>
      <c r="AB95" s="1298">
        <f ca="1">SUM('ketv. 6 '!AF95)</f>
        <v>200844</v>
      </c>
      <c r="AC95" s="1296">
        <f>IF($AE$9&gt;0,'3 pr-2'!AB96,0)</f>
        <v>0</v>
      </c>
      <c r="AD95" s="1336">
        <f>SUM('3 pr-2'!AG96)</f>
        <v>42735</v>
      </c>
      <c r="AE95" s="1342">
        <v>42732</v>
      </c>
      <c r="AF95" s="216">
        <f t="shared" si="67"/>
        <v>0</v>
      </c>
      <c r="AG95" s="445" t="str">
        <f t="shared" si="56"/>
        <v>–</v>
      </c>
    </row>
    <row r="96" spans="1:33" ht="48.75" x14ac:dyDescent="0.25">
      <c r="A96" s="182" t="str">
        <f>CONCATENATE('3 pr-2'!A97)</f>
        <v>1.1.2.4.5</v>
      </c>
      <c r="B96" s="309" t="s">
        <v>1677</v>
      </c>
      <c r="C96" s="182" t="str">
        <f>CONCATENATE('3 pr-2'!B97)</f>
        <v>R01-5511-120900-1245</v>
      </c>
      <c r="D96" s="182" t="str">
        <f>CONCATENATE('3 pr-2'!D97)</f>
        <v>M. 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96">
        <f>IF(AE96&gt;0,'3 pr-2'!L97,0)</f>
        <v>1258144.24</v>
      </c>
      <c r="L96" s="1297">
        <f t="shared" si="55"/>
        <v>1258144.24</v>
      </c>
      <c r="M96" s="1298">
        <f t="shared" ca="1" si="59"/>
        <v>0</v>
      </c>
      <c r="N96" s="1296">
        <f>IF(AE96&gt;0,'3 pr-2'!O97,0)</f>
        <v>873495.24</v>
      </c>
      <c r="O96" s="1297">
        <v>873495.24</v>
      </c>
      <c r="P96" s="1298">
        <f ca="1">SUM('ketv. 6 '!P96)</f>
        <v>0</v>
      </c>
      <c r="Q96" s="1296">
        <f>IF(AE96&gt;0,'3 pr-2'!R97,0)</f>
        <v>0</v>
      </c>
      <c r="R96" s="1297">
        <v>0</v>
      </c>
      <c r="S96" s="1298">
        <f ca="1">SUM('ketv. 6 '!T96)</f>
        <v>0</v>
      </c>
      <c r="T96" s="1296">
        <f>IF(AE96&gt;0,'3 pr-2'!U97,0)</f>
        <v>0</v>
      </c>
      <c r="U96" s="1297">
        <v>0</v>
      </c>
      <c r="V96" s="1298">
        <f ca="1">SUM('ketv. 6 '!X96)</f>
        <v>0</v>
      </c>
      <c r="W96" s="1296">
        <f>IF(AE96&gt;0,'3 pr-2'!X97,0)</f>
        <v>0</v>
      </c>
      <c r="X96" s="1297">
        <v>0</v>
      </c>
      <c r="Y96" s="1298">
        <f ca="1">SUM('ketv. 6 '!AB96)</f>
        <v>0</v>
      </c>
      <c r="Z96" s="1296">
        <f>IF(AE96&gt;0,'3 pr-2'!AA97,0)</f>
        <v>384649</v>
      </c>
      <c r="AA96" s="1297">
        <v>384649</v>
      </c>
      <c r="AB96" s="1298">
        <f ca="1">SUM('ketv. 6 '!AF96)</f>
        <v>0</v>
      </c>
      <c r="AC96" s="1296">
        <f>IF($AE$9&gt;0,'3 pr-2'!AB97,0)</f>
        <v>0</v>
      </c>
      <c r="AD96" s="1336">
        <f>SUM('3 pr-2'!AG97)</f>
        <v>42732</v>
      </c>
      <c r="AE96" s="1342">
        <v>42732</v>
      </c>
      <c r="AF96" s="216">
        <f t="shared" si="67"/>
        <v>0</v>
      </c>
      <c r="AG96" s="445" t="str">
        <f t="shared" si="56"/>
        <v>–</v>
      </c>
    </row>
    <row r="97" spans="1:33" ht="45.75" customHeight="1" x14ac:dyDescent="0.25">
      <c r="A97" s="182" t="str">
        <f>CONCATENATE('3 pr-2'!A98)</f>
        <v>1.1.2.4.6</v>
      </c>
      <c r="B97" s="309" t="s">
        <v>1615</v>
      </c>
      <c r="C97" s="182" t="str">
        <f>CONCATENATE('3 pr-2'!B98)</f>
        <v>R01-5511-120000-1246</v>
      </c>
      <c r="D97" s="182" t="str">
        <f>CONCATENATE('3 pr-2'!D98)</f>
        <v>Lazdijų miesto Seinų ir Lazdijos gatvių bei vietinės reikšmės kelio nuo Janonio gatvės iki Lazdijų hipodromo rekonstravimas</v>
      </c>
      <c r="E97" s="182" t="str">
        <f>CONCATENATE('3 pr-2'!E98)</f>
        <v>Lazdijų rajono savivaldybės administracija</v>
      </c>
      <c r="F97" s="182" t="str">
        <f>CONCATENATE('3 pr-2'!F98)</f>
        <v>Lietuvos Respublikos susisiekimo ministerija</v>
      </c>
      <c r="G97" s="182" t="str">
        <f>CONCATENATE('3 pr-2'!G98)</f>
        <v>Lazdijų r. sav.</v>
      </c>
      <c r="H97" s="182" t="str">
        <f>CONCATENATE('3 pr-2'!H98)</f>
        <v>06.2.1-TID-R-511</v>
      </c>
      <c r="I97" s="182" t="str">
        <f>CONCATENATE('3 pr-2'!I98)</f>
        <v>R</v>
      </c>
      <c r="J97" s="182" t="str">
        <f>CONCATENATE('3 pr-2'!J98)</f>
        <v>ITI</v>
      </c>
      <c r="K97" s="1296">
        <f>IF(AE97&gt;0,'3 pr-2'!L98,0)</f>
        <v>759934</v>
      </c>
      <c r="L97" s="1297">
        <f t="shared" si="55"/>
        <v>759934</v>
      </c>
      <c r="M97" s="1298">
        <f t="shared" ca="1" si="59"/>
        <v>759934</v>
      </c>
      <c r="N97" s="1296">
        <f>IF(AE97&gt;0,'3 pr-2'!O98,0)</f>
        <v>113990</v>
      </c>
      <c r="O97" s="1297">
        <v>113990</v>
      </c>
      <c r="P97" s="1298">
        <f ca="1">SUM('ketv. 6 '!P97)</f>
        <v>113990</v>
      </c>
      <c r="Q97" s="1296">
        <f>IF(AE97&gt;0,'3 pr-2'!R98,0)</f>
        <v>0</v>
      </c>
      <c r="R97" s="1297">
        <v>0</v>
      </c>
      <c r="S97" s="1298">
        <f ca="1">SUM('ketv. 6 '!T97)</f>
        <v>0</v>
      </c>
      <c r="T97" s="1296">
        <f>IF(AE97&gt;0,'3 pr-2'!U98,0)</f>
        <v>0</v>
      </c>
      <c r="U97" s="1297">
        <v>0</v>
      </c>
      <c r="V97" s="1298">
        <f ca="1">SUM('ketv. 6 '!X97)</f>
        <v>0</v>
      </c>
      <c r="W97" s="1296">
        <f>IF(AE97&gt;0,'3 pr-2'!X98,0)</f>
        <v>0</v>
      </c>
      <c r="X97" s="1297">
        <v>0</v>
      </c>
      <c r="Y97" s="1298">
        <f ca="1">SUM('ketv. 6 '!AB97)</f>
        <v>0</v>
      </c>
      <c r="Z97" s="1296">
        <f>IF(AE97&gt;0,'3 pr-2'!AA98,0)</f>
        <v>645944</v>
      </c>
      <c r="AA97" s="1297">
        <v>645944</v>
      </c>
      <c r="AB97" s="1298">
        <f ca="1">SUM('ketv. 6 '!AF97)</f>
        <v>645944</v>
      </c>
      <c r="AC97" s="1296">
        <f>IF($AE$9&gt;0,'3 pr-2'!AB98,0)</f>
        <v>0</v>
      </c>
      <c r="AD97" s="1336">
        <f>SUM('3 pr-2'!AG98)</f>
        <v>42732</v>
      </c>
      <c r="AE97" s="1342">
        <v>42732</v>
      </c>
      <c r="AF97" s="216">
        <f t="shared" si="67"/>
        <v>0</v>
      </c>
      <c r="AG97" s="445" t="str">
        <f t="shared" si="56"/>
        <v>–</v>
      </c>
    </row>
    <row r="98" spans="1:33" ht="49.5" thickBot="1" x14ac:dyDescent="0.3">
      <c r="A98" s="182" t="str">
        <f>CONCATENATE('3 pr-2'!A99)</f>
        <v>1.1.2.4.7</v>
      </c>
      <c r="B98" s="309"/>
      <c r="C98" s="182" t="str">
        <f>CONCATENATE('3 pr-2'!B99)</f>
        <v>R01-5511-120000-1247</v>
      </c>
      <c r="D98" s="182" t="str">
        <f>CONCATENATE('3 pr-2'!D99)</f>
        <v>Eismo saugumo priemonių diegimas Druskininkų savivaldybėje</v>
      </c>
      <c r="E98" s="182" t="str">
        <f>CONCATENATE('3 pr-2'!E99)</f>
        <v xml:space="preserve">Druskininkų savivaldybės administracija  </v>
      </c>
      <c r="F98" s="182" t="str">
        <f>CONCATENATE('3 pr-2'!F99)</f>
        <v>Lietuvos Respublikos susisiekimo ministerija</v>
      </c>
      <c r="G98" s="182" t="str">
        <f>CONCATENATE('3 pr-2'!G99)</f>
        <v>Druskininkų sav.</v>
      </c>
      <c r="H98" s="182" t="str">
        <f>CONCATENATE('3 pr-2'!H99)</f>
        <v>06.2.1-TID-R-511</v>
      </c>
      <c r="I98" s="182" t="str">
        <f>CONCATENATE('3 pr-2'!I99)</f>
        <v>R</v>
      </c>
      <c r="J98" s="182" t="str">
        <f>CONCATENATE('3 pr-2'!J99)</f>
        <v>-</v>
      </c>
      <c r="K98" s="1433">
        <f>IF(AE98&gt;0,'3 pr-2'!L99,0)</f>
        <v>135352</v>
      </c>
      <c r="L98" s="1297">
        <v>0</v>
      </c>
      <c r="M98" s="1298">
        <f t="shared" ca="1" si="59"/>
        <v>0</v>
      </c>
      <c r="N98" s="1296">
        <f>IF(AE98&gt;0,'3 pr-2'!O99,0)</f>
        <v>22363</v>
      </c>
      <c r="O98" s="1531">
        <v>0</v>
      </c>
      <c r="P98" s="1298">
        <f ca="1">SUM('ketv. 6 '!P98)</f>
        <v>0</v>
      </c>
      <c r="Q98" s="1433">
        <f>IF(AE98&gt;0,'3 pr-2'!R99,0)</f>
        <v>0</v>
      </c>
      <c r="R98" s="1531">
        <v>0</v>
      </c>
      <c r="S98" s="1298">
        <f ca="1">SUM('ketv. 6 '!T98)</f>
        <v>0</v>
      </c>
      <c r="T98" s="1433">
        <f>IF(AE98&gt;0,'3 pr-2'!U99,0)</f>
        <v>0</v>
      </c>
      <c r="U98" s="1531">
        <v>0</v>
      </c>
      <c r="V98" s="1298">
        <f ca="1">SUM('ketv. 6 '!X98)</f>
        <v>0</v>
      </c>
      <c r="W98" s="1433">
        <f>IF(AE98&gt;0,'3 pr-2'!X99,0)</f>
        <v>0</v>
      </c>
      <c r="X98" s="1531">
        <v>0</v>
      </c>
      <c r="Y98" s="1298">
        <f ca="1">SUM('ketv. 6 '!AB98)</f>
        <v>0</v>
      </c>
      <c r="Z98" s="1433">
        <f>IF(AE98&gt;0,'3 pr-2'!AA99,0)</f>
        <v>112989</v>
      </c>
      <c r="AA98" s="1531">
        <v>0</v>
      </c>
      <c r="AB98" s="1298">
        <f ca="1">SUM('ketv. 6 '!AF98)</f>
        <v>0</v>
      </c>
      <c r="AC98" s="1433">
        <f>IF($AE$9&gt;0,'3 pr-2'!AB99,0)</f>
        <v>0</v>
      </c>
      <c r="AD98" s="1349">
        <f>SUM('3 pr-2'!AG99)</f>
        <v>43404</v>
      </c>
      <c r="AE98" s="1350">
        <v>43388</v>
      </c>
      <c r="AF98" s="401">
        <f t="shared" ref="AF98" si="68">IF((YEAR(AD98)-YEAR(AE98))=0,0,YEAR(AD98)-YEAR(AE98))</f>
        <v>0</v>
      </c>
      <c r="AG98" s="1283" t="str">
        <f t="shared" ref="AG98" si="69">IF(AD98-AE98&lt;0,(AD98-AE98)/30.41667,"–")</f>
        <v>–</v>
      </c>
    </row>
    <row r="99" spans="1:33" ht="48" customHeight="1" thickBot="1" x14ac:dyDescent="0.35">
      <c r="A99" s="412" t="str">
        <f>CONCATENATE('3 pr-2'!A100)</f>
        <v>2.1.</v>
      </c>
      <c r="B99" s="413"/>
      <c r="C99" s="2028" t="str">
        <f>CONCATENATE('3 pr-2'!B100)</f>
        <v>Tikslas:
GERINTI VIEŠŲJŲ  PASLAUGŲ KOKYBĘ IR PRIEINAMUMĄ</v>
      </c>
      <c r="D99" s="2023"/>
      <c r="E99" s="2023"/>
      <c r="F99" s="2023"/>
      <c r="G99" s="2023"/>
      <c r="H99" s="2023"/>
      <c r="I99" s="2023"/>
      <c r="J99" s="2024"/>
      <c r="K99" s="1514">
        <f t="shared" ref="K99:AB99" si="70">SUM(K100+K119+K146+K159)</f>
        <v>12393641.73</v>
      </c>
      <c r="L99" s="1532">
        <f t="shared" si="70"/>
        <v>12430844.540000001</v>
      </c>
      <c r="M99" s="1533">
        <f t="shared" ca="1" si="70"/>
        <v>10982743.48</v>
      </c>
      <c r="N99" s="1514">
        <f t="shared" si="70"/>
        <v>1864321.3399999999</v>
      </c>
      <c r="O99" s="1532">
        <f t="shared" si="70"/>
        <v>1834219.23</v>
      </c>
      <c r="P99" s="1533">
        <f t="shared" ca="1" si="70"/>
        <v>1833041.44</v>
      </c>
      <c r="Q99" s="1514">
        <f t="shared" si="70"/>
        <v>411995.91</v>
      </c>
      <c r="R99" s="1532">
        <f t="shared" si="70"/>
        <v>411238.65</v>
      </c>
      <c r="S99" s="1533">
        <f t="shared" ca="1" si="70"/>
        <v>303389.90999999997</v>
      </c>
      <c r="T99" s="1514">
        <f t="shared" si="70"/>
        <v>40158</v>
      </c>
      <c r="U99" s="1532">
        <f t="shared" si="70"/>
        <v>54374.2</v>
      </c>
      <c r="V99" s="1533">
        <f t="shared" ca="1" si="70"/>
        <v>0</v>
      </c>
      <c r="W99" s="1514">
        <f t="shared" si="70"/>
        <v>1299.95</v>
      </c>
      <c r="X99" s="1521">
        <f t="shared" si="70"/>
        <v>13560.2</v>
      </c>
      <c r="Y99" s="1522">
        <f t="shared" ca="1" si="70"/>
        <v>1299.95</v>
      </c>
      <c r="Z99" s="1514">
        <f t="shared" si="70"/>
        <v>10075866.530000001</v>
      </c>
      <c r="AA99" s="1532">
        <f t="shared" si="70"/>
        <v>10117452.26</v>
      </c>
      <c r="AB99" s="1533">
        <f t="shared" ca="1" si="70"/>
        <v>8845012.1799999997</v>
      </c>
      <c r="AC99" s="1514">
        <f t="shared" ref="AC99" si="71">SUM(AC100+AC119+AC146+AC159)</f>
        <v>0</v>
      </c>
      <c r="AD99" s="1351" t="s">
        <v>690</v>
      </c>
      <c r="AE99" s="1351" t="s">
        <v>690</v>
      </c>
      <c r="AF99" s="406" t="s">
        <v>690</v>
      </c>
      <c r="AG99" s="406"/>
    </row>
    <row r="100" spans="1:33" ht="59.25" customHeight="1" thickBot="1" x14ac:dyDescent="0.3">
      <c r="A100" s="261" t="str">
        <f>CONCATENATE('3 pr-2'!A101)</f>
        <v>2.1.1.</v>
      </c>
      <c r="B100" s="407"/>
      <c r="C100" s="2022" t="str">
        <f>CONCATENATE('3 pr-2'!B101)</f>
        <v xml:space="preserve">Uždavinys:
Bendrojo ugdymo ir neformaliojo švietimo įstaigų (ypač vykdančių ikimokyklinio ir priešmokyklinio ugdymo programas) tinklo veiklos efektyvumo didinimas </v>
      </c>
      <c r="D100" s="2023"/>
      <c r="E100" s="2023"/>
      <c r="F100" s="2023"/>
      <c r="G100" s="2023"/>
      <c r="H100" s="2023"/>
      <c r="I100" s="2023"/>
      <c r="J100" s="2024"/>
      <c r="K100" s="1420">
        <f>SUM(K101+K107+K113)</f>
        <v>4776867.3599999994</v>
      </c>
      <c r="L100" s="1528">
        <f t="shared" ref="L100:AB100" si="72">SUM(L101+L107+L113)</f>
        <v>4705147.4800000004</v>
      </c>
      <c r="M100" s="1524">
        <f t="shared" ca="1" si="72"/>
        <v>4776867.3599999994</v>
      </c>
      <c r="N100" s="1420">
        <f t="shared" si="72"/>
        <v>808633.36</v>
      </c>
      <c r="O100" s="1528">
        <f t="shared" si="72"/>
        <v>736912.48</v>
      </c>
      <c r="P100" s="1524">
        <f t="shared" ca="1" si="72"/>
        <v>808633.36</v>
      </c>
      <c r="Q100" s="1420">
        <f t="shared" si="72"/>
        <v>201262</v>
      </c>
      <c r="R100" s="1528">
        <f t="shared" si="72"/>
        <v>201262</v>
      </c>
      <c r="S100" s="1524">
        <f t="shared" ca="1" si="72"/>
        <v>201262</v>
      </c>
      <c r="T100" s="1420">
        <f t="shared" si="72"/>
        <v>0</v>
      </c>
      <c r="U100" s="1528">
        <f t="shared" si="72"/>
        <v>0</v>
      </c>
      <c r="V100" s="1524">
        <f t="shared" ca="1" si="72"/>
        <v>0</v>
      </c>
      <c r="W100" s="1420">
        <f t="shared" si="72"/>
        <v>0</v>
      </c>
      <c r="X100" s="1529">
        <f t="shared" si="72"/>
        <v>0</v>
      </c>
      <c r="Y100" s="1485">
        <f t="shared" ca="1" si="72"/>
        <v>0</v>
      </c>
      <c r="Z100" s="1420">
        <f t="shared" si="72"/>
        <v>3766972</v>
      </c>
      <c r="AA100" s="1528">
        <f t="shared" si="72"/>
        <v>3766973</v>
      </c>
      <c r="AB100" s="1524">
        <f t="shared" ca="1" si="72"/>
        <v>3766972</v>
      </c>
      <c r="AC100" s="1420">
        <f t="shared" ref="AC100" si="73">SUM(AC101+AC107+AC113)</f>
        <v>0</v>
      </c>
      <c r="AD100" s="1338" t="s">
        <v>690</v>
      </c>
      <c r="AE100" s="1339" t="s">
        <v>690</v>
      </c>
      <c r="AF100" s="408" t="s">
        <v>690</v>
      </c>
      <c r="AG100" s="239"/>
    </row>
    <row r="101" spans="1:33" ht="37.5" customHeight="1" thickBot="1" x14ac:dyDescent="0.3">
      <c r="A101" s="326" t="str">
        <f>CONCATENATE('3 pr-2'!A102)</f>
        <v>2.1.1.1</v>
      </c>
      <c r="B101" s="388"/>
      <c r="C101" s="2025" t="str">
        <f>CONCATENATE('3 pr-2'!B102)</f>
        <v>Priemonė:
Mokyklų tinklo efektyvumo didinimas</v>
      </c>
      <c r="D101" s="2026"/>
      <c r="E101" s="2026"/>
      <c r="F101" s="2026"/>
      <c r="G101" s="2026"/>
      <c r="H101" s="2026"/>
      <c r="I101" s="2026"/>
      <c r="J101" s="2027"/>
      <c r="K101" s="1293">
        <f>SUM(K102:K106)</f>
        <v>1343975.4100000001</v>
      </c>
      <c r="L101" s="1526">
        <f t="shared" ref="L101:AB101" si="74">SUM(L102:L106)</f>
        <v>1343974.4100000001</v>
      </c>
      <c r="M101" s="1295">
        <f t="shared" ca="1" si="74"/>
        <v>1343975.4100000001</v>
      </c>
      <c r="N101" s="1293">
        <f t="shared" si="74"/>
        <v>100799.41</v>
      </c>
      <c r="O101" s="1294">
        <f t="shared" si="74"/>
        <v>100798.41</v>
      </c>
      <c r="P101" s="1527">
        <f t="shared" ca="1" si="74"/>
        <v>100799.41</v>
      </c>
      <c r="Q101" s="1293">
        <f t="shared" si="74"/>
        <v>100799</v>
      </c>
      <c r="R101" s="1294">
        <f t="shared" si="74"/>
        <v>100799</v>
      </c>
      <c r="S101" s="1298">
        <f t="shared" ca="1" si="74"/>
        <v>100799</v>
      </c>
      <c r="T101" s="1293">
        <f t="shared" si="74"/>
        <v>0</v>
      </c>
      <c r="U101" s="1526">
        <f t="shared" si="74"/>
        <v>0</v>
      </c>
      <c r="V101" s="1295">
        <f t="shared" ca="1" si="74"/>
        <v>0</v>
      </c>
      <c r="W101" s="1293">
        <f t="shared" si="74"/>
        <v>0</v>
      </c>
      <c r="X101" s="1294">
        <f t="shared" si="74"/>
        <v>0</v>
      </c>
      <c r="Y101" s="1295">
        <f t="shared" ca="1" si="74"/>
        <v>0</v>
      </c>
      <c r="Z101" s="1293">
        <f t="shared" si="74"/>
        <v>1142377</v>
      </c>
      <c r="AA101" s="1294">
        <f t="shared" si="74"/>
        <v>1142377</v>
      </c>
      <c r="AB101" s="1295">
        <f t="shared" ca="1" si="74"/>
        <v>1142377</v>
      </c>
      <c r="AC101" s="1293">
        <f t="shared" ref="AC101" si="75">SUM(AC102:AC106)</f>
        <v>0</v>
      </c>
      <c r="AD101" s="1340"/>
      <c r="AE101" s="1341"/>
      <c r="AF101" s="398"/>
      <c r="AG101" s="399"/>
    </row>
    <row r="102" spans="1:33" ht="60.75" x14ac:dyDescent="0.25">
      <c r="A102" s="182" t="str">
        <f>CONCATENATE('3 pr-2'!A103)</f>
        <v>2.1.1.1.1</v>
      </c>
      <c r="B102" s="309" t="s">
        <v>3342</v>
      </c>
      <c r="C102" s="182" t="str">
        <f>CONCATENATE('3 pr-2'!B103)</f>
        <v>R01-7724-220000-2111</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96">
        <f>IF(AE102&gt;0,'3 pr-2'!L103,0)</f>
        <v>220453</v>
      </c>
      <c r="L102" s="1297">
        <f t="shared" ref="L102:L118" si="76">SUM(O102+R102+U102+X102+AA102)</f>
        <v>220453</v>
      </c>
      <c r="M102" s="1298">
        <f t="shared" ref="M102:M118" ca="1" si="77">SUM(P102+S102+V102+Y102+AB102)</f>
        <v>220453</v>
      </c>
      <c r="N102" s="1296">
        <f>IF(AE102&gt;0,'3 pr-2'!O103,0)</f>
        <v>16534</v>
      </c>
      <c r="O102" s="1297">
        <v>16534</v>
      </c>
      <c r="P102" s="1298">
        <f ca="1">SUM('ketv. 6 '!P102)</f>
        <v>16534</v>
      </c>
      <c r="Q102" s="1296">
        <f>IF(AE102&gt;0,'3 pr-2'!R103,0)</f>
        <v>16534</v>
      </c>
      <c r="R102" s="1297">
        <v>16534</v>
      </c>
      <c r="S102" s="1298">
        <f ca="1">SUM('ketv. 6 '!T102)</f>
        <v>16534</v>
      </c>
      <c r="T102" s="1296">
        <f>IF(AE102&gt;0,'3 pr-2'!U103,0)</f>
        <v>0</v>
      </c>
      <c r="U102" s="1297">
        <v>0</v>
      </c>
      <c r="V102" s="1298">
        <f ca="1">SUM('ketv. 6 '!X102)</f>
        <v>0</v>
      </c>
      <c r="W102" s="1296">
        <f>IF(AE102&gt;0,'3 pr-2'!X103,0)</f>
        <v>0</v>
      </c>
      <c r="X102" s="1297">
        <v>0</v>
      </c>
      <c r="Y102" s="1298">
        <f ca="1">SUM('ketv. 6 '!AB102)</f>
        <v>0</v>
      </c>
      <c r="Z102" s="1296">
        <f>IF(AE102&gt;0,'3 pr-2'!AA103,0)</f>
        <v>187385</v>
      </c>
      <c r="AA102" s="1297">
        <v>187385</v>
      </c>
      <c r="AB102" s="1298">
        <f ca="1">SUM('ketv. 6 '!AF102)</f>
        <v>187385</v>
      </c>
      <c r="AC102" s="1296">
        <f>IF($AE$9&gt;0,'3 pr-2'!AB103,0)</f>
        <v>0</v>
      </c>
      <c r="AD102" s="1336">
        <f>SUM('3 pr-2'!AG103)</f>
        <v>42916</v>
      </c>
      <c r="AE102" s="1344">
        <v>42915</v>
      </c>
      <c r="AF102" s="216">
        <f t="shared" ref="AF102:AF103" si="78">IF((YEAR(AD102)-YEAR(AE102))=0,0,YEAR(AD102)-YEAR(AE102))</f>
        <v>0</v>
      </c>
      <c r="AG102" s="445" t="str">
        <f t="shared" ref="AG102:AG106" si="79">IF(AD102-AE102&lt;0,(AD102-AE102)/30.41667,"–")</f>
        <v>–</v>
      </c>
    </row>
    <row r="103" spans="1:33" ht="60.75" x14ac:dyDescent="0.25">
      <c r="A103" s="182" t="str">
        <f>CONCATENATE('3 pr-2'!A104)</f>
        <v>2.1.1.1.2</v>
      </c>
      <c r="B103" s="309" t="s">
        <v>823</v>
      </c>
      <c r="C103" s="182" t="str">
        <f>CONCATENATE('3 pr-2'!B104)</f>
        <v>R01-7724-220000-2112</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96">
        <f>IF(AE103&gt;0,'3 pr-2'!L104,0)</f>
        <v>106845.41</v>
      </c>
      <c r="L103" s="1297">
        <f t="shared" si="76"/>
        <v>106845.41</v>
      </c>
      <c r="M103" s="1298">
        <f t="shared" ca="1" si="77"/>
        <v>106845.41</v>
      </c>
      <c r="N103" s="1296">
        <f>IF(AE103&gt;0,'3 pr-2'!O104,0)</f>
        <v>8013.41</v>
      </c>
      <c r="O103" s="1297">
        <v>8013.41</v>
      </c>
      <c r="P103" s="1298">
        <f ca="1">SUM('ketv. 6 '!P103)</f>
        <v>8013.41</v>
      </c>
      <c r="Q103" s="1296">
        <f>IF(AE103&gt;0,'3 pr-2'!R104,0)</f>
        <v>8014</v>
      </c>
      <c r="R103" s="1297">
        <v>8014</v>
      </c>
      <c r="S103" s="1298">
        <f ca="1">SUM('ketv. 6 '!T103)</f>
        <v>8014</v>
      </c>
      <c r="T103" s="1296">
        <f>IF(AE103&gt;0,'3 pr-2'!U104,0)</f>
        <v>0</v>
      </c>
      <c r="U103" s="1297">
        <v>0</v>
      </c>
      <c r="V103" s="1298">
        <f ca="1">SUM('ketv. 6 '!X103)</f>
        <v>0</v>
      </c>
      <c r="W103" s="1296">
        <f>IF(AE103&gt;0,'3 pr-2'!X104,0)</f>
        <v>0</v>
      </c>
      <c r="X103" s="1297">
        <v>0</v>
      </c>
      <c r="Y103" s="1298">
        <f ca="1">SUM('ketv. 6 '!AB103)</f>
        <v>0</v>
      </c>
      <c r="Z103" s="1296">
        <f>IF(AE103&gt;0,'3 pr-2'!AA104,0)</f>
        <v>90818</v>
      </c>
      <c r="AA103" s="1297">
        <v>90818</v>
      </c>
      <c r="AB103" s="1298">
        <f ca="1">SUM('ketv. 6 '!AF103)</f>
        <v>90818</v>
      </c>
      <c r="AC103" s="1296">
        <f>IF($AE$9&gt;0,'3 pr-2'!AB104,0)</f>
        <v>0</v>
      </c>
      <c r="AD103" s="1336">
        <f>SUM('3 pr-2'!AG104)</f>
        <v>42916</v>
      </c>
      <c r="AE103" s="1344">
        <v>42915</v>
      </c>
      <c r="AF103" s="216">
        <f t="shared" si="78"/>
        <v>0</v>
      </c>
      <c r="AG103" s="445" t="str">
        <f t="shared" si="79"/>
        <v>–</v>
      </c>
    </row>
    <row r="104" spans="1:33" ht="60.75" x14ac:dyDescent="0.25">
      <c r="A104" s="182" t="str">
        <f>CONCATENATE('3 pr-2'!A105)</f>
        <v>2.1.1.1.3</v>
      </c>
      <c r="B104" s="309" t="s">
        <v>2503</v>
      </c>
      <c r="C104" s="182" t="str">
        <f>CONCATENATE('3 pr-2'!B105)</f>
        <v>R01-7724-220000-2113</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96">
        <f>IF(AE104&gt;0,'3 pr-2'!L105,0)</f>
        <v>657021</v>
      </c>
      <c r="L104" s="1297">
        <f t="shared" si="76"/>
        <v>657021</v>
      </c>
      <c r="M104" s="1298">
        <f t="shared" ca="1" si="77"/>
        <v>657021</v>
      </c>
      <c r="N104" s="1296">
        <f>IF(AE104&gt;0,'3 pr-2'!O105,0)</f>
        <v>49277</v>
      </c>
      <c r="O104" s="1297">
        <v>49277</v>
      </c>
      <c r="P104" s="1298">
        <f ca="1">SUM('ketv. 6 '!P104)</f>
        <v>49277</v>
      </c>
      <c r="Q104" s="1296">
        <f>IF(AE104&gt;0,'3 pr-2'!R105,0)</f>
        <v>49277</v>
      </c>
      <c r="R104" s="1297">
        <v>49277</v>
      </c>
      <c r="S104" s="1298">
        <f ca="1">SUM('ketv. 6 '!T104)</f>
        <v>49277</v>
      </c>
      <c r="T104" s="1296">
        <f>IF(AE104&gt;0,'3 pr-2'!U105,0)</f>
        <v>0</v>
      </c>
      <c r="U104" s="1297">
        <v>0</v>
      </c>
      <c r="V104" s="1298">
        <f ca="1">SUM('ketv. 6 '!X104)</f>
        <v>0</v>
      </c>
      <c r="W104" s="1296">
        <f>IF(AE104&gt;0,'3 pr-2'!X105,0)</f>
        <v>0</v>
      </c>
      <c r="X104" s="1297">
        <v>0</v>
      </c>
      <c r="Y104" s="1298">
        <f ca="1">SUM('ketv. 6 '!AB104)</f>
        <v>0</v>
      </c>
      <c r="Z104" s="1296">
        <f>IF(AE104&gt;0,'3 pr-2'!AA105,0)</f>
        <v>558467</v>
      </c>
      <c r="AA104" s="1297">
        <v>558467</v>
      </c>
      <c r="AB104" s="1298">
        <f ca="1">SUM('ketv. 6 '!AF104)</f>
        <v>558467</v>
      </c>
      <c r="AC104" s="1296">
        <f>IF($AE$9&gt;0,'3 pr-2'!AB105,0)</f>
        <v>0</v>
      </c>
      <c r="AD104" s="1336">
        <f>SUM('3 pr-2'!AG105)</f>
        <v>42947</v>
      </c>
      <c r="AE104" s="1344">
        <v>42934</v>
      </c>
      <c r="AF104" s="216">
        <f t="shared" ref="AF104" si="80">IF((YEAR(AD104)-YEAR(AE104))=0,0,YEAR(AD104)-YEAR(AE104))</f>
        <v>0</v>
      </c>
      <c r="AG104" s="445" t="str">
        <f t="shared" si="79"/>
        <v>–</v>
      </c>
    </row>
    <row r="105" spans="1:33" ht="60.75" x14ac:dyDescent="0.25">
      <c r="A105" s="182" t="str">
        <f>CONCATENATE('3 pr-2'!A106)</f>
        <v>2.1.1.1.4</v>
      </c>
      <c r="B105" s="309" t="s">
        <v>820</v>
      </c>
      <c r="C105" s="182" t="str">
        <f>CONCATENATE('3 pr-2'!B106)</f>
        <v>R01-7724-220000-2114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96">
        <f>IF(AE105&gt;0,'3 pr-2'!L106,0)</f>
        <v>163877</v>
      </c>
      <c r="L105" s="1297">
        <f t="shared" si="76"/>
        <v>163877</v>
      </c>
      <c r="M105" s="1298">
        <f t="shared" ca="1" si="77"/>
        <v>163877</v>
      </c>
      <c r="N105" s="1296">
        <f>IF(AE105&gt;0,'3 pr-2'!O106,0)</f>
        <v>12291</v>
      </c>
      <c r="O105" s="1297">
        <v>12291</v>
      </c>
      <c r="P105" s="1298">
        <f ca="1">SUM('ketv. 6 '!P105)</f>
        <v>12291</v>
      </c>
      <c r="Q105" s="1296">
        <f>IF(AE105&gt;0,'3 pr-2'!R106,0)</f>
        <v>12291</v>
      </c>
      <c r="R105" s="1297">
        <v>12291</v>
      </c>
      <c r="S105" s="1298">
        <f ca="1">SUM('ketv. 6 '!T105)</f>
        <v>12291</v>
      </c>
      <c r="T105" s="1296">
        <f>IF(AE105&gt;0,'3 pr-2'!U106,0)</f>
        <v>0</v>
      </c>
      <c r="U105" s="1297">
        <v>0</v>
      </c>
      <c r="V105" s="1298">
        <f ca="1">SUM('ketv. 6 '!X105)</f>
        <v>0</v>
      </c>
      <c r="W105" s="1296">
        <f>IF(AE105&gt;0,'3 pr-2'!X106,0)</f>
        <v>0</v>
      </c>
      <c r="X105" s="1297">
        <v>0</v>
      </c>
      <c r="Y105" s="1298">
        <f ca="1">SUM('ketv. 6 '!AB105)</f>
        <v>0</v>
      </c>
      <c r="Z105" s="1296">
        <f>IF(AE105&gt;0,'3 pr-2'!AA106,0)</f>
        <v>139295</v>
      </c>
      <c r="AA105" s="1297">
        <v>139295</v>
      </c>
      <c r="AB105" s="1298">
        <f ca="1">SUM('ketv. 6 '!AF105)</f>
        <v>139295</v>
      </c>
      <c r="AC105" s="1296">
        <f>IF($AE$9&gt;0,'3 pr-2'!AB106,0)</f>
        <v>0</v>
      </c>
      <c r="AD105" s="1336">
        <f>SUM('3 pr-2'!AG106)</f>
        <v>42916</v>
      </c>
      <c r="AE105" s="1344">
        <v>42915</v>
      </c>
      <c r="AF105" s="216">
        <f t="shared" ref="AF105:AF106" si="81">IF((YEAR(AD105)-YEAR(AE105))=0,0,YEAR(AD105)-YEAR(AE105))</f>
        <v>0</v>
      </c>
      <c r="AG105" s="445" t="str">
        <f t="shared" si="79"/>
        <v>–</v>
      </c>
    </row>
    <row r="106" spans="1:33" ht="61.5" thickBot="1" x14ac:dyDescent="0.3">
      <c r="A106" s="182" t="str">
        <f>CONCATENATE('3 pr-2'!A107)</f>
        <v>2.1.1.1.5</v>
      </c>
      <c r="B106" s="309" t="s">
        <v>2498</v>
      </c>
      <c r="C106" s="182" t="str">
        <f>CONCATENATE('3 pr-2'!B107)</f>
        <v>R01-7724-220000-2115</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96">
        <f>IF(AE106&gt;0,'3 pr-2'!L107,0)</f>
        <v>195779</v>
      </c>
      <c r="L106" s="1297">
        <f t="shared" si="76"/>
        <v>195778</v>
      </c>
      <c r="M106" s="1298">
        <f t="shared" ca="1" si="77"/>
        <v>195779</v>
      </c>
      <c r="N106" s="1296">
        <f>IF(AE106&gt;0,'3 pr-2'!O107,0)</f>
        <v>14684</v>
      </c>
      <c r="O106" s="1297">
        <v>14683</v>
      </c>
      <c r="P106" s="1298">
        <f ca="1">SUM('ketv. 6 '!P106)</f>
        <v>14684</v>
      </c>
      <c r="Q106" s="1296">
        <f>IF(AE106&gt;0,'3 pr-2'!R107,0)</f>
        <v>14683</v>
      </c>
      <c r="R106" s="1297">
        <v>14683</v>
      </c>
      <c r="S106" s="1298">
        <f ca="1">SUM('ketv. 6 '!T106)</f>
        <v>14683</v>
      </c>
      <c r="T106" s="1296">
        <f>IF(AE106&gt;0,'3 pr-2'!U107,0)</f>
        <v>0</v>
      </c>
      <c r="U106" s="1297">
        <v>0</v>
      </c>
      <c r="V106" s="1298">
        <f ca="1">SUM('ketv. 6 '!X106)</f>
        <v>0</v>
      </c>
      <c r="W106" s="1296">
        <f>IF(AE106&gt;0,'3 pr-2'!X107,0)</f>
        <v>0</v>
      </c>
      <c r="X106" s="1297">
        <v>0</v>
      </c>
      <c r="Y106" s="1298">
        <f ca="1">SUM('ketv. 6 '!AB106)</f>
        <v>0</v>
      </c>
      <c r="Z106" s="1296">
        <f>IF(AE106&gt;0,'3 pr-2'!AA107,0)</f>
        <v>166412</v>
      </c>
      <c r="AA106" s="1297">
        <v>166412</v>
      </c>
      <c r="AB106" s="1298">
        <f ca="1">SUM('ketv. 6 '!AF106)</f>
        <v>166412</v>
      </c>
      <c r="AC106" s="1296">
        <f>IF($AE$9&gt;0,'3 pr-2'!AB107,0)</f>
        <v>0</v>
      </c>
      <c r="AD106" s="1336">
        <f>SUM('3 pr-2'!AG107)</f>
        <v>42916</v>
      </c>
      <c r="AE106" s="1344">
        <v>42915</v>
      </c>
      <c r="AF106" s="216">
        <f t="shared" si="81"/>
        <v>0</v>
      </c>
      <c r="AG106" s="445" t="str">
        <f t="shared" si="79"/>
        <v>–</v>
      </c>
    </row>
    <row r="107" spans="1:33" ht="39.75" customHeight="1" thickBot="1" x14ac:dyDescent="0.3">
      <c r="A107" s="326" t="str">
        <f>CONCATENATE('3 pr-2'!A108)</f>
        <v>2.1.1.2</v>
      </c>
      <c r="B107" s="388"/>
      <c r="C107" s="2025" t="str">
        <f>CONCATENATE('3 pr-2'!B108)</f>
        <v>Priemonė:
Neformaliojo švietimo infrastruktūros tobulinimas</v>
      </c>
      <c r="D107" s="2026"/>
      <c r="E107" s="2026"/>
      <c r="F107" s="2026"/>
      <c r="G107" s="2026"/>
      <c r="H107" s="2026"/>
      <c r="I107" s="2026"/>
      <c r="J107" s="2027"/>
      <c r="K107" s="1293">
        <f t="shared" ref="K107:AC107" si="82">SUM(K108:K112)</f>
        <v>1973870.18</v>
      </c>
      <c r="L107" s="1526">
        <f t="shared" si="82"/>
        <v>1973394.07</v>
      </c>
      <c r="M107" s="1295">
        <f t="shared" ca="1" si="82"/>
        <v>1973870.18</v>
      </c>
      <c r="N107" s="1293">
        <f t="shared" si="82"/>
        <v>487863.18</v>
      </c>
      <c r="O107" s="1294">
        <f t="shared" si="82"/>
        <v>487386.07</v>
      </c>
      <c r="P107" s="1527">
        <f t="shared" ca="1" si="82"/>
        <v>487863.18</v>
      </c>
      <c r="Q107" s="1293">
        <f t="shared" si="82"/>
        <v>0</v>
      </c>
      <c r="R107" s="1294">
        <f t="shared" si="82"/>
        <v>0</v>
      </c>
      <c r="S107" s="1298">
        <f t="shared" ca="1" si="82"/>
        <v>0</v>
      </c>
      <c r="T107" s="1293">
        <f t="shared" si="82"/>
        <v>0</v>
      </c>
      <c r="U107" s="1526">
        <f t="shared" si="82"/>
        <v>0</v>
      </c>
      <c r="V107" s="1295">
        <f t="shared" ca="1" si="82"/>
        <v>0</v>
      </c>
      <c r="W107" s="1293">
        <f t="shared" si="82"/>
        <v>0</v>
      </c>
      <c r="X107" s="1294">
        <f t="shared" si="82"/>
        <v>0</v>
      </c>
      <c r="Y107" s="1295">
        <f t="shared" ca="1" si="82"/>
        <v>0</v>
      </c>
      <c r="Z107" s="1293">
        <f t="shared" si="82"/>
        <v>1486007</v>
      </c>
      <c r="AA107" s="1294">
        <f t="shared" si="82"/>
        <v>1486008</v>
      </c>
      <c r="AB107" s="1295">
        <f t="shared" ca="1" si="82"/>
        <v>1486007</v>
      </c>
      <c r="AC107" s="1293">
        <f t="shared" si="82"/>
        <v>0</v>
      </c>
      <c r="AD107" s="1340"/>
      <c r="AE107" s="1341"/>
      <c r="AF107" s="398"/>
      <c r="AG107" s="399"/>
    </row>
    <row r="108" spans="1:33" ht="37.5" customHeight="1" x14ac:dyDescent="0.25">
      <c r="A108" s="182" t="str">
        <f>CONCATENATE('3 pr-2'!A109)</f>
        <v>2.1.1.2.1</v>
      </c>
      <c r="B108" s="309" t="s">
        <v>824</v>
      </c>
      <c r="C108" s="182" t="str">
        <f>CONCATENATE('3 pr-2'!B109)</f>
        <v>R01-7725-240000-2121</v>
      </c>
      <c r="D108" s="182" t="str">
        <f>CONCATENATE('3 pr-2'!D109)</f>
        <v>Varėnos moksleivių kūrybos centro pastato J. Basanavičiaus g. 38, Varėnoje, modernizavimas</v>
      </c>
      <c r="E108" s="182" t="str">
        <f>CONCATENATE('3 pr-2'!E109)</f>
        <v>Varėnos rajono savivaldybės administracija</v>
      </c>
      <c r="F108" s="182" t="str">
        <f>CONCATENATE('3 pr-2'!F109)</f>
        <v>Lietuvos Respublikos švietimo ir mokslo ministerija</v>
      </c>
      <c r="G108" s="182" t="str">
        <f>CONCATENATE('3 pr-2'!G109)</f>
        <v>Varėnos r. sav.</v>
      </c>
      <c r="H108" s="182" t="str">
        <f>CONCATENATE('3 pr-2'!H109)</f>
        <v>09.13.CPVA-R-725</v>
      </c>
      <c r="I108" s="182" t="str">
        <f>CONCATENATE('3 pr-2'!I109)</f>
        <v>R</v>
      </c>
      <c r="J108" s="182" t="str">
        <f>CONCATENATE('3 pr-2'!J109)</f>
        <v>-</v>
      </c>
      <c r="K108" s="1296">
        <f>IF(AE108&gt;0,'3 pr-2'!L109,0)</f>
        <v>437551</v>
      </c>
      <c r="L108" s="1297">
        <f t="shared" si="76"/>
        <v>437551</v>
      </c>
      <c r="M108" s="1298">
        <f t="shared" ca="1" si="77"/>
        <v>437551</v>
      </c>
      <c r="N108" s="1296">
        <f>IF(AE108&gt;0,'3 pr-2'!O109,0)</f>
        <v>65633</v>
      </c>
      <c r="O108" s="1297">
        <v>65633</v>
      </c>
      <c r="P108" s="1298">
        <f ca="1">SUM('ketv. 6 '!P108)</f>
        <v>65633</v>
      </c>
      <c r="Q108" s="1296">
        <f>IF(AE108&gt;0,'3 pr-2'!R109,0)</f>
        <v>0</v>
      </c>
      <c r="R108" s="1297">
        <v>0</v>
      </c>
      <c r="S108" s="1298">
        <f ca="1">SUM('ketv. 6 '!T108)</f>
        <v>0</v>
      </c>
      <c r="T108" s="1296">
        <f>IF(AE108&gt;0,'3 pr-2'!U109,0)</f>
        <v>0</v>
      </c>
      <c r="U108" s="1297">
        <v>0</v>
      </c>
      <c r="V108" s="1298">
        <f ca="1">SUM('ketv. 6 '!X108)</f>
        <v>0</v>
      </c>
      <c r="W108" s="1296">
        <f>IF(AE108&gt;0,'3 pr-2'!X109,0)</f>
        <v>0</v>
      </c>
      <c r="X108" s="1297">
        <v>0</v>
      </c>
      <c r="Y108" s="1298">
        <f ca="1">SUM('ketv. 6 '!AB108)</f>
        <v>0</v>
      </c>
      <c r="Z108" s="1296">
        <f>IF(AE108&gt;0,'3 pr-2'!AA109,0)</f>
        <v>371918</v>
      </c>
      <c r="AA108" s="1297">
        <v>371918</v>
      </c>
      <c r="AB108" s="1298">
        <f ca="1">SUM('ketv. 6 '!AF108)</f>
        <v>371918</v>
      </c>
      <c r="AC108" s="1296">
        <f>IF($AE$9&gt;0,'3 pr-2'!AB109,0)</f>
        <v>0</v>
      </c>
      <c r="AD108" s="1336">
        <f>SUM('3 pr-2'!AG109)</f>
        <v>42916</v>
      </c>
      <c r="AE108" s="1344">
        <v>42923</v>
      </c>
      <c r="AF108" s="216">
        <f t="shared" ref="AF108:AF110" si="83">IF((YEAR(AD108)-YEAR(AE108))=0,0,YEAR(AD108)-YEAR(AE108))</f>
        <v>0</v>
      </c>
      <c r="AG108" s="445">
        <f t="shared" ref="AG108:AG112" si="84">IF(AD108-AE108&lt;0,(AD108-AE108)/30.41667,"–")</f>
        <v>-0.23013696108088097</v>
      </c>
    </row>
    <row r="109" spans="1:33" ht="60.75" x14ac:dyDescent="0.25">
      <c r="A109" s="182" t="str">
        <f>CONCATENATE('3 pr-2'!A110)</f>
        <v>2.1.1.2.2</v>
      </c>
      <c r="B109" s="309" t="s">
        <v>826</v>
      </c>
      <c r="C109" s="182" t="str">
        <f>CONCATENATE('3 pr-2'!B110)</f>
        <v>R01-7725-240000-2122</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96">
        <f>IF(AE109&gt;0,'3 pr-2'!L110,0)</f>
        <v>856424.88</v>
      </c>
      <c r="L109" s="1297">
        <f t="shared" si="76"/>
        <v>856456.07000000007</v>
      </c>
      <c r="M109" s="1298">
        <f t="shared" ca="1" si="77"/>
        <v>856424.88</v>
      </c>
      <c r="N109" s="1296">
        <f>IF(AE109&gt;0,'3 pr-2'!O110,0)</f>
        <v>319813.88</v>
      </c>
      <c r="O109" s="1297">
        <v>319845.07</v>
      </c>
      <c r="P109" s="1298">
        <f ca="1">SUM('ketv. 6 '!P109)</f>
        <v>319813.88</v>
      </c>
      <c r="Q109" s="1296">
        <f>IF(AE109&gt;0,'3 pr-2'!R110,0)</f>
        <v>0</v>
      </c>
      <c r="R109" s="1297">
        <v>0</v>
      </c>
      <c r="S109" s="1298">
        <f ca="1">SUM('ketv. 6 '!T109)</f>
        <v>0</v>
      </c>
      <c r="T109" s="1296">
        <f>IF(AE109&gt;0,'3 pr-2'!U110,0)</f>
        <v>0</v>
      </c>
      <c r="U109" s="1297">
        <v>0</v>
      </c>
      <c r="V109" s="1298">
        <f ca="1">SUM('ketv. 6 '!X109)</f>
        <v>0</v>
      </c>
      <c r="W109" s="1296">
        <f>IF(AE109&gt;0,'3 pr-2'!X110,0)</f>
        <v>0</v>
      </c>
      <c r="X109" s="1297">
        <v>0</v>
      </c>
      <c r="Y109" s="1298">
        <f ca="1">SUM('ketv. 6 '!AB109)</f>
        <v>0</v>
      </c>
      <c r="Z109" s="1296">
        <f>IF(AE109&gt;0,'3 pr-2'!AA110,0)</f>
        <v>536611</v>
      </c>
      <c r="AA109" s="1297">
        <v>536611</v>
      </c>
      <c r="AB109" s="1298">
        <f ca="1">SUM('ketv. 6 '!AF109)</f>
        <v>536611</v>
      </c>
      <c r="AC109" s="1296">
        <f>IF($AE$9&gt;0,'3 pr-2'!AB110,0)</f>
        <v>0</v>
      </c>
      <c r="AD109" s="1336">
        <f>SUM('3 pr-2'!AG110)</f>
        <v>42916</v>
      </c>
      <c r="AE109" s="1344">
        <v>42923</v>
      </c>
      <c r="AF109" s="216">
        <f t="shared" si="83"/>
        <v>0</v>
      </c>
      <c r="AG109" s="445">
        <f t="shared" si="84"/>
        <v>-0.23013696108088097</v>
      </c>
    </row>
    <row r="110" spans="1:33" ht="60.75" x14ac:dyDescent="0.25">
      <c r="A110" s="182" t="str">
        <f>CONCATENATE('3 pr-2'!A111)</f>
        <v>2.1.1.2.3</v>
      </c>
      <c r="B110" s="309" t="s">
        <v>825</v>
      </c>
      <c r="C110" s="182" t="str">
        <f>CONCATENATE('3 pr-2'!B111)</f>
        <v>R01-7725-240000-2123</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96">
        <f>IF(AE110&gt;0,'3 pr-2'!L111,0)</f>
        <v>397378</v>
      </c>
      <c r="L110" s="1297">
        <f t="shared" si="76"/>
        <v>397378</v>
      </c>
      <c r="M110" s="1298">
        <f t="shared" ca="1" si="77"/>
        <v>397378</v>
      </c>
      <c r="N110" s="1296">
        <f>IF(AE110&gt;0,'3 pr-2'!O111,0)</f>
        <v>59607</v>
      </c>
      <c r="O110" s="1297">
        <v>59607</v>
      </c>
      <c r="P110" s="1298">
        <f ca="1">SUM('ketv. 6 '!P110)</f>
        <v>59607</v>
      </c>
      <c r="Q110" s="1296">
        <f>IF(AE110&gt;0,'3 pr-2'!R111,0)</f>
        <v>0</v>
      </c>
      <c r="R110" s="1297">
        <v>0</v>
      </c>
      <c r="S110" s="1298">
        <f ca="1">SUM('ketv. 6 '!T110)</f>
        <v>0</v>
      </c>
      <c r="T110" s="1296">
        <f>IF(AE110&gt;0,'3 pr-2'!U111,0)</f>
        <v>0</v>
      </c>
      <c r="U110" s="1297">
        <v>0</v>
      </c>
      <c r="V110" s="1298">
        <f ca="1">SUM('ketv. 6 '!X110)</f>
        <v>0</v>
      </c>
      <c r="W110" s="1296">
        <f>IF(AE110&gt;0,'3 pr-2'!X111,0)</f>
        <v>0</v>
      </c>
      <c r="X110" s="1297">
        <v>0</v>
      </c>
      <c r="Y110" s="1298">
        <f ca="1">SUM('ketv. 6 '!AB110)</f>
        <v>0</v>
      </c>
      <c r="Z110" s="1296">
        <f>IF(AE110&gt;0,'3 pr-2'!AA111,0)</f>
        <v>337771</v>
      </c>
      <c r="AA110" s="1297">
        <v>337771</v>
      </c>
      <c r="AB110" s="1298">
        <f ca="1">SUM('ketv. 6 '!AF110)</f>
        <v>337771</v>
      </c>
      <c r="AC110" s="1296">
        <f>IF($AE$9&gt;0,'3 pr-2'!AB111,0)</f>
        <v>0</v>
      </c>
      <c r="AD110" s="1336">
        <f>SUM('3 pr-2'!AG111)</f>
        <v>42916</v>
      </c>
      <c r="AE110" s="1344">
        <v>42923</v>
      </c>
      <c r="AF110" s="216">
        <f t="shared" si="83"/>
        <v>0</v>
      </c>
      <c r="AG110" s="445">
        <f t="shared" si="84"/>
        <v>-0.23013696108088097</v>
      </c>
    </row>
    <row r="111" spans="1:33" ht="60.75" x14ac:dyDescent="0.25">
      <c r="A111" s="182" t="str">
        <f>CONCATENATE('3 pr-2'!A112)</f>
        <v>2.1.1.2.4</v>
      </c>
      <c r="B111" s="309" t="s">
        <v>821</v>
      </c>
      <c r="C111" s="182" t="str">
        <f>CONCATENATE('3 pr-2'!B112)</f>
        <v>R01-7725-240000-2124</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96">
        <f>IF(AE111&gt;0,'3 pr-2'!L112,0)</f>
        <v>146702.29999999999</v>
      </c>
      <c r="L111" s="1297">
        <f t="shared" si="76"/>
        <v>146195</v>
      </c>
      <c r="M111" s="1298">
        <f t="shared" ca="1" si="77"/>
        <v>146702.29999999999</v>
      </c>
      <c r="N111" s="1296">
        <f>IF(AE111&gt;0,'3 pr-2'!O112,0)</f>
        <v>22436.3</v>
      </c>
      <c r="O111" s="1297">
        <v>21929</v>
      </c>
      <c r="P111" s="1298">
        <f ca="1">SUM('ketv. 6 '!P111)</f>
        <v>22436.3</v>
      </c>
      <c r="Q111" s="1296">
        <f>IF(AE111&gt;0,'3 pr-2'!R112,0)</f>
        <v>0</v>
      </c>
      <c r="R111" s="1297">
        <v>0</v>
      </c>
      <c r="S111" s="1298">
        <f ca="1">SUM('ketv. 6 '!T111)</f>
        <v>0</v>
      </c>
      <c r="T111" s="1296">
        <f>IF(AE111&gt;0,'3 pr-2'!U112,0)</f>
        <v>0</v>
      </c>
      <c r="U111" s="1297">
        <v>0</v>
      </c>
      <c r="V111" s="1298">
        <f ca="1">SUM('ketv. 6 '!X111)</f>
        <v>0</v>
      </c>
      <c r="W111" s="1296">
        <f>IF(AE111&gt;0,'3 pr-2'!X112,0)</f>
        <v>0</v>
      </c>
      <c r="X111" s="1297">
        <v>0</v>
      </c>
      <c r="Y111" s="1298">
        <f ca="1">SUM('ketv. 6 '!AB111)</f>
        <v>0</v>
      </c>
      <c r="Z111" s="1296">
        <f>IF(AE111&gt;0,'3 pr-2'!AA112,0)</f>
        <v>124266</v>
      </c>
      <c r="AA111" s="1297">
        <v>124266</v>
      </c>
      <c r="AB111" s="1298">
        <f ca="1">SUM('ketv. 6 '!AF111)</f>
        <v>124266</v>
      </c>
      <c r="AC111" s="1296">
        <f>IF($AE$9&gt;0,'3 pr-2'!AB112,0)</f>
        <v>0</v>
      </c>
      <c r="AD111" s="1336">
        <f>SUM('3 pr-2'!AG112)</f>
        <v>42916</v>
      </c>
      <c r="AE111" s="1344">
        <v>42866</v>
      </c>
      <c r="AF111" s="216">
        <f t="shared" ref="AF111:AF112" si="85">IF((YEAR(AD111)-YEAR(AE111))=0,0,YEAR(AD111)-YEAR(AE111))</f>
        <v>0</v>
      </c>
      <c r="AG111" s="445" t="str">
        <f t="shared" si="84"/>
        <v>–</v>
      </c>
    </row>
    <row r="112" spans="1:33" ht="61.5" thickBot="1" x14ac:dyDescent="0.3">
      <c r="A112" s="182" t="str">
        <f>CONCATENATE('3 pr-2'!A113)</f>
        <v>2.1.1.2.5</v>
      </c>
      <c r="B112" s="309" t="s">
        <v>804</v>
      </c>
      <c r="C112" s="182" t="str">
        <f>CONCATENATE('3 pr-2'!B113)</f>
        <v>R01-7725-240000-2125</v>
      </c>
      <c r="D112" s="182" t="str">
        <f>CONCATENATE('3 pr-2'!D113)</f>
        <v>Neformaliojo švietimo įstaigų Lazdijų rajono savivaldybėje infrastruktūros tobulinimas</v>
      </c>
      <c r="E112" s="182" t="str">
        <f>CONCATENATE('3 pr-2'!E113)</f>
        <v>VšĮ „Lazdijų sporto centras“</v>
      </c>
      <c r="F112" s="182" t="str">
        <f>CONCATENATE('3 pr-2'!F113)</f>
        <v>Lietuvos Respublikos švietimo ir mokslo ministerija</v>
      </c>
      <c r="G112" s="182" t="str">
        <f>CONCATENATE('3 pr-2'!G113)</f>
        <v>Lazdijų r. sav.</v>
      </c>
      <c r="H112" s="182" t="str">
        <f>CONCATENATE('3 pr-2'!H113)</f>
        <v>09.13.CPVA-R-725</v>
      </c>
      <c r="I112" s="182" t="str">
        <f>CONCATENATE('3 pr-2'!I113)</f>
        <v>R</v>
      </c>
      <c r="J112" s="182" t="str">
        <f>CONCATENATE('3 pr-2'!J113)</f>
        <v>-</v>
      </c>
      <c r="K112" s="1296">
        <f>IF(AE112&gt;0,'3 pr-2'!L113,0)</f>
        <v>135814</v>
      </c>
      <c r="L112" s="1297">
        <f t="shared" si="76"/>
        <v>135814</v>
      </c>
      <c r="M112" s="1298">
        <f t="shared" ca="1" si="77"/>
        <v>135814</v>
      </c>
      <c r="N112" s="1296">
        <f>IF(AE112&gt;0,'3 pr-2'!O113,0)</f>
        <v>20373</v>
      </c>
      <c r="O112" s="1297">
        <v>20372</v>
      </c>
      <c r="P112" s="1298">
        <f ca="1">SUM('ketv. 6 '!P112)</f>
        <v>20373</v>
      </c>
      <c r="Q112" s="1296">
        <f>IF(AE112&gt;0,'3 pr-2'!R113,0)</f>
        <v>0</v>
      </c>
      <c r="R112" s="1297">
        <v>0</v>
      </c>
      <c r="S112" s="1298">
        <f ca="1">SUM('ketv. 6 '!T112)</f>
        <v>0</v>
      </c>
      <c r="T112" s="1296">
        <f>IF(AE112&gt;0,'3 pr-2'!U113,0)</f>
        <v>0</v>
      </c>
      <c r="U112" s="1297">
        <v>0</v>
      </c>
      <c r="V112" s="1298">
        <f ca="1">SUM('ketv. 6 '!X112)</f>
        <v>0</v>
      </c>
      <c r="W112" s="1296">
        <f>IF(AE112&gt;0,'3 pr-2'!X113,0)</f>
        <v>0</v>
      </c>
      <c r="X112" s="1297">
        <v>0</v>
      </c>
      <c r="Y112" s="1298">
        <f ca="1">SUM('ketv. 6 '!AB112)</f>
        <v>0</v>
      </c>
      <c r="Z112" s="1296">
        <f>IF(AE112&gt;0,'3 pr-2'!AA113,0)</f>
        <v>115441</v>
      </c>
      <c r="AA112" s="1297">
        <v>115442</v>
      </c>
      <c r="AB112" s="1298">
        <f ca="1">SUM('ketv. 6 '!AF112)</f>
        <v>115441</v>
      </c>
      <c r="AC112" s="1296">
        <f>IF($AE$9&gt;0,'3 pr-2'!AB113,0)</f>
        <v>0</v>
      </c>
      <c r="AD112" s="1336">
        <f>SUM('3 pr-2'!AG113)</f>
        <v>42866</v>
      </c>
      <c r="AE112" s="1344">
        <v>42866</v>
      </c>
      <c r="AF112" s="216">
        <f t="shared" si="85"/>
        <v>0</v>
      </c>
      <c r="AG112" s="445" t="str">
        <f t="shared" si="84"/>
        <v>–</v>
      </c>
    </row>
    <row r="113" spans="1:34" ht="37.5" customHeight="1" thickBot="1" x14ac:dyDescent="0.3">
      <c r="A113" s="326" t="str">
        <f>CONCATENATE('3 pr-2'!A114)</f>
        <v>2.1.1.3</v>
      </c>
      <c r="B113" s="388"/>
      <c r="C113" s="2025" t="str">
        <f>CONCATENATE('3 pr-2'!B114)</f>
        <v>Priemonė:
Ikimokyklinio ir priešmokyklinio ugdymo prieinamumo didinimas</v>
      </c>
      <c r="D113" s="2026"/>
      <c r="E113" s="2026"/>
      <c r="F113" s="2026"/>
      <c r="G113" s="2026"/>
      <c r="H113" s="2026"/>
      <c r="I113" s="2026"/>
      <c r="J113" s="2027"/>
      <c r="K113" s="1293">
        <f>SUM(K114:K118)</f>
        <v>1459021.7699999998</v>
      </c>
      <c r="L113" s="1526">
        <f t="shared" ref="L113:AC113" si="86">SUM(L114:L118)</f>
        <v>1387779</v>
      </c>
      <c r="M113" s="1295">
        <f t="shared" ca="1" si="86"/>
        <v>1459021.7699999998</v>
      </c>
      <c r="N113" s="1293">
        <f t="shared" si="86"/>
        <v>219970.77</v>
      </c>
      <c r="O113" s="1294">
        <f t="shared" si="86"/>
        <v>148728</v>
      </c>
      <c r="P113" s="1527">
        <f t="shared" ca="1" si="86"/>
        <v>219970.77</v>
      </c>
      <c r="Q113" s="1293">
        <f t="shared" si="86"/>
        <v>100463</v>
      </c>
      <c r="R113" s="1294">
        <f t="shared" si="86"/>
        <v>100463</v>
      </c>
      <c r="S113" s="1298">
        <f t="shared" ca="1" si="86"/>
        <v>100463</v>
      </c>
      <c r="T113" s="1293">
        <f t="shared" si="86"/>
        <v>0</v>
      </c>
      <c r="U113" s="1526">
        <f t="shared" si="86"/>
        <v>0</v>
      </c>
      <c r="V113" s="1295">
        <f t="shared" ca="1" si="86"/>
        <v>0</v>
      </c>
      <c r="W113" s="1293">
        <f t="shared" si="86"/>
        <v>0</v>
      </c>
      <c r="X113" s="1294">
        <f t="shared" si="86"/>
        <v>0</v>
      </c>
      <c r="Y113" s="1295">
        <f t="shared" ca="1" si="86"/>
        <v>0</v>
      </c>
      <c r="Z113" s="1293">
        <f t="shared" si="86"/>
        <v>1138588</v>
      </c>
      <c r="AA113" s="1294">
        <f t="shared" si="86"/>
        <v>1138588</v>
      </c>
      <c r="AB113" s="1295">
        <f t="shared" ca="1" si="86"/>
        <v>1138588</v>
      </c>
      <c r="AC113" s="1293">
        <f t="shared" si="86"/>
        <v>0</v>
      </c>
      <c r="AD113" s="1340"/>
      <c r="AE113" s="1341"/>
      <c r="AF113" s="398"/>
      <c r="AG113" s="399"/>
    </row>
    <row r="114" spans="1:34" ht="60.75" x14ac:dyDescent="0.25">
      <c r="A114" s="182" t="str">
        <f>CONCATENATE('3 pr-2'!A115)</f>
        <v>2.1.1.3.1</v>
      </c>
      <c r="B114" s="309" t="s">
        <v>1259</v>
      </c>
      <c r="C114" s="182" t="str">
        <f>CONCATENATE('3 pr-2'!B115)</f>
        <v>R01-7705-230000-2131</v>
      </c>
      <c r="D114" s="182" t="str">
        <f>CONCATENATE('3 pr-2'!D115)</f>
        <v>Varėnos "Pasakos" vaikų lopšelio-darželio pastato modernizavimas</v>
      </c>
      <c r="E114" s="182" t="str">
        <f>CONCATENATE('3 pr-2'!E115)</f>
        <v>Varėnos rajono savivaldybės administracija</v>
      </c>
      <c r="F114" s="182" t="str">
        <f>CONCATENATE('3 pr-2'!F115)</f>
        <v>Lietuvos Respublikos švietimo ir mokslo ministerija</v>
      </c>
      <c r="G114" s="182" t="str">
        <f>CONCATENATE('3 pr-2'!G115)</f>
        <v>Varėnos r. sav.</v>
      </c>
      <c r="H114" s="182" t="str">
        <f>CONCATENATE('3 pr-2'!H115)</f>
        <v>09.1.3-CPVA-R-705</v>
      </c>
      <c r="I114" s="182" t="str">
        <f>CONCATENATE('3 pr-2'!I115)</f>
        <v>R</v>
      </c>
      <c r="J114" s="182" t="str">
        <f>CONCATENATE('3 pr-2'!J115)</f>
        <v>-</v>
      </c>
      <c r="K114" s="1296">
        <f>IF(AE114&gt;0,'3 pr-2'!L115,0)</f>
        <v>370000</v>
      </c>
      <c r="L114" s="1297">
        <f t="shared" si="76"/>
        <v>370000</v>
      </c>
      <c r="M114" s="1298">
        <f t="shared" ca="1" si="77"/>
        <v>370000</v>
      </c>
      <c r="N114" s="1296">
        <f>IF(AE114&gt;0,'3 pr-2'!O115,0)</f>
        <v>57342</v>
      </c>
      <c r="O114" s="1297">
        <v>57342</v>
      </c>
      <c r="P114" s="1298">
        <f ca="1">SUM('ketv. 6 '!P114)</f>
        <v>57342</v>
      </c>
      <c r="Q114" s="1296">
        <f>IF(AE114&gt;0,'3 pr-2'!R115,0)</f>
        <v>25351</v>
      </c>
      <c r="R114" s="1297">
        <v>25351</v>
      </c>
      <c r="S114" s="1298">
        <f ca="1">SUM('ketv. 6 '!T114)</f>
        <v>25351</v>
      </c>
      <c r="T114" s="1296">
        <f>IF(AE114&gt;0,'3 pr-2'!U115,0)</f>
        <v>0</v>
      </c>
      <c r="U114" s="1297">
        <v>0</v>
      </c>
      <c r="V114" s="1298">
        <f ca="1">SUM('ketv. 6 '!X114)</f>
        <v>0</v>
      </c>
      <c r="W114" s="1296">
        <f>IF(AE114&gt;0,'3 pr-2'!X115,0)</f>
        <v>0</v>
      </c>
      <c r="X114" s="1297">
        <v>0</v>
      </c>
      <c r="Y114" s="1298">
        <f ca="1">SUM('ketv. 6 '!AB114)</f>
        <v>0</v>
      </c>
      <c r="Z114" s="1296">
        <f>IF(AE114&gt;0,'3 pr-2'!AA115,0)</f>
        <v>287307</v>
      </c>
      <c r="AA114" s="1297">
        <v>287307</v>
      </c>
      <c r="AB114" s="1298">
        <f ca="1">SUM('ketv. 6 '!AF114)</f>
        <v>287307</v>
      </c>
      <c r="AC114" s="1296">
        <f>IF($AE$9&gt;0,'3 pr-2'!AB115,0)</f>
        <v>0</v>
      </c>
      <c r="AD114" s="1336">
        <f>SUM('3 pr-2'!AG115)</f>
        <v>43039</v>
      </c>
      <c r="AE114" s="1345">
        <v>43039</v>
      </c>
      <c r="AF114" s="182"/>
      <c r="AG114" s="445" t="str">
        <f t="shared" ref="AG114:AG118" si="87">IF(AD114-AE114&lt;0,(AD114-AE114)/30.41667,"–")</f>
        <v>–</v>
      </c>
      <c r="AH114" s="5"/>
    </row>
    <row r="115" spans="1:34" ht="60.75" x14ac:dyDescent="0.25">
      <c r="A115" s="182" t="str">
        <f>CONCATENATE('3 pr-2'!A116)</f>
        <v>2.1.1.3.2</v>
      </c>
      <c r="B115" s="309" t="s">
        <v>1260</v>
      </c>
      <c r="C115" s="182" t="str">
        <f>CONCATENATE('3 pr-2'!B116)</f>
        <v>R01-7705-230000-2132</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96">
        <f>IF(AE115&gt;0,'3 pr-2'!L116,0)</f>
        <v>597456.88</v>
      </c>
      <c r="L115" s="1297">
        <f t="shared" si="76"/>
        <v>597457</v>
      </c>
      <c r="M115" s="1298">
        <f t="shared" ca="1" si="77"/>
        <v>597456.88</v>
      </c>
      <c r="N115" s="1296">
        <f>IF(AE115&gt;0,'3 pr-2'!O116,0)</f>
        <v>59861.88</v>
      </c>
      <c r="O115" s="1297">
        <v>59862</v>
      </c>
      <c r="P115" s="1298">
        <f ca="1">SUM('ketv. 6 '!P115)</f>
        <v>59861.88</v>
      </c>
      <c r="Q115" s="1296">
        <f>IF(AE115&gt;0,'3 pr-2'!R116,0)</f>
        <v>43588</v>
      </c>
      <c r="R115" s="1297">
        <v>43588</v>
      </c>
      <c r="S115" s="1298">
        <f ca="1">SUM('ketv. 6 '!T115)</f>
        <v>43588</v>
      </c>
      <c r="T115" s="1296">
        <f>IF(AE115&gt;0,'3 pr-2'!U116,0)</f>
        <v>0</v>
      </c>
      <c r="U115" s="1297">
        <v>0</v>
      </c>
      <c r="V115" s="1298">
        <f ca="1">SUM('ketv. 6 '!X115)</f>
        <v>0</v>
      </c>
      <c r="W115" s="1296">
        <f>IF(AE115&gt;0,'3 pr-2'!X116,0)</f>
        <v>0</v>
      </c>
      <c r="X115" s="1297">
        <v>0</v>
      </c>
      <c r="Y115" s="1298">
        <f ca="1">SUM('ketv. 6 '!AB115)</f>
        <v>0</v>
      </c>
      <c r="Z115" s="1296">
        <f>IF(AE115&gt;0,'3 pr-2'!AA116,0)</f>
        <v>494007</v>
      </c>
      <c r="AA115" s="1297">
        <v>494007</v>
      </c>
      <c r="AB115" s="1298">
        <f ca="1">SUM('ketv. 6 '!AF115)</f>
        <v>494007</v>
      </c>
      <c r="AC115" s="1296">
        <f>IF($AE$9&gt;0,'3 pr-2'!AB116,0)</f>
        <v>0</v>
      </c>
      <c r="AD115" s="1336">
        <f>SUM('3 pr-2'!AG116)</f>
        <v>43039</v>
      </c>
      <c r="AE115" s="1345">
        <v>43039</v>
      </c>
      <c r="AF115" s="182"/>
      <c r="AG115" s="445" t="str">
        <f t="shared" si="87"/>
        <v>–</v>
      </c>
    </row>
    <row r="116" spans="1:34" ht="60.75" x14ac:dyDescent="0.25">
      <c r="A116" s="182" t="str">
        <f>CONCATENATE('3 pr-2'!A117)</f>
        <v>2.1.1.3.3</v>
      </c>
      <c r="B116" s="309" t="s">
        <v>1257</v>
      </c>
      <c r="C116" s="182" t="str">
        <f>CONCATENATE('3 pr-2'!B117)</f>
        <v>R01-7705-230000-2133</v>
      </c>
      <c r="D116" s="182" t="str">
        <f>CONCATENATE('3 pr-2'!D117)</f>
        <v>Alytaus lopšelio-darželio "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96">
        <f>IF(AE116&gt;0,'3 pr-2'!L117,0)</f>
        <v>181986</v>
      </c>
      <c r="L116" s="1297">
        <f t="shared" si="76"/>
        <v>181986</v>
      </c>
      <c r="M116" s="1298">
        <f t="shared" ca="1" si="77"/>
        <v>181986</v>
      </c>
      <c r="N116" s="1296">
        <f>IF(AE116&gt;0,'3 pr-2'!O117,0)</f>
        <v>13649</v>
      </c>
      <c r="O116" s="1297">
        <v>13649</v>
      </c>
      <c r="P116" s="1298">
        <f ca="1">SUM('ketv. 6 '!P116)</f>
        <v>13649</v>
      </c>
      <c r="Q116" s="1296">
        <f>IF(AE116&gt;0,'3 pr-2'!R117,0)</f>
        <v>13649</v>
      </c>
      <c r="R116" s="1297">
        <v>13649</v>
      </c>
      <c r="S116" s="1298">
        <f ca="1">SUM('ketv. 6 '!T116)</f>
        <v>13649</v>
      </c>
      <c r="T116" s="1296">
        <f>IF(AE116&gt;0,'3 pr-2'!U117,0)</f>
        <v>0</v>
      </c>
      <c r="U116" s="1297">
        <v>0</v>
      </c>
      <c r="V116" s="1298">
        <f ca="1">SUM('ketv. 6 '!X116)</f>
        <v>0</v>
      </c>
      <c r="W116" s="1296">
        <f>IF(AE116&gt;0,'3 pr-2'!X117,0)</f>
        <v>0</v>
      </c>
      <c r="X116" s="1297">
        <v>0</v>
      </c>
      <c r="Y116" s="1298">
        <f ca="1">SUM('ketv. 6 '!AB116)</f>
        <v>0</v>
      </c>
      <c r="Z116" s="1296">
        <f>IF(AE116&gt;0,'3 pr-2'!AA117,0)</f>
        <v>154688</v>
      </c>
      <c r="AA116" s="1297">
        <v>154688</v>
      </c>
      <c r="AB116" s="1298">
        <f ca="1">SUM('ketv. 6 '!AF116)</f>
        <v>154688</v>
      </c>
      <c r="AC116" s="1296">
        <f>IF($AE$9&gt;0,'3 pr-2'!AB117,0)</f>
        <v>0</v>
      </c>
      <c r="AD116" s="1336">
        <f>SUM('3 pr-2'!AG117)</f>
        <v>43039</v>
      </c>
      <c r="AE116" s="1345">
        <v>42992</v>
      </c>
      <c r="AF116" s="182"/>
      <c r="AG116" s="445" t="str">
        <f t="shared" si="87"/>
        <v>–</v>
      </c>
    </row>
    <row r="117" spans="1:34" ht="60.75" x14ac:dyDescent="0.25">
      <c r="A117" s="182" t="str">
        <f>CONCATENATE('3 pr-2'!A118)</f>
        <v>2.1.1.3.4</v>
      </c>
      <c r="B117" s="309" t="s">
        <v>2493</v>
      </c>
      <c r="C117" s="182" t="str">
        <f>CONCATENATE('3 pr-2'!B118)</f>
        <v>R01-7705-230000-2134</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96">
        <f>IF(AE117&gt;0,'3 pr-2'!L118,0)</f>
        <v>176024.68</v>
      </c>
      <c r="L117" s="1297">
        <f t="shared" si="76"/>
        <v>104792</v>
      </c>
      <c r="M117" s="1298">
        <f t="shared" ca="1" si="77"/>
        <v>176024.68</v>
      </c>
      <c r="N117" s="1296">
        <f>IF(AE117&gt;0,'3 pr-2'!O118,0)</f>
        <v>79091.679999999993</v>
      </c>
      <c r="O117" s="1297">
        <v>7859</v>
      </c>
      <c r="P117" s="1298">
        <f ca="1">SUM('ketv. 6 '!P117)</f>
        <v>79091.679999999993</v>
      </c>
      <c r="Q117" s="1296">
        <f>IF(AE117&gt;0,'3 pr-2'!R118,0)</f>
        <v>7859</v>
      </c>
      <c r="R117" s="1297">
        <v>7859</v>
      </c>
      <c r="S117" s="1298">
        <f ca="1">SUM('ketv. 6 '!T117)</f>
        <v>7859</v>
      </c>
      <c r="T117" s="1296">
        <f>IF(AE117&gt;0,'3 pr-2'!U118,0)</f>
        <v>0</v>
      </c>
      <c r="U117" s="1297">
        <v>0</v>
      </c>
      <c r="V117" s="1298">
        <f ca="1">SUM('ketv. 6 '!X117)</f>
        <v>0</v>
      </c>
      <c r="W117" s="1296">
        <f>IF(AE117&gt;0,'3 pr-2'!X118,0)</f>
        <v>0</v>
      </c>
      <c r="X117" s="1297">
        <v>0</v>
      </c>
      <c r="Y117" s="1298">
        <f ca="1">SUM('ketv. 6 '!AB117)</f>
        <v>0</v>
      </c>
      <c r="Z117" s="1296">
        <f>IF(AE117&gt;0,'3 pr-2'!AA118,0)</f>
        <v>89074</v>
      </c>
      <c r="AA117" s="1297">
        <v>89074</v>
      </c>
      <c r="AB117" s="1298">
        <f ca="1">SUM('ketv. 6 '!AF117)</f>
        <v>89074</v>
      </c>
      <c r="AC117" s="1296">
        <f>IF($AE$9&gt;0,'3 pr-2'!AB118,0)</f>
        <v>0</v>
      </c>
      <c r="AD117" s="1336">
        <f>SUM('3 pr-2'!AG118)</f>
        <v>43008</v>
      </c>
      <c r="AE117" s="1345">
        <v>42992</v>
      </c>
      <c r="AF117" s="182"/>
      <c r="AG117" s="445" t="str">
        <f t="shared" si="87"/>
        <v>–</v>
      </c>
    </row>
    <row r="118" spans="1:34" ht="61.5" thickBot="1" x14ac:dyDescent="0.3">
      <c r="A118" s="182" t="str">
        <f>CONCATENATE('3 pr-2'!A119)</f>
        <v>2.1.1.3.5</v>
      </c>
      <c r="B118" s="309" t="s">
        <v>1258</v>
      </c>
      <c r="C118" s="182" t="str">
        <f>CONCATENATE('3 pr-2'!B119)</f>
        <v>R01-7705-230000-2135</v>
      </c>
      <c r="D118" s="182" t="str">
        <f>CONCATENATE('3 pr-2'!D119)</f>
        <v>Ikimokyklinio ir priešmokyklinio ugdymo įstaigų Lazdijų rajono savivaldybėje modernizavimas</v>
      </c>
      <c r="E118" s="182" t="str">
        <f>CONCATENATE('3 pr-2'!E119)</f>
        <v>Lazdijų rajono savivaldybės administracija</v>
      </c>
      <c r="F118" s="182" t="str">
        <f>CONCATENATE('3 pr-2'!F119)</f>
        <v>Lietuvos Respublikos švietimo ir mokslo ministerija</v>
      </c>
      <c r="G118" s="182" t="str">
        <f>CONCATENATE('3 pr-2'!G119)</f>
        <v>Lazdijų r. sav.</v>
      </c>
      <c r="H118" s="182" t="str">
        <f>CONCATENATE('3 pr-2'!H119)</f>
        <v>09.1.3-CPVA-R-705</v>
      </c>
      <c r="I118" s="182" t="str">
        <f>CONCATENATE('3 pr-2'!I119)</f>
        <v>R</v>
      </c>
      <c r="J118" s="182" t="str">
        <f>CONCATENATE('3 pr-2'!J119)</f>
        <v>-</v>
      </c>
      <c r="K118" s="1296">
        <f>IF(AE118&gt;0,'3 pr-2'!L119,0)</f>
        <v>133554.21</v>
      </c>
      <c r="L118" s="1297">
        <f t="shared" si="76"/>
        <v>133544</v>
      </c>
      <c r="M118" s="1298">
        <f t="shared" ca="1" si="77"/>
        <v>133554.21</v>
      </c>
      <c r="N118" s="1296">
        <f>IF(AE118&gt;0,'3 pr-2'!O119,0)</f>
        <v>10026.209999999999</v>
      </c>
      <c r="O118" s="1297">
        <v>10016</v>
      </c>
      <c r="P118" s="1298">
        <f ca="1">SUM('ketv. 6 '!P118)</f>
        <v>10026.209999999999</v>
      </c>
      <c r="Q118" s="1296">
        <f>IF(AE118&gt;0,'3 pr-2'!R119,0)</f>
        <v>10016</v>
      </c>
      <c r="R118" s="1297">
        <v>10016</v>
      </c>
      <c r="S118" s="1298">
        <f ca="1">SUM('ketv. 6 '!T118)</f>
        <v>10016</v>
      </c>
      <c r="T118" s="1296">
        <f>IF(AE118&gt;0,'3 pr-2'!U119,0)</f>
        <v>0</v>
      </c>
      <c r="U118" s="1297">
        <v>0</v>
      </c>
      <c r="V118" s="1298">
        <f ca="1">SUM('ketv. 6 '!X118)</f>
        <v>0</v>
      </c>
      <c r="W118" s="1296">
        <f>IF(AE118&gt;0,'3 pr-2'!X119,0)</f>
        <v>0</v>
      </c>
      <c r="X118" s="1297">
        <v>0</v>
      </c>
      <c r="Y118" s="1298">
        <f ca="1">SUM('ketv. 6 '!AB118)</f>
        <v>0</v>
      </c>
      <c r="Z118" s="1296">
        <f>IF(AE118&gt;0,'3 pr-2'!AA119,0)</f>
        <v>113512</v>
      </c>
      <c r="AA118" s="1297">
        <v>113512</v>
      </c>
      <c r="AB118" s="1298">
        <f ca="1">SUM('ketv. 6 '!AF118)</f>
        <v>113512</v>
      </c>
      <c r="AC118" s="1296">
        <f>IF($AE$9&gt;0,'3 pr-2'!AB119,0)</f>
        <v>0</v>
      </c>
      <c r="AD118" s="1336">
        <f>SUM('3 pr-2'!AG119)</f>
        <v>43039</v>
      </c>
      <c r="AE118" s="1345">
        <v>42992</v>
      </c>
      <c r="AF118" s="182"/>
      <c r="AG118" s="445" t="str">
        <f t="shared" si="87"/>
        <v>–</v>
      </c>
    </row>
    <row r="119" spans="1:34" ht="50.25" customHeight="1" thickBot="1" x14ac:dyDescent="0.3">
      <c r="A119" s="261" t="str">
        <f>CONCATENATE('3 pr-2'!A120)</f>
        <v>2.1.2.</v>
      </c>
      <c r="B119" s="407"/>
      <c r="C119" s="2022" t="str">
        <f>CONCATENATE('3 pr-2'!B120)</f>
        <v>Uždavinys:
Sveikatos netolygumų sumažinimas, gerinant sveikatos priežiūros kokybę ir prieinamumą tikslinėms gyventojų grupėms ir sveiko senėjimo skatinimas</v>
      </c>
      <c r="D119" s="2023"/>
      <c r="E119" s="2023"/>
      <c r="F119" s="2023"/>
      <c r="G119" s="2023"/>
      <c r="H119" s="2023"/>
      <c r="I119" s="2023"/>
      <c r="J119" s="2024"/>
      <c r="K119" s="1420">
        <f t="shared" ref="K119:AB119" si="88">SUM(K120+K134+K140)</f>
        <v>2508263.7200000002</v>
      </c>
      <c r="L119" s="1528">
        <f t="shared" si="88"/>
        <v>2535067.0900000003</v>
      </c>
      <c r="M119" s="1524">
        <f t="shared" ca="1" si="88"/>
        <v>1060197.7199999997</v>
      </c>
      <c r="N119" s="1420">
        <f t="shared" si="88"/>
        <v>146668.16</v>
      </c>
      <c r="O119" s="1528">
        <f t="shared" si="88"/>
        <v>148119.78</v>
      </c>
      <c r="P119" s="1524">
        <f t="shared" ca="1" si="88"/>
        <v>78220.160000000003</v>
      </c>
      <c r="Q119" s="1420">
        <f t="shared" si="88"/>
        <v>188786.06</v>
      </c>
      <c r="R119" s="1528">
        <f t="shared" si="88"/>
        <v>188028.65000000002</v>
      </c>
      <c r="S119" s="1524">
        <f t="shared" ca="1" si="88"/>
        <v>80180.06</v>
      </c>
      <c r="T119" s="1420">
        <f t="shared" si="88"/>
        <v>40158</v>
      </c>
      <c r="U119" s="1528">
        <f t="shared" si="88"/>
        <v>54374.2</v>
      </c>
      <c r="V119" s="1524">
        <f t="shared" ca="1" si="88"/>
        <v>0</v>
      </c>
      <c r="W119" s="1420">
        <f t="shared" si="88"/>
        <v>1299.95</v>
      </c>
      <c r="X119" s="1529">
        <f t="shared" si="88"/>
        <v>13560.2</v>
      </c>
      <c r="Y119" s="1485">
        <f t="shared" ca="1" si="88"/>
        <v>1299.95</v>
      </c>
      <c r="Z119" s="1420">
        <f t="shared" si="88"/>
        <v>2131351.5500000003</v>
      </c>
      <c r="AA119" s="1528">
        <f t="shared" si="88"/>
        <v>2130984.2600000002</v>
      </c>
      <c r="AB119" s="1524">
        <f t="shared" ca="1" si="88"/>
        <v>900497.54999999993</v>
      </c>
      <c r="AC119" s="1420">
        <f t="shared" ref="AC119" si="89">SUM(AC120+AC134+AC140)</f>
        <v>0</v>
      </c>
      <c r="AD119" s="1338"/>
      <c r="AE119" s="1339"/>
      <c r="AF119" s="408"/>
      <c r="AG119" s="239"/>
    </row>
    <row r="120" spans="1:34" ht="33" customHeight="1" thickBot="1" x14ac:dyDescent="0.3">
      <c r="A120" s="326" t="str">
        <f>CONCATENATE('3 pr-2'!A121)</f>
        <v>2.1.2.1</v>
      </c>
      <c r="B120" s="388"/>
      <c r="C120" s="2025" t="str">
        <f>CONCATENATE('3 pr-2'!B121)</f>
        <v>Priemonė:
Pirminės asmens ir visuomenės sveikatos priežiūros veiklos efektyvumo didinimas gerinant jų infrastruktūrą</v>
      </c>
      <c r="D120" s="2026"/>
      <c r="E120" s="2026"/>
      <c r="F120" s="2026"/>
      <c r="G120" s="2026"/>
      <c r="H120" s="2026"/>
      <c r="I120" s="2026"/>
      <c r="J120" s="2027"/>
      <c r="K120" s="1293">
        <f t="shared" ref="K120" si="90">SUM(K121:K133)</f>
        <v>1448066</v>
      </c>
      <c r="L120" s="1526">
        <f t="shared" ref="L120" si="91">SUM(L121:L133)</f>
        <v>1474868.19</v>
      </c>
      <c r="M120" s="1295">
        <f t="shared" ref="M120" ca="1" si="92">SUM(M121:M133)</f>
        <v>0</v>
      </c>
      <c r="N120" s="1293">
        <f t="shared" ref="N120" si="93">SUM(N121:N133)</f>
        <v>68448</v>
      </c>
      <c r="O120" s="1294">
        <f t="shared" ref="O120" si="94">SUM(O121:O133)</f>
        <v>69899.53</v>
      </c>
      <c r="P120" s="1527">
        <f t="shared" ref="P120" ca="1" si="95">SUM(P121:P133)</f>
        <v>0</v>
      </c>
      <c r="Q120" s="1293">
        <f t="shared" ref="Q120" si="96">SUM(Q121:Q133)</f>
        <v>108606</v>
      </c>
      <c r="R120" s="1294">
        <f t="shared" ref="R120" si="97">SUM(R121:R133)</f>
        <v>108513.80000000002</v>
      </c>
      <c r="S120" s="1534">
        <f t="shared" ref="S120" ca="1" si="98">SUM(S121:S133)</f>
        <v>0</v>
      </c>
      <c r="T120" s="1293">
        <f t="shared" ref="T120" si="99">SUM(T121:T133)</f>
        <v>40158</v>
      </c>
      <c r="U120" s="1526">
        <f t="shared" ref="U120" si="100">SUM(U121:U133)</f>
        <v>54374.2</v>
      </c>
      <c r="V120" s="1295">
        <f t="shared" ref="V120" ca="1" si="101">SUM(V121:V133)</f>
        <v>0</v>
      </c>
      <c r="W120" s="1293">
        <f t="shared" ref="W120" si="102">SUM(W121:W133)</f>
        <v>0</v>
      </c>
      <c r="X120" s="1294">
        <f t="shared" ref="X120" si="103">SUM(X121:X133)</f>
        <v>12265</v>
      </c>
      <c r="Y120" s="1295">
        <f t="shared" ref="Y120" ca="1" si="104">SUM(Y121:Y133)</f>
        <v>0</v>
      </c>
      <c r="Z120" s="1293">
        <f t="shared" ref="Z120" si="105">SUM(Z121:Z133)</f>
        <v>1230854</v>
      </c>
      <c r="AA120" s="1294">
        <f t="shared" ref="AA120" si="106">SUM(AA121:AA133)</f>
        <v>1229815.6600000001</v>
      </c>
      <c r="AB120" s="1295">
        <f t="shared" ref="AB120:AC120" ca="1" si="107">SUM(AB121:AB133)</f>
        <v>0</v>
      </c>
      <c r="AC120" s="1293">
        <f t="shared" si="107"/>
        <v>0</v>
      </c>
      <c r="AD120" s="1340"/>
      <c r="AE120" s="1341"/>
      <c r="AF120" s="398"/>
      <c r="AG120" s="399"/>
    </row>
    <row r="121" spans="1:34" ht="60.75" x14ac:dyDescent="0.25">
      <c r="A121" s="182" t="str">
        <f>CONCATENATE('3 pr-2'!A122)</f>
        <v>2.1.2.1.1</v>
      </c>
      <c r="B121" s="309" t="s">
        <v>3529</v>
      </c>
      <c r="C121" s="182" t="str">
        <f>CONCATENATE('3 pr-2'!B122)</f>
        <v>R01-6609-274710-2211</v>
      </c>
      <c r="D121" s="182" t="str">
        <f>CONCATENATE('3 pr-2'!D122)</f>
        <v xml:space="preserve">Alytaus poliklinikos teikiamų pirminės sveikatos priežiūros paslaugų prieinamumo didinimas ir kokybės gerinimas </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435">
        <f>IF(AE121&gt;0,'3 pr-2'!L122,0)</f>
        <v>458183</v>
      </c>
      <c r="L121" s="1535">
        <f t="shared" ref="L121:L139" si="108">SUM(O121+R121+U121+X121+AA121)</f>
        <v>466774.13</v>
      </c>
      <c r="M121" s="1298">
        <f t="shared" ref="M121:M145" ca="1" si="109">SUM(P121+S121+V121+Y121+AB121)</f>
        <v>0</v>
      </c>
      <c r="N121" s="1435">
        <f>IF(AE121&gt;0,'3 pr-2'!O122,0)</f>
        <v>34364</v>
      </c>
      <c r="O121" s="1535">
        <v>42954.13</v>
      </c>
      <c r="P121" s="1298">
        <f ca="1">SUM('ketv. 6 '!P121)</f>
        <v>0</v>
      </c>
      <c r="Q121" s="1435">
        <f>IF(AE121&gt;0,'3 pr-2'!R122,0)</f>
        <v>34363</v>
      </c>
      <c r="R121" s="1535">
        <v>34364</v>
      </c>
      <c r="S121" s="1298">
        <f ca="1">SUM('ketv. 6 '!T121)</f>
        <v>0</v>
      </c>
      <c r="T121" s="1435">
        <f>IF(AE121&gt;0,'3 pr-2'!U122,0)</f>
        <v>0</v>
      </c>
      <c r="U121" s="1535">
        <v>0</v>
      </c>
      <c r="V121" s="1298">
        <f ca="1">SUM('ketv. 6 '!X121)</f>
        <v>0</v>
      </c>
      <c r="W121" s="1435">
        <f>IF(AE121&gt;0,'3 pr-2'!X122,0)</f>
        <v>0</v>
      </c>
      <c r="X121" s="1535">
        <v>0</v>
      </c>
      <c r="Y121" s="1298">
        <f ca="1">SUM('ketv. 6 '!AB121)</f>
        <v>0</v>
      </c>
      <c r="Z121" s="1435">
        <f>IF(AE121&gt;0,'3 pr-2'!AA122,0)</f>
        <v>389456</v>
      </c>
      <c r="AA121" s="1535">
        <v>389456</v>
      </c>
      <c r="AB121" s="1298">
        <f ca="1">SUM('ketv. 6 '!AF121)</f>
        <v>0</v>
      </c>
      <c r="AC121" s="1435">
        <f>IF($AE$9&gt;0,'3 pr-2'!AB122,0)</f>
        <v>0</v>
      </c>
      <c r="AD121" s="1336">
        <f>SUM('3 pr-2'!AG122)</f>
        <v>43312</v>
      </c>
      <c r="AE121" s="1336">
        <v>43311</v>
      </c>
      <c r="AF121" s="216"/>
      <c r="AG121" s="445" t="str">
        <f t="shared" ref="AG121:AG128" si="110">IF(AD121-AE121&lt;0,(AD121-AE121)/30.41667,"–")</f>
        <v>–</v>
      </c>
    </row>
    <row r="122" spans="1:34" ht="84.75" x14ac:dyDescent="0.25">
      <c r="A122" s="182" t="str">
        <f>CONCATENATE('3 pr-2'!A123)</f>
        <v>2.1.2.1.2</v>
      </c>
      <c r="B122" s="309" t="s">
        <v>3540</v>
      </c>
      <c r="C122" s="182" t="str">
        <f>CONCATENATE('3 pr-2'!B123)</f>
        <v>R01-6609-274710-2212</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96">
        <f>IF(AE122&gt;0,'3 pr-2'!L123,0)</f>
        <v>50356</v>
      </c>
      <c r="L122" s="1297">
        <f t="shared" si="108"/>
        <v>50356</v>
      </c>
      <c r="M122" s="1298">
        <f t="shared" ca="1" si="109"/>
        <v>0</v>
      </c>
      <c r="N122" s="1296">
        <f>IF(AE122&gt;0,'3 pr-2'!O123,0)</f>
        <v>3777</v>
      </c>
      <c r="O122" s="1297">
        <v>3777</v>
      </c>
      <c r="P122" s="1298">
        <f ca="1">SUM('ketv. 6 '!P122)</f>
        <v>0</v>
      </c>
      <c r="Q122" s="1296">
        <f>IF(AE122&gt;0,'3 pr-2'!R123,0)</f>
        <v>3777</v>
      </c>
      <c r="R122" s="1297">
        <v>3777</v>
      </c>
      <c r="S122" s="1298">
        <f ca="1">SUM('ketv. 6 '!T122)</f>
        <v>0</v>
      </c>
      <c r="T122" s="1296">
        <f>IF(AE122&gt;0,'3 pr-2'!U123,0)</f>
        <v>0</v>
      </c>
      <c r="U122" s="1297">
        <v>0</v>
      </c>
      <c r="V122" s="1298">
        <f ca="1">SUM('ketv. 6 '!X122)</f>
        <v>0</v>
      </c>
      <c r="W122" s="1296">
        <f>IF(AE122&gt;0,'3 pr-2'!X123,0)</f>
        <v>0</v>
      </c>
      <c r="X122" s="1297">
        <v>0</v>
      </c>
      <c r="Y122" s="1298">
        <f ca="1">SUM('ketv. 6 '!AB122)</f>
        <v>0</v>
      </c>
      <c r="Z122" s="1296">
        <f>IF(AE122&gt;0,'3 pr-2'!AA123,0)</f>
        <v>42802</v>
      </c>
      <c r="AA122" s="1297">
        <v>42802</v>
      </c>
      <c r="AB122" s="1298">
        <f ca="1">SUM('ketv. 6 '!AF122)</f>
        <v>0</v>
      </c>
      <c r="AC122" s="1296">
        <f>IF($AE$9&gt;0,'3 pr-2'!AB123,0)</f>
        <v>0</v>
      </c>
      <c r="AD122" s="1336">
        <f>SUM('3 pr-2'!AG123)</f>
        <v>43312</v>
      </c>
      <c r="AE122" s="1336">
        <v>43272</v>
      </c>
      <c r="AF122" s="216"/>
      <c r="AG122" s="445" t="str">
        <f t="shared" si="110"/>
        <v>–</v>
      </c>
    </row>
    <row r="123" spans="1:34" ht="60.75" x14ac:dyDescent="0.25">
      <c r="A123" s="182" t="str">
        <f>CONCATENATE('3 pr-2'!A124)</f>
        <v>2.1.2.1.3</v>
      </c>
      <c r="B123" s="309" t="s">
        <v>3534</v>
      </c>
      <c r="C123" s="182" t="str">
        <f>CONCATENATE('3 pr-2'!B124)</f>
        <v>R01-6609-274700-2213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96">
        <f>IF(AE123&gt;0,'3 pr-2'!L124,0)</f>
        <v>83468</v>
      </c>
      <c r="L123" s="1297">
        <f t="shared" si="108"/>
        <v>82938</v>
      </c>
      <c r="M123" s="1298">
        <f t="shared" ca="1" si="109"/>
        <v>0</v>
      </c>
      <c r="N123" s="1296">
        <f>IF(AE123&gt;0,'3 pr-2'!O124,0)</f>
        <v>0</v>
      </c>
      <c r="O123" s="1297">
        <v>0</v>
      </c>
      <c r="P123" s="1298">
        <f ca="1">SUM('ketv. 6 '!P123)</f>
        <v>0</v>
      </c>
      <c r="Q123" s="1296">
        <f>IF(AE123&gt;0,'3 pr-2'!R124,0)</f>
        <v>6260</v>
      </c>
      <c r="R123" s="1297">
        <v>6220</v>
      </c>
      <c r="S123" s="1298">
        <f ca="1">SUM('ketv. 6 '!T123)</f>
        <v>0</v>
      </c>
      <c r="T123" s="1296">
        <f>IF(AE123&gt;0,'3 pr-2'!U124,0)</f>
        <v>6260</v>
      </c>
      <c r="U123" s="1297">
        <v>6220</v>
      </c>
      <c r="V123" s="1298">
        <f ca="1">SUM('ketv. 6 '!X123)</f>
        <v>0</v>
      </c>
      <c r="W123" s="1296">
        <f>IF(AE123&gt;0,'3 pr-2'!X124,0)</f>
        <v>0</v>
      </c>
      <c r="X123" s="1297">
        <v>0</v>
      </c>
      <c r="Y123" s="1298">
        <f ca="1">SUM('ketv. 6 '!AB123)</f>
        <v>0</v>
      </c>
      <c r="Z123" s="1296">
        <f>IF(AE123&gt;0,'3 pr-2'!AA124,0)</f>
        <v>70948</v>
      </c>
      <c r="AA123" s="1297">
        <v>70498</v>
      </c>
      <c r="AB123" s="1298">
        <f ca="1">SUM('ketv. 6 '!AF123)</f>
        <v>0</v>
      </c>
      <c r="AC123" s="1296">
        <f>IF($AE$9&gt;0,'3 pr-2'!AB124,0)</f>
        <v>0</v>
      </c>
      <c r="AD123" s="1336">
        <f>SUM('3 pr-2'!AG124)</f>
        <v>43312</v>
      </c>
      <c r="AE123" s="1336">
        <v>43272</v>
      </c>
      <c r="AF123" s="216"/>
      <c r="AG123" s="445" t="str">
        <f t="shared" si="110"/>
        <v>–</v>
      </c>
    </row>
    <row r="124" spans="1:34" ht="60.75" x14ac:dyDescent="0.25">
      <c r="A124" s="182" t="str">
        <f>CONCATENATE('3 pr-2'!A125)</f>
        <v>2.1.2.1.4</v>
      </c>
      <c r="B124" s="309" t="s">
        <v>3543</v>
      </c>
      <c r="C124" s="182" t="str">
        <f>CONCATENATE('3 pr-2'!B125)</f>
        <v>R01-6609-274710-2214</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96">
        <f>IF(AE124&gt;0,'3 pr-2'!L125,0)</f>
        <v>44091</v>
      </c>
      <c r="L124" s="1297">
        <f t="shared" si="108"/>
        <v>43413.03</v>
      </c>
      <c r="M124" s="1298">
        <f t="shared" ca="1" si="109"/>
        <v>0</v>
      </c>
      <c r="N124" s="1296">
        <f>IF(AE124&gt;0,'3 pr-2'!O125,0)</f>
        <v>0</v>
      </c>
      <c r="O124" s="1297">
        <v>0</v>
      </c>
      <c r="P124" s="1298">
        <f ca="1">SUM('ketv. 6 '!P124)</f>
        <v>0</v>
      </c>
      <c r="Q124" s="1296">
        <f>IF(AE124&gt;0,'3 pr-2'!R125,0)</f>
        <v>3307</v>
      </c>
      <c r="R124" s="1297">
        <v>3255.98</v>
      </c>
      <c r="S124" s="1298">
        <f ca="1">SUM('ketv. 6 '!T124)</f>
        <v>0</v>
      </c>
      <c r="T124" s="1296">
        <f>IF(AE124&gt;0,'3 pr-2'!U125,0)</f>
        <v>3306</v>
      </c>
      <c r="U124" s="1297">
        <v>3255.98</v>
      </c>
      <c r="V124" s="1298">
        <f ca="1">SUM('ketv. 6 '!X124)</f>
        <v>0</v>
      </c>
      <c r="W124" s="1296">
        <f>IF(AE124&gt;0,'3 pr-2'!X125,0)</f>
        <v>0</v>
      </c>
      <c r="X124" s="1297">
        <v>0</v>
      </c>
      <c r="Y124" s="1298">
        <f ca="1">SUM('ketv. 6 '!AB124)</f>
        <v>0</v>
      </c>
      <c r="Z124" s="1296">
        <f>IF(AE124&gt;0,'3 pr-2'!AA125,0)</f>
        <v>37478</v>
      </c>
      <c r="AA124" s="1297">
        <v>36901.07</v>
      </c>
      <c r="AB124" s="1298">
        <f ca="1">SUM('ketv. 6 '!AF124)</f>
        <v>0</v>
      </c>
      <c r="AC124" s="1296">
        <f>IF($AE$9&gt;0,'3 pr-2'!AB125,0)</f>
        <v>0</v>
      </c>
      <c r="AD124" s="1336">
        <f>SUM('3 pr-2'!AG125)</f>
        <v>43312</v>
      </c>
      <c r="AE124" s="1336">
        <v>43272</v>
      </c>
      <c r="AF124" s="216"/>
      <c r="AG124" s="445" t="str">
        <f t="shared" si="110"/>
        <v>–</v>
      </c>
    </row>
    <row r="125" spans="1:34" ht="84.75" x14ac:dyDescent="0.25">
      <c r="A125" s="182" t="str">
        <f>CONCATENATE('3 pr-2'!A126)</f>
        <v>2.1.2.1.5</v>
      </c>
      <c r="B125" s="309"/>
      <c r="C125" s="182" t="str">
        <f>CONCATENATE('3 pr-2'!B126)</f>
        <v>R01-6609-274710-2215</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96">
        <f>IF(AE125&gt;0,'3 pr-2'!L126,0)</f>
        <v>171636</v>
      </c>
      <c r="L125" s="1297">
        <f t="shared" si="108"/>
        <v>171636</v>
      </c>
      <c r="M125" s="1298">
        <f t="shared" ca="1" si="109"/>
        <v>0</v>
      </c>
      <c r="N125" s="1296">
        <f>IF(AE125&gt;0,'3 pr-2'!O126,0)</f>
        <v>12873</v>
      </c>
      <c r="O125" s="1297">
        <v>0</v>
      </c>
      <c r="P125" s="1298">
        <f ca="1">SUM('ketv. 6 '!P125)</f>
        <v>0</v>
      </c>
      <c r="Q125" s="1296">
        <f>IF(AE125&gt;0,'3 pr-2'!R126,0)</f>
        <v>12873</v>
      </c>
      <c r="R125" s="1297">
        <v>12873</v>
      </c>
      <c r="S125" s="1298">
        <f ca="1">SUM('ketv. 6 '!T125)</f>
        <v>0</v>
      </c>
      <c r="T125" s="1296">
        <f>IF(AE125&gt;0,'3 pr-2'!U126,0)</f>
        <v>0</v>
      </c>
      <c r="U125" s="1297">
        <v>12873</v>
      </c>
      <c r="V125" s="1298">
        <f ca="1">SUM('ketv. 6 '!X125)</f>
        <v>0</v>
      </c>
      <c r="W125" s="1296">
        <f>IF(AE125&gt;0,'3 pr-2'!X126,0)</f>
        <v>0</v>
      </c>
      <c r="X125" s="1297">
        <v>0</v>
      </c>
      <c r="Y125" s="1298">
        <f ca="1">SUM('ketv. 6 '!AB125)</f>
        <v>0</v>
      </c>
      <c r="Z125" s="1296">
        <f>IF(AE125&gt;0,'3 pr-2'!AA126,0)</f>
        <v>145890</v>
      </c>
      <c r="AA125" s="1297">
        <v>145890</v>
      </c>
      <c r="AB125" s="1298">
        <f ca="1">SUM('ketv. 6 '!AF125)</f>
        <v>0</v>
      </c>
      <c r="AC125" s="1296">
        <f>IF($AE$9&gt;0,'3 pr-2'!AB126,0)</f>
        <v>0</v>
      </c>
      <c r="AD125" s="1336">
        <f>SUM('3 pr-2'!AG126)</f>
        <v>43312</v>
      </c>
      <c r="AE125" s="1336">
        <v>43272</v>
      </c>
      <c r="AF125" s="216"/>
      <c r="AG125" s="445" t="str">
        <f t="shared" si="110"/>
        <v>–</v>
      </c>
    </row>
    <row r="126" spans="1:34" ht="60.75" x14ac:dyDescent="0.25">
      <c r="A126" s="182" t="str">
        <f>CONCATENATE('3 pr-2'!A127)</f>
        <v>2.1.2.1.6</v>
      </c>
      <c r="B126" s="309"/>
      <c r="C126" s="182" t="str">
        <f>CONCATENATE('3 pr-2'!B127)</f>
        <v>R01-6609-471000-2216</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96">
        <f>IF(AE126&gt;0,'3 pr-2'!L127,0)</f>
        <v>17386</v>
      </c>
      <c r="L126" s="1297">
        <f t="shared" si="108"/>
        <v>24107.8</v>
      </c>
      <c r="M126" s="1298">
        <f t="shared" ca="1" si="109"/>
        <v>0</v>
      </c>
      <c r="N126" s="1296">
        <f>IF(AE126&gt;0,'3 pr-2'!O127,0)</f>
        <v>0</v>
      </c>
      <c r="O126" s="1297">
        <v>0</v>
      </c>
      <c r="P126" s="1298">
        <f ca="1">SUM('ketv. 6 '!P126)</f>
        <v>0</v>
      </c>
      <c r="Q126" s="1296">
        <f>IF(AE126&gt;0,'3 pr-2'!R127,0)</f>
        <v>1304</v>
      </c>
      <c r="R126" s="1297">
        <v>1304</v>
      </c>
      <c r="S126" s="1298">
        <f ca="1">SUM('ketv. 6 '!T126)</f>
        <v>0</v>
      </c>
      <c r="T126" s="1296">
        <f>IF(AE126&gt;0,'3 pr-2'!U127,0)</f>
        <v>1304</v>
      </c>
      <c r="U126" s="1297">
        <v>8025.8</v>
      </c>
      <c r="V126" s="1298">
        <f ca="1">SUM('ketv. 6 '!X126)</f>
        <v>0</v>
      </c>
      <c r="W126" s="1296">
        <f>IF(AE126&gt;0,'3 pr-2'!X127,0)</f>
        <v>0</v>
      </c>
      <c r="X126" s="1297">
        <v>0</v>
      </c>
      <c r="Y126" s="1298">
        <f ca="1">SUM('ketv. 6 '!AB126)</f>
        <v>0</v>
      </c>
      <c r="Z126" s="1296">
        <f>IF(AE126&gt;0,'3 pr-2'!AA127,0)</f>
        <v>14778</v>
      </c>
      <c r="AA126" s="1297">
        <v>14778</v>
      </c>
      <c r="AB126" s="1298">
        <f ca="1">SUM('ketv. 6 '!AF126)</f>
        <v>0</v>
      </c>
      <c r="AC126" s="1296">
        <f>IF($AE$9&gt;0,'3 pr-2'!AB127,0)</f>
        <v>0</v>
      </c>
      <c r="AD126" s="1336">
        <f>SUM('3 pr-2'!AG127)</f>
        <v>43312</v>
      </c>
      <c r="AE126" s="1336">
        <v>43272</v>
      </c>
      <c r="AF126" s="216"/>
      <c r="AG126" s="445" t="str">
        <f t="shared" si="110"/>
        <v>–</v>
      </c>
    </row>
    <row r="127" spans="1:34" ht="60.75" x14ac:dyDescent="0.25">
      <c r="A127" s="182" t="str">
        <f>CONCATENATE('3 pr-2'!A128)</f>
        <v>2.1.2.1.7</v>
      </c>
      <c r="B127" s="309"/>
      <c r="C127" s="182" t="str">
        <f>CONCATENATE('3 pr-2'!B128)</f>
        <v>R01-6609-274710-2217</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96">
        <f>IF(AE127&gt;0,'3 pr-2'!L128,0)</f>
        <v>163532</v>
      </c>
      <c r="L127" s="1297">
        <f t="shared" si="108"/>
        <v>163532</v>
      </c>
      <c r="M127" s="1298">
        <f t="shared" ca="1" si="109"/>
        <v>0</v>
      </c>
      <c r="N127" s="1296">
        <f>IF(AE127&gt;0,'3 pr-2'!O128,0)</f>
        <v>0</v>
      </c>
      <c r="O127" s="1297">
        <v>0</v>
      </c>
      <c r="P127" s="1298">
        <f ca="1">SUM('ketv. 6 '!P127)</f>
        <v>0</v>
      </c>
      <c r="Q127" s="1296">
        <f>IF(AE127&gt;0,'3 pr-2'!R128,0)</f>
        <v>12265</v>
      </c>
      <c r="R127" s="1297">
        <v>12265</v>
      </c>
      <c r="S127" s="1298">
        <f ca="1">SUM('ketv. 6 '!T127)</f>
        <v>0</v>
      </c>
      <c r="T127" s="1296">
        <f>IF(AE127&gt;0,'3 pr-2'!U128,0)</f>
        <v>12265</v>
      </c>
      <c r="U127" s="1297">
        <v>0</v>
      </c>
      <c r="V127" s="1298">
        <f ca="1">SUM('ketv. 6 '!X127)</f>
        <v>0</v>
      </c>
      <c r="W127" s="1296">
        <f>IF(AE127&gt;0,'3 pr-2'!X128,0)</f>
        <v>0</v>
      </c>
      <c r="X127" s="1297">
        <v>12265</v>
      </c>
      <c r="Y127" s="1298">
        <f ca="1">SUM('ketv. 6 '!AB127)</f>
        <v>0</v>
      </c>
      <c r="Z127" s="1296">
        <f>IF(AE127&gt;0,'3 pr-2'!AA128,0)</f>
        <v>139002</v>
      </c>
      <c r="AA127" s="1297">
        <v>139002</v>
      </c>
      <c r="AB127" s="1298">
        <f ca="1">SUM('ketv. 6 '!AF127)</f>
        <v>0</v>
      </c>
      <c r="AC127" s="1296">
        <f>IF($AE$9&gt;0,'3 pr-2'!AB128,0)</f>
        <v>0</v>
      </c>
      <c r="AD127" s="1336">
        <f>SUM('3 pr-2'!AG128)</f>
        <v>43312</v>
      </c>
      <c r="AE127" s="1336">
        <v>43272</v>
      </c>
      <c r="AF127" s="216"/>
      <c r="AG127" s="445" t="str">
        <f t="shared" si="110"/>
        <v>–</v>
      </c>
    </row>
    <row r="128" spans="1:34" ht="60.75" x14ac:dyDescent="0.25">
      <c r="A128" s="182" t="str">
        <f>CONCATENATE('3 pr-2'!A129)</f>
        <v>2.1.2.1.8</v>
      </c>
      <c r="B128" s="309"/>
      <c r="C128" s="182" t="str">
        <f>CONCATENATE('3 pr-2'!B129)</f>
        <v>R01-6609-104700-2218</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96">
        <f>IF(AE128&gt;0,'3 pr-2'!L129,0)</f>
        <v>12289</v>
      </c>
      <c r="L128" s="1297">
        <f t="shared" si="108"/>
        <v>25000</v>
      </c>
      <c r="M128" s="1298">
        <f t="shared" ca="1" si="109"/>
        <v>0</v>
      </c>
      <c r="N128" s="1296">
        <f>IF(AE128&gt;0,'3 pr-2'!O129,0)</f>
        <v>0</v>
      </c>
      <c r="O128" s="1297">
        <v>0</v>
      </c>
      <c r="P128" s="1298">
        <f ca="1">SUM('ketv. 6 '!P128)</f>
        <v>0</v>
      </c>
      <c r="Q128" s="1296">
        <f>IF(AE128&gt;0,'3 pr-2'!R129,0)</f>
        <v>922</v>
      </c>
      <c r="R128" s="1297">
        <v>922</v>
      </c>
      <c r="S128" s="1298">
        <f ca="1">SUM('ketv. 6 '!T128)</f>
        <v>0</v>
      </c>
      <c r="T128" s="1296">
        <f>IF(AE128&gt;0,'3 pr-2'!U129,0)</f>
        <v>922</v>
      </c>
      <c r="U128" s="1297">
        <v>13633</v>
      </c>
      <c r="V128" s="1298">
        <f ca="1">SUM('ketv. 6 '!X128)</f>
        <v>0</v>
      </c>
      <c r="W128" s="1296">
        <f>IF(AE128&gt;0,'3 pr-2'!X129,0)</f>
        <v>0</v>
      </c>
      <c r="X128" s="1297">
        <v>0</v>
      </c>
      <c r="Y128" s="1298">
        <f ca="1">SUM('ketv. 6 '!AB128)</f>
        <v>0</v>
      </c>
      <c r="Z128" s="1296">
        <f>IF(AE128&gt;0,'3 pr-2'!AA129,0)</f>
        <v>10445</v>
      </c>
      <c r="AA128" s="1297">
        <v>10445</v>
      </c>
      <c r="AB128" s="1298">
        <f ca="1">SUM('ketv. 6 '!AF128)</f>
        <v>0</v>
      </c>
      <c r="AC128" s="1296">
        <f>IF($AE$9&gt;0,'3 pr-2'!AB129,0)</f>
        <v>0</v>
      </c>
      <c r="AD128" s="1336">
        <f>SUM('3 pr-2'!AG129)</f>
        <v>43312</v>
      </c>
      <c r="AE128" s="1336">
        <v>43272</v>
      </c>
      <c r="AF128" s="216"/>
      <c r="AG128" s="445" t="str">
        <f t="shared" si="110"/>
        <v>–</v>
      </c>
    </row>
    <row r="129" spans="1:33" ht="60.75" x14ac:dyDescent="0.25">
      <c r="A129" s="182" t="str">
        <f>CONCATENATE('3 pr-2'!A130)</f>
        <v>2.1.2.1.9</v>
      </c>
      <c r="B129" s="309" t="s">
        <v>1675</v>
      </c>
      <c r="C129" s="182" t="str">
        <f>CONCATENATE('3 pr-2'!B130)</f>
        <v>R01-6609-274710-2219</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96">
        <f>IF(AE129&gt;0,'3 pr-2'!L130,0)</f>
        <v>25517</v>
      </c>
      <c r="L129" s="1297">
        <f t="shared" si="108"/>
        <v>25517</v>
      </c>
      <c r="M129" s="1298">
        <f t="shared" ca="1" si="109"/>
        <v>0</v>
      </c>
      <c r="N129" s="1296">
        <f>IF(AE129&gt;0,'3 pr-2'!O130,0)</f>
        <v>0</v>
      </c>
      <c r="O129" s="1297">
        <v>0</v>
      </c>
      <c r="P129" s="1298">
        <f ca="1">SUM('ketv. 6 '!P129)</f>
        <v>0</v>
      </c>
      <c r="Q129" s="1296">
        <f>IF(AE129&gt;0,'3 pr-2'!R130,0)</f>
        <v>1914</v>
      </c>
      <c r="R129" s="1297">
        <v>1914</v>
      </c>
      <c r="S129" s="1298">
        <f ca="1">SUM('ketv. 6 '!T129)</f>
        <v>0</v>
      </c>
      <c r="T129" s="1296">
        <f>IF(AE129&gt;0,'3 pr-2'!U130,0)</f>
        <v>1914</v>
      </c>
      <c r="U129" s="1297">
        <v>1914</v>
      </c>
      <c r="V129" s="1298">
        <f ca="1">SUM('ketv. 6 '!X129)</f>
        <v>0</v>
      </c>
      <c r="W129" s="1296">
        <f>IF(AE129&gt;0,'3 pr-2'!X130,0)</f>
        <v>0</v>
      </c>
      <c r="X129" s="1297">
        <v>0</v>
      </c>
      <c r="Y129" s="1298">
        <f ca="1">SUM('ketv. 6 '!AB129)</f>
        <v>0</v>
      </c>
      <c r="Z129" s="1296">
        <f>IF(AE129&gt;0,'3 pr-2'!AA130,0)</f>
        <v>21689</v>
      </c>
      <c r="AA129" s="1297">
        <v>21689</v>
      </c>
      <c r="AB129" s="1298">
        <f ca="1">SUM('ketv. 6 '!AF129)</f>
        <v>0</v>
      </c>
      <c r="AC129" s="1296">
        <f>IF($AE$9&gt;0,'3 pr-2'!AB130,0)</f>
        <v>0</v>
      </c>
      <c r="AD129" s="1336">
        <f>SUM('3 pr-2'!AG130)</f>
        <v>43312</v>
      </c>
      <c r="AE129" s="1336">
        <v>43272</v>
      </c>
      <c r="AF129" s="216"/>
      <c r="AG129" s="445" t="str">
        <f t="shared" ref="AG129:AG132" si="111">IF(AD129-AE129&lt;0,(AD129-AE129)/30.41667,"–")</f>
        <v>–</v>
      </c>
    </row>
    <row r="130" spans="1:33" ht="60.75" x14ac:dyDescent="0.25">
      <c r="A130" s="182" t="str">
        <f>CONCATENATE('3 pr-2'!A131)</f>
        <v>2.1.2.1.10</v>
      </c>
      <c r="B130" s="309"/>
      <c r="C130" s="182" t="str">
        <f>CONCATENATE('3 pr-2'!B131)</f>
        <v>R01-6609-274710-2220</v>
      </c>
      <c r="D130" s="182" t="str">
        <f>CONCATENATE('3 pr-2'!D131)</f>
        <v>Pirminės ambulatorinės asmens sveikatos priežiūros efektyvumo didinimas R.Ambrazaitienės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96">
        <f>IF(AE130&gt;0,'3 pr-2'!L131,0)</f>
        <v>27906</v>
      </c>
      <c r="L130" s="1297">
        <f t="shared" si="108"/>
        <v>27906</v>
      </c>
      <c r="M130" s="1298">
        <f t="shared" ca="1" si="109"/>
        <v>0</v>
      </c>
      <c r="N130" s="1296">
        <f>IF(AE130&gt;0,'3 pr-2'!O131,0)</f>
        <v>0</v>
      </c>
      <c r="O130" s="1297">
        <v>0</v>
      </c>
      <c r="P130" s="1298">
        <f ca="1">SUM('ketv. 6 '!P130)</f>
        <v>0</v>
      </c>
      <c r="Q130" s="1296">
        <f>IF(AE130&gt;0,'3 pr-2'!R131,0)</f>
        <v>2093</v>
      </c>
      <c r="R130" s="1297">
        <v>2093</v>
      </c>
      <c r="S130" s="1298">
        <f ca="1">SUM('ketv. 6 '!T130)</f>
        <v>0</v>
      </c>
      <c r="T130" s="1296">
        <f>IF(AE130&gt;0,'3 pr-2'!U131,0)</f>
        <v>2093</v>
      </c>
      <c r="U130" s="1297">
        <v>2093</v>
      </c>
      <c r="V130" s="1298">
        <f ca="1">SUM('ketv. 6 '!X130)</f>
        <v>0</v>
      </c>
      <c r="W130" s="1296">
        <f>IF(AE130&gt;0,'3 pr-2'!X131,0)</f>
        <v>0</v>
      </c>
      <c r="X130" s="1297">
        <v>0</v>
      </c>
      <c r="Y130" s="1298">
        <f ca="1">SUM('ketv. 6 '!AB130)</f>
        <v>0</v>
      </c>
      <c r="Z130" s="1296">
        <f>IF(AE130&gt;0,'3 pr-2'!AA131,0)</f>
        <v>23720</v>
      </c>
      <c r="AA130" s="1297">
        <v>23720</v>
      </c>
      <c r="AB130" s="1298">
        <f ca="1">SUM('ketv. 6 '!AF130)</f>
        <v>0</v>
      </c>
      <c r="AC130" s="1296">
        <f>IF($AE$9&gt;0,'3 pr-2'!AB131,0)</f>
        <v>0</v>
      </c>
      <c r="AD130" s="1336">
        <f>SUM('3 pr-2'!AG131)</f>
        <v>43312</v>
      </c>
      <c r="AE130" s="1336">
        <v>43272</v>
      </c>
      <c r="AF130" s="216"/>
      <c r="AG130" s="445" t="str">
        <f t="shared" si="111"/>
        <v>–</v>
      </c>
    </row>
    <row r="131" spans="1:33" ht="60.75" x14ac:dyDescent="0.25">
      <c r="A131" s="182" t="str">
        <f>CONCATENATE('3 pr-2'!A132)</f>
        <v>2.1.2.1.11</v>
      </c>
      <c r="B131" s="309"/>
      <c r="C131" s="182" t="str">
        <f>CONCATENATE('3 pr-2'!B132)</f>
        <v>R01-6609-274700-2221</v>
      </c>
      <c r="D131" s="182" t="str">
        <f>CONCATENATE('3 pr-2'!D132)</f>
        <v xml:space="preserve">Pirminės asmens sveikatos priežiūros veiklos efektyvumo didinimas Lazdijų rajono savivaldybėje </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96">
        <f>IF(AE131&gt;0,'3 pr-2'!L132,0)</f>
        <v>192719</v>
      </c>
      <c r="L131" s="1297">
        <f t="shared" si="108"/>
        <v>192718.96</v>
      </c>
      <c r="M131" s="1298">
        <f t="shared" ca="1" si="109"/>
        <v>0</v>
      </c>
      <c r="N131" s="1296">
        <f>IF(AE131&gt;0,'3 pr-2'!O132,0)</f>
        <v>2983</v>
      </c>
      <c r="O131" s="1297">
        <v>8718.58</v>
      </c>
      <c r="P131" s="1298">
        <f ca="1">SUM('ketv. 6 '!P131)</f>
        <v>0</v>
      </c>
      <c r="Q131" s="1296">
        <f>IF(AE131&gt;0,'3 pr-2'!R132,0)</f>
        <v>14454</v>
      </c>
      <c r="R131" s="1297">
        <v>14454</v>
      </c>
      <c r="S131" s="1298">
        <f ca="1">SUM('ketv. 6 '!T131)</f>
        <v>0</v>
      </c>
      <c r="T131" s="1296">
        <f>IF(AE131&gt;0,'3 pr-2'!U132,0)</f>
        <v>11471</v>
      </c>
      <c r="U131" s="1297">
        <v>5735.42</v>
      </c>
      <c r="V131" s="1298">
        <f ca="1">SUM('ketv. 6 '!X131)</f>
        <v>0</v>
      </c>
      <c r="W131" s="1296">
        <f>IF(AE131&gt;0,'3 pr-2'!X132,0)</f>
        <v>0</v>
      </c>
      <c r="X131" s="1297">
        <v>0</v>
      </c>
      <c r="Y131" s="1298">
        <f ca="1">SUM('ketv. 6 '!AB131)</f>
        <v>0</v>
      </c>
      <c r="Z131" s="1296">
        <f>IF(AE131&gt;0,'3 pr-2'!AA132,0)</f>
        <v>163811</v>
      </c>
      <c r="AA131" s="1297">
        <v>163810.96</v>
      </c>
      <c r="AB131" s="1298">
        <f ca="1">SUM('ketv. 6 '!AF131)</f>
        <v>0</v>
      </c>
      <c r="AC131" s="1296">
        <f>IF($AE$9&gt;0,'3 pr-2'!AB132,0)</f>
        <v>0</v>
      </c>
      <c r="AD131" s="1336">
        <f>SUM('3 pr-2'!AG132)</f>
        <v>43312</v>
      </c>
      <c r="AE131" s="1336">
        <v>43272</v>
      </c>
      <c r="AF131" s="216"/>
      <c r="AG131" s="445" t="str">
        <f t="shared" si="111"/>
        <v>–</v>
      </c>
    </row>
    <row r="132" spans="1:33" ht="60.75" x14ac:dyDescent="0.25">
      <c r="A132" s="182" t="str">
        <f>CONCATENATE('3 pr-2'!A133)</f>
        <v>2.1.2.1.12</v>
      </c>
      <c r="B132" s="309"/>
      <c r="C132" s="182" t="str">
        <f>CONCATENATE('3 pr-2'!B133)</f>
        <v>R01-6609-274710-2222</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96">
        <f>IF(AE132&gt;0,'3 pr-2'!L133,0)</f>
        <v>192678</v>
      </c>
      <c r="L132" s="1297">
        <f t="shared" si="108"/>
        <v>192664.27000000002</v>
      </c>
      <c r="M132" s="1298">
        <f t="shared" ca="1" si="109"/>
        <v>0</v>
      </c>
      <c r="N132" s="1296">
        <f>IF(AE132&gt;0,'3 pr-2'!O133,0)</f>
        <v>14451</v>
      </c>
      <c r="O132" s="1297">
        <v>14449.82</v>
      </c>
      <c r="P132" s="1298">
        <f ca="1">SUM('ketv. 6 '!P132)</f>
        <v>0</v>
      </c>
      <c r="Q132" s="1296">
        <f>IF(AE132&gt;0,'3 pr-2'!R133,0)</f>
        <v>14451</v>
      </c>
      <c r="R132" s="1297">
        <v>14449.82</v>
      </c>
      <c r="S132" s="1298">
        <f ca="1">SUM('ketv. 6 '!T132)</f>
        <v>0</v>
      </c>
      <c r="T132" s="1296">
        <f>IF(AE132&gt;0,'3 pr-2'!U133,0)</f>
        <v>0</v>
      </c>
      <c r="U132" s="1297">
        <v>0</v>
      </c>
      <c r="V132" s="1298">
        <f ca="1">SUM('ketv. 6 '!X132)</f>
        <v>0</v>
      </c>
      <c r="W132" s="1296">
        <f>IF(AE132&gt;0,'3 pr-2'!X133,0)</f>
        <v>0</v>
      </c>
      <c r="X132" s="1297">
        <v>0</v>
      </c>
      <c r="Y132" s="1298">
        <f ca="1">SUM('ketv. 6 '!AB132)</f>
        <v>0</v>
      </c>
      <c r="Z132" s="1296">
        <f>IF(AE132&gt;0,'3 pr-2'!AA133,0)</f>
        <v>163776</v>
      </c>
      <c r="AA132" s="1297">
        <v>163764.63</v>
      </c>
      <c r="AB132" s="1298">
        <f ca="1">SUM('ketv. 6 '!AF132)</f>
        <v>0</v>
      </c>
      <c r="AC132" s="1296">
        <f>IF($AE$9&gt;0,'3 pr-2'!AB133,0)</f>
        <v>0</v>
      </c>
      <c r="AD132" s="1336">
        <f>SUM('3 pr-2'!AG133)</f>
        <v>43312</v>
      </c>
      <c r="AE132" s="1336">
        <v>43272</v>
      </c>
      <c r="AF132" s="216"/>
      <c r="AG132" s="445" t="str">
        <f t="shared" si="111"/>
        <v>–</v>
      </c>
    </row>
    <row r="133" spans="1:33" ht="61.5" thickBot="1" x14ac:dyDescent="0.3">
      <c r="A133" s="182" t="str">
        <f>CONCATENATE('3 pr-2'!A134)</f>
        <v>2.1.2.1.13</v>
      </c>
      <c r="B133" s="1176"/>
      <c r="C133" s="182" t="str">
        <f>CONCATENATE('3 pr-2'!B134)</f>
        <v>R01-6609-470000-2223</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96">
        <f>IF(AE133&gt;0,'3 pr-2'!L134,0)</f>
        <v>8305</v>
      </c>
      <c r="L133" s="1297">
        <f t="shared" si="108"/>
        <v>8305</v>
      </c>
      <c r="M133" s="1298">
        <f t="shared" ca="1" si="109"/>
        <v>0</v>
      </c>
      <c r="N133" s="1296">
        <f>IF(AE133&gt;0,'3 pr-2'!O134,0)</f>
        <v>0</v>
      </c>
      <c r="O133" s="1297">
        <v>0</v>
      </c>
      <c r="P133" s="1298">
        <f ca="1">SUM('ketv. 6 '!P133)</f>
        <v>0</v>
      </c>
      <c r="Q133" s="1296">
        <f>IF(AE133&gt;0,'3 pr-2'!R134,0)</f>
        <v>623</v>
      </c>
      <c r="R133" s="1297">
        <v>622</v>
      </c>
      <c r="S133" s="1298">
        <f ca="1">SUM('ketv. 6 '!T133)</f>
        <v>0</v>
      </c>
      <c r="T133" s="1296">
        <f>IF(AE133&gt;0,'3 pr-2'!U134,0)</f>
        <v>623</v>
      </c>
      <c r="U133" s="1297">
        <v>624</v>
      </c>
      <c r="V133" s="1298">
        <f ca="1">SUM('ketv. 6 '!X133)</f>
        <v>0</v>
      </c>
      <c r="W133" s="1296">
        <f>IF(AE133&gt;0,'3 pr-2'!X134,0)</f>
        <v>0</v>
      </c>
      <c r="X133" s="1297">
        <v>0</v>
      </c>
      <c r="Y133" s="1298">
        <f ca="1">SUM('ketv. 6 '!AB133)</f>
        <v>0</v>
      </c>
      <c r="Z133" s="1296">
        <f>IF(AE133&gt;0,'3 pr-2'!AA134,0)</f>
        <v>7059</v>
      </c>
      <c r="AA133" s="1297">
        <v>7059</v>
      </c>
      <c r="AB133" s="1298">
        <f ca="1">SUM('ketv. 6 '!AF133)</f>
        <v>0</v>
      </c>
      <c r="AC133" s="1296">
        <f>IF($AE$9&gt;0,'3 pr-2'!AB134,0)</f>
        <v>0</v>
      </c>
      <c r="AD133" s="1336">
        <f>SUM('3 pr-2'!AG134)</f>
        <v>43311</v>
      </c>
      <c r="AE133" s="1336">
        <v>43272</v>
      </c>
      <c r="AF133" s="216"/>
      <c r="AG133" s="445" t="str">
        <f t="shared" ref="AG133" si="112">IF(AD133-AE133&lt;0,(AD133-AE133)/30.41667,"–")</f>
        <v>–</v>
      </c>
    </row>
    <row r="134" spans="1:33" ht="41.25" customHeight="1" thickBot="1" x14ac:dyDescent="0.3">
      <c r="A134" s="326" t="str">
        <f>CONCATENATE('3 pr-2'!A135)</f>
        <v>2.1.2.2</v>
      </c>
      <c r="B134" s="388"/>
      <c r="C134" s="2025" t="str">
        <f>CONCATENATE('3 pr-2'!B135)</f>
        <v>Priemonė:
Sveikos gyvensenos skatinimas regioniniu lygiu</v>
      </c>
      <c r="D134" s="2026"/>
      <c r="E134" s="2026"/>
      <c r="F134" s="2026"/>
      <c r="G134" s="2026"/>
      <c r="H134" s="2026"/>
      <c r="I134" s="2026"/>
      <c r="J134" s="2027"/>
      <c r="K134" s="1293">
        <f t="shared" ref="K134:AC134" si="113">SUM(K135:K139)</f>
        <v>994984.5399999998</v>
      </c>
      <c r="L134" s="1526">
        <f t="shared" si="113"/>
        <v>994985.72</v>
      </c>
      <c r="M134" s="1295">
        <f t="shared" ca="1" si="113"/>
        <v>994984.5399999998</v>
      </c>
      <c r="N134" s="1293">
        <f t="shared" si="113"/>
        <v>74624.070000000007</v>
      </c>
      <c r="O134" s="1294">
        <f t="shared" si="113"/>
        <v>74624.160000000003</v>
      </c>
      <c r="P134" s="1527">
        <f t="shared" ca="1" si="113"/>
        <v>74624.070000000007</v>
      </c>
      <c r="Q134" s="1293">
        <f t="shared" si="113"/>
        <v>74623.62</v>
      </c>
      <c r="R134" s="1294">
        <f t="shared" si="113"/>
        <v>74623.56</v>
      </c>
      <c r="S134" s="1534">
        <f t="shared" ca="1" si="113"/>
        <v>74623.62</v>
      </c>
      <c r="T134" s="1293">
        <f t="shared" si="113"/>
        <v>0</v>
      </c>
      <c r="U134" s="1526">
        <f t="shared" si="113"/>
        <v>0</v>
      </c>
      <c r="V134" s="1295">
        <f t="shared" ca="1" si="113"/>
        <v>0</v>
      </c>
      <c r="W134" s="1293">
        <f t="shared" si="113"/>
        <v>0</v>
      </c>
      <c r="X134" s="1294">
        <f t="shared" si="113"/>
        <v>0</v>
      </c>
      <c r="Y134" s="1295">
        <f t="shared" ca="1" si="113"/>
        <v>0</v>
      </c>
      <c r="Z134" s="1293">
        <f t="shared" si="113"/>
        <v>845736.85</v>
      </c>
      <c r="AA134" s="1294">
        <f t="shared" si="113"/>
        <v>845738</v>
      </c>
      <c r="AB134" s="1295">
        <f t="shared" ca="1" si="113"/>
        <v>845736.85</v>
      </c>
      <c r="AC134" s="1293">
        <f t="shared" si="113"/>
        <v>0</v>
      </c>
      <c r="AD134" s="1352"/>
      <c r="AE134" s="1353"/>
      <c r="AF134" s="640"/>
      <c r="AG134" s="641"/>
    </row>
    <row r="135" spans="1:33" ht="60.75" x14ac:dyDescent="0.25">
      <c r="A135" s="644" t="str">
        <f>CONCATENATE('3 pr-2'!A136)</f>
        <v>2.1.2.2.1</v>
      </c>
      <c r="B135" s="422" t="s">
        <v>1629</v>
      </c>
      <c r="C135" s="182" t="str">
        <f>CONCATENATE('3 pr-2'!B136)</f>
        <v>R01-6630-475000-2221</v>
      </c>
      <c r="D135" s="644" t="str">
        <f>CONCATENATE('3 pr-2'!D136)</f>
        <v>Sveikos gyvensenos skatinimas Alytaus rajone</v>
      </c>
      <c r="E135" s="644" t="str">
        <f>CONCATENATE('3 pr-2'!E136)</f>
        <v>Alytaus rajono savivaldybės visuomenės sveikatos biuras</v>
      </c>
      <c r="F135" s="644" t="str">
        <f>CONCATENATE('3 pr-2'!F136)</f>
        <v>Lietuvos Respublikos Sveikatos apsaugos ministerija</v>
      </c>
      <c r="G135" s="644" t="str">
        <f>CONCATENATE('3 pr-2'!G136)</f>
        <v>Alytaus r. sav.</v>
      </c>
      <c r="H135" s="648" t="str">
        <f>CONCATENATE('3 pr-2'!H136)</f>
        <v>08.4.2-ESFA-R-630</v>
      </c>
      <c r="I135" s="644" t="str">
        <f>CONCATENATE('3 pr-2'!I136)</f>
        <v>R</v>
      </c>
      <c r="J135" s="644" t="str">
        <f>CONCATENATE('3 pr-2'!J136)</f>
        <v>-</v>
      </c>
      <c r="K135" s="1460">
        <f>IF(AE135&gt;0,'3 pr-2'!L136,0)</f>
        <v>198997.18</v>
      </c>
      <c r="L135" s="1297">
        <f t="shared" si="108"/>
        <v>198997.18</v>
      </c>
      <c r="M135" s="1298">
        <f t="shared" ca="1" si="109"/>
        <v>198997.18</v>
      </c>
      <c r="N135" s="1460">
        <f>IF(AE135&gt;0,'3 pr-2'!O136,0)</f>
        <v>14924.79</v>
      </c>
      <c r="O135" s="1530">
        <v>14924.79</v>
      </c>
      <c r="P135" s="1298">
        <f ca="1">SUM('ketv. 6 '!P135)</f>
        <v>14924.79</v>
      </c>
      <c r="Q135" s="1460">
        <f>IF(AE135&gt;0,'3 pr-2'!R136,0)</f>
        <v>14924.79</v>
      </c>
      <c r="R135" s="1530">
        <v>14924.79</v>
      </c>
      <c r="S135" s="1298">
        <f ca="1">SUM('ketv. 6 '!T135)</f>
        <v>14924.79</v>
      </c>
      <c r="T135" s="1460">
        <f>IF(AE135&gt;0,'3 pr-2'!U136,0)</f>
        <v>0</v>
      </c>
      <c r="U135" s="1530">
        <v>0</v>
      </c>
      <c r="V135" s="1298">
        <f ca="1">SUM('ketv. 6 '!X135)</f>
        <v>0</v>
      </c>
      <c r="W135" s="1460">
        <f>IF(AE135&gt;0,'3 pr-2'!X136,0)</f>
        <v>0</v>
      </c>
      <c r="X135" s="1530">
        <v>0</v>
      </c>
      <c r="Y135" s="1298">
        <f ca="1">SUM('ketv. 6 '!AB135)</f>
        <v>0</v>
      </c>
      <c r="Z135" s="1460">
        <f>IF(AE135&gt;0,'3 pr-2'!AA136,0)</f>
        <v>169147.6</v>
      </c>
      <c r="AA135" s="1530">
        <v>169147.6</v>
      </c>
      <c r="AB135" s="1298">
        <f ca="1">SUM('ketv. 6 '!AF135)</f>
        <v>169147.6</v>
      </c>
      <c r="AC135" s="1460">
        <f>IF($AE$9&gt;0,'3 pr-2'!AB136,0)</f>
        <v>0</v>
      </c>
      <c r="AD135" s="1346">
        <f>SUM('3 pr-2'!AG136)</f>
        <v>43159</v>
      </c>
      <c r="AE135" s="1346">
        <v>43159</v>
      </c>
      <c r="AF135" s="644"/>
      <c r="AG135" s="445" t="str">
        <f t="shared" ref="AG135:AG139" si="114">IF(AD135-AE135&lt;0,(AD135-AE135)/30.41667,"–")</f>
        <v>–</v>
      </c>
    </row>
    <row r="136" spans="1:33" ht="60.75" x14ac:dyDescent="0.25">
      <c r="A136" s="644" t="str">
        <f>CONCATENATE('3 pr-2'!A137)</f>
        <v>2.1.2.2.2</v>
      </c>
      <c r="B136" s="422" t="s">
        <v>1626</v>
      </c>
      <c r="C136" s="182" t="str">
        <f>CONCATENATE('3 pr-2'!B137)</f>
        <v>R01-6630-470000-2222</v>
      </c>
      <c r="D136" s="644" t="str">
        <f>CONCATENATE('3 pr-2'!D137)</f>
        <v>Mažais žingsneliais – sveikos gyvensenos link</v>
      </c>
      <c r="E136" s="644" t="str">
        <f>CONCATENATE('3 pr-2'!E137)</f>
        <v>Alytaus miesto savivaldybės administracija</v>
      </c>
      <c r="F136" s="644" t="str">
        <f>CONCATENATE('3 pr-2'!F137)</f>
        <v>Lietuvos Respublikos Sveikatos apsaugos ministerija</v>
      </c>
      <c r="G136" s="644" t="str">
        <f>CONCATENATE('3 pr-2'!G137)</f>
        <v>Alytaus m. sav.</v>
      </c>
      <c r="H136" s="648" t="str">
        <f>CONCATENATE('3 pr-2'!H137)</f>
        <v>08.4.2-ESFA-R-630</v>
      </c>
      <c r="I136" s="644" t="str">
        <f>CONCATENATE('3 pr-2'!I137)</f>
        <v>R</v>
      </c>
      <c r="J136" s="644" t="str">
        <f>CONCATENATE('3 pr-2'!J137)</f>
        <v>-</v>
      </c>
      <c r="K136" s="1460">
        <f>IF(AE136&gt;0,'3 pr-2'!L137,0)</f>
        <v>198996</v>
      </c>
      <c r="L136" s="1297">
        <f t="shared" si="108"/>
        <v>198997.18</v>
      </c>
      <c r="M136" s="1298">
        <f t="shared" ca="1" si="109"/>
        <v>198996</v>
      </c>
      <c r="N136" s="1460">
        <f>IF(AE136&gt;0,'3 pr-2'!O137,0)</f>
        <v>14924.7</v>
      </c>
      <c r="O136" s="1530">
        <v>14924.79</v>
      </c>
      <c r="P136" s="1298">
        <f ca="1">SUM('ketv. 6 '!P136)</f>
        <v>14924.7</v>
      </c>
      <c r="Q136" s="1460">
        <f>IF(AE136&gt;0,'3 pr-2'!R137,0)</f>
        <v>14924.7</v>
      </c>
      <c r="R136" s="1530">
        <v>14924.79</v>
      </c>
      <c r="S136" s="1298">
        <f ca="1">SUM('ketv. 6 '!T136)</f>
        <v>14924.7</v>
      </c>
      <c r="T136" s="1460">
        <f>IF(AE136&gt;0,'3 pr-2'!U137,0)</f>
        <v>0</v>
      </c>
      <c r="U136" s="1530">
        <v>0</v>
      </c>
      <c r="V136" s="1298">
        <f ca="1">SUM('ketv. 6 '!X136)</f>
        <v>0</v>
      </c>
      <c r="W136" s="1460">
        <f>IF(AE136&gt;0,'3 pr-2'!X137,0)</f>
        <v>0</v>
      </c>
      <c r="X136" s="1530"/>
      <c r="Y136" s="1298">
        <f ca="1">SUM('ketv. 6 '!AB136)</f>
        <v>0</v>
      </c>
      <c r="Z136" s="1460">
        <f>IF(AE136&gt;0,'3 pr-2'!AA137,0)</f>
        <v>169146.6</v>
      </c>
      <c r="AA136" s="1530">
        <v>169147.6</v>
      </c>
      <c r="AB136" s="1298">
        <f ca="1">SUM('ketv. 6 '!AF136)</f>
        <v>169146.6</v>
      </c>
      <c r="AC136" s="1460">
        <f>IF($AE$9&gt;0,'3 pr-2'!AB137,0)</f>
        <v>0</v>
      </c>
      <c r="AD136" s="1346">
        <f>SUM('3 pr-2'!AG137)</f>
        <v>43189</v>
      </c>
      <c r="AE136" s="1346">
        <v>43159</v>
      </c>
      <c r="AF136" s="644"/>
      <c r="AG136" s="445" t="str">
        <f t="shared" si="114"/>
        <v>–</v>
      </c>
    </row>
    <row r="137" spans="1:33" ht="60.75" x14ac:dyDescent="0.25">
      <c r="A137" s="644" t="str">
        <f>CONCATENATE('3 pr-2'!A138)</f>
        <v>2.1.2.2.3</v>
      </c>
      <c r="B137" s="422" t="s">
        <v>1630</v>
      </c>
      <c r="C137" s="182" t="str">
        <f>CONCATENATE('3 pr-2'!B138)</f>
        <v>R01-6630-470000-2223</v>
      </c>
      <c r="D137" s="644" t="str">
        <f>CONCATENATE('3 pr-2'!D138)</f>
        <v>Sveikos gyvensenos skatinimas Varėnos rajono savivaldybėje</v>
      </c>
      <c r="E137" s="644" t="str">
        <f>CONCATENATE('3 pr-2'!E138)</f>
        <v>Varėnos rajono savivaldybės visuomenės sveikatos biuras</v>
      </c>
      <c r="F137" s="644" t="str">
        <f>CONCATENATE('3 pr-2'!F138)</f>
        <v>Lietuvos Respublikos Sveikatos apsaugos ministerija</v>
      </c>
      <c r="G137" s="644" t="str">
        <f>CONCATENATE('3 pr-2'!G138)</f>
        <v>Varėnos r. sav.</v>
      </c>
      <c r="H137" s="648" t="str">
        <f>CONCATENATE('3 pr-2'!H138)</f>
        <v>08.4.2-ESFA-R-630</v>
      </c>
      <c r="I137" s="644" t="str">
        <f>CONCATENATE('3 pr-2'!I138)</f>
        <v>R</v>
      </c>
      <c r="J137" s="644" t="str">
        <f>CONCATENATE('3 pr-2'!J138)</f>
        <v>-</v>
      </c>
      <c r="K137" s="1460">
        <f>IF(AE137&gt;0,'3 pr-2'!L138,0)</f>
        <v>198997</v>
      </c>
      <c r="L137" s="1297">
        <f t="shared" si="108"/>
        <v>198997</v>
      </c>
      <c r="M137" s="1298">
        <f t="shared" ca="1" si="109"/>
        <v>198997</v>
      </c>
      <c r="N137" s="1460">
        <f>IF(AE137&gt;0,'3 pr-2'!O138,0)</f>
        <v>14925</v>
      </c>
      <c r="O137" s="1530">
        <v>14925</v>
      </c>
      <c r="P137" s="1298">
        <f ca="1">SUM('ketv. 6 '!P137)</f>
        <v>14925</v>
      </c>
      <c r="Q137" s="1460">
        <f>IF(AE137&gt;0,'3 pr-2'!R138,0)</f>
        <v>14924.55</v>
      </c>
      <c r="R137" s="1530">
        <v>14924.4</v>
      </c>
      <c r="S137" s="1298">
        <f ca="1">SUM('ketv. 6 '!T137)</f>
        <v>14924.55</v>
      </c>
      <c r="T137" s="1460">
        <f>IF(AE137&gt;0,'3 pr-2'!U138,0)</f>
        <v>0</v>
      </c>
      <c r="U137" s="1530">
        <v>0</v>
      </c>
      <c r="V137" s="1298">
        <f ca="1">SUM('ketv. 6 '!X137)</f>
        <v>0</v>
      </c>
      <c r="W137" s="1460">
        <f>IF(AE137&gt;0,'3 pr-2'!X138,0)</f>
        <v>0</v>
      </c>
      <c r="X137" s="1530"/>
      <c r="Y137" s="1298">
        <f ca="1">SUM('ketv. 6 '!AB137)</f>
        <v>0</v>
      </c>
      <c r="Z137" s="1460">
        <f>IF(AE137&gt;0,'3 pr-2'!AA138,0)</f>
        <v>169147.45</v>
      </c>
      <c r="AA137" s="1530">
        <v>169147.6</v>
      </c>
      <c r="AB137" s="1298">
        <f ca="1">SUM('ketv. 6 '!AF137)</f>
        <v>169147.45</v>
      </c>
      <c r="AC137" s="1460">
        <f>IF($AE$9&gt;0,'3 pr-2'!AB138,0)</f>
        <v>0</v>
      </c>
      <c r="AD137" s="1346">
        <f>SUM('3 pr-2'!AG138)</f>
        <v>43160</v>
      </c>
      <c r="AE137" s="1346">
        <v>43159</v>
      </c>
      <c r="AF137" s="644"/>
      <c r="AG137" s="445" t="str">
        <f t="shared" si="114"/>
        <v>–</v>
      </c>
    </row>
    <row r="138" spans="1:33" ht="60.75" x14ac:dyDescent="0.25">
      <c r="A138" s="644" t="str">
        <f>CONCATENATE('3 pr-2'!A139)</f>
        <v>2.1.2.2.4.</v>
      </c>
      <c r="B138" s="422" t="s">
        <v>1628</v>
      </c>
      <c r="C138" s="182" t="str">
        <f>CONCATENATE('3 pr-2'!B139)</f>
        <v>R01-6630-470000-2224</v>
      </c>
      <c r="D138" s="644" t="str">
        <f>CONCATENATE('3 pr-2'!D139)</f>
        <v>Sveika bendruomenė – stipri visuomenė</v>
      </c>
      <c r="E138" s="644" t="str">
        <f>CONCATENATE('3 pr-2'!E139)</f>
        <v>Druskininkų savivaldybės visuomenės sveikatos biuras</v>
      </c>
      <c r="F138" s="644" t="str">
        <f>CONCATENATE('3 pr-2'!F139)</f>
        <v>Lietuvos Respublikos Sveikatos apsaugos ministerija</v>
      </c>
      <c r="G138" s="644" t="str">
        <f>CONCATENATE('3 pr-2'!G139)</f>
        <v>Druskininkų sav.</v>
      </c>
      <c r="H138" s="648" t="str">
        <f>CONCATENATE('3 pr-2'!H139)</f>
        <v>08.4.2-ESFA-R-630</v>
      </c>
      <c r="I138" s="644" t="str">
        <f>CONCATENATE('3 pr-2'!I139)</f>
        <v>R</v>
      </c>
      <c r="J138" s="644" t="str">
        <f>CONCATENATE('3 pr-2'!J139)</f>
        <v>-</v>
      </c>
      <c r="K138" s="1460">
        <f>IF(AE138&gt;0,'3 pr-2'!L139,0)</f>
        <v>198997.18</v>
      </c>
      <c r="L138" s="1297">
        <f t="shared" si="108"/>
        <v>198997.18</v>
      </c>
      <c r="M138" s="1298">
        <f t="shared" ca="1" si="109"/>
        <v>198997.18</v>
      </c>
      <c r="N138" s="1460">
        <f>IF(AE138&gt;0,'3 pr-2'!O139,0)</f>
        <v>14924.79</v>
      </c>
      <c r="O138" s="1530">
        <v>14924.79</v>
      </c>
      <c r="P138" s="1298">
        <f ca="1">SUM('ketv. 6 '!P138)</f>
        <v>14924.79</v>
      </c>
      <c r="Q138" s="1460">
        <f>IF(AE138&gt;0,'3 pr-2'!R139,0)</f>
        <v>14924.79</v>
      </c>
      <c r="R138" s="1530">
        <v>14924.79</v>
      </c>
      <c r="S138" s="1298">
        <f ca="1">SUM('ketv. 6 '!T138)</f>
        <v>14924.79</v>
      </c>
      <c r="T138" s="1460">
        <f>IF(AE138&gt;0,'3 pr-2'!U139,0)</f>
        <v>0</v>
      </c>
      <c r="U138" s="1530">
        <v>0</v>
      </c>
      <c r="V138" s="1298">
        <f ca="1">SUM('ketv. 6 '!X138)</f>
        <v>0</v>
      </c>
      <c r="W138" s="1460">
        <f>IF(AE138&gt;0,'3 pr-2'!X139,0)</f>
        <v>0</v>
      </c>
      <c r="X138" s="1530"/>
      <c r="Y138" s="1298">
        <f ca="1">SUM('ketv. 6 '!AB138)</f>
        <v>0</v>
      </c>
      <c r="Z138" s="1460">
        <f>IF(AE138&gt;0,'3 pr-2'!AA139,0)</f>
        <v>169147.6</v>
      </c>
      <c r="AA138" s="1530">
        <v>169147.6</v>
      </c>
      <c r="AB138" s="1298">
        <f ca="1">SUM('ketv. 6 '!AF138)</f>
        <v>169147.6</v>
      </c>
      <c r="AC138" s="1460">
        <f>IF($AE$9&gt;0,'3 pr-2'!AB139,0)</f>
        <v>0</v>
      </c>
      <c r="AD138" s="1346">
        <f>SUM('3 pr-2'!AG139)</f>
        <v>43189</v>
      </c>
      <c r="AE138" s="1346">
        <v>43159</v>
      </c>
      <c r="AF138" s="644"/>
      <c r="AG138" s="445" t="str">
        <f t="shared" si="114"/>
        <v>–</v>
      </c>
    </row>
    <row r="139" spans="1:33" ht="61.5" thickBot="1" x14ac:dyDescent="0.3">
      <c r="A139" s="644" t="str">
        <f>CONCATENATE('3 pr-2'!A140)</f>
        <v>2.1.2.2.5</v>
      </c>
      <c r="B139" s="422" t="s">
        <v>1627</v>
      </c>
      <c r="C139" s="182" t="str">
        <f>CONCATENATE('3 pr-2'!B140)</f>
        <v>R01-6630-470000-2225</v>
      </c>
      <c r="D139" s="644" t="str">
        <f>CONCATENATE('3 pr-2'!D140)</f>
        <v>Sveikos gyvensenos skatinimas Lazdijų rajono savivaldybėje</v>
      </c>
      <c r="E139" s="644" t="str">
        <f>CONCATENATE('3 pr-2'!E140)</f>
        <v>Lazdijų rajono savivaldybės visuomenės sveikatos biuras</v>
      </c>
      <c r="F139" s="644" t="str">
        <f>CONCATENATE('3 pr-2'!F140)</f>
        <v>Lietuvos Respublikos Sveikatos apsaugos ministerija</v>
      </c>
      <c r="G139" s="644" t="str">
        <f>CONCATENATE('3 pr-2'!G140)</f>
        <v>Lazdijų r. sav.</v>
      </c>
      <c r="H139" s="648" t="str">
        <f>CONCATENATE('3 pr-2'!H140)</f>
        <v>08.4.2-ESFA-R-630</v>
      </c>
      <c r="I139" s="644" t="str">
        <f>CONCATENATE('3 pr-2'!I140)</f>
        <v>R</v>
      </c>
      <c r="J139" s="644" t="str">
        <f>CONCATENATE('3 pr-2'!J140)</f>
        <v>-</v>
      </c>
      <c r="K139" s="1460">
        <f>IF(AE139&gt;0,'3 pr-2'!L140,0)</f>
        <v>198997.18</v>
      </c>
      <c r="L139" s="1297">
        <f t="shared" si="108"/>
        <v>198997.18</v>
      </c>
      <c r="M139" s="1298">
        <f t="shared" ca="1" si="109"/>
        <v>198997.18</v>
      </c>
      <c r="N139" s="1460">
        <f>IF(AE139&gt;0,'3 pr-2'!O140,0)</f>
        <v>14924.79</v>
      </c>
      <c r="O139" s="1530">
        <v>14924.79</v>
      </c>
      <c r="P139" s="1298">
        <f ca="1">SUM('ketv. 6 '!P139)</f>
        <v>14924.79</v>
      </c>
      <c r="Q139" s="1460">
        <f>IF(AE139&gt;0,'3 pr-2'!R140,0)</f>
        <v>14924.79</v>
      </c>
      <c r="R139" s="1530">
        <v>14924.79</v>
      </c>
      <c r="S139" s="1298">
        <f ca="1">SUM('ketv. 6 '!T139)</f>
        <v>14924.79</v>
      </c>
      <c r="T139" s="1460">
        <f>IF(AE139&gt;0,'3 pr-2'!U140,0)</f>
        <v>0</v>
      </c>
      <c r="U139" s="1530">
        <v>0</v>
      </c>
      <c r="V139" s="1298">
        <f ca="1">SUM('ketv. 6 '!X139)</f>
        <v>0</v>
      </c>
      <c r="W139" s="1460">
        <f>IF(AE139&gt;0,'3 pr-2'!X140,0)</f>
        <v>0</v>
      </c>
      <c r="X139" s="1530"/>
      <c r="Y139" s="1298">
        <f ca="1">SUM('ketv. 6 '!AB139)</f>
        <v>0</v>
      </c>
      <c r="Z139" s="1460">
        <f>IF(AE139&gt;0,'3 pr-2'!AA140,0)</f>
        <v>169147.6</v>
      </c>
      <c r="AA139" s="1530">
        <v>169147.6</v>
      </c>
      <c r="AB139" s="1298">
        <f ca="1">SUM('ketv. 6 '!AF139)</f>
        <v>169147.6</v>
      </c>
      <c r="AC139" s="1460">
        <f>IF($AE$9&gt;0,'3 pr-2'!AB140,0)</f>
        <v>0</v>
      </c>
      <c r="AD139" s="1346">
        <f>SUM('3 pr-2'!AG140)</f>
        <v>43189</v>
      </c>
      <c r="AE139" s="1346">
        <v>43159</v>
      </c>
      <c r="AF139" s="644"/>
      <c r="AG139" s="445" t="str">
        <f t="shared" si="114"/>
        <v>–</v>
      </c>
    </row>
    <row r="140" spans="1:33" s="25" customFormat="1" ht="41.25" customHeight="1" thickBot="1" x14ac:dyDescent="0.3">
      <c r="A140" s="326" t="str">
        <f>CONCATENATE('3 pr-2'!A141)</f>
        <v>2.1.2.3</v>
      </c>
      <c r="B140" s="388"/>
      <c r="C140" s="2025" t="str">
        <f>CONCATENATE('3 pr-2'!B141)</f>
        <v>Priemonė:
Priemonių, gerinančių ambulatorinių sveikatos priežiūros paslaugų prieinamumą tuberkulioze sergantiems pacientams, įgyvendinimas</v>
      </c>
      <c r="D140" s="2026"/>
      <c r="E140" s="2026"/>
      <c r="F140" s="2026"/>
      <c r="G140" s="2026"/>
      <c r="H140" s="2026"/>
      <c r="I140" s="2026"/>
      <c r="J140" s="2027"/>
      <c r="K140" s="1293">
        <f>SUM(K141:K145)</f>
        <v>65213.18</v>
      </c>
      <c r="L140" s="1526">
        <f t="shared" ref="L140:AC140" si="115">SUM(L141:L145)</f>
        <v>65213.18</v>
      </c>
      <c r="M140" s="1295">
        <f t="shared" ca="1" si="115"/>
        <v>65213.18</v>
      </c>
      <c r="N140" s="1293">
        <f t="shared" si="115"/>
        <v>3596.09</v>
      </c>
      <c r="O140" s="1294">
        <f t="shared" si="115"/>
        <v>3596.09</v>
      </c>
      <c r="P140" s="1527">
        <f t="shared" ca="1" si="115"/>
        <v>3596.09</v>
      </c>
      <c r="Q140" s="1293">
        <f t="shared" si="115"/>
        <v>5556.4400000000005</v>
      </c>
      <c r="R140" s="1294">
        <f t="shared" si="115"/>
        <v>4891.29</v>
      </c>
      <c r="S140" s="1534">
        <f t="shared" ca="1" si="115"/>
        <v>5556.4400000000005</v>
      </c>
      <c r="T140" s="1293">
        <f t="shared" si="115"/>
        <v>0</v>
      </c>
      <c r="U140" s="1526">
        <f t="shared" si="115"/>
        <v>0</v>
      </c>
      <c r="V140" s="1295">
        <f t="shared" ca="1" si="115"/>
        <v>0</v>
      </c>
      <c r="W140" s="1293">
        <f t="shared" si="115"/>
        <v>1299.95</v>
      </c>
      <c r="X140" s="1294">
        <f t="shared" si="115"/>
        <v>1295.2</v>
      </c>
      <c r="Y140" s="1295">
        <f t="shared" ca="1" si="115"/>
        <v>1299.95</v>
      </c>
      <c r="Z140" s="1293">
        <f t="shared" si="115"/>
        <v>54760.7</v>
      </c>
      <c r="AA140" s="1294">
        <f t="shared" si="115"/>
        <v>55430.6</v>
      </c>
      <c r="AB140" s="1295">
        <f t="shared" ca="1" si="115"/>
        <v>54760.7</v>
      </c>
      <c r="AC140" s="1293">
        <f t="shared" si="115"/>
        <v>0</v>
      </c>
      <c r="AD140" s="1352"/>
      <c r="AE140" s="1353"/>
      <c r="AF140" s="640"/>
      <c r="AG140" s="641"/>
    </row>
    <row r="141" spans="1:33" s="25" customFormat="1" ht="84.75" x14ac:dyDescent="0.25">
      <c r="A141" s="644" t="str">
        <f>CONCATENATE('3 pr-2'!A142)</f>
        <v>2.1.2.3.1</v>
      </c>
      <c r="B141" s="422" t="s">
        <v>1634</v>
      </c>
      <c r="C141" s="182" t="str">
        <f>CONCATENATE('3 pr-2'!B142)</f>
        <v>R01-6615-475000-2231</v>
      </c>
      <c r="D141" s="644" t="str">
        <f>CONCATENATE('3 pr-2'!D142)</f>
        <v>Priemonių gerinančių ambulatorinių sveikatos priežiūros paslaugų prieinamumą tuberkulioze sergantiems asmenims, Alytaus rajone įgyvendinimas</v>
      </c>
      <c r="E141" s="644" t="str">
        <f>CONCATENATE('3 pr-2'!E142)</f>
        <v>VšĮ Alytaus rajono savivaldybės pirminės sveikatos priežiūros centras</v>
      </c>
      <c r="F141" s="644" t="str">
        <f>CONCATENATE('3 pr-2'!F142)</f>
        <v>Lietuvos Respublikos Sveikatos apsaugos ministerija</v>
      </c>
      <c r="G141" s="644" t="str">
        <f>CONCATENATE('3 pr-2'!G142)</f>
        <v>Alytaus r. sav.</v>
      </c>
      <c r="H141" s="648" t="str">
        <f>CONCATENATE('3 pr-2'!H142)</f>
        <v>08.4.2-ESFA-R-615</v>
      </c>
      <c r="I141" s="648" t="str">
        <f>CONCATENATE('3 pr-2'!I142)</f>
        <v>R</v>
      </c>
      <c r="J141" s="648" t="str">
        <f>CONCATENATE('3 pr-2'!J142)</f>
        <v>-</v>
      </c>
      <c r="K141" s="1460">
        <f>IF(AE141&gt;0,'3 pr-2'!L142,0)</f>
        <v>10453</v>
      </c>
      <c r="L141" s="1297">
        <f t="shared" ref="L141:L145" si="116">SUM(O141+R141+U141+X141+AA141)</f>
        <v>10453</v>
      </c>
      <c r="M141" s="1298">
        <f t="shared" ca="1" si="109"/>
        <v>10453</v>
      </c>
      <c r="N141" s="1460">
        <f>IF(AE141&gt;0,'3 pr-2'!O142,0)</f>
        <v>0</v>
      </c>
      <c r="O141" s="1530">
        <v>0</v>
      </c>
      <c r="P141" s="1298">
        <f ca="1">SUM('ketv. 6 '!P141)</f>
        <v>0</v>
      </c>
      <c r="Q141" s="1460">
        <f>IF(AE141&gt;0,'3 pr-2'!R142,0)</f>
        <v>1449.64</v>
      </c>
      <c r="R141" s="1530">
        <v>784</v>
      </c>
      <c r="S141" s="1298">
        <f ca="1">SUM('ketv. 6 '!T141)</f>
        <v>1449.64</v>
      </c>
      <c r="T141" s="1460">
        <f>IF(AE141&gt;0,'3 pr-2'!U142,0)</f>
        <v>0</v>
      </c>
      <c r="U141" s="1530">
        <v>0</v>
      </c>
      <c r="V141" s="1298">
        <f ca="1">SUM('ketv. 6 '!X141)</f>
        <v>0</v>
      </c>
      <c r="W141" s="1460">
        <f>IF(AE141&gt;0,'3 pr-2'!X142,0)</f>
        <v>788.75</v>
      </c>
      <c r="X141" s="1530">
        <v>784</v>
      </c>
      <c r="Y141" s="1298">
        <f ca="1">SUM('ketv. 6 '!AB141)</f>
        <v>788.75</v>
      </c>
      <c r="Z141" s="1460">
        <f>IF(AE141&gt;0,'3 pr-2'!AA142,0)</f>
        <v>8214.61</v>
      </c>
      <c r="AA141" s="1530">
        <v>8885</v>
      </c>
      <c r="AB141" s="1298">
        <f ca="1">SUM('ketv. 6 '!AF141)</f>
        <v>8214.61</v>
      </c>
      <c r="AC141" s="1460">
        <f>IF($AE$9&gt;0,'3 pr-2'!AB142,0)</f>
        <v>0</v>
      </c>
      <c r="AD141" s="1346">
        <f>SUM('3 pr-2'!AG142)</f>
        <v>43189</v>
      </c>
      <c r="AE141" s="1346">
        <v>43159</v>
      </c>
      <c r="AF141" s="644"/>
      <c r="AG141" s="445" t="str">
        <f t="shared" ref="AG141:AG145" si="117">IF(AD141-AE141&lt;0,(AD141-AE141)/30.41667,"–")</f>
        <v>–</v>
      </c>
    </row>
    <row r="142" spans="1:33" s="25" customFormat="1" ht="60.75" x14ac:dyDescent="0.25">
      <c r="A142" s="644" t="str">
        <f>CONCATENATE('3 pr-2'!A143)</f>
        <v>2.1.2.3.2</v>
      </c>
      <c r="B142" s="422" t="s">
        <v>1648</v>
      </c>
      <c r="C142" s="182" t="str">
        <f>CONCATENATE('3 pr-2'!B143)</f>
        <v>R01-6615-470000-2232</v>
      </c>
      <c r="D142" s="644" t="str">
        <f>CONCATENATE('3 pr-2'!D143)</f>
        <v>Ambulatorinių sveikatos priežiūros paslaugų gerinimas tuberkulioze sergantiems asmenims</v>
      </c>
      <c r="E142" s="644" t="str">
        <f>CONCATENATE('3 pr-2'!E143)</f>
        <v>Alytaus miesto savivaldybės administracija</v>
      </c>
      <c r="F142" s="644" t="str">
        <f>CONCATENATE('3 pr-2'!F143)</f>
        <v>Lietuvos Respublikos Sveikatos apsaugos ministerija</v>
      </c>
      <c r="G142" s="644" t="str">
        <f>CONCATENATE('3 pr-2'!G143)</f>
        <v>Alytaus m. sav.</v>
      </c>
      <c r="H142" s="648" t="str">
        <f>CONCATENATE('3 pr-2'!H143)</f>
        <v>08.4.2-ESFA-R-615</v>
      </c>
      <c r="I142" s="648" t="str">
        <f>CONCATENATE('3 pr-2'!I143)</f>
        <v>R</v>
      </c>
      <c r="J142" s="648" t="str">
        <f>CONCATENATE('3 pr-2'!J143)</f>
        <v>-</v>
      </c>
      <c r="K142" s="1460">
        <f>IF(AE142&gt;0,'3 pr-2'!L143,0)</f>
        <v>17041.18</v>
      </c>
      <c r="L142" s="1297">
        <f t="shared" si="116"/>
        <v>17041.18</v>
      </c>
      <c r="M142" s="1298">
        <f t="shared" ca="1" si="109"/>
        <v>17041.18</v>
      </c>
      <c r="N142" s="1460">
        <f>IF(AE142&gt;0,'3 pr-2'!O143,0)</f>
        <v>1278.0899999999999</v>
      </c>
      <c r="O142" s="1530">
        <v>1278.0899999999999</v>
      </c>
      <c r="P142" s="1298">
        <f ca="1">SUM('ketv. 6 '!P142)</f>
        <v>1278.0899999999999</v>
      </c>
      <c r="Q142" s="1460">
        <f>IF(AE142&gt;0,'3 pr-2'!R143,0)</f>
        <v>1278</v>
      </c>
      <c r="R142" s="1530">
        <v>1278.0899999999999</v>
      </c>
      <c r="S142" s="1298">
        <f ca="1">SUM('ketv. 6 '!T142)</f>
        <v>1278</v>
      </c>
      <c r="T142" s="1460">
        <f>IF(AE142&gt;0,'3 pr-2'!U143,0)</f>
        <v>0</v>
      </c>
      <c r="U142" s="1530">
        <v>0</v>
      </c>
      <c r="V142" s="1298">
        <f ca="1">SUM('ketv. 6 '!X142)</f>
        <v>0</v>
      </c>
      <c r="W142" s="1460">
        <f>IF(AE142&gt;0,'3 pr-2'!X143,0)</f>
        <v>0</v>
      </c>
      <c r="X142" s="1530">
        <v>0</v>
      </c>
      <c r="Y142" s="1298">
        <f ca="1">SUM('ketv. 6 '!AB142)</f>
        <v>0</v>
      </c>
      <c r="Z142" s="1460">
        <f>IF(AE142&gt;0,'3 pr-2'!AA143,0)</f>
        <v>14485.09</v>
      </c>
      <c r="AA142" s="1530">
        <v>14485</v>
      </c>
      <c r="AB142" s="1298">
        <f ca="1">SUM('ketv. 6 '!AF142)</f>
        <v>14485.09</v>
      </c>
      <c r="AC142" s="1460">
        <f>IF($AE$9&gt;0,'3 pr-2'!AB143,0)</f>
        <v>0</v>
      </c>
      <c r="AD142" s="1346">
        <f>SUM('3 pr-2'!AG143)</f>
        <v>43189</v>
      </c>
      <c r="AE142" s="1346">
        <v>43159</v>
      </c>
      <c r="AF142" s="644"/>
      <c r="AG142" s="445" t="str">
        <f t="shared" si="117"/>
        <v>–</v>
      </c>
    </row>
    <row r="143" spans="1:33" s="25" customFormat="1" ht="60.75" x14ac:dyDescent="0.25">
      <c r="A143" s="644" t="str">
        <f>CONCATENATE('3 pr-2'!A144)</f>
        <v>2.1.2.3.3</v>
      </c>
      <c r="B143" s="422" t="s">
        <v>1631</v>
      </c>
      <c r="C143" s="182" t="str">
        <f>CONCATENATE('3 pr-2'!B144)</f>
        <v>R01-6615-470000-2233</v>
      </c>
      <c r="D143" s="644" t="str">
        <f>CONCATENATE('3 pr-2'!D144)</f>
        <v xml:space="preserve">Paslaugų tuberkulioze sergantiems asmenims gerinimas Lazdijų rajono savivaldybėje </v>
      </c>
      <c r="E143" s="644" t="str">
        <f>CONCATENATE('3 pr-2'!E144)</f>
        <v>Lazdijų rajono savivaldybės administracija</v>
      </c>
      <c r="F143" s="644" t="str">
        <f>CONCATENATE('3 pr-2'!F144)</f>
        <v>Lietuvos Respublikos Sveikatos apsaugos ministerija</v>
      </c>
      <c r="G143" s="644" t="str">
        <f>CONCATENATE('3 pr-2'!G144)</f>
        <v>Lazdijų r. sav.</v>
      </c>
      <c r="H143" s="648" t="str">
        <f>CONCATENATE('3 pr-2'!H144)</f>
        <v>08.4.2-ESFA-R-615</v>
      </c>
      <c r="I143" s="648" t="str">
        <f>CONCATENATE('3 pr-2'!I144)</f>
        <v>R</v>
      </c>
      <c r="J143" s="648" t="str">
        <f>CONCATENATE('3 pr-2'!J144)</f>
        <v>-</v>
      </c>
      <c r="K143" s="1460">
        <f>IF(AE143&gt;0,'3 pr-2'!L144,0)</f>
        <v>15224</v>
      </c>
      <c r="L143" s="1297">
        <f t="shared" si="116"/>
        <v>15224</v>
      </c>
      <c r="M143" s="1298">
        <f t="shared" ca="1" si="109"/>
        <v>15224</v>
      </c>
      <c r="N143" s="1460">
        <f>IF(AE143&gt;0,'3 pr-2'!O144,0)</f>
        <v>1142</v>
      </c>
      <c r="O143" s="1530">
        <v>1142</v>
      </c>
      <c r="P143" s="1298">
        <f ca="1">SUM('ketv. 6 '!P143)</f>
        <v>1142</v>
      </c>
      <c r="Q143" s="1460">
        <f>IF(AE143&gt;0,'3 pr-2'!R144,0)</f>
        <v>1141.5999999999999</v>
      </c>
      <c r="R143" s="1530">
        <v>1142</v>
      </c>
      <c r="S143" s="1298">
        <f ca="1">SUM('ketv. 6 '!T143)</f>
        <v>1141.5999999999999</v>
      </c>
      <c r="T143" s="1460">
        <f>IF(AE143&gt;0,'3 pr-2'!U144,0)</f>
        <v>0</v>
      </c>
      <c r="U143" s="1530">
        <v>0</v>
      </c>
      <c r="V143" s="1298">
        <f ca="1">SUM('ketv. 6 '!X143)</f>
        <v>0</v>
      </c>
      <c r="W143" s="1460">
        <f>IF(AE143&gt;0,'3 pr-2'!X144,0)</f>
        <v>0</v>
      </c>
      <c r="X143" s="1530">
        <v>0</v>
      </c>
      <c r="Y143" s="1298">
        <f ca="1">SUM('ketv. 6 '!AB143)</f>
        <v>0</v>
      </c>
      <c r="Z143" s="1460">
        <f>IF(AE143&gt;0,'3 pr-2'!AA144,0)</f>
        <v>12940.4</v>
      </c>
      <c r="AA143" s="1530">
        <v>12940</v>
      </c>
      <c r="AB143" s="1298">
        <f ca="1">SUM('ketv. 6 '!AF143)</f>
        <v>12940.4</v>
      </c>
      <c r="AC143" s="1460">
        <f>IF($AE$9&gt;0,'3 pr-2'!AB144,0)</f>
        <v>0</v>
      </c>
      <c r="AD143" s="1346">
        <f>SUM('3 pr-2'!AG144)</f>
        <v>43189</v>
      </c>
      <c r="AE143" s="1346">
        <v>43159</v>
      </c>
      <c r="AF143" s="644"/>
      <c r="AG143" s="445" t="str">
        <f t="shared" si="117"/>
        <v>–</v>
      </c>
    </row>
    <row r="144" spans="1:33" s="25" customFormat="1" ht="60.75" x14ac:dyDescent="0.25">
      <c r="A144" s="644" t="str">
        <f>CONCATENATE('3 pr-2'!A145)</f>
        <v>2.1.2.3.4</v>
      </c>
      <c r="B144" s="422" t="s">
        <v>1632</v>
      </c>
      <c r="C144" s="182" t="str">
        <f>CONCATENATE('3 pr-2'!B145)</f>
        <v>R01-6615-470000-2234</v>
      </c>
      <c r="D144" s="644" t="str">
        <f>CONCATENATE('3 pr-2'!D145)</f>
        <v>Ambulatorinių sveikatos priežiūros paslaugų tuberkulioze sergantiems asmenims prieinamumo gerinimas Druskininkų savivaldybėje</v>
      </c>
      <c r="E144" s="644" t="str">
        <f>CONCATENATE('3 pr-2'!E145)</f>
        <v>Druskininkų pirminės sveikatos priežiūros centras</v>
      </c>
      <c r="F144" s="644" t="str">
        <f>CONCATENATE('3 pr-2'!F145)</f>
        <v>Lietuvos Respublikos Sveikatos apsaugos ministerija</v>
      </c>
      <c r="G144" s="644" t="str">
        <f>CONCATENATE('3 pr-2'!G145)</f>
        <v>Druskininkų sav.</v>
      </c>
      <c r="H144" s="648" t="str">
        <f>CONCATENATE('3 pr-2'!H145)</f>
        <v>08.4.2-ESFA-R-615</v>
      </c>
      <c r="I144" s="648" t="str">
        <f>CONCATENATE('3 pr-2'!I145)</f>
        <v>R</v>
      </c>
      <c r="J144" s="648" t="str">
        <f>CONCATENATE('3 pr-2'!J145)</f>
        <v>-</v>
      </c>
      <c r="K144" s="1460">
        <f>IF(AE144&gt;0,'3 pr-2'!L145,0)</f>
        <v>6816</v>
      </c>
      <c r="L144" s="1297">
        <f t="shared" si="116"/>
        <v>6816</v>
      </c>
      <c r="M144" s="1298">
        <f t="shared" ca="1" si="109"/>
        <v>6816</v>
      </c>
      <c r="N144" s="1460">
        <f>IF(AE144&gt;0,'3 pr-2'!O145,0)</f>
        <v>0</v>
      </c>
      <c r="O144" s="1530">
        <v>0</v>
      </c>
      <c r="P144" s="1298">
        <f ca="1">SUM('ketv. 6 '!P144)</f>
        <v>0</v>
      </c>
      <c r="Q144" s="1460">
        <f>IF(AE144&gt;0,'3 pr-2'!R145,0)</f>
        <v>511.2</v>
      </c>
      <c r="R144" s="1530">
        <v>511.2</v>
      </c>
      <c r="S144" s="1298">
        <f ca="1">SUM('ketv. 6 '!T144)</f>
        <v>511.2</v>
      </c>
      <c r="T144" s="1460">
        <f>IF(AE144&gt;0,'3 pr-2'!U145,0)</f>
        <v>0</v>
      </c>
      <c r="U144" s="1530">
        <v>0</v>
      </c>
      <c r="V144" s="1298">
        <f ca="1">SUM('ketv. 6 '!X144)</f>
        <v>0</v>
      </c>
      <c r="W144" s="1460">
        <f>IF(AE144&gt;0,'3 pr-2'!X145,0)</f>
        <v>511.2</v>
      </c>
      <c r="X144" s="1530">
        <v>511.2</v>
      </c>
      <c r="Y144" s="1298">
        <f ca="1">SUM('ketv. 6 '!AB144)</f>
        <v>511.2</v>
      </c>
      <c r="Z144" s="1460">
        <f>IF(AE144&gt;0,'3 pr-2'!AA145,0)</f>
        <v>5793.6</v>
      </c>
      <c r="AA144" s="1530">
        <v>5793.6</v>
      </c>
      <c r="AB144" s="1298">
        <f ca="1">SUM('ketv. 6 '!AF144)</f>
        <v>5793.6</v>
      </c>
      <c r="AC144" s="1460">
        <f>IF($AE$9&gt;0,'3 pr-2'!AB145,0)</f>
        <v>0</v>
      </c>
      <c r="AD144" s="1346">
        <f>SUM('3 pr-2'!AG145)</f>
        <v>43159</v>
      </c>
      <c r="AE144" s="1346">
        <v>43159</v>
      </c>
      <c r="AF144" s="644"/>
      <c r="AG144" s="445" t="str">
        <f t="shared" si="117"/>
        <v>–</v>
      </c>
    </row>
    <row r="145" spans="1:33" s="25" customFormat="1" ht="61.5" thickBot="1" x14ac:dyDescent="0.3">
      <c r="A145" s="644" t="str">
        <f>CONCATENATE('3 pr-2'!A146)</f>
        <v>2.1.2.3.5</v>
      </c>
      <c r="B145" s="422" t="s">
        <v>1633</v>
      </c>
      <c r="C145" s="182" t="str">
        <f>CONCATENATE('3 pr-2'!B146)</f>
        <v>R01-6615-470000-2235</v>
      </c>
      <c r="D145" s="644" t="str">
        <f>CONCATENATE('3 pr-2'!D146)</f>
        <v>Ambulatorinių sveikatos priežiūros paslaugų prieinamumo gerinimas tuberkulioze sergantiems asmenims Varėnos rajono savivaldybėje</v>
      </c>
      <c r="E145" s="644" t="str">
        <f>CONCATENATE('3 pr-2'!E146)</f>
        <v>Varėnos rajono savivaldybės administracija</v>
      </c>
      <c r="F145" s="644" t="str">
        <f>CONCATENATE('3 pr-2'!F146)</f>
        <v>Lietuvos Respublikos Sveikatos apsaugos ministerija</v>
      </c>
      <c r="G145" s="644" t="str">
        <f>CONCATENATE('3 pr-2'!G146)</f>
        <v>Varėnos r. sav.</v>
      </c>
      <c r="H145" s="648" t="str">
        <f>CONCATENATE('3 pr-2'!H146)</f>
        <v>08.4.2-ESFA-R-615</v>
      </c>
      <c r="I145" s="651" t="str">
        <f>CONCATENATE('3 pr-2'!I146)</f>
        <v>R</v>
      </c>
      <c r="J145" s="651" t="str">
        <f>CONCATENATE('3 pr-2'!J146)</f>
        <v>-</v>
      </c>
      <c r="K145" s="1460">
        <f>IF(AE145&gt;0,'3 pr-2'!L146,0)</f>
        <v>15679</v>
      </c>
      <c r="L145" s="1297">
        <f t="shared" si="116"/>
        <v>15679</v>
      </c>
      <c r="M145" s="1298">
        <f t="shared" ca="1" si="109"/>
        <v>15679</v>
      </c>
      <c r="N145" s="1460">
        <f>IF(AE145&gt;0,'3 pr-2'!O146,0)</f>
        <v>1176</v>
      </c>
      <c r="O145" s="1530">
        <v>1176</v>
      </c>
      <c r="P145" s="1298">
        <f ca="1">SUM('ketv. 6 '!P145)</f>
        <v>1176</v>
      </c>
      <c r="Q145" s="1460">
        <f>IF(AE145&gt;0,'3 pr-2'!R146,0)</f>
        <v>1176</v>
      </c>
      <c r="R145" s="1530">
        <v>1176</v>
      </c>
      <c r="S145" s="1298">
        <f ca="1">SUM('ketv. 6 '!T145)</f>
        <v>1176</v>
      </c>
      <c r="T145" s="1460">
        <f>IF(AE145&gt;0,'3 pr-2'!U146,0)</f>
        <v>0</v>
      </c>
      <c r="U145" s="1530">
        <v>0</v>
      </c>
      <c r="V145" s="1298">
        <f ca="1">SUM('ketv. 6 '!X145)</f>
        <v>0</v>
      </c>
      <c r="W145" s="1460">
        <f>IF(AE145&gt;0,'3 pr-2'!X146,0)</f>
        <v>0</v>
      </c>
      <c r="X145" s="1530">
        <v>0</v>
      </c>
      <c r="Y145" s="1298">
        <f ca="1">SUM('ketv. 6 '!AB145)</f>
        <v>0</v>
      </c>
      <c r="Z145" s="1460">
        <f>IF(AE145&gt;0,'3 pr-2'!AA146,0)</f>
        <v>13327</v>
      </c>
      <c r="AA145" s="1530">
        <v>13327</v>
      </c>
      <c r="AB145" s="1298">
        <f ca="1">SUM('ketv. 6 '!AF145)</f>
        <v>13327</v>
      </c>
      <c r="AC145" s="1460">
        <f>IF($AE$9&gt;0,'3 pr-2'!AB146,0)</f>
        <v>0</v>
      </c>
      <c r="AD145" s="1346">
        <f>SUM('3 pr-2'!AG146)</f>
        <v>43160</v>
      </c>
      <c r="AE145" s="1346">
        <v>43159</v>
      </c>
      <c r="AF145" s="644"/>
      <c r="AG145" s="445" t="str">
        <f t="shared" si="117"/>
        <v>–</v>
      </c>
    </row>
    <row r="146" spans="1:33" ht="44.25" customHeight="1" thickBot="1" x14ac:dyDescent="0.3">
      <c r="A146" s="261" t="str">
        <f>CONCATENATE('3 pr-2'!A147)</f>
        <v>2.1.3.</v>
      </c>
      <c r="B146" s="407"/>
      <c r="C146" s="2022" t="str">
        <f>CONCATENATE('3 pr-2'!B147)</f>
        <v>Uždavinys:
Socialinio būsto ir socialinių paslaugų prieinamumo pažeidžiamiausioms gyventojų grupėms padidinimas</v>
      </c>
      <c r="D146" s="2023"/>
      <c r="E146" s="2023"/>
      <c r="F146" s="2023"/>
      <c r="G146" s="2023"/>
      <c r="H146" s="2023"/>
      <c r="I146" s="2023"/>
      <c r="J146" s="2024"/>
      <c r="K146" s="1420">
        <f>SUM(K147+K153)</f>
        <v>4201522.92</v>
      </c>
      <c r="L146" s="1528">
        <f t="shared" ref="L146:AB146" si="118">SUM(L147+L153)</f>
        <v>4234440.7299999995</v>
      </c>
      <c r="M146" s="1524">
        <f t="shared" ca="1" si="118"/>
        <v>4238690.67</v>
      </c>
      <c r="N146" s="1420">
        <f t="shared" si="118"/>
        <v>772839.92999999993</v>
      </c>
      <c r="O146" s="1528">
        <f t="shared" si="118"/>
        <v>805757.73</v>
      </c>
      <c r="P146" s="1524">
        <f t="shared" ca="1" si="118"/>
        <v>810008.03</v>
      </c>
      <c r="Q146" s="1420">
        <f t="shared" si="118"/>
        <v>21947.85</v>
      </c>
      <c r="R146" s="1528">
        <f t="shared" si="118"/>
        <v>21948</v>
      </c>
      <c r="S146" s="1524">
        <f t="shared" ca="1" si="118"/>
        <v>21947.85</v>
      </c>
      <c r="T146" s="1420">
        <f t="shared" si="118"/>
        <v>0</v>
      </c>
      <c r="U146" s="1528">
        <f t="shared" si="118"/>
        <v>0</v>
      </c>
      <c r="V146" s="1524">
        <f t="shared" ca="1" si="118"/>
        <v>0</v>
      </c>
      <c r="W146" s="1420">
        <f t="shared" si="118"/>
        <v>0</v>
      </c>
      <c r="X146" s="1529">
        <f t="shared" si="118"/>
        <v>0</v>
      </c>
      <c r="Y146" s="1485">
        <f t="shared" ca="1" si="118"/>
        <v>0</v>
      </c>
      <c r="Z146" s="1420">
        <f t="shared" si="118"/>
        <v>3406735.14</v>
      </c>
      <c r="AA146" s="1528">
        <f t="shared" si="118"/>
        <v>3406735</v>
      </c>
      <c r="AB146" s="1524">
        <f t="shared" ca="1" si="118"/>
        <v>3406734.7899999996</v>
      </c>
      <c r="AC146" s="1420">
        <f t="shared" ref="AC146" si="119">SUM(AC147+AC153)</f>
        <v>0</v>
      </c>
      <c r="AD146" s="1338" t="s">
        <v>690</v>
      </c>
      <c r="AE146" s="1339" t="s">
        <v>690</v>
      </c>
      <c r="AF146" s="408" t="s">
        <v>690</v>
      </c>
      <c r="AG146" s="239"/>
    </row>
    <row r="147" spans="1:33" ht="42.75" customHeight="1" thickBot="1" x14ac:dyDescent="0.3">
      <c r="A147" s="326" t="str">
        <f>CONCATENATE('3 pr-2'!A148)</f>
        <v>2.1.3.1</v>
      </c>
      <c r="B147" s="388"/>
      <c r="C147" s="2025" t="str">
        <f>CONCATENATE('3 pr-2'!B148)</f>
        <v>Priemonė:
Socialinių paslaugų infrastruktūros plėtra</v>
      </c>
      <c r="D147" s="2026"/>
      <c r="E147" s="2026"/>
      <c r="F147" s="2026"/>
      <c r="G147" s="2026"/>
      <c r="H147" s="2026"/>
      <c r="I147" s="2026"/>
      <c r="J147" s="2027"/>
      <c r="K147" s="1293">
        <f>SUM(K148:K152)</f>
        <v>1235321.8</v>
      </c>
      <c r="L147" s="1526">
        <f t="shared" ref="L147:AB147" si="120">SUM(L148:L152)</f>
        <v>1268239.55</v>
      </c>
      <c r="M147" s="1295">
        <f t="shared" ca="1" si="120"/>
        <v>1272489.55</v>
      </c>
      <c r="N147" s="1293">
        <f t="shared" si="120"/>
        <v>327612.79999999999</v>
      </c>
      <c r="O147" s="1294">
        <f t="shared" si="120"/>
        <v>360530.55</v>
      </c>
      <c r="P147" s="1527">
        <f t="shared" ca="1" si="120"/>
        <v>364780.55</v>
      </c>
      <c r="Q147" s="1293">
        <f t="shared" si="120"/>
        <v>21947.85</v>
      </c>
      <c r="R147" s="1294">
        <f t="shared" si="120"/>
        <v>21948</v>
      </c>
      <c r="S147" s="1534">
        <f t="shared" ca="1" si="120"/>
        <v>21947.85</v>
      </c>
      <c r="T147" s="1293">
        <f t="shared" si="120"/>
        <v>0</v>
      </c>
      <c r="U147" s="1526">
        <f t="shared" si="120"/>
        <v>0</v>
      </c>
      <c r="V147" s="1295">
        <f t="shared" ca="1" si="120"/>
        <v>0</v>
      </c>
      <c r="W147" s="1293">
        <f t="shared" si="120"/>
        <v>0</v>
      </c>
      <c r="X147" s="1294">
        <f t="shared" si="120"/>
        <v>0</v>
      </c>
      <c r="Y147" s="1295">
        <f t="shared" ca="1" si="120"/>
        <v>0</v>
      </c>
      <c r="Z147" s="1293">
        <f t="shared" si="120"/>
        <v>885761.15</v>
      </c>
      <c r="AA147" s="1294">
        <f t="shared" si="120"/>
        <v>885761</v>
      </c>
      <c r="AB147" s="1295">
        <f t="shared" ca="1" si="120"/>
        <v>885761.15</v>
      </c>
      <c r="AC147" s="1293">
        <f t="shared" ref="AC147" si="121">SUM(AC148:AC152)</f>
        <v>0</v>
      </c>
      <c r="AD147" s="1340"/>
      <c r="AE147" s="1341"/>
      <c r="AF147" s="398"/>
      <c r="AG147" s="399"/>
    </row>
    <row r="148" spans="1:33" ht="60.75" x14ac:dyDescent="0.25">
      <c r="A148" s="182" t="str">
        <f>CONCATENATE('3 pr-2'!A149)</f>
        <v>2.1.3.1.1</v>
      </c>
      <c r="B148" s="309" t="s">
        <v>732</v>
      </c>
      <c r="C148" s="182" t="str">
        <f>CONCATENATE('3 pr-2'!B149)</f>
        <v>R01-4407-270000-2311</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96">
        <f>IF(AE148&gt;0,'3 pr-2'!L149,0)</f>
        <v>148480</v>
      </c>
      <c r="L148" s="1297">
        <f t="shared" ref="L148:L152" si="122">SUM(O148+R148+U148+X148+AA148)</f>
        <v>148480</v>
      </c>
      <c r="M148" s="1298">
        <f t="shared" ref="M148:M158" ca="1" si="123">SUM(P148+S148+V148+Y148+AB148)</f>
        <v>148480</v>
      </c>
      <c r="N148" s="1296">
        <f>IF(AE148&gt;0,'3 pr-2'!O149,0)</f>
        <v>22272</v>
      </c>
      <c r="O148" s="1297">
        <v>22272</v>
      </c>
      <c r="P148" s="1298">
        <f ca="1">SUM('ketv. 6 '!P148)</f>
        <v>22272</v>
      </c>
      <c r="Q148" s="1296">
        <f>IF(AE148&gt;0,'3 pr-2'!R149,0)</f>
        <v>0</v>
      </c>
      <c r="R148" s="1297">
        <v>0</v>
      </c>
      <c r="S148" s="1298">
        <f ca="1">SUM('ketv. 6 '!T148)</f>
        <v>0</v>
      </c>
      <c r="T148" s="1296">
        <f>IF(AE148&gt;0,'3 pr-2'!U149,0)</f>
        <v>0</v>
      </c>
      <c r="U148" s="1297">
        <v>0</v>
      </c>
      <c r="V148" s="1298">
        <f ca="1">SUM('ketv. 6 '!X148)</f>
        <v>0</v>
      </c>
      <c r="W148" s="1296">
        <f>IF(AE148&gt;0,'3 pr-2'!X149,0)</f>
        <v>0</v>
      </c>
      <c r="X148" s="1297">
        <v>0</v>
      </c>
      <c r="Y148" s="1298">
        <f ca="1">SUM('ketv. 6 '!AB148)</f>
        <v>0</v>
      </c>
      <c r="Z148" s="1296">
        <f>IF(AE148&gt;0,'3 pr-2'!AA149,0)</f>
        <v>126208</v>
      </c>
      <c r="AA148" s="1297">
        <v>126208</v>
      </c>
      <c r="AB148" s="1298">
        <f ca="1">SUM('ketv. 6 '!AF148)</f>
        <v>126208</v>
      </c>
      <c r="AC148" s="1296">
        <f>IF($AE$9&gt;0,'3 pr-2'!AB149,0)</f>
        <v>0</v>
      </c>
      <c r="AD148" s="1336">
        <f>SUM('3 pr-2'!AG149)</f>
        <v>42669</v>
      </c>
      <c r="AE148" s="1342">
        <v>42669</v>
      </c>
      <c r="AF148" s="216">
        <f t="shared" ref="AF148" si="124">IF((YEAR(AD148)-YEAR(AE148))=0,0,YEAR(AD148)-YEAR(AE148))</f>
        <v>0</v>
      </c>
      <c r="AG148" s="445" t="str">
        <f t="shared" ref="AG148:AG152" si="125">IF(AD148-AE148&lt;0,(AD148-AE148)/30.41667,"–")</f>
        <v>–</v>
      </c>
    </row>
    <row r="149" spans="1:33" ht="60.75" x14ac:dyDescent="0.25">
      <c r="A149" s="182" t="str">
        <f>CONCATENATE('3 pr-2'!A150)</f>
        <v>2.1.3.1.2</v>
      </c>
      <c r="B149" s="309" t="s">
        <v>735</v>
      </c>
      <c r="C149" s="182" t="str">
        <f>CONCATENATE('3 pr-2'!B150)</f>
        <v>R01-4407-274800-2312</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96">
        <f>IF(AE149&gt;0,'3 pr-2'!L150,0)</f>
        <v>188353</v>
      </c>
      <c r="L149" s="1297">
        <f t="shared" si="122"/>
        <v>188353</v>
      </c>
      <c r="M149" s="1298">
        <f t="shared" ca="1" si="123"/>
        <v>188353</v>
      </c>
      <c r="N149" s="1296">
        <f>IF(AE149&gt;0,'3 pr-2'!O150,0)</f>
        <v>28253</v>
      </c>
      <c r="O149" s="1297">
        <v>28253</v>
      </c>
      <c r="P149" s="1298">
        <f ca="1">SUM('ketv. 6 '!P149)</f>
        <v>28253</v>
      </c>
      <c r="Q149" s="1296">
        <f>IF(AE149&gt;0,'3 pr-2'!R150,0)</f>
        <v>0</v>
      </c>
      <c r="R149" s="1297">
        <v>0</v>
      </c>
      <c r="S149" s="1298">
        <f ca="1">SUM('ketv. 6 '!T149)</f>
        <v>0</v>
      </c>
      <c r="T149" s="1296">
        <f>IF(AE149&gt;0,'3 pr-2'!U150,0)</f>
        <v>0</v>
      </c>
      <c r="U149" s="1297">
        <v>0</v>
      </c>
      <c r="V149" s="1298">
        <f ca="1">SUM('ketv. 6 '!X149)</f>
        <v>0</v>
      </c>
      <c r="W149" s="1296">
        <f>IF(AE149&gt;0,'3 pr-2'!X150,0)</f>
        <v>0</v>
      </c>
      <c r="X149" s="1297">
        <v>0</v>
      </c>
      <c r="Y149" s="1298">
        <f ca="1">SUM('ketv. 6 '!AB149)</f>
        <v>0</v>
      </c>
      <c r="Z149" s="1296">
        <f>IF(AE149&gt;0,'3 pr-2'!AA150,0)</f>
        <v>160100</v>
      </c>
      <c r="AA149" s="1297">
        <v>160100</v>
      </c>
      <c r="AB149" s="1298">
        <f ca="1">SUM('ketv. 6 '!AF149)</f>
        <v>160100</v>
      </c>
      <c r="AC149" s="1296">
        <f>IF($AE$9&gt;0,'3 pr-2'!AB150,0)</f>
        <v>0</v>
      </c>
      <c r="AD149" s="1336">
        <f>SUM('3 pr-2'!AG150)</f>
        <v>42669</v>
      </c>
      <c r="AE149" s="1342">
        <v>42669</v>
      </c>
      <c r="AF149" s="216">
        <f t="shared" ref="AF149" si="126">IF((YEAR(AD149)-YEAR(AE149))=0,0,YEAR(AD149)-YEAR(AE149))</f>
        <v>0</v>
      </c>
      <c r="AG149" s="445" t="str">
        <f t="shared" si="125"/>
        <v>–</v>
      </c>
    </row>
    <row r="150" spans="1:33" ht="60.75" x14ac:dyDescent="0.25">
      <c r="A150" s="182" t="str">
        <f>CONCATENATE('3 pr-2'!A151)</f>
        <v>2.1.3.1.3</v>
      </c>
      <c r="B150" s="309" t="s">
        <v>736</v>
      </c>
      <c r="C150" s="182" t="str">
        <f>CONCATENATE('3 pr-2'!B151)</f>
        <v>R01-4407-270000-2313</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96">
        <f>IF(AE150&gt;0,'3 pr-2'!L151,0)</f>
        <v>600732.80000000005</v>
      </c>
      <c r="L150" s="1297">
        <f t="shared" si="122"/>
        <v>633650.55000000005</v>
      </c>
      <c r="M150" s="1298">
        <f t="shared" ca="1" si="123"/>
        <v>637900.55000000005</v>
      </c>
      <c r="N150" s="1296">
        <f>IF(AE150&gt;0,'3 pr-2'!O151,0)</f>
        <v>254371.8</v>
      </c>
      <c r="O150" s="1297">
        <v>287289.55</v>
      </c>
      <c r="P150" s="1298">
        <f ca="1">SUM('ketv. 6 '!P150)</f>
        <v>291539.55</v>
      </c>
      <c r="Q150" s="1296">
        <f>IF(AE150&gt;0,'3 pr-2'!R151,0)</f>
        <v>0</v>
      </c>
      <c r="R150" s="1297">
        <v>0</v>
      </c>
      <c r="S150" s="1298">
        <f ca="1">SUM('ketv. 6 '!T150)</f>
        <v>0</v>
      </c>
      <c r="T150" s="1296">
        <f>IF(AE150&gt;0,'3 pr-2'!U151,0)</f>
        <v>0</v>
      </c>
      <c r="U150" s="1297">
        <v>0</v>
      </c>
      <c r="V150" s="1298">
        <f ca="1">SUM('ketv. 6 '!X150)</f>
        <v>0</v>
      </c>
      <c r="W150" s="1296">
        <f>IF(AE150&gt;0,'3 pr-2'!X151,0)</f>
        <v>0</v>
      </c>
      <c r="X150" s="1297">
        <v>0</v>
      </c>
      <c r="Y150" s="1298">
        <f ca="1">SUM('ketv. 6 '!AB150)</f>
        <v>0</v>
      </c>
      <c r="Z150" s="1296">
        <f>IF(AE150&gt;0,'3 pr-2'!AA151,0)</f>
        <v>346361</v>
      </c>
      <c r="AA150" s="1297">
        <v>346361</v>
      </c>
      <c r="AB150" s="1298">
        <f ca="1">SUM('ketv. 6 '!AF150)</f>
        <v>346361</v>
      </c>
      <c r="AC150" s="1296">
        <f>IF($AE$9&gt;0,'3 pr-2'!AB151,0)</f>
        <v>0</v>
      </c>
      <c r="AD150" s="1336">
        <f>SUM('3 pr-2'!AG151)</f>
        <v>42754</v>
      </c>
      <c r="AE150" s="1342">
        <v>42754</v>
      </c>
      <c r="AF150" s="216">
        <f t="shared" ref="AF150" si="127">IF((YEAR(AD150)-YEAR(AE150))=0,0,YEAR(AD150)-YEAR(AE150))</f>
        <v>0</v>
      </c>
      <c r="AG150" s="445" t="str">
        <f t="shared" si="125"/>
        <v>–</v>
      </c>
    </row>
    <row r="151" spans="1:33" ht="60.75" x14ac:dyDescent="0.25">
      <c r="A151" s="182" t="str">
        <f>CONCATENATE('3 pr-2'!A152)</f>
        <v>2.1.3.1.4</v>
      </c>
      <c r="B151" s="309" t="s">
        <v>733</v>
      </c>
      <c r="C151" s="182" t="str">
        <f>CONCATENATE('3 pr-2'!B152)</f>
        <v>R01-4407-270000-2314</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96">
        <f>IF(AE151&gt;0,'3 pr-2'!L152,0)</f>
        <v>151437</v>
      </c>
      <c r="L151" s="1297">
        <f t="shared" si="122"/>
        <v>151437</v>
      </c>
      <c r="M151" s="1298">
        <f t="shared" ca="1" si="123"/>
        <v>151437</v>
      </c>
      <c r="N151" s="1296">
        <f>IF(AE151&gt;0,'3 pr-2'!O152,0)</f>
        <v>22716</v>
      </c>
      <c r="O151" s="1297">
        <v>22716</v>
      </c>
      <c r="P151" s="1298">
        <f ca="1">SUM('ketv. 6 '!P151)</f>
        <v>22716</v>
      </c>
      <c r="Q151" s="1296">
        <f>IF(AE151&gt;0,'3 pr-2'!R152,0)</f>
        <v>0</v>
      </c>
      <c r="R151" s="1297">
        <v>0</v>
      </c>
      <c r="S151" s="1298">
        <f ca="1">SUM('ketv. 6 '!T151)</f>
        <v>0</v>
      </c>
      <c r="T151" s="1296">
        <f>IF(AE151&gt;0,'3 pr-2'!U152,0)</f>
        <v>0</v>
      </c>
      <c r="U151" s="1297">
        <v>0</v>
      </c>
      <c r="V151" s="1298">
        <f ca="1">SUM('ketv. 6 '!X151)</f>
        <v>0</v>
      </c>
      <c r="W151" s="1296">
        <f>IF(AE151&gt;0,'3 pr-2'!X152,0)</f>
        <v>0</v>
      </c>
      <c r="X151" s="1297">
        <v>0</v>
      </c>
      <c r="Y151" s="1298">
        <f ca="1">SUM('ketv. 6 '!AB151)</f>
        <v>0</v>
      </c>
      <c r="Z151" s="1296">
        <f>IF(AE151&gt;0,'3 pr-2'!AA152,0)</f>
        <v>128721</v>
      </c>
      <c r="AA151" s="1297">
        <v>128721</v>
      </c>
      <c r="AB151" s="1298">
        <f ca="1">SUM('ketv. 6 '!AF151)</f>
        <v>128721</v>
      </c>
      <c r="AC151" s="1296">
        <f>IF($AE$9&gt;0,'3 pr-2'!AB152,0)</f>
        <v>0</v>
      </c>
      <c r="AD151" s="1336">
        <f>SUM('3 pr-2'!AG152)</f>
        <v>42669</v>
      </c>
      <c r="AE151" s="1342">
        <v>42669</v>
      </c>
      <c r="AF151" s="216">
        <f t="shared" ref="AF151:AF152" si="128">IF((YEAR(AD151)-YEAR(AE151))=0,0,YEAR(AD151)-YEAR(AE151))</f>
        <v>0</v>
      </c>
      <c r="AG151" s="445" t="str">
        <f t="shared" si="125"/>
        <v>–</v>
      </c>
    </row>
    <row r="152" spans="1:33" ht="61.5" thickBot="1" x14ac:dyDescent="0.3">
      <c r="A152" s="182" t="str">
        <f>CONCATENATE('3 pr-2'!A153)</f>
        <v>2.1.3.1.5</v>
      </c>
      <c r="B152" s="309" t="s">
        <v>734</v>
      </c>
      <c r="C152" s="182" t="str">
        <f>CONCATENATE('3 pr-2'!B153)</f>
        <v>R01-4407-270000-2315</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96">
        <f>IF(AE152&gt;0,'3 pr-2'!L153,0)</f>
        <v>146319</v>
      </c>
      <c r="L152" s="1297">
        <f t="shared" si="122"/>
        <v>146319</v>
      </c>
      <c r="M152" s="1298">
        <f t="shared" ca="1" si="123"/>
        <v>146319</v>
      </c>
      <c r="N152" s="1296">
        <f>IF(AE152&gt;0,'3 pr-2'!O153,0)</f>
        <v>0</v>
      </c>
      <c r="O152" s="1297">
        <v>0</v>
      </c>
      <c r="P152" s="1298">
        <f ca="1">SUM('ketv. 6 '!P152)</f>
        <v>0</v>
      </c>
      <c r="Q152" s="1296">
        <f>IF(AE152&gt;0,'3 pr-2'!R153,0)</f>
        <v>21947.85</v>
      </c>
      <c r="R152" s="1297">
        <v>21948</v>
      </c>
      <c r="S152" s="1298">
        <f ca="1">SUM('ketv. 6 '!T152)</f>
        <v>21947.85</v>
      </c>
      <c r="T152" s="1296">
        <f>IF(AE152&gt;0,'3 pr-2'!U153,0)</f>
        <v>0</v>
      </c>
      <c r="U152" s="1297"/>
      <c r="V152" s="1298">
        <f ca="1">SUM('ketv. 6 '!X152)</f>
        <v>0</v>
      </c>
      <c r="W152" s="1296">
        <f>IF(AE152&gt;0,'3 pr-2'!X153,0)</f>
        <v>0</v>
      </c>
      <c r="X152" s="1297"/>
      <c r="Y152" s="1298">
        <f ca="1">SUM('ketv. 6 '!AB152)</f>
        <v>0</v>
      </c>
      <c r="Z152" s="1296">
        <f>IF(AE152&gt;0,'3 pr-2'!AA153,0)</f>
        <v>124371.15</v>
      </c>
      <c r="AA152" s="1297">
        <v>124371</v>
      </c>
      <c r="AB152" s="1298">
        <f ca="1">SUM('ketv. 6 '!AF152)</f>
        <v>124371.15</v>
      </c>
      <c r="AC152" s="1296">
        <f>IF($AE$9&gt;0,'3 pr-2'!AB153,0)</f>
        <v>0</v>
      </c>
      <c r="AD152" s="1336">
        <f>SUM('3 pr-2'!AG153)</f>
        <v>42669</v>
      </c>
      <c r="AE152" s="1342">
        <v>42669</v>
      </c>
      <c r="AF152" s="216">
        <f t="shared" si="128"/>
        <v>0</v>
      </c>
      <c r="AG152" s="445" t="str">
        <f t="shared" si="125"/>
        <v>–</v>
      </c>
    </row>
    <row r="153" spans="1:33" ht="33.75" customHeight="1" thickBot="1" x14ac:dyDescent="0.3">
      <c r="A153" s="326" t="str">
        <f>CONCATENATE('3 pr-2'!A154)</f>
        <v>2.1.3.2</v>
      </c>
      <c r="B153" s="388"/>
      <c r="C153" s="2025" t="str">
        <f>CONCATENATE('3 pr-2'!B154)</f>
        <v>Priemonė:
Socialinio būsto fondo plėtra</v>
      </c>
      <c r="D153" s="2026"/>
      <c r="E153" s="2026"/>
      <c r="F153" s="2026"/>
      <c r="G153" s="2026"/>
      <c r="H153" s="2026"/>
      <c r="I153" s="2026"/>
      <c r="J153" s="2027"/>
      <c r="K153" s="1293">
        <f>SUM(K154:K158)</f>
        <v>2966201.12</v>
      </c>
      <c r="L153" s="1526">
        <f t="shared" ref="L153:AC153" si="129">SUM(L154:L158)</f>
        <v>2966201.1799999997</v>
      </c>
      <c r="M153" s="1295">
        <f t="shared" ca="1" si="129"/>
        <v>2966201.12</v>
      </c>
      <c r="N153" s="1293">
        <f t="shared" si="129"/>
        <v>445227.13</v>
      </c>
      <c r="O153" s="1294">
        <f t="shared" si="129"/>
        <v>445227.18</v>
      </c>
      <c r="P153" s="1527">
        <f t="shared" ca="1" si="129"/>
        <v>445227.48000000004</v>
      </c>
      <c r="Q153" s="1293">
        <f t="shared" si="129"/>
        <v>0</v>
      </c>
      <c r="R153" s="1294">
        <f t="shared" si="129"/>
        <v>0</v>
      </c>
      <c r="S153" s="1534">
        <f t="shared" ca="1" si="129"/>
        <v>0</v>
      </c>
      <c r="T153" s="1293">
        <f t="shared" si="129"/>
        <v>0</v>
      </c>
      <c r="U153" s="1526">
        <f t="shared" si="129"/>
        <v>0</v>
      </c>
      <c r="V153" s="1295">
        <f t="shared" ca="1" si="129"/>
        <v>0</v>
      </c>
      <c r="W153" s="1293">
        <f t="shared" si="129"/>
        <v>0</v>
      </c>
      <c r="X153" s="1294">
        <f t="shared" si="129"/>
        <v>0</v>
      </c>
      <c r="Y153" s="1295">
        <f t="shared" ca="1" si="129"/>
        <v>0</v>
      </c>
      <c r="Z153" s="1293">
        <f t="shared" si="129"/>
        <v>2520973.9900000002</v>
      </c>
      <c r="AA153" s="1294">
        <f t="shared" si="129"/>
        <v>2520974</v>
      </c>
      <c r="AB153" s="1295">
        <f t="shared" ca="1" si="129"/>
        <v>2520973.6399999997</v>
      </c>
      <c r="AC153" s="1293">
        <f t="shared" si="129"/>
        <v>0</v>
      </c>
      <c r="AD153" s="1340"/>
      <c r="AE153" s="1341"/>
      <c r="AF153" s="398"/>
      <c r="AG153" s="399"/>
    </row>
    <row r="154" spans="1:33" ht="60.75" x14ac:dyDescent="0.25">
      <c r="A154" s="182" t="str">
        <f>CONCATENATE('3 pr-2'!A155)</f>
        <v>2.1.3.2.1</v>
      </c>
      <c r="B154" s="309" t="s">
        <v>737</v>
      </c>
      <c r="C154" s="182" t="str">
        <f>CONCATENATE('3 pr-2'!B155)</f>
        <v>R01-4408-260000-2321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96">
        <f>IF(AE154&gt;0,'3 pr-2'!L155,0)</f>
        <v>736499</v>
      </c>
      <c r="L154" s="1297">
        <f t="shared" ref="L154:L158" si="130">SUM(O154+R154+U154+X154+AA154)</f>
        <v>736499</v>
      </c>
      <c r="M154" s="1298">
        <f t="shared" ca="1" si="123"/>
        <v>736499</v>
      </c>
      <c r="N154" s="1296">
        <f>IF(AE154&gt;0,'3 pr-2'!O155,0)</f>
        <v>110475</v>
      </c>
      <c r="O154" s="1297">
        <v>110475</v>
      </c>
      <c r="P154" s="1298">
        <f ca="1">SUM('ketv. 6 '!P154)</f>
        <v>110475</v>
      </c>
      <c r="Q154" s="1296">
        <f>IF(AE154&gt;0,'3 pr-2'!R155,0)</f>
        <v>0</v>
      </c>
      <c r="R154" s="1297">
        <v>0</v>
      </c>
      <c r="S154" s="1298">
        <f ca="1">SUM('ketv. 6 '!T154)</f>
        <v>0</v>
      </c>
      <c r="T154" s="1296">
        <f>IF(AE154&gt;0,'3 pr-2'!U155,0)</f>
        <v>0</v>
      </c>
      <c r="U154" s="1297">
        <v>0</v>
      </c>
      <c r="V154" s="1298">
        <f ca="1">SUM('ketv. 6 '!X154)</f>
        <v>0</v>
      </c>
      <c r="W154" s="1296">
        <f>IF(AE154&gt;0,'3 pr-2'!X155,0)</f>
        <v>0</v>
      </c>
      <c r="X154" s="1297">
        <v>0</v>
      </c>
      <c r="Y154" s="1298">
        <f ca="1">SUM('ketv. 6 '!AB154)</f>
        <v>0</v>
      </c>
      <c r="Z154" s="1296">
        <f>IF(AE154&gt;0,'3 pr-2'!AA155,0)</f>
        <v>626024</v>
      </c>
      <c r="AA154" s="1297">
        <v>626024</v>
      </c>
      <c r="AB154" s="1298">
        <f ca="1">SUM('ketv. 6 '!AF154)</f>
        <v>626024</v>
      </c>
      <c r="AC154" s="1296">
        <f>IF($AE$9&gt;0,'3 pr-2'!AB155,0)</f>
        <v>0</v>
      </c>
      <c r="AD154" s="1336">
        <f>SUM('3 pr-2'!AG155)</f>
        <v>42490</v>
      </c>
      <c r="AE154" s="1342">
        <v>42464</v>
      </c>
      <c r="AF154" s="216">
        <f t="shared" ref="AF154:AF158" si="131">IF((YEAR(AD154)-YEAR(AE154))=0,0,YEAR(AD154)-YEAR(AE154))</f>
        <v>0</v>
      </c>
      <c r="AG154" s="445" t="str">
        <f t="shared" ref="AG154:AG158" si="132">IF(AD154-AE154&lt;0,(AD154-AE154)/30.41667,"–")</f>
        <v>–</v>
      </c>
    </row>
    <row r="155" spans="1:33" ht="60.75" x14ac:dyDescent="0.25">
      <c r="A155" s="182" t="str">
        <f>CONCATENATE('3 pr-2'!A156)</f>
        <v>2.1.3.2.2</v>
      </c>
      <c r="B155" s="309" t="s">
        <v>741</v>
      </c>
      <c r="C155" s="182" t="str">
        <f>CONCATENATE('3 pr-2'!B156)</f>
        <v>R01-4408-250000-2322</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96">
        <f>IF(AE155&gt;0,'3 pr-2'!L156,0)</f>
        <v>241889</v>
      </c>
      <c r="L155" s="1297">
        <f t="shared" si="130"/>
        <v>241889</v>
      </c>
      <c r="M155" s="1298">
        <f t="shared" ca="1" si="123"/>
        <v>241889</v>
      </c>
      <c r="N155" s="1296">
        <f>IF(AE155&gt;0,'3 pr-2'!O156,0)</f>
        <v>36283</v>
      </c>
      <c r="O155" s="1297">
        <v>36283</v>
      </c>
      <c r="P155" s="1298">
        <f ca="1">SUM('ketv. 6 '!P155)</f>
        <v>36283.35</v>
      </c>
      <c r="Q155" s="1296">
        <f>IF(AE155&gt;0,'3 pr-2'!R156,0)</f>
        <v>0</v>
      </c>
      <c r="R155" s="1297">
        <v>0</v>
      </c>
      <c r="S155" s="1298">
        <f ca="1">SUM('ketv. 6 '!T155)</f>
        <v>0</v>
      </c>
      <c r="T155" s="1296">
        <f>IF(AE155&gt;0,'3 pr-2'!U156,0)</f>
        <v>0</v>
      </c>
      <c r="U155" s="1297">
        <v>0</v>
      </c>
      <c r="V155" s="1298">
        <f ca="1">SUM('ketv. 6 '!X155)</f>
        <v>0</v>
      </c>
      <c r="W155" s="1296">
        <f>IF(AE155&gt;0,'3 pr-2'!X156,0)</f>
        <v>0</v>
      </c>
      <c r="X155" s="1297">
        <v>0</v>
      </c>
      <c r="Y155" s="1298">
        <f ca="1">SUM('ketv. 6 '!AB155)</f>
        <v>0</v>
      </c>
      <c r="Z155" s="1296">
        <f>IF(AE155&gt;0,'3 pr-2'!AA156,0)</f>
        <v>205606</v>
      </c>
      <c r="AA155" s="1297">
        <v>205606</v>
      </c>
      <c r="AB155" s="1298">
        <f ca="1">SUM('ketv. 6 '!AF155)</f>
        <v>205605.65</v>
      </c>
      <c r="AC155" s="1296">
        <f>IF($AE$9&gt;0,'3 pr-2'!AB156,0)</f>
        <v>0</v>
      </c>
      <c r="AD155" s="1336">
        <f>SUM('3 pr-2'!AG156)</f>
        <v>42490</v>
      </c>
      <c r="AE155" s="1342">
        <v>42464</v>
      </c>
      <c r="AF155" s="216">
        <f t="shared" si="131"/>
        <v>0</v>
      </c>
      <c r="AG155" s="445" t="str">
        <f t="shared" si="132"/>
        <v>–</v>
      </c>
    </row>
    <row r="156" spans="1:33" ht="60.75" x14ac:dyDescent="0.25">
      <c r="A156" s="182" t="str">
        <f>CONCATENATE('3 pr-2'!A157)</f>
        <v>2.1.3.1.3</v>
      </c>
      <c r="B156" s="309" t="s">
        <v>738</v>
      </c>
      <c r="C156" s="182" t="str">
        <f>CONCATENATE('3 pr-2'!B157)</f>
        <v>R01-4408-260000-2323</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96">
        <f>IF(AE156&gt;0,'3 pr-2'!L157,0)</f>
        <v>891741.17999999993</v>
      </c>
      <c r="L156" s="1297">
        <f t="shared" si="130"/>
        <v>891741.17999999993</v>
      </c>
      <c r="M156" s="1298">
        <f t="shared" ca="1" si="123"/>
        <v>891741.17999999993</v>
      </c>
      <c r="N156" s="1296">
        <f>IF(AE156&gt;0,'3 pr-2'!O157,0)</f>
        <v>133761.18</v>
      </c>
      <c r="O156" s="1297">
        <v>133761.18</v>
      </c>
      <c r="P156" s="1298">
        <f ca="1">SUM('ketv. 6 '!P156)</f>
        <v>133761.18</v>
      </c>
      <c r="Q156" s="1296">
        <f>IF(AE156&gt;0,'3 pr-2'!R157,0)</f>
        <v>0</v>
      </c>
      <c r="R156" s="1297">
        <v>0</v>
      </c>
      <c r="S156" s="1298">
        <f ca="1">SUM('ketv. 6 '!T156)</f>
        <v>0</v>
      </c>
      <c r="T156" s="1296">
        <f>IF(AE156&gt;0,'3 pr-2'!U157,0)</f>
        <v>0</v>
      </c>
      <c r="U156" s="1297">
        <v>0</v>
      </c>
      <c r="V156" s="1298">
        <f ca="1">SUM('ketv. 6 '!X156)</f>
        <v>0</v>
      </c>
      <c r="W156" s="1296">
        <f>IF(AE156&gt;0,'3 pr-2'!X157,0)</f>
        <v>0</v>
      </c>
      <c r="X156" s="1297">
        <v>0</v>
      </c>
      <c r="Y156" s="1298">
        <f ca="1">SUM('ketv. 6 '!AB156)</f>
        <v>0</v>
      </c>
      <c r="Z156" s="1296">
        <f>IF(AE156&gt;0,'3 pr-2'!AA157,0)</f>
        <v>757980</v>
      </c>
      <c r="AA156" s="1297">
        <v>757980</v>
      </c>
      <c r="AB156" s="1298">
        <f ca="1">SUM('ketv. 6 '!AF156)</f>
        <v>757980</v>
      </c>
      <c r="AC156" s="1296">
        <f>IF($AE$9&gt;0,'3 pr-2'!AB157,0)</f>
        <v>0</v>
      </c>
      <c r="AD156" s="1336">
        <f>SUM('3 pr-2'!AG157)</f>
        <v>42464</v>
      </c>
      <c r="AE156" s="1342">
        <v>42464</v>
      </c>
      <c r="AF156" s="216">
        <f t="shared" si="131"/>
        <v>0</v>
      </c>
      <c r="AG156" s="445" t="str">
        <f t="shared" si="132"/>
        <v>–</v>
      </c>
    </row>
    <row r="157" spans="1:33" ht="60.75" x14ac:dyDescent="0.25">
      <c r="A157" s="182" t="str">
        <f>CONCATENATE('3 pr-2'!A158)</f>
        <v>2.1.3.2.4</v>
      </c>
      <c r="B157" s="309" t="s">
        <v>739</v>
      </c>
      <c r="C157" s="182" t="str">
        <f>CONCATENATE('3 pr-2'!B158)</f>
        <v>R01-4408-260000-2324</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96">
        <f>IF(AE157&gt;0,'3 pr-2'!L158,0)</f>
        <v>727472.94</v>
      </c>
      <c r="L157" s="1297">
        <f t="shared" si="130"/>
        <v>727473</v>
      </c>
      <c r="M157" s="1298">
        <f t="shared" ca="1" si="123"/>
        <v>727472.94</v>
      </c>
      <c r="N157" s="1296">
        <f>IF(AE157&gt;0,'3 pr-2'!O158,0)</f>
        <v>109120.95</v>
      </c>
      <c r="O157" s="1297">
        <v>109121</v>
      </c>
      <c r="P157" s="1298">
        <f ca="1">SUM('ketv. 6 '!P157)</f>
        <v>109120.95</v>
      </c>
      <c r="Q157" s="1296">
        <f>IF(AE157&gt;0,'3 pr-2'!R158,0)</f>
        <v>0</v>
      </c>
      <c r="R157" s="1297">
        <v>0</v>
      </c>
      <c r="S157" s="1298">
        <f ca="1">SUM('ketv. 6 '!T157)</f>
        <v>0</v>
      </c>
      <c r="T157" s="1296">
        <f>IF(AE157&gt;0,'3 pr-2'!U158,0)</f>
        <v>0</v>
      </c>
      <c r="U157" s="1297">
        <v>0</v>
      </c>
      <c r="V157" s="1298">
        <f ca="1">SUM('ketv. 6 '!X157)</f>
        <v>0</v>
      </c>
      <c r="W157" s="1296">
        <f>IF(AE157&gt;0,'3 pr-2'!X158,0)</f>
        <v>0</v>
      </c>
      <c r="X157" s="1297">
        <v>0</v>
      </c>
      <c r="Y157" s="1298">
        <f ca="1">SUM('ketv. 6 '!AB157)</f>
        <v>0</v>
      </c>
      <c r="Z157" s="1296">
        <f>IF(AE157&gt;0,'3 pr-2'!AA158,0)</f>
        <v>618351.99</v>
      </c>
      <c r="AA157" s="1297">
        <v>618352</v>
      </c>
      <c r="AB157" s="1298">
        <f ca="1">SUM('ketv. 6 '!AF157)</f>
        <v>618351.99</v>
      </c>
      <c r="AC157" s="1296">
        <f>IF($AE$9&gt;0,'3 pr-2'!AB158,0)</f>
        <v>0</v>
      </c>
      <c r="AD157" s="1336">
        <f>SUM('3 pr-2'!AG158)</f>
        <v>42490</v>
      </c>
      <c r="AE157" s="1342">
        <v>42464</v>
      </c>
      <c r="AF157" s="216">
        <f t="shared" si="131"/>
        <v>0</v>
      </c>
      <c r="AG157" s="445" t="str">
        <f t="shared" si="132"/>
        <v>–</v>
      </c>
    </row>
    <row r="158" spans="1:33" ht="61.5" thickBot="1" x14ac:dyDescent="0.3">
      <c r="A158" s="182" t="str">
        <f>CONCATENATE('3 pr-2'!A159)</f>
        <v>2.1.3.2.5</v>
      </c>
      <c r="B158" s="309" t="s">
        <v>740</v>
      </c>
      <c r="C158" s="182" t="str">
        <f>CONCATENATE('3 pr-2'!B159)</f>
        <v>R01-4408-252600-2325</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296">
        <f>IF(AE158&gt;0,'3 pr-2'!L159,0)</f>
        <v>368599</v>
      </c>
      <c r="L158" s="1297">
        <f t="shared" si="130"/>
        <v>368599</v>
      </c>
      <c r="M158" s="1298">
        <f t="shared" ca="1" si="123"/>
        <v>368599</v>
      </c>
      <c r="N158" s="1296">
        <f>IF(AE158&gt;0,'3 pr-2'!O159,0)</f>
        <v>55587</v>
      </c>
      <c r="O158" s="1297">
        <v>55587</v>
      </c>
      <c r="P158" s="1298">
        <f ca="1">SUM('ketv. 6 '!P158)</f>
        <v>55587</v>
      </c>
      <c r="Q158" s="1296">
        <f>IF(AE158&gt;0,'3 pr-2'!R159,0)</f>
        <v>0</v>
      </c>
      <c r="R158" s="1297">
        <v>0</v>
      </c>
      <c r="S158" s="1298">
        <f ca="1">SUM('ketv. 6 '!T158)</f>
        <v>0</v>
      </c>
      <c r="T158" s="1296">
        <f>IF(AE158&gt;0,'3 pr-2'!U159,0)</f>
        <v>0</v>
      </c>
      <c r="U158" s="1297">
        <v>0</v>
      </c>
      <c r="V158" s="1298">
        <f ca="1">SUM('ketv. 6 '!X158)</f>
        <v>0</v>
      </c>
      <c r="W158" s="1296">
        <f>IF(AE158&gt;0,'3 pr-2'!X159,0)</f>
        <v>0</v>
      </c>
      <c r="X158" s="1297">
        <v>0</v>
      </c>
      <c r="Y158" s="1298">
        <f ca="1">SUM('ketv. 6 '!AB158)</f>
        <v>0</v>
      </c>
      <c r="Z158" s="1296">
        <f>IF(AE158&gt;0,'3 pr-2'!AA159,0)</f>
        <v>313012</v>
      </c>
      <c r="AA158" s="1297">
        <v>313012</v>
      </c>
      <c r="AB158" s="1298">
        <f ca="1">SUM('ketv. 6 '!AF158)</f>
        <v>313012</v>
      </c>
      <c r="AC158" s="1296">
        <f>IF($AE$9&gt;0,'3 pr-2'!AB159,0)</f>
        <v>0</v>
      </c>
      <c r="AD158" s="1336">
        <f>SUM('3 pr-2'!AG159)</f>
        <v>42490</v>
      </c>
      <c r="AE158" s="1342">
        <v>42464</v>
      </c>
      <c r="AF158" s="216">
        <f t="shared" si="131"/>
        <v>0</v>
      </c>
      <c r="AG158" s="445" t="str">
        <f t="shared" si="132"/>
        <v>–</v>
      </c>
    </row>
    <row r="159" spans="1:33" ht="40.5" customHeight="1" thickBot="1" x14ac:dyDescent="0.3">
      <c r="A159" s="261" t="str">
        <f>CONCATENATE('3 pr-2'!A160)</f>
        <v>2.1.4.</v>
      </c>
      <c r="B159" s="407"/>
      <c r="C159" s="2022" t="str">
        <f>CONCATENATE('3 pr-2'!B160)</f>
        <v>Uždavinys:
Visuomenei teikiamų paslaugų kokybės, didinant jų atitikimo visuomenės poreikiams pagerinimas</v>
      </c>
      <c r="D159" s="2023"/>
      <c r="E159" s="2023"/>
      <c r="F159" s="2023"/>
      <c r="G159" s="2023"/>
      <c r="H159" s="2023"/>
      <c r="I159" s="2023"/>
      <c r="J159" s="2024"/>
      <c r="K159" s="1420">
        <f>SUM(K160)</f>
        <v>906987.73</v>
      </c>
      <c r="L159" s="1528">
        <f t="shared" ref="L159:AC159" si="133">SUM(L160)</f>
        <v>956189.24</v>
      </c>
      <c r="M159" s="1524">
        <f t="shared" ca="1" si="133"/>
        <v>906987.73</v>
      </c>
      <c r="N159" s="1420">
        <f t="shared" si="133"/>
        <v>136179.88999999998</v>
      </c>
      <c r="O159" s="1528">
        <f t="shared" si="133"/>
        <v>143429.24</v>
      </c>
      <c r="P159" s="1524">
        <f t="shared" ca="1" si="133"/>
        <v>136179.88999999998</v>
      </c>
      <c r="Q159" s="1420">
        <f t="shared" si="133"/>
        <v>0</v>
      </c>
      <c r="R159" s="1528">
        <f t="shared" si="133"/>
        <v>0</v>
      </c>
      <c r="S159" s="1524">
        <f t="shared" ca="1" si="133"/>
        <v>0</v>
      </c>
      <c r="T159" s="1420">
        <f t="shared" si="133"/>
        <v>0</v>
      </c>
      <c r="U159" s="1528">
        <f t="shared" si="133"/>
        <v>0</v>
      </c>
      <c r="V159" s="1524">
        <f t="shared" ca="1" si="133"/>
        <v>0</v>
      </c>
      <c r="W159" s="1420">
        <f t="shared" si="133"/>
        <v>0</v>
      </c>
      <c r="X159" s="1529">
        <f t="shared" si="133"/>
        <v>0</v>
      </c>
      <c r="Y159" s="1485">
        <f t="shared" ca="1" si="133"/>
        <v>0</v>
      </c>
      <c r="Z159" s="1420">
        <f t="shared" si="133"/>
        <v>770807.84000000008</v>
      </c>
      <c r="AA159" s="1528">
        <f t="shared" si="133"/>
        <v>812760</v>
      </c>
      <c r="AB159" s="1524">
        <f t="shared" ca="1" si="133"/>
        <v>770807.84000000008</v>
      </c>
      <c r="AC159" s="1420">
        <f t="shared" si="133"/>
        <v>0</v>
      </c>
      <c r="AD159" s="1338" t="s">
        <v>690</v>
      </c>
      <c r="AE159" s="1339" t="s">
        <v>690</v>
      </c>
      <c r="AF159" s="408" t="s">
        <v>690</v>
      </c>
      <c r="AG159" s="239"/>
    </row>
    <row r="160" spans="1:33" ht="38.25" customHeight="1" thickBot="1" x14ac:dyDescent="0.3">
      <c r="A160" s="326" t="str">
        <f>CONCATENATE('3 pr-2'!A161)</f>
        <v>2.1.4.1</v>
      </c>
      <c r="B160" s="388"/>
      <c r="C160" s="2025" t="str">
        <f>CONCATENATE('3 pr-2'!B161)</f>
        <v>Priemonė:
Paslaugų teikimo ir asmenų aptarnavimo kokybės gerinimas savivaldybėse</v>
      </c>
      <c r="D160" s="2026"/>
      <c r="E160" s="2026"/>
      <c r="F160" s="2026"/>
      <c r="G160" s="2026"/>
      <c r="H160" s="2026"/>
      <c r="I160" s="2026"/>
      <c r="J160" s="2027"/>
      <c r="K160" s="1293">
        <f>SUM(K161:K166)</f>
        <v>906987.73</v>
      </c>
      <c r="L160" s="1526">
        <f t="shared" ref="L160:AB160" si="134">SUM(L161:L166)</f>
        <v>956189.24</v>
      </c>
      <c r="M160" s="1295">
        <f t="shared" ca="1" si="134"/>
        <v>906987.73</v>
      </c>
      <c r="N160" s="1293">
        <f t="shared" si="134"/>
        <v>136179.88999999998</v>
      </c>
      <c r="O160" s="1294">
        <f t="shared" si="134"/>
        <v>143429.24</v>
      </c>
      <c r="P160" s="1527">
        <f t="shared" ca="1" si="134"/>
        <v>136179.88999999998</v>
      </c>
      <c r="Q160" s="1293">
        <f t="shared" si="134"/>
        <v>0</v>
      </c>
      <c r="R160" s="1294">
        <f t="shared" si="134"/>
        <v>0</v>
      </c>
      <c r="S160" s="1534">
        <f t="shared" ca="1" si="134"/>
        <v>0</v>
      </c>
      <c r="T160" s="1293">
        <f t="shared" si="134"/>
        <v>0</v>
      </c>
      <c r="U160" s="1526">
        <f t="shared" si="134"/>
        <v>0</v>
      </c>
      <c r="V160" s="1295">
        <f t="shared" ca="1" si="134"/>
        <v>0</v>
      </c>
      <c r="W160" s="1293">
        <f t="shared" si="134"/>
        <v>0</v>
      </c>
      <c r="X160" s="1294">
        <f t="shared" si="134"/>
        <v>0</v>
      </c>
      <c r="Y160" s="1295">
        <f t="shared" ca="1" si="134"/>
        <v>0</v>
      </c>
      <c r="Z160" s="1293">
        <f t="shared" si="134"/>
        <v>770807.84000000008</v>
      </c>
      <c r="AA160" s="1294">
        <f t="shared" si="134"/>
        <v>812760</v>
      </c>
      <c r="AB160" s="1295">
        <f t="shared" ca="1" si="134"/>
        <v>770807.84000000008</v>
      </c>
      <c r="AC160" s="1293">
        <f t="shared" ref="AC160" si="135">SUM(AC161:AC166)</f>
        <v>0</v>
      </c>
      <c r="AD160" s="1340"/>
      <c r="AE160" s="1341"/>
      <c r="AF160" s="398"/>
      <c r="AG160" s="399"/>
    </row>
    <row r="161" spans="1:34" ht="48.75" x14ac:dyDescent="0.25">
      <c r="A161" s="182" t="str">
        <f>CONCATENATE('3 pr-2'!A162)</f>
        <v>2.1.4.1.1</v>
      </c>
      <c r="B161" s="309" t="s">
        <v>1228</v>
      </c>
      <c r="C161" s="182" t="str">
        <f>CONCATENATE('3 pr-2'!B162)</f>
        <v>R01-9920-490000-2411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96">
        <f>IF(AE161&gt;0,'3 pr-2'!L162,0)</f>
        <v>172733.52</v>
      </c>
      <c r="L161" s="1297">
        <f t="shared" ref="L161:L166" si="136">SUM(O161+R161+U161+X161+AA161)</f>
        <v>184788.24</v>
      </c>
      <c r="M161" s="1298">
        <f t="shared" ref="M161:M166" ca="1" si="137">SUM(P161+S161+V161+Y161+AB161)</f>
        <v>172733.52</v>
      </c>
      <c r="N161" s="1296">
        <f>IF(AE161&gt;0,'3 pr-2'!O162,0)</f>
        <v>25910.03</v>
      </c>
      <c r="O161" s="1297">
        <v>27718.240000000002</v>
      </c>
      <c r="P161" s="1298">
        <f ca="1">SUM('ketv. 6 '!P161)</f>
        <v>25910.03</v>
      </c>
      <c r="Q161" s="1296">
        <f>IF(AE161&gt;0,'3 pr-2'!R162,0)</f>
        <v>0</v>
      </c>
      <c r="R161" s="1297">
        <v>0</v>
      </c>
      <c r="S161" s="1298">
        <f ca="1">SUM('ketv. 6 '!T161)</f>
        <v>0</v>
      </c>
      <c r="T161" s="1296">
        <f>IF(AE161&gt;0,'3 pr-2'!U162,0)</f>
        <v>0</v>
      </c>
      <c r="U161" s="1297">
        <v>0</v>
      </c>
      <c r="V161" s="1298">
        <f ca="1">SUM('ketv. 6 '!X161)</f>
        <v>0</v>
      </c>
      <c r="W161" s="1296">
        <f>IF(AE161&gt;0,'3 pr-2'!X162,0)</f>
        <v>0</v>
      </c>
      <c r="X161" s="1297">
        <v>0</v>
      </c>
      <c r="Y161" s="1298">
        <f ca="1">SUM('ketv. 6 '!AB161)</f>
        <v>0</v>
      </c>
      <c r="Z161" s="1296">
        <f>IF(AE161&gt;0,'3 pr-2'!AA162,0)</f>
        <v>146823.49</v>
      </c>
      <c r="AA161" s="1297">
        <v>157070</v>
      </c>
      <c r="AB161" s="1298">
        <f ca="1">SUM('ketv. 6 '!AF161)</f>
        <v>146823.49</v>
      </c>
      <c r="AC161" s="1296">
        <f>IF($AE$9&gt;0,'3 pr-2'!AB162,0)</f>
        <v>0</v>
      </c>
      <c r="AD161" s="1336">
        <f>SUM('3 pr-2'!AG162)</f>
        <v>42992</v>
      </c>
      <c r="AE161" s="1336">
        <v>42992</v>
      </c>
      <c r="AF161" s="182"/>
      <c r="AG161" s="445" t="str">
        <f t="shared" ref="AG161:AG166" si="138">IF(AD161-AE161&lt;0,(AD161-AE161)/30.41667,"–")</f>
        <v>–</v>
      </c>
    </row>
    <row r="162" spans="1:34" ht="48.75" x14ac:dyDescent="0.25">
      <c r="A162" s="182" t="str">
        <f>CONCATENATE('3 pr-2'!A163)</f>
        <v>2.1.4.1.2</v>
      </c>
      <c r="B162" s="309" t="s">
        <v>1635</v>
      </c>
      <c r="C162" s="182" t="str">
        <f>CONCATENATE('3 pr-2'!B163)</f>
        <v>R01-9920-490000-2412</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96">
        <f>IF(AE162&gt;0,'3 pr-2'!L163,0)</f>
        <v>192832.21</v>
      </c>
      <c r="L162" s="1297">
        <f t="shared" si="136"/>
        <v>210999</v>
      </c>
      <c r="M162" s="1298">
        <f t="shared" ca="1" si="137"/>
        <v>192832.21</v>
      </c>
      <c r="N162" s="1296">
        <f>IF(AE162&gt;0,'3 pr-2'!O163,0)</f>
        <v>28924.84</v>
      </c>
      <c r="O162" s="1297">
        <v>31650</v>
      </c>
      <c r="P162" s="1298">
        <f ca="1">SUM('ketv. 6 '!P162)</f>
        <v>28924.84</v>
      </c>
      <c r="Q162" s="1296">
        <f>IF(AE162&gt;0,'3 pr-2'!R163,0)</f>
        <v>0</v>
      </c>
      <c r="R162" s="1297">
        <v>0</v>
      </c>
      <c r="S162" s="1298">
        <f ca="1">SUM('ketv. 6 '!T162)</f>
        <v>0</v>
      </c>
      <c r="T162" s="1296">
        <f>IF(AE162&gt;0,'3 pr-2'!U163,0)</f>
        <v>0</v>
      </c>
      <c r="U162" s="1297">
        <v>0</v>
      </c>
      <c r="V162" s="1298">
        <f ca="1">SUM('ketv. 6 '!X162)</f>
        <v>0</v>
      </c>
      <c r="W162" s="1296">
        <f>IF(AE162&gt;0,'3 pr-2'!X163,0)</f>
        <v>0</v>
      </c>
      <c r="X162" s="1297">
        <v>0</v>
      </c>
      <c r="Y162" s="1298">
        <f ca="1">SUM('ketv. 6 '!AB162)</f>
        <v>0</v>
      </c>
      <c r="Z162" s="1296">
        <f>IF(AE162&gt;0,'3 pr-2'!AA163,0)</f>
        <v>163907.37</v>
      </c>
      <c r="AA162" s="1297">
        <v>179349</v>
      </c>
      <c r="AB162" s="1298">
        <f ca="1">SUM('ketv. 6 '!AF162)</f>
        <v>163907.37</v>
      </c>
      <c r="AC162" s="1296">
        <f>IF($AE$9&gt;0,'3 pr-2'!AB163,0)</f>
        <v>0</v>
      </c>
      <c r="AD162" s="1336">
        <f>SUM('3 pr-2'!AG163)</f>
        <v>43100</v>
      </c>
      <c r="AE162" s="1336">
        <v>43080</v>
      </c>
      <c r="AF162" s="182"/>
      <c r="AG162" s="445" t="str">
        <f t="shared" si="138"/>
        <v>–</v>
      </c>
      <c r="AH162" s="5"/>
    </row>
    <row r="163" spans="1:34" ht="48.75" x14ac:dyDescent="0.25">
      <c r="A163" s="182" t="str">
        <f>CONCATENATE('3 pr-2'!A164)</f>
        <v>2.1.4.1.3</v>
      </c>
      <c r="B163" s="309" t="s">
        <v>1229</v>
      </c>
      <c r="C163" s="182" t="str">
        <f>CONCATENATE('3 pr-2'!B164)</f>
        <v>R01-9920-490000-2413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96">
        <f>IF(AE163&gt;0,'3 pr-2'!L164,0)</f>
        <v>163986.88</v>
      </c>
      <c r="L163" s="1297">
        <f t="shared" si="136"/>
        <v>163987</v>
      </c>
      <c r="M163" s="1298">
        <f t="shared" ca="1" si="137"/>
        <v>163986.88</v>
      </c>
      <c r="N163" s="1296">
        <f>IF(AE163&gt;0,'3 pr-2'!O164,0)</f>
        <v>24598.880000000001</v>
      </c>
      <c r="O163" s="1297">
        <v>24599</v>
      </c>
      <c r="P163" s="1298">
        <f ca="1">SUM('ketv. 6 '!P163)</f>
        <v>24598.880000000001</v>
      </c>
      <c r="Q163" s="1296">
        <f>IF(AE163&gt;0,'3 pr-2'!R164,0)</f>
        <v>0</v>
      </c>
      <c r="R163" s="1297">
        <v>0</v>
      </c>
      <c r="S163" s="1298">
        <f ca="1">SUM('ketv. 6 '!T163)</f>
        <v>0</v>
      </c>
      <c r="T163" s="1296">
        <f>IF(AE163&gt;0,'3 pr-2'!U164,0)</f>
        <v>0</v>
      </c>
      <c r="U163" s="1297">
        <v>0</v>
      </c>
      <c r="V163" s="1298">
        <f ca="1">SUM('ketv. 6 '!X163)</f>
        <v>0</v>
      </c>
      <c r="W163" s="1296">
        <f>IF(AE163&gt;0,'3 pr-2'!X164,0)</f>
        <v>0</v>
      </c>
      <c r="X163" s="1297">
        <v>0</v>
      </c>
      <c r="Y163" s="1298">
        <f ca="1">SUM('ketv. 6 '!AB163)</f>
        <v>0</v>
      </c>
      <c r="Z163" s="1296">
        <f>IF(AE163&gt;0,'3 pr-2'!AA164,0)</f>
        <v>139388</v>
      </c>
      <c r="AA163" s="1297">
        <v>139388</v>
      </c>
      <c r="AB163" s="1298">
        <f ca="1">SUM('ketv. 6 '!AF163)</f>
        <v>139388</v>
      </c>
      <c r="AC163" s="1296">
        <f>IF($AE$9&gt;0,'3 pr-2'!AB164,0)</f>
        <v>0</v>
      </c>
      <c r="AD163" s="1336">
        <f>SUM('3 pr-2'!AG164)</f>
        <v>43039</v>
      </c>
      <c r="AE163" s="1336">
        <v>43039</v>
      </c>
      <c r="AF163" s="182"/>
      <c r="AG163" s="445" t="str">
        <f t="shared" si="138"/>
        <v>–</v>
      </c>
    </row>
    <row r="164" spans="1:34" ht="48.75" x14ac:dyDescent="0.25">
      <c r="A164" s="182" t="str">
        <f>CONCATENATE('3 pr-2'!A165)</f>
        <v>2.1.4.1.4</v>
      </c>
      <c r="B164" s="309" t="s">
        <v>1637</v>
      </c>
      <c r="C164" s="182" t="str">
        <f>CONCATENATE('3 pr-2'!B165)</f>
        <v>R01-9920-490000-2414</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96">
        <f>IF(AE164&gt;0,'3 pr-2'!L165,0)</f>
        <v>215693.16</v>
      </c>
      <c r="L164" s="1297">
        <f t="shared" si="136"/>
        <v>234827</v>
      </c>
      <c r="M164" s="1298">
        <f t="shared" ca="1" si="137"/>
        <v>215693.16</v>
      </c>
      <c r="N164" s="1296">
        <f>IF(AE164&gt;0,'3 pr-2'!O165,0)</f>
        <v>32353.98</v>
      </c>
      <c r="O164" s="1297">
        <v>35224</v>
      </c>
      <c r="P164" s="1298">
        <f ca="1">SUM('ketv. 6 '!P164)</f>
        <v>32353.98</v>
      </c>
      <c r="Q164" s="1296">
        <f>IF(AE164&gt;0,'3 pr-2'!R165,0)</f>
        <v>0</v>
      </c>
      <c r="R164" s="1297">
        <v>0</v>
      </c>
      <c r="S164" s="1298">
        <f ca="1">SUM('ketv. 6 '!T164)</f>
        <v>0</v>
      </c>
      <c r="T164" s="1296">
        <f>IF(AE164&gt;0,'3 pr-2'!U165,0)</f>
        <v>0</v>
      </c>
      <c r="U164" s="1297">
        <v>0</v>
      </c>
      <c r="V164" s="1298">
        <f ca="1">SUM('ketv. 6 '!X164)</f>
        <v>0</v>
      </c>
      <c r="W164" s="1296">
        <f>IF(AE164&gt;0,'3 pr-2'!X165,0)</f>
        <v>0</v>
      </c>
      <c r="X164" s="1297">
        <v>0</v>
      </c>
      <c r="Y164" s="1298">
        <f ca="1">SUM('ketv. 6 '!AB164)</f>
        <v>0</v>
      </c>
      <c r="Z164" s="1296">
        <f>IF(AE164&gt;0,'3 pr-2'!AA165,0)</f>
        <v>183339.18</v>
      </c>
      <c r="AA164" s="1297">
        <v>199603</v>
      </c>
      <c r="AB164" s="1298">
        <f ca="1">SUM('ketv. 6 '!AF164)</f>
        <v>183339.18</v>
      </c>
      <c r="AC164" s="1296">
        <f>IF($AE$9&gt;0,'3 pr-2'!AB165,0)</f>
        <v>0</v>
      </c>
      <c r="AD164" s="1336">
        <f>SUM('3 pr-2'!AG165)</f>
        <v>43100</v>
      </c>
      <c r="AE164" s="1336">
        <v>43080</v>
      </c>
      <c r="AF164" s="182"/>
      <c r="AG164" s="445" t="str">
        <f t="shared" si="138"/>
        <v>–</v>
      </c>
    </row>
    <row r="165" spans="1:34" ht="48.75" x14ac:dyDescent="0.25">
      <c r="A165" s="182" t="str">
        <f>CONCATENATE('3 pr-2'!A166)</f>
        <v>2.1.4.1.5</v>
      </c>
      <c r="B165" s="309" t="s">
        <v>1636</v>
      </c>
      <c r="C165" s="182" t="str">
        <f>CONCATENATE('3 pr-2'!B166)</f>
        <v>R01-9920-490000-2415</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96">
        <f>IF(AE165&gt;0,'3 pr-2'!L166,0)</f>
        <v>161741.96</v>
      </c>
      <c r="L165" s="1297">
        <f t="shared" si="136"/>
        <v>161588</v>
      </c>
      <c r="M165" s="1298">
        <f t="shared" ca="1" si="137"/>
        <v>161741.96</v>
      </c>
      <c r="N165" s="1296">
        <f>IF(AE165&gt;0,'3 pr-2'!O166,0)</f>
        <v>24392.16</v>
      </c>
      <c r="O165" s="1297">
        <v>24238</v>
      </c>
      <c r="P165" s="1298">
        <f ca="1">SUM('ketv. 6 '!P165)</f>
        <v>24392.16</v>
      </c>
      <c r="Q165" s="1296">
        <f>IF(AE165&gt;0,'3 pr-2'!R166,0)</f>
        <v>0</v>
      </c>
      <c r="R165" s="1297">
        <v>0</v>
      </c>
      <c r="S165" s="1298">
        <f ca="1">SUM('ketv. 6 '!T165)</f>
        <v>0</v>
      </c>
      <c r="T165" s="1296">
        <f>IF(AE165&gt;0,'3 pr-2'!U166,0)</f>
        <v>0</v>
      </c>
      <c r="U165" s="1297">
        <v>0</v>
      </c>
      <c r="V165" s="1298">
        <f ca="1">SUM('ketv. 6 '!X165)</f>
        <v>0</v>
      </c>
      <c r="W165" s="1296">
        <f>IF(AE165&gt;0,'3 pr-2'!X166,0)</f>
        <v>0</v>
      </c>
      <c r="X165" s="1297">
        <v>0</v>
      </c>
      <c r="Y165" s="1298">
        <f ca="1">SUM('ketv. 6 '!AB165)</f>
        <v>0</v>
      </c>
      <c r="Z165" s="1296">
        <f>IF(AE165&gt;0,'3 pr-2'!AA166,0)</f>
        <v>137349.79999999999</v>
      </c>
      <c r="AA165" s="1297">
        <v>137350</v>
      </c>
      <c r="AB165" s="1298">
        <f ca="1">SUM('ketv. 6 '!AF165)</f>
        <v>137349.79999999999</v>
      </c>
      <c r="AC165" s="1296">
        <f>IF($AE$9&gt;0,'3 pr-2'!AB166,0)</f>
        <v>0</v>
      </c>
      <c r="AD165" s="1336">
        <f>SUM('3 pr-2'!AG166)</f>
        <v>42992</v>
      </c>
      <c r="AE165" s="1336">
        <v>42992</v>
      </c>
      <c r="AF165" s="182"/>
      <c r="AG165" s="445" t="str">
        <f t="shared" si="138"/>
        <v>–</v>
      </c>
    </row>
    <row r="166" spans="1:34" ht="49.5" thickBot="1" x14ac:dyDescent="0.3">
      <c r="A166" s="182" t="str">
        <f>CONCATENATE('3 pr-2'!A167)</f>
        <v>2.1.4.1.6</v>
      </c>
      <c r="B166" s="309"/>
      <c r="C166" s="182" t="str">
        <f>CONCATENATE('3 pr-2'!B167)</f>
        <v>R01-9920-490000-2416</v>
      </c>
      <c r="D166" s="259" t="str">
        <f>CONCATENATE('3 pr-2'!D167)</f>
        <v>Teikiamų paslaugų procesų tobulinimas ir asmenų aptarnavimo kokybės gerinimas Alytaus m. sav. administracijoje ir jai pavaldžiose įstaigose. II etapas</v>
      </c>
      <c r="E166" s="259" t="str">
        <f>CONCATENATE('3 pr-2'!E167)</f>
        <v>Alytaus miesto savivaldybės administracija</v>
      </c>
      <c r="F166" s="259" t="str">
        <f>CONCATENATE('3 pr-2'!F167)</f>
        <v>Lietuvos Respublikos vidaus reikalų ministerija</v>
      </c>
      <c r="G166" s="259" t="str">
        <f>CONCATENATE('3 pr-2'!G167)</f>
        <v>Alytaus m. sav.</v>
      </c>
      <c r="H166" s="259" t="str">
        <f>CONCATENATE('3 pr-2'!H167)</f>
        <v>10.1.3-ESFA-R-920</v>
      </c>
      <c r="I166" s="259" t="str">
        <f>CONCATENATE('3 pr-2'!I167)</f>
        <v>R</v>
      </c>
      <c r="J166" s="259" t="str">
        <f>CONCATENATE('3 pr-2'!J167)</f>
        <v>-</v>
      </c>
      <c r="K166" s="1433">
        <f>IF(AE166&gt;0,'3 pr-2'!L167,0)</f>
        <v>0</v>
      </c>
      <c r="L166" s="1531">
        <f t="shared" si="136"/>
        <v>0</v>
      </c>
      <c r="M166" s="1525">
        <f t="shared" ca="1" si="137"/>
        <v>0</v>
      </c>
      <c r="N166" s="1433">
        <f>IF(AE166&gt;0,'3 pr-2'!O167,0)</f>
        <v>0</v>
      </c>
      <c r="O166" s="1531"/>
      <c r="P166" s="1525">
        <f ca="1">SUM('ketv. 6 '!P166)</f>
        <v>0</v>
      </c>
      <c r="Q166" s="1433">
        <f>IF(AE166&gt;0,'3 pr-2'!R167,0)</f>
        <v>0</v>
      </c>
      <c r="R166" s="1531"/>
      <c r="S166" s="1525">
        <f ca="1">SUM('ketv. 6 '!T166)</f>
        <v>0</v>
      </c>
      <c r="T166" s="1433">
        <f>IF(AE166&gt;0,'3 pr-2'!U167,0)</f>
        <v>0</v>
      </c>
      <c r="U166" s="1531"/>
      <c r="V166" s="1525">
        <f ca="1">SUM('ketv. 6 '!X166)</f>
        <v>0</v>
      </c>
      <c r="W166" s="1433">
        <f>IF(AE166&gt;0,'3 pr-2'!X167,0)</f>
        <v>0</v>
      </c>
      <c r="X166" s="1531"/>
      <c r="Y166" s="1525">
        <f ca="1">SUM('ketv. 6 '!AB166)</f>
        <v>0</v>
      </c>
      <c r="Z166" s="1433">
        <f>IF(AE166&gt;0,'3 pr-2'!AA167,0)</f>
        <v>0</v>
      </c>
      <c r="AA166" s="1531"/>
      <c r="AB166" s="1525">
        <f ca="1">SUM('ketv. 6 '!AF166)</f>
        <v>0</v>
      </c>
      <c r="AC166" s="1433">
        <f>IF($AE$9&gt;0,'3 pr-2'!AB167,0)</f>
        <v>0</v>
      </c>
      <c r="AD166" s="1336">
        <f>SUM('3 pr-2'!AG167)</f>
        <v>43465</v>
      </c>
      <c r="AE166" s="1336"/>
      <c r="AF166" s="182"/>
      <c r="AG166" s="445" t="str">
        <f t="shared" si="138"/>
        <v>–</v>
      </c>
    </row>
    <row r="167" spans="1:34" ht="42" customHeight="1" thickBot="1" x14ac:dyDescent="0.35">
      <c r="A167" s="412" t="str">
        <f>CONCATENATE('3 pr-2'!A168)</f>
        <v>3.1.</v>
      </c>
      <c r="B167" s="413"/>
      <c r="C167" s="2028" t="str">
        <f>CONCATENATE('3 pr-2'!B168)</f>
        <v>Tikslas: 
DARNIAI TVARKYTI IR VYSTYTI REGIONO TERITORIJĄ</v>
      </c>
      <c r="D167" s="2023"/>
      <c r="E167" s="2023"/>
      <c r="F167" s="2023"/>
      <c r="G167" s="2023"/>
      <c r="H167" s="2023"/>
      <c r="I167" s="2023"/>
      <c r="J167" s="2024"/>
      <c r="K167" s="1514">
        <f>SUM(K168+K171)</f>
        <v>6549960.7570588235</v>
      </c>
      <c r="L167" s="1532">
        <f t="shared" ref="L167:AB167" si="139">SUM(L168+L171)</f>
        <v>6744766.1400000006</v>
      </c>
      <c r="M167" s="1533">
        <f t="shared" ca="1" si="139"/>
        <v>5387095.8899999997</v>
      </c>
      <c r="N167" s="1514">
        <f t="shared" si="139"/>
        <v>1140770.7170588234</v>
      </c>
      <c r="O167" s="1532">
        <f t="shared" si="139"/>
        <v>362891.76</v>
      </c>
      <c r="P167" s="1533">
        <f t="shared" ca="1" si="139"/>
        <v>188461.36</v>
      </c>
      <c r="Q167" s="1514">
        <f t="shared" si="139"/>
        <v>0</v>
      </c>
      <c r="R167" s="1532">
        <f t="shared" si="139"/>
        <v>0</v>
      </c>
      <c r="S167" s="1533">
        <f t="shared" ca="1" si="139"/>
        <v>0</v>
      </c>
      <c r="T167" s="1514">
        <f t="shared" si="139"/>
        <v>0</v>
      </c>
      <c r="U167" s="1532">
        <f t="shared" si="139"/>
        <v>972684.23</v>
      </c>
      <c r="V167" s="1533">
        <f t="shared" ca="1" si="139"/>
        <v>777879.28</v>
      </c>
      <c r="W167" s="1514">
        <f t="shared" si="139"/>
        <v>0</v>
      </c>
      <c r="X167" s="1521">
        <f t="shared" si="139"/>
        <v>0</v>
      </c>
      <c r="Y167" s="1522">
        <f t="shared" ca="1" si="139"/>
        <v>0</v>
      </c>
      <c r="Z167" s="1514">
        <f t="shared" si="139"/>
        <v>5409190.04</v>
      </c>
      <c r="AA167" s="1532">
        <f t="shared" si="139"/>
        <v>5409190.1500000004</v>
      </c>
      <c r="AB167" s="1533">
        <f t="shared" ca="1" si="139"/>
        <v>4420755.25</v>
      </c>
      <c r="AC167" s="1514">
        <f t="shared" ref="AC167" si="140">SUM(AC168+AC171)</f>
        <v>0</v>
      </c>
      <c r="AD167" s="1337" t="s">
        <v>690</v>
      </c>
      <c r="AE167" s="1337" t="s">
        <v>690</v>
      </c>
      <c r="AF167" s="157" t="s">
        <v>690</v>
      </c>
      <c r="AG167" s="157"/>
    </row>
    <row r="168" spans="1:34" ht="32.25" customHeight="1" thickBot="1" x14ac:dyDescent="0.3">
      <c r="A168" s="261" t="str">
        <f>CONCATENATE('3 pr-2'!A169)</f>
        <v>3.1.1.</v>
      </c>
      <c r="B168" s="407"/>
      <c r="C168" s="2022" t="str">
        <f>CONCATENATE('3 pr-2'!B169)</f>
        <v>Uždavinys:
Sumažinti sąvartynuose šalinamų komunalinių atliekų kiekį</v>
      </c>
      <c r="D168" s="2023"/>
      <c r="E168" s="2023"/>
      <c r="F168" s="2023"/>
      <c r="G168" s="2023"/>
      <c r="H168" s="2023"/>
      <c r="I168" s="2023"/>
      <c r="J168" s="2024"/>
      <c r="K168" s="1420">
        <f>SUM(K169)</f>
        <v>4130687.05</v>
      </c>
      <c r="L168" s="1528">
        <f t="shared" ref="L168:AC169" si="141">SUM(L169)</f>
        <v>4325492</v>
      </c>
      <c r="M168" s="1524">
        <f t="shared" ca="1" si="141"/>
        <v>4130687.05</v>
      </c>
      <c r="N168" s="1420">
        <f t="shared" si="141"/>
        <v>777879.2799999998</v>
      </c>
      <c r="O168" s="1528">
        <f t="shared" si="141"/>
        <v>0</v>
      </c>
      <c r="P168" s="1524">
        <f t="shared" ca="1" si="141"/>
        <v>0</v>
      </c>
      <c r="Q168" s="1420">
        <f t="shared" si="141"/>
        <v>0</v>
      </c>
      <c r="R168" s="1528">
        <f t="shared" si="141"/>
        <v>0</v>
      </c>
      <c r="S168" s="1524">
        <f t="shared" ca="1" si="141"/>
        <v>0</v>
      </c>
      <c r="T168" s="1420">
        <f t="shared" si="141"/>
        <v>0</v>
      </c>
      <c r="U168" s="1528">
        <f t="shared" si="141"/>
        <v>972684.23</v>
      </c>
      <c r="V168" s="1524">
        <f t="shared" ca="1" si="141"/>
        <v>777879.28</v>
      </c>
      <c r="W168" s="1420">
        <f t="shared" si="141"/>
        <v>0</v>
      </c>
      <c r="X168" s="1529">
        <f t="shared" si="141"/>
        <v>0</v>
      </c>
      <c r="Y168" s="1485">
        <f t="shared" ca="1" si="141"/>
        <v>0</v>
      </c>
      <c r="Z168" s="1420">
        <f t="shared" si="141"/>
        <v>3352807.77</v>
      </c>
      <c r="AA168" s="1528">
        <f t="shared" si="141"/>
        <v>3352807.77</v>
      </c>
      <c r="AB168" s="1524">
        <f t="shared" ca="1" si="141"/>
        <v>3352807.77</v>
      </c>
      <c r="AC168" s="1420">
        <f t="shared" si="141"/>
        <v>0</v>
      </c>
      <c r="AD168" s="1338" t="s">
        <v>690</v>
      </c>
      <c r="AE168" s="1339" t="s">
        <v>690</v>
      </c>
      <c r="AF168" s="408" t="s">
        <v>690</v>
      </c>
      <c r="AG168" s="239"/>
    </row>
    <row r="169" spans="1:34" ht="33.75" customHeight="1" thickBot="1" x14ac:dyDescent="0.3">
      <c r="A169" s="326" t="str">
        <f>CONCATENATE('3 pr-2'!A170)</f>
        <v>3.1.1.1</v>
      </c>
      <c r="B169" s="388"/>
      <c r="C169" s="2025" t="str">
        <f>CONCATENATE('3 pr-2'!B170)</f>
        <v>Priemonė:
Komunalinių atliekų tvarkymo infrastruktūros plėtra</v>
      </c>
      <c r="D169" s="2026"/>
      <c r="E169" s="2026"/>
      <c r="F169" s="2026"/>
      <c r="G169" s="2026"/>
      <c r="H169" s="2026"/>
      <c r="I169" s="2026"/>
      <c r="J169" s="2027"/>
      <c r="K169" s="1293">
        <f>SUM(K170)</f>
        <v>4130687.05</v>
      </c>
      <c r="L169" s="1526">
        <f t="shared" si="141"/>
        <v>4325492</v>
      </c>
      <c r="M169" s="1295">
        <f t="shared" ca="1" si="141"/>
        <v>4130687.05</v>
      </c>
      <c r="N169" s="1293">
        <f t="shared" si="141"/>
        <v>777879.2799999998</v>
      </c>
      <c r="O169" s="1294">
        <f t="shared" si="141"/>
        <v>0</v>
      </c>
      <c r="P169" s="1527">
        <f t="shared" ca="1" si="141"/>
        <v>0</v>
      </c>
      <c r="Q169" s="1293">
        <f t="shared" si="141"/>
        <v>0</v>
      </c>
      <c r="R169" s="1294">
        <f t="shared" si="141"/>
        <v>0</v>
      </c>
      <c r="S169" s="1534">
        <f t="shared" ca="1" si="141"/>
        <v>0</v>
      </c>
      <c r="T169" s="1293">
        <f t="shared" si="141"/>
        <v>0</v>
      </c>
      <c r="U169" s="1526">
        <f t="shared" si="141"/>
        <v>972684.23</v>
      </c>
      <c r="V169" s="1295">
        <f t="shared" ca="1" si="141"/>
        <v>777879.28</v>
      </c>
      <c r="W169" s="1293">
        <f t="shared" si="141"/>
        <v>0</v>
      </c>
      <c r="X169" s="1294">
        <f t="shared" si="141"/>
        <v>0</v>
      </c>
      <c r="Y169" s="1295">
        <f t="shared" ca="1" si="141"/>
        <v>0</v>
      </c>
      <c r="Z169" s="1293">
        <f t="shared" si="141"/>
        <v>3352807.77</v>
      </c>
      <c r="AA169" s="1294">
        <f t="shared" si="141"/>
        <v>3352807.77</v>
      </c>
      <c r="AB169" s="1295">
        <f t="shared" ca="1" si="141"/>
        <v>3352807.77</v>
      </c>
      <c r="AC169" s="1293">
        <f t="shared" si="141"/>
        <v>0</v>
      </c>
      <c r="AD169" s="1340"/>
      <c r="AE169" s="1341"/>
      <c r="AF169" s="398"/>
      <c r="AG169" s="399"/>
    </row>
    <row r="170" spans="1:34" ht="49.5" thickBot="1" x14ac:dyDescent="0.3">
      <c r="A170" s="182" t="str">
        <f>CONCATENATE('3 pr-2'!A171)</f>
        <v>3.1.1.1.1</v>
      </c>
      <c r="B170" s="309" t="s">
        <v>742</v>
      </c>
      <c r="C170" s="182" t="str">
        <f>CONCATENATE('3 pr-2'!B171)</f>
        <v>R01-0008-050000-3111</v>
      </c>
      <c r="D170" s="182" t="str">
        <f>CONCATENATE('3 pr-2'!D171)</f>
        <v>Komunalinių atliekų tvarkymo sistemos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296">
        <f>IF(AE170&gt;0,'3 pr-2'!L171,0)</f>
        <v>4130687.05</v>
      </c>
      <c r="L170" s="1297">
        <f t="shared" ref="L170" si="142">SUM(O170+R170+U170+X170+AA170)</f>
        <v>4325492</v>
      </c>
      <c r="M170" s="1525">
        <f t="shared" ref="M170" ca="1" si="143">SUM(P170+S170+V170+Y170+AB170)</f>
        <v>4130687.05</v>
      </c>
      <c r="N170" s="1296">
        <f>IF(AE170&gt;0,'3 pr-2'!O171,0)</f>
        <v>777879.2799999998</v>
      </c>
      <c r="O170" s="1297">
        <v>0</v>
      </c>
      <c r="P170" s="1525">
        <f ca="1">SUM('ketv. 6 '!P170)</f>
        <v>0</v>
      </c>
      <c r="Q170" s="1296">
        <f>IF(AE170&gt;0,'3 pr-2'!R171,0)</f>
        <v>0</v>
      </c>
      <c r="R170" s="1297">
        <v>0</v>
      </c>
      <c r="S170" s="1525">
        <f ca="1">SUM('ketv. 6 '!T170)</f>
        <v>0</v>
      </c>
      <c r="T170" s="1296">
        <f>IF(AE170&gt;0,'3 pr-2'!U171,0)</f>
        <v>0</v>
      </c>
      <c r="U170" s="1297">
        <v>972684.23</v>
      </c>
      <c r="V170" s="1525">
        <f ca="1">SUM('ketv. 6 '!X170)</f>
        <v>777879.28</v>
      </c>
      <c r="W170" s="1296">
        <f>IF(AE170&gt;0,'3 pr-2'!X171,0)</f>
        <v>0</v>
      </c>
      <c r="X170" s="1297"/>
      <c r="Y170" s="1525">
        <f ca="1">SUM('ketv. 6 '!AB170)</f>
        <v>0</v>
      </c>
      <c r="Z170" s="1296">
        <f>IF(AE170&gt;0,'3 pr-2'!AA171,0)</f>
        <v>3352807.77</v>
      </c>
      <c r="AA170" s="1297">
        <v>3352807.77</v>
      </c>
      <c r="AB170" s="1525">
        <f ca="1">SUM('ketv. 6 '!AF170)</f>
        <v>3352807.77</v>
      </c>
      <c r="AC170" s="1296">
        <f>IF($AE$9&gt;0,'3 pr-2'!AB171,0)</f>
        <v>0</v>
      </c>
      <c r="AD170" s="1336">
        <f>SUM('3 pr-2'!AG171)</f>
        <v>42754</v>
      </c>
      <c r="AE170" s="1342">
        <v>42754</v>
      </c>
      <c r="AF170" s="216">
        <f t="shared" ref="AF170" si="144">IF((YEAR(AD170)-YEAR(AE170))=0,0,YEAR(AD170)-YEAR(AE170))</f>
        <v>0</v>
      </c>
      <c r="AG170" s="445" t="str">
        <f t="shared" ref="AG170" si="145">IF(AD170-AE170&lt;0,(AD170-AE170)/30.41667,"–")</f>
        <v>–</v>
      </c>
    </row>
    <row r="171" spans="1:34" ht="39.75" customHeight="1" thickBot="1" x14ac:dyDescent="0.3">
      <c r="A171" s="261" t="str">
        <f>CONCATENATE('3 pr-2'!A172)</f>
        <v>3.1.2.</v>
      </c>
      <c r="B171" s="407"/>
      <c r="C171" s="2022" t="str">
        <f>CONCATENATE('3 pr-2'!B172)</f>
        <v>Uždavinys:
Kraštovaizdžio apsauga, planavimas ir tvarkymas</v>
      </c>
      <c r="D171" s="2023"/>
      <c r="E171" s="2023"/>
      <c r="F171" s="2023"/>
      <c r="G171" s="2023"/>
      <c r="H171" s="2023"/>
      <c r="I171" s="2023"/>
      <c r="J171" s="2024"/>
      <c r="K171" s="1420">
        <f>SUM(K172)</f>
        <v>2419273.7070588232</v>
      </c>
      <c r="L171" s="1528">
        <f t="shared" ref="L171:AC171" si="146">SUM(L172)</f>
        <v>2419274.14</v>
      </c>
      <c r="M171" s="1524">
        <f t="shared" ca="1" si="146"/>
        <v>1256408.8399999999</v>
      </c>
      <c r="N171" s="1420">
        <f t="shared" si="146"/>
        <v>362891.43705882353</v>
      </c>
      <c r="O171" s="1528">
        <f t="shared" si="146"/>
        <v>362891.76</v>
      </c>
      <c r="P171" s="1524">
        <f t="shared" ca="1" si="146"/>
        <v>188461.36</v>
      </c>
      <c r="Q171" s="1420">
        <f t="shared" si="146"/>
        <v>0</v>
      </c>
      <c r="R171" s="1528">
        <f t="shared" si="146"/>
        <v>0</v>
      </c>
      <c r="S171" s="1524">
        <f t="shared" ca="1" si="146"/>
        <v>0</v>
      </c>
      <c r="T171" s="1420">
        <f t="shared" si="146"/>
        <v>0</v>
      </c>
      <c r="U171" s="1528">
        <f t="shared" si="146"/>
        <v>0</v>
      </c>
      <c r="V171" s="1524">
        <f t="shared" ca="1" si="146"/>
        <v>0</v>
      </c>
      <c r="W171" s="1420">
        <f t="shared" si="146"/>
        <v>0</v>
      </c>
      <c r="X171" s="1529">
        <f t="shared" si="146"/>
        <v>0</v>
      </c>
      <c r="Y171" s="1485">
        <f t="shared" ca="1" si="146"/>
        <v>0</v>
      </c>
      <c r="Z171" s="1420">
        <f t="shared" si="146"/>
        <v>2056382.27</v>
      </c>
      <c r="AA171" s="1528">
        <f t="shared" si="146"/>
        <v>2056382.3800000001</v>
      </c>
      <c r="AB171" s="1524">
        <f t="shared" ca="1" si="146"/>
        <v>1067947.48</v>
      </c>
      <c r="AC171" s="1420">
        <f t="shared" si="146"/>
        <v>0</v>
      </c>
      <c r="AD171" s="1338" t="s">
        <v>690</v>
      </c>
      <c r="AE171" s="1339" t="s">
        <v>690</v>
      </c>
      <c r="AF171" s="408" t="s">
        <v>690</v>
      </c>
      <c r="AG171" s="239"/>
    </row>
    <row r="172" spans="1:34" ht="33.75" customHeight="1" thickBot="1" x14ac:dyDescent="0.3">
      <c r="A172" s="326" t="str">
        <f>CONCATENATE('3 pr-2'!A173)</f>
        <v>3.1.2.1</v>
      </c>
      <c r="B172" s="388"/>
      <c r="C172" s="2025" t="str">
        <f>CONCATENATE('3 pr-2'!B173)</f>
        <v>Priemonė:
Kraštovaizdžio apsauga/plėtra</v>
      </c>
      <c r="D172" s="2026"/>
      <c r="E172" s="2026"/>
      <c r="F172" s="2026"/>
      <c r="G172" s="2026"/>
      <c r="H172" s="2026"/>
      <c r="I172" s="2026"/>
      <c r="J172" s="2027"/>
      <c r="K172" s="1293">
        <f>SUM(K173:K180)</f>
        <v>2419273.7070588232</v>
      </c>
      <c r="L172" s="1526">
        <f t="shared" ref="L172:AB172" si="147">SUM(L173:L180)</f>
        <v>2419274.14</v>
      </c>
      <c r="M172" s="1295">
        <f t="shared" ca="1" si="147"/>
        <v>1256408.8399999999</v>
      </c>
      <c r="N172" s="1293">
        <f t="shared" si="147"/>
        <v>362891.43705882353</v>
      </c>
      <c r="O172" s="1294">
        <f t="shared" si="147"/>
        <v>362891.76</v>
      </c>
      <c r="P172" s="1527">
        <f t="shared" ca="1" si="147"/>
        <v>188461.36</v>
      </c>
      <c r="Q172" s="1293">
        <f t="shared" si="147"/>
        <v>0</v>
      </c>
      <c r="R172" s="1294">
        <f t="shared" si="147"/>
        <v>0</v>
      </c>
      <c r="S172" s="1534">
        <f t="shared" ca="1" si="147"/>
        <v>0</v>
      </c>
      <c r="T172" s="1293">
        <f t="shared" si="147"/>
        <v>0</v>
      </c>
      <c r="U172" s="1526">
        <f t="shared" si="147"/>
        <v>0</v>
      </c>
      <c r="V172" s="1295">
        <f t="shared" ca="1" si="147"/>
        <v>0</v>
      </c>
      <c r="W172" s="1293">
        <f t="shared" si="147"/>
        <v>0</v>
      </c>
      <c r="X172" s="1294">
        <f t="shared" si="147"/>
        <v>0</v>
      </c>
      <c r="Y172" s="1295">
        <f t="shared" ca="1" si="147"/>
        <v>0</v>
      </c>
      <c r="Z172" s="1293">
        <f t="shared" si="147"/>
        <v>2056382.27</v>
      </c>
      <c r="AA172" s="1294">
        <f t="shared" si="147"/>
        <v>2056382.3800000001</v>
      </c>
      <c r="AB172" s="1295">
        <f t="shared" ca="1" si="147"/>
        <v>1067947.48</v>
      </c>
      <c r="AC172" s="1293">
        <f t="shared" ref="AC172" si="148">SUM(AC173:AC180)</f>
        <v>0</v>
      </c>
      <c r="AD172" s="1340"/>
      <c r="AE172" s="1341"/>
      <c r="AF172" s="398"/>
      <c r="AG172" s="399"/>
    </row>
    <row r="173" spans="1:34" ht="48.75" x14ac:dyDescent="0.25">
      <c r="A173" s="182" t="str">
        <f>CONCATENATE('3 pr-2'!A174)</f>
        <v>3.1.2.1.1</v>
      </c>
      <c r="B173" s="309" t="s">
        <v>744</v>
      </c>
      <c r="C173" s="182" t="str">
        <f>CONCATENATE('3 pr-2'!B174)</f>
        <v>R01-0019-380000-3211</v>
      </c>
      <c r="D173" s="182"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96">
        <f>IF(AE173&gt;0,'3 pr-2'!L174,0)</f>
        <v>309522</v>
      </c>
      <c r="L173" s="1297">
        <f t="shared" ref="L173:L181" si="149">SUM(O173+R173+U173+X173+AA173)</f>
        <v>309522</v>
      </c>
      <c r="M173" s="1525">
        <f t="shared" ref="M173:M181" ca="1" si="150">SUM(P173+S173+V173+Y173+AB173)</f>
        <v>309522</v>
      </c>
      <c r="N173" s="1296">
        <f>IF(AE173&gt;0,'3 pr-2'!O174,0)</f>
        <v>46428.3</v>
      </c>
      <c r="O173" s="1297">
        <v>46428</v>
      </c>
      <c r="P173" s="1525">
        <f ca="1">SUM('ketv. 6 '!P173)</f>
        <v>46428.3</v>
      </c>
      <c r="Q173" s="1296">
        <f>IF(AE173&gt;0,'3 pr-2'!R174,0)</f>
        <v>0</v>
      </c>
      <c r="R173" s="1297">
        <v>0</v>
      </c>
      <c r="S173" s="1525">
        <f ca="1">SUM('ketv. 6 '!T173)</f>
        <v>0</v>
      </c>
      <c r="T173" s="1296">
        <f>IF(AE173&gt;0,'3 pr-2'!U174,0)</f>
        <v>0</v>
      </c>
      <c r="U173" s="1297">
        <v>0</v>
      </c>
      <c r="V173" s="1525">
        <f ca="1">SUM('ketv. 6 '!X173)</f>
        <v>0</v>
      </c>
      <c r="W173" s="1296">
        <f>IF(AE173&gt;0,'3 pr-2'!X174,0)</f>
        <v>0</v>
      </c>
      <c r="X173" s="1297">
        <v>0</v>
      </c>
      <c r="Y173" s="1525">
        <f ca="1">SUM('ketv. 6 '!AB173)</f>
        <v>0</v>
      </c>
      <c r="Z173" s="1296">
        <f>IF(AE173&gt;0,'3 pr-2'!AA174,0)</f>
        <v>263093.7</v>
      </c>
      <c r="AA173" s="1297">
        <v>263094</v>
      </c>
      <c r="AB173" s="1525">
        <f ca="1">SUM('ketv. 6 '!AF173)</f>
        <v>263093.7</v>
      </c>
      <c r="AC173" s="1296">
        <f>IF($AE$9&gt;0,'3 pr-2'!AB174,0)</f>
        <v>0</v>
      </c>
      <c r="AD173" s="1336">
        <f>SUM('3 pr-2'!AG174)</f>
        <v>42632</v>
      </c>
      <c r="AE173" s="1342">
        <v>42632</v>
      </c>
      <c r="AF173" s="216">
        <f t="shared" ref="AF173" si="151">IF((YEAR(AD173)-YEAR(AE173))=0,0,YEAR(AD173)-YEAR(AE173))</f>
        <v>0</v>
      </c>
      <c r="AG173" s="445" t="str">
        <f t="shared" ref="AG173:AG180" si="152">IF(AD173-AE173&lt;0,(AD173-AE173)/30.41667,"–")</f>
        <v>–</v>
      </c>
    </row>
    <row r="174" spans="1:34" ht="48.75" x14ac:dyDescent="0.25">
      <c r="A174" s="182" t="str">
        <f>CONCATENATE('3 pr-2'!A175)</f>
        <v>3.1.2.1.2</v>
      </c>
      <c r="B174" s="309"/>
      <c r="C174" s="182" t="str">
        <f>CONCATENATE('3 pr-2'!B175)</f>
        <v>R01-0019-380000-3212</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96">
        <f>IF(AE174&gt;0,'3 pr-2'!L175,0)</f>
        <v>554211</v>
      </c>
      <c r="L174" s="1297">
        <f t="shared" si="149"/>
        <v>554211</v>
      </c>
      <c r="M174" s="1525">
        <f t="shared" ca="1" si="150"/>
        <v>0</v>
      </c>
      <c r="N174" s="1296">
        <f>IF(AE174&gt;0,'3 pr-2'!O175,0)</f>
        <v>83132</v>
      </c>
      <c r="O174" s="1297">
        <v>83132</v>
      </c>
      <c r="P174" s="1525">
        <f ca="1">SUM('ketv. 6 '!P174)</f>
        <v>0</v>
      </c>
      <c r="Q174" s="1296">
        <f>IF(AE174&gt;0,'3 pr-2'!R175,0)</f>
        <v>0</v>
      </c>
      <c r="R174" s="1297">
        <v>0</v>
      </c>
      <c r="S174" s="1525">
        <f ca="1">SUM('ketv. 6 '!T174)</f>
        <v>0</v>
      </c>
      <c r="T174" s="1296">
        <f>IF(AE174&gt;0,'3 pr-2'!U175,0)</f>
        <v>0</v>
      </c>
      <c r="U174" s="1297">
        <v>0</v>
      </c>
      <c r="V174" s="1525">
        <f ca="1">SUM('ketv. 6 '!X174)</f>
        <v>0</v>
      </c>
      <c r="W174" s="1296">
        <f>IF(AE174&gt;0,'3 pr-2'!X175,0)</f>
        <v>0</v>
      </c>
      <c r="X174" s="1297">
        <v>0</v>
      </c>
      <c r="Y174" s="1525">
        <f ca="1">SUM('ketv. 6 '!AB174)</f>
        <v>0</v>
      </c>
      <c r="Z174" s="1296">
        <f>IF(AE174&gt;0,'3 pr-2'!AA175,0)</f>
        <v>471079</v>
      </c>
      <c r="AA174" s="1297">
        <v>471079</v>
      </c>
      <c r="AB174" s="1525">
        <f ca="1">SUM('ketv. 6 '!AF174)</f>
        <v>0</v>
      </c>
      <c r="AC174" s="1296">
        <f>IF($AE$9&gt;0,'3 pr-2'!AB175,0)</f>
        <v>0</v>
      </c>
      <c r="AD174" s="1336">
        <f>SUM('3 pr-2'!AG175)</f>
        <v>43373</v>
      </c>
      <c r="AE174" s="1336">
        <v>43362</v>
      </c>
      <c r="AF174" s="216"/>
      <c r="AG174" s="445" t="str">
        <f t="shared" si="152"/>
        <v>–</v>
      </c>
    </row>
    <row r="175" spans="1:34" ht="48.75" x14ac:dyDescent="0.25">
      <c r="A175" s="182" t="str">
        <f>CONCATENATE('3 pr-2'!A176)</f>
        <v>3.1.2.1.3</v>
      </c>
      <c r="B175" s="309" t="s">
        <v>743</v>
      </c>
      <c r="C175" s="182" t="str">
        <f>CONCATENATE('3 pr-2'!B176)</f>
        <v>R01-0019-380000-3213</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96">
        <f>IF(AE175&gt;0,'3 pr-2'!L176,0)</f>
        <v>101765.7</v>
      </c>
      <c r="L175" s="1297">
        <f t="shared" si="149"/>
        <v>101766</v>
      </c>
      <c r="M175" s="1525">
        <f t="shared" ca="1" si="150"/>
        <v>101765.7</v>
      </c>
      <c r="N175" s="1296">
        <f>IF(AE175&gt;0,'3 pr-2'!O176,0)</f>
        <v>15264.9</v>
      </c>
      <c r="O175" s="1297">
        <v>15265</v>
      </c>
      <c r="P175" s="1525">
        <f ca="1">SUM('ketv. 6 '!P175)</f>
        <v>15264.9</v>
      </c>
      <c r="Q175" s="1296">
        <f>IF(AE175&gt;0,'3 pr-2'!R176,0)</f>
        <v>0</v>
      </c>
      <c r="R175" s="1297">
        <v>0</v>
      </c>
      <c r="S175" s="1525">
        <f ca="1">SUM('ketv. 6 '!T175)</f>
        <v>0</v>
      </c>
      <c r="T175" s="1296">
        <f>IF(AE175&gt;0,'3 pr-2'!U176,0)</f>
        <v>0</v>
      </c>
      <c r="U175" s="1297">
        <v>0</v>
      </c>
      <c r="V175" s="1525">
        <f ca="1">SUM('ketv. 6 '!X175)</f>
        <v>0</v>
      </c>
      <c r="W175" s="1296">
        <f>IF(AE175&gt;0,'3 pr-2'!X176,0)</f>
        <v>0</v>
      </c>
      <c r="X175" s="1297">
        <v>0</v>
      </c>
      <c r="Y175" s="1525">
        <f ca="1">SUM('ketv. 6 '!AB175)</f>
        <v>0</v>
      </c>
      <c r="Z175" s="1296">
        <f>IF(AE175&gt;0,'3 pr-2'!AA176,0)</f>
        <v>86500.800000000003</v>
      </c>
      <c r="AA175" s="1297">
        <v>86501</v>
      </c>
      <c r="AB175" s="1525">
        <f ca="1">SUM('ketv. 6 '!AF175)</f>
        <v>86500.800000000003</v>
      </c>
      <c r="AC175" s="1296">
        <f>IF($AE$9&gt;0,'3 pr-2'!AB176,0)</f>
        <v>0</v>
      </c>
      <c r="AD175" s="1336">
        <f>SUM('3 pr-2'!AG176)</f>
        <v>42632</v>
      </c>
      <c r="AE175" s="1342">
        <v>42632</v>
      </c>
      <c r="AF175" s="216">
        <f t="shared" ref="AF175:AF176" si="153">IF((YEAR(AD175)-YEAR(AE175))=0,0,YEAR(AD175)-YEAR(AE175))</f>
        <v>0</v>
      </c>
      <c r="AG175" s="445" t="str">
        <f t="shared" si="152"/>
        <v>–</v>
      </c>
    </row>
    <row r="176" spans="1:34" ht="48.75" x14ac:dyDescent="0.25">
      <c r="A176" s="182" t="str">
        <f>CONCATENATE('3 pr-2'!A177)</f>
        <v>3.1.2.1.4</v>
      </c>
      <c r="B176" s="309" t="s">
        <v>746</v>
      </c>
      <c r="C176" s="182" t="str">
        <f>CONCATENATE('3 pr-2'!B177)</f>
        <v>R01-0019-380000-3214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96">
        <f>IF(AE176&gt;0,'3 pr-2'!L177,0)</f>
        <v>3993</v>
      </c>
      <c r="L176" s="1297">
        <f t="shared" si="149"/>
        <v>3993</v>
      </c>
      <c r="M176" s="1525">
        <f t="shared" ca="1" si="150"/>
        <v>3993</v>
      </c>
      <c r="N176" s="1296">
        <f>IF(AE176&gt;0,'3 pr-2'!O177,0)</f>
        <v>598.95000000000005</v>
      </c>
      <c r="O176" s="1297">
        <v>598.95000000000005</v>
      </c>
      <c r="P176" s="1525">
        <f ca="1">SUM('ketv. 6 '!P176)</f>
        <v>598.95000000000005</v>
      </c>
      <c r="Q176" s="1296">
        <f>IF(AE176&gt;0,'3 pr-2'!R177,0)</f>
        <v>0</v>
      </c>
      <c r="R176" s="1297">
        <v>0</v>
      </c>
      <c r="S176" s="1525">
        <f ca="1">SUM('ketv. 6 '!T176)</f>
        <v>0</v>
      </c>
      <c r="T176" s="1296">
        <f>IF(AE176&gt;0,'3 pr-2'!U177,0)</f>
        <v>0</v>
      </c>
      <c r="U176" s="1297">
        <v>0</v>
      </c>
      <c r="V176" s="1525">
        <f ca="1">SUM('ketv. 6 '!X176)</f>
        <v>0</v>
      </c>
      <c r="W176" s="1296">
        <f>IF(AE176&gt;0,'3 pr-2'!X177,0)</f>
        <v>0</v>
      </c>
      <c r="X176" s="1297">
        <v>0</v>
      </c>
      <c r="Y176" s="1525">
        <f ca="1">SUM('ketv. 6 '!AB176)</f>
        <v>0</v>
      </c>
      <c r="Z176" s="1296">
        <f>IF(AE176&gt;0,'3 pr-2'!AA177,0)</f>
        <v>3394.05</v>
      </c>
      <c r="AA176" s="1297">
        <v>3394.05</v>
      </c>
      <c r="AB176" s="1525">
        <f ca="1">SUM('ketv. 6 '!AF176)</f>
        <v>3394.05</v>
      </c>
      <c r="AC176" s="1296">
        <f>IF($AE$9&gt;0,'3 pr-2'!AB177,0)</f>
        <v>0</v>
      </c>
      <c r="AD176" s="1336">
        <f>SUM('3 pr-2'!AG177)</f>
        <v>42632</v>
      </c>
      <c r="AE176" s="1342">
        <v>42632</v>
      </c>
      <c r="AF176" s="216">
        <f t="shared" si="153"/>
        <v>0</v>
      </c>
      <c r="AG176" s="445" t="str">
        <f t="shared" si="152"/>
        <v>–</v>
      </c>
    </row>
    <row r="177" spans="1:34" ht="48.75" x14ac:dyDescent="0.25">
      <c r="A177" s="182" t="str">
        <f>CONCATENATE('3 pr-2'!A178)</f>
        <v>3.1.2.1.5</v>
      </c>
      <c r="B177" s="309" t="s">
        <v>747</v>
      </c>
      <c r="C177" s="182" t="str">
        <f>CONCATENATE('3 pr-2'!B178)</f>
        <v>R01-0019-380000-3215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96">
        <f>IF(AE177&gt;0,'3 pr-2'!L178,0)</f>
        <v>121153.55</v>
      </c>
      <c r="L177" s="1297">
        <f t="shared" si="149"/>
        <v>121153.55</v>
      </c>
      <c r="M177" s="1525">
        <f t="shared" ca="1" si="150"/>
        <v>121153.55</v>
      </c>
      <c r="N177" s="1296">
        <f>IF(AE177&gt;0,'3 pr-2'!O178,0)</f>
        <v>18173.03</v>
      </c>
      <c r="O177" s="1297">
        <v>18173.03</v>
      </c>
      <c r="P177" s="1525">
        <f ca="1">SUM('ketv. 6 '!P177)</f>
        <v>18173.03</v>
      </c>
      <c r="Q177" s="1296">
        <f>IF(AE177&gt;0,'3 pr-2'!R178,0)</f>
        <v>0</v>
      </c>
      <c r="R177" s="1297">
        <v>0</v>
      </c>
      <c r="S177" s="1525">
        <f ca="1">SUM('ketv. 6 '!T177)</f>
        <v>0</v>
      </c>
      <c r="T177" s="1296">
        <f>IF(AE177&gt;0,'3 pr-2'!U178,0)</f>
        <v>0</v>
      </c>
      <c r="U177" s="1297">
        <v>0</v>
      </c>
      <c r="V177" s="1525">
        <f ca="1">SUM('ketv. 6 '!X177)</f>
        <v>0</v>
      </c>
      <c r="W177" s="1296">
        <f>IF(AE177&gt;0,'3 pr-2'!X178,0)</f>
        <v>0</v>
      </c>
      <c r="X177" s="1297">
        <v>0</v>
      </c>
      <c r="Y177" s="1525">
        <f ca="1">SUM('ketv. 6 '!AB177)</f>
        <v>0</v>
      </c>
      <c r="Z177" s="1296">
        <f>IF(AE177&gt;0,'3 pr-2'!AA178,0)</f>
        <v>102980.52</v>
      </c>
      <c r="AA177" s="1297">
        <v>102980.52</v>
      </c>
      <c r="AB177" s="1525">
        <f ca="1">SUM('ketv. 6 '!AF177)</f>
        <v>102980.52</v>
      </c>
      <c r="AC177" s="1296">
        <f>IF($AE$9&gt;0,'3 pr-2'!AB178,0)</f>
        <v>0</v>
      </c>
      <c r="AD177" s="1336">
        <f>SUM('3 pr-2'!AG178)</f>
        <v>42704</v>
      </c>
      <c r="AE177" s="1342">
        <v>42632</v>
      </c>
      <c r="AF177" s="216">
        <f t="shared" ref="AF177" si="154">IF((YEAR(AD177)-YEAR(AE177))=0,0,YEAR(AD177)-YEAR(AE177))</f>
        <v>0</v>
      </c>
      <c r="AG177" s="445" t="str">
        <f t="shared" si="152"/>
        <v>–</v>
      </c>
    </row>
    <row r="178" spans="1:34" ht="48.75" x14ac:dyDescent="0.25">
      <c r="A178" s="182" t="str">
        <f>CONCATENATE('3 pr-2'!A179)</f>
        <v>3.1.2.1.6</v>
      </c>
      <c r="B178" s="309" t="s">
        <v>745</v>
      </c>
      <c r="C178" s="182" t="str">
        <f>CONCATENATE('3 pr-2'!B179)</f>
        <v>R01-0019-380000-3216</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96">
        <f>IF(AE178&gt;0,'3 pr-2'!L179,0)</f>
        <v>442298.58999999997</v>
      </c>
      <c r="L178" s="1297">
        <f>SUM(O178+R178+U178+X178+AA178)</f>
        <v>442298.58999999997</v>
      </c>
      <c r="M178" s="1525">
        <f t="shared" ca="1" si="150"/>
        <v>442298.58999999997</v>
      </c>
      <c r="N178" s="1296">
        <f>IF(AE178&gt;0,'3 pr-2'!O179,0)</f>
        <v>66344.78</v>
      </c>
      <c r="O178" s="1297">
        <v>66344.78</v>
      </c>
      <c r="P178" s="1525">
        <f ca="1">SUM('ketv. 6 '!P178)</f>
        <v>66344.78</v>
      </c>
      <c r="Q178" s="1296">
        <f>IF(AE178&gt;0,'3 pr-2'!R179,0)</f>
        <v>0</v>
      </c>
      <c r="R178" s="1297">
        <v>0</v>
      </c>
      <c r="S178" s="1525">
        <f ca="1">SUM('ketv. 6 '!T178)</f>
        <v>0</v>
      </c>
      <c r="T178" s="1296">
        <f>IF(AE178&gt;0,'3 pr-2'!U179,0)</f>
        <v>0</v>
      </c>
      <c r="U178" s="1297">
        <v>0</v>
      </c>
      <c r="V178" s="1525">
        <f ca="1">SUM('ketv. 6 '!X178)</f>
        <v>0</v>
      </c>
      <c r="W178" s="1296">
        <f>IF(AE178&gt;0,'3 pr-2'!X179,0)</f>
        <v>0</v>
      </c>
      <c r="X178" s="1297">
        <v>0</v>
      </c>
      <c r="Y178" s="1525">
        <f ca="1">SUM('ketv. 6 '!AB178)</f>
        <v>0</v>
      </c>
      <c r="Z178" s="1296">
        <f>IF(AE178&gt;0,'3 pr-2'!AA179,0)</f>
        <v>375953.81</v>
      </c>
      <c r="AA178" s="1297">
        <v>375953.81</v>
      </c>
      <c r="AB178" s="1525">
        <f ca="1">SUM('ketv. 6 '!AF178)</f>
        <v>375953.81</v>
      </c>
      <c r="AC178" s="1296">
        <f>IF($AE$9&gt;0,'3 pr-2'!AB179,0)</f>
        <v>0</v>
      </c>
      <c r="AD178" s="1336">
        <f>SUM('3 pr-2'!AG179)</f>
        <v>42704</v>
      </c>
      <c r="AE178" s="1342">
        <v>42703</v>
      </c>
      <c r="AF178" s="216">
        <f t="shared" ref="AF178:AF179" si="155">IF((YEAR(AD178)-YEAR(AE178))=0,0,YEAR(AD178)-YEAR(AE178))</f>
        <v>0</v>
      </c>
      <c r="AG178" s="1401" t="str">
        <f t="shared" si="152"/>
        <v>–</v>
      </c>
      <c r="AH178" s="1400"/>
    </row>
    <row r="179" spans="1:34" ht="48.75" x14ac:dyDescent="0.25">
      <c r="A179" s="182" t="str">
        <f>CONCATENATE('3 pr-2'!A180)</f>
        <v>3.1.2.1.7</v>
      </c>
      <c r="B179" s="309"/>
      <c r="C179" s="182" t="str">
        <f>CONCATENATE('3 pr-2'!B180)</f>
        <v>R01-0019-283800-3217</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96">
        <f>IF(AE179&gt;0,'3 pr-2'!L180,0)</f>
        <v>149792.22</v>
      </c>
      <c r="L179" s="1297">
        <f t="shared" si="149"/>
        <v>149792</v>
      </c>
      <c r="M179" s="1525">
        <f t="shared" ca="1" si="150"/>
        <v>0</v>
      </c>
      <c r="N179" s="1296">
        <f>IF(AE179&gt;0,'3 pr-2'!O180,0)</f>
        <v>22468.83</v>
      </c>
      <c r="O179" s="1297">
        <v>22469</v>
      </c>
      <c r="P179" s="1525">
        <f ca="1">SUM('ketv. 6 '!P179)</f>
        <v>0</v>
      </c>
      <c r="Q179" s="1296">
        <f>IF(AE179&gt;0,'3 pr-2'!R180,0)</f>
        <v>0</v>
      </c>
      <c r="R179" s="1297">
        <v>0</v>
      </c>
      <c r="S179" s="1525">
        <f ca="1">SUM('ketv. 6 '!T179)</f>
        <v>0</v>
      </c>
      <c r="T179" s="1296">
        <f>IF(AE179&gt;0,'3 pr-2'!U180,0)</f>
        <v>0</v>
      </c>
      <c r="U179" s="1297">
        <v>0</v>
      </c>
      <c r="V179" s="1525">
        <f ca="1">SUM('ketv. 6 '!X179)</f>
        <v>0</v>
      </c>
      <c r="W179" s="1296">
        <f>IF(AE179&gt;0,'3 pr-2'!X180,0)</f>
        <v>0</v>
      </c>
      <c r="X179" s="1297">
        <v>0</v>
      </c>
      <c r="Y179" s="1525">
        <f ca="1">SUM('ketv. 6 '!AB179)</f>
        <v>0</v>
      </c>
      <c r="Z179" s="1296">
        <f>IF(AE179&gt;0,'3 pr-2'!AA180,0)</f>
        <v>127323.39</v>
      </c>
      <c r="AA179" s="1297">
        <v>127323</v>
      </c>
      <c r="AB179" s="1525">
        <f ca="1">SUM('ketv. 6 '!AF179)</f>
        <v>0</v>
      </c>
      <c r="AC179" s="1296">
        <f>IF($AE$9&gt;0,'3 pr-2'!AB180,0)</f>
        <v>0</v>
      </c>
      <c r="AD179" s="1336">
        <f>SUM('3 pr-2'!AG180)</f>
        <v>43343</v>
      </c>
      <c r="AE179" s="1336">
        <v>43362</v>
      </c>
      <c r="AF179" s="216">
        <f t="shared" si="155"/>
        <v>0</v>
      </c>
      <c r="AG179" s="445">
        <f t="shared" si="152"/>
        <v>-0.62465746579096271</v>
      </c>
    </row>
    <row r="180" spans="1:34" ht="48.75" x14ac:dyDescent="0.25">
      <c r="A180" s="182" t="str">
        <f>CONCATENATE('3 pr-2'!A181)</f>
        <v>3.1.2.1.8</v>
      </c>
      <c r="B180" s="309" t="s">
        <v>1638</v>
      </c>
      <c r="C180" s="182" t="str">
        <f>CONCATENATE('3 pr-2'!B181)</f>
        <v>R01-0019-380000-3218</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96">
        <f>IF(AE180&gt;0,'3 pr-2'!L181,0)</f>
        <v>736537.6470588235</v>
      </c>
      <c r="L180" s="1297">
        <f t="shared" si="149"/>
        <v>736538</v>
      </c>
      <c r="M180" s="1525">
        <f t="shared" ca="1" si="150"/>
        <v>277676</v>
      </c>
      <c r="N180" s="1296">
        <f>IF(AE180&gt;0,'3 pr-2'!O181,0)</f>
        <v>110480.64705882352</v>
      </c>
      <c r="O180" s="1297">
        <v>110481</v>
      </c>
      <c r="P180" s="1525">
        <f ca="1">SUM('ketv. 6 '!P180)</f>
        <v>41651.4</v>
      </c>
      <c r="Q180" s="1296">
        <f>IF(AE180&gt;0,'3 pr-2'!R181,0)</f>
        <v>0</v>
      </c>
      <c r="R180" s="1297">
        <v>0</v>
      </c>
      <c r="S180" s="1525">
        <f ca="1">SUM('ketv. 6 '!T180)</f>
        <v>0</v>
      </c>
      <c r="T180" s="1296">
        <f>IF(AE180&gt;0,'3 pr-2'!U181,0)</f>
        <v>0</v>
      </c>
      <c r="U180" s="1297">
        <v>0</v>
      </c>
      <c r="V180" s="1525">
        <f ca="1">SUM('ketv. 6 '!X180)</f>
        <v>0</v>
      </c>
      <c r="W180" s="1296">
        <f>IF(AE180&gt;0,'3 pr-2'!X181,0)</f>
        <v>0</v>
      </c>
      <c r="X180" s="1297"/>
      <c r="Y180" s="1525">
        <f ca="1">SUM('ketv. 6 '!AB180)</f>
        <v>0</v>
      </c>
      <c r="Z180" s="1296">
        <f>IF(AE180&gt;0,'3 pr-2'!AA181,0)</f>
        <v>626057</v>
      </c>
      <c r="AA180" s="1297">
        <v>626057</v>
      </c>
      <c r="AB180" s="1525">
        <f ca="1">SUM('ketv. 6 '!AF180)</f>
        <v>236024.6</v>
      </c>
      <c r="AC180" s="1296">
        <f>IF($AE$9&gt;0,'3 pr-2'!AB181,0)</f>
        <v>0</v>
      </c>
      <c r="AD180" s="1336">
        <f>SUM('3 pr-2'!AG181)</f>
        <v>43159</v>
      </c>
      <c r="AE180" s="1336">
        <v>43159</v>
      </c>
      <c r="AF180" s="216" t="s">
        <v>690</v>
      </c>
      <c r="AG180" s="445" t="str">
        <f t="shared" si="152"/>
        <v>–</v>
      </c>
    </row>
    <row r="181" spans="1:34" ht="48.75" x14ac:dyDescent="0.25">
      <c r="A181" s="182" t="str">
        <f>CONCATENATE('3 pr-2'!A182)</f>
        <v>3.1.2.1.9</v>
      </c>
      <c r="B181" s="309"/>
      <c r="C181" s="182" t="str">
        <f>CONCATENATE('3 pr-2'!B182)</f>
        <v>R01-0019-380000-3219</v>
      </c>
      <c r="D181" s="182"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96">
        <f>IF(AE181&gt;0,'3 pr-2'!L182,0)</f>
        <v>88524.094117647051</v>
      </c>
      <c r="L181" s="1297">
        <f t="shared" si="149"/>
        <v>88524</v>
      </c>
      <c r="M181" s="1525">
        <f t="shared" ca="1" si="150"/>
        <v>0</v>
      </c>
      <c r="N181" s="1296">
        <f>IF(AE181&gt;0,'3 pr-2'!O182,0)</f>
        <v>13278.614117647059</v>
      </c>
      <c r="O181" s="1297">
        <v>13279</v>
      </c>
      <c r="P181" s="1525">
        <f ca="1">SUM('ketv. 6 '!P181)</f>
        <v>0</v>
      </c>
      <c r="Q181" s="1296">
        <f>IF(AE181&gt;0,'3 pr-2'!R182,0)</f>
        <v>0</v>
      </c>
      <c r="R181" s="1297">
        <v>0</v>
      </c>
      <c r="S181" s="1525">
        <f ca="1">SUM('ketv. 6 '!T181)</f>
        <v>0</v>
      </c>
      <c r="T181" s="1296">
        <f>IF(AE181&gt;0,'3 pr-2'!U182,0)</f>
        <v>0</v>
      </c>
      <c r="U181" s="1297">
        <v>0</v>
      </c>
      <c r="V181" s="1525">
        <f ca="1">SUM('ketv. 6 '!X181)</f>
        <v>0</v>
      </c>
      <c r="W181" s="1296">
        <f>IF(AE181&gt;0,'3 pr-2'!X182,0)</f>
        <v>0</v>
      </c>
      <c r="X181" s="1297"/>
      <c r="Y181" s="1525">
        <f ca="1">SUM('ketv. 6 '!AB181)</f>
        <v>0</v>
      </c>
      <c r="Z181" s="1296">
        <f>IF(AE181&gt;0,'3 pr-2'!AA182,0)</f>
        <v>75245.48</v>
      </c>
      <c r="AA181" s="1297">
        <v>75245</v>
      </c>
      <c r="AB181" s="1525">
        <f ca="1">SUM('ketv. 6 '!AF181)</f>
        <v>0</v>
      </c>
      <c r="AC181" s="1296">
        <f>IF($AE$9&gt;0,'3 pr-2'!AB182,0)</f>
        <v>0</v>
      </c>
      <c r="AD181" s="1336">
        <f>SUM('3 pr-2'!AG182)</f>
        <v>43373</v>
      </c>
      <c r="AE181" s="1336">
        <v>43362</v>
      </c>
      <c r="AF181" s="216" t="s">
        <v>690</v>
      </c>
      <c r="AG181" s="445" t="str">
        <f t="shared" ref="AG181" si="156">IF(AD181-AE181&lt;0,(AD181-AE181)/30.41667,"–")</f>
        <v>–</v>
      </c>
    </row>
    <row r="182" spans="1:34" hidden="1" x14ac:dyDescent="0.25">
      <c r="K182" s="1562">
        <f>SUM(K6+K99+K167)</f>
        <v>64282164.056470595</v>
      </c>
      <c r="L182" s="1399"/>
      <c r="M182" s="1399"/>
      <c r="N182" s="1562">
        <f t="shared" ref="N182:AC182" si="157">SUM(N6+N99+N167)</f>
        <v>8171730.4464705875</v>
      </c>
      <c r="O182" s="1562">
        <f t="shared" si="157"/>
        <v>5666612.6299999999</v>
      </c>
      <c r="P182" s="1562">
        <f t="shared" ca="1" si="157"/>
        <v>5629708.8917680485</v>
      </c>
      <c r="Q182" s="1562">
        <f t="shared" si="157"/>
        <v>1589132.0799999998</v>
      </c>
      <c r="R182" s="1562">
        <f t="shared" si="157"/>
        <v>1950303.08</v>
      </c>
      <c r="S182" s="1562">
        <f t="shared" ca="1" si="157"/>
        <v>1470146.27</v>
      </c>
      <c r="T182" s="1562">
        <f t="shared" si="157"/>
        <v>8520797.0100000016</v>
      </c>
      <c r="U182" s="1562">
        <f t="shared" si="157"/>
        <v>12268578.579999998</v>
      </c>
      <c r="V182" s="1562">
        <f t="shared" ca="1" si="157"/>
        <v>8436808.9800000004</v>
      </c>
      <c r="W182" s="1562">
        <f t="shared" si="157"/>
        <v>416360.77</v>
      </c>
      <c r="X182" s="1562">
        <f t="shared" si="157"/>
        <v>13560.2</v>
      </c>
      <c r="Y182" s="1562">
        <f t="shared" ca="1" si="157"/>
        <v>353700.77</v>
      </c>
      <c r="Z182" s="1562">
        <f t="shared" si="157"/>
        <v>45584143.750000007</v>
      </c>
      <c r="AA182" s="1562">
        <f t="shared" si="157"/>
        <v>45059565.460000001</v>
      </c>
      <c r="AB182" s="1562">
        <f t="shared" ca="1" si="157"/>
        <v>31844789.119999997</v>
      </c>
      <c r="AC182" s="1562">
        <f t="shared" si="157"/>
        <v>0</v>
      </c>
    </row>
    <row r="183" spans="1:34" ht="15.75" x14ac:dyDescent="0.25">
      <c r="B183" s="1334" t="s">
        <v>1792</v>
      </c>
      <c r="C183" s="1334"/>
    </row>
    <row r="184" spans="1:34" ht="15.75" x14ac:dyDescent="0.25">
      <c r="B184" s="1334" t="s">
        <v>1793</v>
      </c>
      <c r="C184" s="1334"/>
    </row>
    <row r="185" spans="1:34" ht="15.75" x14ac:dyDescent="0.25">
      <c r="B185" s="1334" t="s">
        <v>1794</v>
      </c>
      <c r="C185" s="1334"/>
    </row>
    <row r="186" spans="1:34" x14ac:dyDescent="0.25">
      <c r="B186" s="2029" t="s">
        <v>1795</v>
      </c>
      <c r="C186" s="2029"/>
      <c r="D186" s="2029"/>
      <c r="E186" s="2029"/>
      <c r="F186" s="2029"/>
      <c r="G186" s="2029"/>
      <c r="H186" s="2029"/>
      <c r="I186" s="2029"/>
      <c r="J186" s="2029"/>
      <c r="K186" s="2029"/>
      <c r="L186" s="2029"/>
      <c r="M186" s="2029"/>
      <c r="N186" s="2029"/>
      <c r="O186" s="2029"/>
      <c r="P186" s="2029"/>
      <c r="Q186" s="2029"/>
      <c r="R186" s="2029"/>
      <c r="S186" s="2029"/>
      <c r="T186" s="2029"/>
      <c r="U186" s="2029"/>
      <c r="V186" s="2029"/>
      <c r="W186" s="2029"/>
      <c r="X186" s="2029"/>
    </row>
  </sheetData>
  <autoFilter ref="A5:AG181"/>
  <mergeCells count="40">
    <mergeCell ref="C101:J101"/>
    <mergeCell ref="C107:J107"/>
    <mergeCell ref="C100:J100"/>
    <mergeCell ref="C160:J160"/>
    <mergeCell ref="C169:J169"/>
    <mergeCell ref="C7:J7"/>
    <mergeCell ref="C8:J8"/>
    <mergeCell ref="C99:J99"/>
    <mergeCell ref="C72:J72"/>
    <mergeCell ref="C57:J57"/>
    <mergeCell ref="C61:J61"/>
    <mergeCell ref="C66:J66"/>
    <mergeCell ref="C73:J73"/>
    <mergeCell ref="C78:J78"/>
    <mergeCell ref="C32:J32"/>
    <mergeCell ref="C38:J38"/>
    <mergeCell ref="B186:X186"/>
    <mergeCell ref="C159:J159"/>
    <mergeCell ref="C147:J147"/>
    <mergeCell ref="C153:J153"/>
    <mergeCell ref="C172:J172"/>
    <mergeCell ref="C168:J168"/>
    <mergeCell ref="C171:J171"/>
    <mergeCell ref="C167:J167"/>
    <mergeCell ref="AD2:AG2"/>
    <mergeCell ref="A1:N1"/>
    <mergeCell ref="A2:J2"/>
    <mergeCell ref="C119:J119"/>
    <mergeCell ref="C146:J146"/>
    <mergeCell ref="C113:J113"/>
    <mergeCell ref="C120:J120"/>
    <mergeCell ref="C134:J134"/>
    <mergeCell ref="C140:J140"/>
    <mergeCell ref="C85:J85"/>
    <mergeCell ref="C91:J91"/>
    <mergeCell ref="C45:J45"/>
    <mergeCell ref="C49:J49"/>
    <mergeCell ref="C55:J55"/>
    <mergeCell ref="K2:AC2"/>
    <mergeCell ref="C6:J6"/>
  </mergeCells>
  <pageMargins left="0.23622047244094491" right="0.23622047244094491" top="0.74803149606299213" bottom="0.74803149606299213" header="0.31496062992125984" footer="0.31496062992125984"/>
  <pageSetup paperSize="8" scale="7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9"/>
  <sheetViews>
    <sheetView workbookViewId="0">
      <pane ySplit="3240" activePane="bottomLeft"/>
      <selection activeCell="P3" sqref="P3:S3"/>
      <selection pane="bottomLeft" activeCell="G182" sqref="G182"/>
    </sheetView>
  </sheetViews>
  <sheetFormatPr defaultRowHeight="15" x14ac:dyDescent="0.2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x14ac:dyDescent="0.25">
      <c r="A1" s="2037" t="s">
        <v>705</v>
      </c>
      <c r="B1" s="2037"/>
      <c r="C1" s="2038"/>
      <c r="D1" s="2038"/>
      <c r="E1" s="2038"/>
      <c r="F1" s="2038"/>
      <c r="G1" s="2038"/>
      <c r="H1" s="2038"/>
      <c r="I1" s="2038"/>
      <c r="J1" s="2038"/>
      <c r="K1" s="2038"/>
    </row>
    <row r="2" spans="1:19" ht="15.75" thickBot="1" x14ac:dyDescent="0.3"/>
    <row r="3" spans="1:19" ht="47.25" customHeight="1" thickTop="1" thickBot="1" x14ac:dyDescent="0.3">
      <c r="A3" s="2039" t="s">
        <v>46</v>
      </c>
      <c r="B3" s="2040"/>
      <c r="C3" s="2040"/>
      <c r="D3" s="2040"/>
      <c r="E3" s="2040"/>
      <c r="F3" s="2040"/>
      <c r="G3" s="2040"/>
      <c r="H3" s="2040"/>
      <c r="I3" s="2040"/>
      <c r="J3" s="2041" t="s">
        <v>47</v>
      </c>
      <c r="K3" s="2042"/>
      <c r="L3" s="2042"/>
      <c r="M3" s="2042"/>
      <c r="N3" s="2042"/>
      <c r="O3" s="2043"/>
      <c r="P3" s="2044" t="s">
        <v>1141</v>
      </c>
      <c r="Q3" s="2045"/>
      <c r="R3" s="2045"/>
      <c r="S3" s="2046"/>
    </row>
    <row r="4" spans="1:19" ht="64.5" thickBot="1" x14ac:dyDescent="0.3">
      <c r="A4" s="198" t="s">
        <v>7</v>
      </c>
      <c r="B4" s="242" t="s">
        <v>703</v>
      </c>
      <c r="C4" s="199" t="s">
        <v>49</v>
      </c>
      <c r="D4" s="199" t="s">
        <v>50</v>
      </c>
      <c r="E4" s="199" t="s">
        <v>51</v>
      </c>
      <c r="F4" s="199" t="s">
        <v>52</v>
      </c>
      <c r="G4" s="199" t="s">
        <v>687</v>
      </c>
      <c r="H4" s="199" t="s">
        <v>688</v>
      </c>
      <c r="I4" s="200" t="s">
        <v>689</v>
      </c>
      <c r="J4" s="201" t="s">
        <v>57</v>
      </c>
      <c r="K4" s="202" t="s">
        <v>58</v>
      </c>
      <c r="L4" s="202" t="s">
        <v>59</v>
      </c>
      <c r="M4" s="202" t="s">
        <v>60</v>
      </c>
      <c r="N4" s="202" t="s">
        <v>61</v>
      </c>
      <c r="O4" s="203" t="s">
        <v>10</v>
      </c>
      <c r="P4" s="212" t="s">
        <v>1146</v>
      </c>
      <c r="Q4" s="212" t="s">
        <v>701</v>
      </c>
      <c r="R4" s="210" t="s">
        <v>1143</v>
      </c>
      <c r="S4" s="210" t="s">
        <v>1143</v>
      </c>
    </row>
    <row r="5" spans="1:19" ht="16.5" thickBot="1" x14ac:dyDescent="0.3">
      <c r="A5" s="179"/>
      <c r="B5" s="243"/>
      <c r="C5" s="180"/>
      <c r="D5" s="180"/>
      <c r="E5" s="180"/>
      <c r="F5" s="180"/>
      <c r="G5" s="180"/>
      <c r="H5" s="180"/>
      <c r="I5" s="184"/>
      <c r="J5" s="185"/>
      <c r="K5" s="186"/>
      <c r="L5" s="186"/>
      <c r="M5" s="186"/>
      <c r="N5" s="186"/>
      <c r="O5" s="196"/>
      <c r="P5" s="197" t="s">
        <v>690</v>
      </c>
      <c r="Q5" s="197" t="s">
        <v>693</v>
      </c>
      <c r="R5" s="183" t="s">
        <v>1147</v>
      </c>
      <c r="S5" s="183" t="s">
        <v>700</v>
      </c>
    </row>
    <row r="6" spans="1:19" ht="16.5" thickBot="1" x14ac:dyDescent="0.3">
      <c r="A6" s="206"/>
      <c r="B6" s="244"/>
      <c r="C6" s="207"/>
      <c r="D6" s="207"/>
      <c r="E6" s="207"/>
      <c r="F6" s="207"/>
      <c r="G6" s="207"/>
      <c r="H6" s="207"/>
      <c r="I6" s="207"/>
      <c r="J6" s="185"/>
      <c r="K6" s="186"/>
      <c r="L6" s="186"/>
      <c r="M6" s="186"/>
      <c r="N6" s="186"/>
      <c r="O6" s="196"/>
      <c r="P6" s="208"/>
      <c r="Q6" s="209"/>
      <c r="R6" s="183"/>
      <c r="S6" s="183"/>
    </row>
    <row r="7" spans="1:19" ht="77.25" customHeight="1" thickBot="1" x14ac:dyDescent="0.3">
      <c r="A7" s="156" t="str">
        <f>CONCATENATE('3 pr-2'!A7)</f>
        <v>1.1.</v>
      </c>
      <c r="B7" s="245"/>
      <c r="C7" s="1905" t="str">
        <f>CONCATENATE('3 pr-2'!B7)</f>
        <v>Tikslas: 
DIDINTI ŪKINĖS VEIKLOS ĮVAIROVĘ IR PAGERINTI SĄLYGAS INVESTICIJŲ PRITRAUKIMUI, MAŽINANT GEOGRAFINIŲ SĄLYGŲ IR DEMOGRAFINIŲ PROCESŲ SUKELIAMUS GYVENIMO KOKYBĖS NETOLYGUMUS</v>
      </c>
      <c r="D7" s="2032" t="str">
        <f>CONCATENATE('3 pr-2'!E7)</f>
        <v/>
      </c>
      <c r="E7" s="2032" t="str">
        <f>CONCATENATE('3 pr-2'!F7)</f>
        <v/>
      </c>
      <c r="F7" s="2032" t="str">
        <f>CONCATENATE('3 pr-2'!G7)</f>
        <v/>
      </c>
      <c r="G7" s="2032" t="str">
        <f>CONCATENATE('3 pr-2'!H7)</f>
        <v/>
      </c>
      <c r="H7" s="2032" t="str">
        <f>CONCATENATE('3 pr-2'!I7)</f>
        <v/>
      </c>
      <c r="I7" s="2032" t="str">
        <f>CONCATENATE('3 pr-2'!J7)</f>
        <v/>
      </c>
      <c r="J7" s="221">
        <f>SUM('3 pr-2'!L7)</f>
        <v>48154576.687058821</v>
      </c>
      <c r="K7" s="222">
        <f>SUM('3 pr-2'!O7)</f>
        <v>5510780.6070588231</v>
      </c>
      <c r="L7" s="222">
        <f>SUM('3 pr-2'!R7)</f>
        <v>1255396.17</v>
      </c>
      <c r="M7" s="222">
        <f>SUM('3 pr-2'!U7)</f>
        <v>8480639.0100000016</v>
      </c>
      <c r="N7" s="222">
        <f>SUM('3 pr-2'!X7)</f>
        <v>415060.82</v>
      </c>
      <c r="O7" s="223">
        <f>SUM('3 pr-2'!AA7)</f>
        <v>32492700.080000002</v>
      </c>
      <c r="P7" s="204" t="s">
        <v>690</v>
      </c>
      <c r="Q7" s="187" t="s">
        <v>690</v>
      </c>
      <c r="R7" s="188" t="s">
        <v>690</v>
      </c>
      <c r="S7" s="188"/>
    </row>
    <row r="8" spans="1:19" ht="45.75" customHeight="1" thickBot="1" x14ac:dyDescent="0.3">
      <c r="A8" s="155" t="s">
        <v>691</v>
      </c>
      <c r="B8" s="246"/>
      <c r="C8" s="1902" t="str">
        <f>CONCATENATE('3 pr-2'!B8)</f>
        <v>Uždavinys: 
Sudaryti sąlygas darbo vietų kūrimui, kuriant ir atnaujinant viešąją ir ekoinžinerinę  infrastruktūrą,  gamtos, kultūros paveldo objektus ir kultūros įstaigas</v>
      </c>
      <c r="D8" s="2030" t="str">
        <f>CONCATENATE('3 pr-2'!E8)</f>
        <v/>
      </c>
      <c r="E8" s="2030" t="str">
        <f>CONCATENATE('3 pr-2'!F8)</f>
        <v/>
      </c>
      <c r="F8" s="2030" t="str">
        <f>CONCATENATE('3 pr-2'!G8)</f>
        <v/>
      </c>
      <c r="G8" s="2030" t="str">
        <f>CONCATENATE('3 pr-2'!H8)</f>
        <v/>
      </c>
      <c r="H8" s="2030" t="str">
        <f>CONCATENATE('3 pr-2'!I8)</f>
        <v/>
      </c>
      <c r="I8" s="2030" t="str">
        <f>CONCATENATE('3 pr-2'!J8)</f>
        <v/>
      </c>
      <c r="J8" s="220">
        <f>SUM('3 pr-2'!L8)</f>
        <v>38952825.067058824</v>
      </c>
      <c r="K8" s="220">
        <f>SUM('3 pr-2'!O8)</f>
        <v>3133869.217058823</v>
      </c>
      <c r="L8" s="220">
        <f>SUM('3 pr-2'!R8)</f>
        <v>1255396.17</v>
      </c>
      <c r="M8" s="220">
        <f>SUM('3 pr-2'!U8)</f>
        <v>8057947.0100000007</v>
      </c>
      <c r="N8" s="220">
        <f>SUM('3 pr-2'!X8)</f>
        <v>352400.82</v>
      </c>
      <c r="O8" s="220">
        <f>SUM('3 pr-2'!AA8)</f>
        <v>26153211.850000001</v>
      </c>
      <c r="P8" s="205" t="s">
        <v>690</v>
      </c>
      <c r="Q8" s="189" t="s">
        <v>690</v>
      </c>
      <c r="R8" s="190" t="s">
        <v>690</v>
      </c>
      <c r="S8" s="190"/>
    </row>
    <row r="9" spans="1:19" ht="33.75" customHeight="1" thickBot="1" x14ac:dyDescent="0.3">
      <c r="A9" s="317" t="s">
        <v>67</v>
      </c>
      <c r="B9" s="489"/>
      <c r="C9" s="1890" t="str">
        <f>CONCATENATE('3 pr-2'!B9)</f>
        <v>Priemonė:
Kaimo gyvenamųjų vietovių (turinčių iki 1 tūkst. gyventojų) atnaujinimas</v>
      </c>
      <c r="D9" s="2031" t="str">
        <f>CONCATENATE('3 pr-2'!E9)</f>
        <v/>
      </c>
      <c r="E9" s="2031" t="str">
        <f>CONCATENATE('3 pr-2'!F9)</f>
        <v/>
      </c>
      <c r="F9" s="2031" t="str">
        <f>CONCATENATE('3 pr-2'!G9)</f>
        <v/>
      </c>
      <c r="G9" s="2031" t="str">
        <f>CONCATENATE('3 pr-2'!H9)</f>
        <v/>
      </c>
      <c r="H9" s="2031" t="str">
        <f>CONCATENATE('3 pr-2'!I9)</f>
        <v/>
      </c>
      <c r="I9" s="2031" t="str">
        <f>CONCATENATE('3 pr-2'!J9)</f>
        <v/>
      </c>
      <c r="J9" s="490">
        <f>SUM(J10:J32)</f>
        <v>4207747</v>
      </c>
      <c r="K9" s="490">
        <f t="shared" ref="K9:O9" si="0">SUM(K10:K32)</f>
        <v>908274</v>
      </c>
      <c r="L9" s="490">
        <f t="shared" si="0"/>
        <v>494922</v>
      </c>
      <c r="M9" s="490">
        <f t="shared" si="0"/>
        <v>0</v>
      </c>
      <c r="N9" s="490">
        <f t="shared" si="0"/>
        <v>0</v>
      </c>
      <c r="O9" s="491">
        <f t="shared" si="0"/>
        <v>2804551</v>
      </c>
      <c r="P9" s="492"/>
      <c r="Q9" s="493"/>
      <c r="R9" s="494"/>
      <c r="S9" s="494"/>
    </row>
    <row r="10" spans="1:19" ht="49.5" thickBot="1" x14ac:dyDescent="0.3">
      <c r="A10" s="181" t="str">
        <f>CONCATENATE('3 pr-2'!A10)</f>
        <v>1.1.1.1.1</v>
      </c>
      <c r="B10" s="247"/>
      <c r="C10" s="182" t="str">
        <f>CONCATENATE('3 pr-2'!D10)</f>
        <v xml:space="preserve">Druskininkų savivaldybės Viečiūnų seniūnijos Ilgio ir Raigardo seniūnaitijų kelių būklės gerinimas  </v>
      </c>
      <c r="D10" s="182" t="str">
        <f>CONCATENATE('3 pr-2'!E10)</f>
        <v xml:space="preserve">Druskininkų savivaldybės administracija  </v>
      </c>
      <c r="E10" s="182" t="str">
        <f>CONCATENATE('3 pr-2'!F10)</f>
        <v>Lietuvos Respublikos žemės ūkio ministerija</v>
      </c>
      <c r="F10" s="182" t="str">
        <f>CONCATENATE('3 pr-2'!G10)</f>
        <v>Druskininkų sav.</v>
      </c>
      <c r="G10" s="182" t="str">
        <f>CONCATENATE('3 pr-2'!H10)</f>
        <v xml:space="preserve">Pagrindinės paslaugos ir kaimų atnaujinimas kaimo vietovėse </v>
      </c>
      <c r="H10" s="182" t="str">
        <f>CONCATENATE('3 pr-2'!I10)</f>
        <v>R</v>
      </c>
      <c r="I10" s="192" t="str">
        <f>CONCATENATE('3 pr-2'!J10)</f>
        <v>-</v>
      </c>
      <c r="J10" s="193">
        <f>SUM('3 pr-2'!L10)</f>
        <v>198893</v>
      </c>
      <c r="K10" s="194">
        <f>SUM('3 pr-2'!O10)</f>
        <v>39779</v>
      </c>
      <c r="L10" s="194">
        <f>SUM('3 pr-2'!R10)</f>
        <v>23867</v>
      </c>
      <c r="M10" s="194">
        <f>SUM('3 pr-2'!U10)</f>
        <v>0</v>
      </c>
      <c r="N10" s="194">
        <f>SUM('3 pr-2'!X10)</f>
        <v>0</v>
      </c>
      <c r="O10" s="195">
        <f>SUM('3 pr-2'!AA10)</f>
        <v>135247</v>
      </c>
      <c r="P10" s="213">
        <f>SUM('3 pr-2'!AF10)</f>
        <v>42643</v>
      </c>
      <c r="Q10" s="264">
        <v>42643</v>
      </c>
      <c r="R10" s="191">
        <f t="shared" ref="R10:R32" si="1">SUM(P10-Q10)</f>
        <v>0</v>
      </c>
      <c r="S10" s="191">
        <f>IF((MONTH(P10)-MONTH(Q10))=0,0,MONTH(P10)-MONTH(Q10))</f>
        <v>0</v>
      </c>
    </row>
    <row r="11" spans="1:19" ht="49.5" thickBot="1" x14ac:dyDescent="0.3">
      <c r="A11" s="181" t="str">
        <f>CONCATENATE('3 pr-2'!A11)</f>
        <v>1.1.1.1.2</v>
      </c>
      <c r="B11" s="247"/>
      <c r="C11" s="182" t="str">
        <f>CONCATENATE('3 pr-2'!D11)</f>
        <v>Druskininkų savivaldybės Viečiūnų seniūnijos Ratnyčėlės seniūnaitijos kelių būklės gerinimas</v>
      </c>
      <c r="D11" s="182" t="str">
        <f>CONCATENATE('3 pr-2'!E11)</f>
        <v xml:space="preserve">Druskininkų savivaldybės administracija  </v>
      </c>
      <c r="E11" s="182" t="str">
        <f>CONCATENATE('3 pr-2'!F11)</f>
        <v>Lietuvos Respublikos žemės ūkio ministerija</v>
      </c>
      <c r="F11" s="182" t="str">
        <f>CONCATENATE('3 pr-2'!G11)</f>
        <v>Druskininkų sav.</v>
      </c>
      <c r="G11" s="182" t="str">
        <f>CONCATENATE('3 pr-2'!H11)</f>
        <v xml:space="preserve">Pagrindinės paslaugos ir kaimų atnaujinimas kaimo vietovėse </v>
      </c>
      <c r="H11" s="182" t="str">
        <f>CONCATENATE('3 pr-2'!I11)</f>
        <v>R</v>
      </c>
      <c r="I11" s="192" t="str">
        <f>CONCATENATE('3 pr-2'!J11)</f>
        <v>-</v>
      </c>
      <c r="J11" s="193">
        <f>SUM('3 pr-2'!L11)</f>
        <v>151340</v>
      </c>
      <c r="K11" s="194">
        <f>SUM('3 pr-2'!O11)</f>
        <v>30268</v>
      </c>
      <c r="L11" s="194">
        <f>SUM('3 pr-2'!R11)</f>
        <v>18161</v>
      </c>
      <c r="M11" s="194">
        <f>SUM('3 pr-2'!U11)</f>
        <v>0</v>
      </c>
      <c r="N11" s="194">
        <f>SUM('3 pr-2'!X11)</f>
        <v>0</v>
      </c>
      <c r="O11" s="195">
        <f>SUM('3 pr-2'!AA11)</f>
        <v>102911</v>
      </c>
      <c r="P11" s="213">
        <f>SUM('3 pr-2'!AF11)</f>
        <v>42643</v>
      </c>
      <c r="Q11" s="264">
        <v>42643</v>
      </c>
      <c r="R11" s="191">
        <f t="shared" si="1"/>
        <v>0</v>
      </c>
      <c r="S11" s="191">
        <f t="shared" ref="S11:S32" si="2">IF((MONTH(P11)-MONTH(Q11))=0,0,MONTH(P11)-MONTH(Q11))</f>
        <v>0</v>
      </c>
    </row>
    <row r="12" spans="1:19" ht="49.5" thickBot="1" x14ac:dyDescent="0.3">
      <c r="A12" s="181" t="str">
        <f>CONCATENATE('3 pr-2'!A12)</f>
        <v>1.1.1.1.3</v>
      </c>
      <c r="B12" s="247"/>
      <c r="C12" s="182" t="str">
        <f>CONCATENATE('3 pr-2'!D12)</f>
        <v>Druskininkų savivaldybės Leipalingio seniūnijos Klonio seniūnaitijos kelių būklės gerinimas</v>
      </c>
      <c r="D12" s="182" t="str">
        <f>CONCATENATE('3 pr-2'!E12)</f>
        <v xml:space="preserve">Druskininkų savivaldybės administracija  </v>
      </c>
      <c r="E12" s="182" t="str">
        <f>CONCATENATE('3 pr-2'!F12)</f>
        <v>Lietuvos Respublikos žemės ūkio ministerija</v>
      </c>
      <c r="F12" s="182" t="str">
        <f>CONCATENATE('3 pr-2'!G12)</f>
        <v>Druskininkų sav.</v>
      </c>
      <c r="G12" s="182" t="str">
        <f>CONCATENATE('3 pr-2'!H12)</f>
        <v xml:space="preserve">Pagrindinės paslaugos ir kaimų atnaujinimas kaimo vietovėse </v>
      </c>
      <c r="H12" s="182" t="str">
        <f>CONCATENATE('3 pr-2'!I12)</f>
        <v>R</v>
      </c>
      <c r="I12" s="192" t="str">
        <f>CONCATENATE('3 pr-2'!J12)</f>
        <v>-</v>
      </c>
      <c r="J12" s="193">
        <f>SUM('3 pr-2'!L12)</f>
        <v>193059</v>
      </c>
      <c r="K12" s="194">
        <f>SUM('3 pr-2'!O12)</f>
        <v>38612</v>
      </c>
      <c r="L12" s="194">
        <f>SUM('3 pr-2'!R12)</f>
        <v>23167</v>
      </c>
      <c r="M12" s="194">
        <f>SUM('3 pr-2'!U12)</f>
        <v>0</v>
      </c>
      <c r="N12" s="194">
        <f>SUM('3 pr-2'!X12)</f>
        <v>0</v>
      </c>
      <c r="O12" s="195">
        <f>SUM('3 pr-2'!AA12)</f>
        <v>131280</v>
      </c>
      <c r="P12" s="213">
        <f>SUM('3 pr-2'!AF12)</f>
        <v>42643</v>
      </c>
      <c r="Q12" s="264">
        <v>42643</v>
      </c>
      <c r="R12" s="191">
        <f t="shared" si="1"/>
        <v>0</v>
      </c>
      <c r="S12" s="191">
        <f t="shared" si="2"/>
        <v>0</v>
      </c>
    </row>
    <row r="13" spans="1:19" ht="49.5" thickBot="1" x14ac:dyDescent="0.3">
      <c r="A13" s="181" t="str">
        <f>CONCATENATE('3 pr-2'!A13)</f>
        <v>1.1.1.1.4</v>
      </c>
      <c r="B13" s="247"/>
      <c r="C13" s="182" t="str">
        <f>CONCATENATE('3 pr-2'!D13)</f>
        <v>Rudaminos laisvalaikio salės pritaikymas bendruomenės poreikiams ir liaudies amatų plėtrai</v>
      </c>
      <c r="D13" s="182" t="str">
        <f>CONCATENATE('3 pr-2'!E13)</f>
        <v>Viešoji įstaiga Lazdijų kultūros centras</v>
      </c>
      <c r="E13" s="182" t="str">
        <f>CONCATENATE('3 pr-2'!F13)</f>
        <v>Lietuvos Respublikos žemės ūkio ministerija</v>
      </c>
      <c r="F13" s="182" t="str">
        <f>CONCATENATE('3 pr-2'!G13)</f>
        <v>Lazdijų r. sav.</v>
      </c>
      <c r="G13" s="182" t="str">
        <f>CONCATENATE('3 pr-2'!H13)</f>
        <v xml:space="preserve">Pagrindinės paslaugos ir kaimų atnaujinimas kaimo vietovėse </v>
      </c>
      <c r="H13" s="182" t="str">
        <f>CONCATENATE('3 pr-2'!I13)</f>
        <v>R</v>
      </c>
      <c r="I13" s="192" t="str">
        <f>CONCATENATE('3 pr-2'!J13)</f>
        <v>-</v>
      </c>
      <c r="J13" s="193">
        <f>SUM('3 pr-2'!L13)</f>
        <v>125000</v>
      </c>
      <c r="K13" s="194">
        <f>SUM('3 pr-2'!O13)</f>
        <v>25000</v>
      </c>
      <c r="L13" s="194">
        <f>SUM('3 pr-2'!R13)</f>
        <v>15000</v>
      </c>
      <c r="M13" s="194">
        <f>SUM('3 pr-2'!U13)</f>
        <v>0</v>
      </c>
      <c r="N13" s="194">
        <f>SUM('3 pr-2'!X13)</f>
        <v>0</v>
      </c>
      <c r="O13" s="195">
        <f>SUM('3 pr-2'!AA13)</f>
        <v>85000</v>
      </c>
      <c r="P13" s="213">
        <f>SUM('3 pr-2'!AF13)</f>
        <v>42643</v>
      </c>
      <c r="Q13" s="264">
        <v>42643</v>
      </c>
      <c r="R13" s="191">
        <f t="shared" si="1"/>
        <v>0</v>
      </c>
      <c r="S13" s="191">
        <f t="shared" si="2"/>
        <v>0</v>
      </c>
    </row>
    <row r="14" spans="1:19" ht="49.5" thickBot="1" x14ac:dyDescent="0.3">
      <c r="A14" s="181" t="str">
        <f>CONCATENATE('3 pr-2'!A14)</f>
        <v>1.1.1.1.5</v>
      </c>
      <c r="B14" s="247"/>
      <c r="C14" s="182" t="str">
        <f>CONCATENATE('3 pr-2'!D14)</f>
        <v>Druskininkų savivaldybės Leipalingio seniūnijos Bilso seniūnaitijos kelių būklės gerinimas</v>
      </c>
      <c r="D14" s="182" t="str">
        <f>CONCATENATE('3 pr-2'!E14)</f>
        <v xml:space="preserve">Druskininkų savivaldybės administracija  </v>
      </c>
      <c r="E14" s="182" t="str">
        <f>CONCATENATE('3 pr-2'!F14)</f>
        <v>Lietuvos Respublikos žemės ūkio ministerija</v>
      </c>
      <c r="F14" s="182" t="str">
        <f>CONCATENATE('3 pr-2'!G14)</f>
        <v>Druskininkų sav.</v>
      </c>
      <c r="G14" s="182" t="str">
        <f>CONCATENATE('3 pr-2'!H14)</f>
        <v xml:space="preserve">Pagrindinės paslaugos ir kaimų atnaujinimas kaimo vietovėse </v>
      </c>
      <c r="H14" s="182" t="str">
        <f>CONCATENATE('3 pr-2'!I14)</f>
        <v>R</v>
      </c>
      <c r="I14" s="192" t="str">
        <f>CONCATENATE('3 pr-2'!J14)</f>
        <v>-</v>
      </c>
      <c r="J14" s="193">
        <f>SUM('3 pr-2'!L14)</f>
        <v>240940</v>
      </c>
      <c r="K14" s="194">
        <f>SUM('3 pr-2'!O14)</f>
        <v>112896</v>
      </c>
      <c r="L14" s="194">
        <f>SUM('3 pr-2'!R14)</f>
        <v>19207</v>
      </c>
      <c r="M14" s="194">
        <f>SUM('3 pr-2'!U14)</f>
        <v>0</v>
      </c>
      <c r="N14" s="194">
        <f>SUM('3 pr-2'!X14)</f>
        <v>0</v>
      </c>
      <c r="O14" s="195">
        <f>SUM('3 pr-2'!AA14)</f>
        <v>108837</v>
      </c>
      <c r="P14" s="213">
        <f>SUM('3 pr-2'!AF14)</f>
        <v>42643</v>
      </c>
      <c r="Q14" s="264">
        <v>42643</v>
      </c>
      <c r="R14" s="191">
        <f t="shared" si="1"/>
        <v>0</v>
      </c>
      <c r="S14" s="191">
        <f t="shared" si="2"/>
        <v>0</v>
      </c>
    </row>
    <row r="15" spans="1:19" ht="61.5" thickBot="1" x14ac:dyDescent="0.3">
      <c r="A15" s="181" t="str">
        <f>CONCATENATE('3 pr-2'!A15)</f>
        <v>1.1.1.1.6</v>
      </c>
      <c r="B15" s="247"/>
      <c r="C15" s="182" t="str">
        <f>CONCATENATE('3 pr-2'!D15)</f>
        <v>Lazdijų rajono kaimų patrauklumo didinimas atnaujinant bibliotekas</v>
      </c>
      <c r="D15" s="182" t="str">
        <f>CONCATENATE('3 pr-2'!E15)</f>
        <v xml:space="preserve">Biudžetinė įstaiga Lazdijų rajono savivaldybės viešoji biblioteka </v>
      </c>
      <c r="E15" s="182" t="str">
        <f>CONCATENATE('3 pr-2'!F15)</f>
        <v>Lietuvos Respublikos žemės ūkio ministerija</v>
      </c>
      <c r="F15" s="182" t="str">
        <f>CONCATENATE('3 pr-2'!G15)</f>
        <v>Lazdijų r. sav.</v>
      </c>
      <c r="G15" s="182" t="str">
        <f>CONCATENATE('3 pr-2'!H15)</f>
        <v xml:space="preserve">Pagrindinės paslaugos ir kaimų atnaujinimas kaimo vietovėse </v>
      </c>
      <c r="H15" s="182" t="str">
        <f>CONCATENATE('3 pr-2'!I15)</f>
        <v>R</v>
      </c>
      <c r="I15" s="192" t="str">
        <f>CONCATENATE('3 pr-2'!J15)</f>
        <v>-</v>
      </c>
      <c r="J15" s="193">
        <f>SUM('3 pr-2'!L15)</f>
        <v>201000</v>
      </c>
      <c r="K15" s="194">
        <f>SUM('3 pr-2'!O15)</f>
        <v>40200</v>
      </c>
      <c r="L15" s="194">
        <f>SUM('3 pr-2'!R15)</f>
        <v>24120</v>
      </c>
      <c r="M15" s="194">
        <f>SUM('3 pr-2'!U15)</f>
        <v>0</v>
      </c>
      <c r="N15" s="194">
        <f>SUM('3 pr-2'!X15)</f>
        <v>0</v>
      </c>
      <c r="O15" s="195">
        <f>SUM('3 pr-2'!AA15)</f>
        <v>136680</v>
      </c>
      <c r="P15" s="213">
        <f>SUM('3 pr-2'!AF15)</f>
        <v>42643</v>
      </c>
      <c r="Q15" s="264">
        <v>42643</v>
      </c>
      <c r="R15" s="191">
        <f t="shared" si="1"/>
        <v>0</v>
      </c>
      <c r="S15" s="191">
        <f t="shared" si="2"/>
        <v>0</v>
      </c>
    </row>
    <row r="16" spans="1:19" ht="49.5" thickBot="1" x14ac:dyDescent="0.3">
      <c r="A16" s="181" t="str">
        <f>CONCATENATE('3 pr-2'!A16)</f>
        <v>1.1.1.1.7</v>
      </c>
      <c r="B16" s="247"/>
      <c r="C16" s="182" t="str">
        <f>CONCATENATE('3 pr-2'!D16)</f>
        <v>Alytaus rajono Miroslavo kaimo multifunkcinės sporto aikštės įrengimas ir gatvių bei šaligatvių rekonstrukcija</v>
      </c>
      <c r="D16" s="182" t="str">
        <f>CONCATENATE('3 pr-2'!E16)</f>
        <v>Alytaus rajono savivaldybės administracija</v>
      </c>
      <c r="E16" s="182" t="str">
        <f>CONCATENATE('3 pr-2'!F16)</f>
        <v>Lietuvos Respublikos žemės ūkio ministerija</v>
      </c>
      <c r="F16" s="182" t="str">
        <f>CONCATENATE('3 pr-2'!G16)</f>
        <v>Alytaus r. sav.</v>
      </c>
      <c r="G16" s="182" t="str">
        <f>CONCATENATE('3 pr-2'!H16)</f>
        <v xml:space="preserve">Pagrindinės paslaugos ir kaimų atnaujinimas kaimo vietovėse </v>
      </c>
      <c r="H16" s="182" t="str">
        <f>CONCATENATE('3 pr-2'!I16)</f>
        <v>R</v>
      </c>
      <c r="I16" s="192" t="str">
        <f>CONCATENATE('3 pr-2'!J16)</f>
        <v>-</v>
      </c>
      <c r="J16" s="193">
        <f>SUM('3 pr-2'!L16)</f>
        <v>252212</v>
      </c>
      <c r="K16" s="194">
        <f>SUM('3 pr-2'!O16)</f>
        <v>52212</v>
      </c>
      <c r="L16" s="194">
        <f>SUM('3 pr-2'!R16)</f>
        <v>30000</v>
      </c>
      <c r="M16" s="194">
        <f>SUM('3 pr-2'!U16)</f>
        <v>0</v>
      </c>
      <c r="N16" s="194">
        <f>SUM('3 pr-2'!X16)</f>
        <v>0</v>
      </c>
      <c r="O16" s="195">
        <f>SUM('3 pr-2'!AA16)</f>
        <v>170000</v>
      </c>
      <c r="P16" s="213">
        <f>SUM('3 pr-2'!AF16)</f>
        <v>42643</v>
      </c>
      <c r="Q16" s="264">
        <v>42643</v>
      </c>
      <c r="R16" s="191">
        <f t="shared" si="1"/>
        <v>0</v>
      </c>
      <c r="S16" s="191">
        <f t="shared" si="2"/>
        <v>0</v>
      </c>
    </row>
    <row r="17" spans="1:19" ht="49.5" thickBot="1" x14ac:dyDescent="0.3">
      <c r="A17" s="181" t="str">
        <f>CONCATENATE('3 pr-2'!A17)</f>
        <v>1.1.1.1.8</v>
      </c>
      <c r="B17" s="247"/>
      <c r="C17" s="182" t="str">
        <f>CONCATENATE('3 pr-2'!D17)</f>
        <v>Alytaus rajono Luksnėnų kaimo multifunkcinės sporto aikštės įrengimas ir gatvių rekonstrukcija</v>
      </c>
      <c r="D17" s="182" t="str">
        <f>CONCATENATE('3 pr-2'!E17)</f>
        <v>Alytaus rajono savivaldybės administracija</v>
      </c>
      <c r="E17" s="182" t="str">
        <f>CONCATENATE('3 pr-2'!F17)</f>
        <v>Lietuvos Respublikos žemės ūkio ministerija</v>
      </c>
      <c r="F17" s="182" t="str">
        <f>CONCATENATE('3 pr-2'!G17)</f>
        <v>Alytaus r. sav.</v>
      </c>
      <c r="G17" s="182" t="str">
        <f>CONCATENATE('3 pr-2'!H17)</f>
        <v xml:space="preserve">Pagrindinės paslaugos ir kaimų atnaujinimas kaimo vietovėse </v>
      </c>
      <c r="H17" s="182" t="str">
        <f>CONCATENATE('3 pr-2'!I17)</f>
        <v>R</v>
      </c>
      <c r="I17" s="192" t="str">
        <f>CONCATENATE('3 pr-2'!J17)</f>
        <v>-</v>
      </c>
      <c r="J17" s="193">
        <f>SUM('3 pr-2'!L17)</f>
        <v>250309</v>
      </c>
      <c r="K17" s="194">
        <f>SUM('3 pr-2'!O17)</f>
        <v>50309</v>
      </c>
      <c r="L17" s="194">
        <f>SUM('3 pr-2'!R17)</f>
        <v>30000</v>
      </c>
      <c r="M17" s="194">
        <f>SUM('3 pr-2'!U17)</f>
        <v>0</v>
      </c>
      <c r="N17" s="194">
        <f>SUM('3 pr-2'!X17)</f>
        <v>0</v>
      </c>
      <c r="O17" s="195">
        <f>SUM('3 pr-2'!AA17)</f>
        <v>170000</v>
      </c>
      <c r="P17" s="213">
        <f>SUM('3 pr-2'!AF17)</f>
        <v>42643</v>
      </c>
      <c r="Q17" s="264">
        <v>42643</v>
      </c>
      <c r="R17" s="191">
        <f t="shared" si="1"/>
        <v>0</v>
      </c>
      <c r="S17" s="191">
        <f t="shared" si="2"/>
        <v>0</v>
      </c>
    </row>
    <row r="18" spans="1:19" ht="49.5" thickBot="1" x14ac:dyDescent="0.3">
      <c r="A18" s="181" t="str">
        <f>CONCATENATE('3 pr-2'!A18)</f>
        <v>1.1.1.1.9</v>
      </c>
      <c r="B18" s="247"/>
      <c r="C18" s="182" t="str">
        <f>CONCATENATE('3 pr-2'!D18)</f>
        <v>Krikštonių laisvalaikio salės pritaikymas bendruomenės poreikiams</v>
      </c>
      <c r="D18" s="182" t="str">
        <f>CONCATENATE('3 pr-2'!E18)</f>
        <v xml:space="preserve">Viešoji įstaiga Lazdijų kultūros centras </v>
      </c>
      <c r="E18" s="182" t="str">
        <f>CONCATENATE('3 pr-2'!F18)</f>
        <v>Lietuvos Respublikos žemės ūkio ministerija</v>
      </c>
      <c r="F18" s="182" t="str">
        <f>CONCATENATE('3 pr-2'!G18)</f>
        <v>Lazdijų r. sav.</v>
      </c>
      <c r="G18" s="182" t="str">
        <f>CONCATENATE('3 pr-2'!H18)</f>
        <v xml:space="preserve">Pagrindinės paslaugos ir kaimų atnaujinimas kaimo vietovėse </v>
      </c>
      <c r="H18" s="182" t="str">
        <f>CONCATENATE('3 pr-2'!I18)</f>
        <v>R</v>
      </c>
      <c r="I18" s="192" t="str">
        <f>CONCATENATE('3 pr-2'!J18)</f>
        <v>-</v>
      </c>
      <c r="J18" s="193">
        <f>SUM('3 pr-2'!L18)</f>
        <v>250000</v>
      </c>
      <c r="K18" s="194">
        <f>SUM('3 pr-2'!O18)</f>
        <v>50000</v>
      </c>
      <c r="L18" s="194">
        <f>SUM('3 pr-2'!R18)</f>
        <v>30000</v>
      </c>
      <c r="M18" s="194">
        <f>SUM('3 pr-2'!U18)</f>
        <v>0</v>
      </c>
      <c r="N18" s="194">
        <f>SUM('3 pr-2'!X18)</f>
        <v>0</v>
      </c>
      <c r="O18" s="195">
        <f>SUM('3 pr-2'!AA18)</f>
        <v>170000</v>
      </c>
      <c r="P18" s="213">
        <f>SUM('3 pr-2'!AF18)</f>
        <v>42643</v>
      </c>
      <c r="Q18" s="264">
        <v>42643</v>
      </c>
      <c r="R18" s="191">
        <f t="shared" si="1"/>
        <v>0</v>
      </c>
      <c r="S18" s="191">
        <f t="shared" si="2"/>
        <v>0</v>
      </c>
    </row>
    <row r="19" spans="1:19" ht="49.5" thickBot="1" x14ac:dyDescent="0.3">
      <c r="A19" s="181" t="str">
        <f>CONCATENATE('3 pr-2'!A19)</f>
        <v>1.1.1.1.10</v>
      </c>
      <c r="B19" s="247"/>
      <c r="C19" s="182" t="str">
        <f>CONCATENATE('3 pr-2'!D19)</f>
        <v>Kučiūnų laisvalaikio salės pritaikymas bendruomenės poreikiams</v>
      </c>
      <c r="D19" s="182" t="str">
        <f>CONCATENATE('3 pr-2'!E19)</f>
        <v xml:space="preserve">Viešoji įstaiga Lazdijų kultūros centras </v>
      </c>
      <c r="E19" s="182" t="str">
        <f>CONCATENATE('3 pr-2'!F19)</f>
        <v>Lietuvos Respublikos žemės ūkio ministerija</v>
      </c>
      <c r="F19" s="182" t="str">
        <f>CONCATENATE('3 pr-2'!G19)</f>
        <v>Lazdijų r. sav.</v>
      </c>
      <c r="G19" s="182" t="str">
        <f>CONCATENATE('3 pr-2'!H19)</f>
        <v xml:space="preserve">Pagrindinės paslaugos ir kaimų atnaujinimas kaimo vietovėse </v>
      </c>
      <c r="H19" s="182" t="str">
        <f>CONCATENATE('3 pr-2'!I19)</f>
        <v>R</v>
      </c>
      <c r="I19" s="192" t="str">
        <f>CONCATENATE('3 pr-2'!J19)</f>
        <v>-</v>
      </c>
      <c r="J19" s="193">
        <f>SUM('3 pr-2'!L19)</f>
        <v>250000</v>
      </c>
      <c r="K19" s="194">
        <f>SUM('3 pr-2'!O19)</f>
        <v>50000</v>
      </c>
      <c r="L19" s="194">
        <f>SUM('3 pr-2'!R19)</f>
        <v>30000</v>
      </c>
      <c r="M19" s="194">
        <f>SUM('3 pr-2'!U19)</f>
        <v>0</v>
      </c>
      <c r="N19" s="194">
        <f>SUM('3 pr-2'!X19)</f>
        <v>0</v>
      </c>
      <c r="O19" s="195">
        <f>SUM('3 pr-2'!AA19)</f>
        <v>170000</v>
      </c>
      <c r="P19" s="213">
        <f>SUM('3 pr-2'!AF19)</f>
        <v>42643</v>
      </c>
      <c r="Q19" s="264">
        <v>42643</v>
      </c>
      <c r="R19" s="191">
        <f t="shared" si="1"/>
        <v>0</v>
      </c>
      <c r="S19" s="191">
        <f t="shared" si="2"/>
        <v>0</v>
      </c>
    </row>
    <row r="20" spans="1:19" ht="49.5" thickBot="1" x14ac:dyDescent="0.3">
      <c r="A20" s="181" t="str">
        <f>CONCATENATE('3 pr-2'!A20)</f>
        <v>1.1.1.1.11</v>
      </c>
      <c r="B20" s="247"/>
      <c r="C20" s="182" t="str">
        <f>CONCATENATE('3 pr-2'!D20)</f>
        <v>Laisvalaikio infrastruktūros sukūrimas Lazdijų rajono kaimo gyvenamosiose vietovėse</v>
      </c>
      <c r="D20" s="182" t="str">
        <f>CONCATENATE('3 pr-2'!E20)</f>
        <v>Lazdijų rajono savivaldybės administracija</v>
      </c>
      <c r="E20" s="182" t="str">
        <f>CONCATENATE('3 pr-2'!F20)</f>
        <v>Lietuvos Respublikos žemės ūkio ministerija</v>
      </c>
      <c r="F20" s="182" t="str">
        <f>CONCATENATE('3 pr-2'!G20)</f>
        <v>Lazdijų r. sav.</v>
      </c>
      <c r="G20" s="182" t="str">
        <f>CONCATENATE('3 pr-2'!H20)</f>
        <v xml:space="preserve">Pagrindinės paslaugos ir kaimų atnaujinimas kaimo vietovėse </v>
      </c>
      <c r="H20" s="182" t="str">
        <f>CONCATENATE('3 pr-2'!I20)</f>
        <v>R</v>
      </c>
      <c r="I20" s="192" t="str">
        <f>CONCATENATE('3 pr-2'!J20)</f>
        <v>-</v>
      </c>
      <c r="J20" s="193">
        <f>SUM('3 pr-2'!L20)</f>
        <v>125000</v>
      </c>
      <c r="K20" s="194">
        <f>SUM('3 pr-2'!O20)</f>
        <v>25000</v>
      </c>
      <c r="L20" s="194">
        <f>SUM('3 pr-2'!R20)</f>
        <v>15000</v>
      </c>
      <c r="M20" s="194">
        <f>SUM('3 pr-2'!U20)</f>
        <v>0</v>
      </c>
      <c r="N20" s="194">
        <f>SUM('3 pr-2'!X20)</f>
        <v>0</v>
      </c>
      <c r="O20" s="195">
        <f>SUM('3 pr-2'!AA20)</f>
        <v>85000</v>
      </c>
      <c r="P20" s="213">
        <f>SUM('3 pr-2'!AF20)</f>
        <v>42643</v>
      </c>
      <c r="Q20" s="264">
        <v>42643</v>
      </c>
      <c r="R20" s="191">
        <f t="shared" si="1"/>
        <v>0</v>
      </c>
      <c r="S20" s="191">
        <f t="shared" si="2"/>
        <v>0</v>
      </c>
    </row>
    <row r="21" spans="1:19" ht="49.5" thickBot="1" x14ac:dyDescent="0.3">
      <c r="A21" s="181" t="str">
        <f>CONCATENATE('3 pr-2'!A21)</f>
        <v>1.1.1.1.12</v>
      </c>
      <c r="B21" s="247"/>
      <c r="C21" s="182" t="str">
        <f>CONCATENATE('3 pr-2'!D21)</f>
        <v>Alytaus rajono Butrimonių miestelio šaligatvių kapitalinis remontas ir gyvenvietės apšvietimo įrengimas</v>
      </c>
      <c r="D21" s="182" t="str">
        <f>CONCATENATE('3 pr-2'!E21)</f>
        <v>Alytaus rajono savivaldybės administracija</v>
      </c>
      <c r="E21" s="182" t="str">
        <f>CONCATENATE('3 pr-2'!F21)</f>
        <v>Lietuvos Respublikos žemės ūkio ministerija</v>
      </c>
      <c r="F21" s="182" t="str">
        <f>CONCATENATE('3 pr-2'!G21)</f>
        <v>Alytaus r. sav.</v>
      </c>
      <c r="G21" s="182" t="str">
        <f>CONCATENATE('3 pr-2'!H21)</f>
        <v xml:space="preserve">Pagrindinės paslaugos ir kaimų atnaujinimas kaimo vietovėse </v>
      </c>
      <c r="H21" s="182" t="str">
        <f>CONCATENATE('3 pr-2'!I21)</f>
        <v>R</v>
      </c>
      <c r="I21" s="192" t="str">
        <f>CONCATENATE('3 pr-2'!J21)</f>
        <v>-</v>
      </c>
      <c r="J21" s="193">
        <f>SUM('3 pr-2'!L21)</f>
        <v>153566</v>
      </c>
      <c r="K21" s="194">
        <f>SUM('3 pr-2'!O21)</f>
        <v>30713</v>
      </c>
      <c r="L21" s="194">
        <f>SUM('3 pr-2'!R21)</f>
        <v>18428</v>
      </c>
      <c r="M21" s="194">
        <f>SUM('3 pr-2'!U21)</f>
        <v>0</v>
      </c>
      <c r="N21" s="194">
        <f>SUM('3 pr-2'!X21)</f>
        <v>0</v>
      </c>
      <c r="O21" s="195">
        <f>SUM('3 pr-2'!AA21)</f>
        <v>104425</v>
      </c>
      <c r="P21" s="213">
        <f>SUM('3 pr-2'!AF21)</f>
        <v>42643</v>
      </c>
      <c r="Q21" s="264">
        <v>42643</v>
      </c>
      <c r="R21" s="191">
        <f t="shared" si="1"/>
        <v>0</v>
      </c>
      <c r="S21" s="191">
        <f t="shared" si="2"/>
        <v>0</v>
      </c>
    </row>
    <row r="22" spans="1:19" ht="49.5" thickBot="1" x14ac:dyDescent="0.3">
      <c r="A22" s="181" t="str">
        <f>CONCATENATE('3 pr-2'!A22)</f>
        <v>1.1.1.1.13</v>
      </c>
      <c r="B22" s="247"/>
      <c r="C22" s="182" t="str">
        <f>CONCATENATE('3 pr-2'!D22)</f>
        <v>Alytaus rajono Genių kaimo sporto aikštės įrengimas ir gatvių rekonstrukcija</v>
      </c>
      <c r="D22" s="182" t="str">
        <f>CONCATENATE('3 pr-2'!E22)</f>
        <v>Alytaus rajono savivaldybės administracija</v>
      </c>
      <c r="E22" s="182" t="str">
        <f>CONCATENATE('3 pr-2'!F22)</f>
        <v>Lietuvos Respublikos žemės ūkio ministerija</v>
      </c>
      <c r="F22" s="182" t="str">
        <f>CONCATENATE('3 pr-2'!G22)</f>
        <v>Alytaus r. sav.</v>
      </c>
      <c r="G22" s="182" t="str">
        <f>CONCATENATE('3 pr-2'!H22)</f>
        <v xml:space="preserve">Pagrindinės paslaugos ir kaimų atnaujinimas kaimo vietovėse </v>
      </c>
      <c r="H22" s="182" t="str">
        <f>CONCATENATE('3 pr-2'!I22)</f>
        <v>R</v>
      </c>
      <c r="I22" s="192" t="str">
        <f>CONCATENATE('3 pr-2'!J22)</f>
        <v>-</v>
      </c>
      <c r="J22" s="193">
        <f>SUM('3 pr-2'!L22)</f>
        <v>250000</v>
      </c>
      <c r="K22" s="194">
        <f>SUM('3 pr-2'!O22)</f>
        <v>50000</v>
      </c>
      <c r="L22" s="194">
        <f>SUM('3 pr-2'!R22)</f>
        <v>30000</v>
      </c>
      <c r="M22" s="194">
        <f>SUM('3 pr-2'!U22)</f>
        <v>0</v>
      </c>
      <c r="N22" s="194">
        <f>SUM('3 pr-2'!X22)</f>
        <v>0</v>
      </c>
      <c r="O22" s="195">
        <f>SUM('3 pr-2'!AA22)</f>
        <v>170000</v>
      </c>
      <c r="P22" s="213">
        <f>SUM('3 pr-2'!AF22)</f>
        <v>42643</v>
      </c>
      <c r="Q22" s="264">
        <v>42643</v>
      </c>
      <c r="R22" s="191">
        <f t="shared" si="1"/>
        <v>0</v>
      </c>
      <c r="S22" s="191">
        <f t="shared" si="2"/>
        <v>0</v>
      </c>
    </row>
    <row r="23" spans="1:19" ht="49.5" thickBot="1" x14ac:dyDescent="0.3">
      <c r="A23" s="181" t="str">
        <f>CONCATENATE('3 pr-2'!A23)</f>
        <v>1.1.1.1.14</v>
      </c>
      <c r="B23" s="247"/>
      <c r="C23" s="182" t="str">
        <f>CONCATENATE('3 pr-2'!D23)</f>
        <v>Varėnos r. Dargužių kaimo Liepų gatvės ir viešosios erdvės įrengimas</v>
      </c>
      <c r="D23" s="182" t="str">
        <f>CONCATENATE('3 pr-2'!E23)</f>
        <v xml:space="preserve">Varėnos rajono savivaldybės administracija </v>
      </c>
      <c r="E23" s="182" t="str">
        <f>CONCATENATE('3 pr-2'!F23)</f>
        <v>Lietuvos Respublikos žemės ūkio ministerija</v>
      </c>
      <c r="F23" s="182" t="str">
        <f>CONCATENATE('3 pr-2'!G23)</f>
        <v>Varėnos r. sav.</v>
      </c>
      <c r="G23" s="182" t="str">
        <f>CONCATENATE('3 pr-2'!H23)</f>
        <v xml:space="preserve">Pagrindinės paslaugos ir kaimų atnaujinimas kaimo vietovėse </v>
      </c>
      <c r="H23" s="182" t="str">
        <f>CONCATENATE('3 pr-2'!I23)</f>
        <v>R</v>
      </c>
      <c r="I23" s="192" t="str">
        <f>CONCATENATE('3 pr-2'!J23)</f>
        <v>-</v>
      </c>
      <c r="J23" s="193">
        <f>SUM('3 pr-2'!L23)</f>
        <v>215626</v>
      </c>
      <c r="K23" s="194">
        <f>SUM('3 pr-2'!O23)</f>
        <v>43125</v>
      </c>
      <c r="L23" s="194">
        <f>SUM('3 pr-2'!R23)</f>
        <v>25875</v>
      </c>
      <c r="M23" s="194">
        <f>SUM('3 pr-2'!U23)</f>
        <v>0</v>
      </c>
      <c r="N23" s="194">
        <f>SUM('3 pr-2'!X23)</f>
        <v>0</v>
      </c>
      <c r="O23" s="195">
        <f>SUM('3 pr-2'!AA23)</f>
        <v>146626</v>
      </c>
      <c r="P23" s="213">
        <f>SUM('3 pr-2'!AF23)</f>
        <v>42643</v>
      </c>
      <c r="Q23" s="264">
        <v>42643</v>
      </c>
      <c r="R23" s="191">
        <f t="shared" si="1"/>
        <v>0</v>
      </c>
      <c r="S23" s="191">
        <f t="shared" si="2"/>
        <v>0</v>
      </c>
    </row>
    <row r="24" spans="1:19" ht="49.5" thickBot="1" x14ac:dyDescent="0.3">
      <c r="A24" s="181" t="str">
        <f>CONCATENATE('3 pr-2'!A24)</f>
        <v>1.1.1.1.15</v>
      </c>
      <c r="B24" s="247"/>
      <c r="C24" s="182" t="str">
        <f>CONCATENATE('3 pr-2'!D24)</f>
        <v>Alytaus rajono Vaisodžių kaimo sporto aikštės įrengimas ir gatvių apšvietimo atnaujinimas bei plėtra</v>
      </c>
      <c r="D24" s="182" t="str">
        <f>CONCATENATE('3 pr-2'!E24)</f>
        <v>Alytaus rajono savivaldybės administracija</v>
      </c>
      <c r="E24" s="182" t="str">
        <f>CONCATENATE('3 pr-2'!F24)</f>
        <v>Lietuvos Respublikos žemės ūkio ministerija</v>
      </c>
      <c r="F24" s="182" t="str">
        <f>CONCATENATE('3 pr-2'!G24)</f>
        <v>Alytaus r. sav.</v>
      </c>
      <c r="G24" s="182" t="str">
        <f>CONCATENATE('3 pr-2'!H24)</f>
        <v xml:space="preserve">Pagrindinės paslaugos ir kaimų atnaujinimas kaimo vietovėse </v>
      </c>
      <c r="H24" s="182" t="str">
        <f>CONCATENATE('3 pr-2'!I24)</f>
        <v>R</v>
      </c>
      <c r="I24" s="192" t="str">
        <f>CONCATENATE('3 pr-2'!J24)</f>
        <v>-</v>
      </c>
      <c r="J24" s="193">
        <f>SUM('3 pr-2'!L24)</f>
        <v>76480</v>
      </c>
      <c r="K24" s="194">
        <f>SUM('3 pr-2'!O24)</f>
        <v>15296</v>
      </c>
      <c r="L24" s="194">
        <f>SUM('3 pr-2'!R24)</f>
        <v>9178</v>
      </c>
      <c r="M24" s="194">
        <f>SUM('3 pr-2'!U24)</f>
        <v>0</v>
      </c>
      <c r="N24" s="194">
        <f>SUM('3 pr-2'!X24)</f>
        <v>0</v>
      </c>
      <c r="O24" s="195">
        <f>SUM('3 pr-2'!AA24)</f>
        <v>52006</v>
      </c>
      <c r="P24" s="213">
        <f>SUM('3 pr-2'!AF24)</f>
        <v>42643</v>
      </c>
      <c r="Q24" s="264">
        <v>42643</v>
      </c>
      <c r="R24" s="191">
        <f t="shared" si="1"/>
        <v>0</v>
      </c>
      <c r="S24" s="191">
        <f t="shared" si="2"/>
        <v>0</v>
      </c>
    </row>
    <row r="25" spans="1:19" ht="49.5" thickBot="1" x14ac:dyDescent="0.3">
      <c r="A25" s="181" t="str">
        <f>CONCATENATE('3 pr-2'!A25)</f>
        <v>1.1.1.1.16</v>
      </c>
      <c r="B25" s="247"/>
      <c r="C25" s="182" t="str">
        <f>CONCATENATE('3 pr-2'!D25)</f>
        <v>Alytaus rajono Talokių kaimo sporto aikštės įrengimas ir Plytinės gatvės apšvietimas</v>
      </c>
      <c r="D25" s="182" t="str">
        <f>CONCATENATE('3 pr-2'!E25)</f>
        <v>Alytaus rajono savivaldybės administracija</v>
      </c>
      <c r="E25" s="182" t="str">
        <f>CONCATENATE('3 pr-2'!F25)</f>
        <v>Lietuvos Respublikos žemės ūkio ministerija</v>
      </c>
      <c r="F25" s="182" t="str">
        <f>CONCATENATE('3 pr-2'!G25)</f>
        <v>Alytaus r. sav.</v>
      </c>
      <c r="G25" s="182" t="str">
        <f>CONCATENATE('3 pr-2'!H25)</f>
        <v xml:space="preserve">Pagrindinės paslaugos ir kaimų atnaujinimas kaimo vietovėse </v>
      </c>
      <c r="H25" s="182" t="str">
        <f>CONCATENATE('3 pr-2'!I25)</f>
        <v>R</v>
      </c>
      <c r="I25" s="192" t="str">
        <f>CONCATENATE('3 pr-2'!J25)</f>
        <v>-</v>
      </c>
      <c r="J25" s="193">
        <f>SUM('3 pr-2'!L25)</f>
        <v>139472</v>
      </c>
      <c r="K25" s="194">
        <f>SUM('3 pr-2'!O25)</f>
        <v>27894</v>
      </c>
      <c r="L25" s="194">
        <f>SUM('3 pr-2'!R25)</f>
        <v>16737</v>
      </c>
      <c r="M25" s="194">
        <f>SUM('3 pr-2'!U25)</f>
        <v>0</v>
      </c>
      <c r="N25" s="194">
        <f>SUM('3 pr-2'!X25)</f>
        <v>0</v>
      </c>
      <c r="O25" s="195">
        <f>SUM('3 pr-2'!AA25)</f>
        <v>94841</v>
      </c>
      <c r="P25" s="213">
        <f>SUM('3 pr-2'!AF25)</f>
        <v>42643</v>
      </c>
      <c r="Q25" s="264">
        <v>42643</v>
      </c>
      <c r="R25" s="191">
        <f t="shared" si="1"/>
        <v>0</v>
      </c>
      <c r="S25" s="191">
        <f t="shared" si="2"/>
        <v>0</v>
      </c>
    </row>
    <row r="26" spans="1:19" ht="49.5" thickBot="1" x14ac:dyDescent="0.3">
      <c r="A26" s="181" t="str">
        <f>CONCATENATE('3 pr-2'!A26)</f>
        <v>1.1.1.1.17</v>
      </c>
      <c r="B26" s="247"/>
      <c r="C26" s="182" t="str">
        <f>CONCATENATE('3 pr-2'!D26)</f>
        <v>Varėnos r. Rudnios kaimo Pušyno gatvės įrengimas</v>
      </c>
      <c r="D26" s="182" t="str">
        <f>CONCATENATE('3 pr-2'!E26)</f>
        <v xml:space="preserve">Varėnos rajono savivaldybės administracija </v>
      </c>
      <c r="E26" s="182" t="str">
        <f>CONCATENATE('3 pr-2'!F26)</f>
        <v>Lietuvos Respublikos žemės ūkio ministerija</v>
      </c>
      <c r="F26" s="182" t="str">
        <f>CONCATENATE('3 pr-2'!G26)</f>
        <v>Varėnos r. sav.</v>
      </c>
      <c r="G26" s="182" t="str">
        <f>CONCATENATE('3 pr-2'!H26)</f>
        <v xml:space="preserve">Pagrindinės paslaugos ir kaimų atnaujinimas kaimo vietovėse </v>
      </c>
      <c r="H26" s="182" t="str">
        <f>CONCATENATE('3 pr-2'!I26)</f>
        <v>R</v>
      </c>
      <c r="I26" s="192" t="str">
        <f>CONCATENATE('3 pr-2'!J26)</f>
        <v>-</v>
      </c>
      <c r="J26" s="193">
        <f>SUM('3 pr-2'!L26)</f>
        <v>115824</v>
      </c>
      <c r="K26" s="194">
        <f>SUM('3 pr-2'!O26)</f>
        <v>23165</v>
      </c>
      <c r="L26" s="194">
        <f>SUM('3 pr-2'!R26)</f>
        <v>13899</v>
      </c>
      <c r="M26" s="194">
        <f>SUM('3 pr-2'!U26)</f>
        <v>0</v>
      </c>
      <c r="N26" s="194">
        <f>SUM('3 pr-2'!X26)</f>
        <v>0</v>
      </c>
      <c r="O26" s="195">
        <f>SUM('3 pr-2'!AA26)</f>
        <v>78760</v>
      </c>
      <c r="P26" s="213">
        <f>SUM('3 pr-2'!AF26)</f>
        <v>42643</v>
      </c>
      <c r="Q26" s="264">
        <v>42643</v>
      </c>
      <c r="R26" s="191">
        <f t="shared" si="1"/>
        <v>0</v>
      </c>
      <c r="S26" s="191">
        <f t="shared" si="2"/>
        <v>0</v>
      </c>
    </row>
    <row r="27" spans="1:19" ht="49.5" thickBot="1" x14ac:dyDescent="0.3">
      <c r="A27" s="181" t="str">
        <f>CONCATENATE('3 pr-2'!A27)</f>
        <v>1.1.1.1.18</v>
      </c>
      <c r="B27" s="247"/>
      <c r="C27" s="182" t="str">
        <f>CONCATENATE('3 pr-2'!D27)</f>
        <v>Varėnos kultūros centro Žilinų filialo pastato atnaujinimas ir pritaikymas bendruomenės poreikiams</v>
      </c>
      <c r="D27" s="182" t="str">
        <f>CONCATENATE('3 pr-2'!E27)</f>
        <v xml:space="preserve">Varėnos rajono savivaldybės administracija </v>
      </c>
      <c r="E27" s="182" t="str">
        <f>CONCATENATE('3 pr-2'!F27)</f>
        <v>Lietuvos Respublikos žemės ūkio ministerija</v>
      </c>
      <c r="F27" s="182" t="str">
        <f>CONCATENATE('3 pr-2'!G27)</f>
        <v>Varėnos r. sav.</v>
      </c>
      <c r="G27" s="182" t="str">
        <f>CONCATENATE('3 pr-2'!H27)</f>
        <v xml:space="preserve">Pagrindinės paslaugos ir kaimų atnaujinimas kaimo vietovėse </v>
      </c>
      <c r="H27" s="182" t="str">
        <f>CONCATENATE('3 pr-2'!I27)</f>
        <v>R</v>
      </c>
      <c r="I27" s="192" t="str">
        <f>CONCATENATE('3 pr-2'!J27)</f>
        <v>-</v>
      </c>
      <c r="J27" s="193">
        <f>SUM('3 pr-2'!L27)</f>
        <v>250000</v>
      </c>
      <c r="K27" s="194">
        <f>SUM('3 pr-2'!O27)</f>
        <v>50000</v>
      </c>
      <c r="L27" s="194">
        <f>SUM('3 pr-2'!R27)</f>
        <v>30000</v>
      </c>
      <c r="M27" s="194">
        <f>SUM('3 pr-2'!U27)</f>
        <v>0</v>
      </c>
      <c r="N27" s="194">
        <f>SUM('3 pr-2'!X27)</f>
        <v>0</v>
      </c>
      <c r="O27" s="195">
        <f>SUM('3 pr-2'!AA27)</f>
        <v>170000</v>
      </c>
      <c r="P27" s="213">
        <f>SUM('3 pr-2'!AF27)</f>
        <v>42643</v>
      </c>
      <c r="Q27" s="264">
        <v>42643</v>
      </c>
      <c r="R27" s="191">
        <f t="shared" si="1"/>
        <v>0</v>
      </c>
      <c r="S27" s="191">
        <f t="shared" si="2"/>
        <v>0</v>
      </c>
    </row>
    <row r="28" spans="1:19" ht="49.5" thickBot="1" x14ac:dyDescent="0.3">
      <c r="A28" s="181" t="str">
        <f>CONCATENATE('3 pr-2'!A28)</f>
        <v>1.1.1.1.19</v>
      </c>
      <c r="B28" s="247"/>
      <c r="C28" s="182" t="str">
        <f>CONCATENATE('3 pr-2'!D28)</f>
        <v>Alytaus rajono Pivašiūnų kaimo šaligatvių, laiptų kapitalinis remontas ir gyvenvietės apšvietimo įrengimas</v>
      </c>
      <c r="D28" s="182" t="str">
        <f>CONCATENATE('3 pr-2'!E28)</f>
        <v>Alytaus rajono savivaldybės administracija</v>
      </c>
      <c r="E28" s="182" t="str">
        <f>CONCATENATE('3 pr-2'!F28)</f>
        <v>Lietuvos Respublikos žemės ūkio ministerija</v>
      </c>
      <c r="F28" s="182" t="str">
        <f>CONCATENATE('3 pr-2'!G28)</f>
        <v>Alytaus r. sav.</v>
      </c>
      <c r="G28" s="182" t="str">
        <f>CONCATENATE('3 pr-2'!H28)</f>
        <v xml:space="preserve">Pagrindinės paslaugos ir kaimų atnaujinimas kaimo vietovėse </v>
      </c>
      <c r="H28" s="182" t="str">
        <f>CONCATENATE('3 pr-2'!I28)</f>
        <v>R</v>
      </c>
      <c r="I28" s="192" t="str">
        <f>CONCATENATE('3 pr-2'!J28)</f>
        <v>-</v>
      </c>
      <c r="J28" s="193">
        <f>SUM('3 pr-2'!L28)</f>
        <v>117986</v>
      </c>
      <c r="K28" s="194">
        <f>SUM('3 pr-2'!O28)</f>
        <v>23597</v>
      </c>
      <c r="L28" s="194">
        <f>SUM('3 pr-2'!R28)</f>
        <v>14158</v>
      </c>
      <c r="M28" s="194">
        <f>SUM('3 pr-2'!U28)</f>
        <v>0</v>
      </c>
      <c r="N28" s="194">
        <f>SUM('3 pr-2'!X28)</f>
        <v>0</v>
      </c>
      <c r="O28" s="195">
        <f>SUM('3 pr-2'!AA28)</f>
        <v>80231</v>
      </c>
      <c r="P28" s="213">
        <f>SUM('3 pr-2'!AF28)</f>
        <v>42643</v>
      </c>
      <c r="Q28" s="264">
        <v>42643</v>
      </c>
      <c r="R28" s="191">
        <f t="shared" si="1"/>
        <v>0</v>
      </c>
      <c r="S28" s="191">
        <f t="shared" si="2"/>
        <v>0</v>
      </c>
    </row>
    <row r="29" spans="1:19" ht="49.5" thickBot="1" x14ac:dyDescent="0.3">
      <c r="A29" s="181" t="str">
        <f>CONCATENATE('3 pr-2'!A29)</f>
        <v>1.1.1.1.20</v>
      </c>
      <c r="B29" s="247"/>
      <c r="C29" s="182" t="str">
        <f>CONCATENATE('3 pr-2'!D29)</f>
        <v>Pastato, esančio Pušelės g. 11, Naujųjų Valkininkų k., Varėnos r., atnaujinimas ir pritaikymas bendruomenės poreikiams</v>
      </c>
      <c r="D29" s="182" t="str">
        <f>CONCATENATE('3 pr-2'!E29)</f>
        <v xml:space="preserve">Varėnos rajono savivaldybės administracija </v>
      </c>
      <c r="E29" s="182" t="str">
        <f>CONCATENATE('3 pr-2'!F29)</f>
        <v>Lietuvos Respublikos žemės ūkio ministerija</v>
      </c>
      <c r="F29" s="182" t="str">
        <f>CONCATENATE('3 pr-2'!G29)</f>
        <v>Varėnos r. sav.</v>
      </c>
      <c r="G29" s="182" t="str">
        <f>CONCATENATE('3 pr-2'!H29)</f>
        <v xml:space="preserve">Pagrindinės paslaugos ir kaimų atnaujinimas kaimo vietovėse </v>
      </c>
      <c r="H29" s="182" t="str">
        <f>CONCATENATE('3 pr-2'!I29)</f>
        <v>R</v>
      </c>
      <c r="I29" s="192" t="str">
        <f>CONCATENATE('3 pr-2'!J29)</f>
        <v>-</v>
      </c>
      <c r="J29" s="193">
        <f>SUM('3 pr-2'!L29)</f>
        <v>250000</v>
      </c>
      <c r="K29" s="194">
        <f>SUM('3 pr-2'!O29)</f>
        <v>50000</v>
      </c>
      <c r="L29" s="194">
        <f>SUM('3 pr-2'!R29)</f>
        <v>30000</v>
      </c>
      <c r="M29" s="194">
        <f>SUM('3 pr-2'!U29)</f>
        <v>0</v>
      </c>
      <c r="N29" s="194">
        <f>SUM('3 pr-2'!X29)</f>
        <v>0</v>
      </c>
      <c r="O29" s="195">
        <f>SUM('3 pr-2'!AA29)</f>
        <v>170000</v>
      </c>
      <c r="P29" s="213">
        <f>SUM('3 pr-2'!AF29)</f>
        <v>42643</v>
      </c>
      <c r="Q29" s="264">
        <v>42643</v>
      </c>
      <c r="R29" s="191">
        <f t="shared" si="1"/>
        <v>0</v>
      </c>
      <c r="S29" s="191">
        <f t="shared" si="2"/>
        <v>0</v>
      </c>
    </row>
    <row r="30" spans="1:19" ht="49.5" thickBot="1" x14ac:dyDescent="0.3">
      <c r="A30" s="181" t="str">
        <f>CONCATENATE('3 pr-2'!A30)</f>
        <v>1.1.1.1.21</v>
      </c>
      <c r="B30" s="247"/>
      <c r="C30" s="182" t="str">
        <f>CONCATENATE('3 pr-2'!D30)</f>
        <v>Kaimo gyvenamųjų vietovių Lazdijų rajono savivaldybėje patrauklumo gerinimas</v>
      </c>
      <c r="D30" s="182" t="str">
        <f>CONCATENATE('3 pr-2'!E30)</f>
        <v>Lazdijų rajono savivaldybės administracija</v>
      </c>
      <c r="E30" s="182" t="str">
        <f>CONCATENATE('3 pr-2'!F30)</f>
        <v>Lietuvos Respublikos žemės ūkio ministerija</v>
      </c>
      <c r="F30" s="182" t="str">
        <f>CONCATENATE('3 pr-2'!G30)</f>
        <v>Lazdijų r. sav.</v>
      </c>
      <c r="G30" s="182" t="str">
        <f>CONCATENATE('3 pr-2'!H30)</f>
        <v xml:space="preserve">Pagrindinės paslaugos ir kaimų atnaujinimas kaimo vietovėse </v>
      </c>
      <c r="H30" s="182" t="str">
        <f>CONCATENATE('3 pr-2'!I30)</f>
        <v>R</v>
      </c>
      <c r="I30" s="192" t="str">
        <f>CONCATENATE('3 pr-2'!J30)</f>
        <v>-</v>
      </c>
      <c r="J30" s="193">
        <f>SUM('3 pr-2'!L30)</f>
        <v>170000</v>
      </c>
      <c r="K30" s="194">
        <f>SUM('3 pr-2'!O30)</f>
        <v>34000</v>
      </c>
      <c r="L30" s="194">
        <f>SUM('3 pr-2'!R30)</f>
        <v>20400</v>
      </c>
      <c r="M30" s="194">
        <f>SUM('3 pr-2'!U30)</f>
        <v>0</v>
      </c>
      <c r="N30" s="194">
        <f>SUM('3 pr-2'!X30)</f>
        <v>0</v>
      </c>
      <c r="O30" s="195">
        <f>SUM('3 pr-2'!AA30)</f>
        <v>115600</v>
      </c>
      <c r="P30" s="213">
        <f>SUM('3 pr-2'!AF30)</f>
        <v>42643</v>
      </c>
      <c r="Q30" s="264">
        <v>42643</v>
      </c>
      <c r="R30" s="191">
        <f t="shared" si="1"/>
        <v>0</v>
      </c>
      <c r="S30" s="191">
        <f t="shared" si="2"/>
        <v>0</v>
      </c>
    </row>
    <row r="31" spans="1:19" ht="49.5" thickBot="1" x14ac:dyDescent="0.3">
      <c r="A31" s="181" t="str">
        <f>CONCATENATE('3 pr-2'!A31)</f>
        <v>1.1.1.1.22</v>
      </c>
      <c r="B31" s="247"/>
      <c r="C31" s="182" t="str">
        <f>CONCATENATE('3 pr-2'!D31)</f>
        <v>Alytaus rajono Makniūnų kaimo šaligatvių atnaujinimas ir plėtra</v>
      </c>
      <c r="D31" s="182" t="str">
        <f>CONCATENATE('3 pr-2'!E31)</f>
        <v>Alytaus rajono savivaldybės administracija</v>
      </c>
      <c r="E31" s="182" t="str">
        <f>CONCATENATE('3 pr-2'!F31)</f>
        <v>Lietuvos Respublikos žemės ūkio ministerija</v>
      </c>
      <c r="F31" s="182" t="str">
        <f>CONCATENATE('3 pr-2'!G31)</f>
        <v>Alytaus r. sav.</v>
      </c>
      <c r="G31" s="182" t="str">
        <f>CONCATENATE('3 pr-2'!H31)</f>
        <v xml:space="preserve">Pagrindinės paslaugos ir kaimų atnaujinimas kaimo vietovėse </v>
      </c>
      <c r="H31" s="182" t="str">
        <f>CONCATENATE('3 pr-2'!I31)</f>
        <v>R</v>
      </c>
      <c r="I31" s="192" t="str">
        <f>CONCATENATE('3 pr-2'!J31)</f>
        <v>-</v>
      </c>
      <c r="J31" s="193">
        <f>SUM('3 pr-2'!L31)</f>
        <v>70991</v>
      </c>
      <c r="K31" s="194">
        <f>SUM('3 pr-2'!O31)</f>
        <v>14198</v>
      </c>
      <c r="L31" s="194">
        <f>SUM('3 pr-2'!R31)</f>
        <v>8519</v>
      </c>
      <c r="M31" s="194">
        <f>SUM('3 pr-2'!U31)</f>
        <v>0</v>
      </c>
      <c r="N31" s="194">
        <f>SUM('3 pr-2'!X31)</f>
        <v>0</v>
      </c>
      <c r="O31" s="195">
        <f>SUM('3 pr-2'!AA31)</f>
        <v>48274</v>
      </c>
      <c r="P31" s="213">
        <f>SUM('3 pr-2'!AF31)</f>
        <v>42643</v>
      </c>
      <c r="Q31" s="264">
        <v>42643</v>
      </c>
      <c r="R31" s="191">
        <f t="shared" si="1"/>
        <v>0</v>
      </c>
      <c r="S31" s="191">
        <f t="shared" si="2"/>
        <v>0</v>
      </c>
    </row>
    <row r="32" spans="1:19" ht="49.5" thickBot="1" x14ac:dyDescent="0.3">
      <c r="A32" s="181" t="str">
        <f>CONCATENATE('3 pr-2'!A32)</f>
        <v>1.1.1.1.23</v>
      </c>
      <c r="B32" s="247"/>
      <c r="C32" s="182" t="str">
        <f>CONCATENATE('3 pr-2'!D32)</f>
        <v>Varėnos r. Vazgirdonių kaimo Klevų gatvės įrengimas</v>
      </c>
      <c r="D32" s="182" t="str">
        <f>CONCATENATE('3 pr-2'!E32)</f>
        <v xml:space="preserve">Varėnos rajono savivaldybės administracija </v>
      </c>
      <c r="E32" s="182" t="str">
        <f>CONCATENATE('3 pr-2'!F32)</f>
        <v>Lietuvos Respublikos žemės ūkio ministerija</v>
      </c>
      <c r="F32" s="182" t="str">
        <f>CONCATENATE('3 pr-2'!G32)</f>
        <v>Varėnos r. sav.</v>
      </c>
      <c r="G32" s="182" t="str">
        <f>CONCATENATE('3 pr-2'!H32)</f>
        <v xml:space="preserve">Pagrindinės paslaugos ir kaimų atnaujinimas kaimo vietovėse </v>
      </c>
      <c r="H32" s="182" t="str">
        <f>CONCATENATE('3 pr-2'!I32)</f>
        <v>R</v>
      </c>
      <c r="I32" s="192" t="str">
        <f>CONCATENATE('3 pr-2'!J32)</f>
        <v>-</v>
      </c>
      <c r="J32" s="193">
        <f>SUM('3 pr-2'!L32)</f>
        <v>160049</v>
      </c>
      <c r="K32" s="194">
        <f>SUM('3 pr-2'!O32)</f>
        <v>32010</v>
      </c>
      <c r="L32" s="194">
        <f>SUM('3 pr-2'!R32)</f>
        <v>19206</v>
      </c>
      <c r="M32" s="194">
        <f>SUM('3 pr-2'!U32)</f>
        <v>0</v>
      </c>
      <c r="N32" s="194">
        <f>SUM('3 pr-2'!X32)</f>
        <v>0</v>
      </c>
      <c r="O32" s="195">
        <f>SUM('3 pr-2'!AA32)</f>
        <v>108833</v>
      </c>
      <c r="P32" s="213">
        <f>SUM('3 pr-2'!AF32)</f>
        <v>42643</v>
      </c>
      <c r="Q32" s="264">
        <v>42643</v>
      </c>
      <c r="R32" s="191">
        <f t="shared" si="1"/>
        <v>0</v>
      </c>
      <c r="S32" s="191">
        <f t="shared" si="2"/>
        <v>0</v>
      </c>
    </row>
    <row r="33" spans="1:19" ht="28.5" customHeight="1" thickBot="1" x14ac:dyDescent="0.3">
      <c r="A33" s="317" t="str">
        <f>CONCATENATE('3 pr-2'!A33)</f>
        <v>1.1.1.2</v>
      </c>
      <c r="B33" s="489"/>
      <c r="C33" s="1890" t="str">
        <f>CONCATENATE('3 pr-2'!B33)</f>
        <v>Priemonė:
Kaimo gyvenamųjų vietovių (turinčių 1-6 tūkst. gyventojų) atnaujinimas ir plėtra</v>
      </c>
      <c r="D33" s="2031" t="str">
        <f>CONCATENATE('3 pr-2'!E33)</f>
        <v/>
      </c>
      <c r="E33" s="2031" t="str">
        <f>CONCATENATE('3 pr-2'!F33)</f>
        <v/>
      </c>
      <c r="F33" s="2031" t="str">
        <f>CONCATENATE('3 pr-2'!G33)</f>
        <v/>
      </c>
      <c r="G33" s="2031" t="str">
        <f>CONCATENATE('3 pr-2'!H33)</f>
        <v/>
      </c>
      <c r="H33" s="2031" t="str">
        <f>CONCATENATE('3 pr-2'!I33)</f>
        <v/>
      </c>
      <c r="I33" s="2031" t="str">
        <f>CONCATENATE('3 pr-2'!J33)</f>
        <v/>
      </c>
      <c r="J33" s="490" t="s">
        <v>66</v>
      </c>
      <c r="K33" s="490" t="s">
        <v>66</v>
      </c>
      <c r="L33" s="490" t="s">
        <v>66</v>
      </c>
      <c r="M33" s="490" t="s">
        <v>66</v>
      </c>
      <c r="N33" s="490" t="s">
        <v>66</v>
      </c>
      <c r="O33" s="491" t="s">
        <v>66</v>
      </c>
      <c r="P33" s="492" t="s">
        <v>690</v>
      </c>
      <c r="Q33" s="493" t="s">
        <v>690</v>
      </c>
      <c r="R33" s="494" t="s">
        <v>690</v>
      </c>
      <c r="S33" s="494"/>
    </row>
    <row r="34" spans="1:19" ht="49.5" thickBot="1" x14ac:dyDescent="0.3">
      <c r="A34" s="181" t="str">
        <f>CONCATENATE('3 pr-2'!A34)</f>
        <v>1.1.1.2.1</v>
      </c>
      <c r="B34" s="247"/>
      <c r="C34" s="182" t="str">
        <f>CONCATENATE('3 pr-2'!D34)</f>
        <v>Matuizų kaimo viešosios infrastruktūros atnaujinimas ir pritaikymas bendruomenės poreikiams</v>
      </c>
      <c r="D34" s="182" t="str">
        <f>CONCATENATE('3 pr-2'!E34)</f>
        <v>Varėnos rajono savivaldybės administracija</v>
      </c>
      <c r="E34" s="182" t="str">
        <f>CONCATENATE('3 pr-2'!F34)</f>
        <v>Lietuvos Respublikos vidaus reikalų ministerija</v>
      </c>
      <c r="F34" s="182" t="str">
        <f>CONCATENATE('3 pr-2'!G34)</f>
        <v>Varėnos r. sav.</v>
      </c>
      <c r="G34" s="182" t="str">
        <f>CONCATENATE('3 pr-2'!H34)</f>
        <v>8.2.1-CPVA-R-908</v>
      </c>
      <c r="H34" s="182" t="str">
        <f>CONCATENATE('3 pr-2'!I34)</f>
        <v>R</v>
      </c>
      <c r="I34" s="192" t="str">
        <f>CONCATENATE('3 pr-2'!J34)</f>
        <v>-</v>
      </c>
      <c r="J34" s="193">
        <f>SUM('3 pr-2'!L34)</f>
        <v>815537.61</v>
      </c>
      <c r="K34" s="194">
        <f>SUM('3 pr-2'!O34)</f>
        <v>285195.61</v>
      </c>
      <c r="L34" s="194">
        <f>SUM('3 pr-2'!R34)</f>
        <v>43001</v>
      </c>
      <c r="M34" s="194">
        <f>SUM('3 pr-2'!U34)</f>
        <v>0</v>
      </c>
      <c r="N34" s="194">
        <f>SUM('3 pr-2'!X34)</f>
        <v>0</v>
      </c>
      <c r="O34" s="195">
        <f>SUM('3 pr-2'!AA34)</f>
        <v>487341</v>
      </c>
      <c r="P34" s="213">
        <f>SUM('3 pr-2'!AF34)</f>
        <v>43006</v>
      </c>
      <c r="Q34" s="264">
        <v>43005</v>
      </c>
      <c r="R34" s="191">
        <f t="shared" ref="R34:R38" si="3">SUM(P34-Q34)</f>
        <v>1</v>
      </c>
      <c r="S34" s="257">
        <f>SUM(P34-Q34)/30.1667</f>
        <v>3.3149134641840175E-2</v>
      </c>
    </row>
    <row r="35" spans="1:19" ht="49.5" thickBot="1" x14ac:dyDescent="0.3">
      <c r="A35" s="181" t="str">
        <f>CONCATENATE('3 pr-2'!A35)</f>
        <v>1.1.1.2.2</v>
      </c>
      <c r="B35" s="247"/>
      <c r="C35" s="182" t="str">
        <f>CONCATENATE('3 pr-2'!D35)</f>
        <v>Senosios Varėnos kaimo viešosios infrastruktūros atnaujinimas ir pritaikymas bendruomenės poreikiams</v>
      </c>
      <c r="D35" s="182" t="str">
        <f>CONCATENATE('3 pr-2'!E35)</f>
        <v>Varėnos rajono savivaldybės administracija</v>
      </c>
      <c r="E35" s="182" t="str">
        <f>CONCATENATE('3 pr-2'!F35)</f>
        <v>Lietuvos Respublikos vidaus reikalų ministerija</v>
      </c>
      <c r="F35" s="182" t="str">
        <f>CONCATENATE('3 pr-2'!G35)</f>
        <v>Varėnos r. sav.</v>
      </c>
      <c r="G35" s="182" t="str">
        <f>CONCATENATE('3 pr-2'!H35)</f>
        <v>8.2.1-CPVA-R-908</v>
      </c>
      <c r="H35" s="182" t="str">
        <f>CONCATENATE('3 pr-2'!I35)</f>
        <v>R</v>
      </c>
      <c r="I35" s="192" t="str">
        <f>CONCATENATE('3 pr-2'!J35)</f>
        <v>-</v>
      </c>
      <c r="J35" s="193">
        <f>SUM('3 pr-2'!L35)</f>
        <v>605024.19999999995</v>
      </c>
      <c r="K35" s="194">
        <f>SUM('3 pr-2'!O35)</f>
        <v>45376.82</v>
      </c>
      <c r="L35" s="194">
        <f>SUM('3 pr-2'!R35)</f>
        <v>45376.81</v>
      </c>
      <c r="M35" s="194">
        <f>SUM('3 pr-2'!U35)</f>
        <v>0</v>
      </c>
      <c r="N35" s="194">
        <f>SUM('3 pr-2'!X35)</f>
        <v>0</v>
      </c>
      <c r="O35" s="195">
        <f>SUM('3 pr-2'!AA35)</f>
        <v>514270.57</v>
      </c>
      <c r="P35" s="213">
        <f>SUM('3 pr-2'!AF35)</f>
        <v>42982</v>
      </c>
      <c r="Q35" s="264">
        <v>42905</v>
      </c>
      <c r="R35" s="191">
        <f t="shared" si="3"/>
        <v>77</v>
      </c>
      <c r="S35" s="257">
        <f>SUM(P35-Q35)/30.1667</f>
        <v>2.5524833674216936</v>
      </c>
    </row>
    <row r="36" spans="1:19" ht="49.5" thickBot="1" x14ac:dyDescent="0.3">
      <c r="A36" s="181" t="str">
        <f>CONCATENATE('3 pr-2'!A36)</f>
        <v>1.1.1.2.3</v>
      </c>
      <c r="B36" s="247"/>
      <c r="C36" s="182" t="str">
        <f>CONCATENATE('3 pr-2'!D36)</f>
        <v>Kompleksinė Miklusėnų gyvenvietės plėtra</v>
      </c>
      <c r="D36" s="182" t="str">
        <f>CONCATENATE('3 pr-2'!E36)</f>
        <v>Alytaus rajono savivaldybės administracija</v>
      </c>
      <c r="E36" s="182" t="str">
        <f>CONCATENATE('3 pr-2'!F36)</f>
        <v>Lietuvos Respublikos vidaus reikalų ministerija</v>
      </c>
      <c r="F36" s="182" t="str">
        <f>CONCATENATE('3 pr-2'!G36)</f>
        <v>Alytaus r. sav.</v>
      </c>
      <c r="G36" s="182" t="str">
        <f>CONCATENATE('3 pr-2'!H36)</f>
        <v>8.2.1-CPVA-R-908</v>
      </c>
      <c r="H36" s="182" t="str">
        <f>CONCATENATE('3 pr-2'!I36)</f>
        <v>R</v>
      </c>
      <c r="I36" s="192" t="str">
        <f>CONCATENATE('3 pr-2'!J36)</f>
        <v>-</v>
      </c>
      <c r="J36" s="193">
        <f>SUM('3 pr-2'!L36)</f>
        <v>1043467</v>
      </c>
      <c r="K36" s="194">
        <f>SUM('3 pr-2'!O36)</f>
        <v>78260</v>
      </c>
      <c r="L36" s="194">
        <f>SUM('3 pr-2'!R36)</f>
        <v>78260</v>
      </c>
      <c r="M36" s="194">
        <f>SUM('3 pr-2'!U36)</f>
        <v>0</v>
      </c>
      <c r="N36" s="194">
        <f>SUM('3 pr-2'!X36)</f>
        <v>0</v>
      </c>
      <c r="O36" s="195">
        <f>SUM('3 pr-2'!AA36)</f>
        <v>886947</v>
      </c>
      <c r="P36" s="548">
        <f>SUM('3 pr-2'!AF36)</f>
        <v>43130</v>
      </c>
      <c r="Q36" s="264"/>
      <c r="R36" s="191"/>
      <c r="S36" s="257"/>
    </row>
    <row r="37" spans="1:19" ht="49.5" thickBot="1" x14ac:dyDescent="0.3">
      <c r="A37" s="181" t="str">
        <f>CONCATENATE('3 pr-2'!A37)</f>
        <v>1.1.1.2.4</v>
      </c>
      <c r="B37" s="247"/>
      <c r="C37" s="182" t="str">
        <f>CONCATENATE('3 pr-2'!D37)</f>
        <v>Leipalingio viešosios erdvės pritaikymas bendruomenės poreikiams</v>
      </c>
      <c r="D37" s="182" t="str">
        <f>CONCATENATE('3 pr-2'!E37)</f>
        <v xml:space="preserve">Druskininkų savivaldybės administracija  </v>
      </c>
      <c r="E37" s="182" t="str">
        <f>CONCATENATE('3 pr-2'!F37)</f>
        <v>Lietuvos Respublikos vidaus reikalų ministerija</v>
      </c>
      <c r="F37" s="182" t="str">
        <f>CONCATENATE('3 pr-2'!G37)</f>
        <v>Druskininkų sav.</v>
      </c>
      <c r="G37" s="182" t="str">
        <f>CONCATENATE('3 pr-2'!H37)</f>
        <v>8.2.1-CPVA-R-908</v>
      </c>
      <c r="H37" s="182" t="str">
        <f>CONCATENATE('3 pr-2'!I37)</f>
        <v>R</v>
      </c>
      <c r="I37" s="192" t="str">
        <f>CONCATENATE('3 pr-2'!J37)</f>
        <v>-</v>
      </c>
      <c r="J37" s="193">
        <f>SUM('3 pr-2'!L37)</f>
        <v>579418.99</v>
      </c>
      <c r="K37" s="194">
        <f>SUM('3 pr-2'!O37)</f>
        <v>192989.99</v>
      </c>
      <c r="L37" s="194">
        <f>SUM('3 pr-2'!R37)</f>
        <v>31332.09</v>
      </c>
      <c r="M37" s="194">
        <f>SUM('3 pr-2'!U37)</f>
        <v>0</v>
      </c>
      <c r="N37" s="194">
        <f>SUM('3 pr-2'!X37)</f>
        <v>0</v>
      </c>
      <c r="O37" s="195">
        <f>SUM('3 pr-2'!AA37)</f>
        <v>355096.91</v>
      </c>
      <c r="P37" s="638">
        <f>SUM('3 pr-2'!AF37)</f>
        <v>43038</v>
      </c>
      <c r="Q37" s="264">
        <v>43038</v>
      </c>
      <c r="R37" s="191">
        <f t="shared" si="3"/>
        <v>0</v>
      </c>
      <c r="S37" s="257">
        <f>SUM(P37-Q37)/30.1667</f>
        <v>0</v>
      </c>
    </row>
    <row r="38" spans="1:19" ht="49.5" thickBot="1" x14ac:dyDescent="0.3">
      <c r="A38" s="181" t="str">
        <f>CONCATENATE('3 pr-2'!A38)</f>
        <v>1.1.1.2.5</v>
      </c>
      <c r="B38" s="247"/>
      <c r="C38" s="182" t="str">
        <f>CONCATENATE('3 pr-2'!D38)</f>
        <v>Viečiūnų viešosios erdvės pritaikymas bendruomenės poreikiams</v>
      </c>
      <c r="D38" s="182" t="str">
        <f>CONCATENATE('3 pr-2'!E38)</f>
        <v xml:space="preserve">Druskininkų savivaldybės administracija  </v>
      </c>
      <c r="E38" s="182" t="str">
        <f>CONCATENATE('3 pr-2'!F38)</f>
        <v>Lietuvos Respublikos vidaus reikalų ministerija</v>
      </c>
      <c r="F38" s="182" t="str">
        <f>CONCATENATE('3 pr-2'!G38)</f>
        <v>Druskininkų sav.</v>
      </c>
      <c r="G38" s="182" t="str">
        <f>CONCATENATE('3 pr-2'!H38)</f>
        <v>8.2.1-CPVA-R-908</v>
      </c>
      <c r="H38" s="182" t="str">
        <f>CONCATENATE('3 pr-2'!I38)</f>
        <v>R</v>
      </c>
      <c r="I38" s="192" t="str">
        <f>CONCATENATE('3 pr-2'!J38)</f>
        <v>-</v>
      </c>
      <c r="J38" s="193">
        <f>SUM('3 pr-2'!L38)</f>
        <v>673878</v>
      </c>
      <c r="K38" s="194">
        <f>SUM('3 pr-2'!O38)</f>
        <v>50541</v>
      </c>
      <c r="L38" s="194">
        <f>SUM('3 pr-2'!R38)</f>
        <v>50540.84</v>
      </c>
      <c r="M38" s="194">
        <f>SUM('3 pr-2'!U38)</f>
        <v>0</v>
      </c>
      <c r="N38" s="194">
        <f>SUM('3 pr-2'!X38)</f>
        <v>0</v>
      </c>
      <c r="O38" s="195">
        <f>SUM('3 pr-2'!AA38)</f>
        <v>572796.16000000003</v>
      </c>
      <c r="P38" s="638">
        <f>SUM('3 pr-2'!AF38)</f>
        <v>43038</v>
      </c>
      <c r="Q38" s="264">
        <v>43038</v>
      </c>
      <c r="R38" s="191">
        <f t="shared" si="3"/>
        <v>0</v>
      </c>
      <c r="S38" s="257">
        <f>SUM(P38-Q38)/30.1667</f>
        <v>0</v>
      </c>
    </row>
    <row r="39" spans="1:19" ht="30" customHeight="1" thickBot="1" x14ac:dyDescent="0.3">
      <c r="A39" s="317" t="str">
        <f>CONCATENATE('3 pr-2'!A39)</f>
        <v>1.1.1.3</v>
      </c>
      <c r="B39" s="489"/>
      <c r="C39" s="1890" t="str">
        <f>CONCATENATE('3 pr-2'!B39)</f>
        <v>Priemonė:
Varėnos miesto kompleksinė plėtra</v>
      </c>
      <c r="D39" s="2031" t="str">
        <f>CONCATENATE('3 pr-2'!E39)</f>
        <v/>
      </c>
      <c r="E39" s="2031" t="str">
        <f>CONCATENATE('3 pr-2'!F39)</f>
        <v/>
      </c>
      <c r="F39" s="2031" t="str">
        <f>CONCATENATE('3 pr-2'!G39)</f>
        <v/>
      </c>
      <c r="G39" s="2031" t="str">
        <f>CONCATENATE('3 pr-2'!H39)</f>
        <v/>
      </c>
      <c r="H39" s="2031" t="str">
        <f>CONCATENATE('3 pr-2'!I39)</f>
        <v/>
      </c>
      <c r="I39" s="2031" t="str">
        <f>CONCATENATE('3 pr-2'!J39)</f>
        <v/>
      </c>
      <c r="J39" s="490">
        <f>SUM('3 pr-2'!L39)</f>
        <v>4358551.91</v>
      </c>
      <c r="K39" s="490">
        <f>SUM('3 pr-2'!O39)</f>
        <v>297094.61</v>
      </c>
      <c r="L39" s="490">
        <f>SUM('3 pr-2'!R39)</f>
        <v>364155.41000000003</v>
      </c>
      <c r="M39" s="490">
        <f>SUM('3 pr-2'!U39)</f>
        <v>0</v>
      </c>
      <c r="N39" s="490">
        <f>SUM('3 pr-2'!X39)</f>
        <v>0</v>
      </c>
      <c r="O39" s="491">
        <f>SUM('3 pr-2'!AA39)</f>
        <v>3697301.8899999997</v>
      </c>
      <c r="P39" s="492" t="s">
        <v>690</v>
      </c>
      <c r="Q39" s="493" t="s">
        <v>690</v>
      </c>
      <c r="R39" s="494" t="s">
        <v>690</v>
      </c>
      <c r="S39" s="494"/>
    </row>
    <row r="40" spans="1:19" ht="49.5" thickBot="1" x14ac:dyDescent="0.3">
      <c r="A40" s="181" t="str">
        <f>CONCATENATE('3 pr-2'!A40)</f>
        <v>1.1.1.3.1</v>
      </c>
      <c r="B40" s="247" t="str">
        <f>CONCATENATE('ketv. 2'!B39)</f>
        <v>07.1.1-CPVA-R-905-11-0001</v>
      </c>
      <c r="C40" s="182" t="str">
        <f>CONCATENATE('3 pr-2'!D40)</f>
        <v>Varėnos miesto centrinės dalies modernizavimas ir pritaikymas visuomenės poreikiams (I etapas)</v>
      </c>
      <c r="D40" s="182" t="str">
        <f>CONCATENATE('3 pr-2'!E40)</f>
        <v>Varėnos rajono savivaldybės administracija</v>
      </c>
      <c r="E40" s="182" t="str">
        <f>CONCATENATE('3 pr-2'!F40)</f>
        <v>Lietuvos Respublikos vidaus reikalų ministerija</v>
      </c>
      <c r="F40" s="182" t="str">
        <f>CONCATENATE('3 pr-2'!G40)</f>
        <v>Varėnos r. sav.</v>
      </c>
      <c r="G40" s="182" t="str">
        <f>CONCATENATE('3 pr-2'!H40)</f>
        <v xml:space="preserve">07.1.1-CPVA-R-905 </v>
      </c>
      <c r="H40" s="182" t="str">
        <f>CONCATENATE('3 pr-2'!I40)</f>
        <v>R</v>
      </c>
      <c r="I40" s="192" t="str">
        <f>CONCATENATE('3 pr-2'!J40)</f>
        <v>ITI</v>
      </c>
      <c r="J40" s="193">
        <f>SUM('3 pr-2'!L40)</f>
        <v>1516932.01</v>
      </c>
      <c r="K40" s="194">
        <f>SUM('3 pr-2'!O40)</f>
        <v>75846.61</v>
      </c>
      <c r="L40" s="194">
        <f>SUM('3 pr-2'!R40)</f>
        <v>151693.20000000001</v>
      </c>
      <c r="M40" s="194">
        <f>SUM('3 pr-2'!U40)</f>
        <v>0</v>
      </c>
      <c r="N40" s="194">
        <f>SUM('3 pr-2'!X40)</f>
        <v>0</v>
      </c>
      <c r="O40" s="195">
        <f>SUM('3 pr-2'!AA40)</f>
        <v>1289392.2</v>
      </c>
      <c r="P40" s="213">
        <f>SUM('3 pr-2'!AF40)</f>
        <v>43108</v>
      </c>
      <c r="Q40" s="262">
        <v>42395</v>
      </c>
      <c r="R40" s="191">
        <f t="shared" ref="R40:R43" si="4">SUM(P40-Q40)</f>
        <v>713</v>
      </c>
      <c r="S40" s="257">
        <f>SUM(P40-Q40)/30.1667</f>
        <v>23.635332999632045</v>
      </c>
    </row>
    <row r="41" spans="1:19" ht="49.5" thickBot="1" x14ac:dyDescent="0.3">
      <c r="A41" s="181" t="str">
        <f>CONCATENATE('3 pr-2'!A41)</f>
        <v>1.1.1.3.2</v>
      </c>
      <c r="B41" s="247" t="str">
        <f>CONCATENATE('ketv. 2'!B40)</f>
        <v>07.1.1-CPVA-R-905-11-0002</v>
      </c>
      <c r="C41" s="182" t="str">
        <f>CONCATENATE('3 pr-2'!D41)</f>
        <v>Varėnos miesto centrinės dalies modernizavimas ir pritaikymas visuomenės poreikiams (II etapas)</v>
      </c>
      <c r="D41" s="182" t="str">
        <f>CONCATENATE('3 pr-2'!E41)</f>
        <v>Varėnos rajono savivaldybės administracija</v>
      </c>
      <c r="E41" s="182" t="str">
        <f>CONCATENATE('3 pr-2'!F41)</f>
        <v>Lietuvos Respublikos vidaus reikalų ministerija</v>
      </c>
      <c r="F41" s="182" t="str">
        <f>CONCATENATE('3 pr-2'!G41)</f>
        <v>Varėnos r. sav.</v>
      </c>
      <c r="G41" s="182" t="str">
        <f>CONCATENATE('3 pr-2'!H41)</f>
        <v xml:space="preserve">07.1.1-CPVA-R-905 </v>
      </c>
      <c r="H41" s="182" t="str">
        <f>CONCATENATE('3 pr-2'!I41)</f>
        <v>R</v>
      </c>
      <c r="I41" s="192" t="str">
        <f>CONCATENATE('3 pr-2'!J41)</f>
        <v>ITI</v>
      </c>
      <c r="J41" s="193">
        <f>SUM('3 pr-2'!L41)</f>
        <v>1004000.8999999999</v>
      </c>
      <c r="K41" s="194">
        <f>SUM('3 pr-2'!O41)</f>
        <v>83426</v>
      </c>
      <c r="L41" s="194">
        <f>SUM('3 pr-2'!R41)</f>
        <v>74641.210000000006</v>
      </c>
      <c r="M41" s="194">
        <f>SUM('3 pr-2'!U41)</f>
        <v>0</v>
      </c>
      <c r="N41" s="194">
        <f>SUM('3 pr-2'!X41)</f>
        <v>0</v>
      </c>
      <c r="O41" s="195">
        <f>SUM('3 pr-2'!AA41)</f>
        <v>845933.69</v>
      </c>
      <c r="P41" s="213">
        <f>SUM('3 pr-2'!AF41)</f>
        <v>43108</v>
      </c>
      <c r="Q41" s="262">
        <v>42653</v>
      </c>
      <c r="R41" s="191">
        <f t="shared" si="4"/>
        <v>455</v>
      </c>
      <c r="S41" s="257">
        <f>SUM(P41-Q41)/30.1667</f>
        <v>15.08285626203728</v>
      </c>
    </row>
    <row r="42" spans="1:19" ht="49.5" thickBot="1" x14ac:dyDescent="0.3">
      <c r="A42" s="181" t="str">
        <f>CONCATENATE('3 pr-2'!A42)</f>
        <v>1.1.1.3.3</v>
      </c>
      <c r="B42" s="247" t="str">
        <f>CONCATENATE('ketv. 2'!B41)</f>
        <v>07.1.1-CPVA-R-905-11-0004</v>
      </c>
      <c r="C42" s="182" t="str">
        <f>CONCATENATE('3 pr-2'!D42)</f>
        <v xml:space="preserve">Varėnos miesto Dainų slėnio infrastruktūros atnaujinimas ir pritaikymas visuomenės poreikiams </v>
      </c>
      <c r="D42" s="182" t="str">
        <f>CONCATENATE('3 pr-2'!E42)</f>
        <v>Varėnos rajono savivaldybės administracija</v>
      </c>
      <c r="E42" s="182" t="str">
        <f>CONCATENATE('3 pr-2'!F42)</f>
        <v>Lietuvos Respublikos vidaus reikalų ministerija</v>
      </c>
      <c r="F42" s="182" t="str">
        <f>CONCATENATE('3 pr-2'!G42)</f>
        <v>Varėnos r. sav.</v>
      </c>
      <c r="G42" s="182" t="str">
        <f>CONCATENATE('3 pr-2'!H42)</f>
        <v xml:space="preserve">07.1.1-CPVA-R-905 </v>
      </c>
      <c r="H42" s="182" t="str">
        <f>CONCATENATE('3 pr-2'!I42)</f>
        <v>R</v>
      </c>
      <c r="I42" s="192" t="str">
        <f>CONCATENATE('3 pr-2'!J42)</f>
        <v>ITI</v>
      </c>
      <c r="J42" s="193">
        <f>SUM('3 pr-2'!L42)</f>
        <v>630000</v>
      </c>
      <c r="K42" s="194">
        <f>SUM('3 pr-2'!O42)</f>
        <v>47250</v>
      </c>
      <c r="L42" s="194">
        <f>SUM('3 pr-2'!R42)</f>
        <v>47250</v>
      </c>
      <c r="M42" s="194">
        <f>SUM('3 pr-2'!U42)</f>
        <v>0</v>
      </c>
      <c r="N42" s="194">
        <f>SUM('3 pr-2'!X42)</f>
        <v>0</v>
      </c>
      <c r="O42" s="195">
        <f>SUM('3 pr-2'!AA42)</f>
        <v>535500</v>
      </c>
      <c r="P42" s="213">
        <f>SUM('3 pr-2'!AF42)</f>
        <v>43108</v>
      </c>
      <c r="Q42" s="262">
        <v>43108</v>
      </c>
      <c r="R42" s="191">
        <f>IF(Q42&gt;0,P42-Q42,0)</f>
        <v>0</v>
      </c>
      <c r="S42" s="257">
        <f>IF(Q42&gt;0,(P42-Q42)/30.1667,0)</f>
        <v>0</v>
      </c>
    </row>
    <row r="43" spans="1:19" ht="49.5" thickBot="1" x14ac:dyDescent="0.3">
      <c r="A43" s="181" t="str">
        <f>CONCATENATE('3 pr-2'!A43)</f>
        <v>1.1.1.3.4</v>
      </c>
      <c r="B43" s="247" t="str">
        <f>CONCATENATE('ketv. 2'!B42)</f>
        <v>07.1.1-CPVA-R-905-11-0003</v>
      </c>
      <c r="C43" s="182" t="str">
        <f>CONCATENATE('3 pr-2'!D43)</f>
        <v>Karloniškės ežero ir jo prieigų sutvarkymas ir pritaikymas aktyviam poilsiui</v>
      </c>
      <c r="D43" s="182" t="str">
        <f>CONCATENATE('3 pr-2'!E43)</f>
        <v>Varėnos rajono savivaldybės administracija</v>
      </c>
      <c r="E43" s="182" t="str">
        <f>CONCATENATE('3 pr-2'!F43)</f>
        <v>Lietuvos Respublikos vidaus reikalų ministerija</v>
      </c>
      <c r="F43" s="182" t="str">
        <f>CONCATENATE('3 pr-2'!G43)</f>
        <v>Varėnos r. sav.</v>
      </c>
      <c r="G43" s="182" t="str">
        <f>CONCATENATE('3 pr-2'!H43)</f>
        <v xml:space="preserve">07.1.1-CPVA-R-905 </v>
      </c>
      <c r="H43" s="182" t="str">
        <f>CONCATENATE('3 pr-2'!I43)</f>
        <v>R</v>
      </c>
      <c r="I43" s="192" t="str">
        <f>CONCATENATE('3 pr-2'!J43)</f>
        <v>ITI</v>
      </c>
      <c r="J43" s="193">
        <f>SUM('3 pr-2'!L43)</f>
        <v>757246</v>
      </c>
      <c r="K43" s="194">
        <f>SUM('3 pr-2'!O43)</f>
        <v>56794</v>
      </c>
      <c r="L43" s="194">
        <f>SUM('3 pr-2'!R43)</f>
        <v>56793</v>
      </c>
      <c r="M43" s="194">
        <f>SUM('3 pr-2'!U43)</f>
        <v>0</v>
      </c>
      <c r="N43" s="194">
        <f>SUM('3 pr-2'!X43)</f>
        <v>0</v>
      </c>
      <c r="O43" s="195">
        <f>SUM('3 pr-2'!AA43)</f>
        <v>643659</v>
      </c>
      <c r="P43" s="213">
        <f>SUM('3 pr-2'!AF43)</f>
        <v>43108</v>
      </c>
      <c r="Q43" s="262">
        <v>42870</v>
      </c>
      <c r="R43" s="191">
        <f t="shared" si="4"/>
        <v>238</v>
      </c>
      <c r="S43" s="257">
        <f>SUM(P43-Q43)/30.1667</f>
        <v>7.8894940447579618</v>
      </c>
    </row>
    <row r="44" spans="1:19" ht="49.5" thickBot="1" x14ac:dyDescent="0.3">
      <c r="A44" s="181" t="str">
        <f>CONCATENATE('3 pr-2'!A44)</f>
        <v>1.1.1.3.5</v>
      </c>
      <c r="B44" s="247" t="str">
        <f>CONCATENATE('ketv. 2'!B43)</f>
        <v>07.1.1-CPVA-R-905-11-0005</v>
      </c>
      <c r="C44" s="182" t="str">
        <f>CONCATENATE('3 pr-2'!D44)</f>
        <v xml:space="preserve">Nenaudojamų teritorijų Varėnos mieste sutvarkymas ir pritaikymas verslui </v>
      </c>
      <c r="D44" s="182" t="str">
        <f>CONCATENATE('3 pr-2'!E44)</f>
        <v>Varėnos rajono savivaldybės administracija</v>
      </c>
      <c r="E44" s="182" t="str">
        <f>CONCATENATE('3 pr-2'!F44)</f>
        <v>Lietuvos Respublikos vidaus reikalų ministerija</v>
      </c>
      <c r="F44" s="182" t="str">
        <f>CONCATENATE('3 pr-2'!G44)</f>
        <v>Varėnos r. sav.</v>
      </c>
      <c r="G44" s="182" t="str">
        <f>CONCATENATE('3 pr-2'!H44)</f>
        <v xml:space="preserve">07.1.1-CPVA-R-905 </v>
      </c>
      <c r="H44" s="182" t="str">
        <f>CONCATENATE('3 pr-2'!I44)</f>
        <v>R</v>
      </c>
      <c r="I44" s="192" t="str">
        <f>CONCATENATE('3 pr-2'!J44)</f>
        <v>ITI</v>
      </c>
      <c r="J44" s="193">
        <f>SUM('3 pr-2'!L44)</f>
        <v>150000</v>
      </c>
      <c r="K44" s="194">
        <f>SUM('3 pr-2'!O44)</f>
        <v>11250</v>
      </c>
      <c r="L44" s="194">
        <f>SUM('3 pr-2'!R44)</f>
        <v>11250</v>
      </c>
      <c r="M44" s="194">
        <f>SUM('3 pr-2'!U44)</f>
        <v>0</v>
      </c>
      <c r="N44" s="194">
        <f>SUM('3 pr-2'!X44)</f>
        <v>0</v>
      </c>
      <c r="O44" s="195">
        <f>SUM('3 pr-2'!AA44)</f>
        <v>127500</v>
      </c>
      <c r="P44" s="213">
        <f>SUM('3 pr-2'!AF44)</f>
        <v>43108</v>
      </c>
      <c r="Q44" s="262">
        <v>43206</v>
      </c>
      <c r="R44" s="191">
        <f>IF(Q44&gt;0,P44-Q44,0)</f>
        <v>-98</v>
      </c>
      <c r="S44" s="257">
        <f>IF(Q44&gt;0,(P44-Q44)/30.1667,0)</f>
        <v>-3.2486151949003372</v>
      </c>
    </row>
    <row r="45" spans="1:19" ht="49.5" thickBot="1" x14ac:dyDescent="0.3">
      <c r="A45" s="181" t="str">
        <f>CONCATENATE('3 pr-2'!A45)</f>
        <v>1.1.1.3.6</v>
      </c>
      <c r="B45" s="247" t="str">
        <f>CONCATENATE('ketv. 2'!B44)</f>
        <v>07.1.1-CPVA-R-905-11-0006</v>
      </c>
      <c r="C45" s="182" t="str">
        <f>CONCATENATE('3 pr-2'!D45)</f>
        <v xml:space="preserve">Teritorijų prie daugiabučių gyvenamųjų pastatų Varėnos mieste sutvarkymas ir pritaikymas visuomenės poreikiams  </v>
      </c>
      <c r="D45" s="182" t="str">
        <f>CONCATENATE('3 pr-2'!E45)</f>
        <v>Varėnos rajono savivaldybės administracija</v>
      </c>
      <c r="E45" s="182" t="str">
        <f>CONCATENATE('3 pr-2'!F45)</f>
        <v>Lietuvos Respublikos vidaus reikalų ministerija</v>
      </c>
      <c r="F45" s="182" t="str">
        <f>CONCATENATE('3 pr-2'!G45)</f>
        <v>Varėnos r. sav.</v>
      </c>
      <c r="G45" s="182" t="str">
        <f>CONCATENATE('3 pr-2'!H45)</f>
        <v xml:space="preserve">07.1.1-CPVA-R-905 </v>
      </c>
      <c r="H45" s="182" t="str">
        <f>CONCATENATE('3 pr-2'!I45)</f>
        <v>R</v>
      </c>
      <c r="I45" s="192" t="str">
        <f>CONCATENATE('3 pr-2'!J45)</f>
        <v>ITI</v>
      </c>
      <c r="J45" s="193">
        <f>SUM('3 pr-2'!L45)</f>
        <v>300373</v>
      </c>
      <c r="K45" s="194">
        <f>SUM('3 pr-2'!O45)</f>
        <v>22528</v>
      </c>
      <c r="L45" s="194">
        <f>SUM('3 pr-2'!R45)</f>
        <v>22528</v>
      </c>
      <c r="M45" s="194">
        <f>SUM('3 pr-2'!U45)</f>
        <v>0</v>
      </c>
      <c r="N45" s="194">
        <f>SUM('3 pr-2'!X45)</f>
        <v>0</v>
      </c>
      <c r="O45" s="195">
        <f>SUM('3 pr-2'!AA45)</f>
        <v>255317</v>
      </c>
      <c r="P45" s="548">
        <f>SUM('3 pr-2'!AF45)</f>
        <v>43108</v>
      </c>
      <c r="Q45" s="262">
        <v>43206</v>
      </c>
      <c r="R45" s="191">
        <f>IF(Q45&gt;0,P45-Q45,0)</f>
        <v>-98</v>
      </c>
      <c r="S45" s="257">
        <f>IF(Q45&gt;0,(P45-Q45)/30.1667,0)</f>
        <v>-3.2486151949003372</v>
      </c>
    </row>
    <row r="46" spans="1:19" ht="31.5" customHeight="1" thickBot="1" x14ac:dyDescent="0.3">
      <c r="A46" s="317" t="str">
        <f>CONCATENATE('3 pr-2'!A46)</f>
        <v>1.1.1.4</v>
      </c>
      <c r="B46" s="489"/>
      <c r="C46" s="1890" t="str">
        <f>CONCATENATE('3 pr-2'!B46)</f>
        <v xml:space="preserve">Priemonė:
Alytaus, Druskininkų ir Lazdijų miestų kompleksinė plėtra
</v>
      </c>
      <c r="D46" s="2031" t="str">
        <f>CONCATENATE('3 pr-2'!E46)</f>
        <v/>
      </c>
      <c r="E46" s="2031" t="str">
        <f>CONCATENATE('3 pr-2'!F46)</f>
        <v/>
      </c>
      <c r="F46" s="2031" t="str">
        <f>CONCATENATE('3 pr-2'!G46)</f>
        <v/>
      </c>
      <c r="G46" s="2031" t="str">
        <f>CONCATENATE('3 pr-2'!H46)</f>
        <v/>
      </c>
      <c r="H46" s="2031" t="str">
        <f>CONCATENATE('3 pr-2'!I46)</f>
        <v/>
      </c>
      <c r="I46" s="2031" t="str">
        <f>CONCATENATE('3 pr-2'!J46)</f>
        <v/>
      </c>
      <c r="J46" s="490">
        <f>SUM('3 pr-2'!L46)</f>
        <v>2112023.5699999998</v>
      </c>
      <c r="K46" s="490">
        <f>SUM('3 pr-2'!O46)</f>
        <v>289057.98</v>
      </c>
      <c r="L46" s="490">
        <f>SUM('3 pr-2'!R46)</f>
        <v>147808.01999999999</v>
      </c>
      <c r="M46" s="490">
        <f>SUM('3 pr-2'!U46)</f>
        <v>0</v>
      </c>
      <c r="N46" s="490">
        <f>SUM('3 pr-2'!X46)</f>
        <v>0</v>
      </c>
      <c r="O46" s="491">
        <f>SUM('3 pr-2'!AA46)</f>
        <v>1675157.5699999998</v>
      </c>
      <c r="P46" s="492" t="s">
        <v>690</v>
      </c>
      <c r="Q46" s="493" t="s">
        <v>690</v>
      </c>
      <c r="R46" s="494" t="s">
        <v>690</v>
      </c>
      <c r="S46" s="494"/>
    </row>
    <row r="47" spans="1:19" ht="49.5" thickBot="1" x14ac:dyDescent="0.3">
      <c r="A47" s="181" t="str">
        <f>CONCATENATE('3 pr-2'!A47)</f>
        <v>1.1.1.4.1</v>
      </c>
      <c r="B47" s="247" t="str">
        <f>CONCATENATE('ketv. 2'!B46)</f>
        <v>07.1.1-CPVA-V-902-01-0008</v>
      </c>
      <c r="C47" s="182" t="str">
        <f>CONCATENATE('3 pr-2'!D47)</f>
        <v>Buvusios pramoninės teritorijos Pramonės g. 1 Alytuje, pritaikymas verslo vystymui ir plėtrai.</v>
      </c>
      <c r="D47" s="182" t="str">
        <f>CONCATENATE('3 pr-2'!E47)</f>
        <v>Alytaus miesto savivaldybės administracija</v>
      </c>
      <c r="E47" s="182" t="str">
        <f>CONCATENATE('3 pr-2'!F47)</f>
        <v>Lietuvos Respublikos vidaus reikalų ministerija</v>
      </c>
      <c r="F47" s="182" t="str">
        <f>CONCATENATE('3 pr-2'!G47)</f>
        <v>Alytaus m. sav.</v>
      </c>
      <c r="G47" s="182" t="str">
        <f>CONCATENATE('3 pr-2'!H47)</f>
        <v>07.1.1-CPVA-V-902</v>
      </c>
      <c r="H47" s="182" t="str">
        <f>CONCATENATE('3 pr-2'!I47)</f>
        <v>V</v>
      </c>
      <c r="I47" s="192" t="str">
        <f>CONCATENATE('3 pr-2'!J47)</f>
        <v>ITI</v>
      </c>
      <c r="J47" s="193">
        <f>SUM('3 pr-2'!L47)</f>
        <v>1293732.5699999998</v>
      </c>
      <c r="K47" s="194">
        <f>SUM('3 pr-2'!O47)</f>
        <v>97029.95</v>
      </c>
      <c r="L47" s="194">
        <f>SUM('3 pr-2'!R47)</f>
        <v>97029.94</v>
      </c>
      <c r="M47" s="194">
        <f>SUM('3 pr-2'!U47)</f>
        <v>0</v>
      </c>
      <c r="N47" s="194">
        <f>SUM('3 pr-2'!X47)</f>
        <v>0</v>
      </c>
      <c r="O47" s="195">
        <f>SUM('3 pr-2'!AA47)</f>
        <v>1099672.68</v>
      </c>
      <c r="P47" s="213">
        <f>SUM('3 pr-2'!AF47)</f>
        <v>42246</v>
      </c>
      <c r="Q47" s="263">
        <v>42246</v>
      </c>
      <c r="R47" s="191">
        <f t="shared" ref="R47:R49" si="5">SUM(P47-Q47)</f>
        <v>0</v>
      </c>
      <c r="S47" s="257">
        <f>SUM(P47-Q47)/30.1667</f>
        <v>0</v>
      </c>
    </row>
    <row r="48" spans="1:19" ht="49.5" thickBot="1" x14ac:dyDescent="0.3">
      <c r="A48" s="181" t="str">
        <f>CONCATENATE('3 pr-2'!A48)</f>
        <v>1.1.1.4.2</v>
      </c>
      <c r="B48" s="247" t="str">
        <f>CONCATENATE('ketv. 2'!B47)</f>
        <v>07.1.1-CPVA-R-903-11-0001</v>
      </c>
      <c r="C48" s="182" t="str">
        <f>CONCATENATE('3 pr-2'!D48)</f>
        <v>Amatų centro „Menų kalvė“ Druskininkuose įkūrimas</v>
      </c>
      <c r="D48" s="182" t="str">
        <f>CONCATENATE('3 pr-2'!E48)</f>
        <v xml:space="preserve">Druskininkų savivaldybės administracija  </v>
      </c>
      <c r="E48" s="182" t="str">
        <f>CONCATENATE('3 pr-2'!F48)</f>
        <v>Lietuvos Respublikos vidaus reikalų ministerija</v>
      </c>
      <c r="F48" s="182" t="str">
        <f>CONCATENATE('3 pr-2'!G48)</f>
        <v>Druskininkų sav.</v>
      </c>
      <c r="G48" s="182" t="str">
        <f>CONCATENATE('3 pr-2'!H48)</f>
        <v>07.1.1-CPVA-R-903</v>
      </c>
      <c r="H48" s="182" t="str">
        <f>CONCATENATE('3 pr-2'!I48)</f>
        <v>R</v>
      </c>
      <c r="I48" s="192" t="str">
        <f>CONCATENATE('3 pr-2'!J48)</f>
        <v>ITI</v>
      </c>
      <c r="J48" s="193">
        <f>SUM('3 pr-2'!L48)</f>
        <v>474784</v>
      </c>
      <c r="K48" s="194">
        <f>SUM('3 pr-2'!O48)</f>
        <v>166265</v>
      </c>
      <c r="L48" s="194">
        <f>SUM('3 pr-2'!R48)</f>
        <v>25015.06</v>
      </c>
      <c r="M48" s="194">
        <f>SUM('3 pr-2'!U48)</f>
        <v>0</v>
      </c>
      <c r="N48" s="194">
        <f>SUM('3 pr-2'!X48)</f>
        <v>0</v>
      </c>
      <c r="O48" s="195">
        <f>SUM('3 pr-2'!AA48)</f>
        <v>283503.94</v>
      </c>
      <c r="P48" s="213">
        <f>SUM('3 pr-2'!AF48)</f>
        <v>42419</v>
      </c>
      <c r="Q48" s="263">
        <v>42418</v>
      </c>
      <c r="R48" s="191">
        <f t="shared" si="5"/>
        <v>1</v>
      </c>
      <c r="S48" s="257">
        <f>SUM(P48-Q48)/30.1667</f>
        <v>3.3149134641840175E-2</v>
      </c>
    </row>
    <row r="49" spans="1:19" ht="49.5" thickBot="1" x14ac:dyDescent="0.3">
      <c r="A49" s="181" t="str">
        <f>CONCATENATE('3 pr-2'!A49)</f>
        <v>1.1.1.4.3</v>
      </c>
      <c r="B49" s="247" t="str">
        <f>CONCATENATE('ketv. 2'!B48)</f>
        <v>07.1.1-CPVA-R-903-11-0002</v>
      </c>
      <c r="C49" s="182" t="str">
        <f>CONCATENATE('3 pr-2'!D49)</f>
        <v>Lazdijų miesto kompleksinė infrastruktūros plėtra, III etapas</v>
      </c>
      <c r="D49" s="182" t="str">
        <f>CONCATENATE('3 pr-2'!E49)</f>
        <v>Lazdijų rajono savivaldybės administracija</v>
      </c>
      <c r="E49" s="182" t="str">
        <f>CONCATENATE('3 pr-2'!F49)</f>
        <v>Lietuvos Respublikos vidaus reikalų ministerija</v>
      </c>
      <c r="F49" s="182" t="str">
        <f>CONCATENATE('3 pr-2'!G49)</f>
        <v>Lazdijų r. sav.</v>
      </c>
      <c r="G49" s="182" t="str">
        <f>CONCATENATE('3 pr-2'!H49)</f>
        <v>07.1.1-CPVA-R-903</v>
      </c>
      <c r="H49" s="182" t="str">
        <f>CONCATENATE('3 pr-2'!I49)</f>
        <v>R</v>
      </c>
      <c r="I49" s="192" t="str">
        <f>CONCATENATE('3 pr-2'!J49)</f>
        <v>ITI</v>
      </c>
      <c r="J49" s="193">
        <f>SUM('3 pr-2'!L49)</f>
        <v>343507</v>
      </c>
      <c r="K49" s="194">
        <f>SUM('3 pr-2'!O49)</f>
        <v>25763.03</v>
      </c>
      <c r="L49" s="194">
        <f>SUM('3 pr-2'!R49)</f>
        <v>25763.02</v>
      </c>
      <c r="M49" s="194">
        <f>SUM('3 pr-2'!U49)</f>
        <v>0</v>
      </c>
      <c r="N49" s="194">
        <f>SUM('3 pr-2'!X49)</f>
        <v>0</v>
      </c>
      <c r="O49" s="195">
        <f>SUM('3 pr-2'!AA49)</f>
        <v>291980.95</v>
      </c>
      <c r="P49" s="213">
        <f>SUM('3 pr-2'!AF49)</f>
        <v>42419</v>
      </c>
      <c r="Q49" s="263">
        <v>42418</v>
      </c>
      <c r="R49" s="191">
        <f t="shared" si="5"/>
        <v>1</v>
      </c>
      <c r="S49" s="257">
        <f>SUM(P49-Q49)/30.1667</f>
        <v>3.3149134641840175E-2</v>
      </c>
    </row>
    <row r="50" spans="1:19" ht="36" customHeight="1" thickBot="1" x14ac:dyDescent="0.3">
      <c r="A50" s="317" t="str">
        <f>CONCATENATE('3 pr-2'!A50)</f>
        <v>1.1.1.5</v>
      </c>
      <c r="B50" s="489"/>
      <c r="C50" s="1890" t="str">
        <f>CONCATENATE('3 pr-2'!B50)</f>
        <v xml:space="preserve">Priemonė:
Geriamojo vandens tiekimo ir nuotekų tvarkymo sistemų renovavimas ir plėtra, įmonių valdymo tobulinimas </v>
      </c>
      <c r="D50" s="2031" t="str">
        <f>CONCATENATE('3 pr-2'!E50)</f>
        <v/>
      </c>
      <c r="E50" s="2031" t="str">
        <f>CONCATENATE('3 pr-2'!F50)</f>
        <v/>
      </c>
      <c r="F50" s="2031" t="str">
        <f>CONCATENATE('3 pr-2'!G50)</f>
        <v/>
      </c>
      <c r="G50" s="2031" t="str">
        <f>CONCATENATE('3 pr-2'!H50)</f>
        <v/>
      </c>
      <c r="H50" s="2031" t="str">
        <f>CONCATENATE('3 pr-2'!I50)</f>
        <v/>
      </c>
      <c r="I50" s="2031" t="str">
        <f>CONCATENATE('3 pr-2'!J50)</f>
        <v/>
      </c>
      <c r="J50" s="490">
        <f>SUM('3 pr-2'!L50)</f>
        <v>16378428.970000001</v>
      </c>
      <c r="K50" s="490">
        <f>SUM('3 pr-2'!O50)</f>
        <v>0</v>
      </c>
      <c r="L50" s="490">
        <f>SUM('3 pr-2'!R50)</f>
        <v>0</v>
      </c>
      <c r="M50" s="490">
        <f>SUM('3 pr-2'!U50)</f>
        <v>7458036.4000000004</v>
      </c>
      <c r="N50" s="490">
        <f>SUM('3 pr-2'!X50)</f>
        <v>0</v>
      </c>
      <c r="O50" s="491">
        <f>SUM('3 pr-2'!AA50)</f>
        <v>8920392.5700000003</v>
      </c>
      <c r="P50" s="492"/>
      <c r="Q50" s="493"/>
      <c r="R50" s="494"/>
      <c r="S50" s="494"/>
    </row>
    <row r="51" spans="1:19" ht="49.5" thickBot="1" x14ac:dyDescent="0.3">
      <c r="A51" s="181" t="str">
        <f>CONCATENATE('3 pr-2'!A51)</f>
        <v>1.1.1.5.1</v>
      </c>
      <c r="B51" s="247" t="str">
        <f>CONCATENATE('ketv. 2'!B50)</f>
        <v>05.3.2-APVA-R-014-11-0001</v>
      </c>
      <c r="C51" s="182" t="str">
        <f>CONCATENATE('3 pr-2'!D51)</f>
        <v>Geriamojo vandens tiekimo ir nuotekų tvarkymo sistemų renovavimas ir plėtra Varėnos rajone</v>
      </c>
      <c r="D51" s="182" t="str">
        <f>CONCATENATE('3 pr-2'!E51)</f>
        <v>UAB „Varėnos vandenys“</v>
      </c>
      <c r="E51" s="182" t="str">
        <f>CONCATENATE('3 pr-2'!F51)</f>
        <v>Lietuvos Respublikos aplinkos ministerija</v>
      </c>
      <c r="F51" s="182" t="str">
        <f>CONCATENATE('3 pr-2'!G51)</f>
        <v>Varėnos r. sav.</v>
      </c>
      <c r="G51" s="182" t="str">
        <f>CONCATENATE('3 pr-2'!H51)</f>
        <v>05.3.2-APVA-R-014</v>
      </c>
      <c r="H51" s="182" t="str">
        <f>CONCATENATE('3 pr-2'!I51)</f>
        <v>R</v>
      </c>
      <c r="I51" s="192" t="str">
        <f>CONCATENATE('3 pr-2'!J51)</f>
        <v>ITI</v>
      </c>
      <c r="J51" s="193">
        <f>SUM('3 pr-2'!L51)</f>
        <v>2477103.23</v>
      </c>
      <c r="K51" s="194">
        <f>SUM('3 pr-2'!O51)</f>
        <v>0</v>
      </c>
      <c r="L51" s="194">
        <f>SUM('3 pr-2'!R51)</f>
        <v>0</v>
      </c>
      <c r="M51" s="194">
        <f>SUM('3 pr-2'!U51)</f>
        <v>862874.97</v>
      </c>
      <c r="N51" s="194">
        <f>SUM('3 pr-2'!X51)</f>
        <v>0</v>
      </c>
      <c r="O51" s="195">
        <f>SUM('3 pr-2'!AA51)</f>
        <v>1614228.26</v>
      </c>
      <c r="P51" s="213">
        <f>SUM('3 pr-2'!AF51)</f>
        <v>42451</v>
      </c>
      <c r="Q51" s="263">
        <v>42451</v>
      </c>
      <c r="R51" s="191">
        <f t="shared" ref="R51:R55" si="6">SUM(P51-Q51)</f>
        <v>0</v>
      </c>
      <c r="S51" s="257">
        <f>(P51-Q51)/30.4166666666667</f>
        <v>0</v>
      </c>
    </row>
    <row r="52" spans="1:19" ht="49.5" thickBot="1" x14ac:dyDescent="0.3">
      <c r="A52" s="181" t="str">
        <f>CONCATENATE('3 pr-2'!A52)</f>
        <v>1.1.1.5.2.</v>
      </c>
      <c r="B52" s="247" t="str">
        <f>CONCATENATE('ketv. 2'!B51)</f>
        <v>05.3.2-APVA-R-014-11-0002</v>
      </c>
      <c r="C52" s="182" t="str">
        <f>CONCATENATE('3 pr-2'!D52)</f>
        <v>Geriamojo vandens ir nuotekų tvarkymo sistemų renovavimas Alytaus mieste</v>
      </c>
      <c r="D52" s="182" t="str">
        <f>CONCATENATE('3 pr-2'!E52)</f>
        <v>UAB “Dzūkijos vandenys“</v>
      </c>
      <c r="E52" s="182" t="str">
        <f>CONCATENATE('3 pr-2'!F52)</f>
        <v>Lietuvos Respublikos aplinkos ministerija</v>
      </c>
      <c r="F52" s="182" t="str">
        <f>CONCATENATE('3 pr-2'!G52)</f>
        <v>Alytaus m. sav.</v>
      </c>
      <c r="G52" s="182" t="str">
        <f>CONCATENATE('3 pr-2'!H52)</f>
        <v>05.3.2-APVA-R-014</v>
      </c>
      <c r="H52" s="182" t="str">
        <f>CONCATENATE('3 pr-2'!I52)</f>
        <v>R</v>
      </c>
      <c r="I52" s="192" t="str">
        <f>CONCATENATE('3 pr-2'!J52)</f>
        <v>ITI</v>
      </c>
      <c r="J52" s="193">
        <f>SUM('3 pr-2'!L52)</f>
        <v>5706088</v>
      </c>
      <c r="K52" s="194">
        <f>SUM('3 pr-2'!O52)</f>
        <v>0</v>
      </c>
      <c r="L52" s="194">
        <f>SUM('3 pr-2'!R52)</f>
        <v>0</v>
      </c>
      <c r="M52" s="194">
        <f>SUM('3 pr-2'!U52)</f>
        <v>3009103.69</v>
      </c>
      <c r="N52" s="194">
        <f>SUM('3 pr-2'!X52)</f>
        <v>0</v>
      </c>
      <c r="O52" s="195">
        <f>SUM('3 pr-2'!AA52)</f>
        <v>2696984.31</v>
      </c>
      <c r="P52" s="213">
        <f>SUM('3 pr-2'!AF52)</f>
        <v>42451</v>
      </c>
      <c r="Q52" s="263">
        <v>42451</v>
      </c>
      <c r="R52" s="191">
        <f t="shared" si="6"/>
        <v>0</v>
      </c>
      <c r="S52" s="257">
        <f>(P52-Q52)/30.4166666666667</f>
        <v>0</v>
      </c>
    </row>
    <row r="53" spans="1:19" ht="49.5" thickBot="1" x14ac:dyDescent="0.3">
      <c r="A53" s="181" t="str">
        <f>CONCATENATE('3 pr-2'!A53)</f>
        <v>1.1.1.5.3</v>
      </c>
      <c r="B53" s="247" t="str">
        <f>CONCATENATE('ketv. 2'!B52)</f>
        <v>05.3.2-APVA-R-014-11-0004</v>
      </c>
      <c r="C53" s="182" t="str">
        <f>CONCATENATE('3 pr-2'!D53)</f>
        <v>Geriamojo vandens tiekimo ir nuotekų tvarkymo sistemų renovavimas ir plėtra Lazdijų rajono savivaldybėje</v>
      </c>
      <c r="D53" s="182" t="str">
        <f>CONCATENATE('3 pr-2'!E53)</f>
        <v>UAB „Lazdijų vanduo“</v>
      </c>
      <c r="E53" s="182" t="str">
        <f>CONCATENATE('3 pr-2'!F53)</f>
        <v>Lietuvos Respublikos aplinkos ministerija</v>
      </c>
      <c r="F53" s="182" t="str">
        <f>CONCATENATE('3 pr-2'!G53)</f>
        <v>Lazdijų r. sav.</v>
      </c>
      <c r="G53" s="182" t="str">
        <f>CONCATENATE('3 pr-2'!H53)</f>
        <v>05.3.2-APVA-R-014</v>
      </c>
      <c r="H53" s="182" t="str">
        <f>CONCATENATE('3 pr-2'!I53)</f>
        <v>R</v>
      </c>
      <c r="I53" s="192" t="str">
        <f>CONCATENATE('3 pr-2'!J53)</f>
        <v>-</v>
      </c>
      <c r="J53" s="193">
        <f>SUM('3 pr-2'!L53)</f>
        <v>1437425.74</v>
      </c>
      <c r="K53" s="194">
        <f>SUM('3 pr-2'!O53)</f>
        <v>0</v>
      </c>
      <c r="L53" s="194">
        <f>SUM('3 pr-2'!R53)</f>
        <v>0</v>
      </c>
      <c r="M53" s="194">
        <f>SUM('3 pr-2'!U53)</f>
        <v>641323.74</v>
      </c>
      <c r="N53" s="194">
        <f>SUM('3 pr-2'!X53)</f>
        <v>0</v>
      </c>
      <c r="O53" s="195">
        <f>SUM('3 pr-2'!AA53)</f>
        <v>796102</v>
      </c>
      <c r="P53" s="213">
        <f>SUM('3 pr-2'!AF53)</f>
        <v>42451</v>
      </c>
      <c r="Q53" s="263">
        <v>42451</v>
      </c>
      <c r="R53" s="191">
        <f t="shared" si="6"/>
        <v>0</v>
      </c>
      <c r="S53" s="257">
        <f>(P53-Q53)/30.4166666666667</f>
        <v>0</v>
      </c>
    </row>
    <row r="54" spans="1:19" ht="49.5" thickBot="1" x14ac:dyDescent="0.3">
      <c r="A54" s="181" t="str">
        <f>CONCATENATE('3 pr-2'!A54)</f>
        <v>1.1.1.5.4.</v>
      </c>
      <c r="B54" s="247" t="str">
        <f>CONCATENATE('ketv. 2'!B53)</f>
        <v>05.3.2-APVA-R-014-11-0003</v>
      </c>
      <c r="C54" s="182" t="str">
        <f>CONCATENATE('3 pr-2'!D54)</f>
        <v>Vandens tiekimo ir nuotekų šalinimo infrastruktūros renovavimas ir plėtra Druskininkų savivaldybėje</v>
      </c>
      <c r="D54" s="182" t="str">
        <f>CONCATENATE('3 pr-2'!E54)</f>
        <v>UAB "Druskininkų vandenys"</v>
      </c>
      <c r="E54" s="182" t="str">
        <f>CONCATENATE('3 pr-2'!F54)</f>
        <v>Lietuvos Respublikos aplinkos ministerija</v>
      </c>
      <c r="F54" s="182" t="str">
        <f>CONCATENATE('3 pr-2'!G54)</f>
        <v>Druskininkų sav.</v>
      </c>
      <c r="G54" s="182" t="str">
        <f>CONCATENATE('3 pr-2'!H54)</f>
        <v>05.3.2-APVA-R-014</v>
      </c>
      <c r="H54" s="182" t="str">
        <f>CONCATENATE('3 pr-2'!I54)</f>
        <v>R</v>
      </c>
      <c r="I54" s="192" t="str">
        <f>CONCATENATE('3 pr-2'!J54)</f>
        <v>-</v>
      </c>
      <c r="J54" s="193">
        <f>SUM('3 pr-2'!L54)</f>
        <v>5186812</v>
      </c>
      <c r="K54" s="194">
        <f>SUM('3 pr-2'!O54)</f>
        <v>0</v>
      </c>
      <c r="L54" s="194">
        <f>SUM('3 pr-2'!R54)</f>
        <v>0</v>
      </c>
      <c r="M54" s="194">
        <f>SUM('3 pr-2'!U54)</f>
        <v>2294209</v>
      </c>
      <c r="N54" s="194">
        <f>SUM('3 pr-2'!X54)</f>
        <v>0</v>
      </c>
      <c r="O54" s="195">
        <f>SUM('3 pr-2'!AA54)</f>
        <v>2892603</v>
      </c>
      <c r="P54" s="213">
        <f>SUM('3 pr-2'!AF54)</f>
        <v>42451</v>
      </c>
      <c r="Q54" s="263">
        <v>42451</v>
      </c>
      <c r="R54" s="191">
        <f t="shared" si="6"/>
        <v>0</v>
      </c>
      <c r="S54" s="257">
        <f>(P54-Q54)/30.4166666666667</f>
        <v>0</v>
      </c>
    </row>
    <row r="55" spans="1:19" ht="49.5" thickBot="1" x14ac:dyDescent="0.3">
      <c r="A55" s="181" t="str">
        <f>CONCATENATE('3 pr-2'!A55)</f>
        <v>1.1.1.5.5.</v>
      </c>
      <c r="B55" s="247" t="str">
        <f>CONCATENATE('ketv. 2'!B54)</f>
        <v>05.3.2-APVA-R-014-11-0005</v>
      </c>
      <c r="C55" s="182" t="str">
        <f>CONCATENATE('3 pr-2'!D55)</f>
        <v>Vandens tiekimo ir nuotekų tvarkymo infrastruktūros plėtra Alytaus rajone (Krokialaukyje)</v>
      </c>
      <c r="D55" s="182" t="str">
        <f>CONCATENATE('3 pr-2'!E55)</f>
        <v>SĮ „Simno komunalininkas“</v>
      </c>
      <c r="E55" s="182" t="str">
        <f>CONCATENATE('3 pr-2'!F55)</f>
        <v>Lietuvos Respublikos aplinkos ministerija</v>
      </c>
      <c r="F55" s="182" t="str">
        <f>CONCATENATE('3 pr-2'!G55)</f>
        <v>Alytaus r. sav.</v>
      </c>
      <c r="G55" s="182" t="str">
        <f>CONCATENATE('3 pr-2'!H55)</f>
        <v>05.3.2-APVA-R-014</v>
      </c>
      <c r="H55" s="182" t="str">
        <f>CONCATENATE('3 pr-2'!I55)</f>
        <v>R</v>
      </c>
      <c r="I55" s="192" t="str">
        <f>CONCATENATE('3 pr-2'!J55)</f>
        <v>-</v>
      </c>
      <c r="J55" s="193">
        <f>SUM('3 pr-2'!L55)</f>
        <v>1571000</v>
      </c>
      <c r="K55" s="194">
        <f>SUM('3 pr-2'!O55)</f>
        <v>0</v>
      </c>
      <c r="L55" s="194">
        <f>SUM('3 pr-2'!R55)</f>
        <v>0</v>
      </c>
      <c r="M55" s="194">
        <f>SUM('3 pr-2'!U55)</f>
        <v>650525</v>
      </c>
      <c r="N55" s="194">
        <f>SUM('3 pr-2'!X55)</f>
        <v>0</v>
      </c>
      <c r="O55" s="195">
        <f>SUM('3 pr-2'!AA55)</f>
        <v>920475</v>
      </c>
      <c r="P55" s="213">
        <f>SUM('3 pr-2'!AF55)</f>
        <v>42451</v>
      </c>
      <c r="Q55" s="263">
        <v>42451</v>
      </c>
      <c r="R55" s="191">
        <f t="shared" si="6"/>
        <v>0</v>
      </c>
      <c r="S55" s="257">
        <f>(P55-Q55)/30.4166666666667</f>
        <v>0</v>
      </c>
    </row>
    <row r="56" spans="1:19" ht="33.75" customHeight="1" thickBot="1" x14ac:dyDescent="0.3">
      <c r="A56" s="317" t="str">
        <f>CONCATENATE('3 pr-2'!A56)</f>
        <v>1.1.1.6</v>
      </c>
      <c r="B56" s="489"/>
      <c r="C56" s="1890" t="str">
        <f>CONCATENATE('3 pr-2'!B56)</f>
        <v>Priemonė:
Paviršinių nuotekų sistemų tvarkymas</v>
      </c>
      <c r="D56" s="2031" t="str">
        <f>CONCATENATE('3 pr-2'!E56)</f>
        <v/>
      </c>
      <c r="E56" s="2031" t="str">
        <f>CONCATENATE('3 pr-2'!F56)</f>
        <v/>
      </c>
      <c r="F56" s="2031" t="str">
        <f>CONCATENATE('3 pr-2'!G56)</f>
        <v/>
      </c>
      <c r="G56" s="2031" t="str">
        <f>CONCATENATE('3 pr-2'!H56)</f>
        <v/>
      </c>
      <c r="H56" s="2031" t="str">
        <f>CONCATENATE('3 pr-2'!I56)</f>
        <v/>
      </c>
      <c r="I56" s="2031" t="str">
        <f>CONCATENATE('3 pr-2'!J56)</f>
        <v/>
      </c>
      <c r="J56" s="490">
        <f>SUM('3 pr-2'!L56)</f>
        <v>3999404.09</v>
      </c>
      <c r="K56" s="490">
        <f>SUM('3 pr-2'!O56)</f>
        <v>0</v>
      </c>
      <c r="L56" s="490">
        <f>SUM('3 pr-2'!R56)</f>
        <v>0</v>
      </c>
      <c r="M56" s="490">
        <f>SUM('3 pr-2'!U56)</f>
        <v>599910.61</v>
      </c>
      <c r="N56" s="490">
        <f>SUM('3 pr-2'!X56)</f>
        <v>0</v>
      </c>
      <c r="O56" s="491">
        <f>SUM('3 pr-2'!AA56)</f>
        <v>3399493.48</v>
      </c>
      <c r="P56" s="492"/>
      <c r="Q56" s="493"/>
      <c r="R56" s="494"/>
      <c r="S56" s="494"/>
    </row>
    <row r="57" spans="1:19" ht="49.5" thickBot="1" x14ac:dyDescent="0.3">
      <c r="A57" s="181" t="str">
        <f>CONCATENATE('3 pr-2'!A57)</f>
        <v>1.1.1.6.1</v>
      </c>
      <c r="B57" s="247" t="str">
        <f>CONCATENATE('ketv. 2'!B56)</f>
        <v>05.1.1-APVA-R-007-11-0001</v>
      </c>
      <c r="C57" s="182" t="str">
        <f>CONCATENATE('3 pr-2'!D57)</f>
        <v>Paviršinių nuotekų sistemų tvarkymas Alytaus mieste</v>
      </c>
      <c r="D57" s="182" t="str">
        <f>CONCATENATE('3 pr-2'!E57)</f>
        <v>UAB “Dzūkijos vandenys“</v>
      </c>
      <c r="E57" s="182" t="str">
        <f>CONCATENATE('3 pr-2'!F57)</f>
        <v>Lietuvos Respublikos aplinkos ministerija</v>
      </c>
      <c r="F57" s="182" t="str">
        <f>CONCATENATE('3 pr-2'!G57)</f>
        <v>Alytaus m. sav.</v>
      </c>
      <c r="G57" s="182" t="str">
        <f>CONCATENATE('3 pr-2'!H57)</f>
        <v>05.1.1-APVA-R-007</v>
      </c>
      <c r="H57" s="182" t="str">
        <f>CONCATENATE('3 pr-2'!I57)</f>
        <v>R</v>
      </c>
      <c r="I57" s="192" t="str">
        <f>CONCATENATE('3 pr-2'!J57)</f>
        <v>-</v>
      </c>
      <c r="J57" s="193">
        <f>SUM('3 pr-2'!L57)</f>
        <v>3999404.09</v>
      </c>
      <c r="K57" s="194">
        <f>SUM('3 pr-2'!O57)</f>
        <v>0</v>
      </c>
      <c r="L57" s="194">
        <f>SUM('3 pr-2'!R57)</f>
        <v>0</v>
      </c>
      <c r="M57" s="194">
        <f>SUM('3 pr-2'!U57)</f>
        <v>599910.61</v>
      </c>
      <c r="N57" s="194">
        <f>SUM('3 pr-2'!X57)</f>
        <v>0</v>
      </c>
      <c r="O57" s="195">
        <f>SUM('3 pr-2'!AA57)</f>
        <v>3399493.48</v>
      </c>
      <c r="P57" s="548">
        <f>SUM('3 pr-2'!AF57)</f>
        <v>43130</v>
      </c>
      <c r="Q57" s="262">
        <v>43130</v>
      </c>
      <c r="R57" s="191">
        <f t="shared" ref="R57" si="7">SUM(P57-Q57)</f>
        <v>0</v>
      </c>
      <c r="S57" s="257">
        <f>(P57-Q57)/30.4166666666667</f>
        <v>0</v>
      </c>
    </row>
    <row r="58" spans="1:19" ht="35.25" customHeight="1" thickBot="1" x14ac:dyDescent="0.3">
      <c r="A58" s="317" t="str">
        <f>CONCATENATE('3 pr-2'!A58)</f>
        <v>1.1.1.7</v>
      </c>
      <c r="B58" s="489"/>
      <c r="C58" s="1890" t="str">
        <f>CONCATENATE('3 pr-2'!D58)</f>
        <v/>
      </c>
      <c r="D58" s="2031" t="str">
        <f>CONCATENATE('3 pr-2'!E58)</f>
        <v/>
      </c>
      <c r="E58" s="2031" t="str">
        <f>CONCATENATE('3 pr-2'!F58)</f>
        <v/>
      </c>
      <c r="F58" s="2031" t="str">
        <f>CONCATENATE('3 pr-2'!G58)</f>
        <v/>
      </c>
      <c r="G58" s="2031" t="str">
        <f>CONCATENATE('3 pr-2'!H58)</f>
        <v/>
      </c>
      <c r="H58" s="2031" t="str">
        <f>CONCATENATE('3 pr-2'!I58)</f>
        <v/>
      </c>
      <c r="I58" s="2031" t="str">
        <f>CONCATENATE('3 pr-2'!J58)</f>
        <v/>
      </c>
      <c r="J58" s="490">
        <f>SUM('3 pr-2'!L58)</f>
        <v>719317.64705882361</v>
      </c>
      <c r="K58" s="490">
        <f>SUM('3 pr-2'!O58)</f>
        <v>107897.64705882352</v>
      </c>
      <c r="L58" s="490">
        <f>SUM('3 pr-2'!R58)</f>
        <v>0</v>
      </c>
      <c r="M58" s="490">
        <f>SUM('3 pr-2'!U58)</f>
        <v>0</v>
      </c>
      <c r="N58" s="490">
        <f>SUM('3 pr-2'!X58)</f>
        <v>0</v>
      </c>
      <c r="O58" s="491">
        <f>SUM('3 pr-2'!AA58)</f>
        <v>611420</v>
      </c>
      <c r="P58" s="492"/>
      <c r="Q58" s="493"/>
      <c r="R58" s="494"/>
      <c r="S58" s="494"/>
    </row>
    <row r="59" spans="1:19" ht="37.5" thickBot="1" x14ac:dyDescent="0.3">
      <c r="A59" s="181" t="str">
        <f>CONCATENATE('3 pr-2'!A59)</f>
        <v>1.1.1.7.1</v>
      </c>
      <c r="B59" s="247" t="str">
        <f>CONCATENATE('ketv. 2'!B58)</f>
        <v>05.4.1-LVPA-R-821-11-0002</v>
      </c>
      <c r="C59" s="182" t="str">
        <f>CONCATENATE('3 pr-2'!D59)</f>
        <v>Alytaus regiono turizmo informacinės infrastruktūros plėtra</v>
      </c>
      <c r="D59" s="182" t="str">
        <f>CONCATENATE('3 pr-2'!E59)</f>
        <v>Alytaus miesto savivaldybės administracija</v>
      </c>
      <c r="E59" s="182" t="str">
        <f>CONCATENATE('3 pr-2'!F59)</f>
        <v>Lietuvos Respublikos ūkio ministerija</v>
      </c>
      <c r="F59" s="182" t="str">
        <f>CONCATENATE('3 pr-2'!G59)</f>
        <v>Alytaus m. sav.</v>
      </c>
      <c r="G59" s="182" t="str">
        <f>CONCATENATE('3 pr-2'!H59)</f>
        <v>05.4.1-LVPA-R-821</v>
      </c>
      <c r="H59" s="182" t="str">
        <f>CONCATENATE('3 pr-2'!I59)</f>
        <v>R</v>
      </c>
      <c r="I59" s="192" t="str">
        <f>CONCATENATE('3 pr-2'!J59)</f>
        <v>-</v>
      </c>
      <c r="J59" s="193">
        <f>SUM('3 pr-2'!L59)</f>
        <v>208223.52941176473</v>
      </c>
      <c r="K59" s="194">
        <f>SUM('3 pr-2'!O59)</f>
        <v>31233.529411764706</v>
      </c>
      <c r="L59" s="194">
        <f>SUM('3 pr-2'!R59)</f>
        <v>0</v>
      </c>
      <c r="M59" s="194">
        <f>SUM('3 pr-2'!U59)</f>
        <v>0</v>
      </c>
      <c r="N59" s="194">
        <f>SUM('3 pr-2'!X59)</f>
        <v>0</v>
      </c>
      <c r="O59" s="195">
        <f>SUM('3 pr-2'!AA59)</f>
        <v>176990</v>
      </c>
      <c r="P59" s="213">
        <f>SUM('3 pr-2'!AF59)</f>
        <v>42604</v>
      </c>
      <c r="Q59" s="262">
        <v>42604</v>
      </c>
      <c r="R59" s="191">
        <f t="shared" ref="R59:R60" si="8">SUM(P59-Q59)</f>
        <v>0</v>
      </c>
      <c r="S59" s="257">
        <f>(P59-Q59)/30.4166666666667</f>
        <v>0</v>
      </c>
    </row>
    <row r="60" spans="1:19" ht="49.5" thickBot="1" x14ac:dyDescent="0.3">
      <c r="A60" s="181" t="str">
        <f>CONCATENATE('3 pr-2'!A60)</f>
        <v>1.1.1.7.2</v>
      </c>
      <c r="B60" s="247" t="str">
        <f>CONCATENATE('ketv. 2'!B59)</f>
        <v>05.4.1-LVPA-R-821-11-0001</v>
      </c>
      <c r="C60" s="182" t="str">
        <f>CONCATENATE('3 pr-2'!D60)</f>
        <v>„Turizmo trasų ir maršrutų informacinės infrastruktūros plėtra  Lazdijų, Varėnos rajonų ir Druskininkų savivaldybėse“</v>
      </c>
      <c r="D60" s="182" t="str">
        <f>CONCATENATE('3 pr-2'!E60)</f>
        <v>Lazdijų rajono savivaldybės administracija</v>
      </c>
      <c r="E60" s="182" t="str">
        <f>CONCATENATE('3 pr-2'!F60)</f>
        <v>Lietuvos Respublikos ūkio ministerija</v>
      </c>
      <c r="F60" s="182" t="str">
        <f>CONCATENATE('3 pr-2'!G60)</f>
        <v xml:space="preserve">Lazdijų, Varėnos rajonų ir Druskininkų savivaldybės </v>
      </c>
      <c r="G60" s="182" t="str">
        <f>CONCATENATE('3 pr-2'!H60)</f>
        <v>05.4.1-LVPA-R-821</v>
      </c>
      <c r="H60" s="182" t="str">
        <f>CONCATENATE('3 pr-2'!I60)</f>
        <v>R</v>
      </c>
      <c r="I60" s="192" t="str">
        <f>CONCATENATE('3 pr-2'!J60)</f>
        <v>-</v>
      </c>
      <c r="J60" s="193">
        <f>SUM('3 pr-2'!L60)</f>
        <v>288106</v>
      </c>
      <c r="K60" s="194">
        <f>SUM('3 pr-2'!O60)</f>
        <v>43215.9</v>
      </c>
      <c r="L60" s="194">
        <f>SUM('3 pr-2'!R60)</f>
        <v>0</v>
      </c>
      <c r="M60" s="194">
        <f>SUM('3 pr-2'!U60)</f>
        <v>0</v>
      </c>
      <c r="N60" s="194">
        <f>SUM('3 pr-2'!X60)</f>
        <v>0</v>
      </c>
      <c r="O60" s="195">
        <f>SUM('3 pr-2'!AA60)</f>
        <v>244890.1</v>
      </c>
      <c r="P60" s="213">
        <f>SUM('3 pr-2'!AF60)</f>
        <v>42604</v>
      </c>
      <c r="Q60" s="262">
        <v>42604</v>
      </c>
      <c r="R60" s="191">
        <f t="shared" si="8"/>
        <v>0</v>
      </c>
      <c r="S60" s="191">
        <f t="shared" ref="S60" si="9">IF((MONTH(P60)-MONTH(Q60))=0,0,MONTH(P60)-MONTH(Q60))</f>
        <v>0</v>
      </c>
    </row>
    <row r="61" spans="1:19" ht="49.5" thickBot="1" x14ac:dyDescent="0.3">
      <c r="A61" s="181" t="str">
        <f>CONCATENATE('3 pr-2'!A61)</f>
        <v>1.1.1.7.3</v>
      </c>
      <c r="B61" s="247" t="str">
        <f>CONCATENATE('ketv. 2'!B60)</f>
        <v/>
      </c>
      <c r="C61" s="182" t="str">
        <f>CONCATENATE('3 pr-2'!D61)</f>
        <v>„Turizmo trasų ir maršrutų informacinės infrastruktūros plėtra  Lazdijų, Varėnos rajonų ir Druskininkų savivaldybėse II etapas“</v>
      </c>
      <c r="D61" s="182" t="str">
        <f>CONCATENATE('3 pr-2'!E61)</f>
        <v>Lazdijų rajono savivaldybės administracija</v>
      </c>
      <c r="E61" s="182" t="str">
        <f>CONCATENATE('3 pr-2'!F61)</f>
        <v>Lietuvos Respublikos ūkio ministerija</v>
      </c>
      <c r="F61" s="182" t="str">
        <f>CONCATENATE('3 pr-2'!G61)</f>
        <v xml:space="preserve">Lazdijų, Varėnos rajonų ir Druskininkų savivaldybės </v>
      </c>
      <c r="G61" s="182" t="str">
        <f>CONCATENATE('3 pr-2'!H61)</f>
        <v>05.4.1-LVPA-R-821</v>
      </c>
      <c r="H61" s="182" t="str">
        <f>CONCATENATE('3 pr-2'!I61)</f>
        <v>R</v>
      </c>
      <c r="I61" s="192" t="str">
        <f>CONCATENATE('3 pr-2'!J61)</f>
        <v>-</v>
      </c>
      <c r="J61" s="193">
        <f>SUM('3 pr-2'!L61)</f>
        <v>222988.11764705885</v>
      </c>
      <c r="K61" s="194">
        <f>SUM('3 pr-2'!O61)</f>
        <v>33448.217647058824</v>
      </c>
      <c r="L61" s="194">
        <f>SUM('3 pr-2'!R61)</f>
        <v>0</v>
      </c>
      <c r="M61" s="194">
        <f>SUM('3 pr-2'!U61)</f>
        <v>0</v>
      </c>
      <c r="N61" s="194">
        <f>SUM('3 pr-2'!X61)</f>
        <v>0</v>
      </c>
      <c r="O61" s="195">
        <f>SUM('3 pr-2'!AA61)</f>
        <v>189539.9</v>
      </c>
      <c r="P61" s="548">
        <f>SUM('3 pr-2'!AF61)</f>
        <v>43189</v>
      </c>
      <c r="Q61" s="262">
        <v>43404</v>
      </c>
      <c r="R61" s="191">
        <f>IF(Q61&gt;0,P61-Q61,0)</f>
        <v>-215</v>
      </c>
      <c r="S61" s="257">
        <f>IF(Q61&gt;0,(P61-Q61)/30.1667,0)</f>
        <v>-7.1270639479956381</v>
      </c>
    </row>
    <row r="62" spans="1:19" ht="29.25" customHeight="1" thickBot="1" x14ac:dyDescent="0.3">
      <c r="A62" s="317" t="str">
        <f>CONCATENATE('3 pr-2'!A62)</f>
        <v>1.1.1.8</v>
      </c>
      <c r="B62" s="489"/>
      <c r="C62" s="1890" t="str">
        <f>CONCATENATE('3 pr-2'!B62)</f>
        <v>Priemonė:
Modernizuoti savivaldybių kultūros infrastruktūrą</v>
      </c>
      <c r="D62" s="2031" t="str">
        <f>CONCATENATE('3 pr-2'!E62)</f>
        <v/>
      </c>
      <c r="E62" s="2031" t="str">
        <f>CONCATENATE('3 pr-2'!F62)</f>
        <v/>
      </c>
      <c r="F62" s="2031" t="str">
        <f>CONCATENATE('3 pr-2'!G62)</f>
        <v/>
      </c>
      <c r="G62" s="2031" t="str">
        <f>CONCATENATE('3 pr-2'!H62)</f>
        <v/>
      </c>
      <c r="H62" s="2031" t="str">
        <f>CONCATENATE('3 pr-2'!I62)</f>
        <v/>
      </c>
      <c r="I62" s="2031" t="str">
        <f>CONCATENATE('3 pr-2'!J62)</f>
        <v/>
      </c>
      <c r="J62" s="490">
        <f>SUM('3 pr-2'!L62)</f>
        <v>1972835.5100000002</v>
      </c>
      <c r="K62" s="490">
        <f>SUM('3 pr-2'!O62)</f>
        <v>422270.99</v>
      </c>
      <c r="L62" s="490">
        <f>SUM('3 pr-2'!R62)</f>
        <v>0</v>
      </c>
      <c r="M62" s="490">
        <f>SUM('3 pr-2'!U62)</f>
        <v>0</v>
      </c>
      <c r="N62" s="490">
        <f>SUM('3 pr-2'!X62)</f>
        <v>352400.82</v>
      </c>
      <c r="O62" s="491">
        <f>SUM('3 pr-2'!AA62)</f>
        <v>1198163.7</v>
      </c>
      <c r="P62" s="492"/>
      <c r="Q62" s="493"/>
      <c r="R62" s="494"/>
      <c r="S62" s="494"/>
    </row>
    <row r="63" spans="1:19" ht="49.5" thickBot="1" x14ac:dyDescent="0.3">
      <c r="A63" s="181" t="str">
        <f>CONCATENATE('3 pr-2'!A63)</f>
        <v>1.1.1.8.1</v>
      </c>
      <c r="B63" s="247" t="str">
        <f>CONCATENATE('ketv. 2'!B62)</f>
        <v>07.1.1-CPVA-R-305-11-0001</v>
      </c>
      <c r="C63" s="182" t="str">
        <f>CONCATENATE('3 pr-2'!D63)</f>
        <v>Kultūros įstaigų infrastruktūros modernizavimas Varėnos mieste</v>
      </c>
      <c r="D63" s="182" t="str">
        <f>CONCATENATE('3 pr-2'!E63)</f>
        <v>Varėnos rajono savivaldybės administracija</v>
      </c>
      <c r="E63" s="182" t="str">
        <f>CONCATENATE('3 pr-2'!F63)</f>
        <v>Lietuvos Respublikos kultūros ministerija</v>
      </c>
      <c r="F63" s="182" t="str">
        <f>CONCATENATE('3 pr-2'!G63)</f>
        <v>Varėnos r. sav.</v>
      </c>
      <c r="G63" s="182" t="str">
        <f>CONCATENATE('3 pr-2'!H63)</f>
        <v>07.1.1-CPVA-R-305</v>
      </c>
      <c r="H63" s="182" t="str">
        <f>CONCATENATE('3 pr-2'!I63)</f>
        <v>R</v>
      </c>
      <c r="I63" s="192" t="str">
        <f>CONCATENATE('3 pr-2'!J63)</f>
        <v>ITI</v>
      </c>
      <c r="J63" s="193">
        <f>SUM('3 pr-2'!L63)</f>
        <v>352401</v>
      </c>
      <c r="K63" s="194">
        <f>SUM('3 pr-2'!O63)</f>
        <v>52860.15</v>
      </c>
      <c r="L63" s="194">
        <f>SUM('3 pr-2'!R63)</f>
        <v>0</v>
      </c>
      <c r="M63" s="194">
        <f>SUM('3 pr-2'!U63)</f>
        <v>0</v>
      </c>
      <c r="N63" s="194">
        <f>SUM('3 pr-2'!X63)</f>
        <v>0</v>
      </c>
      <c r="O63" s="195">
        <f>SUM('3 pr-2'!AA63)</f>
        <v>299540.84999999998</v>
      </c>
      <c r="P63" s="213">
        <f>SUM('3 pr-2'!AF63)</f>
        <v>42614</v>
      </c>
      <c r="Q63" s="263">
        <v>42592</v>
      </c>
      <c r="R63" s="191">
        <f t="shared" ref="R63:R66" si="10">SUM(P63-Q63)</f>
        <v>22</v>
      </c>
      <c r="S63" s="257">
        <f>(P63-Q63)/30.4166666666667</f>
        <v>0.72328767123287596</v>
      </c>
    </row>
    <row r="64" spans="1:19" ht="49.5" thickBot="1" x14ac:dyDescent="0.3">
      <c r="A64" s="181" t="str">
        <f>CONCATENATE('3 pr-2'!A64)</f>
        <v>1.1.1.8.2</v>
      </c>
      <c r="B64" s="247" t="str">
        <f>CONCATENATE('ketv. 2'!B63)</f>
        <v>07.1.1-CPVA-R-305-11-0002</v>
      </c>
      <c r="C64" s="182" t="str">
        <f>CONCATENATE('3 pr-2'!D64)</f>
        <v>VšĮ Alytaus kultūros ir komunikacijos centro pastato Alytuje, Pramonės g. 1B, rekonstravimas</v>
      </c>
      <c r="D64" s="182" t="str">
        <f>CONCATENATE('3 pr-2'!E64)</f>
        <v>Alytaus miesto savivaldybės administracija</v>
      </c>
      <c r="E64" s="182" t="str">
        <f>CONCATENATE('3 pr-2'!F64)</f>
        <v>Lietuvos Respublikos kultūros ministerija</v>
      </c>
      <c r="F64" s="182" t="str">
        <f>CONCATENATE('3 pr-2'!G64)</f>
        <v>Alytaus m. sav.</v>
      </c>
      <c r="G64" s="182" t="str">
        <f>CONCATENATE('3 pr-2'!H64)</f>
        <v>07.1.1-CPVA-R-305</v>
      </c>
      <c r="H64" s="182" t="str">
        <f>CONCATENATE('3 pr-2'!I64)</f>
        <v>R</v>
      </c>
      <c r="I64" s="192" t="str">
        <f>CONCATENATE('3 pr-2'!J64)</f>
        <v>ITI</v>
      </c>
      <c r="J64" s="193">
        <f>SUM('3 pr-2'!L64)</f>
        <v>783264.16</v>
      </c>
      <c r="K64" s="194">
        <f>SUM('3 pr-2'!O64)</f>
        <v>131322.34</v>
      </c>
      <c r="L64" s="194">
        <f>SUM('3 pr-2'!R64)</f>
        <v>0</v>
      </c>
      <c r="M64" s="194">
        <f>SUM('3 pr-2'!U64)</f>
        <v>0</v>
      </c>
      <c r="N64" s="194">
        <f>SUM('3 pr-2'!X64)</f>
        <v>352400.82</v>
      </c>
      <c r="O64" s="195">
        <f>SUM('3 pr-2'!AA64)</f>
        <v>299541</v>
      </c>
      <c r="P64" s="213">
        <f>SUM('3 pr-2'!AF64)</f>
        <v>42614</v>
      </c>
      <c r="Q64" s="263">
        <v>42614</v>
      </c>
      <c r="R64" s="191">
        <f t="shared" si="10"/>
        <v>0</v>
      </c>
      <c r="S64" s="257">
        <f>(P64-Q64)/30.4166666666667</f>
        <v>0</v>
      </c>
    </row>
    <row r="65" spans="1:19" ht="49.5" thickBot="1" x14ac:dyDescent="0.3">
      <c r="A65" s="181" t="str">
        <f>CONCATENATE('3 pr-2'!A65)</f>
        <v>1.1.1.8.3</v>
      </c>
      <c r="B65" s="247" t="str">
        <f>CONCATENATE('ketv. 2'!B64)</f>
        <v>07.1.1-CPVA-R-305-11-0003</v>
      </c>
      <c r="C65" s="182" t="str">
        <f>CONCATENATE('3 pr-2'!D65)</f>
        <v>Druskininkų kultūros centro lauko scenos, Vilniaus al. 24, Druskininkai, modernizavimas ir pritaikymas kultūros  poreikiams</v>
      </c>
      <c r="D65" s="182" t="str">
        <f>CONCATENATE('3 pr-2'!E65)</f>
        <v xml:space="preserve">Druskininkų savivaldybės administracija  </v>
      </c>
      <c r="E65" s="182" t="str">
        <f>CONCATENATE('3 pr-2'!F65)</f>
        <v>Lietuvos Respublikos kultūros ministerija</v>
      </c>
      <c r="F65" s="182" t="str">
        <f>CONCATENATE('3 pr-2'!G65)</f>
        <v>Druskininkų sav.</v>
      </c>
      <c r="G65" s="182" t="str">
        <f>CONCATENATE('3 pr-2'!H65)</f>
        <v>07.1.1-CPVA-R-305</v>
      </c>
      <c r="H65" s="182" t="str">
        <f>CONCATENATE('3 pr-2'!I65)</f>
        <v>R</v>
      </c>
      <c r="I65" s="192" t="str">
        <f>CONCATENATE('3 pr-2'!J65)</f>
        <v>ITI</v>
      </c>
      <c r="J65" s="193">
        <f>SUM('3 pr-2'!L65)</f>
        <v>352401</v>
      </c>
      <c r="K65" s="194">
        <f>SUM('3 pr-2'!O65)</f>
        <v>52860.15</v>
      </c>
      <c r="L65" s="194">
        <f>SUM('3 pr-2'!R65)</f>
        <v>0</v>
      </c>
      <c r="M65" s="194">
        <f>SUM('3 pr-2'!U65)</f>
        <v>0</v>
      </c>
      <c r="N65" s="194">
        <f>SUM('3 pr-2'!X65)</f>
        <v>0</v>
      </c>
      <c r="O65" s="195">
        <f>SUM('3 pr-2'!AA65)</f>
        <v>299540.84999999998</v>
      </c>
      <c r="P65" s="213">
        <f>SUM('3 pr-2'!AF65)</f>
        <v>42614</v>
      </c>
      <c r="Q65" s="263">
        <v>42614</v>
      </c>
      <c r="R65" s="191">
        <f t="shared" si="10"/>
        <v>0</v>
      </c>
      <c r="S65" s="257">
        <f>(P65-Q65)/30.4166666666667</f>
        <v>0</v>
      </c>
    </row>
    <row r="66" spans="1:19" ht="49.5" thickBot="1" x14ac:dyDescent="0.3">
      <c r="A66" s="181" t="str">
        <f>CONCATENATE('3 pr-2'!A66)</f>
        <v>1.1.1.8.4</v>
      </c>
      <c r="B66" s="247" t="str">
        <f>CONCATENATE('ketv. 2'!B65)</f>
        <v>07.1.1-CPVA-R-305-11-0004</v>
      </c>
      <c r="C66" s="182" t="str">
        <f>CONCATENATE('3 pr-2'!D66)</f>
        <v>Pastato rekonstrukcija ir pritaikymas kultūrinėms, muziejinėms ir edukacinėms reikmėms</v>
      </c>
      <c r="D66" s="182" t="str">
        <f>CONCATENATE('3 pr-2'!E66)</f>
        <v>Lazdijų rajono savivaldybės administracija</v>
      </c>
      <c r="E66" s="182" t="str">
        <f>CONCATENATE('3 pr-2'!F66)</f>
        <v>Lietuvos Respublikos kultūros ministerija</v>
      </c>
      <c r="F66" s="182" t="str">
        <f>CONCATENATE('3 pr-2'!G66)</f>
        <v>Lazdijų r. sav.</v>
      </c>
      <c r="G66" s="182" t="str">
        <f>CONCATENATE('3 pr-2'!H66)</f>
        <v>07.1.1-CPVA-R-305</v>
      </c>
      <c r="H66" s="182" t="str">
        <f>CONCATENATE('3 pr-2'!I66)</f>
        <v>R</v>
      </c>
      <c r="I66" s="192" t="str">
        <f>CONCATENATE('3 pr-2'!J66)</f>
        <v>ITI</v>
      </c>
      <c r="J66" s="193">
        <f>SUM('3 pr-2'!L66)</f>
        <v>484769.35</v>
      </c>
      <c r="K66" s="194">
        <f>SUM('3 pr-2'!O66)</f>
        <v>185228.35</v>
      </c>
      <c r="L66" s="194">
        <f>SUM('3 pr-2'!R66)</f>
        <v>0</v>
      </c>
      <c r="M66" s="194">
        <f>SUM('3 pr-2'!U66)</f>
        <v>0</v>
      </c>
      <c r="N66" s="194">
        <f>SUM('3 pr-2'!X66)</f>
        <v>0</v>
      </c>
      <c r="O66" s="195">
        <f>SUM('3 pr-2'!AA66)</f>
        <v>299541</v>
      </c>
      <c r="P66" s="213">
        <f>SUM('3 pr-2'!AF66)</f>
        <v>42614</v>
      </c>
      <c r="Q66" s="263">
        <v>42613</v>
      </c>
      <c r="R66" s="191">
        <f t="shared" si="10"/>
        <v>1</v>
      </c>
      <c r="S66" s="257">
        <f>(P66-Q66)/30.4166666666667</f>
        <v>3.2876712328767085E-2</v>
      </c>
    </row>
    <row r="67" spans="1:19" ht="34.5" customHeight="1" thickBot="1" x14ac:dyDescent="0.3">
      <c r="A67" s="317" t="str">
        <f>CONCATENATE('3 pr-2'!A67)</f>
        <v>1.1.1.9</v>
      </c>
      <c r="B67" s="489"/>
      <c r="C67" s="1890" t="str">
        <f>CONCATENATE('3 pr-2'!B67)</f>
        <v>Priemonė:
Aktualizuoti savivaldybių kultūros paveldo objektus</v>
      </c>
      <c r="D67" s="2031" t="str">
        <f>CONCATENATE('3 pr-2'!E67)</f>
        <v/>
      </c>
      <c r="E67" s="2031" t="str">
        <f>CONCATENATE('3 pr-2'!F67)</f>
        <v/>
      </c>
      <c r="F67" s="2031" t="str">
        <f>CONCATENATE('3 pr-2'!G67)</f>
        <v/>
      </c>
      <c r="G67" s="2031" t="str">
        <f>CONCATENATE('3 pr-2'!H67)</f>
        <v/>
      </c>
      <c r="H67" s="2031" t="str">
        <f>CONCATENATE('3 pr-2'!I67)</f>
        <v/>
      </c>
      <c r="I67" s="2031" t="str">
        <f>CONCATENATE('3 pr-2'!J67)</f>
        <v/>
      </c>
      <c r="J67" s="490">
        <f>SUM('3 pr-2'!L67)</f>
        <v>1487190.57</v>
      </c>
      <c r="K67" s="490">
        <f>SUM('3 pr-2'!O67)</f>
        <v>456910.57</v>
      </c>
      <c r="L67" s="490">
        <f>SUM('3 pr-2'!R67)</f>
        <v>0</v>
      </c>
      <c r="M67" s="490">
        <f>SUM('3 pr-2'!U67)</f>
        <v>0</v>
      </c>
      <c r="N67" s="490">
        <f>SUM('3 pr-2'!X67)</f>
        <v>0</v>
      </c>
      <c r="O67" s="491">
        <f>SUM('3 pr-2'!AA67)</f>
        <v>1030280</v>
      </c>
      <c r="P67" s="492"/>
      <c r="Q67" s="493"/>
      <c r="R67" s="494"/>
      <c r="S67" s="494"/>
    </row>
    <row r="68" spans="1:19" ht="49.5" thickBot="1" x14ac:dyDescent="0.3">
      <c r="A68" s="181" t="str">
        <f>CONCATENATE('3 pr-2'!A68)</f>
        <v>1.1.1.9.1</v>
      </c>
      <c r="B68" s="247" t="str">
        <f>CONCATENATE('ketv. 2'!B67)</f>
        <v>05.4.1-CPVA-R-302-11-0003</v>
      </c>
      <c r="C68" s="182" t="str">
        <f>CONCATENATE('3 pr-2'!D68)</f>
        <v>Buvusios sinagogos pastato Kauno g. 9A Alytuje rekonstravimas ir aplinkinės teritorijos sutvarkymas</v>
      </c>
      <c r="D68" s="182" t="str">
        <f>CONCATENATE('3 pr-2'!E68)</f>
        <v>Alytaus miesto savivaldybės administracija</v>
      </c>
      <c r="E68" s="182" t="str">
        <f>CONCATENATE('3 pr-2'!F68)</f>
        <v>Lietuvos Respublikos kultūros ministerija</v>
      </c>
      <c r="F68" s="182" t="str">
        <f>CONCATENATE('3 pr-2'!G68)</f>
        <v>Alytaus m. sav.</v>
      </c>
      <c r="G68" s="182" t="str">
        <f>CONCATENATE('3 pr-2'!H68)</f>
        <v>05.4.1-CPVA-R-302</v>
      </c>
      <c r="H68" s="182" t="str">
        <f>CONCATENATE('3 pr-2'!I68)</f>
        <v>R</v>
      </c>
      <c r="I68" s="192" t="str">
        <f>CONCATENATE('3 pr-2'!J68)</f>
        <v>ITI</v>
      </c>
      <c r="J68" s="193">
        <f>SUM('3 pr-2'!L68)</f>
        <v>444560.16000000003</v>
      </c>
      <c r="K68" s="194">
        <f>SUM('3 pr-2'!O68)</f>
        <v>238504.16</v>
      </c>
      <c r="L68" s="194">
        <f>SUM('3 pr-2'!R68)</f>
        <v>0</v>
      </c>
      <c r="M68" s="194">
        <f>SUM('3 pr-2'!U68)</f>
        <v>0</v>
      </c>
      <c r="N68" s="194">
        <f>SUM('3 pr-2'!X68)</f>
        <v>0</v>
      </c>
      <c r="O68" s="195">
        <f>SUM('3 pr-2'!AA68)</f>
        <v>206056</v>
      </c>
      <c r="P68" s="213">
        <f>SUM('3 pr-2'!AF68)</f>
        <v>42667</v>
      </c>
      <c r="Q68" s="262">
        <v>42667</v>
      </c>
      <c r="R68" s="191">
        <f t="shared" ref="R68:R72" si="11">SUM(P68-Q68)</f>
        <v>0</v>
      </c>
      <c r="S68" s="257">
        <f>(P68-Q68)/30.4166666666667</f>
        <v>0</v>
      </c>
    </row>
    <row r="69" spans="1:19" ht="49.5" thickBot="1" x14ac:dyDescent="0.3">
      <c r="A69" s="181" t="str">
        <f>CONCATENATE('3 pr-2'!A69)</f>
        <v>1.1.1.9.2</v>
      </c>
      <c r="B69" s="247" t="str">
        <f>CONCATENATE('ketv. 2'!B68)</f>
        <v>05.4.1-CPVA-R-302-11-0002</v>
      </c>
      <c r="C69" s="182" t="str">
        <f>CONCATENATE('3 pr-2'!D69)</f>
        <v>Mažosios dailės galerijos, M.K.Čiurlionio g. 37, Druskininkai, modernizavimas ir pritaikymas kultūros poreikiams</v>
      </c>
      <c r="D69" s="182" t="str">
        <f>CONCATENATE('3 pr-2'!E69)</f>
        <v xml:space="preserve">Druskininkų savivaldybės administracija  </v>
      </c>
      <c r="E69" s="182" t="str">
        <f>CONCATENATE('3 pr-2'!F69)</f>
        <v>Lietuvos Respublikos kultūros ministerija</v>
      </c>
      <c r="F69" s="182" t="str">
        <f>CONCATENATE('3 pr-2'!G69)</f>
        <v>Druskininkų sav.</v>
      </c>
      <c r="G69" s="182" t="str">
        <f>CONCATENATE('3 pr-2'!H69)</f>
        <v>05.4.1-CPVA-R-302</v>
      </c>
      <c r="H69" s="182" t="str">
        <f>CONCATENATE('3 pr-2'!I69)</f>
        <v>R</v>
      </c>
      <c r="I69" s="192" t="str">
        <f>CONCATENATE('3 pr-2'!J69)</f>
        <v>-</v>
      </c>
      <c r="J69" s="193">
        <f>SUM('3 pr-2'!L69)</f>
        <v>297670.41000000003</v>
      </c>
      <c r="K69" s="194">
        <f>SUM('3 pr-2'!O69)</f>
        <v>91614.41</v>
      </c>
      <c r="L69" s="194">
        <f>SUM('3 pr-2'!R69)</f>
        <v>0</v>
      </c>
      <c r="M69" s="194">
        <f>SUM('3 pr-2'!U69)</f>
        <v>0</v>
      </c>
      <c r="N69" s="194">
        <f>SUM('3 pr-2'!X69)</f>
        <v>0</v>
      </c>
      <c r="O69" s="195">
        <f>SUM('3 pr-2'!AA69)</f>
        <v>206056</v>
      </c>
      <c r="P69" s="213">
        <f>SUM('3 pr-2'!AF69)</f>
        <v>42667</v>
      </c>
      <c r="Q69" s="262">
        <v>42667</v>
      </c>
      <c r="R69" s="191">
        <f t="shared" si="11"/>
        <v>0</v>
      </c>
      <c r="S69" s="257">
        <f>(P69-Q69)/30.4166666666667</f>
        <v>0</v>
      </c>
    </row>
    <row r="70" spans="1:19" ht="49.5" thickBot="1" x14ac:dyDescent="0.3">
      <c r="A70" s="181" t="str">
        <f>CONCATENATE('3 pr-2'!A70)</f>
        <v>1.1.1.9.3</v>
      </c>
      <c r="B70" s="247" t="str">
        <f>CONCATENATE('ketv. 2'!B69)</f>
        <v>05.4.1-CPVA-R-302-11-0001</v>
      </c>
      <c r="C70" s="182" t="str">
        <f>CONCATENATE('3 pr-2'!D70)</f>
        <v>Motiejaus  Gustaičio  memorialinio  namo  kompleksinis sutvarkymas</v>
      </c>
      <c r="D70" s="182" t="str">
        <f>CONCATENATE('3 pr-2'!E70)</f>
        <v>Lazdijų rajono savivaldybės administracija</v>
      </c>
      <c r="E70" s="182" t="str">
        <f>CONCATENATE('3 pr-2'!F70)</f>
        <v>Lietuvos Respublikos kultūros ministerija</v>
      </c>
      <c r="F70" s="182" t="str">
        <f>CONCATENATE('3 pr-2'!G70)</f>
        <v>Lazdijų r. sav.</v>
      </c>
      <c r="G70" s="182" t="str">
        <f>CONCATENATE('3 pr-2'!H70)</f>
        <v>05.4.1-CPVA-R-302</v>
      </c>
      <c r="H70" s="182" t="str">
        <f>CONCATENATE('3 pr-2'!I70)</f>
        <v>R</v>
      </c>
      <c r="I70" s="192" t="str">
        <f>CONCATENATE('3 pr-2'!J70)</f>
        <v>ITI</v>
      </c>
      <c r="J70" s="193">
        <f>SUM('3 pr-2'!L70)</f>
        <v>242419</v>
      </c>
      <c r="K70" s="194">
        <f>SUM('3 pr-2'!O70)</f>
        <v>36363</v>
      </c>
      <c r="L70" s="194">
        <f>SUM('3 pr-2'!R70)</f>
        <v>0</v>
      </c>
      <c r="M70" s="194">
        <f>SUM('3 pr-2'!U70)</f>
        <v>0</v>
      </c>
      <c r="N70" s="194">
        <f>SUM('3 pr-2'!X70)</f>
        <v>0</v>
      </c>
      <c r="O70" s="195">
        <f>SUM('3 pr-2'!AA70)</f>
        <v>206056</v>
      </c>
      <c r="P70" s="213">
        <f>SUM('3 pr-2'!AF70)</f>
        <v>42667</v>
      </c>
      <c r="Q70" s="262">
        <v>42664</v>
      </c>
      <c r="R70" s="191">
        <f t="shared" si="11"/>
        <v>3</v>
      </c>
      <c r="S70" s="257">
        <f>(P70-Q70)/30.4166666666667</f>
        <v>9.8630136986301256E-2</v>
      </c>
    </row>
    <row r="71" spans="1:19" ht="49.5" thickBot="1" x14ac:dyDescent="0.3">
      <c r="A71" s="181" t="str">
        <f>CONCATENATE('3 pr-2'!A71)</f>
        <v>1.1.1.9.4</v>
      </c>
      <c r="B71" s="247" t="str">
        <f>CONCATENATE('ketv. 2'!B70)</f>
        <v>05.4.1-CPVA-R-302-11-0004</v>
      </c>
      <c r="C71" s="182" t="str">
        <f>CONCATENATE('3 pr-2'!D71)</f>
        <v>Kurnėnų Lauryno Radziukyno mokyklos pritaikymas kultūrinėms ir turistinėms reikmėms</v>
      </c>
      <c r="D71" s="182" t="str">
        <f>CONCATENATE('3 pr-2'!E71)</f>
        <v>Alytaus rajono savivaldybės administracija</v>
      </c>
      <c r="E71" s="182" t="str">
        <f>CONCATENATE('3 pr-2'!F71)</f>
        <v>Lietuvos Respublikos kultūros ministerija</v>
      </c>
      <c r="F71" s="182" t="str">
        <f>CONCATENATE('3 pr-2'!G71)</f>
        <v>Alytaus r. sav.</v>
      </c>
      <c r="G71" s="182" t="str">
        <f>CONCATENATE('3 pr-2'!H71)</f>
        <v>05.4.1-CPVA-R-302</v>
      </c>
      <c r="H71" s="182" t="str">
        <f>CONCATENATE('3 pr-2'!I71)</f>
        <v>R</v>
      </c>
      <c r="I71" s="192" t="str">
        <f>CONCATENATE('3 pr-2'!J71)</f>
        <v>-</v>
      </c>
      <c r="J71" s="193">
        <f>SUM('3 pr-2'!L71)</f>
        <v>260122</v>
      </c>
      <c r="K71" s="194">
        <f>SUM('3 pr-2'!O71)</f>
        <v>54066</v>
      </c>
      <c r="L71" s="194">
        <f>SUM('3 pr-2'!R71)</f>
        <v>0</v>
      </c>
      <c r="M71" s="194">
        <f>SUM('3 pr-2'!U71)</f>
        <v>0</v>
      </c>
      <c r="N71" s="194">
        <f>SUM('3 pr-2'!X71)</f>
        <v>0</v>
      </c>
      <c r="O71" s="195">
        <f>SUM('3 pr-2'!AA71)</f>
        <v>206056</v>
      </c>
      <c r="P71" s="213">
        <f>SUM('3 pr-2'!AF71)</f>
        <v>42667</v>
      </c>
      <c r="Q71" s="262">
        <v>42667</v>
      </c>
      <c r="R71" s="191">
        <f t="shared" si="11"/>
        <v>0</v>
      </c>
      <c r="S71" s="257">
        <f>(P71-Q71)/30.4166666666667</f>
        <v>0</v>
      </c>
    </row>
    <row r="72" spans="1:19" ht="49.5" thickBot="1" x14ac:dyDescent="0.3">
      <c r="A72" s="181" t="str">
        <f>CONCATENATE('3 pr-2'!A72)</f>
        <v>1.1.1.9.5</v>
      </c>
      <c r="B72" s="247" t="str">
        <f>CONCATENATE('ketv. 2'!B71)</f>
        <v>05.4.1-CPVA-R-302-11-0005</v>
      </c>
      <c r="C72" s="182" t="str">
        <f>CONCATENATE('3 pr-2'!D72)</f>
        <v>Vinco Krėvės-Mickevičiaus memorialinio muziejaus atnaujinimas</v>
      </c>
      <c r="D72" s="182" t="str">
        <f>CONCATENATE('3 pr-2'!E72)</f>
        <v>Varėnos rajono savivaldybės administracija</v>
      </c>
      <c r="E72" s="182" t="str">
        <f>CONCATENATE('3 pr-2'!F72)</f>
        <v>Lietuvos Respublikos kultūros ministerija</v>
      </c>
      <c r="F72" s="182" t="str">
        <f>CONCATENATE('3 pr-2'!G72)</f>
        <v>Varėnos r. sav.</v>
      </c>
      <c r="G72" s="182" t="str">
        <f>CONCATENATE('3 pr-2'!H72)</f>
        <v>05.4.1-CPVA-R-302</v>
      </c>
      <c r="H72" s="182" t="str">
        <f>CONCATENATE('3 pr-2'!I72)</f>
        <v>R</v>
      </c>
      <c r="I72" s="192" t="str">
        <f>CONCATENATE('3 pr-2'!J72)</f>
        <v>-</v>
      </c>
      <c r="J72" s="225">
        <f>SUM('3 pr-2'!L72)</f>
        <v>242419</v>
      </c>
      <c r="K72" s="226">
        <f>SUM('3 pr-2'!O72)</f>
        <v>36363</v>
      </c>
      <c r="L72" s="226">
        <f>SUM('3 pr-2'!R72)</f>
        <v>0</v>
      </c>
      <c r="M72" s="226">
        <f>SUM('3 pr-2'!U72)</f>
        <v>0</v>
      </c>
      <c r="N72" s="226">
        <f>SUM('3 pr-2'!X72)</f>
        <v>0</v>
      </c>
      <c r="O72" s="227">
        <f>SUM('3 pr-2'!AA72)</f>
        <v>206056</v>
      </c>
      <c r="P72" s="213">
        <f>SUM('3 pr-2'!AF72)</f>
        <v>42667</v>
      </c>
      <c r="Q72" s="262">
        <v>42663</v>
      </c>
      <c r="R72" s="191">
        <f t="shared" si="11"/>
        <v>4</v>
      </c>
      <c r="S72" s="257">
        <f>(P72-Q72)/30.4166666666667</f>
        <v>0.13150684931506834</v>
      </c>
    </row>
    <row r="73" spans="1:19" ht="39.75" customHeight="1" thickBot="1" x14ac:dyDescent="0.3">
      <c r="A73" s="155" t="str">
        <f>CONCATENATE('3 pr-2'!A73)</f>
        <v>1.1.2.</v>
      </c>
      <c r="B73" s="246"/>
      <c r="C73" s="1902" t="str">
        <f>CONCATENATE('3 pr-2'!B73)</f>
        <v>Uždavinys:
Pagerinti darbo jėgos judėjimo galimybes gerinant susisiekimo sistemas</v>
      </c>
      <c r="D73" s="2030" t="str">
        <f>CONCATENATE('3 pr-2'!E73)</f>
        <v/>
      </c>
      <c r="E73" s="2030" t="str">
        <f>CONCATENATE('3 pr-2'!F73)</f>
        <v/>
      </c>
      <c r="F73" s="2030" t="str">
        <f>CONCATENATE('3 pr-2'!G73)</f>
        <v/>
      </c>
      <c r="G73" s="2030" t="str">
        <f>CONCATENATE('3 pr-2'!H73)</f>
        <v/>
      </c>
      <c r="H73" s="2030" t="str">
        <f>CONCATENATE('3 pr-2'!I73)</f>
        <v/>
      </c>
      <c r="I73" s="2030" t="str">
        <f>CONCATENATE('3 pr-2'!J73)</f>
        <v/>
      </c>
      <c r="J73" s="228">
        <f>SUM('3 pr-2'!L73)</f>
        <v>9201751.620000001</v>
      </c>
      <c r="K73" s="229">
        <f>SUM('3 pr-2'!O73)</f>
        <v>2376911.3899999997</v>
      </c>
      <c r="L73" s="229">
        <f>SUM('3 pr-2'!R73)</f>
        <v>0</v>
      </c>
      <c r="M73" s="229">
        <f>SUM('3 pr-2'!U73)</f>
        <v>422692</v>
      </c>
      <c r="N73" s="229">
        <f>SUM('3 pr-2'!X73)</f>
        <v>62660</v>
      </c>
      <c r="O73" s="230">
        <f>SUM('3 pr-2'!AA73)</f>
        <v>6339488.2300000004</v>
      </c>
      <c r="P73" s="224"/>
      <c r="Q73" s="189"/>
      <c r="R73" s="190"/>
      <c r="S73" s="190"/>
    </row>
    <row r="74" spans="1:19" ht="37.5" customHeight="1" thickBot="1" x14ac:dyDescent="0.3">
      <c r="A74" s="317" t="str">
        <f>CONCATENATE('3 pr-2'!A74)</f>
        <v>1.1.2.1</v>
      </c>
      <c r="B74" s="489"/>
      <c r="C74" s="1890" t="str">
        <f>CONCATENATE('3 pr-2'!B74)</f>
        <v>Priemonė:
Vietinio susisiekimo viešojo transporto priemonių parko atnaujinimas</v>
      </c>
      <c r="D74" s="2031" t="str">
        <f>CONCATENATE('3 pr-2'!E74)</f>
        <v/>
      </c>
      <c r="E74" s="2031" t="str">
        <f>CONCATENATE('3 pr-2'!F74)</f>
        <v/>
      </c>
      <c r="F74" s="2031" t="str">
        <f>CONCATENATE('3 pr-2'!G74)</f>
        <v/>
      </c>
      <c r="G74" s="2031" t="str">
        <f>CONCATENATE('3 pr-2'!H74)</f>
        <v/>
      </c>
      <c r="H74" s="2031" t="str">
        <f>CONCATENATE('3 pr-2'!I74)</f>
        <v/>
      </c>
      <c r="I74" s="2031" t="str">
        <f>CONCATENATE('3 pr-2'!J74)</f>
        <v/>
      </c>
      <c r="J74" s="490">
        <f>SUM('3 pr-2'!L74)</f>
        <v>1835210</v>
      </c>
      <c r="K74" s="490">
        <f>SUM('3 pr-2'!O74)</f>
        <v>149246</v>
      </c>
      <c r="L74" s="490">
        <f>SUM('3 pr-2'!R74)</f>
        <v>0</v>
      </c>
      <c r="M74" s="490">
        <f>SUM('3 pr-2'!U74)</f>
        <v>422692</v>
      </c>
      <c r="N74" s="490">
        <f>SUM('3 pr-2'!X74)</f>
        <v>0</v>
      </c>
      <c r="O74" s="491">
        <f>SUM('3 pr-2'!AA74)</f>
        <v>1263272</v>
      </c>
      <c r="P74" s="492"/>
      <c r="Q74" s="493"/>
      <c r="R74" s="494"/>
      <c r="S74" s="494"/>
    </row>
    <row r="75" spans="1:19" ht="49.5" thickBot="1" x14ac:dyDescent="0.3">
      <c r="A75" s="181" t="str">
        <f>CONCATENATE('3 pr-2'!A75)</f>
        <v>1.1.2.1.1</v>
      </c>
      <c r="B75" s="247" t="str">
        <f>CONCATENATE('ketv. 2'!B74)</f>
        <v/>
      </c>
      <c r="C75" s="182" t="str">
        <f>CONCATENATE('3 pr-2'!D75)</f>
        <v xml:space="preserve">Nekenksmingų aplinkai viešojo transporto priemonių įsigijimas Alytaus mieste </v>
      </c>
      <c r="D75" s="182" t="str">
        <f>CONCATENATE('3 pr-2'!E75)</f>
        <v>Alytaus miesto savivaldybės administracija</v>
      </c>
      <c r="E75" s="182" t="str">
        <f>CONCATENATE('3 pr-2'!F75)</f>
        <v>Lietuvos Respublikos susisiekimo ministerija</v>
      </c>
      <c r="F75" s="182" t="str">
        <f>CONCATENATE('3 pr-2'!G75)</f>
        <v>Alytaus m. sav.</v>
      </c>
      <c r="G75" s="182" t="str">
        <f>CONCATENATE('3 pr-2'!H75)</f>
        <v>04.5.1-TID-R-518</v>
      </c>
      <c r="H75" s="182" t="str">
        <f>CONCATENATE('3 pr-2'!I75)</f>
        <v>R</v>
      </c>
      <c r="I75" s="192" t="str">
        <f>CONCATENATE('3 pr-2'!J75)</f>
        <v>ITI</v>
      </c>
      <c r="J75" s="193">
        <f>SUM('3 pr-2'!L75)</f>
        <v>406091</v>
      </c>
      <c r="K75" s="194">
        <f>SUM('3 pr-2'!O75)</f>
        <v>60914</v>
      </c>
      <c r="L75" s="194">
        <f>SUM('3 pr-2'!R75)</f>
        <v>0</v>
      </c>
      <c r="M75" s="194">
        <f>SUM('3 pr-2'!U75)</f>
        <v>0</v>
      </c>
      <c r="N75" s="194">
        <f>SUM('3 pr-2'!X75)</f>
        <v>0</v>
      </c>
      <c r="O75" s="195">
        <f>SUM('3 pr-2'!AA75)</f>
        <v>345177</v>
      </c>
      <c r="P75" s="213">
        <f>SUM('3 pr-2'!AF75)</f>
        <v>42877</v>
      </c>
      <c r="Q75" s="262">
        <v>42877</v>
      </c>
      <c r="R75" s="191">
        <f t="shared" ref="R75:R78" si="12">SUM(P75-Q75)</f>
        <v>0</v>
      </c>
      <c r="S75" s="257">
        <f>(P75-Q75)/30.4166666666667</f>
        <v>0</v>
      </c>
    </row>
    <row r="76" spans="1:19" ht="49.5" thickBot="1" x14ac:dyDescent="0.3">
      <c r="A76" s="181" t="str">
        <f>CONCATENATE('3 pr-2'!A76)</f>
        <v>1.1.2.1.2</v>
      </c>
      <c r="B76" s="247" t="str">
        <f>CONCATENATE('ketv. 2'!B75)</f>
        <v/>
      </c>
      <c r="C76" s="182" t="str">
        <f>CONCATENATE('3 pr-2'!D76)</f>
        <v>Vietinio susisiekimo transporto priemonių įsigijimas</v>
      </c>
      <c r="D76" s="182" t="str">
        <f>CONCATENATE('3 pr-2'!E76)</f>
        <v>Alytaus rajono savivaldybės administracija</v>
      </c>
      <c r="E76" s="182" t="str">
        <f>CONCATENATE('3 pr-2'!F76)</f>
        <v>Lietuvos Respublikos susisiekimo ministerija</v>
      </c>
      <c r="F76" s="182" t="str">
        <f>CONCATENATE('3 pr-2'!G76)</f>
        <v>Alytaus r. sav.</v>
      </c>
      <c r="G76" s="182" t="str">
        <f>CONCATENATE('3 pr-2'!H76)</f>
        <v>04.5.1-TID-R-518</v>
      </c>
      <c r="H76" s="182" t="str">
        <f>CONCATENATE('3 pr-2'!I76)</f>
        <v>R</v>
      </c>
      <c r="I76" s="192" t="str">
        <f>CONCATENATE('3 pr-2'!J76)</f>
        <v>-</v>
      </c>
      <c r="J76" s="193">
        <f>SUM('3 pr-2'!L76)</f>
        <v>326175</v>
      </c>
      <c r="K76" s="194">
        <f>SUM('3 pr-2'!O76)</f>
        <v>48926</v>
      </c>
      <c r="L76" s="194">
        <f>SUM('3 pr-2'!R76)</f>
        <v>0</v>
      </c>
      <c r="M76" s="194">
        <f>SUM('3 pr-2'!U76)</f>
        <v>0</v>
      </c>
      <c r="N76" s="194">
        <f>SUM('3 pr-2'!X76)</f>
        <v>0</v>
      </c>
      <c r="O76" s="195">
        <f>SUM('3 pr-2'!AA76)</f>
        <v>277249</v>
      </c>
      <c r="P76" s="213">
        <f>SUM('3 pr-2'!AF76)</f>
        <v>42877</v>
      </c>
      <c r="Q76" s="262">
        <v>42877</v>
      </c>
      <c r="R76" s="191">
        <f t="shared" si="12"/>
        <v>0</v>
      </c>
      <c r="S76" s="257">
        <f>(P76-Q76)/30.4166666666667</f>
        <v>0</v>
      </c>
    </row>
    <row r="77" spans="1:19" ht="49.5" thickBot="1" x14ac:dyDescent="0.3">
      <c r="A77" s="181" t="str">
        <f>CONCATENATE('3 pr-2'!A77)</f>
        <v>1.1.2.1.3</v>
      </c>
      <c r="B77" s="247" t="str">
        <f>CONCATENATE('ketv. 2'!B76)</f>
        <v>04.5.1-TID-R-518-11-0002</v>
      </c>
      <c r="C77" s="182" t="str">
        <f>CONCATENATE('3 pr-2'!D77)</f>
        <v>Ekologiškų transporto priemonių įsigijimas Druskininkų savivaldybėje</v>
      </c>
      <c r="D77" s="182" t="str">
        <f>CONCATENATE('3 pr-2'!E77)</f>
        <v xml:space="preserve">Druskininkų savivaldybės administracija  </v>
      </c>
      <c r="E77" s="182" t="str">
        <f>CONCATENATE('3 pr-2'!F77)</f>
        <v>Lietuvos Respublikos susisiekimo ministerija</v>
      </c>
      <c r="F77" s="182" t="str">
        <f>CONCATENATE('3 pr-2'!G77)</f>
        <v>Druskininkų sav.</v>
      </c>
      <c r="G77" s="182" t="str">
        <f>CONCATENATE('3 pr-2'!H77)</f>
        <v>04.5.1-TID-R-518</v>
      </c>
      <c r="H77" s="182" t="str">
        <f>CONCATENATE('3 pr-2'!I77)</f>
        <v>R</v>
      </c>
      <c r="I77" s="192" t="str">
        <f>CONCATENATE('3 pr-2'!J77)</f>
        <v>-</v>
      </c>
      <c r="J77" s="193">
        <f>SUM('3 pr-2'!L77)</f>
        <v>840240</v>
      </c>
      <c r="K77" s="194">
        <f>SUM('3 pr-2'!O77)</f>
        <v>0</v>
      </c>
      <c r="L77" s="194">
        <f>SUM('3 pr-2'!R77)</f>
        <v>0</v>
      </c>
      <c r="M77" s="194">
        <f>SUM('3 pr-2'!U77)</f>
        <v>422692</v>
      </c>
      <c r="N77" s="194">
        <f>SUM('3 pr-2'!X77)</f>
        <v>0</v>
      </c>
      <c r="O77" s="195">
        <f>SUM('3 pr-2'!AA77)</f>
        <v>417548</v>
      </c>
      <c r="P77" s="213">
        <f>SUM('3 pr-2'!AF77)</f>
        <v>42877</v>
      </c>
      <c r="Q77" s="262">
        <v>42877</v>
      </c>
      <c r="R77" s="191">
        <f t="shared" si="12"/>
        <v>0</v>
      </c>
      <c r="S77" s="257">
        <f>(P77-Q77)/30.4166666666667</f>
        <v>0</v>
      </c>
    </row>
    <row r="78" spans="1:19" ht="49.5" thickBot="1" x14ac:dyDescent="0.3">
      <c r="A78" s="181" t="str">
        <f>CONCATENATE('3 pr-2'!A78)</f>
        <v>1.1.2.1.4</v>
      </c>
      <c r="B78" s="247" t="str">
        <f>CONCATENATE('ketv. 2'!B77)</f>
        <v>04.5.1-TID-R-518-11-0001</v>
      </c>
      <c r="C78" s="182" t="str">
        <f>CONCATENATE('3 pr-2'!D78)</f>
        <v>Ekologiškų transporto priemonių įsigijimas  Lazdijų rajono savivaldybėje</v>
      </c>
      <c r="D78" s="182" t="str">
        <f>CONCATENATE('3 pr-2'!E78)</f>
        <v>Lazdijų rajono savivaldybės administracija</v>
      </c>
      <c r="E78" s="182" t="str">
        <f>CONCATENATE('3 pr-2'!F78)</f>
        <v>Lietuvos Respublikos susisiekimo ministerija</v>
      </c>
      <c r="F78" s="182" t="str">
        <f>CONCATENATE('3 pr-2'!G78)</f>
        <v>Lazdijų r. sav.</v>
      </c>
      <c r="G78" s="182" t="str">
        <f>CONCATENATE('3 pr-2'!H78)</f>
        <v>04.5.1-TID-R-518</v>
      </c>
      <c r="H78" s="182" t="str">
        <f>CONCATENATE('3 pr-2'!I78)</f>
        <v>R</v>
      </c>
      <c r="I78" s="192" t="str">
        <f>CONCATENATE('3 pr-2'!J78)</f>
        <v>-</v>
      </c>
      <c r="J78" s="193">
        <f>SUM('3 pr-2'!L78)</f>
        <v>262704</v>
      </c>
      <c r="K78" s="194">
        <f>SUM('3 pr-2'!O78)</f>
        <v>39406</v>
      </c>
      <c r="L78" s="194">
        <f>SUM('3 pr-2'!R78)</f>
        <v>0</v>
      </c>
      <c r="M78" s="194">
        <f>SUM('3 pr-2'!U78)</f>
        <v>0</v>
      </c>
      <c r="N78" s="194">
        <f>SUM('3 pr-2'!X78)</f>
        <v>0</v>
      </c>
      <c r="O78" s="195">
        <f>SUM('3 pr-2'!AA78)</f>
        <v>223298</v>
      </c>
      <c r="P78" s="213">
        <f>SUM('3 pr-2'!AF78)</f>
        <v>42877</v>
      </c>
      <c r="Q78" s="262">
        <v>42877</v>
      </c>
      <c r="R78" s="191">
        <f t="shared" si="12"/>
        <v>0</v>
      </c>
      <c r="S78" s="257">
        <f>(P78-Q78)/30.4166666666667</f>
        <v>0</v>
      </c>
    </row>
    <row r="79" spans="1:19" ht="36" customHeight="1" thickBot="1" x14ac:dyDescent="0.3">
      <c r="A79" s="317" t="str">
        <f>CONCATENATE('3 pr-2'!A79)</f>
        <v>1.1.2.2</v>
      </c>
      <c r="B79" s="489"/>
      <c r="C79" s="1890" t="str">
        <f>CONCATENATE('3 pr-2'!B79)</f>
        <v>Priemonė:
Darnaus judumo priemonių diegimas</v>
      </c>
      <c r="D79" s="2031" t="str">
        <f>CONCATENATE('3 pr-2'!E80)</f>
        <v>Alytaus miesto savivaldybės administracija</v>
      </c>
      <c r="E79" s="2031" t="str">
        <f>CONCATENATE('3 pr-2'!F80)</f>
        <v>Lietuvos Respublikos susisiekimo ministerija</v>
      </c>
      <c r="F79" s="2031" t="str">
        <f>CONCATENATE('3 pr-2'!G80)</f>
        <v>Alytaus m. sav.</v>
      </c>
      <c r="G79" s="2031" t="str">
        <f>CONCATENATE('3 pr-2'!H80)</f>
        <v>04.5.1.-TID-R-514</v>
      </c>
      <c r="H79" s="2031" t="str">
        <f>CONCATENATE('3 pr-2'!I80)</f>
        <v>R</v>
      </c>
      <c r="I79" s="2031" t="str">
        <f>CONCATENATE('3 pr-2'!J80)</f>
        <v>ITI</v>
      </c>
      <c r="J79" s="490">
        <f>SUM('3 pr-2'!L79)</f>
        <v>1894943.24</v>
      </c>
      <c r="K79" s="490">
        <f>SUM('3 pr-2'!O79)</f>
        <v>284241.14</v>
      </c>
      <c r="L79" s="490">
        <f>SUM('3 pr-2'!R79)</f>
        <v>0</v>
      </c>
      <c r="M79" s="490">
        <f>SUM('3 pr-2'!U79)</f>
        <v>0</v>
      </c>
      <c r="N79" s="490">
        <f>SUM('3 pr-2'!X79)</f>
        <v>0</v>
      </c>
      <c r="O79" s="491">
        <f>SUM('3 pr-2'!AA79)</f>
        <v>1610702.1</v>
      </c>
      <c r="P79" s="492"/>
      <c r="Q79" s="493"/>
      <c r="R79" s="494"/>
      <c r="S79" s="494"/>
    </row>
    <row r="80" spans="1:19" ht="49.5" thickBot="1" x14ac:dyDescent="0.3">
      <c r="A80" s="181" t="str">
        <f>CONCATENATE('3 pr-2'!A80)</f>
        <v>1.1.2.2.1</v>
      </c>
      <c r="B80" s="247" t="str">
        <f>CONCATENATE('ketv. 2'!B79)</f>
        <v/>
      </c>
      <c r="C80" s="182" t="str">
        <f>CONCATENATE('3 pr-2'!D80)</f>
        <v>Darnaus judumo priemonių diegimas Alytaus mieste</v>
      </c>
      <c r="D80" s="182" t="str">
        <f>CONCATENATE('3 pr-2'!E80)</f>
        <v>Alytaus miesto savivaldybės administracija</v>
      </c>
      <c r="E80" s="182" t="str">
        <f>CONCATENATE('3 pr-2'!F80)</f>
        <v>Lietuvos Respublikos susisiekimo ministerija</v>
      </c>
      <c r="F80" s="182" t="str">
        <f>CONCATENATE('3 pr-2'!G80)</f>
        <v>Alytaus m. sav.</v>
      </c>
      <c r="G80" s="182" t="str">
        <f>CONCATENATE('3 pr-2'!H80)</f>
        <v>04.5.1.-TID-R-514</v>
      </c>
      <c r="H80" s="182" t="str">
        <f>CONCATENATE('3 pr-2'!I80)</f>
        <v>R</v>
      </c>
      <c r="I80" s="192" t="str">
        <f>CONCATENATE('3 pr-2'!J80)</f>
        <v>ITI</v>
      </c>
      <c r="J80" s="193">
        <f>SUM('3 pr-2'!L80)</f>
        <v>1143469</v>
      </c>
      <c r="K80" s="194">
        <f>SUM('3 pr-2'!O80)</f>
        <v>171520</v>
      </c>
      <c r="L80" s="194">
        <f>SUM('3 pr-2'!R80)</f>
        <v>0</v>
      </c>
      <c r="M80" s="194">
        <f>SUM('3 pr-2'!U80)</f>
        <v>0</v>
      </c>
      <c r="N80" s="194">
        <f>SUM('3 pr-2'!X80)</f>
        <v>0</v>
      </c>
      <c r="O80" s="195">
        <f>SUM('3 pr-2'!AA80)</f>
        <v>971949</v>
      </c>
      <c r="P80" s="213">
        <f>SUM('3 pr-2'!AF80)</f>
        <v>43130</v>
      </c>
      <c r="Q80" s="232"/>
      <c r="R80" s="191">
        <f>IF(Q80&gt;0,P80-Q80,0)</f>
        <v>0</v>
      </c>
      <c r="S80" s="257">
        <f>IF(Q80&gt;0,(P80-Q80)/30.1667,0)</f>
        <v>0</v>
      </c>
    </row>
    <row r="81" spans="1:19" ht="49.5" thickBot="1" x14ac:dyDescent="0.3">
      <c r="A81" s="181" t="str">
        <f>CONCATENATE('3 pr-2'!A81)</f>
        <v>1.1.2.2.2</v>
      </c>
      <c r="B81" s="247" t="str">
        <f>CONCATENATE('ketv. 2'!B80)</f>
        <v>04.5.1-TID-V-513-01-0015</v>
      </c>
      <c r="C81" s="182" t="str">
        <f>CONCATENATE('3 pr-2'!D81)</f>
        <v>Alytaus miesto darnaus judumo plano parengimas</v>
      </c>
      <c r="D81" s="182" t="str">
        <f>CONCATENATE('3 pr-2'!E81)</f>
        <v>Alytaus miesto savivaldybės administracija</v>
      </c>
      <c r="E81" s="182" t="str">
        <f>CONCATENATE('3 pr-2'!F81)</f>
        <v>Lietuvos Respublikos susisiekimo ministerija</v>
      </c>
      <c r="F81" s="182" t="str">
        <f>CONCATENATE('3 pr-2'!G81)</f>
        <v>Alytaus m. sav.</v>
      </c>
      <c r="G81" s="182" t="str">
        <f>CONCATENATE('3 pr-2'!H81)</f>
        <v>04.5.1-TID-V-513</v>
      </c>
      <c r="H81" s="182" t="str">
        <f>CONCATENATE('3 pr-2'!I81)</f>
        <v>V</v>
      </c>
      <c r="I81" s="192" t="str">
        <f>CONCATENATE('3 pr-2'!J81)</f>
        <v>ITI</v>
      </c>
      <c r="J81" s="193">
        <f>SUM('3 pr-2'!L81)</f>
        <v>33638</v>
      </c>
      <c r="K81" s="194">
        <f>SUM('3 pr-2'!O81)</f>
        <v>5045.7</v>
      </c>
      <c r="L81" s="194">
        <f>SUM('3 pr-2'!R81)</f>
        <v>0</v>
      </c>
      <c r="M81" s="194">
        <f>SUM('3 pr-2'!U81)</f>
        <v>0</v>
      </c>
      <c r="N81" s="194">
        <f>SUM('3 pr-2'!X81)</f>
        <v>0</v>
      </c>
      <c r="O81" s="195">
        <f>SUM('3 pr-2'!AA81)</f>
        <v>28592.3</v>
      </c>
      <c r="P81" s="213">
        <f>SUM('3 pr-2'!AF81)</f>
        <v>42643</v>
      </c>
      <c r="Q81" s="263">
        <v>42643</v>
      </c>
      <c r="R81" s="191">
        <f t="shared" ref="R81" si="13">SUM(P81-Q81)</f>
        <v>0</v>
      </c>
      <c r="S81" s="257">
        <f>(P81-Q81)/30.4166666666667</f>
        <v>0</v>
      </c>
    </row>
    <row r="82" spans="1:19" ht="49.5" thickBot="1" x14ac:dyDescent="0.3">
      <c r="A82" s="181" t="str">
        <f>CONCATENATE('3 pr-2'!A82)</f>
        <v>1.1.2.2.3</v>
      </c>
      <c r="B82" s="247" t="str">
        <f>CONCATENATE('ketv. 2'!B81)</f>
        <v/>
      </c>
      <c r="C82" s="182" t="str">
        <f>CONCATENATE('3 pr-2'!D82)</f>
        <v>Intelektinių transporto sistemų diegimas Druskininkuose</v>
      </c>
      <c r="D82" s="182" t="str">
        <f>CONCATENATE('3 pr-2'!E82)</f>
        <v>Druskininkų savivaldybės administracija</v>
      </c>
      <c r="E82" s="182" t="str">
        <f>CONCATENATE('3 pr-2'!F82)</f>
        <v>Lietuvos Respublikos susisiekimo ministerija</v>
      </c>
      <c r="F82" s="182" t="str">
        <f>CONCATENATE('3 pr-2'!G82)</f>
        <v>Druskininkų sav.</v>
      </c>
      <c r="G82" s="182" t="str">
        <f>CONCATENATE('3 pr-2'!H82)</f>
        <v>04.5.1.-TID-R-514</v>
      </c>
      <c r="H82" s="182" t="str">
        <f>CONCATENATE('3 pr-2'!I82)</f>
        <v>R</v>
      </c>
      <c r="I82" s="192" t="str">
        <f>CONCATENATE('3 pr-2'!J82)</f>
        <v>-</v>
      </c>
      <c r="J82" s="193">
        <f>SUM('3 pr-2'!L82)</f>
        <v>160836.24</v>
      </c>
      <c r="K82" s="194">
        <f>SUM('3 pr-2'!O82)</f>
        <v>24125.439999999999</v>
      </c>
      <c r="L82" s="194">
        <f>SUM('3 pr-2'!R82)</f>
        <v>0</v>
      </c>
      <c r="M82" s="194">
        <f>SUM('3 pr-2'!U82)</f>
        <v>0</v>
      </c>
      <c r="N82" s="194">
        <f>SUM('3 pr-2'!X82)</f>
        <v>0</v>
      </c>
      <c r="O82" s="195">
        <f>SUM('3 pr-2'!AA82)</f>
        <v>136710.79999999999</v>
      </c>
      <c r="P82" s="213"/>
      <c r="Q82" s="263"/>
      <c r="R82" s="191">
        <f t="shared" ref="R82:R84" si="14">SUM(P82-Q82)</f>
        <v>0</v>
      </c>
      <c r="S82" s="257">
        <f>(P82-Q82)/30.4166666666667</f>
        <v>0</v>
      </c>
    </row>
    <row r="83" spans="1:19" ht="49.5" thickBot="1" x14ac:dyDescent="0.3">
      <c r="A83" s="181" t="str">
        <f>CONCATENATE('3 pr-2'!A83)</f>
        <v>1.1.2.2.4</v>
      </c>
      <c r="B83" s="247" t="str">
        <f>CONCATENATE('ketv. 2'!B82)</f>
        <v>04.5.1-TID-V-513-01-0006</v>
      </c>
      <c r="C83" s="182" t="str">
        <f>CONCATENATE('3 pr-2'!D83)</f>
        <v>Darnaus judumo plano Druskininkuose parengimas</v>
      </c>
      <c r="D83" s="182" t="str">
        <f>CONCATENATE('3 pr-2'!E83)</f>
        <v>Druskininkų savivaldybės administracija</v>
      </c>
      <c r="E83" s="182" t="str">
        <f>CONCATENATE('3 pr-2'!F83)</f>
        <v>Lietuvos Respublikos susisiekimo ministerija</v>
      </c>
      <c r="F83" s="182" t="str">
        <f>CONCATENATE('3 pr-2'!G83)</f>
        <v>Druskininkų sav.</v>
      </c>
      <c r="G83" s="182" t="str">
        <f>CONCATENATE('3 pr-2'!H83)</f>
        <v>04.5.1-TID-V-513</v>
      </c>
      <c r="H83" s="182" t="str">
        <f>CONCATENATE('3 pr-2'!I83)</f>
        <v>V</v>
      </c>
      <c r="I83" s="192" t="str">
        <f>CONCATENATE('3 pr-2'!J83)</f>
        <v>ITI</v>
      </c>
      <c r="J83" s="193">
        <f>SUM('3 pr-2'!L83)</f>
        <v>17000</v>
      </c>
      <c r="K83" s="194">
        <f>SUM('3 pr-2'!O83)</f>
        <v>2550</v>
      </c>
      <c r="L83" s="194">
        <f>SUM('3 pr-2'!R83)</f>
        <v>0</v>
      </c>
      <c r="M83" s="194">
        <f>SUM('3 pr-2'!U83)</f>
        <v>0</v>
      </c>
      <c r="N83" s="194">
        <f>SUM('3 pr-2'!X83)</f>
        <v>0</v>
      </c>
      <c r="O83" s="195">
        <f>SUM('3 pr-2'!AA83)</f>
        <v>14450</v>
      </c>
      <c r="P83" s="213"/>
      <c r="Q83" s="263"/>
      <c r="R83" s="191">
        <f t="shared" si="14"/>
        <v>0</v>
      </c>
      <c r="S83" s="257">
        <f>(P83-Q83)/30.4166666666667</f>
        <v>0</v>
      </c>
    </row>
    <row r="84" spans="1:19" ht="49.5" thickBot="1" x14ac:dyDescent="0.3">
      <c r="A84" s="181" t="str">
        <f>CONCATENATE('3 pr-2'!A84)</f>
        <v>1.1.2.2.5</v>
      </c>
      <c r="B84" s="247" t="str">
        <f>CONCATENATE('ketv. 2'!B83)</f>
        <v/>
      </c>
      <c r="C84" s="182" t="str">
        <f>CONCATENATE('3 pr-2'!D84)</f>
        <v>Viešojo transporto organizavimo tobulinimas rekonstruojant Druskininkų miesto gatvių infrastruktūrą</v>
      </c>
      <c r="D84" s="182" t="str">
        <f>CONCATENATE('3 pr-2'!E84)</f>
        <v>Druskininkų savivaldybės administracija</v>
      </c>
      <c r="E84" s="182" t="str">
        <f>CONCATENATE('3 pr-2'!F84)</f>
        <v>Lietuvos Respublikos susisiekimo ministerija</v>
      </c>
      <c r="F84" s="182" t="str">
        <f>CONCATENATE('3 pr-2'!G84)</f>
        <v>Druskininkų sav.</v>
      </c>
      <c r="G84" s="182" t="str">
        <f>CONCATENATE('3 pr-2'!H84)</f>
        <v>04.5.1.-TID-R-514</v>
      </c>
      <c r="H84" s="182" t="str">
        <f>CONCATENATE('3 pr-2'!I84)</f>
        <v>R</v>
      </c>
      <c r="I84" s="192" t="str">
        <f>CONCATENATE('3 pr-2'!J84)</f>
        <v>-</v>
      </c>
      <c r="J84" s="193">
        <f>SUM('3 pr-2'!L84)</f>
        <v>290000</v>
      </c>
      <c r="K84" s="194">
        <f>SUM('3 pr-2'!O84)</f>
        <v>43500</v>
      </c>
      <c r="L84" s="194">
        <f>SUM('3 pr-2'!R84)</f>
        <v>0</v>
      </c>
      <c r="M84" s="194">
        <f>SUM('3 pr-2'!U84)</f>
        <v>0</v>
      </c>
      <c r="N84" s="194">
        <f>SUM('3 pr-2'!X84)</f>
        <v>0</v>
      </c>
      <c r="O84" s="195">
        <f>SUM('3 pr-2'!AA84)</f>
        <v>246500</v>
      </c>
      <c r="P84" s="213"/>
      <c r="Q84" s="263"/>
      <c r="R84" s="191">
        <f t="shared" si="14"/>
        <v>0</v>
      </c>
      <c r="S84" s="257">
        <f>(P84-Q84)/30.4166666666667</f>
        <v>0</v>
      </c>
    </row>
    <row r="85" spans="1:19" ht="49.5" thickBot="1" x14ac:dyDescent="0.3">
      <c r="A85" s="181" t="str">
        <f>CONCATENATE('3 pr-2'!A85)</f>
        <v>1.1.2.2.6</v>
      </c>
      <c r="B85" s="247" t="str">
        <f>CONCATENATE('ketv. 2'!B84)</f>
        <v/>
      </c>
      <c r="C85" s="182" t="str">
        <f>CONCATENATE('3 pr-2'!D85)</f>
        <v>Vandens transporto infrastruktūros įrengimas skatinant kitų rūšių transportą</v>
      </c>
      <c r="D85" s="182" t="str">
        <f>CONCATENATE('3 pr-2'!E85)</f>
        <v>Druskininkų savivaldybės administracija</v>
      </c>
      <c r="E85" s="182" t="str">
        <f>CONCATENATE('3 pr-2'!F85)</f>
        <v>Lietuvos Respublikos susisiekimo ministerija</v>
      </c>
      <c r="F85" s="182" t="str">
        <f>CONCATENATE('3 pr-2'!G85)</f>
        <v>Druskininkų sav.</v>
      </c>
      <c r="G85" s="182" t="str">
        <f>CONCATENATE('3 pr-2'!H85)</f>
        <v>04.5.1.-TID-R-514</v>
      </c>
      <c r="H85" s="182" t="str">
        <f>CONCATENATE('3 pr-2'!I85)</f>
        <v>R</v>
      </c>
      <c r="I85" s="192" t="str">
        <f>CONCATENATE('3 pr-2'!J85)</f>
        <v>-</v>
      </c>
      <c r="J85" s="193">
        <f>SUM('3 pr-2'!L85)</f>
        <v>250000</v>
      </c>
      <c r="K85" s="194">
        <f>SUM('3 pr-2'!O85)</f>
        <v>37500</v>
      </c>
      <c r="L85" s="194">
        <f>SUM('3 pr-2'!R85)</f>
        <v>0</v>
      </c>
      <c r="M85" s="194">
        <f>SUM('3 pr-2'!U85)</f>
        <v>0</v>
      </c>
      <c r="N85" s="194">
        <f>SUM('3 pr-2'!X85)</f>
        <v>0</v>
      </c>
      <c r="O85" s="195">
        <f>SUM('3 pr-2'!AA85)</f>
        <v>212500</v>
      </c>
      <c r="P85" s="1299"/>
      <c r="Q85" s="1300"/>
      <c r="R85" s="191"/>
      <c r="S85" s="257"/>
    </row>
    <row r="86" spans="1:19" ht="36.75" customHeight="1" thickBot="1" x14ac:dyDescent="0.3">
      <c r="A86" s="317" t="str">
        <f>CONCATENATE('3 pr-2'!A86)</f>
        <v>1.1.2.3</v>
      </c>
      <c r="B86" s="489"/>
      <c r="C86" s="1890" t="str">
        <f>CONCATENATE('3 pr-2'!B86)</f>
        <v>Priemonė:
Pėsčiųjų ir dviračių takų rekonstrukcija ir plėtra</v>
      </c>
      <c r="D86" s="2031" t="str">
        <f>CONCATENATE('3 pr-2'!E87)</f>
        <v>Varėnos rajono savivaldybės administracija</v>
      </c>
      <c r="E86" s="2031" t="str">
        <f>CONCATENATE('3 pr-2'!F87)</f>
        <v>Lietuvos Respublikos susisiekimo ministerija</v>
      </c>
      <c r="F86" s="2031" t="str">
        <f>CONCATENATE('3 pr-2'!G87)</f>
        <v>Varėnos r. sav.</v>
      </c>
      <c r="G86" s="2031" t="str">
        <f>CONCATENATE('3 pr-2'!H87)</f>
        <v>04.5.1-TID-R-516</v>
      </c>
      <c r="H86" s="2031" t="str">
        <f>CONCATENATE('3 pr-2'!I87)</f>
        <v>R</v>
      </c>
      <c r="I86" s="2031" t="str">
        <f>CONCATENATE('3 pr-2'!J87)</f>
        <v>ITI</v>
      </c>
      <c r="J86" s="490">
        <f>SUM('3 pr-2'!L86)</f>
        <v>490058.56</v>
      </c>
      <c r="K86" s="490">
        <f>SUM('3 pr-2'!O86)</f>
        <v>77351.429999999993</v>
      </c>
      <c r="L86" s="490">
        <f>SUM('3 pr-2'!R86)</f>
        <v>0</v>
      </c>
      <c r="M86" s="490">
        <f>SUM('3 pr-2'!U86)</f>
        <v>0</v>
      </c>
      <c r="N86" s="490">
        <f>SUM('3 pr-2'!X86)</f>
        <v>0</v>
      </c>
      <c r="O86" s="491">
        <f>SUM('3 pr-2'!AA86)</f>
        <v>412707.13</v>
      </c>
      <c r="P86" s="492"/>
      <c r="Q86" s="493"/>
      <c r="R86" s="494">
        <f>SUM(P86-Q86)</f>
        <v>0</v>
      </c>
      <c r="S86" s="494"/>
    </row>
    <row r="87" spans="1:19" ht="49.5" thickBot="1" x14ac:dyDescent="0.3">
      <c r="A87" s="181" t="str">
        <f>CONCATENATE('3 pr-2'!A87)</f>
        <v>1.1.2.3.1</v>
      </c>
      <c r="B87" s="247" t="str">
        <f>CONCATENATE('ketv. 2'!B86)</f>
        <v>04.5.1-TID-R-516-11-0004</v>
      </c>
      <c r="C87" s="182" t="str">
        <f>CONCATENATE('3 pr-2'!D87)</f>
        <v>Dviračių ir pėsčiųjų takų įrengimas Varėnos miesto J. Basanavičiaus ir Žiedo gatvėse</v>
      </c>
      <c r="D87" s="182" t="str">
        <f>CONCATENATE('3 pr-2'!E87)</f>
        <v>Varėnos rajono savivaldybės administracija</v>
      </c>
      <c r="E87" s="182" t="str">
        <f>CONCATENATE('3 pr-2'!F87)</f>
        <v>Lietuvos Respublikos susisiekimo ministerija</v>
      </c>
      <c r="F87" s="182" t="str">
        <f>CONCATENATE('3 pr-2'!G87)</f>
        <v>Varėnos r. sav.</v>
      </c>
      <c r="G87" s="182" t="str">
        <f>CONCATENATE('3 pr-2'!H87)</f>
        <v>04.5.1-TID-R-516</v>
      </c>
      <c r="H87" s="182" t="str">
        <f>CONCATENATE('3 pr-2'!I87)</f>
        <v>R</v>
      </c>
      <c r="I87" s="192" t="str">
        <f>CONCATENATE('3 pr-2'!J87)</f>
        <v>ITI</v>
      </c>
      <c r="J87" s="193">
        <f>SUM('3 pr-2'!L87)</f>
        <v>96513</v>
      </c>
      <c r="K87" s="194">
        <f>SUM('3 pr-2'!O87)</f>
        <v>14477</v>
      </c>
      <c r="L87" s="194">
        <f>SUM('3 pr-2'!R87)</f>
        <v>0</v>
      </c>
      <c r="M87" s="194">
        <f>SUM('3 pr-2'!U87)</f>
        <v>0</v>
      </c>
      <c r="N87" s="194">
        <f>SUM('3 pr-2'!X87)</f>
        <v>0</v>
      </c>
      <c r="O87" s="195">
        <f>SUM('3 pr-2'!AA87)</f>
        <v>82036</v>
      </c>
      <c r="P87" s="213">
        <f>SUM('3 pr-2'!AF87)</f>
        <v>42660</v>
      </c>
      <c r="Q87" s="264">
        <v>42660</v>
      </c>
      <c r="R87" s="191">
        <f t="shared" ref="R87:R90" si="15">SUM(P87-Q87)</f>
        <v>0</v>
      </c>
      <c r="S87" s="257">
        <f>(P87-Q87)/30.4166666666667</f>
        <v>0</v>
      </c>
    </row>
    <row r="88" spans="1:19" ht="49.5" thickBot="1" x14ac:dyDescent="0.3">
      <c r="A88" s="181" t="str">
        <f>CONCATENATE('3 pr-2'!A88)</f>
        <v>1.1.2.3.2</v>
      </c>
      <c r="B88" s="247" t="str">
        <f>CONCATENATE('ketv. 2'!B87)</f>
        <v>04.5.1-TID-R-516-11-0001</v>
      </c>
      <c r="C88" s="182" t="str">
        <f>CONCATENATE('3 pr-2'!D88)</f>
        <v>Dviračių trasų infrastruktūros įrengimas nuo Putinų g. žiedo Pramonės gatvėje, Alytaus mieste</v>
      </c>
      <c r="D88" s="182" t="str">
        <f>CONCATENATE('3 pr-2'!E88)</f>
        <v>Alytaus miesto savivaldybės administracija</v>
      </c>
      <c r="E88" s="182" t="str">
        <f>CONCATENATE('3 pr-2'!F88)</f>
        <v>Lietuvos Respublikos susisiekimo ministerija</v>
      </c>
      <c r="F88" s="182" t="str">
        <f>CONCATENATE('3 pr-2'!G88)</f>
        <v>Alytaus m. sav.</v>
      </c>
      <c r="G88" s="182" t="str">
        <f>CONCATENATE('3 pr-2'!H88)</f>
        <v>04.5.1-TID-R-516</v>
      </c>
      <c r="H88" s="182" t="str">
        <f>CONCATENATE('3 pr-2'!I88)</f>
        <v>R</v>
      </c>
      <c r="I88" s="192" t="str">
        <f>CONCATENATE('3 pr-2'!J88)</f>
        <v>ITI</v>
      </c>
      <c r="J88" s="193">
        <f>SUM('3 pr-2'!L88)</f>
        <v>135732</v>
      </c>
      <c r="K88" s="194">
        <f>SUM('3 pr-2'!O88)</f>
        <v>20400</v>
      </c>
      <c r="L88" s="194">
        <f>SUM('3 pr-2'!R88)</f>
        <v>0</v>
      </c>
      <c r="M88" s="194">
        <f>SUM('3 pr-2'!U88)</f>
        <v>0</v>
      </c>
      <c r="N88" s="194">
        <f>SUM('3 pr-2'!X88)</f>
        <v>0</v>
      </c>
      <c r="O88" s="195">
        <f>SUM('3 pr-2'!AA88)</f>
        <v>115332</v>
      </c>
      <c r="P88" s="213">
        <f>SUM('3 pr-2'!AF88)</f>
        <v>42660</v>
      </c>
      <c r="Q88" s="264">
        <v>42660</v>
      </c>
      <c r="R88" s="191">
        <f t="shared" si="15"/>
        <v>0</v>
      </c>
      <c r="S88" s="257">
        <f>(P88-Q88)/30.4166666666667</f>
        <v>0</v>
      </c>
    </row>
    <row r="89" spans="1:19" ht="49.5" thickBot="1" x14ac:dyDescent="0.3">
      <c r="A89" s="181" t="str">
        <f>CONCATENATE('3 pr-2'!A89)</f>
        <v>1.1.2.3.3</v>
      </c>
      <c r="B89" s="247" t="str">
        <f>CONCATENATE('ketv. 2'!B88)</f>
        <v>04.5.1-TID-R-516-11-0002</v>
      </c>
      <c r="C89" s="182" t="str">
        <f>CONCATENATE('3 pr-2'!D89)</f>
        <v>Dviračių ir pėsčiųjų takų plėtra Lazdijų miesto Turistų gatvėje iki sodų bendrijos „Baltasis“ Lazdijų seniūnijoje</v>
      </c>
      <c r="D89" s="182" t="str">
        <f>CONCATENATE('3 pr-2'!E89)</f>
        <v>Lazdijų rajono savivaldybės administracija</v>
      </c>
      <c r="E89" s="182" t="str">
        <f>CONCATENATE('3 pr-2'!F89)</f>
        <v>Lietuvos Respublikos susisiekimo ministerija</v>
      </c>
      <c r="F89" s="182" t="str">
        <f>CONCATENATE('3 pr-2'!G89)</f>
        <v>Lazdijų r. sav.</v>
      </c>
      <c r="G89" s="182" t="str">
        <f>CONCATENATE('3 pr-2'!H89)</f>
        <v>04.5.1-TID-R-516</v>
      </c>
      <c r="H89" s="182" t="str">
        <f>CONCATENATE('3 pr-2'!I89)</f>
        <v>R</v>
      </c>
      <c r="I89" s="192" t="str">
        <f>CONCATENATE('3 pr-2'!J89)</f>
        <v>ITI</v>
      </c>
      <c r="J89" s="193">
        <f>SUM('3 pr-2'!L89)</f>
        <v>87775</v>
      </c>
      <c r="K89" s="194">
        <f>SUM('3 pr-2'!O89)</f>
        <v>13166</v>
      </c>
      <c r="L89" s="194">
        <f>SUM('3 pr-2'!R89)</f>
        <v>0</v>
      </c>
      <c r="M89" s="194">
        <f>SUM('3 pr-2'!U89)</f>
        <v>0</v>
      </c>
      <c r="N89" s="194">
        <f>SUM('3 pr-2'!X89)</f>
        <v>0</v>
      </c>
      <c r="O89" s="195">
        <f>SUM('3 pr-2'!AA89)</f>
        <v>74609</v>
      </c>
      <c r="P89" s="213">
        <f>SUM('3 pr-2'!AF89)</f>
        <v>42660</v>
      </c>
      <c r="Q89" s="264">
        <v>42660</v>
      </c>
      <c r="R89" s="191">
        <f t="shared" si="15"/>
        <v>0</v>
      </c>
      <c r="S89" s="257">
        <f>(P89-Q89)/30.4166666666667</f>
        <v>0</v>
      </c>
    </row>
    <row r="90" spans="1:19" ht="49.5" thickBot="1" x14ac:dyDescent="0.3">
      <c r="A90" s="181" t="str">
        <f>CONCATENATE('3 pr-2'!A90)</f>
        <v>1.1.2.3.4</v>
      </c>
      <c r="B90" s="247" t="str">
        <f>CONCATENATE('ketv. 2'!B89)</f>
        <v>04.5.1-TID-R-516-11-0005</v>
      </c>
      <c r="C90" s="182" t="str">
        <f>CONCATENATE('3 pr-2'!D90)</f>
        <v>Pėsčiųjų ir dviračių takų plėtra Simno seniūnijoje</v>
      </c>
      <c r="D90" s="182" t="str">
        <f>CONCATENATE('3 pr-2'!E90)</f>
        <v>Alytaus rajono savivaldybės administracija</v>
      </c>
      <c r="E90" s="182" t="str">
        <f>CONCATENATE('3 pr-2'!F90)</f>
        <v>Lietuvos Respublikos susisiekimo ministerija</v>
      </c>
      <c r="F90" s="182" t="str">
        <f>CONCATENATE('3 pr-2'!G90)</f>
        <v>Alytaus r. sav.</v>
      </c>
      <c r="G90" s="182" t="str">
        <f>CONCATENATE('3 pr-2'!H90)</f>
        <v>04.5.1-TID-R-516</v>
      </c>
      <c r="H90" s="182" t="str">
        <f>CONCATENATE('3 pr-2'!I90)</f>
        <v>R</v>
      </c>
      <c r="I90" s="192" t="str">
        <f>CONCATENATE('3 pr-2'!J90)</f>
        <v>-</v>
      </c>
      <c r="J90" s="193">
        <f>SUM('3 pr-2'!L90)</f>
        <v>98949.56</v>
      </c>
      <c r="K90" s="194">
        <f>SUM('3 pr-2'!O90)</f>
        <v>14842.43</v>
      </c>
      <c r="L90" s="194">
        <f>SUM('3 pr-2'!R90)</f>
        <v>0</v>
      </c>
      <c r="M90" s="194">
        <f>SUM('3 pr-2'!U90)</f>
        <v>0</v>
      </c>
      <c r="N90" s="194">
        <f>SUM('3 pr-2'!X90)</f>
        <v>0</v>
      </c>
      <c r="O90" s="195">
        <f>SUM('3 pr-2'!AA90)</f>
        <v>84107.13</v>
      </c>
      <c r="P90" s="213">
        <f>SUM('3 pr-2'!AF90)</f>
        <v>42660</v>
      </c>
      <c r="Q90" s="264">
        <v>42660</v>
      </c>
      <c r="R90" s="191">
        <f t="shared" si="15"/>
        <v>0</v>
      </c>
      <c r="S90" s="257">
        <f>(P90-Q90)/30.4166666666667</f>
        <v>0</v>
      </c>
    </row>
    <row r="91" spans="1:19" ht="49.5" thickBot="1" x14ac:dyDescent="0.3">
      <c r="A91" s="181" t="str">
        <f>CONCATENATE('3 pr-2'!A91)</f>
        <v>1.1.2.3.5</v>
      </c>
      <c r="B91" s="247" t="str">
        <f>CONCATENATE('ketv. 2'!B90)</f>
        <v/>
      </c>
      <c r="C91" s="182" t="str">
        <f>CONCATENATE('3 pr-2'!D91)</f>
        <v>Dviračių ir pėsčiųjų tako, esančio šalia Ratnyčios upelio, Druskininkų mieste, rekonstrukcija</v>
      </c>
      <c r="D91" s="182" t="str">
        <f>CONCATENATE('3 pr-2'!E91)</f>
        <v xml:space="preserve">Druskininkų savivaldybės administracija  </v>
      </c>
      <c r="E91" s="182" t="str">
        <f>CONCATENATE('3 pr-2'!F91)</f>
        <v>Lietuvos Respublikos susisiekimo ministerija</v>
      </c>
      <c r="F91" s="182" t="str">
        <f>CONCATENATE('3 pr-2'!G91)</f>
        <v>Druskininkų sav.</v>
      </c>
      <c r="G91" s="182" t="str">
        <f>CONCATENATE('3 pr-2'!H91)</f>
        <v>04.5.1-TID-R-516</v>
      </c>
      <c r="H91" s="182" t="str">
        <f>CONCATENATE('3 pr-2'!I91)</f>
        <v>R</v>
      </c>
      <c r="I91" s="192" t="str">
        <f>CONCATENATE('3 pr-2'!J91)</f>
        <v>-</v>
      </c>
      <c r="J91" s="193">
        <f>SUM('3 pr-2'!L91)</f>
        <v>71089</v>
      </c>
      <c r="K91" s="194">
        <f>SUM('3 pr-2'!O91)</f>
        <v>14466</v>
      </c>
      <c r="L91" s="194">
        <f>SUM('3 pr-2'!R91)</f>
        <v>0</v>
      </c>
      <c r="M91" s="194">
        <f>SUM('3 pr-2'!U91)</f>
        <v>0</v>
      </c>
      <c r="N91" s="194">
        <f>SUM('3 pr-2'!X91)</f>
        <v>0</v>
      </c>
      <c r="O91" s="195">
        <f>SUM('3 pr-2'!AA91)</f>
        <v>56623</v>
      </c>
      <c r="P91" s="213">
        <f>SUM('3 pr-2'!AF91)</f>
        <v>42660</v>
      </c>
      <c r="Q91" s="264">
        <v>42660</v>
      </c>
      <c r="R91" s="191">
        <f>SUM(P91-Q91)</f>
        <v>0</v>
      </c>
      <c r="S91" s="257">
        <f>(P91-Q91)/30.4166666666667</f>
        <v>0</v>
      </c>
    </row>
    <row r="92" spans="1:19" ht="42.75" customHeight="1" thickBot="1" x14ac:dyDescent="0.3">
      <c r="A92" s="317" t="str">
        <f>CONCATENATE('3 pr-2'!A92)</f>
        <v>1.1.2.4</v>
      </c>
      <c r="B92" s="489" t="str">
        <f>CONCATENATE('ketv. 2'!B91)</f>
        <v/>
      </c>
      <c r="C92" s="1890" t="str">
        <f>CONCATENATE('3 pr-2'!B92)</f>
        <v>Priemonė:
Vietinių kelių techninių parametrų ir eismo saugos gerinimas</v>
      </c>
      <c r="D92" s="2031" t="str">
        <f>CONCATENATE('3 pr-2'!E93)</f>
        <v>Varėnos rajono savivaldybės administracija</v>
      </c>
      <c r="E92" s="2031" t="str">
        <f>CONCATENATE('3 pr-2'!F93)</f>
        <v>Lietuvos Respublikos susisiekimo ministerija</v>
      </c>
      <c r="F92" s="2031" t="str">
        <f>CONCATENATE('3 pr-2'!G93)</f>
        <v>Varėnos r. sav.</v>
      </c>
      <c r="G92" s="2031" t="str">
        <f>CONCATENATE('3 pr-2'!H93)</f>
        <v>06.2.1-TID-R-511</v>
      </c>
      <c r="H92" s="2031" t="str">
        <f>CONCATENATE('3 pr-2'!I93)</f>
        <v>R</v>
      </c>
      <c r="I92" s="2031" t="str">
        <f>CONCATENATE('3 pr-2'!J93)</f>
        <v>ITI</v>
      </c>
      <c r="J92" s="490">
        <f>SUM('3 pr-2'!L92)</f>
        <v>4981539.82</v>
      </c>
      <c r="K92" s="490">
        <f>SUM('3 pr-2'!O92)</f>
        <v>1866072.8199999998</v>
      </c>
      <c r="L92" s="490">
        <f>SUM('3 pr-2'!R92)</f>
        <v>0</v>
      </c>
      <c r="M92" s="490">
        <f>SUM('3 pr-2'!U92)</f>
        <v>0</v>
      </c>
      <c r="N92" s="490">
        <f>SUM('3 pr-2'!X92)</f>
        <v>62660</v>
      </c>
      <c r="O92" s="491">
        <f>SUM('3 pr-2'!AA92)</f>
        <v>3052807</v>
      </c>
      <c r="P92" s="492"/>
      <c r="Q92" s="493"/>
      <c r="R92" s="494"/>
      <c r="S92" s="494"/>
    </row>
    <row r="93" spans="1:19" ht="49.5" thickBot="1" x14ac:dyDescent="0.3">
      <c r="A93" s="181" t="str">
        <f>CONCATENATE('3 pr-2'!A93)</f>
        <v>1.1.2.4.1</v>
      </c>
      <c r="B93" s="247" t="str">
        <f>CONCATENATE('ketv. 2'!B92)</f>
        <v>06.2.1-TID-R-511-11-0002</v>
      </c>
      <c r="C93" s="182" t="str">
        <f>CONCATENATE('3 pr-2'!D93)</f>
        <v>Varėnos miesto J. Basanavičiaus, Savanorių ir M. K. Čiurlionio gatvių rekonstrukcija</v>
      </c>
      <c r="D93" s="182" t="str">
        <f>CONCATENATE('3 pr-2'!E93)</f>
        <v>Varėnos rajono savivaldybės administracija</v>
      </c>
      <c r="E93" s="182" t="str">
        <f>CONCATENATE('3 pr-2'!F93)</f>
        <v>Lietuvos Respublikos susisiekimo ministerija</v>
      </c>
      <c r="F93" s="182" t="str">
        <f>CONCATENATE('3 pr-2'!G93)</f>
        <v>Varėnos r. sav.</v>
      </c>
      <c r="G93" s="182" t="str">
        <f>CONCATENATE('3 pr-2'!H93)</f>
        <v>06.2.1-TID-R-511</v>
      </c>
      <c r="H93" s="182" t="str">
        <f>CONCATENATE('3 pr-2'!I93)</f>
        <v>R</v>
      </c>
      <c r="I93" s="192" t="str">
        <f>CONCATENATE('3 pr-2'!J93)</f>
        <v>ITI</v>
      </c>
      <c r="J93" s="193">
        <f>SUM('3 pr-2'!L93)</f>
        <v>835464</v>
      </c>
      <c r="K93" s="194">
        <f>SUM('3 pr-2'!O93)</f>
        <v>62660</v>
      </c>
      <c r="L93" s="194">
        <f>SUM('3 pr-2'!R93)</f>
        <v>0</v>
      </c>
      <c r="M93" s="194">
        <f>SUM('3 pr-2'!U93)</f>
        <v>0</v>
      </c>
      <c r="N93" s="194">
        <f>SUM('3 pr-2'!X93)</f>
        <v>62660</v>
      </c>
      <c r="O93" s="195">
        <f>SUM('3 pr-2'!AA93)</f>
        <v>710144</v>
      </c>
      <c r="P93" s="213">
        <f>SUM('3 pr-2'!AF93)</f>
        <v>42639</v>
      </c>
      <c r="Q93" s="262">
        <v>42636</v>
      </c>
      <c r="R93" s="191">
        <f t="shared" ref="R93:R96" si="16">SUM(P93-Q93)</f>
        <v>3</v>
      </c>
      <c r="S93" s="257">
        <f t="shared" ref="S93:S98" si="17">(P93-Q93)/30.4166666666667</f>
        <v>9.8630136986301256E-2</v>
      </c>
    </row>
    <row r="94" spans="1:19" ht="49.5" thickBot="1" x14ac:dyDescent="0.3">
      <c r="A94" s="181" t="str">
        <f>CONCATENATE('3 pr-2'!A94)</f>
        <v>1.1.2.4.2</v>
      </c>
      <c r="B94" s="247" t="str">
        <f>CONCATENATE('ketv. 2'!B93)</f>
        <v>06.2.1-TID-R-511-11-0001</v>
      </c>
      <c r="C94" s="182" t="str">
        <f>CONCATENATE('3 pr-2'!D94)</f>
        <v>Perspektyvinės gatvės nuo Pramonės g. iki Naujosios g. Alytuje įrengimas</v>
      </c>
      <c r="D94" s="182" t="str">
        <f>CONCATENATE('3 pr-2'!E94)</f>
        <v>Alytaus miesto savivaldybės administracija</v>
      </c>
      <c r="E94" s="182" t="str">
        <f>CONCATENATE('3 pr-2'!F94)</f>
        <v>Lietuvos Respublikos susisiekimo ministerija</v>
      </c>
      <c r="F94" s="182" t="str">
        <f>CONCATENATE('3 pr-2'!G94)</f>
        <v>Alytaus m. sav.</v>
      </c>
      <c r="G94" s="182" t="str">
        <f>CONCATENATE('3 pr-2'!H94)</f>
        <v>06.2.1-TID-R-511</v>
      </c>
      <c r="H94" s="182" t="str">
        <f>CONCATENATE('3 pr-2'!I94)</f>
        <v>R</v>
      </c>
      <c r="I94" s="192" t="str">
        <f>CONCATENATE('3 pr-2'!J94)</f>
        <v>ITI</v>
      </c>
      <c r="J94" s="193">
        <f>SUM('3 pr-2'!L94)</f>
        <v>1402213</v>
      </c>
      <c r="K94" s="194">
        <f>SUM('3 pr-2'!O94)</f>
        <v>654275</v>
      </c>
      <c r="L94" s="194">
        <f>SUM('3 pr-2'!R94)</f>
        <v>0</v>
      </c>
      <c r="M94" s="194">
        <f>SUM('3 pr-2'!U94)</f>
        <v>0</v>
      </c>
      <c r="N94" s="194">
        <f>SUM('3 pr-2'!X94)</f>
        <v>0</v>
      </c>
      <c r="O94" s="195">
        <f>SUM('3 pr-2'!AA94)</f>
        <v>747938</v>
      </c>
      <c r="P94" s="213">
        <f>SUM('3 pr-2'!AF94)</f>
        <v>42639</v>
      </c>
      <c r="Q94" s="262">
        <v>42639</v>
      </c>
      <c r="R94" s="191">
        <f t="shared" si="16"/>
        <v>0</v>
      </c>
      <c r="S94" s="257">
        <f t="shared" si="17"/>
        <v>0</v>
      </c>
    </row>
    <row r="95" spans="1:19" ht="49.5" thickBot="1" x14ac:dyDescent="0.3">
      <c r="A95" s="181" t="str">
        <f>CONCATENATE('3 pr-2'!A95)</f>
        <v>1.1.2.4.3.</v>
      </c>
      <c r="B95" s="247" t="str">
        <f>CONCATENATE('ketv. 2'!B94)</f>
        <v>06.2.1-TID-R-511-11-0008</v>
      </c>
      <c r="C95" s="182" t="str">
        <f>CONCATENATE('3 pr-2'!D95)</f>
        <v>Saugaus eismo priemonių diegimas Alytaus mieste</v>
      </c>
      <c r="D95" s="182" t="str">
        <f>CONCATENATE('3 pr-2'!E95)</f>
        <v>Alytaus miesto savivaldybės administracija</v>
      </c>
      <c r="E95" s="182" t="str">
        <f>CONCATENATE('3 pr-2'!F95)</f>
        <v>Lietuvos Respublikos susisiekimo ministerija</v>
      </c>
      <c r="F95" s="182" t="str">
        <f>CONCATENATE('3 pr-2'!G95)</f>
        <v>Alytaus m. sav.</v>
      </c>
      <c r="G95" s="182" t="str">
        <f>CONCATENATE('3 pr-2'!H95)</f>
        <v>06.2.1-TID-R-511</v>
      </c>
      <c r="H95" s="182" t="str">
        <f>CONCATENATE('3 pr-2'!I95)</f>
        <v>R</v>
      </c>
      <c r="I95" s="192" t="str">
        <f>CONCATENATE('3 pr-2'!J95)</f>
        <v>-</v>
      </c>
      <c r="J95" s="193">
        <f>SUM('3 pr-2'!L95)</f>
        <v>315614.59999999998</v>
      </c>
      <c r="K95" s="194">
        <f>SUM('3 pr-2'!O95)</f>
        <v>65315.6</v>
      </c>
      <c r="L95" s="194">
        <f>SUM('3 pr-2'!R95)</f>
        <v>0</v>
      </c>
      <c r="M95" s="194">
        <f>SUM('3 pr-2'!U95)</f>
        <v>0</v>
      </c>
      <c r="N95" s="194">
        <f>SUM('3 pr-2'!X95)</f>
        <v>0</v>
      </c>
      <c r="O95" s="195">
        <f>SUM('3 pr-2'!AA95)</f>
        <v>250299</v>
      </c>
      <c r="P95" s="213">
        <f>SUM('3 pr-2'!AF95)</f>
        <v>42639</v>
      </c>
      <c r="Q95" s="264">
        <v>42639</v>
      </c>
      <c r="R95" s="191">
        <f t="shared" si="16"/>
        <v>0</v>
      </c>
      <c r="S95" s="257">
        <f t="shared" si="17"/>
        <v>0</v>
      </c>
    </row>
    <row r="96" spans="1:19" ht="49.5" thickBot="1" x14ac:dyDescent="0.3">
      <c r="A96" s="181" t="str">
        <f>CONCATENATE('3 pr-2'!A96)</f>
        <v>1.1.2.4.4</v>
      </c>
      <c r="B96" s="247" t="str">
        <f>CONCATENATE('ketv. 2'!B95)</f>
        <v>06.2.1-TID-R-511-11-0006</v>
      </c>
      <c r="C96" s="182" t="str">
        <f>CONCATENATE('3 pr-2'!D96)</f>
        <v>Eismo saugos priemonių diegimas Alytaus rajone</v>
      </c>
      <c r="D96" s="182" t="str">
        <f>CONCATENATE('3 pr-2'!E96)</f>
        <v>Alytaus rajono savivaldybės administracija</v>
      </c>
      <c r="E96" s="182" t="str">
        <f>CONCATENATE('3 pr-2'!F96)</f>
        <v>Lietuvos Respublikos susisiekimo ministerija</v>
      </c>
      <c r="F96" s="182" t="str">
        <f>CONCATENATE('3 pr-2'!G96)</f>
        <v>Alytaus r. sav.</v>
      </c>
      <c r="G96" s="182" t="str">
        <f>CONCATENATE('3 pr-2'!H96)</f>
        <v>06.2.1-TID-R-511</v>
      </c>
      <c r="H96" s="182" t="str">
        <f>CONCATENATE('3 pr-2'!I96)</f>
        <v>R</v>
      </c>
      <c r="I96" s="192" t="str">
        <f>CONCATENATE('3 pr-2'!J96)</f>
        <v>-</v>
      </c>
      <c r="J96" s="193">
        <f>SUM('3 pr-2'!L96)</f>
        <v>274817.98</v>
      </c>
      <c r="K96" s="194">
        <f>SUM('3 pr-2'!O96)</f>
        <v>73973.98</v>
      </c>
      <c r="L96" s="194">
        <f>SUM('3 pr-2'!R96)</f>
        <v>0</v>
      </c>
      <c r="M96" s="194">
        <f>SUM('3 pr-2'!U96)</f>
        <v>0</v>
      </c>
      <c r="N96" s="194">
        <f>SUM('3 pr-2'!X96)</f>
        <v>0</v>
      </c>
      <c r="O96" s="195">
        <f>SUM('3 pr-2'!AA96)</f>
        <v>200844</v>
      </c>
      <c r="P96" s="213">
        <f>SUM('3 pr-2'!AF96)</f>
        <v>42639</v>
      </c>
      <c r="Q96" s="264">
        <v>42639</v>
      </c>
      <c r="R96" s="191">
        <f t="shared" si="16"/>
        <v>0</v>
      </c>
      <c r="S96" s="257">
        <f t="shared" si="17"/>
        <v>0</v>
      </c>
    </row>
    <row r="97" spans="1:19" ht="49.5" thickBot="1" x14ac:dyDescent="0.3">
      <c r="A97" s="181" t="str">
        <f>CONCATENATE('3 pr-2'!A97)</f>
        <v>1.1.2.4.5</v>
      </c>
      <c r="B97" s="247" t="str">
        <f>CONCATENATE('ketv. 2'!B96)</f>
        <v>06.2.1-TID-R-511-11-0007</v>
      </c>
      <c r="C97" s="182" t="str">
        <f>CONCATENATE('3 pr-2'!D97)</f>
        <v>M. K. Čiurlionio gatvės atkarpos Druskininkų m. rekonstrukcija</v>
      </c>
      <c r="D97" s="182" t="str">
        <f>CONCATENATE('3 pr-2'!E97)</f>
        <v xml:space="preserve">Druskininkų savivaldybės administracija  </v>
      </c>
      <c r="E97" s="182" t="str">
        <f>CONCATENATE('3 pr-2'!F97)</f>
        <v>Lietuvos Respublikos susisiekimo ministerija</v>
      </c>
      <c r="F97" s="182" t="str">
        <f>CONCATENATE('3 pr-2'!G97)</f>
        <v>Druskininkų sav.</v>
      </c>
      <c r="G97" s="182" t="str">
        <f>CONCATENATE('3 pr-2'!H97)</f>
        <v>06.2.1-TID-R-511</v>
      </c>
      <c r="H97" s="182" t="str">
        <f>CONCATENATE('3 pr-2'!I97)</f>
        <v>R</v>
      </c>
      <c r="I97" s="192" t="str">
        <f>CONCATENATE('3 pr-2'!J97)</f>
        <v>-</v>
      </c>
      <c r="J97" s="193">
        <f>SUM('3 pr-2'!L97)</f>
        <v>1258144.24</v>
      </c>
      <c r="K97" s="194">
        <f>SUM('3 pr-2'!O97)</f>
        <v>873495.24</v>
      </c>
      <c r="L97" s="194">
        <f>SUM('3 pr-2'!R97)</f>
        <v>0</v>
      </c>
      <c r="M97" s="194">
        <f>SUM('3 pr-2'!U97)</f>
        <v>0</v>
      </c>
      <c r="N97" s="194">
        <f>SUM('3 pr-2'!X97)</f>
        <v>0</v>
      </c>
      <c r="O97" s="195">
        <f>SUM('3 pr-2'!AA97)</f>
        <v>384649</v>
      </c>
      <c r="P97" s="213">
        <f>SUM('3 pr-2'!AF97)</f>
        <v>42639</v>
      </c>
      <c r="Q97" s="262">
        <v>42640</v>
      </c>
      <c r="R97" s="191">
        <f>SUM(P97-Q97)</f>
        <v>-1</v>
      </c>
      <c r="S97" s="257">
        <f t="shared" si="17"/>
        <v>-3.2876712328767085E-2</v>
      </c>
    </row>
    <row r="98" spans="1:19" ht="45.75" customHeight="1" thickBot="1" x14ac:dyDescent="0.3">
      <c r="A98" s="181" t="str">
        <f>CONCATENATE('3 pr-2'!A98)</f>
        <v>1.1.2.4.6</v>
      </c>
      <c r="B98" s="247" t="str">
        <f>CONCATENATE('ketv. 2'!B97)</f>
        <v>06.2.1-TID-R-511-11-0004</v>
      </c>
      <c r="C98" s="182" t="str">
        <f>CONCATENATE('3 pr-2'!D98)</f>
        <v>Lazdijų miesto Seinų ir Lazdijos gatvių bei vietinės reikšmės kelio nuo Janonio gatvės iki Lazdijų hipodromo rekonstravimas</v>
      </c>
      <c r="D98" s="182" t="str">
        <f>CONCATENATE('3 pr-2'!E98)</f>
        <v>Lazdijų rajono savivaldybės administracija</v>
      </c>
      <c r="E98" s="182" t="str">
        <f>CONCATENATE('3 pr-2'!F98)</f>
        <v>Lietuvos Respublikos susisiekimo ministerija</v>
      </c>
      <c r="F98" s="182" t="str">
        <f>CONCATENATE('3 pr-2'!G98)</f>
        <v>Lazdijų r. sav.</v>
      </c>
      <c r="G98" s="182" t="str">
        <f>CONCATENATE('3 pr-2'!H98)</f>
        <v>06.2.1-TID-R-511</v>
      </c>
      <c r="H98" s="182" t="str">
        <f>CONCATENATE('3 pr-2'!I98)</f>
        <v>R</v>
      </c>
      <c r="I98" s="192" t="str">
        <f>CONCATENATE('3 pr-2'!J98)</f>
        <v>ITI</v>
      </c>
      <c r="J98" s="193">
        <f>SUM('3 pr-2'!L98)</f>
        <v>759934</v>
      </c>
      <c r="K98" s="194">
        <f>SUM('3 pr-2'!O98)</f>
        <v>113990</v>
      </c>
      <c r="L98" s="194">
        <f>SUM('3 pr-2'!R98)</f>
        <v>0</v>
      </c>
      <c r="M98" s="194">
        <f>SUM('3 pr-2'!U98)</f>
        <v>0</v>
      </c>
      <c r="N98" s="194">
        <f>SUM('3 pr-2'!X98)</f>
        <v>0</v>
      </c>
      <c r="O98" s="195">
        <f>SUM('3 pr-2'!AA98)</f>
        <v>645944</v>
      </c>
      <c r="P98" s="213">
        <f>SUM('3 pr-2'!AF98)</f>
        <v>42639</v>
      </c>
      <c r="Q98" s="264">
        <v>42639</v>
      </c>
      <c r="R98" s="191">
        <f t="shared" ref="R98" si="18">IF((YEAR(P98)-YEAR(Q98))=0,0,YEAR(P98)-YEAR(Q98))</f>
        <v>0</v>
      </c>
      <c r="S98" s="257">
        <f t="shared" si="17"/>
        <v>0</v>
      </c>
    </row>
    <row r="99" spans="1:19" ht="45.75" customHeight="1" thickBot="1" x14ac:dyDescent="0.3">
      <c r="A99" s="181" t="str">
        <f>CONCATENATE('3 pr-2'!A99)</f>
        <v>1.1.2.4.7</v>
      </c>
      <c r="B99" s="247" t="str">
        <f>CONCATENATE('ketv. 2'!B98)</f>
        <v/>
      </c>
      <c r="C99" s="182" t="str">
        <f>CONCATENATE('3 pr-2'!D99)</f>
        <v>Eismo saugumo priemonių diegimas Druskininkų savivaldybėje</v>
      </c>
      <c r="D99" s="182" t="str">
        <f>CONCATENATE('3 pr-2'!E99)</f>
        <v xml:space="preserve">Druskininkų savivaldybės administracija  </v>
      </c>
      <c r="E99" s="182" t="str">
        <f>CONCATENATE('3 pr-2'!F99)</f>
        <v>Lietuvos Respublikos susisiekimo ministerija</v>
      </c>
      <c r="F99" s="182" t="str">
        <f>CONCATENATE('3 pr-2'!G99)</f>
        <v>Druskininkų sav.</v>
      </c>
      <c r="G99" s="182" t="str">
        <f>CONCATENATE('3 pr-2'!H99)</f>
        <v>06.2.1-TID-R-511</v>
      </c>
      <c r="H99" s="182" t="str">
        <f>CONCATENATE('3 pr-2'!I99)</f>
        <v>R</v>
      </c>
      <c r="I99" s="192" t="str">
        <f>CONCATENATE('3 pr-2'!J99)</f>
        <v>-</v>
      </c>
      <c r="J99" s="193">
        <f>SUM('3 pr-2'!L99)</f>
        <v>135352</v>
      </c>
      <c r="K99" s="194">
        <f>SUM('3 pr-2'!O99)</f>
        <v>22363</v>
      </c>
      <c r="L99" s="194">
        <f>SUM('3 pr-2'!R99)</f>
        <v>0</v>
      </c>
      <c r="M99" s="194">
        <f>SUM('3 pr-2'!U99)</f>
        <v>0</v>
      </c>
      <c r="N99" s="194">
        <f>SUM('3 pr-2'!X99)</f>
        <v>0</v>
      </c>
      <c r="O99" s="195">
        <f>SUM('3 pr-2'!AA99)</f>
        <v>112989</v>
      </c>
      <c r="P99" s="1302"/>
      <c r="Q99" s="264"/>
      <c r="R99" s="191"/>
      <c r="S99" s="257"/>
    </row>
    <row r="100" spans="1:19" ht="48" customHeight="1" thickBot="1" x14ac:dyDescent="0.3">
      <c r="A100" s="156" t="str">
        <f>CONCATENATE('3 pr-2'!A100)</f>
        <v>2.1.</v>
      </c>
      <c r="B100" s="247" t="str">
        <f>CONCATENATE('ketv. 2'!B99)</f>
        <v/>
      </c>
      <c r="C100" s="1905" t="str">
        <f>CONCATENATE('3 pr-2'!B100)</f>
        <v>Tikslas:
GERINTI VIEŠŲJŲ  PASLAUGŲ KOKYBĘ IR PRIEINAMUMĄ</v>
      </c>
      <c r="D100" s="2032" t="str">
        <f>CONCATENATE('3 pr-2'!E100)</f>
        <v/>
      </c>
      <c r="E100" s="2032" t="str">
        <f>CONCATENATE('3 pr-2'!F100)</f>
        <v/>
      </c>
      <c r="F100" s="2032" t="str">
        <f>CONCATENATE('3 pr-2'!G100)</f>
        <v/>
      </c>
      <c r="G100" s="2032" t="str">
        <f>CONCATENATE('3 pr-2'!H100)</f>
        <v/>
      </c>
      <c r="H100" s="2032" t="str">
        <f>CONCATENATE('3 pr-2'!I100)</f>
        <v/>
      </c>
      <c r="I100" s="2032" t="str">
        <f>CONCATENATE('3 pr-2'!J100)</f>
        <v/>
      </c>
      <c r="J100" s="221">
        <f>SUM('3 pr-2'!L100)</f>
        <v>12593641.73</v>
      </c>
      <c r="K100" s="222">
        <f>SUM('3 pr-2'!O100)</f>
        <v>1894321.3399999999</v>
      </c>
      <c r="L100" s="222">
        <f>SUM('3 pr-2'!R100)</f>
        <v>411995.91</v>
      </c>
      <c r="M100" s="222">
        <f>SUM('3 pr-2'!U100)</f>
        <v>40158</v>
      </c>
      <c r="N100" s="222">
        <f>SUM('3 pr-2'!X100)</f>
        <v>1299.95</v>
      </c>
      <c r="O100" s="223">
        <f>SUM('3 pr-2'!AA100)</f>
        <v>10245866.530000001</v>
      </c>
      <c r="P100" s="204" t="s">
        <v>690</v>
      </c>
      <c r="Q100" s="187" t="s">
        <v>690</v>
      </c>
      <c r="R100" s="188" t="s">
        <v>690</v>
      </c>
      <c r="S100" s="188"/>
    </row>
    <row r="101" spans="1:19" ht="59.25" customHeight="1" thickBot="1" x14ac:dyDescent="0.3">
      <c r="A101" s="155" t="str">
        <f>CONCATENATE('3 pr-2'!A101)</f>
        <v>2.1.1.</v>
      </c>
      <c r="B101" s="247" t="str">
        <f>CONCATENATE('ketv. 2'!B100)</f>
        <v/>
      </c>
      <c r="C101" s="1902" t="str">
        <f>CONCATENATE('3 pr-2'!B101)</f>
        <v xml:space="preserve">Uždavinys:
Bendrojo ugdymo ir neformaliojo švietimo įstaigų (ypač vykdančių ikimokyklinio ir priešmokyklinio ugdymo programas) tinklo veiklos efektyvumo didinimas </v>
      </c>
      <c r="D101" s="2030" t="str">
        <f>CONCATENATE('3 pr-2'!E101)</f>
        <v/>
      </c>
      <c r="E101" s="2030" t="str">
        <f>CONCATENATE('3 pr-2'!F101)</f>
        <v/>
      </c>
      <c r="F101" s="2030" t="str">
        <f>CONCATENATE('3 pr-2'!G101)</f>
        <v/>
      </c>
      <c r="G101" s="2030" t="str">
        <f>CONCATENATE('3 pr-2'!H101)</f>
        <v/>
      </c>
      <c r="H101" s="2030" t="str">
        <f>CONCATENATE('3 pr-2'!I101)</f>
        <v/>
      </c>
      <c r="I101" s="2030" t="str">
        <f>CONCATENATE('3 pr-2'!J101)</f>
        <v/>
      </c>
      <c r="J101" s="220">
        <f>SUM('3 pr-2'!L101)</f>
        <v>4776867.3599999994</v>
      </c>
      <c r="K101" s="220">
        <f>SUM('3 pr-2'!O101)</f>
        <v>808633.36</v>
      </c>
      <c r="L101" s="220">
        <f>SUM('3 pr-2'!R101)</f>
        <v>201262</v>
      </c>
      <c r="M101" s="220">
        <f>SUM('3 pr-2'!U101)</f>
        <v>0</v>
      </c>
      <c r="N101" s="220">
        <f>SUM('3 pr-2'!X101)</f>
        <v>0</v>
      </c>
      <c r="O101" s="220">
        <f>SUM('3 pr-2'!AA101)</f>
        <v>3766972</v>
      </c>
      <c r="P101" s="205" t="s">
        <v>690</v>
      </c>
      <c r="Q101" s="189" t="s">
        <v>690</v>
      </c>
      <c r="R101" s="190" t="s">
        <v>690</v>
      </c>
      <c r="S101" s="190"/>
    </row>
    <row r="102" spans="1:19" ht="37.5" customHeight="1" thickBot="1" x14ac:dyDescent="0.3">
      <c r="A102" s="317" t="str">
        <f>CONCATENATE('3 pr-2'!A102)</f>
        <v>2.1.1.1</v>
      </c>
      <c r="B102" s="489" t="str">
        <f>CONCATENATE('ketv. 2'!B101)</f>
        <v/>
      </c>
      <c r="C102" s="1890" t="str">
        <f>CONCATENATE('3 pr-2'!B101)</f>
        <v xml:space="preserve">Uždavinys:
Bendrojo ugdymo ir neformaliojo švietimo įstaigų (ypač vykdančių ikimokyklinio ir priešmokyklinio ugdymo programas) tinklo veiklos efektyvumo didinimas </v>
      </c>
      <c r="D102" s="2031" t="str">
        <f>CONCATENATE('3 pr-2'!E102)</f>
        <v/>
      </c>
      <c r="E102" s="2031" t="str">
        <f>CONCATENATE('3 pr-2'!F102)</f>
        <v/>
      </c>
      <c r="F102" s="2031" t="str">
        <f>CONCATENATE('3 pr-2'!G102)</f>
        <v/>
      </c>
      <c r="G102" s="2031" t="str">
        <f>CONCATENATE('3 pr-2'!H102)</f>
        <v/>
      </c>
      <c r="H102" s="2031" t="str">
        <f>CONCATENATE('3 pr-2'!I102)</f>
        <v/>
      </c>
      <c r="I102" s="2031" t="str">
        <f>CONCATENATE('3 pr-2'!J102)</f>
        <v/>
      </c>
      <c r="J102" s="490">
        <f>SUM('3 pr-2'!L102)</f>
        <v>1343975.4100000001</v>
      </c>
      <c r="K102" s="490">
        <f>SUM('3 pr-2'!O102)</f>
        <v>100799.41</v>
      </c>
      <c r="L102" s="490">
        <f>SUM('3 pr-2'!R102)</f>
        <v>100799</v>
      </c>
      <c r="M102" s="490">
        <f>SUM('3 pr-2'!U102)</f>
        <v>0</v>
      </c>
      <c r="N102" s="490">
        <f>SUM('3 pr-2'!X102)</f>
        <v>0</v>
      </c>
      <c r="O102" s="491">
        <f>SUM('3 pr-2'!AA102)</f>
        <v>1142377</v>
      </c>
      <c r="P102" s="492"/>
      <c r="Q102" s="493"/>
      <c r="R102" s="494"/>
      <c r="S102" s="494"/>
    </row>
    <row r="103" spans="1:19" ht="61.5" thickBot="1" x14ac:dyDescent="0.3">
      <c r="A103" s="181" t="str">
        <f>CONCATENATE('3 pr-2'!A103)</f>
        <v>2.1.1.1.1</v>
      </c>
      <c r="B103" s="247" t="str">
        <f>CONCATENATE('ketv. 2'!B102)</f>
        <v>09.1.3-CPVA-R-724-11-0003</v>
      </c>
      <c r="C103" s="182" t="str">
        <f>CONCATENATE('3 pr-2'!D103)</f>
        <v>Varėnos r. Merkinės Vinco Krėvės gimnazijos laisvų patalpų pritaikymas ikimokyklinio ir priešmokyklinio ugdymo grupėms įrengti</v>
      </c>
      <c r="D103" s="182" t="str">
        <f>CONCATENATE('3 pr-2'!E103)</f>
        <v>Varėnos rajono savivaldybės administracija</v>
      </c>
      <c r="E103" s="182" t="str">
        <f>CONCATENATE('3 pr-2'!F103)</f>
        <v>Lietuvos Respublikos švietimo ir mokslo ministerija</v>
      </c>
      <c r="F103" s="182" t="str">
        <f>CONCATENATE('3 pr-2'!G103)</f>
        <v>Varėnos r. sav.</v>
      </c>
      <c r="G103" s="182" t="str">
        <f>CONCATENATE('3 pr-2'!H103)</f>
        <v>09.1.3-CPVA-R-724</v>
      </c>
      <c r="H103" s="182" t="str">
        <f>CONCATENATE('3 pr-2'!I103)</f>
        <v>R</v>
      </c>
      <c r="I103" s="192" t="str">
        <f>CONCATENATE('3 pr-2'!J103)</f>
        <v>-</v>
      </c>
      <c r="J103" s="193">
        <f>SUM('3 pr-2'!L103)</f>
        <v>220453</v>
      </c>
      <c r="K103" s="194">
        <f>SUM('3 pr-2'!O103)</f>
        <v>16534</v>
      </c>
      <c r="L103" s="194">
        <f>SUM('3 pr-2'!R103)</f>
        <v>16534</v>
      </c>
      <c r="M103" s="194">
        <f>SUM('3 pr-2'!U103)</f>
        <v>0</v>
      </c>
      <c r="N103" s="194">
        <f>SUM('3 pr-2'!X103)</f>
        <v>0</v>
      </c>
      <c r="O103" s="195">
        <f>SUM('3 pr-2'!AA103)</f>
        <v>187385</v>
      </c>
      <c r="P103" s="213">
        <f>SUM('3 pr-2'!AF103)</f>
        <v>42863</v>
      </c>
      <c r="Q103" s="263">
        <v>42863</v>
      </c>
      <c r="R103" s="191">
        <f t="shared" ref="R103:R106" si="19">SUM(P103-Q103)</f>
        <v>0</v>
      </c>
      <c r="S103" s="257">
        <f t="shared" ref="S103:S107" si="20">(P103-Q103)/30.4166666666667</f>
        <v>0</v>
      </c>
    </row>
    <row r="104" spans="1:19" ht="61.5" thickBot="1" x14ac:dyDescent="0.3">
      <c r="A104" s="181" t="str">
        <f>CONCATENATE('3 pr-2'!A104)</f>
        <v>2.1.1.1.2</v>
      </c>
      <c r="B104" s="247" t="str">
        <f>CONCATENATE('ketv. 2'!B103)</f>
        <v>09.1.3-CPVA-R-724-11-0005</v>
      </c>
      <c r="C104" s="182" t="str">
        <f>CONCATENATE('3 pr-2'!D104)</f>
        <v>Alytaus rajono bendrojo ugdymo įstaigų aprūpinimas gamtos, technologijų, menų ir kitų mokslų laboratorijų įranga</v>
      </c>
      <c r="D104" s="182" t="str">
        <f>CONCATENATE('3 pr-2'!E104)</f>
        <v>Alytaus rajono savivaldybės administracija</v>
      </c>
      <c r="E104" s="182" t="str">
        <f>CONCATENATE('3 pr-2'!F104)</f>
        <v>Lietuvos Respublikos švietimo ir mokslo ministerija</v>
      </c>
      <c r="F104" s="182" t="str">
        <f>CONCATENATE('3 pr-2'!G104)</f>
        <v>Alytaus r. sav.</v>
      </c>
      <c r="G104" s="182" t="str">
        <f>CONCATENATE('3 pr-2'!H104)</f>
        <v>09.1.3-CPVA-R-724</v>
      </c>
      <c r="H104" s="182" t="str">
        <f>CONCATENATE('3 pr-2'!I104)</f>
        <v>R</v>
      </c>
      <c r="I104" s="192" t="str">
        <f>CONCATENATE('3 pr-2'!J104)</f>
        <v>-</v>
      </c>
      <c r="J104" s="193">
        <f>SUM('3 pr-2'!L104)</f>
        <v>106845.41</v>
      </c>
      <c r="K104" s="194">
        <f>SUM('3 pr-2'!O104)</f>
        <v>8013.41</v>
      </c>
      <c r="L104" s="194">
        <f>SUM('3 pr-2'!R104)</f>
        <v>8014</v>
      </c>
      <c r="M104" s="194">
        <f>SUM('3 pr-2'!U104)</f>
        <v>0</v>
      </c>
      <c r="N104" s="194">
        <f>SUM('3 pr-2'!X104)</f>
        <v>0</v>
      </c>
      <c r="O104" s="195">
        <f>SUM('3 pr-2'!AA104)</f>
        <v>90818</v>
      </c>
      <c r="P104" s="213">
        <f>SUM('3 pr-2'!AF104)</f>
        <v>42863</v>
      </c>
      <c r="Q104" s="263">
        <v>42863</v>
      </c>
      <c r="R104" s="191">
        <f t="shared" si="19"/>
        <v>0</v>
      </c>
      <c r="S104" s="257">
        <f t="shared" si="20"/>
        <v>0</v>
      </c>
    </row>
    <row r="105" spans="1:19" ht="61.5" thickBot="1" x14ac:dyDescent="0.3">
      <c r="A105" s="181" t="str">
        <f>CONCATENATE('3 pr-2'!A105)</f>
        <v>2.1.1.1.3</v>
      </c>
      <c r="B105" s="247" t="str">
        <f>CONCATENATE('ketv. 2'!B104)</f>
        <v>09.1.3-CPVA-R-724-11-0002</v>
      </c>
      <c r="C105" s="182" t="str">
        <f>CONCATENATE('3 pr-2'!D105)</f>
        <v>Modernių ir saugių erdvių kūrimas Dzūkijos pagrindinėje mokykloje, Alytuje</v>
      </c>
      <c r="D105" s="182" t="str">
        <f>CONCATENATE('3 pr-2'!E105)</f>
        <v>Alytaus miesto savivaldybės administracija</v>
      </c>
      <c r="E105" s="182" t="str">
        <f>CONCATENATE('3 pr-2'!F105)</f>
        <v>Lietuvos Respublikos švietimo ir mokslo ministerija</v>
      </c>
      <c r="F105" s="182" t="str">
        <f>CONCATENATE('3 pr-2'!G105)</f>
        <v>Alytaus m. sav.</v>
      </c>
      <c r="G105" s="182" t="str">
        <f>CONCATENATE('3 pr-2'!H105)</f>
        <v>09.1.3-CPVA-R-724</v>
      </c>
      <c r="H105" s="182" t="str">
        <f>CONCATENATE('3 pr-2'!I105)</f>
        <v>R</v>
      </c>
      <c r="I105" s="192" t="str">
        <f>CONCATENATE('3 pr-2'!J105)</f>
        <v>-</v>
      </c>
      <c r="J105" s="193">
        <f>SUM('3 pr-2'!L105)</f>
        <v>657021</v>
      </c>
      <c r="K105" s="194">
        <f>SUM('3 pr-2'!O105)</f>
        <v>49277</v>
      </c>
      <c r="L105" s="194">
        <f>SUM('3 pr-2'!R105)</f>
        <v>49277</v>
      </c>
      <c r="M105" s="194">
        <f>SUM('3 pr-2'!U105)</f>
        <v>0</v>
      </c>
      <c r="N105" s="194">
        <f>SUM('3 pr-2'!X105)</f>
        <v>0</v>
      </c>
      <c r="O105" s="195">
        <f>SUM('3 pr-2'!AA105)</f>
        <v>558467</v>
      </c>
      <c r="P105" s="213">
        <f>SUM('3 pr-2'!AF105)</f>
        <v>42877</v>
      </c>
      <c r="Q105" s="263">
        <v>42877</v>
      </c>
      <c r="R105" s="191">
        <f t="shared" si="19"/>
        <v>0</v>
      </c>
      <c r="S105" s="257">
        <f t="shared" si="20"/>
        <v>0</v>
      </c>
    </row>
    <row r="106" spans="1:19" ht="61.5" thickBot="1" x14ac:dyDescent="0.3">
      <c r="A106" s="181" t="str">
        <f>CONCATENATE('3 pr-2'!A106)</f>
        <v>2.1.1.1.4</v>
      </c>
      <c r="B106" s="247" t="str">
        <f>CONCATENATE('ketv. 2'!B105)</f>
        <v>09.1.3-CPVA-R-724-11-0004</v>
      </c>
      <c r="C106" s="182" t="str">
        <f>CONCATENATE('3 pr-2'!D106)</f>
        <v>Modernių ir saugių erdvių sukūrimas bendrojo ugdymo mokyklose Druskininkų sav.</v>
      </c>
      <c r="D106" s="182" t="str">
        <f>CONCATENATE('3 pr-2'!E106)</f>
        <v>Druskininkų savivaldybės administracija</v>
      </c>
      <c r="E106" s="182" t="str">
        <f>CONCATENATE('3 pr-2'!F106)</f>
        <v>Lietuvos Respublikos švietimo ir mokslo ministerija</v>
      </c>
      <c r="F106" s="182" t="str">
        <f>CONCATENATE('3 pr-2'!G106)</f>
        <v>Druskininkų sav.</v>
      </c>
      <c r="G106" s="182" t="str">
        <f>CONCATENATE('3 pr-2'!H106)</f>
        <v>09.1.3-CPVA-R-724</v>
      </c>
      <c r="H106" s="182" t="str">
        <f>CONCATENATE('3 pr-2'!I106)</f>
        <v>R</v>
      </c>
      <c r="I106" s="192" t="str">
        <f>CONCATENATE('3 pr-2'!J106)</f>
        <v>-</v>
      </c>
      <c r="J106" s="193">
        <f>SUM('3 pr-2'!L106)</f>
        <v>163877</v>
      </c>
      <c r="K106" s="194">
        <f>SUM('3 pr-2'!O106)</f>
        <v>12291</v>
      </c>
      <c r="L106" s="194">
        <f>SUM('3 pr-2'!R106)</f>
        <v>12291</v>
      </c>
      <c r="M106" s="194">
        <f>SUM('3 pr-2'!U106)</f>
        <v>0</v>
      </c>
      <c r="N106" s="194">
        <f>SUM('3 pr-2'!X106)</f>
        <v>0</v>
      </c>
      <c r="O106" s="195">
        <f>SUM('3 pr-2'!AA106)</f>
        <v>139295</v>
      </c>
      <c r="P106" s="213">
        <f>SUM('3 pr-2'!AF106)</f>
        <v>42863</v>
      </c>
      <c r="Q106" s="263">
        <v>42863</v>
      </c>
      <c r="R106" s="191">
        <f t="shared" si="19"/>
        <v>0</v>
      </c>
      <c r="S106" s="257">
        <f t="shared" si="20"/>
        <v>0</v>
      </c>
    </row>
    <row r="107" spans="1:19" ht="61.5" thickBot="1" x14ac:dyDescent="0.3">
      <c r="A107" s="181" t="str">
        <f>CONCATENATE('3 pr-2'!A107)</f>
        <v>2.1.1.1.5</v>
      </c>
      <c r="B107" s="247" t="str">
        <f>CONCATENATE('ketv. 2'!B106)</f>
        <v>09.1.3-CPVA-R-724-11-0001</v>
      </c>
      <c r="C107" s="182" t="str">
        <f>CONCATENATE('3 pr-2'!D107)</f>
        <v>Modernių ir saugių erdvių sukūrimas bendrojo ugdymo įstaigose Lazdijų rajono savivaldybėje</v>
      </c>
      <c r="D107" s="182" t="str">
        <f>CONCATENATE('3 pr-2'!E107)</f>
        <v>Lazdijų rajono savivaldybės administracija</v>
      </c>
      <c r="E107" s="182" t="str">
        <f>CONCATENATE('3 pr-2'!F107)</f>
        <v>Lietuvos Respublikos švietimo ir mokslo ministerija</v>
      </c>
      <c r="F107" s="182" t="str">
        <f>CONCATENATE('3 pr-2'!G107)</f>
        <v>Lazdijų r. sav.</v>
      </c>
      <c r="G107" s="182" t="str">
        <f>CONCATENATE('3 pr-2'!H107)</f>
        <v>09.1.3-CPVA-R-724</v>
      </c>
      <c r="H107" s="182" t="str">
        <f>CONCATENATE('3 pr-2'!I107)</f>
        <v>R</v>
      </c>
      <c r="I107" s="192" t="str">
        <f>CONCATENATE('3 pr-2'!J107)</f>
        <v>-</v>
      </c>
      <c r="J107" s="193">
        <f>SUM('3 pr-2'!L107)</f>
        <v>195779</v>
      </c>
      <c r="K107" s="194">
        <f>SUM('3 pr-2'!O107)</f>
        <v>14684</v>
      </c>
      <c r="L107" s="194">
        <f>SUM('3 pr-2'!R107)</f>
        <v>14683</v>
      </c>
      <c r="M107" s="194">
        <f>SUM('3 pr-2'!U107)</f>
        <v>0</v>
      </c>
      <c r="N107" s="194">
        <f>SUM('3 pr-2'!X107)</f>
        <v>0</v>
      </c>
      <c r="O107" s="195">
        <f>SUM('3 pr-2'!AA107)</f>
        <v>166412</v>
      </c>
      <c r="P107" s="213">
        <f>SUM('3 pr-2'!AF107)</f>
        <v>42863</v>
      </c>
      <c r="Q107" s="263">
        <v>42860</v>
      </c>
      <c r="R107" s="191">
        <f>SUM(P107-Q107)</f>
        <v>3</v>
      </c>
      <c r="S107" s="257">
        <f t="shared" si="20"/>
        <v>9.8630136986301256E-2</v>
      </c>
    </row>
    <row r="108" spans="1:19" ht="39.75" customHeight="1" thickBot="1" x14ac:dyDescent="0.3">
      <c r="A108" s="317" t="str">
        <f>CONCATENATE('3 pr-2'!A108)</f>
        <v>2.1.1.2</v>
      </c>
      <c r="B108" s="489" t="str">
        <f>CONCATENATE('ketv. 2'!B107)</f>
        <v/>
      </c>
      <c r="C108" s="1890" t="str">
        <f>CONCATENATE('3 pr-2'!B108)</f>
        <v>Priemonė:
Neformaliojo švietimo infrastruktūros tobulinimas</v>
      </c>
      <c r="D108" s="2031" t="str">
        <f>CONCATENATE('3 pr-2'!E108)</f>
        <v/>
      </c>
      <c r="E108" s="2031" t="str">
        <f>CONCATENATE('3 pr-2'!F108)</f>
        <v/>
      </c>
      <c r="F108" s="2031" t="str">
        <f>CONCATENATE('3 pr-2'!G108)</f>
        <v/>
      </c>
      <c r="G108" s="2031" t="str">
        <f>CONCATENATE('3 pr-2'!H108)</f>
        <v/>
      </c>
      <c r="H108" s="2031" t="str">
        <f>CONCATENATE('3 pr-2'!I108)</f>
        <v/>
      </c>
      <c r="I108" s="2031" t="str">
        <f>CONCATENATE('3 pr-2'!J108)</f>
        <v/>
      </c>
      <c r="J108" s="490">
        <f>SUM('3 pr-2'!L108)</f>
        <v>1973870.18</v>
      </c>
      <c r="K108" s="490">
        <f>SUM('3 pr-2'!O108)</f>
        <v>487863.18</v>
      </c>
      <c r="L108" s="490">
        <f>SUM('3 pr-2'!R108)</f>
        <v>0</v>
      </c>
      <c r="M108" s="490">
        <f>SUM('3 pr-2'!U108)</f>
        <v>0</v>
      </c>
      <c r="N108" s="490">
        <f>SUM('3 pr-2'!X108)</f>
        <v>0</v>
      </c>
      <c r="O108" s="491">
        <f>SUM('3 pr-2'!AA108)</f>
        <v>1486007</v>
      </c>
      <c r="P108" s="492"/>
      <c r="Q108" s="493"/>
      <c r="R108" s="494"/>
      <c r="S108" s="494"/>
    </row>
    <row r="109" spans="1:19" ht="37.5" customHeight="1" thickBot="1" x14ac:dyDescent="0.3">
      <c r="A109" s="181" t="str">
        <f>CONCATENATE('3 pr-2'!A109)</f>
        <v>2.1.1.2.1</v>
      </c>
      <c r="B109" s="247" t="str">
        <f>CONCATENATE('ketv. 2'!B108)</f>
        <v>09.1.3-CPVA-R-725-11-0003</v>
      </c>
      <c r="C109" s="182" t="str">
        <f>CONCATENATE('3 pr-2'!D109)</f>
        <v>Varėnos moksleivių kūrybos centro pastato J. Basanavičiaus g. 38, Varėnoje, modernizavimas</v>
      </c>
      <c r="D109" s="182" t="str">
        <f>CONCATENATE('3 pr-2'!E109)</f>
        <v>Varėnos rajono savivaldybės administracija</v>
      </c>
      <c r="E109" s="182" t="str">
        <f>CONCATENATE('3 pr-2'!F109)</f>
        <v>Lietuvos Respublikos švietimo ir mokslo ministerija</v>
      </c>
      <c r="F109" s="182" t="str">
        <f>CONCATENATE('3 pr-2'!G109)</f>
        <v>Varėnos r. sav.</v>
      </c>
      <c r="G109" s="182" t="str">
        <f>CONCATENATE('3 pr-2'!H109)</f>
        <v>09.13.CPVA-R-725</v>
      </c>
      <c r="H109" s="182" t="str">
        <f>CONCATENATE('3 pr-2'!I109)</f>
        <v>R</v>
      </c>
      <c r="I109" s="192" t="str">
        <f>CONCATENATE('3 pr-2'!J109)</f>
        <v>-</v>
      </c>
      <c r="J109" s="193">
        <f>SUM('3 pr-2'!L109)</f>
        <v>437551</v>
      </c>
      <c r="K109" s="194">
        <f>SUM('3 pr-2'!O109)</f>
        <v>65633</v>
      </c>
      <c r="L109" s="194">
        <f>SUM('3 pr-2'!R109)</f>
        <v>0</v>
      </c>
      <c r="M109" s="194">
        <f>SUM('3 pr-2'!U109)</f>
        <v>0</v>
      </c>
      <c r="N109" s="194">
        <f>SUM('3 pr-2'!X109)</f>
        <v>0</v>
      </c>
      <c r="O109" s="195">
        <f>SUM('3 pr-2'!AA109)</f>
        <v>371918</v>
      </c>
      <c r="P109" s="213">
        <f>SUM('3 pr-2'!AF109)</f>
        <v>42870</v>
      </c>
      <c r="Q109" s="263">
        <v>42843</v>
      </c>
      <c r="R109" s="191">
        <f t="shared" ref="R109:R112" si="21">SUM(P109-Q109)</f>
        <v>27</v>
      </c>
      <c r="S109" s="257">
        <f t="shared" ref="S109:S113" si="22">(P109-Q109)/30.4166666666667</f>
        <v>0.88767123287671135</v>
      </c>
    </row>
    <row r="110" spans="1:19" ht="61.5" thickBot="1" x14ac:dyDescent="0.3">
      <c r="A110" s="181" t="str">
        <f>CONCATENATE('3 pr-2'!A110)</f>
        <v>2.1.1.2.2</v>
      </c>
      <c r="B110" s="247" t="str">
        <f>CONCATENATE('ketv. 2'!B109)</f>
        <v>09.1.3-CPVA-R-725-11-0005</v>
      </c>
      <c r="C110" s="182" t="str">
        <f>CONCATENATE('3 pr-2'!D110)</f>
        <v>Alytaus r. meno ir sporto mokyklos edukacinių erdvių įkūrimas ir atnaujinimas</v>
      </c>
      <c r="D110" s="182" t="str">
        <f>CONCATENATE('3 pr-2'!E110)</f>
        <v>Alytaus rajono savivaldybės administracija</v>
      </c>
      <c r="E110" s="182" t="str">
        <f>CONCATENATE('3 pr-2'!F110)</f>
        <v>Lietuvos Respublikos švietimo ir mokslo ministerija</v>
      </c>
      <c r="F110" s="182" t="str">
        <f>CONCATENATE('3 pr-2'!G110)</f>
        <v>Alytaus r. sav.</v>
      </c>
      <c r="G110" s="182" t="str">
        <f>CONCATENATE('3 pr-2'!H110)</f>
        <v>09.13.CPVA-R-725</v>
      </c>
      <c r="H110" s="182" t="str">
        <f>CONCATENATE('3 pr-2'!I110)</f>
        <v>R</v>
      </c>
      <c r="I110" s="192" t="str">
        <f>CONCATENATE('3 pr-2'!J110)</f>
        <v>-</v>
      </c>
      <c r="J110" s="193">
        <f>SUM('3 pr-2'!L110)</f>
        <v>856424.88</v>
      </c>
      <c r="K110" s="194">
        <f>SUM('3 pr-2'!O110)</f>
        <v>319813.88</v>
      </c>
      <c r="L110" s="194">
        <f>SUM('3 pr-2'!R110)</f>
        <v>0</v>
      </c>
      <c r="M110" s="194">
        <f>SUM('3 pr-2'!U110)</f>
        <v>0</v>
      </c>
      <c r="N110" s="194">
        <f>SUM('3 pr-2'!X110)</f>
        <v>0</v>
      </c>
      <c r="O110" s="195">
        <f>SUM('3 pr-2'!AA110)</f>
        <v>536611</v>
      </c>
      <c r="P110" s="213">
        <f>SUM('3 pr-2'!AF110)</f>
        <v>42870</v>
      </c>
      <c r="Q110" s="263">
        <v>42870</v>
      </c>
      <c r="R110" s="191">
        <f t="shared" si="21"/>
        <v>0</v>
      </c>
      <c r="S110" s="257">
        <f t="shared" si="22"/>
        <v>0</v>
      </c>
    </row>
    <row r="111" spans="1:19" ht="61.5" thickBot="1" x14ac:dyDescent="0.3">
      <c r="A111" s="181" t="str">
        <f>CONCATENATE('3 pr-2'!A111)</f>
        <v>2.1.1.2.3</v>
      </c>
      <c r="B111" s="247" t="str">
        <f>CONCATENATE('ketv. 2'!B110)</f>
        <v>09.1.3-CPVA-R-725-11-0004</v>
      </c>
      <c r="C111" s="182" t="str">
        <f>CONCATENATE('3 pr-2'!D111)</f>
        <v>Alytaus muzikos mokyklos pastato modernizavimas ir ugdymo aplinkos gerinimas</v>
      </c>
      <c r="D111" s="182" t="str">
        <f>CONCATENATE('3 pr-2'!E111)</f>
        <v>Alytaus miesto savivaldybės administracija</v>
      </c>
      <c r="E111" s="182" t="str">
        <f>CONCATENATE('3 pr-2'!F111)</f>
        <v>Lietuvos Respublikos švietimo ir mokslo ministerija</v>
      </c>
      <c r="F111" s="182" t="str">
        <f>CONCATENATE('3 pr-2'!G111)</f>
        <v>Alytaus m. sav.</v>
      </c>
      <c r="G111" s="182" t="str">
        <f>CONCATENATE('3 pr-2'!H111)</f>
        <v>09.13.CPVA-R-725</v>
      </c>
      <c r="H111" s="182" t="str">
        <f>CONCATENATE('3 pr-2'!I111)</f>
        <v>R</v>
      </c>
      <c r="I111" s="192" t="str">
        <f>CONCATENATE('3 pr-2'!J111)</f>
        <v>-</v>
      </c>
      <c r="J111" s="193">
        <f>SUM('3 pr-2'!L111)</f>
        <v>397378</v>
      </c>
      <c r="K111" s="194">
        <f>SUM('3 pr-2'!O111)</f>
        <v>59607</v>
      </c>
      <c r="L111" s="194">
        <f>SUM('3 pr-2'!R111)</f>
        <v>0</v>
      </c>
      <c r="M111" s="194">
        <f>SUM('3 pr-2'!U111)</f>
        <v>0</v>
      </c>
      <c r="N111" s="194">
        <f>SUM('3 pr-2'!X111)</f>
        <v>0</v>
      </c>
      <c r="O111" s="195">
        <f>SUM('3 pr-2'!AA111)</f>
        <v>337771</v>
      </c>
      <c r="P111" s="213">
        <f>SUM('3 pr-2'!AF111)</f>
        <v>42870</v>
      </c>
      <c r="Q111" s="263">
        <v>42870</v>
      </c>
      <c r="R111" s="191">
        <f t="shared" si="21"/>
        <v>0</v>
      </c>
      <c r="S111" s="257">
        <f t="shared" si="22"/>
        <v>0</v>
      </c>
    </row>
    <row r="112" spans="1:19" ht="61.5" thickBot="1" x14ac:dyDescent="0.3">
      <c r="A112" s="181" t="str">
        <f>CONCATENATE('3 pr-2'!A112)</f>
        <v>2.1.1.2.4</v>
      </c>
      <c r="B112" s="247" t="str">
        <f>CONCATENATE('ketv. 2'!B111)</f>
        <v>09.1.3-CPVA-R-725-11-0002</v>
      </c>
      <c r="C112" s="182" t="str">
        <f>CONCATENATE('3 pr-2'!D112)</f>
        <v>Druskininkų M. K. Čiurlionio meno mokyklos infrastruktūros tobulinimas</v>
      </c>
      <c r="D112" s="182" t="str">
        <f>CONCATENATE('3 pr-2'!E112)</f>
        <v xml:space="preserve">Druskininkų savivaldybės administracija  </v>
      </c>
      <c r="E112" s="182" t="str">
        <f>CONCATENATE('3 pr-2'!F112)</f>
        <v>Lietuvos Respublikos švietimo ir mokslo ministerija</v>
      </c>
      <c r="F112" s="182" t="str">
        <f>CONCATENATE('3 pr-2'!G112)</f>
        <v>Druskininkų sav.</v>
      </c>
      <c r="G112" s="182" t="str">
        <f>CONCATENATE('3 pr-2'!H112)</f>
        <v>09.13.CPVA-R-725</v>
      </c>
      <c r="H112" s="182" t="str">
        <f>CONCATENATE('3 pr-2'!I112)</f>
        <v>R</v>
      </c>
      <c r="I112" s="192" t="str">
        <f>CONCATENATE('3 pr-2'!J112)</f>
        <v>-</v>
      </c>
      <c r="J112" s="193">
        <f>SUM('3 pr-2'!L112)</f>
        <v>146702.29999999999</v>
      </c>
      <c r="K112" s="194">
        <f>SUM('3 pr-2'!O112)</f>
        <v>22436.3</v>
      </c>
      <c r="L112" s="194">
        <f>SUM('3 pr-2'!R112)</f>
        <v>0</v>
      </c>
      <c r="M112" s="194">
        <f>SUM('3 pr-2'!U112)</f>
        <v>0</v>
      </c>
      <c r="N112" s="194">
        <f>SUM('3 pr-2'!X112)</f>
        <v>0</v>
      </c>
      <c r="O112" s="195">
        <f>SUM('3 pr-2'!AA112)</f>
        <v>124266</v>
      </c>
      <c r="P112" s="213">
        <f>SUM('3 pr-2'!AF112)</f>
        <v>42828</v>
      </c>
      <c r="Q112" s="263">
        <v>42828</v>
      </c>
      <c r="R112" s="191">
        <f t="shared" si="21"/>
        <v>0</v>
      </c>
      <c r="S112" s="257">
        <f t="shared" si="22"/>
        <v>0</v>
      </c>
    </row>
    <row r="113" spans="1:19" ht="61.5" thickBot="1" x14ac:dyDescent="0.3">
      <c r="A113" s="181" t="str">
        <f>CONCATENATE('3 pr-2'!A113)</f>
        <v>2.1.1.2.5</v>
      </c>
      <c r="B113" s="247" t="str">
        <f>CONCATENATE('ketv. 2'!B112)</f>
        <v>09.1.3-CPVA-R-725-11-0001</v>
      </c>
      <c r="C113" s="182" t="str">
        <f>CONCATENATE('3 pr-2'!D113)</f>
        <v>Neformaliojo švietimo įstaigų Lazdijų rajono savivaldybėje infrastruktūros tobulinimas</v>
      </c>
      <c r="D113" s="182" t="str">
        <f>CONCATENATE('3 pr-2'!E113)</f>
        <v>VšĮ „Lazdijų sporto centras“</v>
      </c>
      <c r="E113" s="182" t="str">
        <f>CONCATENATE('3 pr-2'!F113)</f>
        <v>Lietuvos Respublikos švietimo ir mokslo ministerija</v>
      </c>
      <c r="F113" s="182" t="str">
        <f>CONCATENATE('3 pr-2'!G113)</f>
        <v>Lazdijų r. sav.</v>
      </c>
      <c r="G113" s="182" t="str">
        <f>CONCATENATE('3 pr-2'!H113)</f>
        <v>09.13.CPVA-R-725</v>
      </c>
      <c r="H113" s="182" t="str">
        <f>CONCATENATE('3 pr-2'!I113)</f>
        <v>R</v>
      </c>
      <c r="I113" s="192" t="str">
        <f>CONCATENATE('3 pr-2'!J113)</f>
        <v>-</v>
      </c>
      <c r="J113" s="193">
        <f>SUM('3 pr-2'!L113)</f>
        <v>135814</v>
      </c>
      <c r="K113" s="194">
        <f>SUM('3 pr-2'!O113)</f>
        <v>20373</v>
      </c>
      <c r="L113" s="194">
        <f>SUM('3 pr-2'!R113)</f>
        <v>0</v>
      </c>
      <c r="M113" s="194">
        <f>SUM('3 pr-2'!U113)</f>
        <v>0</v>
      </c>
      <c r="N113" s="194">
        <f>SUM('3 pr-2'!X113)</f>
        <v>0</v>
      </c>
      <c r="O113" s="195">
        <f>SUM('3 pr-2'!AA113)</f>
        <v>115441</v>
      </c>
      <c r="P113" s="213">
        <f>SUM('3 pr-2'!AF113)</f>
        <v>42828</v>
      </c>
      <c r="Q113" s="263">
        <v>42828</v>
      </c>
      <c r="R113" s="191">
        <f>SUM(P113-Q113)</f>
        <v>0</v>
      </c>
      <c r="S113" s="257">
        <f t="shared" si="22"/>
        <v>0</v>
      </c>
    </row>
    <row r="114" spans="1:19" ht="37.5" customHeight="1" thickBot="1" x14ac:dyDescent="0.3">
      <c r="A114" s="317" t="str">
        <f>CONCATENATE('3 pr-2'!A114)</f>
        <v>2.1.1.3</v>
      </c>
      <c r="B114" s="489" t="str">
        <f>CONCATENATE('ketv. 2'!B113)</f>
        <v/>
      </c>
      <c r="C114" s="1890" t="str">
        <f>CONCATENATE('3 pr-2'!B114)</f>
        <v>Priemonė:
Ikimokyklinio ir priešmokyklinio ugdymo prieinamumo didinimas</v>
      </c>
      <c r="D114" s="2031" t="str">
        <f>CONCATENATE('3 pr-2'!E114)</f>
        <v/>
      </c>
      <c r="E114" s="2031" t="str">
        <f>CONCATENATE('3 pr-2'!F114)</f>
        <v/>
      </c>
      <c r="F114" s="2031" t="str">
        <f>CONCATENATE('3 pr-2'!G114)</f>
        <v/>
      </c>
      <c r="G114" s="2031" t="str">
        <f>CONCATENATE('3 pr-2'!H114)</f>
        <v/>
      </c>
      <c r="H114" s="2031" t="str">
        <f>CONCATENATE('3 pr-2'!I114)</f>
        <v/>
      </c>
      <c r="I114" s="2031" t="str">
        <f>CONCATENATE('3 pr-2'!J114)</f>
        <v/>
      </c>
      <c r="J114" s="490">
        <f>SUM('3 pr-2'!L114)</f>
        <v>1459021.7699999998</v>
      </c>
      <c r="K114" s="490">
        <f>SUM('3 pr-2'!O114)</f>
        <v>219970.77</v>
      </c>
      <c r="L114" s="490">
        <f>SUM('3 pr-2'!R114)</f>
        <v>100463</v>
      </c>
      <c r="M114" s="490">
        <f>SUM('3 pr-2'!U114)</f>
        <v>0</v>
      </c>
      <c r="N114" s="490">
        <f>SUM('3 pr-2'!X114)</f>
        <v>0</v>
      </c>
      <c r="O114" s="491">
        <f>SUM('3 pr-2'!AA114)</f>
        <v>1138588</v>
      </c>
      <c r="P114" s="492"/>
      <c r="Q114" s="493"/>
      <c r="R114" s="494"/>
      <c r="S114" s="494"/>
    </row>
    <row r="115" spans="1:19" ht="61.5" thickBot="1" x14ac:dyDescent="0.3">
      <c r="A115" s="181" t="str">
        <f>CONCATENATE('3 pr-2'!A115)</f>
        <v>2.1.1.3.1</v>
      </c>
      <c r="B115" s="247" t="str">
        <f>CONCATENATE('ketv. 2'!B114)</f>
        <v>09.1.3-CPVA-R-705-11-0003</v>
      </c>
      <c r="C115" s="182" t="str">
        <f>CONCATENATE('3 pr-2'!D115)</f>
        <v>Varėnos "Pasakos" vaikų lopšelio-darželio pastato modernizavimas</v>
      </c>
      <c r="D115" s="182" t="str">
        <f>CONCATENATE('3 pr-2'!E115)</f>
        <v>Varėnos rajono savivaldybės administracija</v>
      </c>
      <c r="E115" s="182" t="str">
        <f>CONCATENATE('3 pr-2'!F115)</f>
        <v>Lietuvos Respublikos švietimo ir mokslo ministerija</v>
      </c>
      <c r="F115" s="182" t="str">
        <f>CONCATENATE('3 pr-2'!G115)</f>
        <v>Varėnos r. sav.</v>
      </c>
      <c r="G115" s="182" t="str">
        <f>CONCATENATE('3 pr-2'!H115)</f>
        <v>09.1.3-CPVA-R-705</v>
      </c>
      <c r="H115" s="182" t="str">
        <f>CONCATENATE('3 pr-2'!I115)</f>
        <v>R</v>
      </c>
      <c r="I115" s="192" t="str">
        <f>CONCATENATE('3 pr-2'!J115)</f>
        <v>-</v>
      </c>
      <c r="J115" s="193">
        <f>SUM('3 pr-2'!L115)</f>
        <v>370000</v>
      </c>
      <c r="K115" s="194">
        <f>SUM('3 pr-2'!O115)</f>
        <v>57342</v>
      </c>
      <c r="L115" s="194">
        <f>SUM('3 pr-2'!R115)</f>
        <v>25351</v>
      </c>
      <c r="M115" s="194">
        <f>SUM('3 pr-2'!U115)</f>
        <v>0</v>
      </c>
      <c r="N115" s="194">
        <f>SUM('3 pr-2'!X115)</f>
        <v>0</v>
      </c>
      <c r="O115" s="195">
        <f>SUM('3 pr-2'!AA115)</f>
        <v>287307</v>
      </c>
      <c r="P115" s="213">
        <f>SUM('3 pr-2'!AF115)</f>
        <v>42968</v>
      </c>
      <c r="Q115" s="262">
        <v>42965</v>
      </c>
      <c r="R115" s="191">
        <f t="shared" ref="R115:R118" si="23">SUM(P115-Q115)</f>
        <v>3</v>
      </c>
      <c r="S115" s="257">
        <f t="shared" ref="S115:S119" si="24">(P115-Q115)/30.4166666666667</f>
        <v>9.8630136986301256E-2</v>
      </c>
    </row>
    <row r="116" spans="1:19" ht="61.5" thickBot="1" x14ac:dyDescent="0.3">
      <c r="A116" s="181" t="str">
        <f>CONCATENATE('3 pr-2'!A116)</f>
        <v>2.1.1.3.2</v>
      </c>
      <c r="B116" s="247" t="str">
        <f>CONCATENATE('ketv. 2'!B115)</f>
        <v>09.1.3-CPVA-R-705-11-0004</v>
      </c>
      <c r="C116" s="182" t="str">
        <f>CONCATENATE('3 pr-2'!D116)</f>
        <v>Alytaus r. ikimokyklinio ir priešmokyklinio ugdymo prieinamumo didinimas įkuriant ir atnaujinant edukacines erdves</v>
      </c>
      <c r="D116" s="182" t="str">
        <f>CONCATENATE('3 pr-2'!E116)</f>
        <v>Alytaus rajono savivaldybės administracija</v>
      </c>
      <c r="E116" s="182" t="str">
        <f>CONCATENATE('3 pr-2'!F116)</f>
        <v>Lietuvos Respublikos švietimo ir mokslo ministerija</v>
      </c>
      <c r="F116" s="182" t="str">
        <f>CONCATENATE('3 pr-2'!G116)</f>
        <v>Alytaus r. sav.</v>
      </c>
      <c r="G116" s="182" t="str">
        <f>CONCATENATE('3 pr-2'!H116)</f>
        <v>09.1.3-CPVA-R-705</v>
      </c>
      <c r="H116" s="182" t="str">
        <f>CONCATENATE('3 pr-2'!I116)</f>
        <v>R</v>
      </c>
      <c r="I116" s="192" t="str">
        <f>CONCATENATE('3 pr-2'!J116)</f>
        <v/>
      </c>
      <c r="J116" s="193">
        <f>SUM('3 pr-2'!L116)</f>
        <v>597456.88</v>
      </c>
      <c r="K116" s="194">
        <f>SUM('3 pr-2'!O116)</f>
        <v>59861.88</v>
      </c>
      <c r="L116" s="194">
        <f>SUM('3 pr-2'!R116)</f>
        <v>43588</v>
      </c>
      <c r="M116" s="194">
        <f>SUM('3 pr-2'!U116)</f>
        <v>0</v>
      </c>
      <c r="N116" s="194">
        <f>SUM('3 pr-2'!X116)</f>
        <v>0</v>
      </c>
      <c r="O116" s="195">
        <f>SUM('3 pr-2'!AA116)</f>
        <v>494007</v>
      </c>
      <c r="P116" s="213">
        <f>SUM('3 pr-2'!AF116)</f>
        <v>42968</v>
      </c>
      <c r="Q116" s="262">
        <v>42968</v>
      </c>
      <c r="R116" s="191">
        <f t="shared" si="23"/>
        <v>0</v>
      </c>
      <c r="S116" s="257">
        <f t="shared" si="24"/>
        <v>0</v>
      </c>
    </row>
    <row r="117" spans="1:19" ht="61.5" thickBot="1" x14ac:dyDescent="0.3">
      <c r="A117" s="181" t="str">
        <f>CONCATENATE('3 pr-2'!A117)</f>
        <v>2.1.1.3.3</v>
      </c>
      <c r="B117" s="247" t="str">
        <f>CONCATENATE('ketv. 2'!B116)</f>
        <v>09.1.3-CPVA-R-705-11-0001</v>
      </c>
      <c r="C117" s="182" t="str">
        <f>CONCATENATE('3 pr-2'!D117)</f>
        <v>Alytaus lopšelio-darželio " Girinukas" ugdymo aplinkos modernizavimas</v>
      </c>
      <c r="D117" s="182" t="str">
        <f>CONCATENATE('3 pr-2'!E117)</f>
        <v>Alytaus miesto savivaldybės administracija</v>
      </c>
      <c r="E117" s="182" t="str">
        <f>CONCATENATE('3 pr-2'!F117)</f>
        <v>Lietuvos Respublikos švietimo ir mokslo ministerija</v>
      </c>
      <c r="F117" s="182" t="str">
        <f>CONCATENATE('3 pr-2'!G117)</f>
        <v>Alytaus m. sav.</v>
      </c>
      <c r="G117" s="182" t="str">
        <f>CONCATENATE('3 pr-2'!H117)</f>
        <v>09.1.3-CPVA-R-705</v>
      </c>
      <c r="H117" s="182" t="str">
        <f>CONCATENATE('3 pr-2'!I117)</f>
        <v>R</v>
      </c>
      <c r="I117" s="192" t="str">
        <f>CONCATENATE('3 pr-2'!J117)</f>
        <v>-</v>
      </c>
      <c r="J117" s="193">
        <f>SUM('3 pr-2'!L117)</f>
        <v>181986</v>
      </c>
      <c r="K117" s="194">
        <f>SUM('3 pr-2'!O117)</f>
        <v>13649</v>
      </c>
      <c r="L117" s="194">
        <f>SUM('3 pr-2'!R117)</f>
        <v>13649</v>
      </c>
      <c r="M117" s="194">
        <f>SUM('3 pr-2'!U117)</f>
        <v>0</v>
      </c>
      <c r="N117" s="194">
        <f>SUM('3 pr-2'!X117)</f>
        <v>0</v>
      </c>
      <c r="O117" s="195">
        <f>SUM('3 pr-2'!AA117)</f>
        <v>154688</v>
      </c>
      <c r="P117" s="213">
        <f>SUM('3 pr-2'!AF117)</f>
        <v>42966</v>
      </c>
      <c r="Q117" s="262">
        <v>42964</v>
      </c>
      <c r="R117" s="191">
        <f t="shared" si="23"/>
        <v>2</v>
      </c>
      <c r="S117" s="257">
        <f t="shared" si="24"/>
        <v>6.5753424657534171E-2</v>
      </c>
    </row>
    <row r="118" spans="1:19" ht="61.5" thickBot="1" x14ac:dyDescent="0.3">
      <c r="A118" s="181" t="str">
        <f>CONCATENATE('3 pr-2'!A118)</f>
        <v>2.1.1.3.4</v>
      </c>
      <c r="B118" s="247" t="str">
        <f>CONCATENATE('ketv. 2'!B117)</f>
        <v>09.1.3-CPVA-R-705-11-0006</v>
      </c>
      <c r="C118" s="182" t="str">
        <f>CONCATENATE('3 pr-2'!D118)</f>
        <v>Druskininkų sav. Viečiūnų progimnazijos ikimokyklinio ugdymo skyriaus „Linelis“ ugdymo prieinamumo didinimas</v>
      </c>
      <c r="D118" s="182" t="str">
        <f>CONCATENATE('3 pr-2'!E118)</f>
        <v xml:space="preserve">Druskininkų savivaldybės administracija  </v>
      </c>
      <c r="E118" s="182" t="str">
        <f>CONCATENATE('3 pr-2'!F118)</f>
        <v>Lietuvos Respublikos švietimo ir mokslo ministerija</v>
      </c>
      <c r="F118" s="182" t="str">
        <f>CONCATENATE('3 pr-2'!G118)</f>
        <v>Druskininkų sav.</v>
      </c>
      <c r="G118" s="182" t="str">
        <f>CONCATENATE('3 pr-2'!H118)</f>
        <v>09.1.3-CPVA-R-705</v>
      </c>
      <c r="H118" s="182" t="str">
        <f>CONCATENATE('3 pr-2'!I118)</f>
        <v>R</v>
      </c>
      <c r="I118" s="192" t="str">
        <f>CONCATENATE('3 pr-2'!J118)</f>
        <v>-</v>
      </c>
      <c r="J118" s="193">
        <f>SUM('3 pr-2'!L118)</f>
        <v>176024.68</v>
      </c>
      <c r="K118" s="194">
        <f>SUM('3 pr-2'!O118)</f>
        <v>79091.679999999993</v>
      </c>
      <c r="L118" s="194">
        <f>SUM('3 pr-2'!R118)</f>
        <v>7859</v>
      </c>
      <c r="M118" s="194">
        <f>SUM('3 pr-2'!U118)</f>
        <v>0</v>
      </c>
      <c r="N118" s="194">
        <f>SUM('3 pr-2'!X118)</f>
        <v>0</v>
      </c>
      <c r="O118" s="195">
        <f>SUM('3 pr-2'!AA118)</f>
        <v>89074</v>
      </c>
      <c r="P118" s="213">
        <f>SUM('3 pr-2'!AF118)</f>
        <v>42966</v>
      </c>
      <c r="Q118" s="262">
        <v>42965</v>
      </c>
      <c r="R118" s="191">
        <f t="shared" si="23"/>
        <v>1</v>
      </c>
      <c r="S118" s="257">
        <f t="shared" si="24"/>
        <v>3.2876712328767085E-2</v>
      </c>
    </row>
    <row r="119" spans="1:19" ht="61.5" thickBot="1" x14ac:dyDescent="0.3">
      <c r="A119" s="181" t="str">
        <f>CONCATENATE('3 pr-2'!A119)</f>
        <v>2.1.1.3.5</v>
      </c>
      <c r="B119" s="247" t="str">
        <f>CONCATENATE('ketv. 2'!B118)</f>
        <v>09.1.3-CPVA-R-705-11-0002</v>
      </c>
      <c r="C119" s="182" t="str">
        <f>CONCATENATE('3 pr-2'!D119)</f>
        <v>Ikimokyklinio ir priešmokyklinio ugdymo įstaigų Lazdijų rajono savivaldybėje modernizavimas</v>
      </c>
      <c r="D119" s="182" t="str">
        <f>CONCATENATE('3 pr-2'!E119)</f>
        <v>Lazdijų rajono savivaldybės administracija</v>
      </c>
      <c r="E119" s="182" t="str">
        <f>CONCATENATE('3 pr-2'!F119)</f>
        <v>Lietuvos Respublikos švietimo ir mokslo ministerija</v>
      </c>
      <c r="F119" s="182" t="str">
        <f>CONCATENATE('3 pr-2'!G119)</f>
        <v>Lazdijų r. sav.</v>
      </c>
      <c r="G119" s="182" t="str">
        <f>CONCATENATE('3 pr-2'!H119)</f>
        <v>09.1.3-CPVA-R-705</v>
      </c>
      <c r="H119" s="182" t="str">
        <f>CONCATENATE('3 pr-2'!I119)</f>
        <v>R</v>
      </c>
      <c r="I119" s="192" t="str">
        <f>CONCATENATE('3 pr-2'!J119)</f>
        <v>-</v>
      </c>
      <c r="J119" s="193">
        <f>SUM('3 pr-2'!L119)</f>
        <v>133554.21</v>
      </c>
      <c r="K119" s="194">
        <f>SUM('3 pr-2'!O119)</f>
        <v>10026.209999999999</v>
      </c>
      <c r="L119" s="194">
        <f>SUM('3 pr-2'!R119)</f>
        <v>10016</v>
      </c>
      <c r="M119" s="194">
        <f>SUM('3 pr-2'!U119)</f>
        <v>0</v>
      </c>
      <c r="N119" s="194">
        <f>SUM('3 pr-2'!X119)</f>
        <v>0</v>
      </c>
      <c r="O119" s="195">
        <f>SUM('3 pr-2'!AA119)</f>
        <v>113512</v>
      </c>
      <c r="P119" s="213">
        <f>SUM('3 pr-2'!AF119)</f>
        <v>42966</v>
      </c>
      <c r="Q119" s="262">
        <v>42965</v>
      </c>
      <c r="R119" s="191">
        <f>SUM(P119-Q119)</f>
        <v>1</v>
      </c>
      <c r="S119" s="257">
        <f t="shared" si="24"/>
        <v>3.2876712328767085E-2</v>
      </c>
    </row>
    <row r="120" spans="1:19" ht="50.25" customHeight="1" thickBot="1" x14ac:dyDescent="0.3">
      <c r="A120" s="155" t="str">
        <f>CONCATENATE('3 pr-2'!A120)</f>
        <v>2.1.2.</v>
      </c>
      <c r="B120" s="247" t="str">
        <f>CONCATENATE('ketv. 2'!B119)</f>
        <v/>
      </c>
      <c r="C120" s="1902" t="str">
        <f>CONCATENATE('3 pr-2'!B120)</f>
        <v>Uždavinys:
Sveikatos netolygumų sumažinimas, gerinant sveikatos priežiūros kokybę ir prieinamumą tikslinėms gyventojų grupėms ir sveiko senėjimo skatinimas</v>
      </c>
      <c r="D120" s="2030" t="str">
        <f>CONCATENATE('3 pr-2'!E120)</f>
        <v/>
      </c>
      <c r="E120" s="2030" t="str">
        <f>CONCATENATE('3 pr-2'!F120)</f>
        <v/>
      </c>
      <c r="F120" s="2030" t="str">
        <f>CONCATENATE('3 pr-2'!G120)</f>
        <v/>
      </c>
      <c r="G120" s="2030" t="str">
        <f>CONCATENATE('3 pr-2'!H120)</f>
        <v/>
      </c>
      <c r="H120" s="2030" t="str">
        <f>CONCATENATE('3 pr-2'!I120)</f>
        <v/>
      </c>
      <c r="I120" s="2030" t="str">
        <f>CONCATENATE('3 pr-2'!J120)</f>
        <v/>
      </c>
      <c r="J120" s="220">
        <f>SUM('3 pr-2'!L120)</f>
        <v>2508263.7200000002</v>
      </c>
      <c r="K120" s="220">
        <f>SUM('3 pr-2'!O120)</f>
        <v>146668.16</v>
      </c>
      <c r="L120" s="220">
        <f>SUM('3 pr-2'!R120)</f>
        <v>188786.06</v>
      </c>
      <c r="M120" s="220">
        <f>SUM('3 pr-2'!U120)</f>
        <v>40158</v>
      </c>
      <c r="N120" s="220">
        <f>SUM('3 pr-2'!X120)</f>
        <v>1299.95</v>
      </c>
      <c r="O120" s="220">
        <f>SUM('3 pr-2'!AA120)</f>
        <v>2131351.5500000003</v>
      </c>
      <c r="P120" s="205"/>
      <c r="Q120" s="189"/>
      <c r="R120" s="190"/>
      <c r="S120" s="190"/>
    </row>
    <row r="121" spans="1:19" ht="38.25" customHeight="1" thickBot="1" x14ac:dyDescent="0.3">
      <c r="A121" s="317" t="str">
        <f>CONCATENATE('3 pr-2'!A121)</f>
        <v>2.1.2.1</v>
      </c>
      <c r="B121" s="489" t="str">
        <f>CONCATENATE('ketv. 2'!B120)</f>
        <v/>
      </c>
      <c r="C121" s="1890" t="str">
        <f>CONCATENATE('3 pr-2'!B121)</f>
        <v>Priemonė:
Pirminės asmens ir visuomenės sveikatos priežiūros veiklos efektyvumo didinimas gerinant jų infrastruktūrą</v>
      </c>
      <c r="D121" s="2031" t="str">
        <f>CONCATENATE('3 pr-2'!E121)</f>
        <v/>
      </c>
      <c r="E121" s="2031" t="str">
        <f>CONCATENATE('3 pr-2'!F121)</f>
        <v/>
      </c>
      <c r="F121" s="2031" t="str">
        <f>CONCATENATE('3 pr-2'!G121)</f>
        <v/>
      </c>
      <c r="G121" s="2031" t="str">
        <f>CONCATENATE('3 pr-2'!H121)</f>
        <v/>
      </c>
      <c r="H121" s="2031" t="str">
        <f>CONCATENATE('3 pr-2'!I121)</f>
        <v/>
      </c>
      <c r="I121" s="2031" t="str">
        <f>CONCATENATE('3 pr-2'!J121)</f>
        <v/>
      </c>
      <c r="J121" s="490">
        <f>SUM('3 pr-2'!L121)</f>
        <v>1448066</v>
      </c>
      <c r="K121" s="490">
        <f>SUM('3 pr-2'!O121)</f>
        <v>68448</v>
      </c>
      <c r="L121" s="490">
        <f>SUM('3 pr-2'!R121)</f>
        <v>108606</v>
      </c>
      <c r="M121" s="490">
        <f>SUM('3 pr-2'!U121)</f>
        <v>40158</v>
      </c>
      <c r="N121" s="490">
        <f>SUM('3 pr-2'!X121)</f>
        <v>0</v>
      </c>
      <c r="O121" s="491">
        <f>SUM('3 pr-2'!AA121)</f>
        <v>1230854</v>
      </c>
      <c r="P121" s="492"/>
      <c r="Q121" s="493"/>
      <c r="R121" s="494">
        <f t="shared" ref="R121" si="25">IF((YEAR(P121)-YEAR(Q121))=0,0,YEAR(P121)-YEAR(Q121))</f>
        <v>0</v>
      </c>
      <c r="S121" s="494">
        <f t="shared" ref="S121" si="26">IF((MONTH(P121)-MONTH(Q121))=0,0,MONTH(P121)-MONTH(Q121))</f>
        <v>0</v>
      </c>
    </row>
    <row r="122" spans="1:19" ht="61.5" thickBot="1" x14ac:dyDescent="0.3">
      <c r="A122" s="181" t="str">
        <f>CONCATENATE('3 pr-2'!A122)</f>
        <v>2.1.2.1.1</v>
      </c>
      <c r="B122" s="247" t="str">
        <f>CONCATENATE('ketv. 2'!B121)</f>
        <v>08.1.3-CPVA-R-609-11-0002</v>
      </c>
      <c r="C122" s="182" t="str">
        <f>CONCATENATE('3 pr-2'!D122)</f>
        <v xml:space="preserve">Alytaus poliklinikos teikiamų pirminės sveikatos priežiūros paslaugų prieinamumo didinimas ir kokybės gerinimas </v>
      </c>
      <c r="D122" s="182" t="str">
        <f>CONCATENATE('3 pr-2'!E122)</f>
        <v>VšĮ Alytaus poliklinika</v>
      </c>
      <c r="E122" s="182" t="str">
        <f>CONCATENATE('3 pr-2'!F122)</f>
        <v>Lietuvos Respublikos Sveikatos apsaugos ministerija</v>
      </c>
      <c r="F122" s="182" t="str">
        <f>CONCATENATE('3 pr-2'!G122)</f>
        <v>Alytaus m. sav.</v>
      </c>
      <c r="G122" s="182" t="str">
        <f>CONCATENATE('3 pr-2'!H122)</f>
        <v>08.1.3-CPVA-R-609</v>
      </c>
      <c r="H122" s="182" t="str">
        <f>CONCATENATE('3 pr-2'!I122)</f>
        <v>R</v>
      </c>
      <c r="I122" s="192" t="str">
        <f>CONCATENATE('3 pr-2'!J122)</f>
        <v>-</v>
      </c>
      <c r="J122" s="193">
        <f>SUM('3 pr-2'!L122)</f>
        <v>458183</v>
      </c>
      <c r="K122" s="194">
        <f>SUM('3 pr-2'!O122)</f>
        <v>34364</v>
      </c>
      <c r="L122" s="194">
        <f>SUM('3 pr-2'!R122)</f>
        <v>34363</v>
      </c>
      <c r="M122" s="194">
        <f>SUM('3 pr-2'!U122)</f>
        <v>0</v>
      </c>
      <c r="N122" s="194">
        <f>SUM('3 pr-2'!X122)</f>
        <v>0</v>
      </c>
      <c r="O122" s="195">
        <f>SUM('3 pr-2'!AA122)</f>
        <v>389456</v>
      </c>
      <c r="P122" s="213">
        <f>SUM('3 pr-2'!AF122)</f>
        <v>43261</v>
      </c>
      <c r="Q122" s="214"/>
      <c r="R122" s="191">
        <f t="shared" ref="R122:R129" si="27">IF(Q122&gt;0,P122-Q122,0)</f>
        <v>0</v>
      </c>
      <c r="S122" s="257">
        <f t="shared" ref="S122:S129" si="28">IF(Q122&gt;0,(P122-Q122)/30.1667,0)</f>
        <v>0</v>
      </c>
    </row>
    <row r="123" spans="1:19" ht="85.5" thickBot="1" x14ac:dyDescent="0.3">
      <c r="A123" s="181" t="str">
        <f>CONCATENATE('3 pr-2'!A123)</f>
        <v>2.1.2.1.2</v>
      </c>
      <c r="B123" s="247" t="str">
        <f>CONCATENATE('ketv. 2'!B122)</f>
        <v>08.1.3-CPVA-R-609-11-0004</v>
      </c>
      <c r="C123" s="182" t="str">
        <f>CONCATENATE('3 pr-2'!D123)</f>
        <v>Sveikatos priežiūros paslaugų modernizavimas bei optimizavimas pirminės sveikatos priežiūros centre</v>
      </c>
      <c r="D123" s="182" t="str">
        <f>CONCATENATE('3 pr-2'!E123)</f>
        <v xml:space="preserve">VšĮ Alytaus miesto savivaldybės pirminės sveikatos priežiūros centras </v>
      </c>
      <c r="E123" s="182" t="str">
        <f>CONCATENATE('3 pr-2'!F123)</f>
        <v>Lietuvos Respublikos Sveikatos apsaugos ministerija</v>
      </c>
      <c r="F123" s="182" t="str">
        <f>CONCATENATE('3 pr-2'!G123)</f>
        <v>Alytaus m. sav.</v>
      </c>
      <c r="G123" s="182" t="str">
        <f>CONCATENATE('3 pr-2'!H123)</f>
        <v>08.1.3-CPVA-R-609</v>
      </c>
      <c r="H123" s="182" t="str">
        <f>CONCATENATE('3 pr-2'!I123)</f>
        <v>R</v>
      </c>
      <c r="I123" s="192" t="str">
        <f>CONCATENATE('3 pr-2'!J123)</f>
        <v>-</v>
      </c>
      <c r="J123" s="193">
        <f>SUM('3 pr-2'!L123)</f>
        <v>50356</v>
      </c>
      <c r="K123" s="194">
        <f>SUM('3 pr-2'!O123)</f>
        <v>3777</v>
      </c>
      <c r="L123" s="194">
        <f>SUM('3 pr-2'!R123)</f>
        <v>3777</v>
      </c>
      <c r="M123" s="194">
        <f>SUM('3 pr-2'!U123)</f>
        <v>0</v>
      </c>
      <c r="N123" s="194">
        <f>SUM('3 pr-2'!X123)</f>
        <v>0</v>
      </c>
      <c r="O123" s="195">
        <f>SUM('3 pr-2'!AA123)</f>
        <v>42802</v>
      </c>
      <c r="P123" s="213">
        <f>SUM('3 pr-2'!AF123)</f>
        <v>43227</v>
      </c>
      <c r="Q123" s="214"/>
      <c r="R123" s="191">
        <f t="shared" si="27"/>
        <v>0</v>
      </c>
      <c r="S123" s="257">
        <f t="shared" si="28"/>
        <v>0</v>
      </c>
    </row>
    <row r="124" spans="1:19" ht="61.5" thickBot="1" x14ac:dyDescent="0.3">
      <c r="A124" s="181" t="str">
        <f>CONCATENATE('3 pr-2'!A124)</f>
        <v>2.1.2.1.3</v>
      </c>
      <c r="B124" s="247" t="str">
        <f>CONCATENATE('ketv. 2'!B123)</f>
        <v>08.1.3-CPVA-R-609-11-0003</v>
      </c>
      <c r="C124" s="182" t="str">
        <f>CONCATENATE('3 pr-2'!D124)</f>
        <v>UAB „MediCA klinika“ teikiamų pirminės asmens sveikatos priežiūros paslaugų efektyvumo didinimas Alytaus miesto savivaldybėje</v>
      </c>
      <c r="D124" s="182" t="str">
        <f>CONCATENATE('3 pr-2'!E124)</f>
        <v>UAB „MediCA klinika“</v>
      </c>
      <c r="E124" s="182" t="str">
        <f>CONCATENATE('3 pr-2'!F124)</f>
        <v>Lietuvos Respublikos Sveikatos apsaugos ministerija</v>
      </c>
      <c r="F124" s="182" t="str">
        <f>CONCATENATE('3 pr-2'!G124)</f>
        <v>Alytaus m. sav.</v>
      </c>
      <c r="G124" s="182" t="str">
        <f>CONCATENATE('3 pr-2'!H124)</f>
        <v>08.1.3-CPVA-R-609</v>
      </c>
      <c r="H124" s="182" t="str">
        <f>CONCATENATE('3 pr-2'!I124)</f>
        <v>R</v>
      </c>
      <c r="I124" s="192" t="str">
        <f>CONCATENATE('3 pr-2'!J124)</f>
        <v>-</v>
      </c>
      <c r="J124" s="193">
        <f>SUM('3 pr-2'!L124)</f>
        <v>83468</v>
      </c>
      <c r="K124" s="194">
        <f>SUM('3 pr-2'!O124)</f>
        <v>0</v>
      </c>
      <c r="L124" s="194">
        <f>SUM('3 pr-2'!R124)</f>
        <v>6260</v>
      </c>
      <c r="M124" s="194">
        <f>SUM('3 pr-2'!U124)</f>
        <v>6260</v>
      </c>
      <c r="N124" s="194">
        <f>SUM('3 pr-2'!X124)</f>
        <v>0</v>
      </c>
      <c r="O124" s="195">
        <f>SUM('3 pr-2'!AA124)</f>
        <v>70948</v>
      </c>
      <c r="P124" s="213">
        <f>SUM('3 pr-2'!AF124)</f>
        <v>43227</v>
      </c>
      <c r="Q124" s="214"/>
      <c r="R124" s="191">
        <f t="shared" si="27"/>
        <v>0</v>
      </c>
      <c r="S124" s="257">
        <f t="shared" si="28"/>
        <v>0</v>
      </c>
    </row>
    <row r="125" spans="1:19" ht="61.5" thickBot="1" x14ac:dyDescent="0.3">
      <c r="A125" s="181" t="str">
        <f>CONCATENATE('3 pr-2'!A125)</f>
        <v>2.1.2.1.4</v>
      </c>
      <c r="B125" s="247" t="str">
        <f>CONCATENATE('ketv. 2'!B124)</f>
        <v>08.1.3-CPVA-R-609-11-0005</v>
      </c>
      <c r="C125" s="182" t="str">
        <f>CONCATENATE('3 pr-2'!D125)</f>
        <v>UAB "Pagalba ligoniui" teikiamų paslaugų efektyvumo didinimas</v>
      </c>
      <c r="D125" s="182" t="str">
        <f>CONCATENATE('3 pr-2'!E125)</f>
        <v>UAB „Pagalba ligoniui“, Alytaus filialas</v>
      </c>
      <c r="E125" s="182" t="str">
        <f>CONCATENATE('3 pr-2'!F125)</f>
        <v>Lietuvos Respublikos Sveikatos apsaugos ministerija</v>
      </c>
      <c r="F125" s="182" t="str">
        <f>CONCATENATE('3 pr-2'!G125)</f>
        <v>Alytaus m. sav.</v>
      </c>
      <c r="G125" s="182" t="str">
        <f>CONCATENATE('3 pr-2'!H125)</f>
        <v>08.1.3-CPVA-R-609</v>
      </c>
      <c r="H125" s="182" t="str">
        <f>CONCATENATE('3 pr-2'!I125)</f>
        <v>R</v>
      </c>
      <c r="I125" s="192" t="str">
        <f>CONCATENATE('3 pr-2'!J125)</f>
        <v>-</v>
      </c>
      <c r="J125" s="193">
        <f>SUM('3 pr-2'!L125)</f>
        <v>44091</v>
      </c>
      <c r="K125" s="194">
        <f>SUM('3 pr-2'!O125)</f>
        <v>0</v>
      </c>
      <c r="L125" s="194">
        <f>SUM('3 pr-2'!R125)</f>
        <v>3307</v>
      </c>
      <c r="M125" s="194">
        <f>SUM('3 pr-2'!U125)</f>
        <v>3306</v>
      </c>
      <c r="N125" s="194">
        <f>SUM('3 pr-2'!X125)</f>
        <v>0</v>
      </c>
      <c r="O125" s="195">
        <f>SUM('3 pr-2'!AA125)</f>
        <v>37478</v>
      </c>
      <c r="P125" s="213">
        <f>SUM('3 pr-2'!AF125)</f>
        <v>43227</v>
      </c>
      <c r="Q125" s="214"/>
      <c r="R125" s="191">
        <f t="shared" si="27"/>
        <v>0</v>
      </c>
      <c r="S125" s="257">
        <f t="shared" si="28"/>
        <v>0</v>
      </c>
    </row>
    <row r="126" spans="1:19" ht="85.5" thickBot="1" x14ac:dyDescent="0.3">
      <c r="A126" s="181" t="str">
        <f>CONCATENATE('3 pr-2'!A126)</f>
        <v>2.1.2.1.5</v>
      </c>
      <c r="B126" s="247" t="str">
        <f>CONCATENATE('ketv. 2'!B125)</f>
        <v/>
      </c>
      <c r="C126" s="182" t="str">
        <f>CONCATENATE('3 pr-2'!D126)</f>
        <v>Pirminės asmens sveikatos priežiūros veiklos efektyvumo didinimas Alytaus rajono savivaldybėje</v>
      </c>
      <c r="D126" s="182" t="str">
        <f>CONCATENATE('3 pr-2'!E126)</f>
        <v>VšĮ Alytaus rajono savivaldybės pirminės sveikatos priežiūros centras</v>
      </c>
      <c r="E126" s="182" t="str">
        <f>CONCATENATE('3 pr-2'!F126)</f>
        <v>Lietuvos Respublikos Sveikatos apsaugos ministerija</v>
      </c>
      <c r="F126" s="182" t="str">
        <f>CONCATENATE('3 pr-2'!G126)</f>
        <v>Alytaus r. sav.</v>
      </c>
      <c r="G126" s="182" t="str">
        <f>CONCATENATE('3 pr-2'!H126)</f>
        <v>08.1.3-CPVA-R-609</v>
      </c>
      <c r="H126" s="182" t="str">
        <f>CONCATENATE('3 pr-2'!I126)</f>
        <v>R</v>
      </c>
      <c r="I126" s="192" t="str">
        <f>CONCATENATE('3 pr-2'!J126)</f>
        <v>-</v>
      </c>
      <c r="J126" s="193">
        <f>SUM('3 pr-2'!L126)</f>
        <v>171636</v>
      </c>
      <c r="K126" s="194">
        <f>SUM('3 pr-2'!O126)</f>
        <v>12873</v>
      </c>
      <c r="L126" s="194">
        <f>SUM('3 pr-2'!R126)</f>
        <v>12873</v>
      </c>
      <c r="M126" s="194">
        <f>SUM('3 pr-2'!U126)</f>
        <v>0</v>
      </c>
      <c r="N126" s="194">
        <f>SUM('3 pr-2'!X126)</f>
        <v>0</v>
      </c>
      <c r="O126" s="195">
        <f>SUM('3 pr-2'!AA126)</f>
        <v>145890</v>
      </c>
      <c r="P126" s="213">
        <f>SUM('3 pr-2'!AF126)</f>
        <v>43227</v>
      </c>
      <c r="Q126" s="214"/>
      <c r="R126" s="191">
        <f t="shared" si="27"/>
        <v>0</v>
      </c>
      <c r="S126" s="257">
        <f t="shared" si="28"/>
        <v>0</v>
      </c>
    </row>
    <row r="127" spans="1:19" ht="61.5" thickBot="1" x14ac:dyDescent="0.3">
      <c r="A127" s="181" t="str">
        <f>CONCATENATE('3 pr-2'!A127)</f>
        <v>2.1.2.1.6</v>
      </c>
      <c r="B127" s="247" t="str">
        <f>CONCATENATE('ketv. 2'!B126)</f>
        <v/>
      </c>
      <c r="C127" s="182" t="str">
        <f>CONCATENATE('3 pr-2'!D127)</f>
        <v>Sveikatos priežiūros paslaugų gerinimas "UAB "Disolis"</v>
      </c>
      <c r="D127" s="182" t="str">
        <f>CONCATENATE('3 pr-2'!E127)</f>
        <v>UAB „Disolis“</v>
      </c>
      <c r="E127" s="182" t="str">
        <f>CONCATENATE('3 pr-2'!F127)</f>
        <v>Lietuvos Respublikos Sveikatos apsaugos ministerija</v>
      </c>
      <c r="F127" s="182" t="str">
        <f>CONCATENATE('3 pr-2'!G127)</f>
        <v>Alytaus r. sav.</v>
      </c>
      <c r="G127" s="182" t="str">
        <f>CONCATENATE('3 pr-2'!H127)</f>
        <v>08.1.3-CPVA-R-609</v>
      </c>
      <c r="H127" s="182" t="str">
        <f>CONCATENATE('3 pr-2'!I127)</f>
        <v>R</v>
      </c>
      <c r="I127" s="192" t="str">
        <f>CONCATENATE('3 pr-2'!J127)</f>
        <v>-</v>
      </c>
      <c r="J127" s="193">
        <f>SUM('3 pr-2'!L127)</f>
        <v>17386</v>
      </c>
      <c r="K127" s="194">
        <f>SUM('3 pr-2'!O127)</f>
        <v>0</v>
      </c>
      <c r="L127" s="194">
        <f>SUM('3 pr-2'!R127)</f>
        <v>1304</v>
      </c>
      <c r="M127" s="194">
        <f>SUM('3 pr-2'!U127)</f>
        <v>1304</v>
      </c>
      <c r="N127" s="194">
        <f>SUM('3 pr-2'!X127)</f>
        <v>0</v>
      </c>
      <c r="O127" s="195">
        <f>SUM('3 pr-2'!AA127)</f>
        <v>14778</v>
      </c>
      <c r="P127" s="213">
        <f>SUM('3 pr-2'!AF127)</f>
        <v>43227</v>
      </c>
      <c r="Q127" s="214"/>
      <c r="R127" s="191">
        <f t="shared" si="27"/>
        <v>0</v>
      </c>
      <c r="S127" s="257">
        <f t="shared" si="28"/>
        <v>0</v>
      </c>
    </row>
    <row r="128" spans="1:19" ht="61.5" thickBot="1" x14ac:dyDescent="0.3">
      <c r="A128" s="181" t="str">
        <f>CONCATENATE('3 pr-2'!A128)</f>
        <v>2.1.2.1.7</v>
      </c>
      <c r="B128" s="247" t="str">
        <f>CONCATENATE('ketv. 2'!B127)</f>
        <v/>
      </c>
      <c r="C128" s="182" t="str">
        <f>CONCATENATE('3 pr-2'!D128)</f>
        <v>Pirminės asmens sveikatos priežiūros kokybės ir prieinamumo gerinimas Druskininkų savivaldybėje</v>
      </c>
      <c r="D128" s="182" t="str">
        <f>CONCATENATE('3 pr-2'!E128)</f>
        <v>VšĮ Druskininkų pirminės sveikatos priežiūros centras</v>
      </c>
      <c r="E128" s="182" t="str">
        <f>CONCATENATE('3 pr-2'!F128)</f>
        <v>Lietuvos Respublikos Sveikatos apsaugos ministerija</v>
      </c>
      <c r="F128" s="182" t="str">
        <f>CONCATENATE('3 pr-2'!G128)</f>
        <v>Druskininkų sav.</v>
      </c>
      <c r="G128" s="182" t="str">
        <f>CONCATENATE('3 pr-2'!H128)</f>
        <v>08.1.3-CPVA-R-609</v>
      </c>
      <c r="H128" s="182" t="str">
        <f>CONCATENATE('3 pr-2'!I128)</f>
        <v>R</v>
      </c>
      <c r="I128" s="192" t="str">
        <f>CONCATENATE('3 pr-2'!J128)</f>
        <v>-</v>
      </c>
      <c r="J128" s="193">
        <f>SUM('3 pr-2'!L128)</f>
        <v>163532</v>
      </c>
      <c r="K128" s="194">
        <f>SUM('3 pr-2'!O128)</f>
        <v>0</v>
      </c>
      <c r="L128" s="194">
        <f>SUM('3 pr-2'!R128)</f>
        <v>12265</v>
      </c>
      <c r="M128" s="194">
        <f>SUM('3 pr-2'!U128)</f>
        <v>12265</v>
      </c>
      <c r="N128" s="194">
        <f>SUM('3 pr-2'!X128)</f>
        <v>0</v>
      </c>
      <c r="O128" s="195">
        <f>SUM('3 pr-2'!AA128)</f>
        <v>139002</v>
      </c>
      <c r="P128" s="213">
        <f>SUM('3 pr-2'!AF128)</f>
        <v>43227</v>
      </c>
      <c r="Q128" s="214"/>
      <c r="R128" s="191">
        <f t="shared" si="27"/>
        <v>0</v>
      </c>
      <c r="S128" s="257">
        <f t="shared" si="28"/>
        <v>0</v>
      </c>
    </row>
    <row r="129" spans="1:19" ht="61.5" thickBot="1" x14ac:dyDescent="0.3">
      <c r="A129" s="181" t="str">
        <f>CONCATENATE('3 pr-2'!A129)</f>
        <v>2.1.2.1.8</v>
      </c>
      <c r="B129" s="247" t="str">
        <f>CONCATENATE('ketv. 2'!B128)</f>
        <v/>
      </c>
      <c r="C129" s="182" t="str">
        <f>CONCATENATE('3 pr-2'!D129)</f>
        <v>UAB "Druskininkų šeimos klinika" asmens sveikatos priežiūros paslaugų prieinamumo ir efektyvumo didinimas</v>
      </c>
      <c r="D129" s="182" t="str">
        <f>CONCATENATE('3 pr-2'!E129)</f>
        <v>UAB „Druskininkų šeimos klinika“</v>
      </c>
      <c r="E129" s="182" t="str">
        <f>CONCATENATE('3 pr-2'!F129)</f>
        <v>Lietuvos Respublikos Sveikatos apsaugos ministerija</v>
      </c>
      <c r="F129" s="182" t="str">
        <f>CONCATENATE('3 pr-2'!G129)</f>
        <v>Druskininkų sav.</v>
      </c>
      <c r="G129" s="182" t="str">
        <f>CONCATENATE('3 pr-2'!H129)</f>
        <v>08.1.3-CPVA-R-609</v>
      </c>
      <c r="H129" s="182" t="str">
        <f>CONCATENATE('3 pr-2'!I129)</f>
        <v>R</v>
      </c>
      <c r="I129" s="192" t="str">
        <f>CONCATENATE('3 pr-2'!J129)</f>
        <v>-</v>
      </c>
      <c r="J129" s="193">
        <f>SUM('3 pr-2'!L129)</f>
        <v>12289</v>
      </c>
      <c r="K129" s="194">
        <f>SUM('3 pr-2'!O129)</f>
        <v>0</v>
      </c>
      <c r="L129" s="194">
        <f>SUM('3 pr-2'!R129)</f>
        <v>922</v>
      </c>
      <c r="M129" s="194">
        <f>SUM('3 pr-2'!U129)</f>
        <v>922</v>
      </c>
      <c r="N129" s="194">
        <f>SUM('3 pr-2'!X129)</f>
        <v>0</v>
      </c>
      <c r="O129" s="195">
        <f>SUM('3 pr-2'!AA129)</f>
        <v>10445</v>
      </c>
      <c r="P129" s="213">
        <f>SUM('3 pr-2'!AF129)</f>
        <v>43227</v>
      </c>
      <c r="Q129" s="214"/>
      <c r="R129" s="191">
        <f t="shared" si="27"/>
        <v>0</v>
      </c>
      <c r="S129" s="257">
        <f t="shared" si="28"/>
        <v>0</v>
      </c>
    </row>
    <row r="130" spans="1:19" ht="61.5" thickBot="1" x14ac:dyDescent="0.3">
      <c r="A130" s="181" t="str">
        <f>CONCATENATE('3 pr-2'!A130)</f>
        <v>2.1.2.1.9</v>
      </c>
      <c r="B130" s="247" t="str">
        <f>CONCATENATE('ketv. 2'!B129)</f>
        <v>08.1.3-CPVA-R-609-11-0001</v>
      </c>
      <c r="C130" s="182" t="str">
        <f>CONCATENATE('3 pr-2'!D130)</f>
        <v>I. S. Kavaliauskienės įmonės teikiamų pirminės ambulatorinės asmens sveikatos priežiūros paslaugų kokybės ir prieinamumo gerinimas.</v>
      </c>
      <c r="D130" s="182" t="str">
        <f>CONCATENATE('3 pr-2'!E130)</f>
        <v>Irenos Stanislavos Kavaliauskienės įmonė</v>
      </c>
      <c r="E130" s="182" t="str">
        <f>CONCATENATE('3 pr-2'!F130)</f>
        <v>Lietuvos Respublikos Sveikatos apsaugos ministerija</v>
      </c>
      <c r="F130" s="182" t="str">
        <f>CONCATENATE('3 pr-2'!G130)</f>
        <v>Druskininkų sav.</v>
      </c>
      <c r="G130" s="182" t="str">
        <f>CONCATENATE('3 pr-2'!H130)</f>
        <v>08.1.3-CPVA-R-609</v>
      </c>
      <c r="H130" s="182" t="str">
        <f>CONCATENATE('3 pr-2'!I130)</f>
        <v>R</v>
      </c>
      <c r="I130" s="192" t="str">
        <f>CONCATENATE('3 pr-2'!J130)</f>
        <v>-</v>
      </c>
      <c r="J130" s="193">
        <f>SUM('3 pr-2'!L130)</f>
        <v>25517</v>
      </c>
      <c r="K130" s="194">
        <f>SUM('3 pr-2'!O130)</f>
        <v>0</v>
      </c>
      <c r="L130" s="194">
        <f>SUM('3 pr-2'!R130)</f>
        <v>1914</v>
      </c>
      <c r="M130" s="194">
        <f>SUM('3 pr-2'!U130)</f>
        <v>1914</v>
      </c>
      <c r="N130" s="194">
        <f>SUM('3 pr-2'!X130)</f>
        <v>0</v>
      </c>
      <c r="O130" s="195">
        <f>SUM('3 pr-2'!AA130)</f>
        <v>21689</v>
      </c>
      <c r="P130" s="1299"/>
      <c r="Q130" s="1301"/>
      <c r="R130" s="191"/>
      <c r="S130" s="257"/>
    </row>
    <row r="131" spans="1:19" ht="61.5" thickBot="1" x14ac:dyDescent="0.3">
      <c r="A131" s="181" t="str">
        <f>CONCATENATE('3 pr-2'!A131)</f>
        <v>2.1.2.1.10</v>
      </c>
      <c r="B131" s="247" t="str">
        <f>CONCATENATE('ketv. 2'!B130)</f>
        <v/>
      </c>
      <c r="C131" s="182" t="str">
        <f>CONCATENATE('3 pr-2'!D131)</f>
        <v>Pirminės ambulatorinės asmens sveikatos priežiūros efektyvumo didinimas R.Ambrazaitienės ir L. Puzinovienės šeimos gydytojų kabinetuose</v>
      </c>
      <c r="D131" s="182" t="str">
        <f>CONCATENATE('3 pr-2'!E131)</f>
        <v>UAB „Rasos Ambrazaitienės šeimos gydytojo kabinetas“</v>
      </c>
      <c r="E131" s="182" t="str">
        <f>CONCATENATE('3 pr-2'!F131)</f>
        <v>Lietuvos Respublikos Sveikatos apsaugos ministerija</v>
      </c>
      <c r="F131" s="182" t="str">
        <f>CONCATENATE('3 pr-2'!G131)</f>
        <v>Druskininkų sav.</v>
      </c>
      <c r="G131" s="182" t="str">
        <f>CONCATENATE('3 pr-2'!H131)</f>
        <v>08.1.3-CPVA-R-609</v>
      </c>
      <c r="H131" s="182" t="str">
        <f>CONCATENATE('3 pr-2'!I131)</f>
        <v>R</v>
      </c>
      <c r="I131" s="192" t="str">
        <f>CONCATENATE('3 pr-2'!J131)</f>
        <v>-</v>
      </c>
      <c r="J131" s="193">
        <f>SUM('3 pr-2'!L131)</f>
        <v>27906</v>
      </c>
      <c r="K131" s="194">
        <f>SUM('3 pr-2'!O131)</f>
        <v>0</v>
      </c>
      <c r="L131" s="194">
        <f>SUM('3 pr-2'!R131)</f>
        <v>2093</v>
      </c>
      <c r="M131" s="194">
        <f>SUM('3 pr-2'!U131)</f>
        <v>2093</v>
      </c>
      <c r="N131" s="194">
        <f>SUM('3 pr-2'!X131)</f>
        <v>0</v>
      </c>
      <c r="O131" s="195">
        <f>SUM('3 pr-2'!AA131)</f>
        <v>23720</v>
      </c>
      <c r="P131" s="1299"/>
      <c r="Q131" s="1301"/>
      <c r="R131" s="191"/>
      <c r="S131" s="257"/>
    </row>
    <row r="132" spans="1:19" ht="61.5" thickBot="1" x14ac:dyDescent="0.3">
      <c r="A132" s="181" t="str">
        <f>CONCATENATE('3 pr-2'!A132)</f>
        <v>2.1.2.1.11</v>
      </c>
      <c r="B132" s="247" t="str">
        <f>CONCATENATE('ketv. 2'!B131)</f>
        <v/>
      </c>
      <c r="C132" s="182" t="str">
        <f>CONCATENATE('3 pr-2'!D132)</f>
        <v xml:space="preserve">Pirminės asmens sveikatos priežiūros veiklos efektyvumo didinimas Lazdijų rajono savivaldybėje </v>
      </c>
      <c r="D132" s="182" t="str">
        <f>CONCATENATE('3 pr-2'!E132)</f>
        <v>Lazdijų rajono savivaldybės administracija</v>
      </c>
      <c r="E132" s="182" t="str">
        <f>CONCATENATE('3 pr-2'!F132)</f>
        <v>Lietuvos Respublikos Sveikatos apsaugos ministerija</v>
      </c>
      <c r="F132" s="182" t="str">
        <f>CONCATENATE('3 pr-2'!G132)</f>
        <v>Lazdijų r. sav.</v>
      </c>
      <c r="G132" s="182" t="str">
        <f>CONCATENATE('3 pr-2'!H132)</f>
        <v>08.1.3-CPVA-R-609</v>
      </c>
      <c r="H132" s="182" t="str">
        <f>CONCATENATE('3 pr-2'!I132)</f>
        <v>R</v>
      </c>
      <c r="I132" s="192" t="str">
        <f>CONCATENATE('3 pr-2'!J132)</f>
        <v>-</v>
      </c>
      <c r="J132" s="193">
        <f>SUM('3 pr-2'!L132)</f>
        <v>192719</v>
      </c>
      <c r="K132" s="194">
        <f>SUM('3 pr-2'!O132)</f>
        <v>2983</v>
      </c>
      <c r="L132" s="194">
        <f>SUM('3 pr-2'!R132)</f>
        <v>14454</v>
      </c>
      <c r="M132" s="194">
        <f>SUM('3 pr-2'!U132)</f>
        <v>11471</v>
      </c>
      <c r="N132" s="194">
        <f>SUM('3 pr-2'!X132)</f>
        <v>0</v>
      </c>
      <c r="O132" s="195">
        <f>SUM('3 pr-2'!AA132)</f>
        <v>163811</v>
      </c>
      <c r="P132" s="1299"/>
      <c r="Q132" s="1301"/>
      <c r="R132" s="191"/>
      <c r="S132" s="257"/>
    </row>
    <row r="133" spans="1:19" ht="61.5" thickBot="1" x14ac:dyDescent="0.3">
      <c r="A133" s="181" t="str">
        <f>CONCATENATE('3 pr-2'!A133)</f>
        <v>2.1.2.1.12</v>
      </c>
      <c r="B133" s="247" t="str">
        <f>CONCATENATE('ketv. 2'!B132)</f>
        <v/>
      </c>
      <c r="C133" s="182" t="str">
        <f>CONCATENATE('3 pr-2'!D133)</f>
        <v>Pirminės asmens sveikatos priežiūros veiklos efektyvumo didinimas Varėnos rajono savivaldybėje</v>
      </c>
      <c r="D133" s="182" t="str">
        <f>CONCATENATE('3 pr-2'!E133)</f>
        <v>VšĮ Varėnos pirminės sveikatos priežiūros centras</v>
      </c>
      <c r="E133" s="182" t="str">
        <f>CONCATENATE('3 pr-2'!F133)</f>
        <v>Lietuvos Respublikos Sveikatos apsaugos ministerija</v>
      </c>
      <c r="F133" s="182" t="str">
        <f>CONCATENATE('3 pr-2'!G133)</f>
        <v>Varėnos r. sav.</v>
      </c>
      <c r="G133" s="182" t="str">
        <f>CONCATENATE('3 pr-2'!H133)</f>
        <v>08.1.3-CPVA-R-609</v>
      </c>
      <c r="H133" s="182" t="str">
        <f>CONCATENATE('3 pr-2'!I133)</f>
        <v>R</v>
      </c>
      <c r="I133" s="192" t="str">
        <f>CONCATENATE('3 pr-2'!J133)</f>
        <v>-</v>
      </c>
      <c r="J133" s="193">
        <f>SUM('3 pr-2'!L133)</f>
        <v>192678</v>
      </c>
      <c r="K133" s="194">
        <f>SUM('3 pr-2'!O133)</f>
        <v>14451</v>
      </c>
      <c r="L133" s="194">
        <f>SUM('3 pr-2'!R133)</f>
        <v>14451</v>
      </c>
      <c r="M133" s="194">
        <f>SUM('3 pr-2'!U133)</f>
        <v>0</v>
      </c>
      <c r="N133" s="194">
        <f>SUM('3 pr-2'!X133)</f>
        <v>0</v>
      </c>
      <c r="O133" s="195">
        <f>SUM('3 pr-2'!AA133)</f>
        <v>163776</v>
      </c>
      <c r="P133" s="1299"/>
      <c r="Q133" s="1301"/>
      <c r="R133" s="191"/>
      <c r="S133" s="257"/>
    </row>
    <row r="134" spans="1:19" ht="61.5" thickBot="1" x14ac:dyDescent="0.3">
      <c r="A134" s="181" t="str">
        <f>CONCATENATE('3 pr-2'!A134)</f>
        <v>2.1.2.1.13</v>
      </c>
      <c r="B134" s="247" t="str">
        <f>CONCATENATE('ketv. 2'!B133)</f>
        <v/>
      </c>
      <c r="C134" s="182" t="str">
        <f>CONCATENATE('3 pr-2'!D134)</f>
        <v>Pirminės asmens sveikatos priežiūros veiklos efektyvumo didinimas N. Jarašienės personalinėje įmonėje</v>
      </c>
      <c r="D134" s="182" t="str">
        <f>CONCATENATE('3 pr-2'!E134)</f>
        <v>N. Jarašienės personalinė įmonė</v>
      </c>
      <c r="E134" s="182" t="str">
        <f>CONCATENATE('3 pr-2'!F134)</f>
        <v>Lietuvos Respublikos Sveikatos apsaugos ministerija</v>
      </c>
      <c r="F134" s="182" t="str">
        <f>CONCATENATE('3 pr-2'!G134)</f>
        <v>Varėnos r. sav.</v>
      </c>
      <c r="G134" s="182" t="str">
        <f>CONCATENATE('3 pr-2'!H134)</f>
        <v>08.1.3-CPVA-R-609</v>
      </c>
      <c r="H134" s="182" t="str">
        <f>CONCATENATE('3 pr-2'!I134)</f>
        <v>R</v>
      </c>
      <c r="I134" s="192" t="str">
        <f>CONCATENATE('3 pr-2'!J134)</f>
        <v>-</v>
      </c>
      <c r="J134" s="193">
        <f>SUM('3 pr-2'!L134)</f>
        <v>8305</v>
      </c>
      <c r="K134" s="194">
        <f>SUM('3 pr-2'!O134)</f>
        <v>0</v>
      </c>
      <c r="L134" s="194">
        <f>SUM('3 pr-2'!R134)</f>
        <v>623</v>
      </c>
      <c r="M134" s="194">
        <f>SUM('3 pr-2'!U134)</f>
        <v>623</v>
      </c>
      <c r="N134" s="194">
        <f>SUM('3 pr-2'!X134)</f>
        <v>0</v>
      </c>
      <c r="O134" s="195">
        <f>SUM('3 pr-2'!AA134)</f>
        <v>7059</v>
      </c>
      <c r="P134" s="1299"/>
      <c r="Q134" s="1301"/>
      <c r="R134" s="191"/>
      <c r="S134" s="257"/>
    </row>
    <row r="135" spans="1:19" ht="41.25" customHeight="1" thickBot="1" x14ac:dyDescent="0.3">
      <c r="A135" s="508" t="str">
        <f>CONCATENATE('3 pr-2'!A135)</f>
        <v>2.1.2.2</v>
      </c>
      <c r="B135" s="519" t="str">
        <f>CONCATENATE('ketv. 2'!B134)</f>
        <v/>
      </c>
      <c r="C135" s="2035" t="str">
        <f>CONCATENATE('3 pr-2'!B135)</f>
        <v>Priemonė:
Sveikos gyvensenos skatinimas regioniniu lygiu</v>
      </c>
      <c r="D135" s="2036" t="str">
        <f>CONCATENATE('3 pr-2'!E135)</f>
        <v/>
      </c>
      <c r="E135" s="2036" t="str">
        <f>CONCATENATE('3 pr-2'!F135)</f>
        <v/>
      </c>
      <c r="F135" s="2036" t="str">
        <f>CONCATENATE('3 pr-2'!G135)</f>
        <v/>
      </c>
      <c r="G135" s="2036" t="str">
        <f>CONCATENATE('3 pr-2'!H135)</f>
        <v/>
      </c>
      <c r="H135" s="2036" t="str">
        <f>CONCATENATE('3 pr-2'!I135)</f>
        <v/>
      </c>
      <c r="I135" s="2036" t="str">
        <f>CONCATENATE('3 pr-2'!J135)</f>
        <v/>
      </c>
      <c r="J135" s="520">
        <f>SUM('3 pr-2'!L135)</f>
        <v>994984.5399999998</v>
      </c>
      <c r="K135" s="520">
        <f>SUM('3 pr-2'!O135)</f>
        <v>74624.070000000007</v>
      </c>
      <c r="L135" s="520">
        <f>SUM('3 pr-2'!R135)</f>
        <v>74623.62</v>
      </c>
      <c r="M135" s="520">
        <f>SUM('3 pr-2'!U135)</f>
        <v>0</v>
      </c>
      <c r="N135" s="520">
        <f>SUM('3 pr-2'!X135)</f>
        <v>0</v>
      </c>
      <c r="O135" s="521">
        <f>SUM('3 pr-2'!AA135)</f>
        <v>845736.85</v>
      </c>
      <c r="P135" s="522"/>
      <c r="Q135" s="523"/>
      <c r="R135" s="524"/>
      <c r="S135" s="524"/>
    </row>
    <row r="136" spans="1:19" ht="61.5" thickBot="1" x14ac:dyDescent="0.3">
      <c r="A136" s="510" t="str">
        <f>CONCATENATE('3 pr-2'!A136)</f>
        <v>2.1.2.2.1</v>
      </c>
      <c r="B136" s="511" t="str">
        <f>CONCATENATE('ketv. 2'!B135)</f>
        <v>08.4.2-ESFA-R-630-11-0004</v>
      </c>
      <c r="C136" s="509" t="str">
        <f>CONCATENATE('3 pr-2'!D136)</f>
        <v>Sveikos gyvensenos skatinimas Alytaus rajone</v>
      </c>
      <c r="D136" s="509" t="str">
        <f>CONCATENATE('3 pr-2'!E136)</f>
        <v>Alytaus rajono savivaldybės visuomenės sveikatos biuras</v>
      </c>
      <c r="E136" s="509" t="str">
        <f>CONCATENATE('3 pr-2'!F136)</f>
        <v>Lietuvos Respublikos Sveikatos apsaugos ministerija</v>
      </c>
      <c r="F136" s="509" t="str">
        <f>CONCATENATE('3 pr-2'!G136)</f>
        <v>Alytaus r. sav.</v>
      </c>
      <c r="G136" s="509" t="str">
        <f>CONCATENATE('3 pr-2'!H136)</f>
        <v>08.4.2-ESFA-R-630</v>
      </c>
      <c r="H136" s="509" t="str">
        <f>CONCATENATE('3 pr-2'!I136)</f>
        <v>R</v>
      </c>
      <c r="I136" s="512" t="str">
        <f>CONCATENATE('3 pr-2'!J136)</f>
        <v>-</v>
      </c>
      <c r="J136" s="513">
        <f>SUM('3 pr-2'!L136)</f>
        <v>198997.18</v>
      </c>
      <c r="K136" s="514">
        <f>SUM('3 pr-2'!O136)</f>
        <v>14924.79</v>
      </c>
      <c r="L136" s="514">
        <f>SUM('3 pr-2'!R136)</f>
        <v>14924.79</v>
      </c>
      <c r="M136" s="514">
        <f>SUM('3 pr-2'!U136)</f>
        <v>0</v>
      </c>
      <c r="N136" s="514">
        <f>SUM('3 pr-2'!X136)</f>
        <v>0</v>
      </c>
      <c r="O136" s="515">
        <f>SUM('3 pr-2'!AA136)</f>
        <v>169147.6</v>
      </c>
      <c r="P136" s="516">
        <f>SUM('3 pr-2'!AF136)</f>
        <v>43108</v>
      </c>
      <c r="Q136" s="509"/>
      <c r="R136" s="517">
        <f t="shared" ref="R136:R146" si="29">IF(Q136&gt;0,P136-Q136,0)</f>
        <v>0</v>
      </c>
      <c r="S136" s="518">
        <f t="shared" ref="S136:S146" si="30">IF(Q136&gt;0,(P136-Q136)/30.1667,0)</f>
        <v>0</v>
      </c>
    </row>
    <row r="137" spans="1:19" ht="61.5" thickBot="1" x14ac:dyDescent="0.3">
      <c r="A137" s="510" t="str">
        <f>CONCATENATE('3 pr-2'!A137)</f>
        <v>2.1.2.2.2</v>
      </c>
      <c r="B137" s="511" t="str">
        <f>CONCATENATE('ketv. 2'!B136)</f>
        <v>08.4.2-ESFA-R-630-11-0001</v>
      </c>
      <c r="C137" s="509" t="str">
        <f>CONCATENATE('3 pr-2'!D137)</f>
        <v>Mažais žingsneliais – sveikos gyvensenos link</v>
      </c>
      <c r="D137" s="509" t="str">
        <f>CONCATENATE('3 pr-2'!E137)</f>
        <v>Alytaus miesto savivaldybės administracija</v>
      </c>
      <c r="E137" s="509" t="str">
        <f>CONCATENATE('3 pr-2'!F137)</f>
        <v>Lietuvos Respublikos Sveikatos apsaugos ministerija</v>
      </c>
      <c r="F137" s="509" t="str">
        <f>CONCATENATE('3 pr-2'!G137)</f>
        <v>Alytaus m. sav.</v>
      </c>
      <c r="G137" s="509" t="str">
        <f>CONCATENATE('3 pr-2'!H137)</f>
        <v>08.4.2-ESFA-R-630</v>
      </c>
      <c r="H137" s="509" t="str">
        <f>CONCATENATE('3 pr-2'!I137)</f>
        <v>R</v>
      </c>
      <c r="I137" s="512" t="str">
        <f>CONCATENATE('3 pr-2'!J137)</f>
        <v>-</v>
      </c>
      <c r="J137" s="513">
        <f>SUM('3 pr-2'!L137)</f>
        <v>198996</v>
      </c>
      <c r="K137" s="514">
        <f>SUM('3 pr-2'!O137)</f>
        <v>14924.7</v>
      </c>
      <c r="L137" s="514">
        <f>SUM('3 pr-2'!R137)</f>
        <v>14924.7</v>
      </c>
      <c r="M137" s="514">
        <f>SUM('3 pr-2'!U137)</f>
        <v>0</v>
      </c>
      <c r="N137" s="514">
        <f>SUM('3 pr-2'!X137)</f>
        <v>0</v>
      </c>
      <c r="O137" s="515">
        <f>SUM('3 pr-2'!AA137)</f>
        <v>169146.6</v>
      </c>
      <c r="P137" s="516">
        <f>SUM('3 pr-2'!AF137)</f>
        <v>43108</v>
      </c>
      <c r="Q137" s="509"/>
      <c r="R137" s="517">
        <f t="shared" si="29"/>
        <v>0</v>
      </c>
      <c r="S137" s="518">
        <f t="shared" si="30"/>
        <v>0</v>
      </c>
    </row>
    <row r="138" spans="1:19" ht="61.5" thickBot="1" x14ac:dyDescent="0.3">
      <c r="A138" s="510" t="str">
        <f>CONCATENATE('3 pr-2'!A138)</f>
        <v>2.1.2.2.3</v>
      </c>
      <c r="B138" s="511" t="str">
        <f>CONCATENATE('ketv. 2'!B137)</f>
        <v>08.4.2-ESFA-R-630-11-0005</v>
      </c>
      <c r="C138" s="509" t="str">
        <f>CONCATENATE('3 pr-2'!D138)</f>
        <v>Sveikos gyvensenos skatinimas Varėnos rajono savivaldybėje</v>
      </c>
      <c r="D138" s="509" t="str">
        <f>CONCATENATE('3 pr-2'!E138)</f>
        <v>Varėnos rajono savivaldybės visuomenės sveikatos biuras</v>
      </c>
      <c r="E138" s="509" t="str">
        <f>CONCATENATE('3 pr-2'!F138)</f>
        <v>Lietuvos Respublikos Sveikatos apsaugos ministerija</v>
      </c>
      <c r="F138" s="509" t="str">
        <f>CONCATENATE('3 pr-2'!G138)</f>
        <v>Varėnos r. sav.</v>
      </c>
      <c r="G138" s="509" t="str">
        <f>CONCATENATE('3 pr-2'!H138)</f>
        <v>08.4.2-ESFA-R-630</v>
      </c>
      <c r="H138" s="509" t="str">
        <f>CONCATENATE('3 pr-2'!I138)</f>
        <v>R</v>
      </c>
      <c r="I138" s="512" t="str">
        <f>CONCATENATE('3 pr-2'!J138)</f>
        <v>-</v>
      </c>
      <c r="J138" s="513">
        <f>SUM('3 pr-2'!L138)</f>
        <v>198997</v>
      </c>
      <c r="K138" s="514">
        <f>SUM('3 pr-2'!O138)</f>
        <v>14925</v>
      </c>
      <c r="L138" s="514">
        <f>SUM('3 pr-2'!R138)</f>
        <v>14924.55</v>
      </c>
      <c r="M138" s="514">
        <f>SUM('3 pr-2'!U138)</f>
        <v>0</v>
      </c>
      <c r="N138" s="514">
        <f>SUM('3 pr-2'!X138)</f>
        <v>0</v>
      </c>
      <c r="O138" s="515">
        <f>SUM('3 pr-2'!AA138)</f>
        <v>169147.45</v>
      </c>
      <c r="P138" s="516">
        <f>SUM('3 pr-2'!AF138)</f>
        <v>43108</v>
      </c>
      <c r="Q138" s="509"/>
      <c r="R138" s="517">
        <f t="shared" si="29"/>
        <v>0</v>
      </c>
      <c r="S138" s="518">
        <f t="shared" si="30"/>
        <v>0</v>
      </c>
    </row>
    <row r="139" spans="1:19" ht="61.5" thickBot="1" x14ac:dyDescent="0.3">
      <c r="A139" s="510" t="str">
        <f>CONCATENATE('3 pr-2'!A139)</f>
        <v>2.1.2.2.4.</v>
      </c>
      <c r="B139" s="511" t="str">
        <f>CONCATENATE('ketv. 2'!B138)</f>
        <v>08.4.2-ESFA-R-630-11-0003</v>
      </c>
      <c r="C139" s="509" t="str">
        <f>CONCATENATE('3 pr-2'!D139)</f>
        <v>Sveika bendruomenė – stipri visuomenė</v>
      </c>
      <c r="D139" s="509" t="str">
        <f>CONCATENATE('3 pr-2'!E139)</f>
        <v>Druskininkų savivaldybės visuomenės sveikatos biuras</v>
      </c>
      <c r="E139" s="509" t="str">
        <f>CONCATENATE('3 pr-2'!F139)</f>
        <v>Lietuvos Respublikos Sveikatos apsaugos ministerija</v>
      </c>
      <c r="F139" s="509" t="str">
        <f>CONCATENATE('3 pr-2'!G139)</f>
        <v>Druskininkų sav.</v>
      </c>
      <c r="G139" s="509" t="str">
        <f>CONCATENATE('3 pr-2'!H139)</f>
        <v>08.4.2-ESFA-R-630</v>
      </c>
      <c r="H139" s="509" t="str">
        <f>CONCATENATE('3 pr-2'!I139)</f>
        <v>R</v>
      </c>
      <c r="I139" s="512" t="str">
        <f>CONCATENATE('3 pr-2'!J139)</f>
        <v>-</v>
      </c>
      <c r="J139" s="513">
        <f>SUM('3 pr-2'!L139)</f>
        <v>198997.18</v>
      </c>
      <c r="K139" s="514">
        <f>SUM('3 pr-2'!O139)</f>
        <v>14924.79</v>
      </c>
      <c r="L139" s="514">
        <f>SUM('3 pr-2'!R139)</f>
        <v>14924.79</v>
      </c>
      <c r="M139" s="514">
        <f>SUM('3 pr-2'!U139)</f>
        <v>0</v>
      </c>
      <c r="N139" s="514">
        <f>SUM('3 pr-2'!X139)</f>
        <v>0</v>
      </c>
      <c r="O139" s="515">
        <f>SUM('3 pr-2'!AA139)</f>
        <v>169147.6</v>
      </c>
      <c r="P139" s="516">
        <f>SUM('3 pr-2'!AF139)</f>
        <v>43108</v>
      </c>
      <c r="Q139" s="509"/>
      <c r="R139" s="517">
        <f t="shared" si="29"/>
        <v>0</v>
      </c>
      <c r="S139" s="518">
        <f t="shared" si="30"/>
        <v>0</v>
      </c>
    </row>
    <row r="140" spans="1:19" ht="61.5" thickBot="1" x14ac:dyDescent="0.3">
      <c r="A140" s="510" t="str">
        <f>CONCATENATE('3 pr-2'!A140)</f>
        <v>2.1.2.2.5</v>
      </c>
      <c r="B140" s="511" t="str">
        <f>CONCATENATE('ketv. 2'!B139)</f>
        <v>08.4.2-ESFA-R-630-11-0002</v>
      </c>
      <c r="C140" s="509" t="str">
        <f>CONCATENATE('3 pr-2'!D140)</f>
        <v>Sveikos gyvensenos skatinimas Lazdijų rajono savivaldybėje</v>
      </c>
      <c r="D140" s="509" t="str">
        <f>CONCATENATE('3 pr-2'!E140)</f>
        <v>Lazdijų rajono savivaldybės visuomenės sveikatos biuras</v>
      </c>
      <c r="E140" s="509" t="str">
        <f>CONCATENATE('3 pr-2'!F140)</f>
        <v>Lietuvos Respublikos Sveikatos apsaugos ministerija</v>
      </c>
      <c r="F140" s="509" t="str">
        <f>CONCATENATE('3 pr-2'!G140)</f>
        <v>Lazdijų r. sav.</v>
      </c>
      <c r="G140" s="509" t="str">
        <f>CONCATENATE('3 pr-2'!H140)</f>
        <v>08.4.2-ESFA-R-630</v>
      </c>
      <c r="H140" s="509" t="str">
        <f>CONCATENATE('3 pr-2'!I140)</f>
        <v>R</v>
      </c>
      <c r="I140" s="512" t="str">
        <f>CONCATENATE('3 pr-2'!J140)</f>
        <v>-</v>
      </c>
      <c r="J140" s="513">
        <f>SUM('3 pr-2'!L140)</f>
        <v>198997.18</v>
      </c>
      <c r="K140" s="514">
        <f>SUM('3 pr-2'!O140)</f>
        <v>14924.79</v>
      </c>
      <c r="L140" s="514">
        <f>SUM('3 pr-2'!R140)</f>
        <v>14924.79</v>
      </c>
      <c r="M140" s="514">
        <f>SUM('3 pr-2'!U140)</f>
        <v>0</v>
      </c>
      <c r="N140" s="514">
        <f>SUM('3 pr-2'!X140)</f>
        <v>0</v>
      </c>
      <c r="O140" s="515">
        <f>SUM('3 pr-2'!AA140)</f>
        <v>169147.6</v>
      </c>
      <c r="P140" s="516">
        <f>SUM('3 pr-2'!AF140)</f>
        <v>43108</v>
      </c>
      <c r="Q140" s="509"/>
      <c r="R140" s="517">
        <f t="shared" si="29"/>
        <v>0</v>
      </c>
      <c r="S140" s="518">
        <f t="shared" si="30"/>
        <v>0</v>
      </c>
    </row>
    <row r="141" spans="1:19" ht="15.75" hidden="1" thickBot="1" x14ac:dyDescent="0.3">
      <c r="A141" s="510" t="e">
        <f>CONCATENATE('3 pr-2'!#REF!)</f>
        <v>#REF!</v>
      </c>
      <c r="B141" s="511" t="e">
        <f>CONCATENATE('ketv. 2'!#REF!)</f>
        <v>#REF!</v>
      </c>
      <c r="C141" s="509" t="e">
        <f>CONCATENATE('3 pr-2'!#REF!)</f>
        <v>#REF!</v>
      </c>
      <c r="D141" s="509" t="e">
        <f>CONCATENATE('3 pr-2'!#REF!)</f>
        <v>#REF!</v>
      </c>
      <c r="E141" s="509" t="e">
        <f>CONCATENATE('3 pr-2'!#REF!)</f>
        <v>#REF!</v>
      </c>
      <c r="F141" s="509" t="e">
        <f>CONCATENATE('3 pr-2'!#REF!)</f>
        <v>#REF!</v>
      </c>
      <c r="G141" s="509" t="e">
        <f>CONCATENATE('3 pr-2'!#REF!)</f>
        <v>#REF!</v>
      </c>
      <c r="H141" s="509" t="e">
        <f>CONCATENATE('3 pr-2'!#REF!)</f>
        <v>#REF!</v>
      </c>
      <c r="I141" s="512" t="e">
        <f>CONCATENATE('3 pr-2'!#REF!)</f>
        <v>#REF!</v>
      </c>
      <c r="J141" s="513" t="e">
        <f>SUM('3 pr-2'!#REF!)</f>
        <v>#REF!</v>
      </c>
      <c r="K141" s="514" t="e">
        <f>SUM('3 pr-2'!#REF!)</f>
        <v>#REF!</v>
      </c>
      <c r="L141" s="514" t="e">
        <f>SUM('3 pr-2'!#REF!)</f>
        <v>#REF!</v>
      </c>
      <c r="M141" s="514" t="e">
        <f>SUM('3 pr-2'!#REF!)</f>
        <v>#REF!</v>
      </c>
      <c r="N141" s="514" t="e">
        <f>SUM('3 pr-2'!#REF!)</f>
        <v>#REF!</v>
      </c>
      <c r="O141" s="515" t="e">
        <f>SUM('3 pr-2'!#REF!)</f>
        <v>#REF!</v>
      </c>
      <c r="P141" s="516" t="e">
        <f>SUM('3 pr-2'!#REF!)</f>
        <v>#REF!</v>
      </c>
      <c r="Q141" s="509"/>
      <c r="R141" s="517">
        <f t="shared" si="29"/>
        <v>0</v>
      </c>
      <c r="S141" s="518">
        <f t="shared" si="30"/>
        <v>0</v>
      </c>
    </row>
    <row r="142" spans="1:19" ht="15.75" hidden="1" thickBot="1" x14ac:dyDescent="0.3">
      <c r="A142" s="510" t="e">
        <f>CONCATENATE('3 pr-2'!#REF!)</f>
        <v>#REF!</v>
      </c>
      <c r="B142" s="511" t="e">
        <f>CONCATENATE('ketv. 2'!#REF!)</f>
        <v>#REF!</v>
      </c>
      <c r="C142" s="509" t="e">
        <f>CONCATENATE('3 pr-2'!#REF!)</f>
        <v>#REF!</v>
      </c>
      <c r="D142" s="509" t="e">
        <f>CONCATENATE('3 pr-2'!#REF!)</f>
        <v>#REF!</v>
      </c>
      <c r="E142" s="509" t="e">
        <f>CONCATENATE('3 pr-2'!#REF!)</f>
        <v>#REF!</v>
      </c>
      <c r="F142" s="509" t="e">
        <f>CONCATENATE('3 pr-2'!#REF!)</f>
        <v>#REF!</v>
      </c>
      <c r="G142" s="509" t="e">
        <f>CONCATENATE('3 pr-2'!#REF!)</f>
        <v>#REF!</v>
      </c>
      <c r="H142" s="509" t="e">
        <f>CONCATENATE('3 pr-2'!#REF!)</f>
        <v>#REF!</v>
      </c>
      <c r="I142" s="512" t="e">
        <f>CONCATENATE('3 pr-2'!#REF!)</f>
        <v>#REF!</v>
      </c>
      <c r="J142" s="513" t="e">
        <f>SUM('3 pr-2'!#REF!)</f>
        <v>#REF!</v>
      </c>
      <c r="K142" s="514" t="e">
        <f>SUM('3 pr-2'!#REF!)</f>
        <v>#REF!</v>
      </c>
      <c r="L142" s="514" t="e">
        <f>SUM('3 pr-2'!#REF!)</f>
        <v>#REF!</v>
      </c>
      <c r="M142" s="514" t="e">
        <f>SUM('3 pr-2'!#REF!)</f>
        <v>#REF!</v>
      </c>
      <c r="N142" s="514" t="e">
        <f>SUM('3 pr-2'!#REF!)</f>
        <v>#REF!</v>
      </c>
      <c r="O142" s="515" t="e">
        <f>SUM('3 pr-2'!#REF!)</f>
        <v>#REF!</v>
      </c>
      <c r="P142" s="516" t="e">
        <f>SUM('3 pr-2'!#REF!)</f>
        <v>#REF!</v>
      </c>
      <c r="Q142" s="509"/>
      <c r="R142" s="517">
        <f t="shared" si="29"/>
        <v>0</v>
      </c>
      <c r="S142" s="518">
        <f t="shared" si="30"/>
        <v>0</v>
      </c>
    </row>
    <row r="143" spans="1:19" ht="15.75" hidden="1" thickBot="1" x14ac:dyDescent="0.3">
      <c r="A143" s="510" t="e">
        <f>CONCATENATE('3 pr-2'!#REF!)</f>
        <v>#REF!</v>
      </c>
      <c r="B143" s="511" t="e">
        <f>CONCATENATE('ketv. 2'!#REF!)</f>
        <v>#REF!</v>
      </c>
      <c r="C143" s="509" t="e">
        <f>CONCATENATE('3 pr-2'!#REF!)</f>
        <v>#REF!</v>
      </c>
      <c r="D143" s="509" t="e">
        <f>CONCATENATE('3 pr-2'!#REF!)</f>
        <v>#REF!</v>
      </c>
      <c r="E143" s="509" t="e">
        <f>CONCATENATE('3 pr-2'!#REF!)</f>
        <v>#REF!</v>
      </c>
      <c r="F143" s="509" t="e">
        <f>CONCATENATE('3 pr-2'!#REF!)</f>
        <v>#REF!</v>
      </c>
      <c r="G143" s="509" t="e">
        <f>CONCATENATE('3 pr-2'!#REF!)</f>
        <v>#REF!</v>
      </c>
      <c r="H143" s="509" t="e">
        <f>CONCATENATE('3 pr-2'!#REF!)</f>
        <v>#REF!</v>
      </c>
      <c r="I143" s="512" t="e">
        <f>CONCATENATE('3 pr-2'!#REF!)</f>
        <v>#REF!</v>
      </c>
      <c r="J143" s="513" t="e">
        <f>SUM('3 pr-2'!#REF!)</f>
        <v>#REF!</v>
      </c>
      <c r="K143" s="514" t="e">
        <f>SUM('3 pr-2'!#REF!)</f>
        <v>#REF!</v>
      </c>
      <c r="L143" s="514" t="e">
        <f>SUM('3 pr-2'!#REF!)</f>
        <v>#REF!</v>
      </c>
      <c r="M143" s="514" t="e">
        <f>SUM('3 pr-2'!#REF!)</f>
        <v>#REF!</v>
      </c>
      <c r="N143" s="514" t="e">
        <f>SUM('3 pr-2'!#REF!)</f>
        <v>#REF!</v>
      </c>
      <c r="O143" s="515" t="e">
        <f>SUM('3 pr-2'!#REF!)</f>
        <v>#REF!</v>
      </c>
      <c r="P143" s="516" t="e">
        <f>SUM('3 pr-2'!#REF!)</f>
        <v>#REF!</v>
      </c>
      <c r="Q143" s="509"/>
      <c r="R143" s="517">
        <f t="shared" si="29"/>
        <v>0</v>
      </c>
      <c r="S143" s="518">
        <f t="shared" si="30"/>
        <v>0</v>
      </c>
    </row>
    <row r="144" spans="1:19" ht="15.75" hidden="1" thickBot="1" x14ac:dyDescent="0.3">
      <c r="A144" s="510" t="e">
        <f>CONCATENATE('3 pr-2'!#REF!)</f>
        <v>#REF!</v>
      </c>
      <c r="B144" s="511" t="e">
        <f>CONCATENATE('ketv. 2'!#REF!)</f>
        <v>#REF!</v>
      </c>
      <c r="C144" s="509" t="e">
        <f>CONCATENATE('3 pr-2'!#REF!)</f>
        <v>#REF!</v>
      </c>
      <c r="D144" s="509" t="e">
        <f>CONCATENATE('3 pr-2'!#REF!)</f>
        <v>#REF!</v>
      </c>
      <c r="E144" s="509" t="e">
        <f>CONCATENATE('3 pr-2'!#REF!)</f>
        <v>#REF!</v>
      </c>
      <c r="F144" s="509" t="e">
        <f>CONCATENATE('3 pr-2'!#REF!)</f>
        <v>#REF!</v>
      </c>
      <c r="G144" s="509" t="e">
        <f>CONCATENATE('3 pr-2'!#REF!)</f>
        <v>#REF!</v>
      </c>
      <c r="H144" s="509" t="e">
        <f>CONCATENATE('3 pr-2'!#REF!)</f>
        <v>#REF!</v>
      </c>
      <c r="I144" s="512" t="e">
        <f>CONCATENATE('3 pr-2'!#REF!)</f>
        <v>#REF!</v>
      </c>
      <c r="J144" s="513" t="e">
        <f>SUM('3 pr-2'!#REF!)</f>
        <v>#REF!</v>
      </c>
      <c r="K144" s="514" t="e">
        <f>SUM('3 pr-2'!#REF!)</f>
        <v>#REF!</v>
      </c>
      <c r="L144" s="514" t="e">
        <f>SUM('3 pr-2'!#REF!)</f>
        <v>#REF!</v>
      </c>
      <c r="M144" s="514" t="e">
        <f>SUM('3 pr-2'!#REF!)</f>
        <v>#REF!</v>
      </c>
      <c r="N144" s="514" t="e">
        <f>SUM('3 pr-2'!#REF!)</f>
        <v>#REF!</v>
      </c>
      <c r="O144" s="515" t="e">
        <f>SUM('3 pr-2'!#REF!)</f>
        <v>#REF!</v>
      </c>
      <c r="P144" s="516" t="e">
        <f>SUM('3 pr-2'!#REF!)</f>
        <v>#REF!</v>
      </c>
      <c r="Q144" s="509"/>
      <c r="R144" s="517">
        <f t="shared" si="29"/>
        <v>0</v>
      </c>
      <c r="S144" s="518">
        <f t="shared" si="30"/>
        <v>0</v>
      </c>
    </row>
    <row r="145" spans="1:19" ht="15.75" hidden="1" thickBot="1" x14ac:dyDescent="0.3">
      <c r="A145" s="510" t="e">
        <f>CONCATENATE('3 pr-2'!#REF!)</f>
        <v>#REF!</v>
      </c>
      <c r="B145" s="511" t="e">
        <f>CONCATENATE('ketv. 2'!#REF!)</f>
        <v>#REF!</v>
      </c>
      <c r="C145" s="509" t="e">
        <f>CONCATENATE('3 pr-2'!#REF!)</f>
        <v>#REF!</v>
      </c>
      <c r="D145" s="509" t="e">
        <f>CONCATENATE('3 pr-2'!#REF!)</f>
        <v>#REF!</v>
      </c>
      <c r="E145" s="509" t="e">
        <f>CONCATENATE('3 pr-2'!#REF!)</f>
        <v>#REF!</v>
      </c>
      <c r="F145" s="509" t="e">
        <f>CONCATENATE('3 pr-2'!#REF!)</f>
        <v>#REF!</v>
      </c>
      <c r="G145" s="509" t="e">
        <f>CONCATENATE('3 pr-2'!#REF!)</f>
        <v>#REF!</v>
      </c>
      <c r="H145" s="509" t="e">
        <f>CONCATENATE('3 pr-2'!#REF!)</f>
        <v>#REF!</v>
      </c>
      <c r="I145" s="512" t="e">
        <f>CONCATENATE('3 pr-2'!#REF!)</f>
        <v>#REF!</v>
      </c>
      <c r="J145" s="513" t="e">
        <f>SUM('3 pr-2'!#REF!)</f>
        <v>#REF!</v>
      </c>
      <c r="K145" s="514" t="e">
        <f>SUM('3 pr-2'!#REF!)</f>
        <v>#REF!</v>
      </c>
      <c r="L145" s="514" t="e">
        <f>SUM('3 pr-2'!#REF!)</f>
        <v>#REF!</v>
      </c>
      <c r="M145" s="514" t="e">
        <f>SUM('3 pr-2'!#REF!)</f>
        <v>#REF!</v>
      </c>
      <c r="N145" s="514" t="e">
        <f>SUM('3 pr-2'!#REF!)</f>
        <v>#REF!</v>
      </c>
      <c r="O145" s="515" t="e">
        <f>SUM('3 pr-2'!#REF!)</f>
        <v>#REF!</v>
      </c>
      <c r="P145" s="516" t="e">
        <f>SUM('3 pr-2'!#REF!)</f>
        <v>#REF!</v>
      </c>
      <c r="Q145" s="509"/>
      <c r="R145" s="517">
        <f t="shared" si="29"/>
        <v>0</v>
      </c>
      <c r="S145" s="518">
        <f t="shared" si="30"/>
        <v>0</v>
      </c>
    </row>
    <row r="146" spans="1:19" ht="15.75" hidden="1" thickBot="1" x14ac:dyDescent="0.3">
      <c r="A146" s="181" t="e">
        <f>CONCATENATE('3 pr-2'!#REF!)</f>
        <v>#REF!</v>
      </c>
      <c r="B146" s="247" t="e">
        <f>CONCATENATE('ketv. 2'!#REF!)</f>
        <v>#REF!</v>
      </c>
      <c r="C146" s="182" t="e">
        <f>CONCATENATE('3 pr-2'!#REF!)</f>
        <v>#REF!</v>
      </c>
      <c r="D146" s="182" t="e">
        <f>CONCATENATE('3 pr-2'!#REF!)</f>
        <v>#REF!</v>
      </c>
      <c r="E146" s="182" t="e">
        <f>CONCATENATE('3 pr-2'!#REF!)</f>
        <v>#REF!</v>
      </c>
      <c r="F146" s="182" t="e">
        <f>CONCATENATE('3 pr-2'!#REF!)</f>
        <v>#REF!</v>
      </c>
      <c r="G146" s="182" t="e">
        <f>CONCATENATE('3 pr-2'!#REF!)</f>
        <v>#REF!</v>
      </c>
      <c r="H146" s="182" t="e">
        <f>CONCATENATE('3 pr-2'!#REF!)</f>
        <v>#REF!</v>
      </c>
      <c r="I146" s="192" t="e">
        <f>CONCATENATE('3 pr-2'!#REF!)</f>
        <v>#REF!</v>
      </c>
      <c r="J146" s="193" t="e">
        <f>SUM('3 pr-2'!#REF!)</f>
        <v>#REF!</v>
      </c>
      <c r="K146" s="194" t="e">
        <f>SUM('3 pr-2'!#REF!)</f>
        <v>#REF!</v>
      </c>
      <c r="L146" s="194" t="e">
        <f>SUM('3 pr-2'!#REF!)</f>
        <v>#REF!</v>
      </c>
      <c r="M146" s="194" t="e">
        <f>SUM('3 pr-2'!#REF!)</f>
        <v>#REF!</v>
      </c>
      <c r="N146" s="194" t="e">
        <f>SUM('3 pr-2'!#REF!)</f>
        <v>#REF!</v>
      </c>
      <c r="O146" s="195" t="e">
        <f>SUM('3 pr-2'!#REF!)</f>
        <v>#REF!</v>
      </c>
      <c r="P146" s="234" t="e">
        <f>SUM('3 pr-2'!#REF!)</f>
        <v>#REF!</v>
      </c>
      <c r="Q146" s="259"/>
      <c r="R146" s="235">
        <f t="shared" si="29"/>
        <v>0</v>
      </c>
      <c r="S146" s="525">
        <f t="shared" si="30"/>
        <v>0</v>
      </c>
    </row>
    <row r="147" spans="1:19" ht="41.25" customHeight="1" thickBot="1" x14ac:dyDescent="0.3">
      <c r="A147" s="508" t="str">
        <f>CONCATENATE('3 pr-2'!A141)</f>
        <v>2.1.2.3</v>
      </c>
      <c r="B147" s="519" t="str">
        <f>CONCATENATE('ketv. 2'!B140)</f>
        <v/>
      </c>
      <c r="C147" s="2035" t="str">
        <f>CONCATENATE('3 pr-2'!B141)</f>
        <v>Priemonė:
Priemonių, gerinančių ambulatorinių sveikatos priežiūros paslaugų prieinamumą tuberkulioze sergantiems pacientams, įgyvendinimas</v>
      </c>
      <c r="D147" s="2036" t="str">
        <f>CONCATENATE('3 pr-2'!E147)</f>
        <v/>
      </c>
      <c r="E147" s="2036" t="str">
        <f>CONCATENATE('3 pr-2'!F147)</f>
        <v/>
      </c>
      <c r="F147" s="2036" t="str">
        <f>CONCATENATE('3 pr-2'!G147)</f>
        <v/>
      </c>
      <c r="G147" s="2036" t="str">
        <f>CONCATENATE('3 pr-2'!H147)</f>
        <v/>
      </c>
      <c r="H147" s="2036" t="str">
        <f>CONCATENATE('3 pr-2'!I147)</f>
        <v/>
      </c>
      <c r="I147" s="2036" t="str">
        <f>CONCATENATE('3 pr-2'!J147)</f>
        <v/>
      </c>
      <c r="J147" s="520">
        <f>SUM('3 pr-2'!L141)</f>
        <v>65213.18</v>
      </c>
      <c r="K147" s="520">
        <f>SUM('3 pr-2'!O141)</f>
        <v>3596.09</v>
      </c>
      <c r="L147" s="520">
        <f>SUM('3 pr-2'!R141)</f>
        <v>5556.4400000000005</v>
      </c>
      <c r="M147" s="520">
        <f>SUM('3 pr-2'!U141)</f>
        <v>0</v>
      </c>
      <c r="N147" s="520">
        <f>SUM('3 pr-2'!X141)</f>
        <v>1299.95</v>
      </c>
      <c r="O147" s="521">
        <f>SUM('3 pr-2'!AA141)</f>
        <v>54760.7</v>
      </c>
      <c r="P147" s="530"/>
      <c r="Q147" s="531"/>
      <c r="R147" s="532"/>
      <c r="S147" s="533"/>
    </row>
    <row r="148" spans="1:19" ht="85.5" thickBot="1" x14ac:dyDescent="0.3">
      <c r="A148" s="510" t="str">
        <f>CONCATENATE('3 pr-2'!A142)</f>
        <v>2.1.2.3.1</v>
      </c>
      <c r="B148" s="511" t="str">
        <f>CONCATENATE('ketv. 2'!B141)</f>
        <v>08.4.2-ESFA-R-615-11-0004</v>
      </c>
      <c r="C148" s="509" t="str">
        <f>CONCATENATE('3 pr-2'!D142)</f>
        <v>Priemonių gerinančių ambulatorinių sveikatos priežiūros paslaugų prieinamumą tuberkulioze sergantiems asmenims, Alytaus rajone įgyvendinimas</v>
      </c>
      <c r="D148" s="509" t="str">
        <f>CONCATENATE('3 pr-2'!E142)</f>
        <v>VšĮ Alytaus rajono savivaldybės pirminės sveikatos priežiūros centras</v>
      </c>
      <c r="E148" s="509" t="str">
        <f>CONCATENATE('3 pr-2'!F142)</f>
        <v>Lietuvos Respublikos Sveikatos apsaugos ministerija</v>
      </c>
      <c r="F148" s="509" t="str">
        <f>CONCATENATE('3 pr-2'!G142)</f>
        <v>Alytaus r. sav.</v>
      </c>
      <c r="G148" s="509" t="str">
        <f>CONCATENATE('3 pr-2'!H142)</f>
        <v>08.4.2-ESFA-R-615</v>
      </c>
      <c r="H148" s="509" t="str">
        <f>CONCATENATE('3 pr-2'!I142)</f>
        <v>R</v>
      </c>
      <c r="I148" s="512" t="str">
        <f>CONCATENATE('3 pr-2'!J142)</f>
        <v>-</v>
      </c>
      <c r="J148" s="513">
        <f>SUM('3 pr-2'!L142)</f>
        <v>10453</v>
      </c>
      <c r="K148" s="514">
        <f>SUM('3 pr-2'!O142)</f>
        <v>0</v>
      </c>
      <c r="L148" s="514">
        <f>SUM('3 pr-2'!R142)</f>
        <v>1449.64</v>
      </c>
      <c r="M148" s="514">
        <f>SUM('3 pr-2'!U142)</f>
        <v>0</v>
      </c>
      <c r="N148" s="514">
        <f>SUM('3 pr-2'!X142)</f>
        <v>788.75</v>
      </c>
      <c r="O148" s="515">
        <f>SUM('3 pr-2'!AA142)</f>
        <v>8214.61</v>
      </c>
      <c r="P148" s="526">
        <f>SUM('3 pr-2'!AF142)</f>
        <v>43136</v>
      </c>
      <c r="Q148" s="527"/>
      <c r="R148" s="528">
        <f t="shared" ref="R148:R152" si="31">IF(Q148&gt;0,P148-Q148,0)</f>
        <v>0</v>
      </c>
      <c r="S148" s="529">
        <f t="shared" ref="S148:S152" si="32">IF(Q148&gt;0,(P148-Q148)/30.1667,0)</f>
        <v>0</v>
      </c>
    </row>
    <row r="149" spans="1:19" ht="61.5" thickBot="1" x14ac:dyDescent="0.3">
      <c r="A149" s="510" t="str">
        <f>CONCATENATE('3 pr-2'!A143)</f>
        <v>2.1.2.3.2</v>
      </c>
      <c r="B149" s="511" t="str">
        <f>CONCATENATE('ketv. 2'!B142)</f>
        <v>08.4.2-ESFA-R-615-11-0005</v>
      </c>
      <c r="C149" s="509" t="str">
        <f>CONCATENATE('3 pr-2'!D143)</f>
        <v>Ambulatorinių sveikatos priežiūros paslaugų gerinimas tuberkulioze sergantiems asmenims</v>
      </c>
      <c r="D149" s="509" t="str">
        <f>CONCATENATE('3 pr-2'!E143)</f>
        <v>Alytaus miesto savivaldybės administracija</v>
      </c>
      <c r="E149" s="509" t="str">
        <f>CONCATENATE('3 pr-2'!F143)</f>
        <v>Lietuvos Respublikos Sveikatos apsaugos ministerija</v>
      </c>
      <c r="F149" s="509" t="str">
        <f>CONCATENATE('3 pr-2'!G143)</f>
        <v>Alytaus m. sav.</v>
      </c>
      <c r="G149" s="509" t="str">
        <f>CONCATENATE('3 pr-2'!H143)</f>
        <v>08.4.2-ESFA-R-615</v>
      </c>
      <c r="H149" s="509" t="str">
        <f>CONCATENATE('3 pr-2'!I143)</f>
        <v>R</v>
      </c>
      <c r="I149" s="512" t="str">
        <f>CONCATENATE('3 pr-2'!J143)</f>
        <v>-</v>
      </c>
      <c r="J149" s="513">
        <f>SUM('3 pr-2'!L143)</f>
        <v>17041.18</v>
      </c>
      <c r="K149" s="514">
        <f>SUM('3 pr-2'!O143)</f>
        <v>1278.0899999999999</v>
      </c>
      <c r="L149" s="514">
        <f>SUM('3 pr-2'!R143)</f>
        <v>1278</v>
      </c>
      <c r="M149" s="514">
        <f>SUM('3 pr-2'!U143)</f>
        <v>0</v>
      </c>
      <c r="N149" s="514">
        <f>SUM('3 pr-2'!X143)</f>
        <v>0</v>
      </c>
      <c r="O149" s="515">
        <f>SUM('3 pr-2'!AA143)</f>
        <v>14485.09</v>
      </c>
      <c r="P149" s="516">
        <f>SUM('3 pr-2'!AF143)</f>
        <v>43136</v>
      </c>
      <c r="Q149" s="509"/>
      <c r="R149" s="517">
        <f t="shared" si="31"/>
        <v>0</v>
      </c>
      <c r="S149" s="518">
        <f t="shared" si="32"/>
        <v>0</v>
      </c>
    </row>
    <row r="150" spans="1:19" ht="61.5" thickBot="1" x14ac:dyDescent="0.3">
      <c r="A150" s="510" t="str">
        <f>CONCATENATE('3 pr-2'!A144)</f>
        <v>2.1.2.3.3</v>
      </c>
      <c r="B150" s="511" t="str">
        <f>CONCATENATE('ketv. 2'!B143)</f>
        <v>08.4.2-ESFA-R-615-11-0001</v>
      </c>
      <c r="C150" s="509" t="str">
        <f>CONCATENATE('3 pr-2'!D144)</f>
        <v xml:space="preserve">Paslaugų tuberkulioze sergantiems asmenims gerinimas Lazdijų rajono savivaldybėje </v>
      </c>
      <c r="D150" s="509" t="str">
        <f>CONCATENATE('3 pr-2'!E144)</f>
        <v>Lazdijų rajono savivaldybės administracija</v>
      </c>
      <c r="E150" s="509" t="str">
        <f>CONCATENATE('3 pr-2'!F144)</f>
        <v>Lietuvos Respublikos Sveikatos apsaugos ministerija</v>
      </c>
      <c r="F150" s="509" t="str">
        <f>CONCATENATE('3 pr-2'!G144)</f>
        <v>Lazdijų r. sav.</v>
      </c>
      <c r="G150" s="509" t="str">
        <f>CONCATENATE('3 pr-2'!H144)</f>
        <v>08.4.2-ESFA-R-615</v>
      </c>
      <c r="H150" s="509" t="str">
        <f>CONCATENATE('3 pr-2'!I144)</f>
        <v>R</v>
      </c>
      <c r="I150" s="512" t="str">
        <f>CONCATENATE('3 pr-2'!J144)</f>
        <v>-</v>
      </c>
      <c r="J150" s="513">
        <f>SUM('3 pr-2'!L144)</f>
        <v>15224</v>
      </c>
      <c r="K150" s="514">
        <f>SUM('3 pr-2'!O144)</f>
        <v>1142</v>
      </c>
      <c r="L150" s="514">
        <f>SUM('3 pr-2'!R144)</f>
        <v>1141.5999999999999</v>
      </c>
      <c r="M150" s="514">
        <f>SUM('3 pr-2'!U144)</f>
        <v>0</v>
      </c>
      <c r="N150" s="514">
        <f>SUM('3 pr-2'!X144)</f>
        <v>0</v>
      </c>
      <c r="O150" s="515">
        <f>SUM('3 pr-2'!AA144)</f>
        <v>12940.4</v>
      </c>
      <c r="P150" s="516">
        <f>SUM('3 pr-2'!AF144)</f>
        <v>43136</v>
      </c>
      <c r="Q150" s="509"/>
      <c r="R150" s="517">
        <f t="shared" si="31"/>
        <v>0</v>
      </c>
      <c r="S150" s="518">
        <f t="shared" si="32"/>
        <v>0</v>
      </c>
    </row>
    <row r="151" spans="1:19" ht="61.5" thickBot="1" x14ac:dyDescent="0.3">
      <c r="A151" s="510" t="str">
        <f>CONCATENATE('3 pr-2'!A145)</f>
        <v>2.1.2.3.4</v>
      </c>
      <c r="B151" s="511" t="str">
        <f>CONCATENATE('ketv. 2'!B144)</f>
        <v>08.4.2-ESFA-R-615-11-0002</v>
      </c>
      <c r="C151" s="509" t="str">
        <f>CONCATENATE('3 pr-2'!D145)</f>
        <v>Ambulatorinių sveikatos priežiūros paslaugų tuberkulioze sergantiems asmenims prieinamumo gerinimas Druskininkų savivaldybėje</v>
      </c>
      <c r="D151" s="509" t="str">
        <f>CONCATENATE('3 pr-2'!E145)</f>
        <v>Druskininkų pirminės sveikatos priežiūros centras</v>
      </c>
      <c r="E151" s="509" t="str">
        <f>CONCATENATE('3 pr-2'!F145)</f>
        <v>Lietuvos Respublikos Sveikatos apsaugos ministerija</v>
      </c>
      <c r="F151" s="509" t="str">
        <f>CONCATENATE('3 pr-2'!G145)</f>
        <v>Druskininkų sav.</v>
      </c>
      <c r="G151" s="509" t="str">
        <f>CONCATENATE('3 pr-2'!H145)</f>
        <v>08.4.2-ESFA-R-615</v>
      </c>
      <c r="H151" s="509" t="str">
        <f>CONCATENATE('3 pr-2'!I145)</f>
        <v>R</v>
      </c>
      <c r="I151" s="512" t="str">
        <f>CONCATENATE('3 pr-2'!J145)</f>
        <v>-</v>
      </c>
      <c r="J151" s="513">
        <f>SUM('3 pr-2'!L145)</f>
        <v>6816</v>
      </c>
      <c r="K151" s="514">
        <f>SUM('3 pr-2'!O145)</f>
        <v>0</v>
      </c>
      <c r="L151" s="514">
        <f>SUM('3 pr-2'!R145)</f>
        <v>511.2</v>
      </c>
      <c r="M151" s="514">
        <f>SUM('3 pr-2'!U145)</f>
        <v>0</v>
      </c>
      <c r="N151" s="514">
        <f>SUM('3 pr-2'!X145)</f>
        <v>511.2</v>
      </c>
      <c r="O151" s="515">
        <f>SUM('3 pr-2'!AA145)</f>
        <v>5793.6</v>
      </c>
      <c r="P151" s="516">
        <f>SUM('3 pr-2'!AF145)</f>
        <v>43136</v>
      </c>
      <c r="Q151" s="509"/>
      <c r="R151" s="517">
        <f t="shared" si="31"/>
        <v>0</v>
      </c>
      <c r="S151" s="518">
        <f t="shared" si="32"/>
        <v>0</v>
      </c>
    </row>
    <row r="152" spans="1:19" ht="61.5" thickBot="1" x14ac:dyDescent="0.3">
      <c r="A152" s="510" t="str">
        <f>CONCATENATE('3 pr-2'!A146)</f>
        <v>2.1.2.3.5</v>
      </c>
      <c r="B152" s="511" t="str">
        <f>CONCATENATE('ketv. 2'!B145)</f>
        <v>08.4.2-ESFA-R-615-11-0003</v>
      </c>
      <c r="C152" s="509" t="str">
        <f>CONCATENATE('3 pr-2'!D146)</f>
        <v>Ambulatorinių sveikatos priežiūros paslaugų prieinamumo gerinimas tuberkulioze sergantiems asmenims Varėnos rajono savivaldybėje</v>
      </c>
      <c r="D152" s="509" t="str">
        <f>CONCATENATE('3 pr-2'!E146)</f>
        <v>Varėnos rajono savivaldybės administracija</v>
      </c>
      <c r="E152" s="509" t="str">
        <f>CONCATENATE('3 pr-2'!F146)</f>
        <v>Lietuvos Respublikos Sveikatos apsaugos ministerija</v>
      </c>
      <c r="F152" s="509" t="str">
        <f>CONCATENATE('3 pr-2'!G146)</f>
        <v>Varėnos r. sav.</v>
      </c>
      <c r="G152" s="509" t="str">
        <f>CONCATENATE('3 pr-2'!H146)</f>
        <v>08.4.2-ESFA-R-615</v>
      </c>
      <c r="H152" s="509" t="str">
        <f>CONCATENATE('3 pr-2'!I146)</f>
        <v>R</v>
      </c>
      <c r="I152" s="512" t="str">
        <f>CONCATENATE('3 pr-2'!J146)</f>
        <v>-</v>
      </c>
      <c r="J152" s="513">
        <f>SUM('3 pr-2'!L146)</f>
        <v>15679</v>
      </c>
      <c r="K152" s="514">
        <f>SUM('3 pr-2'!O146)</f>
        <v>1176</v>
      </c>
      <c r="L152" s="514">
        <f>SUM('3 pr-2'!R146)</f>
        <v>1176</v>
      </c>
      <c r="M152" s="514">
        <f>SUM('3 pr-2'!U146)</f>
        <v>0</v>
      </c>
      <c r="N152" s="514">
        <f>SUM('3 pr-2'!X146)</f>
        <v>0</v>
      </c>
      <c r="O152" s="515">
        <f>SUM('3 pr-2'!AA146)</f>
        <v>13327</v>
      </c>
      <c r="P152" s="516">
        <f>SUM('3 pr-2'!AF146)</f>
        <v>43136</v>
      </c>
      <c r="Q152" s="509"/>
      <c r="R152" s="517">
        <f t="shared" si="31"/>
        <v>0</v>
      </c>
      <c r="S152" s="518">
        <f t="shared" si="32"/>
        <v>0</v>
      </c>
    </row>
    <row r="153" spans="1:19" ht="44.25" customHeight="1" thickBot="1" x14ac:dyDescent="0.3">
      <c r="A153" s="155" t="str">
        <f>CONCATENATE('3 pr-2'!A147)</f>
        <v>2.1.3.</v>
      </c>
      <c r="B153" s="247" t="str">
        <f>CONCATENATE('ketv. 2'!B146)</f>
        <v/>
      </c>
      <c r="C153" s="1902" t="str">
        <f>CONCATENATE('3 pr-2'!B147)</f>
        <v>Uždavinys:
Socialinio būsto ir socialinių paslaugų prieinamumo pažeidžiamiausioms gyventojų grupėms padidinimas</v>
      </c>
      <c r="D153" s="1903" t="str">
        <f>CONCATENATE('3 pr-2'!E153)</f>
        <v>VšĮ Kapčiamiesčio globos namai</v>
      </c>
      <c r="E153" s="1903" t="str">
        <f>CONCATENATE('3 pr-2'!F153)</f>
        <v>Lietuvos Respublikos socialinės apsaugos ir darbo ministerija</v>
      </c>
      <c r="F153" s="1903" t="str">
        <f>CONCATENATE('3 pr-2'!G153)</f>
        <v>Lazdijų r. sav.</v>
      </c>
      <c r="G153" s="1903" t="str">
        <f>CONCATENATE('3 pr-2'!H153)</f>
        <v>08.1.2-CPVA-R-407</v>
      </c>
      <c r="H153" s="1903" t="str">
        <f>CONCATENATE('3 pr-2'!I153)</f>
        <v>R</v>
      </c>
      <c r="I153" s="1904" t="str">
        <f>CONCATENATE('3 pr-2'!J153)</f>
        <v>-</v>
      </c>
      <c r="J153" s="220">
        <f>SUM('3 pr-2'!L147)</f>
        <v>4201522.92</v>
      </c>
      <c r="K153" s="220">
        <f>SUM('3 pr-2'!O147)</f>
        <v>772839.92999999993</v>
      </c>
      <c r="L153" s="220">
        <f>SUM('3 pr-2'!R147)</f>
        <v>21947.85</v>
      </c>
      <c r="M153" s="220">
        <f>SUM('3 pr-2'!U147)</f>
        <v>0</v>
      </c>
      <c r="N153" s="220">
        <f>SUM('3 pr-2'!X147)</f>
        <v>0</v>
      </c>
      <c r="O153" s="220">
        <f>SUM('3 pr-2'!AA147)</f>
        <v>3406735.14</v>
      </c>
      <c r="P153" s="205" t="s">
        <v>690</v>
      </c>
      <c r="Q153" s="189" t="s">
        <v>690</v>
      </c>
      <c r="R153" s="190" t="s">
        <v>690</v>
      </c>
      <c r="S153" s="190"/>
    </row>
    <row r="154" spans="1:19" ht="42.75" customHeight="1" thickBot="1" x14ac:dyDescent="0.3">
      <c r="A154" s="317" t="str">
        <f>CONCATENATE('3 pr-2'!A148)</f>
        <v>2.1.3.1</v>
      </c>
      <c r="B154" s="489" t="str">
        <f>CONCATENATE('ketv. 2'!B147)</f>
        <v/>
      </c>
      <c r="C154" s="1890" t="str">
        <f>CONCATENATE('3 pr-2'!B148)</f>
        <v>Priemonė:
Socialinių paslaugų infrastruktūros plėtra</v>
      </c>
      <c r="D154" s="2033" t="str">
        <f>CONCATENATE('3 pr-2'!E154)</f>
        <v/>
      </c>
      <c r="E154" s="2033" t="str">
        <f>CONCATENATE('3 pr-2'!F154)</f>
        <v/>
      </c>
      <c r="F154" s="2033" t="str">
        <f>CONCATENATE('3 pr-2'!G154)</f>
        <v/>
      </c>
      <c r="G154" s="2033" t="str">
        <f>CONCATENATE('3 pr-2'!H154)</f>
        <v/>
      </c>
      <c r="H154" s="2033" t="str">
        <f>CONCATENATE('3 pr-2'!I154)</f>
        <v/>
      </c>
      <c r="I154" s="2034" t="str">
        <f>CONCATENATE('3 pr-2'!J154)</f>
        <v/>
      </c>
      <c r="J154" s="490">
        <f>SUM('3 pr-2'!L148)</f>
        <v>1235321.8</v>
      </c>
      <c r="K154" s="490">
        <f>SUM('3 pr-2'!O148)</f>
        <v>327612.79999999999</v>
      </c>
      <c r="L154" s="490">
        <f>SUM('3 pr-2'!R148)</f>
        <v>21947.85</v>
      </c>
      <c r="M154" s="490">
        <f>SUM('3 pr-2'!U148)</f>
        <v>0</v>
      </c>
      <c r="N154" s="490">
        <f>SUM('3 pr-2'!X148)</f>
        <v>0</v>
      </c>
      <c r="O154" s="491">
        <f>SUM('3 pr-2'!AA148)</f>
        <v>885761.15</v>
      </c>
      <c r="P154" s="492"/>
      <c r="Q154" s="493"/>
      <c r="R154" s="494"/>
      <c r="S154" s="494"/>
    </row>
    <row r="155" spans="1:19" ht="61.5" thickBot="1" x14ac:dyDescent="0.3">
      <c r="A155" s="181" t="str">
        <f>CONCATENATE('3 pr-2'!A149)</f>
        <v>2.1.3.1.1</v>
      </c>
      <c r="B155" s="247" t="str">
        <f>CONCATENATE('ketv. 2'!B148)</f>
        <v>08.1.1-CPVA-R-407-11-0002</v>
      </c>
      <c r="C155" s="182" t="str">
        <f>CONCATENATE('3 pr-2'!D149)</f>
        <v>Socialinių paslaugų infrastruktūros plėtra Varėnos rajono savivaldybėje</v>
      </c>
      <c r="D155" s="182" t="str">
        <f>CONCATENATE('3 pr-2'!E149)</f>
        <v>Varėnos rajono savivaldybės administracija</v>
      </c>
      <c r="E155" s="182" t="str">
        <f>CONCATENATE('3 pr-2'!F149)</f>
        <v>Lietuvos Respublikos socialinės apsaugos ir darbo ministerija</v>
      </c>
      <c r="F155" s="182" t="str">
        <f>CONCATENATE('3 pr-2'!G149)</f>
        <v>Varėnos r. sav.</v>
      </c>
      <c r="G155" s="182" t="str">
        <f>CONCATENATE('3 pr-2'!H149)</f>
        <v>08.1.2-CPVA-R-407</v>
      </c>
      <c r="H155" s="182" t="str">
        <f>CONCATENATE('3 pr-2'!I149)</f>
        <v>R</v>
      </c>
      <c r="I155" s="192" t="str">
        <f>CONCATENATE('3 pr-2'!J149)</f>
        <v>-</v>
      </c>
      <c r="J155" s="193">
        <f>SUM('3 pr-2'!L149)</f>
        <v>148480</v>
      </c>
      <c r="K155" s="194">
        <f>SUM('3 pr-2'!O149)</f>
        <v>22272</v>
      </c>
      <c r="L155" s="194">
        <f>SUM('3 pr-2'!R149)</f>
        <v>0</v>
      </c>
      <c r="M155" s="194">
        <f>SUM('3 pr-2'!U149)</f>
        <v>0</v>
      </c>
      <c r="N155" s="194">
        <f>SUM('3 pr-2'!X149)</f>
        <v>0</v>
      </c>
      <c r="O155" s="195">
        <f>SUM('3 pr-2'!AA149)</f>
        <v>126208</v>
      </c>
      <c r="P155" s="213">
        <f>SUM('3 pr-2'!AF149)</f>
        <v>42618</v>
      </c>
      <c r="Q155" s="262">
        <v>42618</v>
      </c>
      <c r="R155" s="191">
        <f t="shared" ref="R155:R159" si="33">IF(Q155&gt;0,P155-Q155,0)</f>
        <v>0</v>
      </c>
      <c r="S155" s="257">
        <f t="shared" ref="S155:S159" si="34">IF(Q155&gt;0,(P155-Q155)/30.1667,0)</f>
        <v>0</v>
      </c>
    </row>
    <row r="156" spans="1:19" ht="61.5" thickBot="1" x14ac:dyDescent="0.3">
      <c r="A156" s="181" t="str">
        <f>CONCATENATE('3 pr-2'!A150)</f>
        <v>2.1.3.1.2</v>
      </c>
      <c r="B156" s="247" t="str">
        <f>CONCATENATE('ketv. 2'!B149)</f>
        <v>08.1.1-CPVA-R-407-11-0004</v>
      </c>
      <c r="C156" s="182" t="str">
        <f>CONCATENATE('3 pr-2'!D150)</f>
        <v>Psichosocialinės pagalbos centro įkūrimas</v>
      </c>
      <c r="D156" s="182" t="str">
        <f>CONCATENATE('3 pr-2'!E150)</f>
        <v>Alytaus rajono savivaldybės administracija</v>
      </c>
      <c r="E156" s="182" t="str">
        <f>CONCATENATE('3 pr-2'!F150)</f>
        <v>Lietuvos Respublikos socialinės apsaugos ir darbo ministerija</v>
      </c>
      <c r="F156" s="182" t="str">
        <f>CONCATENATE('3 pr-2'!G150)</f>
        <v>Alytaus r. sav.</v>
      </c>
      <c r="G156" s="182" t="str">
        <f>CONCATENATE('3 pr-2'!H150)</f>
        <v>08.1.2-CPVA-R-407</v>
      </c>
      <c r="H156" s="182" t="str">
        <f>CONCATENATE('3 pr-2'!I150)</f>
        <v>R</v>
      </c>
      <c r="I156" s="192" t="str">
        <f>CONCATENATE('3 pr-2'!J150)</f>
        <v/>
      </c>
      <c r="J156" s="193">
        <f>SUM('3 pr-2'!L150)</f>
        <v>188353</v>
      </c>
      <c r="K156" s="194">
        <f>SUM('3 pr-2'!O150)</f>
        <v>28253</v>
      </c>
      <c r="L156" s="194">
        <f>SUM('3 pr-2'!R150)</f>
        <v>0</v>
      </c>
      <c r="M156" s="194">
        <f>SUM('3 pr-2'!U150)</f>
        <v>0</v>
      </c>
      <c r="N156" s="194">
        <f>SUM('3 pr-2'!X150)</f>
        <v>0</v>
      </c>
      <c r="O156" s="195">
        <f>SUM('3 pr-2'!AA150)</f>
        <v>160100</v>
      </c>
      <c r="P156" s="213">
        <f>SUM('3 pr-2'!AF150)</f>
        <v>42618</v>
      </c>
      <c r="Q156" s="262">
        <v>42618</v>
      </c>
      <c r="R156" s="191">
        <f t="shared" si="33"/>
        <v>0</v>
      </c>
      <c r="S156" s="257">
        <f t="shared" si="34"/>
        <v>0</v>
      </c>
    </row>
    <row r="157" spans="1:19" ht="61.5" thickBot="1" x14ac:dyDescent="0.3">
      <c r="A157" s="181" t="str">
        <f>CONCATENATE('3 pr-2'!A151)</f>
        <v>2.1.3.1.3</v>
      </c>
      <c r="B157" s="247" t="str">
        <f>CONCATENATE('ketv. 2'!B150)</f>
        <v>08.1.1-CPVA-R-407-11-0005</v>
      </c>
      <c r="C157" s="182" t="str">
        <f>CONCATENATE('3 pr-2'!D151)</f>
        <v>Socialinių paslaugų plėtra Alytaus mieste</v>
      </c>
      <c r="D157" s="182" t="str">
        <f>CONCATENATE('3 pr-2'!E151)</f>
        <v>Alytaus miesto savivaldybės administracija</v>
      </c>
      <c r="E157" s="182" t="str">
        <f>CONCATENATE('3 pr-2'!F151)</f>
        <v>Lietuvos Respublikos socialinės apsaugos ir darbo ministerija</v>
      </c>
      <c r="F157" s="182" t="str">
        <f>CONCATENATE('3 pr-2'!G151)</f>
        <v>Alytaus m. sav.</v>
      </c>
      <c r="G157" s="182" t="str">
        <f>CONCATENATE('3 pr-2'!H151)</f>
        <v>08.1.2-CPVA-R-407</v>
      </c>
      <c r="H157" s="182" t="str">
        <f>CONCATENATE('3 pr-2'!I151)</f>
        <v>R</v>
      </c>
      <c r="I157" s="192" t="str">
        <f>CONCATENATE('3 pr-2'!J151)</f>
        <v>-</v>
      </c>
      <c r="J157" s="193">
        <f>SUM('3 pr-2'!L151)</f>
        <v>600732.80000000005</v>
      </c>
      <c r="K157" s="194">
        <f>SUM('3 pr-2'!O151)</f>
        <v>254371.8</v>
      </c>
      <c r="L157" s="194">
        <f>SUM('3 pr-2'!R151)</f>
        <v>0</v>
      </c>
      <c r="M157" s="194">
        <f>SUM('3 pr-2'!U151)</f>
        <v>0</v>
      </c>
      <c r="N157" s="194">
        <f>SUM('3 pr-2'!X151)</f>
        <v>0</v>
      </c>
      <c r="O157" s="195">
        <f>SUM('3 pr-2'!AA151)</f>
        <v>346361</v>
      </c>
      <c r="P157" s="213">
        <f>SUM('3 pr-2'!AF151)</f>
        <v>42653</v>
      </c>
      <c r="Q157" s="262">
        <v>42653</v>
      </c>
      <c r="R157" s="191">
        <f t="shared" si="33"/>
        <v>0</v>
      </c>
      <c r="S157" s="257">
        <f t="shared" si="34"/>
        <v>0</v>
      </c>
    </row>
    <row r="158" spans="1:19" ht="61.5" thickBot="1" x14ac:dyDescent="0.3">
      <c r="A158" s="181" t="str">
        <f>CONCATENATE('3 pr-2'!A152)</f>
        <v>2.1.3.1.4</v>
      </c>
      <c r="B158" s="247" t="str">
        <f>CONCATENATE('ketv. 2'!B151)</f>
        <v>08.1.1-CPVA-R-407-11-0001</v>
      </c>
      <c r="C158" s="182" t="str">
        <f>CONCATENATE('3 pr-2'!D152)</f>
        <v>Socialinių paslaugų infrastruktūros plėtra Druskininkų savivaldybėje</v>
      </c>
      <c r="D158" s="182" t="str">
        <f>CONCATENATE('3 pr-2'!E152)</f>
        <v>Druskininkų savivaldybės administracija</v>
      </c>
      <c r="E158" s="182" t="str">
        <f>CONCATENATE('3 pr-2'!F152)</f>
        <v>Lietuvos Respublikos socialinės apsaugos ir darbo ministerija</v>
      </c>
      <c r="F158" s="182" t="str">
        <f>CONCATENATE('3 pr-2'!G152)</f>
        <v>Druskininkų sav.</v>
      </c>
      <c r="G158" s="182" t="str">
        <f>CONCATENATE('3 pr-2'!H152)</f>
        <v>08.1.2-CPVA-R-407</v>
      </c>
      <c r="H158" s="182" t="str">
        <f>CONCATENATE('3 pr-2'!I152)</f>
        <v>R</v>
      </c>
      <c r="I158" s="192" t="str">
        <f>CONCATENATE('3 pr-2'!J152)</f>
        <v>-</v>
      </c>
      <c r="J158" s="193">
        <f>SUM('3 pr-2'!L152)</f>
        <v>151437</v>
      </c>
      <c r="K158" s="194">
        <f>SUM('3 pr-2'!O152)</f>
        <v>22716</v>
      </c>
      <c r="L158" s="194">
        <f>SUM('3 pr-2'!R152)</f>
        <v>0</v>
      </c>
      <c r="M158" s="194">
        <f>SUM('3 pr-2'!U152)</f>
        <v>0</v>
      </c>
      <c r="N158" s="194">
        <f>SUM('3 pr-2'!X152)</f>
        <v>0</v>
      </c>
      <c r="O158" s="195">
        <f>SUM('3 pr-2'!AA152)</f>
        <v>128721</v>
      </c>
      <c r="P158" s="213">
        <f>SUM('3 pr-2'!AF152)</f>
        <v>42618</v>
      </c>
      <c r="Q158" s="262">
        <v>42618</v>
      </c>
      <c r="R158" s="191">
        <f t="shared" si="33"/>
        <v>0</v>
      </c>
      <c r="S158" s="257">
        <f t="shared" si="34"/>
        <v>0</v>
      </c>
    </row>
    <row r="159" spans="1:19" ht="61.5" thickBot="1" x14ac:dyDescent="0.3">
      <c r="A159" s="181" t="str">
        <f>CONCATENATE('3 pr-2'!A153)</f>
        <v>2.1.3.1.5</v>
      </c>
      <c r="B159" s="247" t="str">
        <f>CONCATENATE('ketv. 2'!B152)</f>
        <v>08.1.1-CPVA-R-407-11-0003</v>
      </c>
      <c r="C159" s="182" t="str">
        <f>CONCATENATE('3 pr-2'!D153)</f>
        <v>Socialinių paslaugų infrastruktūros modernizavimas ir plėtra VšĮ Kapčiamiesčio globos namuose</v>
      </c>
      <c r="D159" s="182" t="str">
        <f>CONCATENATE('3 pr-2'!E153)</f>
        <v>VšĮ Kapčiamiesčio globos namai</v>
      </c>
      <c r="E159" s="182" t="str">
        <f>CONCATENATE('3 pr-2'!F153)</f>
        <v>Lietuvos Respublikos socialinės apsaugos ir darbo ministerija</v>
      </c>
      <c r="F159" s="182" t="str">
        <f>CONCATENATE('3 pr-2'!G153)</f>
        <v>Lazdijų r. sav.</v>
      </c>
      <c r="G159" s="182" t="str">
        <f>CONCATENATE('3 pr-2'!H153)</f>
        <v>08.1.2-CPVA-R-407</v>
      </c>
      <c r="H159" s="182" t="str">
        <f>CONCATENATE('3 pr-2'!I153)</f>
        <v>R</v>
      </c>
      <c r="I159" s="192" t="str">
        <f>CONCATENATE('3 pr-2'!J153)</f>
        <v>-</v>
      </c>
      <c r="J159" s="193">
        <f>SUM('3 pr-2'!L153)</f>
        <v>146319</v>
      </c>
      <c r="K159" s="194">
        <f>SUM('3 pr-2'!O153)</f>
        <v>0</v>
      </c>
      <c r="L159" s="194">
        <f>SUM('3 pr-2'!R153)</f>
        <v>21947.85</v>
      </c>
      <c r="M159" s="194">
        <f>SUM('3 pr-2'!U153)</f>
        <v>0</v>
      </c>
      <c r="N159" s="194">
        <f>SUM('3 pr-2'!X153)</f>
        <v>0</v>
      </c>
      <c r="O159" s="195">
        <f>SUM('3 pr-2'!AA153)</f>
        <v>124371.15</v>
      </c>
      <c r="P159" s="213">
        <f>SUM('3 pr-2'!AF153)</f>
        <v>42618</v>
      </c>
      <c r="Q159" s="262">
        <v>42618</v>
      </c>
      <c r="R159" s="191">
        <f t="shared" si="33"/>
        <v>0</v>
      </c>
      <c r="S159" s="257">
        <f t="shared" si="34"/>
        <v>0</v>
      </c>
    </row>
    <row r="160" spans="1:19" ht="25.5" customHeight="1" thickBot="1" x14ac:dyDescent="0.3">
      <c r="A160" s="317" t="str">
        <f>CONCATENATE('3 pr-2'!A154)</f>
        <v>2.1.3.2</v>
      </c>
      <c r="B160" s="489" t="str">
        <f>CONCATENATE('ketv. 2'!B153)</f>
        <v/>
      </c>
      <c r="C160" s="1890" t="str">
        <f>CONCATENATE('3 pr-2'!B154)</f>
        <v>Priemonė:
Socialinio būsto fondo plėtra</v>
      </c>
      <c r="D160" s="2031" t="str">
        <f>CONCATENATE('3 pr-2'!E160)</f>
        <v/>
      </c>
      <c r="E160" s="2031" t="str">
        <f>CONCATENATE('3 pr-2'!F160)</f>
        <v/>
      </c>
      <c r="F160" s="2031" t="str">
        <f>CONCATENATE('3 pr-2'!G160)</f>
        <v/>
      </c>
      <c r="G160" s="2031" t="str">
        <f>CONCATENATE('3 pr-2'!H160)</f>
        <v/>
      </c>
      <c r="H160" s="2031" t="str">
        <f>CONCATENATE('3 pr-2'!I160)</f>
        <v/>
      </c>
      <c r="I160" s="2031" t="str">
        <f>CONCATENATE('3 pr-2'!J160)</f>
        <v/>
      </c>
      <c r="J160" s="490">
        <f>SUM('3 pr-2'!L154)</f>
        <v>2966201.12</v>
      </c>
      <c r="K160" s="490">
        <f>SUM('3 pr-2'!O154)</f>
        <v>445227.13</v>
      </c>
      <c r="L160" s="490">
        <f>SUM('3 pr-2'!R154)</f>
        <v>0</v>
      </c>
      <c r="M160" s="490">
        <f>SUM('3 pr-2'!U154)</f>
        <v>0</v>
      </c>
      <c r="N160" s="490">
        <f>SUM('3 pr-2'!X154)</f>
        <v>0</v>
      </c>
      <c r="O160" s="491">
        <f>SUM('3 pr-2'!AA154)</f>
        <v>2520973.9900000002</v>
      </c>
      <c r="P160" s="492"/>
      <c r="Q160" s="493"/>
      <c r="R160" s="494"/>
      <c r="S160" s="494"/>
    </row>
    <row r="161" spans="1:19" ht="61.5" thickBot="1" x14ac:dyDescent="0.3">
      <c r="A161" s="181" t="str">
        <f>CONCATENATE('3 pr-2'!A155)</f>
        <v>2.1.3.2.1</v>
      </c>
      <c r="B161" s="247" t="str">
        <f>CONCATENATE('ketv. 2'!B154)</f>
        <v>08.1.2-CPVA-R-408-11-0001</v>
      </c>
      <c r="C161" s="182" t="str">
        <f>CONCATENATE('3 pr-2'!D155)</f>
        <v>Socialinio būsto plėtra Varėnos rajone</v>
      </c>
      <c r="D161" s="182" t="str">
        <f>CONCATENATE('3 pr-2'!E155)</f>
        <v>Varėnos rajono savivaldybės administracija</v>
      </c>
      <c r="E161" s="182" t="str">
        <f>CONCATENATE('3 pr-2'!F155)</f>
        <v>Lietuvos Respublikos socialinės apsaugos ir darbo ministerija</v>
      </c>
      <c r="F161" s="182" t="str">
        <f>CONCATENATE('3 pr-2'!G155)</f>
        <v>Varėnos r. sav.</v>
      </c>
      <c r="G161" s="182" t="str">
        <f>CONCATENATE('3 pr-2'!H155)</f>
        <v>08.1.1-CPVA·R-408</v>
      </c>
      <c r="H161" s="182" t="str">
        <f>CONCATENATE('3 pr-2'!I155)</f>
        <v>R</v>
      </c>
      <c r="I161" s="192" t="str">
        <f>CONCATENATE('3 pr-2'!J155)</f>
        <v>-</v>
      </c>
      <c r="J161" s="193">
        <f>SUM('3 pr-2'!L155)</f>
        <v>736499</v>
      </c>
      <c r="K161" s="194">
        <f>SUM('3 pr-2'!O155)</f>
        <v>110475</v>
      </c>
      <c r="L161" s="194">
        <f>SUM('3 pr-2'!R155)</f>
        <v>0</v>
      </c>
      <c r="M161" s="194">
        <f>SUM('3 pr-2'!U155)</f>
        <v>0</v>
      </c>
      <c r="N161" s="194">
        <f>SUM('3 pr-2'!X155)</f>
        <v>0</v>
      </c>
      <c r="O161" s="195">
        <f>SUM('3 pr-2'!AA155)</f>
        <v>626024</v>
      </c>
      <c r="P161" s="213">
        <f>SUM('3 pr-2'!AF155)</f>
        <v>42401</v>
      </c>
      <c r="Q161" s="263">
        <v>42401</v>
      </c>
      <c r="R161" s="191">
        <f t="shared" ref="R161:R165" si="35">IF(Q161&gt;0,P161-Q161,0)</f>
        <v>0</v>
      </c>
      <c r="S161" s="257">
        <f t="shared" ref="S161:S165" si="36">IF(Q161&gt;0,(P161-Q161)/30.1667,0)</f>
        <v>0</v>
      </c>
    </row>
    <row r="162" spans="1:19" ht="61.5" thickBot="1" x14ac:dyDescent="0.3">
      <c r="A162" s="181" t="str">
        <f>CONCATENATE('3 pr-2'!A156)</f>
        <v>2.1.3.2.2</v>
      </c>
      <c r="B162" s="247" t="str">
        <f>CONCATENATE('ketv. 2'!B155)</f>
        <v>08.1.2-CPVA-R-408-11-0005</v>
      </c>
      <c r="C162" s="182" t="str">
        <f>CONCATENATE('3 pr-2'!D156)</f>
        <v>Būsto prieinamumo pažeidžiamoms gyventojų grupėms didinimas Alytaus rajone</v>
      </c>
      <c r="D162" s="182" t="str">
        <f>CONCATENATE('3 pr-2'!E156)</f>
        <v>Alytaus rajono savivaldybės administracija</v>
      </c>
      <c r="E162" s="182" t="str">
        <f>CONCATENATE('3 pr-2'!F156)</f>
        <v>Lietuvos Respublikos socialinės apsaugos ir darbo ministerija</v>
      </c>
      <c r="F162" s="182" t="str">
        <f>CONCATENATE('3 pr-2'!G156)</f>
        <v>Alytaus r. sav.</v>
      </c>
      <c r="G162" s="182" t="str">
        <f>CONCATENATE('3 pr-2'!H156)</f>
        <v>08.1.1-CPVA·R-408</v>
      </c>
      <c r="H162" s="182" t="str">
        <f>CONCATENATE('3 pr-2'!I156)</f>
        <v>R</v>
      </c>
      <c r="I162" s="192" t="str">
        <f>CONCATENATE('3 pr-2'!J156)</f>
        <v>-</v>
      </c>
      <c r="J162" s="193">
        <f>SUM('3 pr-2'!L156)</f>
        <v>241889</v>
      </c>
      <c r="K162" s="194">
        <f>SUM('3 pr-2'!O156)</f>
        <v>36283</v>
      </c>
      <c r="L162" s="194">
        <f>SUM('3 pr-2'!R156)</f>
        <v>0</v>
      </c>
      <c r="M162" s="194">
        <f>SUM('3 pr-2'!U156)</f>
        <v>0</v>
      </c>
      <c r="N162" s="194">
        <f>SUM('3 pr-2'!X156)</f>
        <v>0</v>
      </c>
      <c r="O162" s="195">
        <f>SUM('3 pr-2'!AA156)</f>
        <v>205606</v>
      </c>
      <c r="P162" s="213">
        <f>SUM('3 pr-2'!AF156)</f>
        <v>42401</v>
      </c>
      <c r="Q162" s="263">
        <v>42401</v>
      </c>
      <c r="R162" s="191">
        <f t="shared" si="35"/>
        <v>0</v>
      </c>
      <c r="S162" s="257">
        <f t="shared" si="36"/>
        <v>0</v>
      </c>
    </row>
    <row r="163" spans="1:19" ht="61.5" thickBot="1" x14ac:dyDescent="0.3">
      <c r="A163" s="181" t="str">
        <f>CONCATENATE('3 pr-2'!A157)</f>
        <v>2.1.3.1.3</v>
      </c>
      <c r="B163" s="247" t="str">
        <f>CONCATENATE('ketv. 2'!B156)</f>
        <v>08.1.2-CPVA-R-408-11-0002</v>
      </c>
      <c r="C163" s="182" t="str">
        <f>CONCATENATE('3 pr-2'!D157)</f>
        <v>Socialinio būsto plėtra Alytaus mieste</v>
      </c>
      <c r="D163" s="182" t="str">
        <f>CONCATENATE('3 pr-2'!E157)</f>
        <v>Alytaus miesto savivaldybės administracija</v>
      </c>
      <c r="E163" s="182" t="str">
        <f>CONCATENATE('3 pr-2'!F157)</f>
        <v>Lietuvos Respublikos socialinės apsaugos ir darbo ministerija</v>
      </c>
      <c r="F163" s="182" t="str">
        <f>CONCATENATE('3 pr-2'!G157)</f>
        <v>Alytaus m. sav.</v>
      </c>
      <c r="G163" s="182" t="str">
        <f>CONCATENATE('3 pr-2'!H157)</f>
        <v>08.1.1-CPVA·R-408</v>
      </c>
      <c r="H163" s="182" t="str">
        <f>CONCATENATE('3 pr-2'!I157)</f>
        <v>R</v>
      </c>
      <c r="I163" s="192" t="str">
        <f>CONCATENATE('3 pr-2'!J157)</f>
        <v>-</v>
      </c>
      <c r="J163" s="193">
        <f>SUM('3 pr-2'!L157)</f>
        <v>891741.17999999993</v>
      </c>
      <c r="K163" s="194">
        <f>SUM('3 pr-2'!O157)</f>
        <v>133761.18</v>
      </c>
      <c r="L163" s="194">
        <f>SUM('3 pr-2'!R157)</f>
        <v>0</v>
      </c>
      <c r="M163" s="194">
        <f>SUM('3 pr-2'!U157)</f>
        <v>0</v>
      </c>
      <c r="N163" s="194">
        <f>SUM('3 pr-2'!X157)</f>
        <v>0</v>
      </c>
      <c r="O163" s="195">
        <f>SUM('3 pr-2'!AA157)</f>
        <v>757980</v>
      </c>
      <c r="P163" s="213">
        <f>SUM('3 pr-2'!AF157)</f>
        <v>42401</v>
      </c>
      <c r="Q163" s="263">
        <v>42401</v>
      </c>
      <c r="R163" s="191">
        <f t="shared" si="35"/>
        <v>0</v>
      </c>
      <c r="S163" s="257">
        <f t="shared" si="36"/>
        <v>0</v>
      </c>
    </row>
    <row r="164" spans="1:19" ht="61.5" thickBot="1" x14ac:dyDescent="0.3">
      <c r="A164" s="181" t="str">
        <f>CONCATENATE('3 pr-2'!A158)</f>
        <v>2.1.3.2.4</v>
      </c>
      <c r="B164" s="247" t="str">
        <f>CONCATENATE('ketv. 2'!B157)</f>
        <v>08.1.2-CPVA-R-408-11-0003</v>
      </c>
      <c r="C164" s="182" t="str">
        <f>CONCATENATE('3 pr-2'!D158)</f>
        <v>Socialinio būsto fondo plėtra Druskininkų savivaldybėje</v>
      </c>
      <c r="D164" s="182" t="str">
        <f>CONCATENATE('3 pr-2'!E158)</f>
        <v>Druskininkų savivaldybės administracija</v>
      </c>
      <c r="E164" s="182" t="str">
        <f>CONCATENATE('3 pr-2'!F158)</f>
        <v>Lietuvos Respublikos socialinės apsaugos ir darbo ministerija</v>
      </c>
      <c r="F164" s="182" t="str">
        <f>CONCATENATE('3 pr-2'!G158)</f>
        <v>Druskininkų sav.</v>
      </c>
      <c r="G164" s="182" t="str">
        <f>CONCATENATE('3 pr-2'!H158)</f>
        <v>08.1.1-CPVA·R-408</v>
      </c>
      <c r="H164" s="182" t="str">
        <f>CONCATENATE('3 pr-2'!I158)</f>
        <v>R</v>
      </c>
      <c r="I164" s="192" t="str">
        <f>CONCATENATE('3 pr-2'!J158)</f>
        <v>-</v>
      </c>
      <c r="J164" s="193">
        <f>SUM('3 pr-2'!L158)</f>
        <v>727472.94</v>
      </c>
      <c r="K164" s="194">
        <f>SUM('3 pr-2'!O158)</f>
        <v>109120.95</v>
      </c>
      <c r="L164" s="194">
        <f>SUM('3 pr-2'!R158)</f>
        <v>0</v>
      </c>
      <c r="M164" s="194">
        <f>SUM('3 pr-2'!U158)</f>
        <v>0</v>
      </c>
      <c r="N164" s="194">
        <f>SUM('3 pr-2'!X158)</f>
        <v>0</v>
      </c>
      <c r="O164" s="195">
        <f>SUM('3 pr-2'!AA158)</f>
        <v>618351.99</v>
      </c>
      <c r="P164" s="213">
        <f>SUM('3 pr-2'!AF158)</f>
        <v>42401</v>
      </c>
      <c r="Q164" s="263">
        <v>42401</v>
      </c>
      <c r="R164" s="191">
        <f t="shared" si="35"/>
        <v>0</v>
      </c>
      <c r="S164" s="257">
        <f t="shared" si="36"/>
        <v>0</v>
      </c>
    </row>
    <row r="165" spans="1:19" ht="61.5" thickBot="1" x14ac:dyDescent="0.3">
      <c r="A165" s="181" t="str">
        <f>CONCATENATE('3 pr-2'!A159)</f>
        <v>2.1.3.2.5</v>
      </c>
      <c r="B165" s="247" t="str">
        <f>CONCATENATE('ketv. 2'!B158)</f>
        <v>08.1.2-CPVA-R-408-11-0004</v>
      </c>
      <c r="C165" s="182" t="str">
        <f>CONCATENATE('3 pr-2'!D159)</f>
        <v>Socialinio būsto fondo plėtra Lazdijų rajono savivaldybėje</v>
      </c>
      <c r="D165" s="182" t="str">
        <f>CONCATENATE('3 pr-2'!E159)</f>
        <v>Lazdijų rajono savivaldybės administracija</v>
      </c>
      <c r="E165" s="182" t="str">
        <f>CONCATENATE('3 pr-2'!F159)</f>
        <v>Lietuvos Respublikos socialinės apsaugos ir darbo ministerija</v>
      </c>
      <c r="F165" s="182" t="str">
        <f>CONCATENATE('3 pr-2'!G159)</f>
        <v>Lazdijų r. sav.</v>
      </c>
      <c r="G165" s="182" t="str">
        <f>CONCATENATE('3 pr-2'!H159)</f>
        <v>08.1.1-CPVA·R-408</v>
      </c>
      <c r="H165" s="182" t="str">
        <f>CONCATENATE('3 pr-2'!I159)</f>
        <v>R</v>
      </c>
      <c r="I165" s="192" t="str">
        <f>CONCATENATE('3 pr-2'!J159)</f>
        <v>-</v>
      </c>
      <c r="J165" s="225">
        <f>SUM('3 pr-2'!L159)</f>
        <v>368599</v>
      </c>
      <c r="K165" s="226">
        <f>SUM('3 pr-2'!O159)</f>
        <v>55587</v>
      </c>
      <c r="L165" s="226">
        <f>SUM('3 pr-2'!R159)</f>
        <v>0</v>
      </c>
      <c r="M165" s="226">
        <f>SUM('3 pr-2'!U159)</f>
        <v>0</v>
      </c>
      <c r="N165" s="226">
        <f>SUM('3 pr-2'!X159)</f>
        <v>0</v>
      </c>
      <c r="O165" s="227">
        <f>SUM('3 pr-2'!AA159)</f>
        <v>313012</v>
      </c>
      <c r="P165" s="213">
        <f>SUM('3 pr-2'!AF159)</f>
        <v>42401</v>
      </c>
      <c r="Q165" s="265">
        <v>42401</v>
      </c>
      <c r="R165" s="191">
        <f t="shared" si="35"/>
        <v>0</v>
      </c>
      <c r="S165" s="257">
        <f t="shared" si="36"/>
        <v>0</v>
      </c>
    </row>
    <row r="166" spans="1:19" ht="40.5" customHeight="1" thickBot="1" x14ac:dyDescent="0.3">
      <c r="A166" s="155" t="str">
        <f>CONCATENATE('3 pr-2'!A160)</f>
        <v>2.1.4.</v>
      </c>
      <c r="B166" s="247" t="str">
        <f>CONCATENATE('ketv. 2'!B159)</f>
        <v/>
      </c>
      <c r="C166" s="1902" t="str">
        <f>CONCATENATE('3 pr-2'!B160)</f>
        <v>Uždavinys:
Visuomenei teikiamų paslaugų kokybės, didinant jų atitikimo visuomenės poreikiams pagerinimas</v>
      </c>
      <c r="D166" s="2030" t="str">
        <f>CONCATENATE('3 pr-2'!E166)</f>
        <v>Druskininkų savivaldybės administracija</v>
      </c>
      <c r="E166" s="2030" t="str">
        <f>CONCATENATE('3 pr-2'!F166)</f>
        <v>Lietuvos Respublikos vidaus reikalų ministerija</v>
      </c>
      <c r="F166" s="2030" t="str">
        <f>CONCATENATE('3 pr-2'!G166)</f>
        <v>Druskininkų sav.</v>
      </c>
      <c r="G166" s="2030" t="str">
        <f>CONCATENATE('3 pr-2'!H166)</f>
        <v>10.1.3-ESFA-R-920</v>
      </c>
      <c r="H166" s="2030" t="str">
        <f>CONCATENATE('3 pr-2'!I166)</f>
        <v>R</v>
      </c>
      <c r="I166" s="2030" t="str">
        <f>CONCATENATE('3 pr-2'!J166)</f>
        <v>-</v>
      </c>
      <c r="J166" s="228">
        <f>SUM('3 pr-2'!L160)</f>
        <v>1106987.73</v>
      </c>
      <c r="K166" s="228">
        <f>SUM('3 pr-2'!O160)</f>
        <v>166179.88999999998</v>
      </c>
      <c r="L166" s="228">
        <f>SUM('3 pr-2'!R160)</f>
        <v>0</v>
      </c>
      <c r="M166" s="228">
        <f>SUM('3 pr-2'!U160)</f>
        <v>0</v>
      </c>
      <c r="N166" s="228">
        <f>SUM('3 pr-2'!X160)</f>
        <v>0</v>
      </c>
      <c r="O166" s="228">
        <f>SUM('3 pr-2'!AA160)</f>
        <v>940807.84000000008</v>
      </c>
      <c r="P166" s="236" t="s">
        <v>690</v>
      </c>
      <c r="Q166" s="237" t="s">
        <v>690</v>
      </c>
      <c r="R166" s="238" t="s">
        <v>690</v>
      </c>
      <c r="S166" s="239"/>
    </row>
    <row r="167" spans="1:19" ht="38.25" customHeight="1" thickBot="1" x14ac:dyDescent="0.3">
      <c r="A167" s="317" t="str">
        <f>CONCATENATE('3 pr-2'!A161)</f>
        <v>2.1.4.1</v>
      </c>
      <c r="B167" s="489" t="str">
        <f>CONCATENATE('ketv. 2'!B160)</f>
        <v/>
      </c>
      <c r="C167" s="1890" t="str">
        <f>CONCATENATE('3 pr-2'!B161)</f>
        <v>Priemonė:
Paslaugų teikimo ir asmenų aptarnavimo kokybės gerinimas savivaldybėse</v>
      </c>
      <c r="D167" s="2031" t="str">
        <f>CONCATENATE('3 pr-2'!E167)</f>
        <v>Alytaus miesto savivaldybės administracija</v>
      </c>
      <c r="E167" s="2031" t="str">
        <f>CONCATENATE('3 pr-2'!F167)</f>
        <v>Lietuvos Respublikos vidaus reikalų ministerija</v>
      </c>
      <c r="F167" s="2031" t="str">
        <f>CONCATENATE('3 pr-2'!G167)</f>
        <v>Alytaus m. sav.</v>
      </c>
      <c r="G167" s="2031" t="str">
        <f>CONCATENATE('3 pr-2'!H167)</f>
        <v>10.1.3-ESFA-R-920</v>
      </c>
      <c r="H167" s="2031" t="str">
        <f>CONCATENATE('3 pr-2'!I167)</f>
        <v>R</v>
      </c>
      <c r="I167" s="2031" t="str">
        <f>CONCATENATE('3 pr-2'!J167)</f>
        <v>-</v>
      </c>
      <c r="J167" s="490">
        <f>SUM('3 pr-2'!L161)</f>
        <v>1106987.73</v>
      </c>
      <c r="K167" s="490">
        <f>SUM('3 pr-2'!O161)</f>
        <v>166179.88999999998</v>
      </c>
      <c r="L167" s="490">
        <f>SUM('3 pr-2'!R161)</f>
        <v>0</v>
      </c>
      <c r="M167" s="490">
        <f>SUM('3 pr-2'!U161)</f>
        <v>0</v>
      </c>
      <c r="N167" s="490">
        <f>SUM('3 pr-2'!X161)</f>
        <v>0</v>
      </c>
      <c r="O167" s="491">
        <f>SUM('3 pr-2'!AA161)</f>
        <v>940807.84000000008</v>
      </c>
      <c r="P167" s="492"/>
      <c r="Q167" s="493"/>
      <c r="R167" s="494"/>
      <c r="S167" s="494"/>
    </row>
    <row r="168" spans="1:19" ht="49.5" thickBot="1" x14ac:dyDescent="0.3">
      <c r="A168" s="181" t="str">
        <f>CONCATENATE('3 pr-2'!A162)</f>
        <v>2.1.4.1.1</v>
      </c>
      <c r="B168" s="247" t="str">
        <f>CONCATENATE('ketv. 2'!B161)</f>
        <v>10.1.3-ESFA-R-920-11-0001</v>
      </c>
      <c r="C168" s="182" t="str">
        <f>CONCATENATE('3 pr-2'!D162)</f>
        <v>Paslaugų teikimo ir asmenų aptarnavimo kokybės gerinimas Varėnos rajono savivaldybėje</v>
      </c>
      <c r="D168" s="182" t="str">
        <f>CONCATENATE('3 pr-2'!E162)</f>
        <v>Varėnos rajono savivaldybės administracija</v>
      </c>
      <c r="E168" s="182" t="str">
        <f>CONCATENATE('3 pr-2'!F162)</f>
        <v>Lietuvos Respublikos vidaus reikalų ministerija</v>
      </c>
      <c r="F168" s="182" t="str">
        <f>CONCATENATE('3 pr-2'!G162)</f>
        <v>Varėnos r. sav.</v>
      </c>
      <c r="G168" s="182" t="str">
        <f>CONCATENATE('3 pr-2'!H162)</f>
        <v>10.1.3-ESFA-R-920</v>
      </c>
      <c r="H168" s="182" t="str">
        <f>CONCATENATE('3 pr-2'!I162)</f>
        <v>R</v>
      </c>
      <c r="I168" s="192" t="str">
        <f>CONCATENATE('3 pr-2'!J162)</f>
        <v>-</v>
      </c>
      <c r="J168" s="217">
        <f>SUM('3 pr-2'!L162)</f>
        <v>172733.52</v>
      </c>
      <c r="K168" s="218">
        <f>SUM('3 pr-2'!O162)</f>
        <v>25910.03</v>
      </c>
      <c r="L168" s="218">
        <f>SUM('3 pr-2'!R162)</f>
        <v>0</v>
      </c>
      <c r="M168" s="218">
        <f>SUM('3 pr-2'!U162)</f>
        <v>0</v>
      </c>
      <c r="N168" s="218">
        <f>SUM('3 pr-2'!X162)</f>
        <v>0</v>
      </c>
      <c r="O168" s="219">
        <f>SUM('3 pr-2'!AA162)</f>
        <v>146823.49</v>
      </c>
      <c r="P168" s="638">
        <f>SUM('3 pr-2'!AF162)</f>
        <v>43017</v>
      </c>
      <c r="Q168" s="272">
        <v>42951</v>
      </c>
      <c r="R168" s="191">
        <f t="shared" ref="R168:R173" si="37">IF(Q168&gt;0,P168-Q168,0)</f>
        <v>66</v>
      </c>
      <c r="S168" s="257">
        <f t="shared" ref="S168:S173" si="38">IF(Q168&gt;0,(P168-Q168)/30.1667,0)</f>
        <v>2.1878428863614516</v>
      </c>
    </row>
    <row r="169" spans="1:19" ht="49.5" thickBot="1" x14ac:dyDescent="0.3">
      <c r="A169" s="181" t="str">
        <f>CONCATENATE('3 pr-2'!A163)</f>
        <v>2.1.4.1.2</v>
      </c>
      <c r="B169" s="247" t="str">
        <f>CONCATENATE('ketv. 2'!B162)</f>
        <v>10.1.3-ESFA-R-920-11-0005</v>
      </c>
      <c r="C169" s="182" t="str">
        <f>CONCATENATE('3 pr-2'!D163)</f>
        <v>Paslaugų ir asmenų aptarnavimo kokybės gerinimas Alytaus rajono savivaldybėje</v>
      </c>
      <c r="D169" s="182" t="str">
        <f>CONCATENATE('3 pr-2'!E163)</f>
        <v>Alytaus rajono savivaldybės administracija</v>
      </c>
      <c r="E169" s="182" t="str">
        <f>CONCATENATE('3 pr-2'!F163)</f>
        <v>Lietuvos Respublikos vidaus reikalų ministerija</v>
      </c>
      <c r="F169" s="182" t="str">
        <f>CONCATENATE('3 pr-2'!G163)</f>
        <v>Alytaus r. sav.</v>
      </c>
      <c r="G169" s="182" t="str">
        <f>CONCATENATE('3 pr-2'!H163)</f>
        <v>10.1.3-ESFA-R-920</v>
      </c>
      <c r="H169" s="182" t="str">
        <f>CONCATENATE('3 pr-2'!I163)</f>
        <v>R</v>
      </c>
      <c r="I169" s="192" t="str">
        <f>CONCATENATE('3 pr-2'!J163)</f>
        <v>-</v>
      </c>
      <c r="J169" s="193">
        <f>SUM('3 pr-2'!L163)</f>
        <v>192832.21</v>
      </c>
      <c r="K169" s="194">
        <f>SUM('3 pr-2'!O163)</f>
        <v>28924.84</v>
      </c>
      <c r="L169" s="194">
        <f>SUM('3 pr-2'!R163)</f>
        <v>0</v>
      </c>
      <c r="M169" s="194">
        <f>SUM('3 pr-2'!U163)</f>
        <v>0</v>
      </c>
      <c r="N169" s="194">
        <f>SUM('3 pr-2'!X163)</f>
        <v>0</v>
      </c>
      <c r="O169" s="195">
        <f>SUM('3 pr-2'!AA163)</f>
        <v>163907.37</v>
      </c>
      <c r="P169" s="638">
        <f>SUM('3 pr-2'!AF163)</f>
        <v>43017</v>
      </c>
      <c r="Q169" s="272">
        <v>43017</v>
      </c>
      <c r="R169" s="191">
        <f t="shared" si="37"/>
        <v>0</v>
      </c>
      <c r="S169" s="257">
        <f t="shared" si="38"/>
        <v>0</v>
      </c>
    </row>
    <row r="170" spans="1:19" ht="49.5" thickBot="1" x14ac:dyDescent="0.3">
      <c r="A170" s="181" t="str">
        <f>CONCATENATE('3 pr-2'!A164)</f>
        <v>2.1.4.1.3</v>
      </c>
      <c r="B170" s="247" t="str">
        <f>CONCATENATE('ketv. 2'!B163)</f>
        <v>10.1.3-ESFA-R-920-11-0003</v>
      </c>
      <c r="C170" s="182" t="str">
        <f>CONCATENATE('3 pr-2'!D164)</f>
        <v>Lazdijų rajono savivaldybės administracijos ir jos viešojo valdymo institucijų teikiamų paslaugų procesų tobulinimas</v>
      </c>
      <c r="D170" s="182" t="str">
        <f>CONCATENATE('3 pr-2'!E164)</f>
        <v>Lazdijų rajono savivaldybės administracija</v>
      </c>
      <c r="E170" s="182" t="str">
        <f>CONCATENATE('3 pr-2'!F164)</f>
        <v>Lietuvos Respublikos vidaus reikalų ministerija</v>
      </c>
      <c r="F170" s="182" t="str">
        <f>CONCATENATE('3 pr-2'!G164)</f>
        <v>Lazdijų r. sav.</v>
      </c>
      <c r="G170" s="182" t="str">
        <f>CONCATENATE('3 pr-2'!H164)</f>
        <v>10.1.3-ESFA-R-920</v>
      </c>
      <c r="H170" s="182" t="str">
        <f>CONCATENATE('3 pr-2'!I164)</f>
        <v>R</v>
      </c>
      <c r="I170" s="192" t="str">
        <f>CONCATENATE('3 pr-2'!J164)</f>
        <v>-</v>
      </c>
      <c r="J170" s="193">
        <f>SUM('3 pr-2'!L164)</f>
        <v>163986.88</v>
      </c>
      <c r="K170" s="194">
        <f>SUM('3 pr-2'!O164)</f>
        <v>24598.880000000001</v>
      </c>
      <c r="L170" s="194">
        <f>SUM('3 pr-2'!R164)</f>
        <v>0</v>
      </c>
      <c r="M170" s="194">
        <f>SUM('3 pr-2'!U164)</f>
        <v>0</v>
      </c>
      <c r="N170" s="194">
        <f>SUM('3 pr-2'!X164)</f>
        <v>0</v>
      </c>
      <c r="O170" s="195">
        <f>SUM('3 pr-2'!AA164)</f>
        <v>139388</v>
      </c>
      <c r="P170" s="638">
        <f>SUM('3 pr-2'!AF164)</f>
        <v>43017</v>
      </c>
      <c r="Q170" s="262">
        <v>42989</v>
      </c>
      <c r="R170" s="191">
        <f t="shared" si="37"/>
        <v>28</v>
      </c>
      <c r="S170" s="257">
        <f t="shared" si="38"/>
        <v>0.92817576997152496</v>
      </c>
    </row>
    <row r="171" spans="1:19" ht="49.5" thickBot="1" x14ac:dyDescent="0.3">
      <c r="A171" s="181" t="str">
        <f>CONCATENATE('3 pr-2'!A165)</f>
        <v>2.1.4.1.4</v>
      </c>
      <c r="B171" s="247" t="str">
        <f>CONCATENATE('ketv. 2'!B164)</f>
        <v>10.1.3-ESFA-R-920-11-0007</v>
      </c>
      <c r="C171" s="182" t="str">
        <f>CONCATENATE('3 pr-2'!D165)</f>
        <v>Teikiamų paslaugų procesų tobulinimas ir asmenų aptarnavimo kokybės gerinimas Alytaus m. sav. administracijoje ir jai pavaldžiose įstaigose. I etapas</v>
      </c>
      <c r="D171" s="182" t="str">
        <f>CONCATENATE('3 pr-2'!E165)</f>
        <v>Alytaus miesto savivaldybės administracija</v>
      </c>
      <c r="E171" s="182" t="str">
        <f>CONCATENATE('3 pr-2'!F165)</f>
        <v>Lietuvos Respublikos vidaus reikalų ministerija</v>
      </c>
      <c r="F171" s="182" t="str">
        <f>CONCATENATE('3 pr-2'!G165)</f>
        <v>Alytaus m. sav.</v>
      </c>
      <c r="G171" s="182" t="str">
        <f>CONCATENATE('3 pr-2'!H165)</f>
        <v>10.1.3-ESFA-R-920</v>
      </c>
      <c r="H171" s="182" t="str">
        <f>CONCATENATE('3 pr-2'!I165)</f>
        <v>R</v>
      </c>
      <c r="I171" s="192" t="str">
        <f>CONCATENATE('3 pr-2'!J165)</f>
        <v>-</v>
      </c>
      <c r="J171" s="193">
        <f>SUM('3 pr-2'!L165)</f>
        <v>215693.16</v>
      </c>
      <c r="K171" s="194">
        <f>SUM('3 pr-2'!O165)</f>
        <v>32353.98</v>
      </c>
      <c r="L171" s="194">
        <f>SUM('3 pr-2'!R165)</f>
        <v>0</v>
      </c>
      <c r="M171" s="194">
        <f>SUM('3 pr-2'!U165)</f>
        <v>0</v>
      </c>
      <c r="N171" s="194">
        <f>SUM('3 pr-2'!X165)</f>
        <v>0</v>
      </c>
      <c r="O171" s="195">
        <f>SUM('3 pr-2'!AA165)</f>
        <v>183339.18</v>
      </c>
      <c r="P171" s="638">
        <f>SUM('3 pr-2'!AF165)</f>
        <v>43017</v>
      </c>
      <c r="Q171" s="262">
        <v>43017</v>
      </c>
      <c r="R171" s="191">
        <f t="shared" si="37"/>
        <v>0</v>
      </c>
      <c r="S171" s="257">
        <f t="shared" si="38"/>
        <v>0</v>
      </c>
    </row>
    <row r="172" spans="1:19" ht="49.5" thickBot="1" x14ac:dyDescent="0.3">
      <c r="A172" s="181" t="str">
        <f>CONCATENATE('3 pr-2'!A166)</f>
        <v>2.1.4.1.5</v>
      </c>
      <c r="B172" s="247" t="str">
        <f>CONCATENATE('ketv. 2'!B165)</f>
        <v>10.1.3-ESFA-R-920-11-0006</v>
      </c>
      <c r="C172" s="182" t="str">
        <f>CONCATENATE('3 pr-2'!D166)</f>
        <v>Paslaugų teikimo ir asmenų aptarnavimo kokybės gerinimas Druskininkų savivaldybėje</v>
      </c>
      <c r="D172" s="182" t="str">
        <f>CONCATENATE('3 pr-2'!E166)</f>
        <v>Druskininkų savivaldybės administracija</v>
      </c>
      <c r="E172" s="182" t="str">
        <f>CONCATENATE('3 pr-2'!F166)</f>
        <v>Lietuvos Respublikos vidaus reikalų ministerija</v>
      </c>
      <c r="F172" s="182" t="str">
        <f>CONCATENATE('3 pr-2'!G166)</f>
        <v>Druskininkų sav.</v>
      </c>
      <c r="G172" s="182" t="str">
        <f>CONCATENATE('3 pr-2'!H166)</f>
        <v>10.1.3-ESFA-R-920</v>
      </c>
      <c r="H172" s="182" t="str">
        <f>CONCATENATE('3 pr-2'!I166)</f>
        <v>R</v>
      </c>
      <c r="I172" s="192" t="str">
        <f>CONCATENATE('3 pr-2'!J166)</f>
        <v>-</v>
      </c>
      <c r="J172" s="193">
        <f>SUM('3 pr-2'!L166)</f>
        <v>161741.96</v>
      </c>
      <c r="K172" s="194">
        <f>SUM('3 pr-2'!O166)</f>
        <v>24392.16</v>
      </c>
      <c r="L172" s="194">
        <f>SUM('3 pr-2'!R166)</f>
        <v>0</v>
      </c>
      <c r="M172" s="194">
        <f>SUM('3 pr-2'!U166)</f>
        <v>0</v>
      </c>
      <c r="N172" s="194">
        <f>SUM('3 pr-2'!X166)</f>
        <v>0</v>
      </c>
      <c r="O172" s="195">
        <f>SUM('3 pr-2'!AA166)</f>
        <v>137349.79999999999</v>
      </c>
      <c r="P172" s="638">
        <f>SUM('3 pr-2'!AF166)</f>
        <v>43017</v>
      </c>
      <c r="Q172" s="262">
        <v>42963</v>
      </c>
      <c r="R172" s="191">
        <f t="shared" si="37"/>
        <v>54</v>
      </c>
      <c r="S172" s="257">
        <f t="shared" si="38"/>
        <v>1.7900532706593695</v>
      </c>
    </row>
    <row r="173" spans="1:19" ht="49.5" thickBot="1" x14ac:dyDescent="0.3">
      <c r="A173" s="181" t="str">
        <f>CONCATENATE('3 pr-2'!A167)</f>
        <v>2.1.4.1.6</v>
      </c>
      <c r="B173" s="247" t="str">
        <f>CONCATENATE('ketv. 2'!B166)</f>
        <v/>
      </c>
      <c r="C173" s="182" t="str">
        <f>CONCATENATE('3 pr-2'!D167)</f>
        <v>Teikiamų paslaugų procesų tobulinimas ir asmenų aptarnavimo kokybės gerinimas Alytaus m. sav. administracijoje ir jai pavaldžiose įstaigose. II etapas</v>
      </c>
      <c r="D173" s="182" t="str">
        <f>CONCATENATE('3 pr-2'!E167)</f>
        <v>Alytaus miesto savivaldybės administracija</v>
      </c>
      <c r="E173" s="182" t="str">
        <f>CONCATENATE('3 pr-2'!F167)</f>
        <v>Lietuvos Respublikos vidaus reikalų ministerija</v>
      </c>
      <c r="F173" s="182" t="str">
        <f>CONCATENATE('3 pr-2'!G167)</f>
        <v>Alytaus m. sav.</v>
      </c>
      <c r="G173" s="182" t="str">
        <f>CONCATENATE('3 pr-2'!H167)</f>
        <v>10.1.3-ESFA-R-920</v>
      </c>
      <c r="H173" s="182" t="str">
        <f>CONCATENATE('3 pr-2'!I167)</f>
        <v>R</v>
      </c>
      <c r="I173" s="192" t="str">
        <f>CONCATENATE('3 pr-2'!J167)</f>
        <v>-</v>
      </c>
      <c r="J173" s="193">
        <f>SUM('3 pr-2'!L167)</f>
        <v>200000</v>
      </c>
      <c r="K173" s="194">
        <f>SUM('3 pr-2'!O167)</f>
        <v>30000</v>
      </c>
      <c r="L173" s="194">
        <f>SUM('3 pr-2'!R167)</f>
        <v>0</v>
      </c>
      <c r="M173" s="194">
        <f>SUM('3 pr-2'!U167)</f>
        <v>0</v>
      </c>
      <c r="N173" s="194">
        <f>SUM('3 pr-2'!X167)</f>
        <v>0</v>
      </c>
      <c r="O173" s="195">
        <f>SUM('3 pr-2'!AA167)</f>
        <v>170000</v>
      </c>
      <c r="P173" s="213">
        <f>SUM('3 pr-2'!AF167)</f>
        <v>43434</v>
      </c>
      <c r="Q173" s="366"/>
      <c r="R173" s="191">
        <f t="shared" si="37"/>
        <v>0</v>
      </c>
      <c r="S173" s="257">
        <f t="shared" si="38"/>
        <v>0</v>
      </c>
    </row>
    <row r="174" spans="1:19" ht="42" customHeight="1" thickBot="1" x14ac:dyDescent="0.3">
      <c r="A174" s="156" t="str">
        <f>CONCATENATE('3 pr-2'!A168)</f>
        <v>3.1.</v>
      </c>
      <c r="B174" s="247" t="str">
        <f>CONCATENATE('ketv. 2'!B167)</f>
        <v/>
      </c>
      <c r="C174" s="1905" t="str">
        <f>CONCATENATE('3 pr-2'!B168)</f>
        <v>Tikslas: 
DARNIAI TVARKYTI IR VYSTYTI REGIONO TERITORIJĄ</v>
      </c>
      <c r="D174" s="2032" t="str">
        <f>CONCATENATE('3 pr-2'!E169)</f>
        <v/>
      </c>
      <c r="E174" s="2032" t="str">
        <f>CONCATENATE('3 pr-2'!F169)</f>
        <v/>
      </c>
      <c r="F174" s="2032" t="str">
        <f>CONCATENATE('3 pr-2'!G169)</f>
        <v/>
      </c>
      <c r="G174" s="2032" t="str">
        <f>CONCATENATE('3 pr-2'!H169)</f>
        <v/>
      </c>
      <c r="H174" s="2032" t="str">
        <f>CONCATENATE('3 pr-2'!I169)</f>
        <v/>
      </c>
      <c r="I174" s="2032" t="str">
        <f>CONCATENATE('3 pr-2'!J169)</f>
        <v/>
      </c>
      <c r="J174" s="221">
        <f>SUM('3 pr-2'!L168)</f>
        <v>6638484.8511764705</v>
      </c>
      <c r="K174" s="222">
        <f>SUM('3 pr-2'!O168)</f>
        <v>1154049.3311764705</v>
      </c>
      <c r="L174" s="222">
        <f>SUM('3 pr-2'!R168)</f>
        <v>0</v>
      </c>
      <c r="M174" s="222">
        <f>SUM('3 pr-2'!U168)</f>
        <v>0</v>
      </c>
      <c r="N174" s="222">
        <f>SUM('3 pr-2'!X168)</f>
        <v>0</v>
      </c>
      <c r="O174" s="223">
        <f>SUM('3 pr-2'!AA168)</f>
        <v>5484435.5199999996</v>
      </c>
      <c r="P174" s="204" t="s">
        <v>690</v>
      </c>
      <c r="Q174" s="187" t="s">
        <v>690</v>
      </c>
      <c r="R174" s="188" t="s">
        <v>690</v>
      </c>
      <c r="S174" s="188"/>
    </row>
    <row r="175" spans="1:19" ht="32.25" customHeight="1" thickBot="1" x14ac:dyDescent="0.3">
      <c r="A175" s="155" t="str">
        <f>CONCATENATE('3 pr-2'!A169)</f>
        <v>3.1.1.</v>
      </c>
      <c r="B175" s="247" t="str">
        <f>CONCATENATE('ketv. 2'!B168)</f>
        <v/>
      </c>
      <c r="C175" s="1902" t="str">
        <f>CONCATENATE('3 pr-2'!B169)</f>
        <v>Uždavinys:
Sumažinti sąvartynuose šalinamų komunalinių atliekų kiekį</v>
      </c>
      <c r="D175" s="2030" t="str">
        <f>CONCATENATE('3 pr-2'!E175)</f>
        <v>Varėnos rajono savivaldybės administracija</v>
      </c>
      <c r="E175" s="2030" t="str">
        <f>CONCATENATE('3 pr-2'!F175)</f>
        <v>Lietuvos Respublikos aplinkos ministerija</v>
      </c>
      <c r="F175" s="2030" t="str">
        <f>CONCATENATE('3 pr-2'!G175)</f>
        <v>Varėnos r. sav.</v>
      </c>
      <c r="G175" s="2030" t="str">
        <f>CONCATENATE('3 pr-2'!H175)</f>
        <v>05.5.1-APVA-R-019</v>
      </c>
      <c r="H175" s="2030" t="str">
        <f>CONCATENATE('3 pr-2'!I175)</f>
        <v>R</v>
      </c>
      <c r="I175" s="2030" t="str">
        <f>CONCATENATE('3 pr-2'!J175)</f>
        <v>-</v>
      </c>
      <c r="J175" s="220">
        <f>SUM('3 pr-2'!L169)</f>
        <v>4130687.05</v>
      </c>
      <c r="K175" s="220">
        <f>SUM('3 pr-2'!O169)</f>
        <v>777879.2799999998</v>
      </c>
      <c r="L175" s="220">
        <f>SUM('3 pr-2'!R169)</f>
        <v>0</v>
      </c>
      <c r="M175" s="220">
        <f>SUM('3 pr-2'!U169)</f>
        <v>0</v>
      </c>
      <c r="N175" s="220">
        <f>SUM('3 pr-2'!X169)</f>
        <v>0</v>
      </c>
      <c r="O175" s="220">
        <f>SUM('3 pr-2'!AA169)</f>
        <v>3352807.77</v>
      </c>
      <c r="P175" s="205" t="s">
        <v>690</v>
      </c>
      <c r="Q175" s="189" t="s">
        <v>690</v>
      </c>
      <c r="R175" s="190" t="s">
        <v>690</v>
      </c>
      <c r="S175" s="190"/>
    </row>
    <row r="176" spans="1:19" ht="33.75" customHeight="1" thickBot="1" x14ac:dyDescent="0.3">
      <c r="A176" s="317" t="str">
        <f>CONCATENATE('3 pr-2'!A170)</f>
        <v>3.1.1.1</v>
      </c>
      <c r="B176" s="489" t="str">
        <f>CONCATENATE('ketv. 2'!B169)</f>
        <v/>
      </c>
      <c r="C176" s="1890" t="str">
        <f>CONCATENATE('3 pr-2'!B170)</f>
        <v>Priemonė:
Komunalinių atliekų tvarkymo infrastruktūros plėtra</v>
      </c>
      <c r="D176" s="2031" t="str">
        <f>CONCATENATE('3 pr-2'!E176)</f>
        <v>Alytaus rajono savivaldybės administracija</v>
      </c>
      <c r="E176" s="2031" t="str">
        <f>CONCATENATE('3 pr-2'!F176)</f>
        <v>Lietuvos Respublikos aplinkos ministerija</v>
      </c>
      <c r="F176" s="2031" t="str">
        <f>CONCATENATE('3 pr-2'!G176)</f>
        <v>Alytaus r. sav.</v>
      </c>
      <c r="G176" s="2031" t="str">
        <f>CONCATENATE('3 pr-2'!H176)</f>
        <v>05.5.1-APVA-R-019</v>
      </c>
      <c r="H176" s="2031" t="str">
        <f>CONCATENATE('3 pr-2'!I176)</f>
        <v>R</v>
      </c>
      <c r="I176" s="2031" t="str">
        <f>CONCATENATE('3 pr-2'!J176)</f>
        <v/>
      </c>
      <c r="J176" s="490">
        <f>SUM('3 pr-2'!L170)</f>
        <v>4130687.05</v>
      </c>
      <c r="K176" s="490">
        <f>SUM('3 pr-2'!O170)</f>
        <v>777879.2799999998</v>
      </c>
      <c r="L176" s="490">
        <f>SUM('3 pr-2'!R170)</f>
        <v>0</v>
      </c>
      <c r="M176" s="490">
        <f>SUM('3 pr-2'!U170)</f>
        <v>0</v>
      </c>
      <c r="N176" s="490">
        <f>SUM('3 pr-2'!X170)</f>
        <v>0</v>
      </c>
      <c r="O176" s="491">
        <f>SUM('3 pr-2'!AA170)</f>
        <v>3352807.77</v>
      </c>
      <c r="P176" s="492"/>
      <c r="Q176" s="493"/>
      <c r="R176" s="494"/>
      <c r="S176" s="494"/>
    </row>
    <row r="177" spans="1:19" ht="49.5" thickBot="1" x14ac:dyDescent="0.3">
      <c r="A177" s="181" t="str">
        <f>CONCATENATE('3 pr-2'!A171)</f>
        <v>3.1.1.1.1</v>
      </c>
      <c r="B177" s="247" t="str">
        <f>CONCATENATE('ketv. 2'!B170)</f>
        <v>05.2.1-APVA-R-008-11-0001</v>
      </c>
      <c r="C177" s="182" t="str">
        <f>CONCATENATE('3 pr-2'!D171)</f>
        <v>Komunalinių atliekų tvarkymo sistemos plėtra Alytaus regione</v>
      </c>
      <c r="D177" s="182" t="str">
        <f>CONCATENATE('3 pr-2'!E171)</f>
        <v>Alytaus regiono atliekų tvarkymo centras</v>
      </c>
      <c r="E177" s="182" t="str">
        <f>CONCATENATE('3 pr-2'!F171)</f>
        <v>Lietuvos Respublikos aplinkos ministerija</v>
      </c>
      <c r="F177" s="182" t="str">
        <f>CONCATENATE('3 pr-2'!G171)</f>
        <v>Alytaus regionas</v>
      </c>
      <c r="G177" s="182" t="str">
        <f>CONCATENATE('3 pr-2'!H171)</f>
        <v>05.2.1-APVA-R-008</v>
      </c>
      <c r="H177" s="182" t="str">
        <f>CONCATENATE('3 pr-2'!I171)</f>
        <v>R</v>
      </c>
      <c r="I177" s="192" t="str">
        <f>CONCATENATE('3 pr-2'!J171)</f>
        <v>-</v>
      </c>
      <c r="J177" s="193">
        <f>SUM('3 pr-2'!L171)</f>
        <v>4130687.05</v>
      </c>
      <c r="K177" s="194">
        <f>SUM('3 pr-2'!O171)</f>
        <v>777879.2799999998</v>
      </c>
      <c r="L177" s="194">
        <f>SUM('3 pr-2'!R171)</f>
        <v>0</v>
      </c>
      <c r="M177" s="194">
        <f>SUM('3 pr-2'!U171)</f>
        <v>0</v>
      </c>
      <c r="N177" s="194">
        <f>SUM('3 pr-2'!X171)</f>
        <v>0</v>
      </c>
      <c r="O177" s="195">
        <f>SUM('3 pr-2'!AA171)</f>
        <v>3352807.77</v>
      </c>
      <c r="P177" s="213">
        <f>SUM('3 pr-2'!AF171)</f>
        <v>42590</v>
      </c>
      <c r="Q177" s="262">
        <v>42620</v>
      </c>
      <c r="R177" s="191">
        <f>IF(Q177&gt;0,P177-Q177,0)</f>
        <v>-30</v>
      </c>
      <c r="S177" s="257">
        <f>IF(Q177&gt;0,(P177-Q177)/30.1667,0)</f>
        <v>-0.99447403925520528</v>
      </c>
    </row>
    <row r="178" spans="1:19" ht="39.75" customHeight="1" thickBot="1" x14ac:dyDescent="0.3">
      <c r="A178" s="155" t="str">
        <f>CONCATENATE('3 pr-2'!A172)</f>
        <v>3.1.2.</v>
      </c>
      <c r="B178" s="247" t="str">
        <f>CONCATENATE('ketv. 2'!B171)</f>
        <v/>
      </c>
      <c r="C178" s="1902" t="str">
        <f>CONCATENATE('3 pr-2'!B172)</f>
        <v>Uždavinys:
Kraštovaizdžio apsauga, planavimas ir tvarkymas</v>
      </c>
      <c r="D178" s="2030" t="str">
        <f>CONCATENATE('3 pr-2'!E178)</f>
        <v>Druskininkų savivaldybės administracija</v>
      </c>
      <c r="E178" s="2030" t="str">
        <f>CONCATENATE('3 pr-2'!F178)</f>
        <v>Lietuvos Respublikos aplinkos ministerija</v>
      </c>
      <c r="F178" s="2030" t="str">
        <f>CONCATENATE('3 pr-2'!G178)</f>
        <v>Druskininkų sav.</v>
      </c>
      <c r="G178" s="2030" t="str">
        <f>CONCATENATE('3 pr-2'!H178)</f>
        <v>05.5.1-APVA-R-019</v>
      </c>
      <c r="H178" s="2030" t="str">
        <f>CONCATENATE('3 pr-2'!I178)</f>
        <v>R</v>
      </c>
      <c r="I178" s="2030" t="str">
        <f>CONCATENATE('3 pr-2'!J178)</f>
        <v>-</v>
      </c>
      <c r="J178" s="220">
        <f>SUM('3 pr-2'!L172)</f>
        <v>2507797.8011764702</v>
      </c>
      <c r="K178" s="220">
        <f>SUM('3 pr-2'!O172)</f>
        <v>376170.05117647059</v>
      </c>
      <c r="L178" s="220">
        <f>SUM('3 pr-2'!R172)</f>
        <v>0</v>
      </c>
      <c r="M178" s="220">
        <f>SUM('3 pr-2'!U172)</f>
        <v>0</v>
      </c>
      <c r="N178" s="220">
        <f>SUM('3 pr-2'!X172)</f>
        <v>0</v>
      </c>
      <c r="O178" s="220">
        <f>SUM('3 pr-2'!AA172)</f>
        <v>2131627.75</v>
      </c>
      <c r="P178" s="205" t="s">
        <v>690</v>
      </c>
      <c r="Q178" s="189" t="s">
        <v>690</v>
      </c>
      <c r="R178" s="190" t="s">
        <v>690</v>
      </c>
      <c r="S178" s="190"/>
    </row>
    <row r="179" spans="1:19" ht="33.75" customHeight="1" thickBot="1" x14ac:dyDescent="0.3">
      <c r="A179" s="317" t="str">
        <f>CONCATENATE('3 pr-2'!A173)</f>
        <v>3.1.2.1</v>
      </c>
      <c r="B179" s="489" t="str">
        <f>CONCATENATE('ketv. 2'!B172)</f>
        <v/>
      </c>
      <c r="C179" s="1890" t="str">
        <f>CONCATENATE('3 pr-2'!B173)</f>
        <v>Priemonė:
Kraštovaizdžio apsauga/plėtra</v>
      </c>
      <c r="D179" s="2031" t="str">
        <f>CONCATENATE('3 pr-2'!E179)</f>
        <v>Lazdijų rajono savivaldybės administracija</v>
      </c>
      <c r="E179" s="2031" t="str">
        <f>CONCATENATE('3 pr-2'!F179)</f>
        <v>Lietuvos Respublikos aplinkos ministerija</v>
      </c>
      <c r="F179" s="2031" t="str">
        <f>CONCATENATE('3 pr-2'!G179)</f>
        <v>Lazdijų r. sav.</v>
      </c>
      <c r="G179" s="2031" t="str">
        <f>CONCATENATE('3 pr-2'!H179)</f>
        <v>05.5.1-APVA-R-019</v>
      </c>
      <c r="H179" s="2031" t="str">
        <f>CONCATENATE('3 pr-2'!I179)</f>
        <v>R</v>
      </c>
      <c r="I179" s="2031" t="str">
        <f>CONCATENATE('3 pr-2'!J179)</f>
        <v>-</v>
      </c>
      <c r="J179" s="490">
        <f>SUM('3 pr-2'!L173)</f>
        <v>2507797.8011764702</v>
      </c>
      <c r="K179" s="490">
        <f>SUM('3 pr-2'!O173)</f>
        <v>376170.05117647059</v>
      </c>
      <c r="L179" s="490">
        <f>SUM('3 pr-2'!R173)</f>
        <v>0</v>
      </c>
      <c r="M179" s="490">
        <f>SUM('3 pr-2'!U173)</f>
        <v>0</v>
      </c>
      <c r="N179" s="490">
        <f>SUM('3 pr-2'!X173)</f>
        <v>0</v>
      </c>
      <c r="O179" s="491">
        <f>SUM('3 pr-2'!AA173)</f>
        <v>2131627.75</v>
      </c>
      <c r="P179" s="492"/>
      <c r="Q179" s="493"/>
      <c r="R179" s="494"/>
      <c r="S179" s="494"/>
    </row>
    <row r="180" spans="1:19" ht="49.5" thickBot="1" x14ac:dyDescent="0.3">
      <c r="A180" s="181" t="str">
        <f>CONCATENATE('3 pr-2'!A174)</f>
        <v>3.1.2.1.1</v>
      </c>
      <c r="B180" s="247" t="str">
        <f>CONCATENATE('ketv. 2'!B173)</f>
        <v>05.5.1-APVA-R-019-11-0002</v>
      </c>
      <c r="C180" s="182" t="str">
        <f>CONCATENATE('3 pr-2'!D174)</f>
        <v>Kraštovaizdžio formavimas ir tvarkymas Varėnos r. savivaldybėje (I etapas)</v>
      </c>
      <c r="D180" s="182" t="str">
        <f>CONCATENATE('3 pr-2'!E174)</f>
        <v>Varėnos rajono savivaldybės administracija</v>
      </c>
      <c r="E180" s="182" t="str">
        <f>CONCATENATE('3 pr-2'!F174)</f>
        <v>Lietuvos Respublikos aplinkos ministerija</v>
      </c>
      <c r="F180" s="182" t="str">
        <f>CONCATENATE('3 pr-2'!G174)</f>
        <v>Varėnos r. sav.</v>
      </c>
      <c r="G180" s="182" t="str">
        <f>CONCATENATE('3 pr-2'!H174)</f>
        <v>05.5.1-APVA-R-019</v>
      </c>
      <c r="H180" s="182" t="str">
        <f>CONCATENATE('3 pr-2'!I174)</f>
        <v>R</v>
      </c>
      <c r="I180" s="192" t="str">
        <f>CONCATENATE('3 pr-2'!J174)</f>
        <v>-</v>
      </c>
      <c r="J180" s="193">
        <f>SUM('3 pr-2'!L174)</f>
        <v>309522</v>
      </c>
      <c r="K180" s="194">
        <f>SUM('3 pr-2'!O174)</f>
        <v>46428.3</v>
      </c>
      <c r="L180" s="194">
        <f>SUM('3 pr-2'!R174)</f>
        <v>0</v>
      </c>
      <c r="M180" s="194">
        <f>SUM('3 pr-2'!U174)</f>
        <v>0</v>
      </c>
      <c r="N180" s="194">
        <f>SUM('3 pr-2'!X174)</f>
        <v>0</v>
      </c>
      <c r="O180" s="195">
        <f>SUM('3 pr-2'!AA174)</f>
        <v>263093.7</v>
      </c>
      <c r="P180" s="213">
        <f>SUM('3 pr-2'!AF174)</f>
        <v>42598</v>
      </c>
      <c r="Q180" s="262">
        <v>42598</v>
      </c>
      <c r="R180" s="191">
        <f t="shared" ref="R180:R187" si="39">IF(Q180&gt;0,P180-Q180,0)</f>
        <v>0</v>
      </c>
      <c r="S180" s="257">
        <f t="shared" ref="S180:S187" si="40">IF(Q180&gt;0,(P180-Q180)/30.1667,0)</f>
        <v>0</v>
      </c>
    </row>
    <row r="181" spans="1:19" ht="49.5" thickBot="1" x14ac:dyDescent="0.3">
      <c r="A181" s="181" t="str">
        <f>CONCATENATE('3 pr-2'!A175)</f>
        <v>3.1.2.1.2</v>
      </c>
      <c r="B181" s="247" t="str">
        <f>CONCATENATE('ketv. 2'!B174)</f>
        <v/>
      </c>
      <c r="C181" s="182" t="str">
        <f>CONCATENATE('3 pr-2'!D175)</f>
        <v>Kraštovaizdžio formavimas ir tvarkymas Varėnos r. savivaldybėje (II etapas)</v>
      </c>
      <c r="D181" s="182" t="str">
        <f>CONCATENATE('3 pr-2'!E175)</f>
        <v>Varėnos rajono savivaldybės administracija</v>
      </c>
      <c r="E181" s="182" t="str">
        <f>CONCATENATE('3 pr-2'!F175)</f>
        <v>Lietuvos Respublikos aplinkos ministerija</v>
      </c>
      <c r="F181" s="182" t="str">
        <f>CONCATENATE('3 pr-2'!G175)</f>
        <v>Varėnos r. sav.</v>
      </c>
      <c r="G181" s="182" t="str">
        <f>CONCATENATE('3 pr-2'!H175)</f>
        <v>05.5.1-APVA-R-019</v>
      </c>
      <c r="H181" s="182" t="str">
        <f>CONCATENATE('3 pr-2'!I175)</f>
        <v>R</v>
      </c>
      <c r="I181" s="192" t="str">
        <f>CONCATENATE('3 pr-2'!J175)</f>
        <v>-</v>
      </c>
      <c r="J181" s="193">
        <f>SUM('3 pr-2'!L175)</f>
        <v>554211</v>
      </c>
      <c r="K181" s="194">
        <f>SUM('3 pr-2'!O175)</f>
        <v>83132</v>
      </c>
      <c r="L181" s="194">
        <f>SUM('3 pr-2'!R175)</f>
        <v>0</v>
      </c>
      <c r="M181" s="194">
        <f>SUM('3 pr-2'!U175)</f>
        <v>0</v>
      </c>
      <c r="N181" s="194">
        <f>SUM('3 pr-2'!X175)</f>
        <v>0</v>
      </c>
      <c r="O181" s="195">
        <f>SUM('3 pr-2'!AA175)</f>
        <v>471079</v>
      </c>
      <c r="P181" s="213">
        <f>SUM('3 pr-2'!AF175)</f>
        <v>43277</v>
      </c>
      <c r="Q181" s="215"/>
      <c r="R181" s="191">
        <f t="shared" si="39"/>
        <v>0</v>
      </c>
      <c r="S181" s="257">
        <f t="shared" si="40"/>
        <v>0</v>
      </c>
    </row>
    <row r="182" spans="1:19" ht="49.5" thickBot="1" x14ac:dyDescent="0.3">
      <c r="A182" s="181" t="str">
        <f>CONCATENATE('3 pr-2'!A176)</f>
        <v>3.1.2.1.3</v>
      </c>
      <c r="B182" s="247" t="str">
        <f>CONCATENATE('ketv. 2'!B175)</f>
        <v>05.5.1-APVA-R-019-11-0001</v>
      </c>
      <c r="C182" s="182" t="str">
        <f>CONCATENATE('3 pr-2'!D176)</f>
        <v>Bešeimininkių apleistų pastatų ir įrenginių tvarkymas Alytaus rajono savivaldybėje</v>
      </c>
      <c r="D182" s="182" t="str">
        <f>CONCATENATE('3 pr-2'!E176)</f>
        <v>Alytaus rajono savivaldybės administracija</v>
      </c>
      <c r="E182" s="182" t="str">
        <f>CONCATENATE('3 pr-2'!F176)</f>
        <v>Lietuvos Respublikos aplinkos ministerija</v>
      </c>
      <c r="F182" s="182" t="str">
        <f>CONCATENATE('3 pr-2'!G176)</f>
        <v>Alytaus r. sav.</v>
      </c>
      <c r="G182" s="182" t="str">
        <f>CONCATENATE('3 pr-2'!H176)</f>
        <v>05.5.1-APVA-R-019</v>
      </c>
      <c r="H182" s="182" t="str">
        <f>CONCATENATE('3 pr-2'!I176)</f>
        <v>R</v>
      </c>
      <c r="I182" s="192" t="str">
        <f>CONCATENATE('3 pr-2'!J176)</f>
        <v/>
      </c>
      <c r="J182" s="193">
        <f>SUM('3 pr-2'!L176)</f>
        <v>101765.7</v>
      </c>
      <c r="K182" s="194">
        <f>SUM('3 pr-2'!O176)</f>
        <v>15264.9</v>
      </c>
      <c r="L182" s="194">
        <f>SUM('3 pr-2'!R176)</f>
        <v>0</v>
      </c>
      <c r="M182" s="194">
        <f>SUM('3 pr-2'!U176)</f>
        <v>0</v>
      </c>
      <c r="N182" s="194">
        <f>SUM('3 pr-2'!X176)</f>
        <v>0</v>
      </c>
      <c r="O182" s="195">
        <f>SUM('3 pr-2'!AA176)</f>
        <v>86500.800000000003</v>
      </c>
      <c r="P182" s="213">
        <f>SUM('3 pr-2'!AF176)</f>
        <v>42598</v>
      </c>
      <c r="Q182" s="262">
        <v>42598</v>
      </c>
      <c r="R182" s="191">
        <f t="shared" si="39"/>
        <v>0</v>
      </c>
      <c r="S182" s="257">
        <f t="shared" si="40"/>
        <v>0</v>
      </c>
    </row>
    <row r="183" spans="1:19" ht="49.5" thickBot="1" x14ac:dyDescent="0.3">
      <c r="A183" s="181" t="str">
        <f>CONCATENATE('3 pr-2'!A177)</f>
        <v>3.1.2.1.4</v>
      </c>
      <c r="B183" s="247" t="str">
        <f>CONCATENATE('ketv. 2'!B176)</f>
        <v>05.5.1-APVA-R-019-11-0004</v>
      </c>
      <c r="C183" s="182" t="str">
        <f>CONCATENATE('3 pr-2'!D177)</f>
        <v>Alytaus miesto bendrojo plano korektūra zonuojant kraštovaizdžio struktūrą, nustatant reglamentus ir principus</v>
      </c>
      <c r="D183" s="182" t="str">
        <f>CONCATENATE('3 pr-2'!E177)</f>
        <v>Alytaus miesto savivaldybės administracija</v>
      </c>
      <c r="E183" s="182" t="str">
        <f>CONCATENATE('3 pr-2'!F177)</f>
        <v>Lietuvos Respublikos aplinkos ministerija</v>
      </c>
      <c r="F183" s="182" t="str">
        <f>CONCATENATE('3 pr-2'!G177)</f>
        <v>Alytaus m. sav.</v>
      </c>
      <c r="G183" s="182" t="str">
        <f>CONCATENATE('3 pr-2'!H177)</f>
        <v>05.5.1-APVA-R-019</v>
      </c>
      <c r="H183" s="182" t="str">
        <f>CONCATENATE('3 pr-2'!I177)</f>
        <v>R</v>
      </c>
      <c r="I183" s="192" t="str">
        <f>CONCATENATE('3 pr-2'!J177)</f>
        <v/>
      </c>
      <c r="J183" s="193">
        <f>SUM('3 pr-2'!L177)</f>
        <v>3993</v>
      </c>
      <c r="K183" s="194">
        <f>SUM('3 pr-2'!O177)</f>
        <v>598.95000000000005</v>
      </c>
      <c r="L183" s="194">
        <f>SUM('3 pr-2'!R177)</f>
        <v>0</v>
      </c>
      <c r="M183" s="194">
        <f>SUM('3 pr-2'!U177)</f>
        <v>0</v>
      </c>
      <c r="N183" s="194">
        <f>SUM('3 pr-2'!X177)</f>
        <v>0</v>
      </c>
      <c r="O183" s="195">
        <f>SUM('3 pr-2'!AA177)</f>
        <v>3394.05</v>
      </c>
      <c r="P183" s="213">
        <f>SUM('3 pr-2'!AF177)</f>
        <v>42598</v>
      </c>
      <c r="Q183" s="262">
        <v>42598</v>
      </c>
      <c r="R183" s="191">
        <f t="shared" si="39"/>
        <v>0</v>
      </c>
      <c r="S183" s="257">
        <f t="shared" si="40"/>
        <v>0</v>
      </c>
    </row>
    <row r="184" spans="1:19" ht="49.5" thickBot="1" x14ac:dyDescent="0.3">
      <c r="A184" s="181" t="str">
        <f>CONCATENATE('3 pr-2'!A178)</f>
        <v>3.1.2.1.5</v>
      </c>
      <c r="B184" s="247" t="str">
        <f>CONCATENATE('ketv. 2'!B177)</f>
        <v>05.5.1-APVA-R-019-11-0005</v>
      </c>
      <c r="C184" s="182" t="str">
        <f>CONCATENATE('3 pr-2'!D178)</f>
        <v>Bešeimininkių apleistų pastatų Druskininkų savivaldybės teritorijoje likvidavimas</v>
      </c>
      <c r="D184" s="182" t="str">
        <f>CONCATENATE('3 pr-2'!E178)</f>
        <v>Druskininkų savivaldybės administracija</v>
      </c>
      <c r="E184" s="182" t="str">
        <f>CONCATENATE('3 pr-2'!F178)</f>
        <v>Lietuvos Respublikos aplinkos ministerija</v>
      </c>
      <c r="F184" s="182" t="str">
        <f>CONCATENATE('3 pr-2'!G178)</f>
        <v>Druskininkų sav.</v>
      </c>
      <c r="G184" s="182" t="str">
        <f>CONCATENATE('3 pr-2'!H178)</f>
        <v>05.5.1-APVA-R-019</v>
      </c>
      <c r="H184" s="182" t="str">
        <f>CONCATENATE('3 pr-2'!I178)</f>
        <v>R</v>
      </c>
      <c r="I184" s="192" t="str">
        <f>CONCATENATE('3 pr-2'!J178)</f>
        <v>-</v>
      </c>
      <c r="J184" s="193">
        <f>SUM('3 pr-2'!L178)</f>
        <v>121153.55</v>
      </c>
      <c r="K184" s="194">
        <f>SUM('3 pr-2'!O178)</f>
        <v>18173.03</v>
      </c>
      <c r="L184" s="194">
        <f>SUM('3 pr-2'!R178)</f>
        <v>0</v>
      </c>
      <c r="M184" s="194">
        <f>SUM('3 pr-2'!U178)</f>
        <v>0</v>
      </c>
      <c r="N184" s="194">
        <f>SUM('3 pr-2'!X178)</f>
        <v>0</v>
      </c>
      <c r="O184" s="195">
        <f>SUM('3 pr-2'!AA178)</f>
        <v>102980.52</v>
      </c>
      <c r="P184" s="213">
        <f>SUM('3 pr-2'!AF178)</f>
        <v>42598</v>
      </c>
      <c r="Q184" s="262">
        <v>42598</v>
      </c>
      <c r="R184" s="191">
        <f t="shared" si="39"/>
        <v>0</v>
      </c>
      <c r="S184" s="257">
        <f t="shared" si="40"/>
        <v>0</v>
      </c>
    </row>
    <row r="185" spans="1:19" ht="49.5" thickBot="1" x14ac:dyDescent="0.3">
      <c r="A185" s="181" t="str">
        <f>CONCATENATE('3 pr-2'!A179)</f>
        <v>3.1.2.1.6</v>
      </c>
      <c r="B185" s="247" t="str">
        <f>CONCATENATE('ketv. 2'!B178)</f>
        <v>05.5.1-APVA-R-019-11-0003</v>
      </c>
      <c r="C185" s="182" t="str">
        <f>CONCATENATE('3 pr-2'!D179)</f>
        <v>Kraštovaizdžio formavimas Lazdijų rajono savivaldybėje</v>
      </c>
      <c r="D185" s="182" t="str">
        <f>CONCATENATE('3 pr-2'!E179)</f>
        <v>Lazdijų rajono savivaldybės administracija</v>
      </c>
      <c r="E185" s="182" t="str">
        <f>CONCATENATE('3 pr-2'!F179)</f>
        <v>Lietuvos Respublikos aplinkos ministerija</v>
      </c>
      <c r="F185" s="182" t="str">
        <f>CONCATENATE('3 pr-2'!G179)</f>
        <v>Lazdijų r. sav.</v>
      </c>
      <c r="G185" s="182" t="str">
        <f>CONCATENATE('3 pr-2'!H179)</f>
        <v>05.5.1-APVA-R-019</v>
      </c>
      <c r="H185" s="182" t="str">
        <f>CONCATENATE('3 pr-2'!I179)</f>
        <v>R</v>
      </c>
      <c r="I185" s="192" t="str">
        <f>CONCATENATE('3 pr-2'!J179)</f>
        <v>-</v>
      </c>
      <c r="J185" s="193">
        <f>SUM('3 pr-2'!L179)</f>
        <v>442298.58999999997</v>
      </c>
      <c r="K185" s="194">
        <f>SUM('3 pr-2'!O179)</f>
        <v>66344.78</v>
      </c>
      <c r="L185" s="194">
        <f>SUM('3 pr-2'!R179)</f>
        <v>0</v>
      </c>
      <c r="M185" s="194">
        <f>SUM('3 pr-2'!U179)</f>
        <v>0</v>
      </c>
      <c r="N185" s="194">
        <f>SUM('3 pr-2'!X179)</f>
        <v>0</v>
      </c>
      <c r="O185" s="195">
        <f>SUM('3 pr-2'!AA179)</f>
        <v>375953.81</v>
      </c>
      <c r="P185" s="213">
        <f>SUM('3 pr-2'!AF179)</f>
        <v>42598</v>
      </c>
      <c r="Q185" s="262">
        <v>42598</v>
      </c>
      <c r="R185" s="191">
        <f t="shared" si="39"/>
        <v>0</v>
      </c>
      <c r="S185" s="257">
        <f t="shared" si="40"/>
        <v>0</v>
      </c>
    </row>
    <row r="186" spans="1:19" ht="49.5" thickBot="1" x14ac:dyDescent="0.3">
      <c r="A186" s="181" t="str">
        <f>CONCATENATE('3 pr-2'!A180)</f>
        <v>3.1.2.1.7</v>
      </c>
      <c r="B186" s="247" t="str">
        <f>CONCATENATE('ketv. 2'!B179)</f>
        <v/>
      </c>
      <c r="C186" s="182" t="str">
        <f>CONCATENATE('3 pr-2'!D180)</f>
        <v>Kraštovaizdžio formavimas Lazdijų rajono savivaldybėje (II etapas)</v>
      </c>
      <c r="D186" s="182" t="str">
        <f>CONCATENATE('3 pr-2'!E180)</f>
        <v>Lazdijų rajono savivaldybės administracija</v>
      </c>
      <c r="E186" s="182" t="str">
        <f>CONCATENATE('3 pr-2'!F180)</f>
        <v>Lietuvos Respublikos aplinkos ministerija</v>
      </c>
      <c r="F186" s="182" t="str">
        <f>CONCATENATE('3 pr-2'!G180)</f>
        <v>Lazdijų r. sav.</v>
      </c>
      <c r="G186" s="182" t="str">
        <f>CONCATENATE('3 pr-2'!H180)</f>
        <v>05.5.1-APVA-R-019</v>
      </c>
      <c r="H186" s="182" t="str">
        <f>CONCATENATE('3 pr-2'!I180)</f>
        <v>R</v>
      </c>
      <c r="I186" s="192" t="str">
        <f>CONCATENATE('3 pr-2'!J180)</f>
        <v>-</v>
      </c>
      <c r="J186" s="193">
        <f>SUM('3 pr-2'!L180)</f>
        <v>149792.22</v>
      </c>
      <c r="K186" s="194">
        <f>SUM('3 pr-2'!O180)</f>
        <v>22468.83</v>
      </c>
      <c r="L186" s="194">
        <f>SUM('3 pr-2'!R180)</f>
        <v>0</v>
      </c>
      <c r="M186" s="194">
        <f>SUM('3 pr-2'!U180)</f>
        <v>0</v>
      </c>
      <c r="N186" s="194">
        <f>SUM('3 pr-2'!X180)</f>
        <v>0</v>
      </c>
      <c r="O186" s="195">
        <f>SUM('3 pr-2'!AA180)</f>
        <v>127323.39</v>
      </c>
      <c r="P186" s="548">
        <f>SUM('3 pr-2'!AF180)</f>
        <v>43277</v>
      </c>
      <c r="Q186" s="215"/>
      <c r="R186" s="191">
        <f t="shared" si="39"/>
        <v>0</v>
      </c>
      <c r="S186" s="257">
        <f t="shared" si="40"/>
        <v>0</v>
      </c>
    </row>
    <row r="187" spans="1:19" ht="49.5" thickBot="1" x14ac:dyDescent="0.3">
      <c r="A187" s="181" t="str">
        <f>CONCATENATE('3 pr-2'!A181)</f>
        <v>3.1.2.1.8</v>
      </c>
      <c r="B187" s="247" t="str">
        <f>CONCATENATE('ketv. 2'!B180)</f>
        <v>05.5.1-APVA-R-019-11-0006</v>
      </c>
      <c r="C187" s="182" t="str">
        <f>CONCATENATE('3 pr-2'!D181)</f>
        <v>Bešeimininkių apleistų pastatų ir įrenginių tvarkymas Alytaus rajono savivaldybėje (II etapas)</v>
      </c>
      <c r="D187" s="182" t="str">
        <f>CONCATENATE('3 pr-2'!E181)</f>
        <v>Alytaus rajono savivaldybės administracija</v>
      </c>
      <c r="E187" s="182" t="str">
        <f>CONCATENATE('3 pr-2'!F181)</f>
        <v>Lietuvos Respublikos aplinkos ministerija</v>
      </c>
      <c r="F187" s="182" t="str">
        <f>CONCATENATE('3 pr-2'!G181)</f>
        <v>Alytaus r. sav.</v>
      </c>
      <c r="G187" s="182" t="str">
        <f>CONCATENATE('3 pr-2'!H181)</f>
        <v>05.5.1-APVA-R-019</v>
      </c>
      <c r="H187" s="182" t="str">
        <f>CONCATENATE('3 pr-2'!I181)</f>
        <v>R</v>
      </c>
      <c r="I187" s="192" t="str">
        <f>CONCATENATE('3 pr-2'!J181)</f>
        <v>-</v>
      </c>
      <c r="J187" s="193">
        <f>SUM('3 pr-2'!L181)</f>
        <v>736537.6470588235</v>
      </c>
      <c r="K187" s="194">
        <f>SUM('3 pr-2'!O181)</f>
        <v>110480.64705882352</v>
      </c>
      <c r="L187" s="194">
        <f>SUM('3 pr-2'!R181)</f>
        <v>0</v>
      </c>
      <c r="M187" s="194">
        <f>SUM('3 pr-2'!U181)</f>
        <v>0</v>
      </c>
      <c r="N187" s="194">
        <f>SUM('3 pr-2'!X181)</f>
        <v>0</v>
      </c>
      <c r="O187" s="195">
        <f>SUM('3 pr-2'!AA181)</f>
        <v>626057</v>
      </c>
      <c r="P187" s="548">
        <f>SUM('3 pr-2'!AF181)</f>
        <v>43128</v>
      </c>
      <c r="Q187" s="231">
        <v>0</v>
      </c>
      <c r="R187" s="191">
        <f t="shared" si="39"/>
        <v>0</v>
      </c>
      <c r="S187" s="257">
        <f t="shared" si="40"/>
        <v>0</v>
      </c>
    </row>
    <row r="188" spans="1:19" ht="50.25" thickTop="1" thickBot="1" x14ac:dyDescent="0.3">
      <c r="A188" s="181" t="str">
        <f>CONCATENATE('3 pr-2'!A182)</f>
        <v>3.1.2.1.9</v>
      </c>
      <c r="B188" s="247" t="str">
        <f>CONCATENATE('ketv. 2'!B181)</f>
        <v/>
      </c>
      <c r="C188" s="182" t="str">
        <f>CONCATENATE('3 pr-2'!D182)</f>
        <v>Etaloninio kraštovaizdžio formavimas Druskininkų savivaldybės pasienyje</v>
      </c>
      <c r="D188" s="182" t="str">
        <f>CONCATENATE('3 pr-2'!E182)</f>
        <v>Druskininkų savivaldybės administracija</v>
      </c>
      <c r="E188" s="182" t="str">
        <f>CONCATENATE('3 pr-2'!F182)</f>
        <v>Lietuvos Respublikos aplinkos ministerija</v>
      </c>
      <c r="F188" s="182" t="str">
        <f>CONCATENATE('3 pr-2'!G182)</f>
        <v>Druskininkų sav.</v>
      </c>
      <c r="G188" s="182" t="str">
        <f>CONCATENATE('3 pr-2'!H182)</f>
        <v>05.5.1-APVA-R-019</v>
      </c>
      <c r="H188" s="182" t="str">
        <f>CONCATENATE('3 pr-2'!I182)</f>
        <v>R</v>
      </c>
      <c r="I188" s="192" t="str">
        <f>CONCATENATE('3 pr-2'!J182)</f>
        <v>-</v>
      </c>
      <c r="J188" s="193">
        <f>SUM('3 pr-2'!L182)</f>
        <v>88524.094117647051</v>
      </c>
      <c r="K188" s="194">
        <f>SUM('3 pr-2'!O182)</f>
        <v>13278.614117647059</v>
      </c>
      <c r="L188" s="194">
        <f>SUM('3 pr-2'!R182)</f>
        <v>0</v>
      </c>
      <c r="M188" s="194">
        <f>SUM('3 pr-2'!U182)</f>
        <v>0</v>
      </c>
      <c r="N188" s="194">
        <f>SUM('3 pr-2'!X182)</f>
        <v>0</v>
      </c>
      <c r="O188" s="195">
        <f>SUM('3 pr-2'!AA182)</f>
        <v>75245.48</v>
      </c>
      <c r="P188" s="548">
        <f>SUM('3 pr-2'!AF182)</f>
        <v>0</v>
      </c>
      <c r="Q188" s="231">
        <v>0</v>
      </c>
      <c r="R188" s="191">
        <f t="shared" ref="R188" si="41">IF(Q188&gt;0,P188-Q188,0)</f>
        <v>0</v>
      </c>
      <c r="S188" s="257">
        <f t="shared" ref="S188" si="42">IF(Q188&gt;0,(P188-Q188)/30.1667,0)</f>
        <v>0</v>
      </c>
    </row>
    <row r="189" spans="1:19" ht="15.75" thickTop="1" x14ac:dyDescent="0.25"/>
  </sheetData>
  <mergeCells count="39">
    <mergeCell ref="C8:I8"/>
    <mergeCell ref="A1:K1"/>
    <mergeCell ref="A3:I3"/>
    <mergeCell ref="J3:O3"/>
    <mergeCell ref="P3:S3"/>
    <mergeCell ref="C7:I7"/>
    <mergeCell ref="C79:I79"/>
    <mergeCell ref="C9:I9"/>
    <mergeCell ref="C33:I33"/>
    <mergeCell ref="C39:I39"/>
    <mergeCell ref="C46:I46"/>
    <mergeCell ref="C50:I50"/>
    <mergeCell ref="C56:I56"/>
    <mergeCell ref="C58:I58"/>
    <mergeCell ref="C62:I62"/>
    <mergeCell ref="C67:I67"/>
    <mergeCell ref="C73:I73"/>
    <mergeCell ref="C74:I74"/>
    <mergeCell ref="C154:I154"/>
    <mergeCell ref="C86:I86"/>
    <mergeCell ref="C92:I92"/>
    <mergeCell ref="C100:I100"/>
    <mergeCell ref="C101:I101"/>
    <mergeCell ref="C102:I102"/>
    <mergeCell ref="C108:I108"/>
    <mergeCell ref="C114:I114"/>
    <mergeCell ref="C120:I120"/>
    <mergeCell ref="C121:I121"/>
    <mergeCell ref="C135:I135"/>
    <mergeCell ref="C153:I153"/>
    <mergeCell ref="C147:I147"/>
    <mergeCell ref="C178:I178"/>
    <mergeCell ref="C179:I179"/>
    <mergeCell ref="C160:I160"/>
    <mergeCell ref="C166:I166"/>
    <mergeCell ref="C167:I167"/>
    <mergeCell ref="C174:I174"/>
    <mergeCell ref="C175:I175"/>
    <mergeCell ref="C176:I17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82"/>
  <sheetViews>
    <sheetView workbookViewId="0">
      <pane ySplit="3270" topLeftCell="A112"/>
      <selection activeCell="C3" sqref="C1:C1048576"/>
      <selection pane="bottomLeft" activeCell="S93" sqref="S93"/>
    </sheetView>
  </sheetViews>
  <sheetFormatPr defaultRowHeight="15" x14ac:dyDescent="0.25"/>
  <cols>
    <col min="1" max="1" width="8" customWidth="1"/>
    <col min="2" max="2" width="9.42578125" customWidth="1"/>
    <col min="3" max="3" width="13" hidden="1" customWidth="1"/>
    <col min="4" max="4" width="37.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2.7109375" bestFit="1" customWidth="1"/>
    <col min="16" max="16" width="18" bestFit="1" customWidth="1"/>
    <col min="17" max="17" width="11.140625" customWidth="1"/>
    <col min="18" max="18" width="9" customWidth="1"/>
    <col min="19" max="19" width="9.5703125" customWidth="1"/>
    <col min="20" max="20" width="9.7109375" hidden="1" customWidth="1"/>
    <col min="21" max="21" width="9.7109375" customWidth="1"/>
  </cols>
  <sheetData>
    <row r="1" spans="1:21" ht="16.5" thickBot="1" x14ac:dyDescent="0.3">
      <c r="A1" s="2019" t="s">
        <v>705</v>
      </c>
      <c r="B1" s="2019"/>
      <c r="C1" s="2019"/>
      <c r="D1" s="2020"/>
      <c r="E1" s="2020"/>
      <c r="F1" s="2020"/>
      <c r="G1" s="2020"/>
      <c r="H1" s="2020"/>
      <c r="I1" s="2020"/>
      <c r="J1" s="2020"/>
      <c r="K1" s="2020"/>
      <c r="L1" s="2020"/>
    </row>
    <row r="2" spans="1:21" ht="47.25" customHeight="1" thickBot="1" x14ac:dyDescent="0.3">
      <c r="A2" s="2017" t="s">
        <v>46</v>
      </c>
      <c r="B2" s="2018"/>
      <c r="C2" s="2018"/>
      <c r="D2" s="2018"/>
      <c r="E2" s="2018"/>
      <c r="F2" s="2018"/>
      <c r="G2" s="2018"/>
      <c r="H2" s="2018"/>
      <c r="I2" s="2018"/>
      <c r="J2" s="2021"/>
      <c r="K2" s="2017" t="s">
        <v>1805</v>
      </c>
      <c r="L2" s="2018"/>
      <c r="M2" s="2018"/>
      <c r="N2" s="2018"/>
      <c r="O2" s="2018"/>
      <c r="P2" s="2018"/>
      <c r="Q2" s="1922"/>
      <c r="R2" s="2017" t="s">
        <v>704</v>
      </c>
      <c r="S2" s="2018"/>
      <c r="T2" s="2018"/>
      <c r="U2" s="2021"/>
    </row>
    <row r="3" spans="1:21" ht="51.75" thickBot="1" x14ac:dyDescent="0.3">
      <c r="A3" s="249" t="s">
        <v>7</v>
      </c>
      <c r="B3" s="1357" t="s">
        <v>1804</v>
      </c>
      <c r="C3" s="385" t="s">
        <v>703</v>
      </c>
      <c r="D3" s="249" t="s">
        <v>49</v>
      </c>
      <c r="E3" s="249" t="s">
        <v>1797</v>
      </c>
      <c r="F3" s="249" t="s">
        <v>51</v>
      </c>
      <c r="G3" s="249" t="s">
        <v>52</v>
      </c>
      <c r="H3" s="249" t="s">
        <v>687</v>
      </c>
      <c r="I3" s="386" t="s">
        <v>1808</v>
      </c>
      <c r="J3" s="384" t="s">
        <v>1809</v>
      </c>
      <c r="K3" s="201" t="s">
        <v>57</v>
      </c>
      <c r="L3" s="202" t="s">
        <v>58</v>
      </c>
      <c r="M3" s="202" t="s">
        <v>59</v>
      </c>
      <c r="N3" s="202" t="s">
        <v>60</v>
      </c>
      <c r="O3" s="202" t="s">
        <v>61</v>
      </c>
      <c r="P3" s="203" t="s">
        <v>10</v>
      </c>
      <c r="Q3" s="1357" t="s">
        <v>1806</v>
      </c>
      <c r="R3" s="212" t="s">
        <v>1802</v>
      </c>
      <c r="S3" s="212" t="s">
        <v>1801</v>
      </c>
      <c r="T3" s="211" t="s">
        <v>697</v>
      </c>
      <c r="U3" s="210" t="s">
        <v>1800</v>
      </c>
    </row>
    <row r="4" spans="1:21" ht="16.5" thickBot="1" x14ac:dyDescent="0.3">
      <c r="A4" s="382"/>
      <c r="B4" s="1358"/>
      <c r="C4" s="383"/>
      <c r="D4" s="186"/>
      <c r="E4" s="186"/>
      <c r="F4" s="186"/>
      <c r="G4" s="186"/>
      <c r="H4" s="186"/>
      <c r="I4" s="186"/>
      <c r="J4" s="196"/>
      <c r="K4" s="185"/>
      <c r="L4" s="186"/>
      <c r="M4" s="186"/>
      <c r="N4" s="186"/>
      <c r="O4" s="186"/>
      <c r="P4" s="196"/>
      <c r="Q4" s="207"/>
      <c r="R4" s="197" t="s">
        <v>690</v>
      </c>
      <c r="S4" s="197"/>
      <c r="T4" s="183" t="s">
        <v>698</v>
      </c>
      <c r="U4" s="183"/>
    </row>
    <row r="5" spans="1:21" ht="16.5" thickBot="1" x14ac:dyDescent="0.3">
      <c r="A5" s="206"/>
      <c r="B5" s="207"/>
      <c r="C5" s="244"/>
      <c r="D5" s="207"/>
      <c r="E5" s="207"/>
      <c r="F5" s="207"/>
      <c r="G5" s="207"/>
      <c r="H5" s="207"/>
      <c r="I5" s="207"/>
      <c r="J5" s="207"/>
      <c r="K5" s="185"/>
      <c r="L5" s="186"/>
      <c r="M5" s="186"/>
      <c r="N5" s="186"/>
      <c r="O5" s="186"/>
      <c r="P5" s="196"/>
      <c r="Q5" s="207"/>
      <c r="R5" s="208"/>
      <c r="S5" s="209"/>
      <c r="T5" s="183"/>
      <c r="U5" s="183"/>
    </row>
    <row r="6" spans="1:21" ht="81" customHeight="1" thickBot="1" x14ac:dyDescent="0.3">
      <c r="A6" s="412" t="str">
        <f>CONCATENATE('3 pr-2'!A7)</f>
        <v>1.1.</v>
      </c>
      <c r="B6" s="2028" t="str">
        <f>CONCATENATE('3 pr-2'!B7)</f>
        <v>Tikslas: 
DIDINTI ŪKINĖS VEIKLOS ĮVAIROVĘ IR PAGERINTI SĄLYGAS INVESTICIJŲ PRITRAUKIMUI, MAŽINANT GEOGRAFINIŲ SĄLYGŲ IR DEMOGRAFINIŲ PROCESŲ SUKELIAMUS GYVENIMO KOKYBĖS NETOLYGUMUS</v>
      </c>
      <c r="C6" s="2023"/>
      <c r="D6" s="2023"/>
      <c r="E6" s="2023"/>
      <c r="F6" s="2023"/>
      <c r="G6" s="2023"/>
      <c r="H6" s="2023"/>
      <c r="I6" s="2023"/>
      <c r="J6" s="2024"/>
      <c r="K6" s="1514">
        <f t="shared" ref="K6:P6" si="0">SUM(K7+K72)</f>
        <v>43945060.329411767</v>
      </c>
      <c r="L6" s="1514">
        <f t="shared" si="0"/>
        <v>4943747.9494117638</v>
      </c>
      <c r="M6" s="1514">
        <f t="shared" si="0"/>
        <v>1157930.17</v>
      </c>
      <c r="N6" s="1514">
        <f t="shared" si="0"/>
        <v>8480639.0100000016</v>
      </c>
      <c r="O6" s="1514">
        <f t="shared" si="0"/>
        <v>415060.82</v>
      </c>
      <c r="P6" s="1514">
        <f t="shared" si="0"/>
        <v>28947682.380000003</v>
      </c>
      <c r="Q6" s="1514">
        <f t="shared" ref="Q6" si="1">SUM(Q7+Q72)</f>
        <v>0</v>
      </c>
      <c r="R6" s="157" t="s">
        <v>690</v>
      </c>
      <c r="S6" s="157" t="s">
        <v>690</v>
      </c>
      <c r="T6" s="157" t="s">
        <v>690</v>
      </c>
      <c r="U6" s="157"/>
    </row>
    <row r="7" spans="1:21" ht="45" customHeight="1" thickBot="1" x14ac:dyDescent="0.3">
      <c r="A7" s="261" t="s">
        <v>691</v>
      </c>
      <c r="B7" s="2022" t="str">
        <f>CONCATENATE('3 pr-2'!B8)</f>
        <v>Uždavinys: 
Sudaryti sąlygas darbo vietų kūrimui, kuriant ir atnaujinant viešąją ir ekoinžinerinę  infrastruktūrą,  gamtos, kultūros paveldo objektus ir kultūros įstaigas</v>
      </c>
      <c r="C7" s="2023"/>
      <c r="D7" s="2023"/>
      <c r="E7" s="2023"/>
      <c r="F7" s="2023"/>
      <c r="G7" s="2023"/>
      <c r="H7" s="2023"/>
      <c r="I7" s="2023"/>
      <c r="J7" s="2024"/>
      <c r="K7" s="1420">
        <f t="shared" ref="K7:P7" si="2">SUM(K8+K32+K38+K45+K49+K55+K57+K61+K66)</f>
        <v>37526320.949411765</v>
      </c>
      <c r="L7" s="1420">
        <f t="shared" si="2"/>
        <v>2990150.9994117641</v>
      </c>
      <c r="M7" s="1420">
        <f t="shared" si="2"/>
        <v>1157930.17</v>
      </c>
      <c r="N7" s="1420">
        <f t="shared" si="2"/>
        <v>8057947.0100000007</v>
      </c>
      <c r="O7" s="1420">
        <f t="shared" si="2"/>
        <v>352400.82</v>
      </c>
      <c r="P7" s="1420">
        <f t="shared" si="2"/>
        <v>24967891.950000003</v>
      </c>
      <c r="Q7" s="1420">
        <f t="shared" ref="Q7" si="3">SUM(Q8+Q32+Q38+Q45+Q49+Q55+Q57+Q61+Q66)</f>
        <v>0</v>
      </c>
      <c r="R7" s="236" t="s">
        <v>690</v>
      </c>
      <c r="S7" s="409" t="s">
        <v>690</v>
      </c>
      <c r="T7" s="408" t="s">
        <v>690</v>
      </c>
      <c r="U7" s="239"/>
    </row>
    <row r="8" spans="1:21" ht="45.75" customHeight="1" thickBot="1" x14ac:dyDescent="0.3">
      <c r="A8" s="326" t="s">
        <v>67</v>
      </c>
      <c r="B8" s="2025" t="str">
        <f>CONCATENATE('3 pr-2'!B9)</f>
        <v>Priemonė:
Kaimo gyvenamųjų vietovių (turinčių iki 1 tūkst. gyventojų) atnaujinimas</v>
      </c>
      <c r="C8" s="2026"/>
      <c r="D8" s="2026"/>
      <c r="E8" s="2026"/>
      <c r="F8" s="2026"/>
      <c r="G8" s="2026"/>
      <c r="H8" s="2026"/>
      <c r="I8" s="2026"/>
      <c r="J8" s="2027"/>
      <c r="K8" s="1293">
        <f t="shared" ref="K8:P8" si="4">SUM(K9:K31)</f>
        <v>4047698</v>
      </c>
      <c r="L8" s="1293">
        <f t="shared" si="4"/>
        <v>876264</v>
      </c>
      <c r="M8" s="1293">
        <f t="shared" si="4"/>
        <v>475716</v>
      </c>
      <c r="N8" s="1293">
        <f t="shared" si="4"/>
        <v>0</v>
      </c>
      <c r="O8" s="1293">
        <f t="shared" si="4"/>
        <v>0</v>
      </c>
      <c r="P8" s="1293">
        <f t="shared" si="4"/>
        <v>2695718</v>
      </c>
      <c r="Q8" s="1293">
        <f t="shared" ref="Q8" si="5">SUM(Q9:Q31)</f>
        <v>0</v>
      </c>
      <c r="R8" s="398"/>
      <c r="S8" s="399"/>
      <c r="T8" s="398"/>
      <c r="U8" s="399"/>
    </row>
    <row r="9" spans="1:21" ht="48.75" x14ac:dyDescent="0.25">
      <c r="A9" s="181" t="str">
        <f>CONCATENATE('3 pr-2'!A10)</f>
        <v>1.1.1.1.1</v>
      </c>
      <c r="B9" s="1359" t="str">
        <f>CONCATENATE('3 pr-2'!B10)</f>
        <v>R01-ZM72-120000-1101</v>
      </c>
      <c r="C9" s="247" t="str">
        <f>CONCATENATE('ketv. 2'!B9)</f>
        <v>20KI-KA-17-1-02616-PR001</v>
      </c>
      <c r="D9" s="182"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92" t="str">
        <f>CONCATENATE('3 pr-2'!J10)</f>
        <v>-</v>
      </c>
      <c r="K9" s="1296">
        <f>IF(S9&gt;0,'3 pr-2'!L10,0)</f>
        <v>198893</v>
      </c>
      <c r="L9" s="1296">
        <f>IF(S9&gt;0,'3 pr-2'!O10,0)</f>
        <v>39779</v>
      </c>
      <c r="M9" s="1296">
        <f>IF(S9&gt;0,'3 pr-2'!R10,0)</f>
        <v>23867</v>
      </c>
      <c r="N9" s="1296">
        <f>IF(S9&gt;0,'3 pr-2'!U10,0)</f>
        <v>0</v>
      </c>
      <c r="O9" s="1296">
        <f>IF(S9&gt;0,'3 pr-2'!X10,0)</f>
        <v>0</v>
      </c>
      <c r="P9" s="1296">
        <f>IF($S$9&gt;0,'3 pr-2'!AA10,0)</f>
        <v>135247</v>
      </c>
      <c r="Q9" s="1296">
        <f>IF($S$9&gt;0,'3 pr-2'!AB10,0)</f>
        <v>0</v>
      </c>
      <c r="R9" s="1361">
        <f>SUM('3 pr-2'!AH10)</f>
        <v>43010</v>
      </c>
      <c r="S9" s="1362">
        <v>43010</v>
      </c>
      <c r="T9" s="191">
        <f t="shared" ref="T9:T31" si="6">IF((YEAR(R9)-YEAR(S9))=0,0,YEAR(R9)-YEAR(S9))</f>
        <v>0</v>
      </c>
      <c r="U9" s="647" t="str">
        <f>IF(R9-S9&lt;0,(R9-S9)/30.4166666666667,"–")</f>
        <v>–</v>
      </c>
    </row>
    <row r="10" spans="1:21" ht="48.75" x14ac:dyDescent="0.25">
      <c r="A10" s="181" t="str">
        <f>CONCATENATE('3 pr-2'!A11)</f>
        <v>1.1.1.1.2</v>
      </c>
      <c r="B10" s="1359" t="str">
        <f>CONCATENATE('3 pr-2'!B11)</f>
        <v>R01-ZM72-120000-1102</v>
      </c>
      <c r="C10" s="247" t="str">
        <f>CONCATENATE('ketv. 2'!B10)</f>
        <v>20KI-KA-17-1-02617-PR001</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92" t="str">
        <f>CONCATENATE('3 pr-2'!J11)</f>
        <v>-</v>
      </c>
      <c r="K10" s="1296">
        <f>IF(S10&gt;0,'3 pr-2'!L11,0)</f>
        <v>151340</v>
      </c>
      <c r="L10" s="1296">
        <f>IF(S10&gt;0,'3 pr-2'!O11,0)</f>
        <v>30268</v>
      </c>
      <c r="M10" s="1296">
        <f>IF(S10&gt;0,'3 pr-2'!R11,0)</f>
        <v>18161</v>
      </c>
      <c r="N10" s="1296">
        <f>IF(S10&gt;0,'3 pr-2'!U11,0)</f>
        <v>0</v>
      </c>
      <c r="O10" s="1296">
        <f>IF(S10&gt;0,'3 pr-2'!X11,0)</f>
        <v>0</v>
      </c>
      <c r="P10" s="1296">
        <f>IF(S10&gt;0,'3 pr-2'!AA11,0)</f>
        <v>102911</v>
      </c>
      <c r="Q10" s="1296">
        <f>IF($S$9&gt;0,'3 pr-2'!AB11,0)</f>
        <v>0</v>
      </c>
      <c r="R10" s="1361">
        <f>SUM('3 pr-2'!AH11)</f>
        <v>43010</v>
      </c>
      <c r="S10" s="1362">
        <v>43010</v>
      </c>
      <c r="T10" s="191">
        <f t="shared" si="6"/>
        <v>0</v>
      </c>
      <c r="U10" s="647" t="str">
        <f t="shared" ref="U10:U71" si="7">IF(R10-S10&lt;0,(R10-S10)/30.4166666666667,"–")</f>
        <v>–</v>
      </c>
    </row>
    <row r="11" spans="1:21" ht="48.75" x14ac:dyDescent="0.25">
      <c r="A11" s="181" t="str">
        <f>CONCATENATE('3 pr-2'!A12)</f>
        <v>1.1.1.1.3</v>
      </c>
      <c r="B11" s="1359" t="str">
        <f>CONCATENATE('3 pr-2'!B12)</f>
        <v>R01-ZM72-120000-1103</v>
      </c>
      <c r="C11" s="247" t="str">
        <f>CONCATENATE('ketv. 2'!B11)</f>
        <v>20KI-KA-17-1-02622-PR001</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
        <v>1803</v>
      </c>
      <c r="I11" s="182" t="str">
        <f>CONCATENATE('3 pr-2'!I12)</f>
        <v>R</v>
      </c>
      <c r="J11" s="192" t="str">
        <f>CONCATENATE('3 pr-2'!J12)</f>
        <v>-</v>
      </c>
      <c r="K11" s="1296">
        <f>IF(S11&gt;0,'3 pr-2'!L12,0)</f>
        <v>193059</v>
      </c>
      <c r="L11" s="1296">
        <f>IF(S11&gt;0,'3 pr-2'!O12,0)</f>
        <v>38612</v>
      </c>
      <c r="M11" s="1296">
        <f>IF(S11&gt;0,'3 pr-2'!R12,0)</f>
        <v>23167</v>
      </c>
      <c r="N11" s="1296">
        <f>IF(S11&gt;0,'3 pr-2'!U12,0)</f>
        <v>0</v>
      </c>
      <c r="O11" s="1296">
        <f>IF(S11&gt;0,'3 pr-2'!X12,0)</f>
        <v>0</v>
      </c>
      <c r="P11" s="1296">
        <f>IF(S11&gt;0,'3 pr-2'!AA12,0)</f>
        <v>131280</v>
      </c>
      <c r="Q11" s="1296">
        <f>IF($S$9&gt;0,'3 pr-2'!AB12,0)</f>
        <v>0</v>
      </c>
      <c r="R11" s="1361">
        <f>SUM('3 pr-2'!AH12)</f>
        <v>43010</v>
      </c>
      <c r="S11" s="1362">
        <v>43010</v>
      </c>
      <c r="T11" s="191">
        <f t="shared" si="6"/>
        <v>0</v>
      </c>
      <c r="U11" s="647" t="str">
        <f t="shared" si="7"/>
        <v>–</v>
      </c>
    </row>
    <row r="12" spans="1:21" ht="48.75" x14ac:dyDescent="0.25">
      <c r="A12" s="181" t="str">
        <f>CONCATENATE('3 pr-2'!A13)</f>
        <v>1.1.1.1.4</v>
      </c>
      <c r="B12" s="1359" t="str">
        <f>CONCATENATE('3 pr-2'!B13)</f>
        <v>R01-ZM72-330200-1104</v>
      </c>
      <c r="C12" s="247" t="str">
        <f>CONCATENATE('ketv. 2'!B12)</f>
        <v>20KI-KA-17-1-02368-PR001</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92" t="str">
        <f>CONCATENATE('3 pr-2'!J13)</f>
        <v>-</v>
      </c>
      <c r="K12" s="1296">
        <f>IF(S12&gt;0,'3 pr-2'!L13,0)</f>
        <v>125000</v>
      </c>
      <c r="L12" s="1296">
        <f>IF(S12&gt;0,'3 pr-2'!O13,0)</f>
        <v>25000</v>
      </c>
      <c r="M12" s="1296">
        <f>IF(S12&gt;0,'3 pr-2'!R13,0)</f>
        <v>15000</v>
      </c>
      <c r="N12" s="1296">
        <f>IF(S12&gt;0,'3 pr-2'!U13,0)</f>
        <v>0</v>
      </c>
      <c r="O12" s="1296">
        <f>IF(S12&gt;0,'3 pr-2'!X13,0)</f>
        <v>0</v>
      </c>
      <c r="P12" s="1296">
        <f>IF(S12&gt;0,'3 pr-2'!AA13,0)</f>
        <v>85000</v>
      </c>
      <c r="Q12" s="1296">
        <f>IF($S$9&gt;0,'3 pr-2'!AB13,0)</f>
        <v>0</v>
      </c>
      <c r="R12" s="1361">
        <f>SUM('3 pr-2'!AH13)</f>
        <v>43010</v>
      </c>
      <c r="S12" s="1362">
        <v>43010</v>
      </c>
      <c r="T12" s="191">
        <f t="shared" si="6"/>
        <v>0</v>
      </c>
      <c r="U12" s="647" t="str">
        <f t="shared" si="7"/>
        <v>–</v>
      </c>
    </row>
    <row r="13" spans="1:21" ht="48.75" x14ac:dyDescent="0.25">
      <c r="A13" s="181" t="str">
        <f>CONCATENATE('3 pr-2'!A14)</f>
        <v>1.1.1.1.5</v>
      </c>
      <c r="B13" s="1359" t="str">
        <f>CONCATENATE('3 pr-2'!B14)</f>
        <v>R01-ZM72-120000-1105</v>
      </c>
      <c r="C13" s="247" t="str">
        <f>CONCATENATE('ketv. 2'!B13)</f>
        <v>20KI-KA-17-1-02619-PR001</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92" t="str">
        <f>CONCATENATE('3 pr-2'!J14)</f>
        <v>-</v>
      </c>
      <c r="K13" s="1296">
        <f>IF(S13&gt;0,'3 pr-2'!L14,0)</f>
        <v>240940</v>
      </c>
      <c r="L13" s="1296">
        <f>IF(S13&gt;0,'3 pr-2'!O14,0)</f>
        <v>112896</v>
      </c>
      <c r="M13" s="1296">
        <f>IF(S13&gt;0,'3 pr-2'!R14,0)</f>
        <v>19207</v>
      </c>
      <c r="N13" s="1296">
        <f>IF(S13&gt;0,'3 pr-2'!U14,0)</f>
        <v>0</v>
      </c>
      <c r="O13" s="1296">
        <f>IF(S13&gt;0,'3 pr-2'!X14,0)</f>
        <v>0</v>
      </c>
      <c r="P13" s="1296">
        <f>IF(S13&gt;0,'3 pr-2'!AA14,0)</f>
        <v>108837</v>
      </c>
      <c r="Q13" s="1296">
        <f>IF($S$9&gt;0,'3 pr-2'!AB14,0)</f>
        <v>0</v>
      </c>
      <c r="R13" s="1361">
        <f>SUM('3 pr-2'!AH14)</f>
        <v>43010</v>
      </c>
      <c r="S13" s="1362">
        <v>43010</v>
      </c>
      <c r="T13" s="191">
        <f t="shared" si="6"/>
        <v>0</v>
      </c>
      <c r="U13" s="647" t="str">
        <f t="shared" si="7"/>
        <v>–</v>
      </c>
    </row>
    <row r="14" spans="1:21" ht="60.75" x14ac:dyDescent="0.25">
      <c r="A14" s="181" t="str">
        <f>CONCATENATE('3 pr-2'!A15)</f>
        <v>1.1.1.1.6</v>
      </c>
      <c r="B14" s="1359" t="str">
        <f>CONCATENATE('3 pr-2'!B15)</f>
        <v>R01-ZM72-330200-1106</v>
      </c>
      <c r="C14" s="247" t="str">
        <f>CONCATENATE('ketv. 2'!B14)</f>
        <v>20KI-KA-17-1-02374-PR001</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92" t="str">
        <f>CONCATENATE('3 pr-2'!J15)</f>
        <v>-</v>
      </c>
      <c r="K14" s="1296">
        <f>IF(S14&gt;0,'3 pr-2'!L15,0)</f>
        <v>201000</v>
      </c>
      <c r="L14" s="1296">
        <f>IF(S14&gt;0,'3 pr-2'!O15,0)</f>
        <v>40200</v>
      </c>
      <c r="M14" s="1296">
        <f>IF(S14&gt;0,'3 pr-2'!R15,0)</f>
        <v>24120</v>
      </c>
      <c r="N14" s="1296">
        <f>IF(S14&gt;0,'3 pr-2'!U15,0)</f>
        <v>0</v>
      </c>
      <c r="O14" s="1296">
        <f>IF(S14&gt;0,'3 pr-2'!X15,0)</f>
        <v>0</v>
      </c>
      <c r="P14" s="1296">
        <f>IF(S14&gt;0,'3 pr-2'!AA15,0)</f>
        <v>136680</v>
      </c>
      <c r="Q14" s="1296">
        <f>IF($S$9&gt;0,'3 pr-2'!AB15,0)</f>
        <v>0</v>
      </c>
      <c r="R14" s="1361">
        <f>SUM('3 pr-2'!AH15)</f>
        <v>43010</v>
      </c>
      <c r="S14" s="1362">
        <v>43010</v>
      </c>
      <c r="T14" s="191">
        <f t="shared" si="6"/>
        <v>0</v>
      </c>
      <c r="U14" s="647" t="str">
        <f t="shared" si="7"/>
        <v>–</v>
      </c>
    </row>
    <row r="15" spans="1:21" ht="48.75" x14ac:dyDescent="0.25">
      <c r="A15" s="181" t="str">
        <f>CONCATENATE('3 pr-2'!A16)</f>
        <v>1.1.1.1.7</v>
      </c>
      <c r="B15" s="1359" t="str">
        <f>CONCATENATE('3 pr-2'!B16)</f>
        <v>R01-ZM72-123200-1107</v>
      </c>
      <c r="C15" s="247" t="str">
        <f>CONCATENATE('ketv. 2'!B15)</f>
        <v>20KI-KA-17-1-02437-PR001</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92" t="str">
        <f>CONCATENATE('3 pr-2'!J16)</f>
        <v>-</v>
      </c>
      <c r="K15" s="1296">
        <f>IF(S15&gt;0,'3 pr-2'!L16,0)</f>
        <v>252212</v>
      </c>
      <c r="L15" s="1296">
        <f>IF(S15&gt;0,'3 pr-2'!O16,0)</f>
        <v>52212</v>
      </c>
      <c r="M15" s="1296">
        <f>IF(S15&gt;0,'3 pr-2'!R16,0)</f>
        <v>30000</v>
      </c>
      <c r="N15" s="1296">
        <f>IF(S15&gt;0,'3 pr-2'!U16,0)</f>
        <v>0</v>
      </c>
      <c r="O15" s="1296">
        <f>IF(S15&gt;0,'3 pr-2'!X16,0)</f>
        <v>0</v>
      </c>
      <c r="P15" s="1296">
        <f>IF(S15&gt;0,'3 pr-2'!AA16,0)</f>
        <v>170000</v>
      </c>
      <c r="Q15" s="1296">
        <f>IF($S$9&gt;0,'3 pr-2'!AB16,0)</f>
        <v>0</v>
      </c>
      <c r="R15" s="1361">
        <f>SUM('3 pr-2'!AH16)</f>
        <v>43010</v>
      </c>
      <c r="S15" s="1362">
        <v>43010</v>
      </c>
      <c r="T15" s="191">
        <f t="shared" si="6"/>
        <v>0</v>
      </c>
      <c r="U15" s="647" t="str">
        <f t="shared" si="7"/>
        <v>–</v>
      </c>
    </row>
    <row r="16" spans="1:21" ht="48.75" x14ac:dyDescent="0.25">
      <c r="A16" s="181" t="str">
        <f>CONCATENATE('3 pr-2'!A17)</f>
        <v>1.1.1.1.8</v>
      </c>
      <c r="B16" s="1359" t="str">
        <f>CONCATENATE('3 pr-2'!B17)</f>
        <v>R01-ZM72-123200-1108</v>
      </c>
      <c r="C16" s="247" t="str">
        <f>CONCATENATE('ketv. 2'!B16)</f>
        <v>20KI-KA-17-1-02242-PR001</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92" t="str">
        <f>CONCATENATE('3 pr-2'!J17)</f>
        <v>-</v>
      </c>
      <c r="K16" s="1296">
        <f>IF(S16&gt;0,'3 pr-2'!L17,0)</f>
        <v>250309</v>
      </c>
      <c r="L16" s="1296">
        <f>IF(S16&gt;0,'3 pr-2'!O17,0)</f>
        <v>50309</v>
      </c>
      <c r="M16" s="1296">
        <f>IF(S16&gt;0,'3 pr-2'!R17,0)</f>
        <v>30000</v>
      </c>
      <c r="N16" s="1296">
        <f>IF(S16&gt;0,'3 pr-2'!U17,0)</f>
        <v>0</v>
      </c>
      <c r="O16" s="1296">
        <f>IF(S16&gt;0,'3 pr-2'!X17,0)</f>
        <v>0</v>
      </c>
      <c r="P16" s="1296">
        <f>IF(S16&gt;0,'3 pr-2'!AA17,0)</f>
        <v>170000</v>
      </c>
      <c r="Q16" s="1296">
        <f>IF($S$9&gt;0,'3 pr-2'!AB17,0)</f>
        <v>0</v>
      </c>
      <c r="R16" s="1361">
        <f>SUM('3 pr-2'!AH17)</f>
        <v>43010</v>
      </c>
      <c r="S16" s="1362">
        <v>43010</v>
      </c>
      <c r="T16" s="191">
        <f t="shared" si="6"/>
        <v>0</v>
      </c>
      <c r="U16" s="647" t="str">
        <f t="shared" si="7"/>
        <v>–</v>
      </c>
    </row>
    <row r="17" spans="1:21" ht="48.75" x14ac:dyDescent="0.25">
      <c r="A17" s="181" t="str">
        <f>CONCATENATE('3 pr-2'!A18)</f>
        <v>1.1.1.1.9</v>
      </c>
      <c r="B17" s="1359" t="str">
        <f>CONCATENATE('3 pr-2'!B18)</f>
        <v>R01-ZM72-340000-1109</v>
      </c>
      <c r="C17" s="247" t="str">
        <f>CONCATENATE('ketv. 2'!B17)</f>
        <v>20KI-KA-17-1-02372-PR001</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92" t="str">
        <f>CONCATENATE('3 pr-2'!J18)</f>
        <v>-</v>
      </c>
      <c r="K17" s="1296">
        <f>IF(S17&gt;0,'3 pr-2'!L18,0)</f>
        <v>250000</v>
      </c>
      <c r="L17" s="1296">
        <f>IF(S17&gt;0,'3 pr-2'!O18,0)</f>
        <v>50000</v>
      </c>
      <c r="M17" s="1296">
        <f>IF(S17&gt;0,'3 pr-2'!R18,0)</f>
        <v>30000</v>
      </c>
      <c r="N17" s="1296">
        <f>IF(S17&gt;0,'3 pr-2'!U18,0)</f>
        <v>0</v>
      </c>
      <c r="O17" s="1296">
        <f>IF(S17&gt;0,'3 pr-2'!X18,0)</f>
        <v>0</v>
      </c>
      <c r="P17" s="1296">
        <f>IF(S17&gt;0,'3 pr-2'!AA18,0)</f>
        <v>170000</v>
      </c>
      <c r="Q17" s="1296">
        <f>IF($S$9&gt;0,'3 pr-2'!AB18,0)</f>
        <v>0</v>
      </c>
      <c r="R17" s="1361">
        <f>SUM('3 pr-2'!AH18)</f>
        <v>43010</v>
      </c>
      <c r="S17" s="1362">
        <v>43010</v>
      </c>
      <c r="T17" s="191">
        <f t="shared" si="6"/>
        <v>0</v>
      </c>
      <c r="U17" s="647" t="str">
        <f t="shared" si="7"/>
        <v>–</v>
      </c>
    </row>
    <row r="18" spans="1:21" ht="48.75" x14ac:dyDescent="0.25">
      <c r="A18" s="181" t="str">
        <f>CONCATENATE('3 pr-2'!A19)</f>
        <v>1.1.1.1.10</v>
      </c>
      <c r="B18" s="1359" t="str">
        <f>CONCATENATE('3 pr-2'!B19)</f>
        <v>R01-ZM72-340200-1110</v>
      </c>
      <c r="C18" s="247" t="str">
        <f>CONCATENATE('ketv. 2'!B18)</f>
        <v>20KI-KA-17-1-02370-PR001</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92" t="str">
        <f>CONCATENATE('3 pr-2'!J19)</f>
        <v>-</v>
      </c>
      <c r="K18" s="1296">
        <f>IF(S18&gt;0,'3 pr-2'!L19,0)</f>
        <v>250000</v>
      </c>
      <c r="L18" s="1296">
        <f>IF(S18&gt;0,'3 pr-2'!O19,0)</f>
        <v>50000</v>
      </c>
      <c r="M18" s="1296">
        <f>IF(S18&gt;0,'3 pr-2'!R19,0)</f>
        <v>30000</v>
      </c>
      <c r="N18" s="1296">
        <f>IF(S18&gt;0,'3 pr-2'!U19,0)</f>
        <v>0</v>
      </c>
      <c r="O18" s="1296">
        <f>IF(S18&gt;0,'3 pr-2'!X19,0)</f>
        <v>0</v>
      </c>
      <c r="P18" s="1296">
        <f>IF(S18&gt;0,'3 pr-2'!AA19,0)</f>
        <v>170000</v>
      </c>
      <c r="Q18" s="1296">
        <f>IF($S$9&gt;0,'3 pr-2'!AB19,0)</f>
        <v>0</v>
      </c>
      <c r="R18" s="1361">
        <f>SUM('3 pr-2'!AH19)</f>
        <v>43010</v>
      </c>
      <c r="S18" s="1362">
        <v>43010</v>
      </c>
      <c r="T18" s="191">
        <f t="shared" si="6"/>
        <v>0</v>
      </c>
      <c r="U18" s="647" t="str">
        <f t="shared" si="7"/>
        <v>–</v>
      </c>
    </row>
    <row r="19" spans="1:21" ht="48.75" x14ac:dyDescent="0.25">
      <c r="A19" s="181" t="str">
        <f>CONCATENATE('3 pr-2'!A20)</f>
        <v>1.1.1.1.11</v>
      </c>
      <c r="B19" s="1359" t="str">
        <f>CONCATENATE('3 pr-2'!B20)</f>
        <v>R01-ZM72-320000-1111</v>
      </c>
      <c r="C19" s="247" t="str">
        <f>CONCATENATE('ketv. 2'!B19)</f>
        <v>20KI-KA-17-1-02354-PR001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92" t="str">
        <f>CONCATENATE('3 pr-2'!J20)</f>
        <v>-</v>
      </c>
      <c r="K19" s="1296">
        <f>IF(S19&gt;0,'3 pr-2'!L20,0)</f>
        <v>125000</v>
      </c>
      <c r="L19" s="1296">
        <f>IF(S19&gt;0,'3 pr-2'!O20,0)</f>
        <v>25000</v>
      </c>
      <c r="M19" s="1296">
        <f>IF(S19&gt;0,'3 pr-2'!R20,0)</f>
        <v>15000</v>
      </c>
      <c r="N19" s="1296">
        <f>IF(S19&gt;0,'3 pr-2'!U20,0)</f>
        <v>0</v>
      </c>
      <c r="O19" s="1296">
        <f>IF(S19&gt;0,'3 pr-2'!X20,0)</f>
        <v>0</v>
      </c>
      <c r="P19" s="1296">
        <f>IF(S19&gt;0,'3 pr-2'!AA20,0)</f>
        <v>85000</v>
      </c>
      <c r="Q19" s="1296">
        <f>IF($S$9&gt;0,'3 pr-2'!AB20,0)</f>
        <v>0</v>
      </c>
      <c r="R19" s="1361">
        <f>SUM('3 pr-2'!AH20)</f>
        <v>43010</v>
      </c>
      <c r="S19" s="1362">
        <v>43010</v>
      </c>
      <c r="T19" s="191">
        <f t="shared" si="6"/>
        <v>0</v>
      </c>
      <c r="U19" s="647" t="str">
        <f t="shared" si="7"/>
        <v>–</v>
      </c>
    </row>
    <row r="20" spans="1:21" ht="48.75" x14ac:dyDescent="0.25">
      <c r="A20" s="181" t="str">
        <f>CONCATENATE('3 pr-2'!A21)</f>
        <v>1.1.1.1.12</v>
      </c>
      <c r="B20" s="1359" t="str">
        <f>CONCATENATE('3 pr-2'!B21)</f>
        <v>R01-ZM72-120000-1112</v>
      </c>
      <c r="C20" s="247" t="str">
        <f>CONCATENATE('ketv. 2'!B20)</f>
        <v>20KI-KA-17-1-02470-PR001</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92" t="str">
        <f>CONCATENATE('3 pr-2'!J21)</f>
        <v>-</v>
      </c>
      <c r="K20" s="1296">
        <f>IF(S20&gt;0,'3 pr-2'!L21,0)</f>
        <v>153566</v>
      </c>
      <c r="L20" s="1296">
        <f>IF(S20&gt;0,'3 pr-2'!O21,0)</f>
        <v>30713</v>
      </c>
      <c r="M20" s="1296">
        <f>IF(S20&gt;0,'3 pr-2'!R21,0)</f>
        <v>18428</v>
      </c>
      <c r="N20" s="1296">
        <f>IF(S20&gt;0,'3 pr-2'!U21,0)</f>
        <v>0</v>
      </c>
      <c r="O20" s="1296">
        <f>IF(S20&gt;0,'3 pr-2'!X21,0)</f>
        <v>0</v>
      </c>
      <c r="P20" s="1296">
        <f>IF(S20&gt;0,'3 pr-2'!AA21,0)</f>
        <v>104425</v>
      </c>
      <c r="Q20" s="1296">
        <f>IF($S$9&gt;0,'3 pr-2'!AB21,0)</f>
        <v>0</v>
      </c>
      <c r="R20" s="1361">
        <f>SUM('3 pr-2'!AH21)</f>
        <v>43010</v>
      </c>
      <c r="S20" s="1362">
        <v>43010</v>
      </c>
      <c r="T20" s="191">
        <f t="shared" si="6"/>
        <v>0</v>
      </c>
      <c r="U20" s="647" t="str">
        <f t="shared" si="7"/>
        <v>–</v>
      </c>
    </row>
    <row r="21" spans="1:21" ht="48.75" x14ac:dyDescent="0.25">
      <c r="A21" s="181" t="str">
        <f>CONCATENATE('3 pr-2'!A22)</f>
        <v>1.1.1.1.13</v>
      </c>
      <c r="B21" s="1359" t="str">
        <f>CONCATENATE('3 pr-2'!B22)</f>
        <v>R01-ZM72-123200-1113</v>
      </c>
      <c r="C21" s="247" t="str">
        <f>CONCATENATE('ketv. 2'!B21)</f>
        <v>20KI-KA-17-1-02438-PR001</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92" t="str">
        <f>CONCATENATE('3 pr-2'!J22)</f>
        <v>-</v>
      </c>
      <c r="K21" s="1296">
        <f>IF(S21&gt;0,'3 pr-2'!L22,0)</f>
        <v>250000</v>
      </c>
      <c r="L21" s="1296">
        <f>IF(S21&gt;0,'3 pr-2'!O22,0)</f>
        <v>50000</v>
      </c>
      <c r="M21" s="1296">
        <f>IF(S21&gt;0,'3 pr-2'!R22,0)</f>
        <v>30000</v>
      </c>
      <c r="N21" s="1296">
        <f>IF(S21&gt;0,'3 pr-2'!U22,0)</f>
        <v>0</v>
      </c>
      <c r="O21" s="1296">
        <f>IF(S21&gt;0,'3 pr-2'!X22,0)</f>
        <v>0</v>
      </c>
      <c r="P21" s="1296">
        <f>IF(S21&gt;0,'3 pr-2'!AA22,0)</f>
        <v>170000</v>
      </c>
      <c r="Q21" s="1296">
        <f>IF($S$9&gt;0,'3 pr-2'!AB22,0)</f>
        <v>0</v>
      </c>
      <c r="R21" s="1361">
        <f>SUM('3 pr-2'!AH22)</f>
        <v>43010</v>
      </c>
      <c r="S21" s="1362">
        <v>43010</v>
      </c>
      <c r="T21" s="191">
        <f t="shared" si="6"/>
        <v>0</v>
      </c>
      <c r="U21" s="647" t="str">
        <f t="shared" si="7"/>
        <v>–</v>
      </c>
    </row>
    <row r="22" spans="1:21" ht="48.75" x14ac:dyDescent="0.25">
      <c r="A22" s="181" t="str">
        <f>CONCATENATE('3 pr-2'!A23)</f>
        <v>1.1.1.1.14</v>
      </c>
      <c r="B22" s="1359" t="str">
        <f>CONCATENATE('3 pr-2'!B23)</f>
        <v>R01-ZM72-122900-1114</v>
      </c>
      <c r="C22" s="247" t="str">
        <f>CONCATENATE('ketv. 2'!B22)</f>
        <v>20KI-KA-17-1-01647-PR001</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92" t="str">
        <f>CONCATENATE('3 pr-2'!J23)</f>
        <v>-</v>
      </c>
      <c r="K22" s="1296">
        <f>IF(S22&gt;0,'3 pr-2'!L23,0)</f>
        <v>215626</v>
      </c>
      <c r="L22" s="1296">
        <f>IF(S22&gt;0,'3 pr-2'!O23,0)</f>
        <v>43125</v>
      </c>
      <c r="M22" s="1296">
        <f>IF(S22&gt;0,'3 pr-2'!R23,0)</f>
        <v>25875</v>
      </c>
      <c r="N22" s="1296">
        <f>IF(S22&gt;0,'3 pr-2'!U23,0)</f>
        <v>0</v>
      </c>
      <c r="O22" s="1296">
        <f>IF(S22&gt;0,'3 pr-2'!X23,0)</f>
        <v>0</v>
      </c>
      <c r="P22" s="1296">
        <f>IF(S22&gt;0,'3 pr-2'!AA23,0)</f>
        <v>146626</v>
      </c>
      <c r="Q22" s="1296">
        <f>IF($S$9&gt;0,'3 pr-2'!AB23,0)</f>
        <v>0</v>
      </c>
      <c r="R22" s="1361">
        <f>SUM('3 pr-2'!AH23)</f>
        <v>43010</v>
      </c>
      <c r="S22" s="1362">
        <v>43010</v>
      </c>
      <c r="T22" s="191">
        <f t="shared" si="6"/>
        <v>0</v>
      </c>
      <c r="U22" s="647" t="str">
        <f t="shared" si="7"/>
        <v>–</v>
      </c>
    </row>
    <row r="23" spans="1:21" ht="48.75" x14ac:dyDescent="0.25">
      <c r="A23" s="181" t="str">
        <f>CONCATENATE('3 pr-2'!A24)</f>
        <v>1.1.1.1.15</v>
      </c>
      <c r="B23" s="1359" t="str">
        <f>CONCATENATE('3 pr-2'!B24)</f>
        <v>R01-ZM72-123200-1115</v>
      </c>
      <c r="C23" s="247" t="str">
        <f>CONCATENATE('ketv. 2'!B23)</f>
        <v>20KI-KA-17-1-02469-PR001</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92" t="str">
        <f>CONCATENATE('3 pr-2'!J24)</f>
        <v>-</v>
      </c>
      <c r="K23" s="1296">
        <f>IF(S23&gt;0,'3 pr-2'!L24,0)</f>
        <v>76480</v>
      </c>
      <c r="L23" s="1296">
        <f>IF(S23&gt;0,'3 pr-2'!O24,0)</f>
        <v>15296</v>
      </c>
      <c r="M23" s="1296">
        <f>IF(S23&gt;0,'3 pr-2'!R24,0)</f>
        <v>9178</v>
      </c>
      <c r="N23" s="1296">
        <f>IF(S23&gt;0,'3 pr-2'!U24,0)</f>
        <v>0</v>
      </c>
      <c r="O23" s="1296">
        <f>IF(S23&gt;0,'3 pr-2'!X24,0)</f>
        <v>0</v>
      </c>
      <c r="P23" s="1296">
        <f>IF(S23&gt;0,'3 pr-2'!AA24,0)</f>
        <v>52006</v>
      </c>
      <c r="Q23" s="1296">
        <f>IF($S$9&gt;0,'3 pr-2'!AB24,0)</f>
        <v>0</v>
      </c>
      <c r="R23" s="1361">
        <f>SUM('3 pr-2'!AH24)</f>
        <v>43010</v>
      </c>
      <c r="S23" s="1362">
        <v>43010</v>
      </c>
      <c r="T23" s="191">
        <f t="shared" si="6"/>
        <v>0</v>
      </c>
      <c r="U23" s="647" t="str">
        <f t="shared" si="7"/>
        <v>–</v>
      </c>
    </row>
    <row r="24" spans="1:21" ht="48.75" x14ac:dyDescent="0.25">
      <c r="A24" s="181" t="str">
        <f>CONCATENATE('3 pr-2'!A25)</f>
        <v>1.1.1.1.16</v>
      </c>
      <c r="B24" s="1359" t="str">
        <f>CONCATENATE('3 pr-2'!B25)</f>
        <v>R01-ZM72-123200-1116</v>
      </c>
      <c r="C24" s="247" t="str">
        <f>CONCATENATE('ketv. 2'!B24)</f>
        <v>20KI-KA-17-1-02240-PR001</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92" t="str">
        <f>CONCATENATE('3 pr-2'!J25)</f>
        <v>-</v>
      </c>
      <c r="K24" s="1296">
        <f>IF(S24&gt;0,'3 pr-2'!L25,0)</f>
        <v>139472</v>
      </c>
      <c r="L24" s="1296">
        <f>IF(S24&gt;0,'3 pr-2'!O25,0)</f>
        <v>27894</v>
      </c>
      <c r="M24" s="1296">
        <f>IF(S24&gt;0,'3 pr-2'!R25,0)</f>
        <v>16737</v>
      </c>
      <c r="N24" s="1296">
        <f>IF(S24&gt;0,'3 pr-2'!U25,0)</f>
        <v>0</v>
      </c>
      <c r="O24" s="1296">
        <f>IF(S24&gt;0,'3 pr-2'!X25,0)</f>
        <v>0</v>
      </c>
      <c r="P24" s="1296">
        <f>IF(S24&gt;0,'3 pr-2'!AA25,0)</f>
        <v>94841</v>
      </c>
      <c r="Q24" s="1296">
        <f>IF($S$9&gt;0,'3 pr-2'!AB25,0)</f>
        <v>0</v>
      </c>
      <c r="R24" s="1361">
        <f>SUM('3 pr-2'!AH25)</f>
        <v>43010</v>
      </c>
      <c r="S24" s="1362">
        <v>43010</v>
      </c>
      <c r="T24" s="191">
        <f t="shared" si="6"/>
        <v>0</v>
      </c>
      <c r="U24" s="647" t="str">
        <f t="shared" si="7"/>
        <v>–</v>
      </c>
    </row>
    <row r="25" spans="1:21" ht="48.75" x14ac:dyDescent="0.25">
      <c r="A25" s="181" t="str">
        <f>CONCATENATE('3 pr-2'!A26)</f>
        <v>1.1.1.1.17</v>
      </c>
      <c r="B25" s="1359" t="str">
        <f>CONCATENATE('3 pr-2'!B26)</f>
        <v>R01-ZM72-120000-1117</v>
      </c>
      <c r="C25" s="247" t="str">
        <f>CONCATENATE('ketv. 2'!B25)</f>
        <v>20KI-KA-17-1-01639-PR001</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92" t="str">
        <f>CONCATENATE('3 pr-2'!J26)</f>
        <v>-</v>
      </c>
      <c r="K25" s="1296">
        <f>IF(S25&gt;0,'3 pr-2'!L26,0)</f>
        <v>115824</v>
      </c>
      <c r="L25" s="1296">
        <f>IF(S25&gt;0,'3 pr-2'!O26,0)</f>
        <v>23165</v>
      </c>
      <c r="M25" s="1296">
        <f>IF(S25&gt;0,'3 pr-2'!R26,0)</f>
        <v>13899</v>
      </c>
      <c r="N25" s="1296">
        <f>IF(S25&gt;0,'3 pr-2'!U26,0)</f>
        <v>0</v>
      </c>
      <c r="O25" s="1296">
        <f>IF(S25&gt;0,'3 pr-2'!X26,0)</f>
        <v>0</v>
      </c>
      <c r="P25" s="1296">
        <f>IF(S25&gt;0,'3 pr-2'!AA26,0)</f>
        <v>78760</v>
      </c>
      <c r="Q25" s="1296">
        <f>IF($S$9&gt;0,'3 pr-2'!AB26,0)</f>
        <v>0</v>
      </c>
      <c r="R25" s="1361">
        <f>SUM('3 pr-2'!AH26)</f>
        <v>43010</v>
      </c>
      <c r="S25" s="1362">
        <v>42899</v>
      </c>
      <c r="T25" s="191">
        <f t="shared" si="6"/>
        <v>0</v>
      </c>
      <c r="U25" s="647" t="str">
        <f t="shared" si="7"/>
        <v>–</v>
      </c>
    </row>
    <row r="26" spans="1:21" ht="48.75" x14ac:dyDescent="0.25">
      <c r="A26" s="181" t="str">
        <f>CONCATENATE('3 pr-2'!A27)</f>
        <v>1.1.1.1.18</v>
      </c>
      <c r="B26" s="1359" t="str">
        <f>CONCATENATE('3 pr-2'!B27)</f>
        <v>R01-ZM72-340000-1118</v>
      </c>
      <c r="C26" s="247" t="str">
        <f>CONCATENATE('ketv. 2'!B26)</f>
        <v>20KI-KA-17-1-01666-PR001</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92" t="str">
        <f>CONCATENATE('3 pr-2'!J27)</f>
        <v>-</v>
      </c>
      <c r="K26" s="1296">
        <f>IF(S26&gt;0,'3 pr-2'!L27,0)</f>
        <v>250000</v>
      </c>
      <c r="L26" s="1296">
        <f>IF(S26&gt;0,'3 pr-2'!O27,0)</f>
        <v>50000</v>
      </c>
      <c r="M26" s="1296">
        <f>IF(S26&gt;0,'3 pr-2'!R27,0)</f>
        <v>30000</v>
      </c>
      <c r="N26" s="1296">
        <f>IF(S26&gt;0,'3 pr-2'!U27,0)</f>
        <v>0</v>
      </c>
      <c r="O26" s="1296">
        <f>IF(S26&gt;0,'3 pr-2'!X27,0)</f>
        <v>0</v>
      </c>
      <c r="P26" s="1296">
        <f>IF(S26&gt;0,'3 pr-2'!AA27,0)</f>
        <v>170000</v>
      </c>
      <c r="Q26" s="1296">
        <f>IF($S$9&gt;0,'3 pr-2'!AB27,0)</f>
        <v>0</v>
      </c>
      <c r="R26" s="1361">
        <f>SUM('3 pr-2'!AH27)</f>
        <v>43010</v>
      </c>
      <c r="S26" s="1362">
        <v>43010</v>
      </c>
      <c r="T26" s="191">
        <f t="shared" si="6"/>
        <v>0</v>
      </c>
      <c r="U26" s="647" t="str">
        <f t="shared" si="7"/>
        <v>–</v>
      </c>
    </row>
    <row r="27" spans="1:21" ht="48.75" x14ac:dyDescent="0.25">
      <c r="A27" s="181" t="str">
        <f>CONCATENATE('3 pr-2'!A28)</f>
        <v>1.1.1.1.19</v>
      </c>
      <c r="B27" s="1359" t="str">
        <f>CONCATENATE('3 pr-2'!B28)</f>
        <v>R01-ZM72-120000-1119</v>
      </c>
      <c r="C27" s="247" t="str">
        <f>CONCATENATE('ketv. 2'!B27)</f>
        <v>20KI-KA-17-1-02648-PR001</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92" t="str">
        <f>CONCATENATE('3 pr-2'!J28)</f>
        <v>-</v>
      </c>
      <c r="K27" s="1296">
        <f>IF(S27&gt;0,'3 pr-2'!L28,0)</f>
        <v>117986</v>
      </c>
      <c r="L27" s="1296">
        <f>IF(S27&gt;0,'3 pr-2'!O28,0)</f>
        <v>23597</v>
      </c>
      <c r="M27" s="1296">
        <f>IF(S27&gt;0,'3 pr-2'!R28,0)</f>
        <v>14158</v>
      </c>
      <c r="N27" s="1296">
        <f>IF(S27&gt;0,'3 pr-2'!U28,0)</f>
        <v>0</v>
      </c>
      <c r="O27" s="1296">
        <f>IF(S27&gt;0,'3 pr-2'!X28,0)</f>
        <v>0</v>
      </c>
      <c r="P27" s="1296">
        <f>IF(S27&gt;0,'3 pr-2'!AA28,0)</f>
        <v>80231</v>
      </c>
      <c r="Q27" s="1296">
        <f>IF($S$9&gt;0,'3 pr-2'!AB28,0)</f>
        <v>0</v>
      </c>
      <c r="R27" s="1361">
        <f>SUM('3 pr-2'!AH28)</f>
        <v>43010</v>
      </c>
      <c r="S27" s="1362">
        <v>43010</v>
      </c>
      <c r="T27" s="191">
        <f t="shared" si="6"/>
        <v>0</v>
      </c>
      <c r="U27" s="647" t="str">
        <f t="shared" si="7"/>
        <v>–</v>
      </c>
    </row>
    <row r="28" spans="1:21" ht="48.75" x14ac:dyDescent="0.25">
      <c r="A28" s="181" t="str">
        <f>CONCATENATE('3 pr-2'!A29)</f>
        <v>1.1.1.1.20</v>
      </c>
      <c r="B28" s="1359" t="str">
        <f>CONCATENATE('3 pr-2'!B29)</f>
        <v>R01-ZM72-340000-1120</v>
      </c>
      <c r="C28" s="247" t="str">
        <f>CONCATENATE('ketv. 2'!B28)</f>
        <v>20KI-KA-17-1-01736-PR001</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92" t="str">
        <f>CONCATENATE('3 pr-2'!J29)</f>
        <v>-</v>
      </c>
      <c r="K28" s="1296">
        <f>IF(S28&gt;0,'3 pr-2'!L29,0)</f>
        <v>250000</v>
      </c>
      <c r="L28" s="1296">
        <f>IF(S28&gt;0,'3 pr-2'!O29,0)</f>
        <v>50000</v>
      </c>
      <c r="M28" s="1296">
        <f>IF(S28&gt;0,'3 pr-2'!R29,0)</f>
        <v>30000</v>
      </c>
      <c r="N28" s="1296">
        <f>IF(S28&gt;0,'3 pr-2'!U29,0)</f>
        <v>0</v>
      </c>
      <c r="O28" s="1296">
        <f>IF(S28&gt;0,'3 pr-2'!X29,0)</f>
        <v>0</v>
      </c>
      <c r="P28" s="1296">
        <f>IF(S28&gt;0,'3 pr-2'!AA29,0)</f>
        <v>170000</v>
      </c>
      <c r="Q28" s="1296">
        <f>IF($S$9&gt;0,'3 pr-2'!AB29,0)</f>
        <v>0</v>
      </c>
      <c r="R28" s="1361">
        <f>SUM('3 pr-2'!AH29)</f>
        <v>43010</v>
      </c>
      <c r="S28" s="1362">
        <v>43010</v>
      </c>
      <c r="T28" s="191">
        <f t="shared" si="6"/>
        <v>0</v>
      </c>
      <c r="U28" s="647" t="str">
        <f t="shared" si="7"/>
        <v>–</v>
      </c>
    </row>
    <row r="29" spans="1:21" ht="48.75" x14ac:dyDescent="0.25">
      <c r="A29" s="181" t="str">
        <f>CONCATENATE('3 pr-2'!A30)</f>
        <v>1.1.1.1.21</v>
      </c>
      <c r="B29" s="1359" t="str">
        <f>CONCATENATE('3 pr-2'!B30)</f>
        <v>R01-ZM72-120000-1121</v>
      </c>
      <c r="C29" s="247" t="str">
        <f>CONCATENATE('ketv. 2'!B29)</f>
        <v>20KI-KA-17-1-02364-PR001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92" t="str">
        <f>CONCATENATE('3 pr-2'!J30)</f>
        <v>-</v>
      </c>
      <c r="K29" s="1296">
        <f>IF(S29&gt;0,'3 pr-2'!L30,0)</f>
        <v>170000</v>
      </c>
      <c r="L29" s="1296">
        <f>IF(S29&gt;0,'3 pr-2'!O30,0)</f>
        <v>34000</v>
      </c>
      <c r="M29" s="1296">
        <f>IF(S29&gt;0,'3 pr-2'!R30,0)</f>
        <v>20400</v>
      </c>
      <c r="N29" s="1296">
        <f>IF(S29&gt;0,'3 pr-2'!U30,0)</f>
        <v>0</v>
      </c>
      <c r="O29" s="1296">
        <f>IF(S29&gt;0,'3 pr-2'!X30,0)</f>
        <v>0</v>
      </c>
      <c r="P29" s="1296">
        <f>IF(S29&gt;0,'3 pr-2'!AA30,0)</f>
        <v>115600</v>
      </c>
      <c r="Q29" s="1296">
        <f>IF($S$9&gt;0,'3 pr-2'!AB30,0)</f>
        <v>0</v>
      </c>
      <c r="R29" s="1361">
        <f>SUM('3 pr-2'!AH30)</f>
        <v>43010</v>
      </c>
      <c r="S29" s="1362">
        <v>43010</v>
      </c>
      <c r="T29" s="191">
        <f t="shared" si="6"/>
        <v>0</v>
      </c>
      <c r="U29" s="647" t="str">
        <f t="shared" si="7"/>
        <v>–</v>
      </c>
    </row>
    <row r="30" spans="1:21" ht="48.75" x14ac:dyDescent="0.25">
      <c r="A30" s="181" t="str">
        <f>CONCATENATE('3 pr-2'!A31)</f>
        <v>1.1.1.1.22</v>
      </c>
      <c r="B30" s="1359" t="str">
        <f>CONCATENATE('3 pr-2'!B31)</f>
        <v>R01-ZM72-120000-1122</v>
      </c>
      <c r="C30" s="247" t="str">
        <f>CONCATENATE('ketv. 2'!B30)</f>
        <v>20KI-KA-17-1-02241-PR001</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92" t="str">
        <f>CONCATENATE('3 pr-2'!J31)</f>
        <v>-</v>
      </c>
      <c r="K30" s="1296">
        <f>IF(S30&gt;0,'3 pr-2'!L31,0)</f>
        <v>70991</v>
      </c>
      <c r="L30" s="1296">
        <f>IF(S30&gt;0,'3 pr-2'!O31,0)</f>
        <v>14198</v>
      </c>
      <c r="M30" s="1296">
        <f>IF(S30&gt;0,'3 pr-2'!R31,0)</f>
        <v>8519</v>
      </c>
      <c r="N30" s="1296">
        <f>IF(S30&gt;0,'3 pr-2'!U31,0)</f>
        <v>0</v>
      </c>
      <c r="O30" s="1296">
        <f>IF(S30&gt;0,'3 pr-2'!X31,0)</f>
        <v>0</v>
      </c>
      <c r="P30" s="1296">
        <f>IF(S30&gt;0,'3 pr-2'!AA31,0)</f>
        <v>48274</v>
      </c>
      <c r="Q30" s="1296">
        <f>IF($S$9&gt;0,'3 pr-2'!AB31,0)</f>
        <v>0</v>
      </c>
      <c r="R30" s="1361">
        <f>SUM('3 pr-2'!AH31)</f>
        <v>43010</v>
      </c>
      <c r="S30" s="1362">
        <v>43010</v>
      </c>
      <c r="T30" s="191">
        <f t="shared" si="6"/>
        <v>0</v>
      </c>
      <c r="U30" s="647" t="str">
        <f t="shared" si="7"/>
        <v>–</v>
      </c>
    </row>
    <row r="31" spans="1:21" ht="49.5" thickBot="1" x14ac:dyDescent="0.3">
      <c r="A31" s="258" t="str">
        <f>CONCATENATE('3 pr-2'!A32)</f>
        <v>1.1.1.1.23</v>
      </c>
      <c r="B31" s="1359" t="str">
        <f>CONCATENATE('3 pr-2'!B32)</f>
        <v>R01-ZM72-120000-1123</v>
      </c>
      <c r="C31" s="247" t="str">
        <f>CONCATENATE('ketv. 2'!B31)</f>
        <v/>
      </c>
      <c r="D31" s="259" t="str">
        <f>CONCATENATE('3 pr-2'!D32)</f>
        <v>Varėnos r. Vazgirdonių kaimo Klevų gatvės įrengimas</v>
      </c>
      <c r="E31" s="259" t="str">
        <f>CONCATENATE('3 pr-2'!E32)</f>
        <v xml:space="preserve">Varėnos rajono savivaldybės administracija </v>
      </c>
      <c r="F31" s="259" t="str">
        <f>CONCATENATE('3 pr-2'!F32)</f>
        <v>Lietuvos Respublikos žemės ūkio ministerija</v>
      </c>
      <c r="G31" s="259" t="str">
        <f>CONCATENATE('3 pr-2'!G32)</f>
        <v>Varėnos r. sav.</v>
      </c>
      <c r="H31" s="259" t="str">
        <f>CONCATENATE('3 pr-2'!H32)</f>
        <v xml:space="preserve">Pagrindinės paslaugos ir kaimų atnaujinimas kaimo vietovėse </v>
      </c>
      <c r="I31" s="259" t="str">
        <f>CONCATENATE('3 pr-2'!I32)</f>
        <v>R</v>
      </c>
      <c r="J31" s="260" t="str">
        <f>CONCATENATE('3 pr-2'!J32)</f>
        <v>-</v>
      </c>
      <c r="K31" s="1296">
        <f>IF(S31&gt;0,'3 pr-2'!L32,0)</f>
        <v>0</v>
      </c>
      <c r="L31" s="1296">
        <f>IF(S31&gt;0,'3 pr-2'!O32,0)</f>
        <v>0</v>
      </c>
      <c r="M31" s="1296">
        <f>IF(S31&gt;0,'3 pr-2'!R32,0)</f>
        <v>0</v>
      </c>
      <c r="N31" s="1296">
        <f>IF(S31&gt;0,'3 pr-2'!U32,0)</f>
        <v>0</v>
      </c>
      <c r="O31" s="1296">
        <f>IF(S31&gt;0,'3 pr-2'!X32,0)</f>
        <v>0</v>
      </c>
      <c r="P31" s="1296">
        <f>IF(S31&gt;0,'3 pr-2'!AA32,0)</f>
        <v>0</v>
      </c>
      <c r="Q31" s="1296">
        <f>IF($S$9&gt;0,'3 pr-2'!AB32,0)</f>
        <v>0</v>
      </c>
      <c r="R31" s="1363">
        <f>SUM('3 pr-2'!AH32)</f>
        <v>43010</v>
      </c>
      <c r="S31" s="1364"/>
      <c r="T31" s="235">
        <f t="shared" si="6"/>
        <v>117</v>
      </c>
      <c r="U31" s="647" t="str">
        <f t="shared" si="7"/>
        <v>–</v>
      </c>
    </row>
    <row r="32" spans="1:21" ht="28.5" customHeight="1" thickBot="1" x14ac:dyDescent="0.3">
      <c r="A32" s="326" t="str">
        <f>CONCATENATE('3 pr-2'!A33)</f>
        <v>1.1.1.2</v>
      </c>
      <c r="B32" s="2025" t="str">
        <f>CONCATENATE('3 pr-2'!B33)</f>
        <v>Priemonė:
Kaimo gyvenamųjų vietovių (turinčių 1-6 tūkst. gyventojų) atnaujinimas ir plėtra</v>
      </c>
      <c r="C32" s="2026"/>
      <c r="D32" s="2026"/>
      <c r="E32" s="2026"/>
      <c r="F32" s="2026"/>
      <c r="G32" s="2026"/>
      <c r="H32" s="2026"/>
      <c r="I32" s="2026"/>
      <c r="J32" s="2027"/>
      <c r="K32" s="1293">
        <f t="shared" ref="K32:Q32" si="8">SUM(K33:K37)</f>
        <v>2673858.7999999998</v>
      </c>
      <c r="L32" s="1293">
        <f t="shared" si="8"/>
        <v>574103.41999999993</v>
      </c>
      <c r="M32" s="1293">
        <f t="shared" si="8"/>
        <v>170250.74</v>
      </c>
      <c r="N32" s="1293">
        <f t="shared" si="8"/>
        <v>0</v>
      </c>
      <c r="O32" s="1293">
        <f t="shared" si="8"/>
        <v>0</v>
      </c>
      <c r="P32" s="1293">
        <f t="shared" si="8"/>
        <v>1929504.6400000001</v>
      </c>
      <c r="Q32" s="1293">
        <f t="shared" si="8"/>
        <v>0</v>
      </c>
      <c r="R32" s="1340" t="s">
        <v>690</v>
      </c>
      <c r="S32" s="1341" t="s">
        <v>690</v>
      </c>
      <c r="T32" s="398" t="s">
        <v>690</v>
      </c>
      <c r="U32" s="399"/>
    </row>
    <row r="33" spans="1:21" ht="49.5" thickBot="1" x14ac:dyDescent="0.3">
      <c r="A33" s="389" t="str">
        <f>CONCATENATE('3 pr-2'!A34)</f>
        <v>1.1.1.2.1</v>
      </c>
      <c r="B33" s="1359" t="str">
        <f>CONCATENATE('3 pr-2'!B34)</f>
        <v>R01-9908-293400-1121</v>
      </c>
      <c r="C33" s="247" t="str">
        <f>CONCATENATE('ketv. 2'!B33)</f>
        <v>08.2.1-CPVA-R-908-11-0002</v>
      </c>
      <c r="D33" s="390" t="str">
        <f>CONCATENATE('3 pr-2'!D34)</f>
        <v>Matuizų kaimo viešosios infrastruktūros atnaujinimas ir pritaikymas bendruomenės poreikiams</v>
      </c>
      <c r="E33" s="390" t="str">
        <f>CONCATENATE('3 pr-2'!E34)</f>
        <v>Varėnos rajono savivaldybės administracija</v>
      </c>
      <c r="F33" s="390" t="str">
        <f>CONCATENATE('3 pr-2'!F34)</f>
        <v>Lietuvos Respublikos vidaus reikalų ministerija</v>
      </c>
      <c r="G33" s="390" t="str">
        <f>CONCATENATE('3 pr-2'!G34)</f>
        <v>Varėnos r. sav.</v>
      </c>
      <c r="H33" s="390" t="str">
        <f>CONCATENATE('3 pr-2'!H34)</f>
        <v>8.2.1-CPVA-R-908</v>
      </c>
      <c r="I33" s="390" t="str">
        <f>CONCATENATE('3 pr-2'!I34)</f>
        <v>R</v>
      </c>
      <c r="J33" s="390" t="str">
        <f>CONCATENATE('3 pr-2'!J34)</f>
        <v>-</v>
      </c>
      <c r="K33" s="1296">
        <f>IF(S33&gt;0,'3 pr-2'!L34,0)</f>
        <v>815537.61</v>
      </c>
      <c r="L33" s="1296">
        <f>IF(S33&gt;0,'3 pr-2'!O34,0)</f>
        <v>285195.61</v>
      </c>
      <c r="M33" s="1296">
        <f>IF(S33&gt;0,'3 pr-2'!R34,0)</f>
        <v>43001</v>
      </c>
      <c r="N33" s="1296">
        <f>IF(S33&gt;0,'3 pr-2'!U34,0)</f>
        <v>0</v>
      </c>
      <c r="O33" s="1296">
        <f>IF(S33&gt;0,'3 pr-2'!X34,0)</f>
        <v>0</v>
      </c>
      <c r="P33" s="1296">
        <f>IF(S33&gt;0,'3 pr-2'!AA34,0)</f>
        <v>487341</v>
      </c>
      <c r="Q33" s="1296">
        <f>IF($S$9&gt;0,'3 pr-2'!AB34,0)</f>
        <v>0</v>
      </c>
      <c r="R33" s="1365">
        <f>SUM('3 pr-2'!AH34)</f>
        <v>43189</v>
      </c>
      <c r="S33" s="1366">
        <f>SUMIF(Lapas4!$A$12:$A$299,C33,Lapas4!$H$12:$H$300)</f>
        <v>43188</v>
      </c>
      <c r="T33" s="394"/>
      <c r="U33" s="647" t="str">
        <f t="shared" si="7"/>
        <v>–</v>
      </c>
    </row>
    <row r="34" spans="1:21" ht="49.5" thickBot="1" x14ac:dyDescent="0.3">
      <c r="A34" s="391" t="str">
        <f>CONCATENATE('3 pr-2'!A35)</f>
        <v>1.1.1.2.2</v>
      </c>
      <c r="B34" s="1359" t="str">
        <f>CONCATENATE('3 pr-2'!B35)</f>
        <v>R01-9908-290000-1122</v>
      </c>
      <c r="C34" s="247" t="str">
        <f>CONCATENATE('ketv. 2'!B34)</f>
        <v>08.2.1-CPVA-R-908-11-0001</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96">
        <f>IF(S34&gt;0,'3 pr-2'!L35,0)</f>
        <v>605024.19999999995</v>
      </c>
      <c r="L34" s="1296">
        <f>IF(S34&gt;0,'3 pr-2'!O35,0)</f>
        <v>45376.82</v>
      </c>
      <c r="M34" s="1296">
        <f>IF(S34&gt;0,'3 pr-2'!R35,0)</f>
        <v>45376.81</v>
      </c>
      <c r="N34" s="1296">
        <f>IF(S34&gt;0,'3 pr-2'!U35,0)</f>
        <v>0</v>
      </c>
      <c r="O34" s="1296">
        <f>IF(S34&gt;0,'3 pr-2'!X35,0)</f>
        <v>0</v>
      </c>
      <c r="P34" s="1296">
        <f>IF(S34&gt;0,'3 pr-2'!AA35,0)</f>
        <v>514270.57</v>
      </c>
      <c r="Q34" s="1296">
        <f>IF($S$9&gt;0,'3 pr-2'!AB35,0)</f>
        <v>0</v>
      </c>
      <c r="R34" s="1336">
        <f>SUM('3 pr-2'!AH35)</f>
        <v>43039</v>
      </c>
      <c r="S34" s="1366">
        <f>SUMIF(Lapas4!$A$12:$A$299,C34,Lapas4!$H$12:$H$300)</f>
        <v>43039</v>
      </c>
      <c r="T34" s="271">
        <f>IF((YEAR(R34)-YEAR(S34))=0,0,YEAR(R34)-YEAR(S34))</f>
        <v>0</v>
      </c>
      <c r="U34" s="647" t="str">
        <f t="shared" si="7"/>
        <v>–</v>
      </c>
    </row>
    <row r="35" spans="1:21" ht="49.5" thickBot="1" x14ac:dyDescent="0.3">
      <c r="A35" s="391" t="str">
        <f>CONCATENATE('3 pr-2'!A36)</f>
        <v>1.1.1.2.3</v>
      </c>
      <c r="B35" s="1359" t="str">
        <f>CONCATENATE('3 pr-2'!B36)</f>
        <v>R01-9908-290000-1123</v>
      </c>
      <c r="C35" s="247" t="str">
        <f>CONCATENATE('ketv. 2'!B35)</f>
        <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96">
        <f>IF(S35&gt;0,'3 pr-2'!L36,0)</f>
        <v>0</v>
      </c>
      <c r="L35" s="1296">
        <f>IF(S35&gt;0,'3 pr-2'!O36,0)</f>
        <v>0</v>
      </c>
      <c r="M35" s="1296">
        <f>IF(S35&gt;0,'3 pr-2'!R36,0)</f>
        <v>0</v>
      </c>
      <c r="N35" s="1296">
        <f>IF(S35&gt;0,'3 pr-2'!U36,0)</f>
        <v>0</v>
      </c>
      <c r="O35" s="1296">
        <f>IF(S35&gt;0,'3 pr-2'!X36,0)</f>
        <v>0</v>
      </c>
      <c r="P35" s="1296">
        <f>IF(S35&gt;0,'3 pr-2'!AA36,0)</f>
        <v>0</v>
      </c>
      <c r="Q35" s="1296">
        <f>IF($S$9&gt;0,'3 pr-2'!AB36,0)</f>
        <v>0</v>
      </c>
      <c r="R35" s="1346">
        <f>SUM('3 pr-2'!AH36)</f>
        <v>43555</v>
      </c>
      <c r="S35" s="1366"/>
      <c r="T35" s="216"/>
      <c r="U35" s="647" t="str">
        <f t="shared" si="7"/>
        <v>–</v>
      </c>
    </row>
    <row r="36" spans="1:21" ht="49.5" thickBot="1" x14ac:dyDescent="0.3">
      <c r="A36" s="391" t="str">
        <f>CONCATENATE('3 pr-2'!A37)</f>
        <v>1.1.1.2.4</v>
      </c>
      <c r="B36" s="1359" t="str">
        <f>CONCATENATE('3 pr-2'!B37)</f>
        <v>R01-9908-290000-1124</v>
      </c>
      <c r="C36" s="247" t="str">
        <f>CONCATENATE('ketv. 2'!B36)</f>
        <v>08.2.1-CPVA-R-908-11-0003</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96">
        <f>IF(S36&gt;0,'3 pr-2'!L37,0)</f>
        <v>579418.99</v>
      </c>
      <c r="L36" s="1296">
        <f>IF(S36&gt;0,'3 pr-2'!O37,0)</f>
        <v>192989.99</v>
      </c>
      <c r="M36" s="1296">
        <f>IF(S36&gt;0,'3 pr-2'!R37,0)</f>
        <v>31332.09</v>
      </c>
      <c r="N36" s="1296">
        <f>IF(S36&gt;0,'3 pr-2'!U37,0)</f>
        <v>0</v>
      </c>
      <c r="O36" s="1296">
        <f>IF(S36&gt;0,'3 pr-2'!X37,0)</f>
        <v>0</v>
      </c>
      <c r="P36" s="1296">
        <f>IF(S36&gt;0,'3 pr-2'!AA37,0)</f>
        <v>355096.91</v>
      </c>
      <c r="Q36" s="1296">
        <f>IF($S$9&gt;0,'3 pr-2'!AB37,0)</f>
        <v>0</v>
      </c>
      <c r="R36" s="1336">
        <f>SUM('3 pr-2'!AH37)</f>
        <v>43251</v>
      </c>
      <c r="S36" s="1366">
        <f>SUMIF(Lapas4!$A$12:$A$299,C36,Lapas4!$H$12:$H$300)</f>
        <v>43251</v>
      </c>
      <c r="T36" s="216"/>
      <c r="U36" s="647" t="str">
        <f t="shared" si="7"/>
        <v>–</v>
      </c>
    </row>
    <row r="37" spans="1:21" ht="49.5" thickBot="1" x14ac:dyDescent="0.3">
      <c r="A37" s="392" t="str">
        <f>CONCATENATE('3 pr-2'!A38)</f>
        <v>1.1.1.2.5</v>
      </c>
      <c r="B37" s="1359" t="str">
        <f>CONCATENATE('3 pr-2'!B38)</f>
        <v>R01-9908-290000-1125</v>
      </c>
      <c r="C37" s="247" t="str">
        <f>CONCATENATE('ketv. 2'!B37)</f>
        <v>08.2.1-CPVA-R-908-11-0004</v>
      </c>
      <c r="D37" s="393" t="str">
        <f>CONCATENATE('3 pr-2'!D38)</f>
        <v>Viečiūnų viešosios erdvės pritaikymas bendruomenės poreikiams</v>
      </c>
      <c r="E37" s="393" t="str">
        <f>CONCATENATE('3 pr-2'!E38)</f>
        <v xml:space="preserve">Druskininkų savivaldybės administracija  </v>
      </c>
      <c r="F37" s="393" t="str">
        <f>CONCATENATE('3 pr-2'!F38)</f>
        <v>Lietuvos Respublikos vidaus reikalų ministerija</v>
      </c>
      <c r="G37" s="393" t="str">
        <f>CONCATENATE('3 pr-2'!G38)</f>
        <v>Druskininkų sav.</v>
      </c>
      <c r="H37" s="393" t="str">
        <f>CONCATENATE('3 pr-2'!H38)</f>
        <v>8.2.1-CPVA-R-908</v>
      </c>
      <c r="I37" s="393" t="str">
        <f>CONCATENATE('3 pr-2'!I38)</f>
        <v>R</v>
      </c>
      <c r="J37" s="393" t="str">
        <f>CONCATENATE('3 pr-2'!J38)</f>
        <v>-</v>
      </c>
      <c r="K37" s="1296">
        <f>IF(S37&gt;0,'3 pr-2'!L38,0)</f>
        <v>673878</v>
      </c>
      <c r="L37" s="1296">
        <f>IF(S37&gt;0,'3 pr-2'!O38,0)</f>
        <v>50541</v>
      </c>
      <c r="M37" s="1296">
        <f>IF(S37&gt;0,'3 pr-2'!R38,0)</f>
        <v>50540.84</v>
      </c>
      <c r="N37" s="1296">
        <f>IF(S37&gt;0,'3 pr-2'!U38,0)</f>
        <v>0</v>
      </c>
      <c r="O37" s="1296">
        <f>IF(S37&gt;0,'3 pr-2'!X38,0)</f>
        <v>0</v>
      </c>
      <c r="P37" s="1296">
        <f>IF(S37&gt;0,'3 pr-2'!AA38,0)</f>
        <v>572796.16000000003</v>
      </c>
      <c r="Q37" s="1296">
        <f>IF($S$9&gt;0,'3 pr-2'!AB38,0)</f>
        <v>0</v>
      </c>
      <c r="R37" s="1368">
        <f>SUM('3 pr-2'!AH38)</f>
        <v>43251</v>
      </c>
      <c r="S37" s="1366">
        <f>SUMIF(Lapas4!$A$12:$A$299,C37,Lapas4!$H$12:$H$300)</f>
        <v>43252</v>
      </c>
      <c r="T37" s="395"/>
      <c r="U37" s="257">
        <f t="shared" si="7"/>
        <v>-3.2876712328767085E-2</v>
      </c>
    </row>
    <row r="38" spans="1:21" ht="30" customHeight="1" thickBot="1" x14ac:dyDescent="0.3">
      <c r="A38" s="326" t="str">
        <f>CONCATENATE('3 pr-2'!A39)</f>
        <v>1.1.1.3</v>
      </c>
      <c r="B38" s="2025" t="str">
        <f>CONCATENATE('3 pr-2'!B39)</f>
        <v>Priemonė:
Varėnos miesto kompleksinė plėtra</v>
      </c>
      <c r="C38" s="2026"/>
      <c r="D38" s="2026"/>
      <c r="E38" s="2026"/>
      <c r="F38" s="2026"/>
      <c r="G38" s="2026"/>
      <c r="H38" s="2026"/>
      <c r="I38" s="2026"/>
      <c r="J38" s="2027"/>
      <c r="K38" s="1293">
        <f t="shared" ref="K38:Q38" si="9">SUM(K39:K44)</f>
        <v>4358551.91</v>
      </c>
      <c r="L38" s="1293">
        <f t="shared" si="9"/>
        <v>297094.61</v>
      </c>
      <c r="M38" s="1293">
        <f t="shared" si="9"/>
        <v>364155.41000000003</v>
      </c>
      <c r="N38" s="1293">
        <f t="shared" si="9"/>
        <v>0</v>
      </c>
      <c r="O38" s="1293">
        <f t="shared" si="9"/>
        <v>0</v>
      </c>
      <c r="P38" s="1293">
        <f t="shared" si="9"/>
        <v>3697301.8899999997</v>
      </c>
      <c r="Q38" s="1293">
        <f t="shared" si="9"/>
        <v>0</v>
      </c>
      <c r="R38" s="1340" t="s">
        <v>690</v>
      </c>
      <c r="S38" s="1341" t="s">
        <v>690</v>
      </c>
      <c r="T38" s="398" t="s">
        <v>690</v>
      </c>
      <c r="U38" s="399"/>
    </row>
    <row r="39" spans="1:21" ht="49.5" thickBot="1" x14ac:dyDescent="0.3">
      <c r="A39" s="387" t="str">
        <f>CONCATENATE('3 pr-2'!A40)</f>
        <v>1.1.1.3.1</v>
      </c>
      <c r="B39" s="1359" t="str">
        <f>CONCATENATE('3 pr-2'!B40)</f>
        <v>R01-9905-290000-1131</v>
      </c>
      <c r="C39" s="307" t="str">
        <f>CONCATENATE('ketv. 2'!B39)</f>
        <v>07.1.1-CPVA-R-905-11-0001</v>
      </c>
      <c r="D39" s="240" t="str">
        <f>CONCATENATE('3 pr-2'!D40)</f>
        <v>Varėnos miesto centrinės dalies modernizavimas ir pritaikymas visuomenės poreikiams (I etapas)</v>
      </c>
      <c r="E39" s="240" t="str">
        <f>CONCATENATE('3 pr-2'!E40)</f>
        <v>Varėnos rajono savivaldybės administracija</v>
      </c>
      <c r="F39" s="240" t="str">
        <f>CONCATENATE('3 pr-2'!F40)</f>
        <v>Lietuvos Respublikos vidaus reikalų ministerija</v>
      </c>
      <c r="G39" s="240" t="str">
        <f>CONCATENATE('3 pr-2'!G40)</f>
        <v>Varėnos r. sav.</v>
      </c>
      <c r="H39" s="240" t="str">
        <f>CONCATENATE('3 pr-2'!H40)</f>
        <v xml:space="preserve">07.1.1-CPVA-R-905 </v>
      </c>
      <c r="I39" s="240" t="str">
        <f>CONCATENATE('3 pr-2'!I40)</f>
        <v>R</v>
      </c>
      <c r="J39" s="273" t="str">
        <f>CONCATENATE('3 pr-2'!J40)</f>
        <v>ITI</v>
      </c>
      <c r="K39" s="1296">
        <f>IF(S39&gt;0,'3 pr-2'!L40,0)</f>
        <v>1516932.01</v>
      </c>
      <c r="L39" s="1296">
        <f>IF(S39&gt;0,'3 pr-2'!O40,0)</f>
        <v>75846.61</v>
      </c>
      <c r="M39" s="1296">
        <f>IF(S39&gt;0,'3 pr-2'!R40,0)</f>
        <v>151693.20000000001</v>
      </c>
      <c r="N39" s="1296">
        <f>IF(S39&gt;0,'3 pr-2'!U40,0)</f>
        <v>0</v>
      </c>
      <c r="O39" s="1296">
        <f>IF(S39&gt;0,'3 pr-2'!X40,0)</f>
        <v>0</v>
      </c>
      <c r="P39" s="1296">
        <f>IF(S39&gt;0,'3 pr-2'!AA40,0)</f>
        <v>1289392.2</v>
      </c>
      <c r="Q39" s="1296">
        <f>IF($S$9&gt;0,'3 pr-2'!AB40,0)</f>
        <v>0</v>
      </c>
      <c r="R39" s="1369">
        <f>SUM('3 pr-2'!AH40)</f>
        <v>42566</v>
      </c>
      <c r="S39" s="1366">
        <f>SUMIF(Lapas4!$A$12:$A$299,C39,Lapas4!$H$12:$H$300)</f>
        <v>42555</v>
      </c>
      <c r="T39" s="271">
        <f>IF((YEAR(R39)-YEAR(S39))=0,0,YEAR(R39)-YEAR(S39))</f>
        <v>0</v>
      </c>
      <c r="U39" s="647" t="str">
        <f t="shared" si="7"/>
        <v>–</v>
      </c>
    </row>
    <row r="40" spans="1:21" ht="49.5" thickBot="1" x14ac:dyDescent="0.3">
      <c r="A40" s="181" t="str">
        <f>CONCATENATE('3 pr-2'!A41)</f>
        <v>1.1.1.3.2</v>
      </c>
      <c r="B40" s="1359" t="str">
        <f>CONCATENATE('3 pr-2'!B41)</f>
        <v>R01-9905-282900-1132</v>
      </c>
      <c r="C40" s="247" t="str">
        <f>CONCATENATE('ketv. 2'!B40)</f>
        <v>07.1.1-CPVA-R-905-11-0002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92" t="str">
        <f>CONCATENATE('3 pr-2'!J41)</f>
        <v>ITI</v>
      </c>
      <c r="K40" s="1296">
        <f>IF(S40&gt;0,'3 pr-2'!L41,0)</f>
        <v>1004000.8999999999</v>
      </c>
      <c r="L40" s="1296">
        <f>IF(S40&gt;0,'3 pr-2'!O41,0)</f>
        <v>83426</v>
      </c>
      <c r="M40" s="1296">
        <f>IF(S40&gt;0,'3 pr-2'!R41,0)</f>
        <v>74641.210000000006</v>
      </c>
      <c r="N40" s="1296">
        <f>IF(S40&gt;0,'3 pr-2'!U41,0)</f>
        <v>0</v>
      </c>
      <c r="O40" s="1296">
        <f>IF(S40&gt;0,'3 pr-2'!X41,0)</f>
        <v>0</v>
      </c>
      <c r="P40" s="1296">
        <f>IF(S40&gt;0,'3 pr-2'!AA41,0)</f>
        <v>845933.69</v>
      </c>
      <c r="Q40" s="1296">
        <f>IF($S$9&gt;0,'3 pr-2'!AB41,0)</f>
        <v>0</v>
      </c>
      <c r="R40" s="1361">
        <f>SUM('3 pr-2'!AH41)</f>
        <v>42885</v>
      </c>
      <c r="S40" s="1366">
        <f>SUMIF(Lapas4!$A$12:$A$299,C40,Lapas4!$H$12:$H$300)</f>
        <v>42863</v>
      </c>
      <c r="T40" s="191">
        <f>IF((YEAR(R40)-YEAR(S40))=0,0,YEAR(R40)-YEAR(S40))</f>
        <v>0</v>
      </c>
      <c r="U40" s="647" t="str">
        <f t="shared" si="7"/>
        <v>–</v>
      </c>
    </row>
    <row r="41" spans="1:21" ht="49.5" thickBot="1" x14ac:dyDescent="0.3">
      <c r="A41" s="181" t="str">
        <f>CONCATENATE('3 pr-2'!A42)</f>
        <v>1.1.1.3.3</v>
      </c>
      <c r="B41" s="1359" t="str">
        <f>CONCATENATE('3 pr-2'!B42)</f>
        <v>R01-9905-292800-1133</v>
      </c>
      <c r="C41" s="247" t="str">
        <f>CONCATENATE('ketv. 2'!B41)</f>
        <v>07.1.1-CPVA-R-905-11-0004</v>
      </c>
      <c r="D41" s="182" t="str">
        <f>CONCATENATE('3 pr-2'!D42)</f>
        <v xml:space="preserve">Varėnos miesto Dainų slėnio infrastruktūros atnaujinimas ir pritaikymas visuomenės poreikiams </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92" t="str">
        <f>CONCATENATE('3 pr-2'!J42)</f>
        <v>ITI</v>
      </c>
      <c r="K41" s="1296">
        <f>IF(S41&gt;0,'3 pr-2'!L42,0)</f>
        <v>630000</v>
      </c>
      <c r="L41" s="1296">
        <f>IF(S41&gt;0,'3 pr-2'!O42,0)</f>
        <v>47250</v>
      </c>
      <c r="M41" s="1296">
        <f>IF(S41&gt;0,'3 pr-2'!R42,0)</f>
        <v>47250</v>
      </c>
      <c r="N41" s="1296">
        <f>IF(S41&gt;0,'3 pr-2'!U42,0)</f>
        <v>0</v>
      </c>
      <c r="O41" s="1296">
        <f>IF(S41&gt;0,'3 pr-2'!X42,0)</f>
        <v>0</v>
      </c>
      <c r="P41" s="1296">
        <f>IF(S41&gt;0,'3 pr-2'!AA42,0)</f>
        <v>535500</v>
      </c>
      <c r="Q41" s="1296">
        <f>IF($S$9&gt;0,'3 pr-2'!AB42,0)</f>
        <v>0</v>
      </c>
      <c r="R41" s="1361">
        <f>SUM('3 pr-2'!AH42)</f>
        <v>43251</v>
      </c>
      <c r="S41" s="1366">
        <f>SUMIF(Lapas4!$A$12:$A$299,C41,Lapas4!$H$12:$H$300)</f>
        <v>43238</v>
      </c>
      <c r="T41" s="191"/>
      <c r="U41" s="647" t="str">
        <f t="shared" si="7"/>
        <v>–</v>
      </c>
    </row>
    <row r="42" spans="1:21" ht="49.5" thickBot="1" x14ac:dyDescent="0.3">
      <c r="A42" s="181" t="str">
        <f>CONCATENATE('3 pr-2'!A43)</f>
        <v>1.1.1.3.4</v>
      </c>
      <c r="B42" s="1359" t="str">
        <f>CONCATENATE('3 pr-2'!B43)</f>
        <v>R01-9905-280000-1134</v>
      </c>
      <c r="C42" s="247" t="str">
        <f>CONCATENATE('ketv. 2'!B42)</f>
        <v>07.1.1-CPVA-R-905-11-0003</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92" t="str">
        <f>CONCATENATE('3 pr-2'!J43)</f>
        <v>ITI</v>
      </c>
      <c r="K42" s="1296">
        <f>IF(S42&gt;0,'3 pr-2'!L43,0)</f>
        <v>757246</v>
      </c>
      <c r="L42" s="1296">
        <f>IF(S42&gt;0,'3 pr-2'!O43,0)</f>
        <v>56794</v>
      </c>
      <c r="M42" s="1296">
        <f>IF(S42&gt;0,'3 pr-2'!R43,0)</f>
        <v>56793</v>
      </c>
      <c r="N42" s="1296">
        <f>IF(S42&gt;0,'3 pr-2'!U43,0)</f>
        <v>0</v>
      </c>
      <c r="O42" s="1296">
        <f>IF(S42&gt;0,'3 pr-2'!X43,0)</f>
        <v>0</v>
      </c>
      <c r="P42" s="1296">
        <f>IF(S42&gt;0,'3 pr-2'!AA43,0)</f>
        <v>643659</v>
      </c>
      <c r="Q42" s="1296">
        <f>IF($S$9&gt;0,'3 pr-2'!AB43,0)</f>
        <v>0</v>
      </c>
      <c r="R42" s="1361">
        <f>SUM('3 pr-2'!AH43)</f>
        <v>43008</v>
      </c>
      <c r="S42" s="1366">
        <f>SUMIF(Lapas4!$A$12:$A$299,C42,Lapas4!$H$12:$H$300)</f>
        <v>43007</v>
      </c>
      <c r="T42" s="191">
        <f>IF((YEAR(R42)-YEAR(S42))=0,0,YEAR(R42)-YEAR(S42))</f>
        <v>0</v>
      </c>
      <c r="U42" s="647" t="str">
        <f t="shared" si="7"/>
        <v>–</v>
      </c>
    </row>
    <row r="43" spans="1:21" ht="49.5" thickBot="1" x14ac:dyDescent="0.3">
      <c r="A43" s="181" t="str">
        <f>CONCATENATE('3 pr-2'!A44)</f>
        <v>1.1.1.3.5</v>
      </c>
      <c r="B43" s="1359" t="str">
        <f>CONCATENATE('3 pr-2'!B44)</f>
        <v>R01-9905-362900-1135</v>
      </c>
      <c r="C43" s="247" t="str">
        <f>CONCATENATE('ketv. 2'!B43)</f>
        <v>07.1.1-CPVA-R-905-11-0005</v>
      </c>
      <c r="D43" s="182" t="str">
        <f>CONCATENATE('3 pr-2'!D44)</f>
        <v xml:space="preserve">Nenaudojamų teritorijų Varėnos mieste sutvarkymas ir pritaikymas verslui </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92" t="str">
        <f>CONCATENATE('3 pr-2'!J44)</f>
        <v>ITI</v>
      </c>
      <c r="K43" s="1296">
        <f>IF(S43&gt;0,'3 pr-2'!L44,0)</f>
        <v>150000</v>
      </c>
      <c r="L43" s="1296">
        <f>IF(S43&gt;0,'3 pr-2'!O44,0)</f>
        <v>11250</v>
      </c>
      <c r="M43" s="1296">
        <f>IF(S43&gt;0,'3 pr-2'!R44,0)</f>
        <v>11250</v>
      </c>
      <c r="N43" s="1296">
        <f>IF(S43&gt;0,'3 pr-2'!U44,0)</f>
        <v>0</v>
      </c>
      <c r="O43" s="1296">
        <f>IF(S43&gt;0,'3 pr-2'!X44,0)</f>
        <v>0</v>
      </c>
      <c r="P43" s="1296">
        <f>IF(S43&gt;0,'3 pr-2'!AA44,0)</f>
        <v>127500</v>
      </c>
      <c r="Q43" s="1296">
        <f>IF($S$9&gt;0,'3 pr-2'!AB44,0)</f>
        <v>0</v>
      </c>
      <c r="R43" s="1361">
        <f>SUM('3 pr-2'!AH44)</f>
        <v>43373</v>
      </c>
      <c r="S43" s="1366">
        <f>SUMIF(Lapas4!$A$12:$A$299,C43,Lapas4!$H$12:$H$300)</f>
        <v>43361</v>
      </c>
      <c r="T43" s="191"/>
      <c r="U43" s="647" t="str">
        <f t="shared" si="7"/>
        <v>–</v>
      </c>
    </row>
    <row r="44" spans="1:21" ht="49.5" thickBot="1" x14ac:dyDescent="0.3">
      <c r="A44" s="181" t="str">
        <f>CONCATENATE('3 pr-2'!A45)</f>
        <v>1.1.1.3.6</v>
      </c>
      <c r="B44" s="1359" t="str">
        <f>CONCATENATE('3 pr-2'!B45)</f>
        <v>R01-9905-290000-1136</v>
      </c>
      <c r="C44" s="247" t="str">
        <f>CONCATENATE('ketv. 2'!B44)</f>
        <v>07.1.1-CPVA-R-905-11-0006</v>
      </c>
      <c r="D44" s="182" t="str">
        <f>CONCATENATE('3 pr-2'!D45)</f>
        <v xml:space="preserve">Teritorijų prie daugiabučių gyvenamųjų pastatų Varėnos mieste sutvarkymas ir pritaikymas visuomenės poreikiams  </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92" t="str">
        <f>CONCATENATE('3 pr-2'!J45)</f>
        <v>ITI</v>
      </c>
      <c r="K44" s="1296">
        <f>IF(S44&gt;0,'3 pr-2'!L45,0)</f>
        <v>300373</v>
      </c>
      <c r="L44" s="1296">
        <f>IF(S44&gt;0,'3 pr-2'!O45,0)</f>
        <v>22528</v>
      </c>
      <c r="M44" s="1296">
        <f>IF(S44&gt;0,'3 pr-2'!R45,0)</f>
        <v>22528</v>
      </c>
      <c r="N44" s="1296">
        <f>IF(S44&gt;0,'3 pr-2'!U45,0)</f>
        <v>0</v>
      </c>
      <c r="O44" s="1296">
        <f>IF(S44&gt;0,'3 pr-2'!X45,0)</f>
        <v>0</v>
      </c>
      <c r="P44" s="1296">
        <f>IF(S44&gt;0,'3 pr-2'!AA45,0)</f>
        <v>255317</v>
      </c>
      <c r="Q44" s="1296">
        <f>IF($S$9&gt;0,'3 pr-2'!AB45,0)</f>
        <v>0</v>
      </c>
      <c r="R44" s="1361">
        <f>SUM('3 pr-2'!AH45)</f>
        <v>43373</v>
      </c>
      <c r="S44" s="1366">
        <f>SUMIF(Lapas4!$A$12:$A$299,C44,Lapas4!$H$12:$H$300)</f>
        <v>43371</v>
      </c>
      <c r="T44" s="191"/>
      <c r="U44" s="647" t="str">
        <f t="shared" si="7"/>
        <v>–</v>
      </c>
    </row>
    <row r="45" spans="1:21" ht="36" customHeight="1" thickBot="1" x14ac:dyDescent="0.3">
      <c r="A45" s="326" t="str">
        <f>CONCATENATE('3 pr-2'!A46)</f>
        <v>1.1.1.4</v>
      </c>
      <c r="B45" s="2025" t="str">
        <f>CONCATENATE('3 pr-2'!B46)</f>
        <v xml:space="preserve">Priemonė:
Alytaus, Druskininkų ir Lazdijų miestų kompleksinė plėtra
</v>
      </c>
      <c r="C45" s="2026"/>
      <c r="D45" s="2026"/>
      <c r="E45" s="2026"/>
      <c r="F45" s="2026"/>
      <c r="G45" s="2026"/>
      <c r="H45" s="2026"/>
      <c r="I45" s="2026"/>
      <c r="J45" s="2027"/>
      <c r="K45" s="1293">
        <f t="shared" ref="K45:Q45" si="10">SUM(K46:K48)</f>
        <v>2112023.5699999998</v>
      </c>
      <c r="L45" s="1293">
        <f t="shared" si="10"/>
        <v>289057.98</v>
      </c>
      <c r="M45" s="1293">
        <f t="shared" si="10"/>
        <v>147808.01999999999</v>
      </c>
      <c r="N45" s="1293">
        <f t="shared" si="10"/>
        <v>0</v>
      </c>
      <c r="O45" s="1293">
        <f t="shared" si="10"/>
        <v>0</v>
      </c>
      <c r="P45" s="1293">
        <f t="shared" si="10"/>
        <v>1675157.5699999998</v>
      </c>
      <c r="Q45" s="1293">
        <f t="shared" si="10"/>
        <v>0</v>
      </c>
      <c r="R45" s="1340" t="s">
        <v>690</v>
      </c>
      <c r="S45" s="1341" t="s">
        <v>690</v>
      </c>
      <c r="T45" s="398" t="s">
        <v>690</v>
      </c>
      <c r="U45" s="399"/>
    </row>
    <row r="46" spans="1:21" ht="49.5" thickBot="1" x14ac:dyDescent="0.3">
      <c r="A46" s="181" t="str">
        <f>CONCATENATE('3 pr-2'!A47)</f>
        <v>1.1.1.4.1</v>
      </c>
      <c r="B46" s="1359" t="str">
        <f>CONCATENATE('3 pr-2'!B47)</f>
        <v>R01-9902-310000-1141</v>
      </c>
      <c r="C46" s="247" t="str">
        <f>CONCATENATE('ketv. 2'!B46)</f>
        <v>07.1.1-CPVA-V-902-01-0008</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92" t="str">
        <f>CONCATENATE('3 pr-2'!J47)</f>
        <v>ITI</v>
      </c>
      <c r="K46" s="1296">
        <f>IF(S46&gt;0,'3 pr-2'!L47,0)</f>
        <v>1293732.5699999998</v>
      </c>
      <c r="L46" s="1296">
        <f>IF(S46&gt;0,'3 pr-2'!O47,0)</f>
        <v>97029.95</v>
      </c>
      <c r="M46" s="1296">
        <f>IF(S46&gt;0,'3 pr-2'!R47,0)</f>
        <v>97029.94</v>
      </c>
      <c r="N46" s="1296">
        <f>IF(S46&gt;0,'3 pr-2'!U47,0)</f>
        <v>0</v>
      </c>
      <c r="O46" s="1296">
        <f>IF(S46&gt;0,'3 pr-2'!X47,0)</f>
        <v>0</v>
      </c>
      <c r="P46" s="1296">
        <f>IF(S46&gt;0,'3 pr-2'!AA47,0)</f>
        <v>1099672.68</v>
      </c>
      <c r="Q46" s="1296">
        <f>IF($S$9&gt;0,'3 pr-2'!AB47,0)</f>
        <v>0</v>
      </c>
      <c r="R46" s="1361">
        <f>SUM('3 pr-2'!AH47)</f>
        <v>42674</v>
      </c>
      <c r="S46" s="1367">
        <v>42699</v>
      </c>
      <c r="T46" s="191">
        <f>IF((YEAR(R46)-YEAR(S46))=0,0,YEAR(R46)-YEAR(S46))</f>
        <v>0</v>
      </c>
      <c r="U46" s="257">
        <f t="shared" si="7"/>
        <v>-0.82191780821917715</v>
      </c>
    </row>
    <row r="47" spans="1:21" ht="49.5" thickBot="1" x14ac:dyDescent="0.3">
      <c r="A47" s="181" t="str">
        <f>CONCATENATE('3 pr-2'!A48)</f>
        <v>1.1.1.4.2</v>
      </c>
      <c r="B47" s="1359" t="str">
        <f>CONCATENATE('3 pr-2'!B48)</f>
        <v>R01-9903-290000-1142</v>
      </c>
      <c r="C47" s="247" t="str">
        <f>CONCATENATE('ketv. 2'!B47)</f>
        <v>07.1.1-CPVA-R-903-11-0001</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92" t="str">
        <f>CONCATENATE('3 pr-2'!J48)</f>
        <v>ITI</v>
      </c>
      <c r="K47" s="1296">
        <f>IF(S47&gt;0,'3 pr-2'!L48,0)</f>
        <v>474784</v>
      </c>
      <c r="L47" s="1296">
        <f>IF(S47&gt;0,'3 pr-2'!O48,0)</f>
        <v>166265</v>
      </c>
      <c r="M47" s="1296">
        <f>IF(S47&gt;0,'3 pr-2'!R48,0)</f>
        <v>25015.06</v>
      </c>
      <c r="N47" s="1296">
        <f>IF(S47&gt;0,'3 pr-2'!U48,0)</f>
        <v>0</v>
      </c>
      <c r="O47" s="1296">
        <f>IF(S47&gt;0,'3 pr-2'!X48,0)</f>
        <v>0</v>
      </c>
      <c r="P47" s="1296">
        <f>IF(S47&gt;0,'3 pr-2'!AA48,0)</f>
        <v>283503.94</v>
      </c>
      <c r="Q47" s="1296">
        <f>IF($S$9&gt;0,'3 pr-2'!AB48,0)</f>
        <v>0</v>
      </c>
      <c r="R47" s="1361">
        <f>SUM('3 pr-2'!AH48)</f>
        <v>42583</v>
      </c>
      <c r="S47" s="1366">
        <f>SUMIF(Lapas4!$A$12:$A$299,C47,Lapas4!$H$12:$H$300)</f>
        <v>42583</v>
      </c>
      <c r="T47" s="191">
        <f>IF((YEAR(R47)-YEAR(S47))=0,0,YEAR(R47)-YEAR(S47))</f>
        <v>0</v>
      </c>
      <c r="U47" s="257" t="str">
        <f t="shared" si="7"/>
        <v>–</v>
      </c>
    </row>
    <row r="48" spans="1:21" ht="49.5" thickBot="1" x14ac:dyDescent="0.3">
      <c r="A48" s="181" t="str">
        <f>CONCATENATE('3 pr-2'!A49)</f>
        <v>1.1.1.4.3</v>
      </c>
      <c r="B48" s="1359" t="str">
        <f>CONCATENATE('3 pr-2'!B49)</f>
        <v>R01-9903-290000-1143</v>
      </c>
      <c r="C48" s="247" t="str">
        <f>CONCATENATE('ketv. 2'!B48)</f>
        <v>07.1.1-CPVA-R-903-11-0002</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92" t="str">
        <f>CONCATENATE('3 pr-2'!J49)</f>
        <v>ITI</v>
      </c>
      <c r="K48" s="1296">
        <f>IF(S48&gt;0,'3 pr-2'!L49,0)</f>
        <v>343507</v>
      </c>
      <c r="L48" s="1296">
        <f>IF(S48&gt;0,'3 pr-2'!O49,0)</f>
        <v>25763.03</v>
      </c>
      <c r="M48" s="1296">
        <f>IF(S48&gt;0,'3 pr-2'!R49,0)</f>
        <v>25763.02</v>
      </c>
      <c r="N48" s="1296">
        <f>IF(S48&gt;0,'3 pr-2'!U49,0)</f>
        <v>0</v>
      </c>
      <c r="O48" s="1296">
        <f>IF(S48&gt;0,'3 pr-2'!X49,0)</f>
        <v>0</v>
      </c>
      <c r="P48" s="1296">
        <f>IF(S48&gt;0,'3 pr-2'!AA49,0)</f>
        <v>291980.95</v>
      </c>
      <c r="Q48" s="1296">
        <f>IF($S$9&gt;0,'3 pr-2'!AB49,0)</f>
        <v>0</v>
      </c>
      <c r="R48" s="1361">
        <f>SUM('3 pr-2'!AH49)</f>
        <v>42552</v>
      </c>
      <c r="S48" s="1366">
        <f>SUMIF(Lapas4!$A$12:$A$299,C48,Lapas4!$H$12:$H$300)</f>
        <v>42580</v>
      </c>
      <c r="T48" s="191">
        <f>IF((YEAR(R48)-YEAR(S48))=0,0,YEAR(R48)-YEAR(S48))</f>
        <v>0</v>
      </c>
      <c r="U48" s="257">
        <f t="shared" si="7"/>
        <v>-0.92054794520547845</v>
      </c>
    </row>
    <row r="49" spans="1:21" ht="36" customHeight="1" thickBot="1" x14ac:dyDescent="0.3">
      <c r="A49" s="326" t="str">
        <f>CONCATENATE('3 pr-2'!A50)</f>
        <v>1.1.1.5</v>
      </c>
      <c r="B49" s="2025" t="str">
        <f>CONCATENATE('3 pr-2'!B50)</f>
        <v xml:space="preserve">Priemonė:
Geriamojo vandens tiekimo ir nuotekų tvarkymo sistemų renovavimas ir plėtra, įmonių valdymo tobulinimas </v>
      </c>
      <c r="C49" s="2026"/>
      <c r="D49" s="2026"/>
      <c r="E49" s="2026"/>
      <c r="F49" s="2026"/>
      <c r="G49" s="2026"/>
      <c r="H49" s="2026"/>
      <c r="I49" s="2026"/>
      <c r="J49" s="2027"/>
      <c r="K49" s="1293">
        <f t="shared" ref="K49:Q49" si="11">SUM(K50:K54)</f>
        <v>16378428.970000001</v>
      </c>
      <c r="L49" s="1293">
        <f t="shared" si="11"/>
        <v>0</v>
      </c>
      <c r="M49" s="1293">
        <f t="shared" si="11"/>
        <v>0</v>
      </c>
      <c r="N49" s="1293">
        <f t="shared" si="11"/>
        <v>7458036.4000000004</v>
      </c>
      <c r="O49" s="1293">
        <f t="shared" si="11"/>
        <v>0</v>
      </c>
      <c r="P49" s="1293">
        <f t="shared" si="11"/>
        <v>8920392.5700000003</v>
      </c>
      <c r="Q49" s="1293">
        <f t="shared" si="11"/>
        <v>0</v>
      </c>
      <c r="R49" s="1340"/>
      <c r="S49" s="1341"/>
      <c r="T49" s="398"/>
      <c r="U49" s="399"/>
    </row>
    <row r="50" spans="1:21" ht="49.5" thickBot="1" x14ac:dyDescent="0.3">
      <c r="A50" s="181" t="str">
        <f>CONCATENATE('3 pr-2'!A51)</f>
        <v>1.1.1.5.1</v>
      </c>
      <c r="B50" s="1359" t="str">
        <f>CONCATENATE('3 pr-2'!B51)</f>
        <v>R01-0014-060700-1151</v>
      </c>
      <c r="C50" s="247" t="str">
        <f>CONCATENATE('ketv. 2'!B50)</f>
        <v>05.3.2-APVA-R-014-11-0001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92" t="str">
        <f>CONCATENATE('3 pr-2'!J51)</f>
        <v>ITI</v>
      </c>
      <c r="K50" s="1296">
        <f>IF(S50&gt;0,'3 pr-2'!L51,0)</f>
        <v>2477103.23</v>
      </c>
      <c r="L50" s="1296">
        <f>IF(S50&gt;0,'3 pr-2'!O51,0)</f>
        <v>0</v>
      </c>
      <c r="M50" s="1296">
        <f>IF(S50&gt;0,'3 pr-2'!R51,0)</f>
        <v>0</v>
      </c>
      <c r="N50" s="1296">
        <f>IF(S50&gt;0,'3 pr-2'!U51,0)</f>
        <v>862874.97</v>
      </c>
      <c r="O50" s="1296">
        <f>IF(S50&gt;0,'3 pr-2'!X51,0)</f>
        <v>0</v>
      </c>
      <c r="P50" s="1296">
        <f>IF(S50&gt;0,'3 pr-2'!AA51,0)</f>
        <v>1614228.26</v>
      </c>
      <c r="Q50" s="1296">
        <f>IF($S$9&gt;0,'3 pr-2'!AB51,0)</f>
        <v>0</v>
      </c>
      <c r="R50" s="1361">
        <f>SUM('3 pr-2'!AH51)</f>
        <v>42674</v>
      </c>
      <c r="S50" s="1366">
        <f>SUMIF(Lapas4!$A$12:$A$299,C50,Lapas4!$H$12:$H$300)</f>
        <v>42671</v>
      </c>
      <c r="T50" s="191">
        <f>IF((YEAR(R50)-YEAR(S50))=0,0,YEAR(R50)-YEAR(S50))</f>
        <v>0</v>
      </c>
      <c r="U50" s="647" t="str">
        <f t="shared" si="7"/>
        <v>–</v>
      </c>
    </row>
    <row r="51" spans="1:21" ht="49.5" thickBot="1" x14ac:dyDescent="0.3">
      <c r="A51" s="181" t="str">
        <f>CONCATENATE('3 pr-2'!A52)</f>
        <v>1.1.1.5.2.</v>
      </c>
      <c r="B51" s="1359" t="str">
        <f>CONCATENATE('3 pr-2'!B52)</f>
        <v>R01-0014-060750-1152</v>
      </c>
      <c r="C51" s="247" t="str">
        <f>CONCATENATE('ketv. 2'!B51)</f>
        <v>05.3.2-APVA-R-014-11-0002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92" t="str">
        <f>CONCATENATE('3 pr-2'!J52)</f>
        <v>ITI</v>
      </c>
      <c r="K51" s="1296">
        <f>IF(S51&gt;0,'3 pr-2'!L52,0)</f>
        <v>5706088</v>
      </c>
      <c r="L51" s="1296">
        <f>IF(S51&gt;0,'3 pr-2'!O52,0)</f>
        <v>0</v>
      </c>
      <c r="M51" s="1296">
        <f>IF(S51&gt;0,'3 pr-2'!R52,0)</f>
        <v>0</v>
      </c>
      <c r="N51" s="1296">
        <f>IF(S51&gt;0,'3 pr-2'!U52,0)</f>
        <v>3009103.69</v>
      </c>
      <c r="O51" s="1296">
        <f>IF(S51&gt;0,'3 pr-2'!X52,0)</f>
        <v>0</v>
      </c>
      <c r="P51" s="1296">
        <f>IF(S51&gt;0,'3 pr-2'!AA52,0)</f>
        <v>2696984.31</v>
      </c>
      <c r="Q51" s="1296">
        <f>IF($S$9&gt;0,'3 pr-2'!AB52,0)</f>
        <v>0</v>
      </c>
      <c r="R51" s="1361">
        <f>SUM('3 pr-2'!AH52)</f>
        <v>42704</v>
      </c>
      <c r="S51" s="1366">
        <f>SUMIF(Lapas4!$A$12:$A$299,C51,Lapas4!$H$12:$H$300)</f>
        <v>42674</v>
      </c>
      <c r="T51" s="191">
        <f>IF((YEAR(R51)-YEAR(S51))=0,0,YEAR(R51)-YEAR(S51))</f>
        <v>0</v>
      </c>
      <c r="U51" s="647" t="str">
        <f t="shared" si="7"/>
        <v>–</v>
      </c>
    </row>
    <row r="52" spans="1:21" ht="49.5" thickBot="1" x14ac:dyDescent="0.3">
      <c r="A52" s="181" t="str">
        <f>CONCATENATE('3 pr-2'!A53)</f>
        <v>1.1.1.5.3</v>
      </c>
      <c r="B52" s="1359" t="str">
        <f>CONCATENATE('3 pr-2'!B53)</f>
        <v>R01-0014-070650-1153</v>
      </c>
      <c r="C52" s="247" t="str">
        <f>CONCATENATE('ketv. 2'!B52)</f>
        <v>05.3.2-APVA-R-014-11-0004</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92" t="str">
        <f>CONCATENATE('3 pr-2'!J53)</f>
        <v>-</v>
      </c>
      <c r="K52" s="1296">
        <f>IF(S52&gt;0,'3 pr-2'!L53,0)</f>
        <v>1437425.74</v>
      </c>
      <c r="L52" s="1296">
        <f>IF(S52&gt;0,'3 pr-2'!O53,0)</f>
        <v>0</v>
      </c>
      <c r="M52" s="1296">
        <f>IF(S52&gt;0,'3 pr-2'!R53,0)</f>
        <v>0</v>
      </c>
      <c r="N52" s="1296">
        <f>IF(S52&gt;0,'3 pr-2'!U53,0)</f>
        <v>641323.74</v>
      </c>
      <c r="O52" s="1296">
        <f>IF(S52&gt;0,'3 pr-2'!X53,0)</f>
        <v>0</v>
      </c>
      <c r="P52" s="1296">
        <f>IF(S52&gt;0,'3 pr-2'!AA53,0)</f>
        <v>796102</v>
      </c>
      <c r="Q52" s="1296">
        <f>IF($S$9&gt;0,'3 pr-2'!AB53,0)</f>
        <v>0</v>
      </c>
      <c r="R52" s="1361">
        <f>SUM('3 pr-2'!AH53)</f>
        <v>42734</v>
      </c>
      <c r="S52" s="1366">
        <f>SUMIF(Lapas4!$A$12:$A$299,C52,Lapas4!$H$12:$H$300)</f>
        <v>42734</v>
      </c>
      <c r="T52" s="191">
        <f>IF((YEAR(R52)-YEAR(S52))=0,0,YEAR(R52)-YEAR(S52))</f>
        <v>0</v>
      </c>
      <c r="U52" s="647" t="str">
        <f t="shared" si="7"/>
        <v>–</v>
      </c>
    </row>
    <row r="53" spans="1:21" ht="49.5" thickBot="1" x14ac:dyDescent="0.3">
      <c r="A53" s="181" t="str">
        <f>CONCATENATE('3 pr-2'!A54)</f>
        <v>1.1.1.5.4.</v>
      </c>
      <c r="B53" s="1359" t="str">
        <f>CONCATENATE('3 pr-2'!B54)</f>
        <v>R01-0014-060700-1154</v>
      </c>
      <c r="C53" s="247" t="str">
        <f>CONCATENATE('ketv. 2'!B53)</f>
        <v>05.3.2-APVA-R-014-11-0003</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92" t="str">
        <f>CONCATENATE('3 pr-2'!J54)</f>
        <v>-</v>
      </c>
      <c r="K53" s="1296">
        <f>IF(S53&gt;0,'3 pr-2'!L54,0)</f>
        <v>5186812</v>
      </c>
      <c r="L53" s="1296">
        <f>IF(S53&gt;0,'3 pr-2'!O54,0)</f>
        <v>0</v>
      </c>
      <c r="M53" s="1296">
        <f>IF(S53&gt;0,'3 pr-2'!R54,0)</f>
        <v>0</v>
      </c>
      <c r="N53" s="1296">
        <f>IF(S53&gt;0,'3 pr-2'!U54,0)</f>
        <v>2294209</v>
      </c>
      <c r="O53" s="1296">
        <f>IF(S53&gt;0,'3 pr-2'!X54,0)</f>
        <v>0</v>
      </c>
      <c r="P53" s="1296">
        <f>IF(S53&gt;0,'3 pr-2'!AA54,0)</f>
        <v>2892603</v>
      </c>
      <c r="Q53" s="1296">
        <f>IF($S$9&gt;0,'3 pr-2'!AB54,0)</f>
        <v>0</v>
      </c>
      <c r="R53" s="1361">
        <f>SUM('3 pr-2'!AH54)</f>
        <v>42705</v>
      </c>
      <c r="S53" s="1366">
        <f>SUMIF(Lapas4!$A$12:$A$299,C53,Lapas4!$H$12:$H$300)</f>
        <v>42682</v>
      </c>
      <c r="T53" s="191">
        <f>IF((YEAR(R53)-YEAR(S53))=0,0,YEAR(R53)-YEAR(S53))</f>
        <v>0</v>
      </c>
      <c r="U53" s="647" t="str">
        <f t="shared" si="7"/>
        <v>–</v>
      </c>
    </row>
    <row r="54" spans="1:21" ht="49.5" thickBot="1" x14ac:dyDescent="0.3">
      <c r="A54" s="181" t="str">
        <f>CONCATENATE('3 pr-2'!A55)</f>
        <v>1.1.1.5.5.</v>
      </c>
      <c r="B54" s="1359" t="str">
        <f>CONCATENATE('3 pr-2'!B55)</f>
        <v>R01-0014-060750-1155</v>
      </c>
      <c r="C54" s="247" t="str">
        <f>CONCATENATE('ketv. 2'!B54)</f>
        <v>05.3.2-APVA-R-014-11-0005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92" t="str">
        <f>CONCATENATE('3 pr-2'!J55)</f>
        <v>-</v>
      </c>
      <c r="K54" s="1296">
        <f>IF(S54&gt;0,'3 pr-2'!L55,0)</f>
        <v>1571000</v>
      </c>
      <c r="L54" s="1296">
        <f>IF(S54&gt;0,'3 pr-2'!O55,0)</f>
        <v>0</v>
      </c>
      <c r="M54" s="1296">
        <f>IF(S54&gt;0,'3 pr-2'!R55,0)</f>
        <v>0</v>
      </c>
      <c r="N54" s="1296">
        <f>IF(S54&gt;0,'3 pr-2'!U55,0)</f>
        <v>650525</v>
      </c>
      <c r="O54" s="1296">
        <f>IF(S54&gt;0,'3 pr-2'!X55,0)</f>
        <v>0</v>
      </c>
      <c r="P54" s="1296">
        <f>IF(S54&gt;0,'3 pr-2'!AA55,0)</f>
        <v>920475</v>
      </c>
      <c r="Q54" s="1296">
        <f>IF($S$9&gt;0,'3 pr-2'!AB55,0)</f>
        <v>0</v>
      </c>
      <c r="R54" s="1361">
        <f>SUM('3 pr-2'!AH55)</f>
        <v>42919</v>
      </c>
      <c r="S54" s="1366">
        <f>SUMIF(Lapas4!$A$12:$A$299,C54,Lapas4!$H$12:$H$300)</f>
        <v>42919</v>
      </c>
      <c r="T54" s="191">
        <f>IF((YEAR(R54)-YEAR(S54))=0,0,YEAR(R54)-YEAR(S54))</f>
        <v>0</v>
      </c>
      <c r="U54" s="647" t="str">
        <f t="shared" si="7"/>
        <v>–</v>
      </c>
    </row>
    <row r="55" spans="1:21" ht="33.75" customHeight="1" thickBot="1" x14ac:dyDescent="0.3">
      <c r="A55" s="326" t="str">
        <f>CONCATENATE('3 pr-2'!A56)</f>
        <v>1.1.1.6</v>
      </c>
      <c r="B55" s="2025" t="str">
        <f>CONCATENATE('3 pr-2'!B56)</f>
        <v>Priemonė:
Paviršinių nuotekų sistemų tvarkymas</v>
      </c>
      <c r="C55" s="2026"/>
      <c r="D55" s="2026"/>
      <c r="E55" s="2026"/>
      <c r="F55" s="2026"/>
      <c r="G55" s="2026"/>
      <c r="H55" s="2026"/>
      <c r="I55" s="2026"/>
      <c r="J55" s="2027"/>
      <c r="K55" s="1293">
        <f t="shared" ref="K55:Q55" si="12">SUM(K56)</f>
        <v>3999404.09</v>
      </c>
      <c r="L55" s="1293">
        <f t="shared" si="12"/>
        <v>0</v>
      </c>
      <c r="M55" s="1293">
        <f t="shared" si="12"/>
        <v>0</v>
      </c>
      <c r="N55" s="1293">
        <f t="shared" si="12"/>
        <v>599910.61</v>
      </c>
      <c r="O55" s="1293">
        <f t="shared" si="12"/>
        <v>0</v>
      </c>
      <c r="P55" s="1293">
        <f t="shared" si="12"/>
        <v>3399493.48</v>
      </c>
      <c r="Q55" s="1293">
        <f t="shared" si="12"/>
        <v>0</v>
      </c>
      <c r="R55" s="1340"/>
      <c r="S55" s="1341"/>
      <c r="T55" s="398"/>
      <c r="U55" s="399"/>
    </row>
    <row r="56" spans="1:21" ht="49.5" thickBot="1" x14ac:dyDescent="0.3">
      <c r="A56" s="181" t="str">
        <f>CONCATENATE('3 pr-2'!A57)</f>
        <v>1.1.1.6.1</v>
      </c>
      <c r="B56" s="1359" t="str">
        <f>CONCATENATE('3 pr-2'!B57)</f>
        <v>R01-0007-080000-1161</v>
      </c>
      <c r="C56" s="247" t="str">
        <f>CONCATENATE('ketv. 2'!B56)</f>
        <v>05.1.1-APVA-R-007-11-0001</v>
      </c>
      <c r="D56" s="182" t="str">
        <f>CONCATENATE('3 pr-2'!D57)</f>
        <v>Paviršinių nuotekų sistemų tvarkymas Alytaus mieste</v>
      </c>
      <c r="E56" s="182" t="str">
        <f>CONCATENATE('3 pr-2'!E57)</f>
        <v>UAB “Dzūkijos vandenys“</v>
      </c>
      <c r="F56" s="182" t="str">
        <f>CONCATENATE('3 pr-2'!F57)</f>
        <v>Lietuvos Respublikos aplinkos ministerija</v>
      </c>
      <c r="G56" s="182" t="str">
        <f>CONCATENATE('3 pr-2'!G57)</f>
        <v>Alytaus m. sav.</v>
      </c>
      <c r="H56" s="182" t="str">
        <f>CONCATENATE('3 pr-2'!H57)</f>
        <v>05.1.1-APVA-R-007</v>
      </c>
      <c r="I56" s="182" t="str">
        <f>CONCATENATE('3 pr-2'!I57)</f>
        <v>R</v>
      </c>
      <c r="J56" s="192" t="str">
        <f>CONCATENATE('3 pr-2'!J57)</f>
        <v>-</v>
      </c>
      <c r="K56" s="1296">
        <f>IF(S56&gt;0,'3 pr-2'!L57,0)</f>
        <v>3999404.09</v>
      </c>
      <c r="L56" s="1296">
        <f>IF(S56&gt;0,'3 pr-2'!O57,0)</f>
        <v>0</v>
      </c>
      <c r="M56" s="1296">
        <f>IF(S56&gt;0,'3 pr-2'!R57,0)</f>
        <v>0</v>
      </c>
      <c r="N56" s="1296">
        <f>IF(S56&gt;0,'3 pr-2'!U57,0)</f>
        <v>599910.61</v>
      </c>
      <c r="O56" s="1296">
        <f>IF(S56&gt;0,'3 pr-2'!X57,0)</f>
        <v>0</v>
      </c>
      <c r="P56" s="1296">
        <f>IF(S56&gt;0,'3 pr-2'!AA57,0)</f>
        <v>3399493.48</v>
      </c>
      <c r="Q56" s="1296">
        <f>IF($S$9&gt;0,'3 pr-2'!AB57,0)</f>
        <v>0</v>
      </c>
      <c r="R56" s="1361">
        <f>SUM('3 pr-2'!AH57)</f>
        <v>42726</v>
      </c>
      <c r="S56" s="1366">
        <f>SUMIF(Lapas4!$A$12:$A$299,C56,Lapas4!$H$12:$H$300)</f>
        <v>42726</v>
      </c>
      <c r="T56" s="191">
        <f>IF((YEAR(R56)-YEAR(S56))=0,0,YEAR(R56)-YEAR(S56))</f>
        <v>0</v>
      </c>
      <c r="U56" s="647" t="str">
        <f t="shared" si="7"/>
        <v>–</v>
      </c>
    </row>
    <row r="57" spans="1:21" ht="35.25" customHeight="1" thickBot="1" x14ac:dyDescent="0.3">
      <c r="A57" s="326" t="str">
        <f>CONCATENATE('3 pr-2'!A58)</f>
        <v>1.1.1.7</v>
      </c>
      <c r="B57" s="2025" t="str">
        <f>CONCATENATE('3 pr-2'!B58)</f>
        <v>Priemonė:
Savivaldybes jungiančių turizmo trasų ir turizmo maršrutų informacinės infrastruktūros plėtra</v>
      </c>
      <c r="C57" s="2026"/>
      <c r="D57" s="2026"/>
      <c r="E57" s="2026"/>
      <c r="F57" s="2026"/>
      <c r="G57" s="2026"/>
      <c r="H57" s="2026"/>
      <c r="I57" s="2026"/>
      <c r="J57" s="2027"/>
      <c r="K57" s="1293">
        <f t="shared" ref="K57:Q57" si="13">SUM(K58:K60)</f>
        <v>496329.5294117647</v>
      </c>
      <c r="L57" s="1293">
        <f t="shared" si="13"/>
        <v>74449.429411764708</v>
      </c>
      <c r="M57" s="1293">
        <f t="shared" si="13"/>
        <v>0</v>
      </c>
      <c r="N57" s="1293">
        <f t="shared" si="13"/>
        <v>0</v>
      </c>
      <c r="O57" s="1293">
        <f t="shared" si="13"/>
        <v>0</v>
      </c>
      <c r="P57" s="1293">
        <f t="shared" si="13"/>
        <v>421880.1</v>
      </c>
      <c r="Q57" s="1293">
        <f t="shared" si="13"/>
        <v>0</v>
      </c>
      <c r="R57" s="1340"/>
      <c r="S57" s="1341"/>
      <c r="T57" s="398"/>
      <c r="U57" s="399"/>
    </row>
    <row r="58" spans="1:21" ht="37.5" thickBot="1" x14ac:dyDescent="0.3">
      <c r="A58" s="181" t="str">
        <f>CONCATENATE('3 pr-2'!A59)</f>
        <v>1.1.1.7.1</v>
      </c>
      <c r="B58" s="1359" t="str">
        <f>CONCATENATE('3 pr-2'!B59)</f>
        <v>R01-8821-420000-1171</v>
      </c>
      <c r="C58" s="247" t="str">
        <f>CONCATENATE('ketv. 2'!B58)</f>
        <v>05.4.1-LVPA-R-821-11-0002</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92" t="str">
        <f>CONCATENATE('3 pr-2'!J59)</f>
        <v>-</v>
      </c>
      <c r="K58" s="1296">
        <f>IF(S58&gt;0,'3 pr-2'!L59,0)</f>
        <v>208223.52941176473</v>
      </c>
      <c r="L58" s="1296">
        <f>IF(S58&gt;0,'3 pr-2'!O59,0)</f>
        <v>31233.529411764706</v>
      </c>
      <c r="M58" s="1296">
        <f>IF(S58&gt;0,'3 pr-2'!R59,0)</f>
        <v>0</v>
      </c>
      <c r="N58" s="1296">
        <f>IF(S58&gt;0,'3 pr-2'!U59,0)</f>
        <v>0</v>
      </c>
      <c r="O58" s="1296">
        <f>IF(S58&gt;0,'3 pr-2'!X59,0)</f>
        <v>0</v>
      </c>
      <c r="P58" s="1296">
        <f>IF(S58&gt;0,'3 pr-2'!AA59,0)</f>
        <v>176990</v>
      </c>
      <c r="Q58" s="1296">
        <f>IF($S$9&gt;0,'3 pr-2'!AB59,0)</f>
        <v>0</v>
      </c>
      <c r="R58" s="1361">
        <f>SUM('3 pr-2'!AH59)</f>
        <v>42755</v>
      </c>
      <c r="S58" s="1366">
        <f>SUMIF(Lapas4!$A$12:$A$299,C58,Lapas4!$H$12:$H$300)</f>
        <v>42755</v>
      </c>
      <c r="T58" s="191">
        <f>IF((YEAR(R58)-YEAR(S58))=0,0,YEAR(R58)-YEAR(S58))</f>
        <v>0</v>
      </c>
      <c r="U58" s="647" t="str">
        <f t="shared" si="7"/>
        <v>–</v>
      </c>
    </row>
    <row r="59" spans="1:21" ht="49.5" thickBot="1" x14ac:dyDescent="0.3">
      <c r="A59" s="181" t="str">
        <f>CONCATENATE('3 pr-2'!A60)</f>
        <v>1.1.1.7.2</v>
      </c>
      <c r="B59" s="1359" t="str">
        <f>CONCATENATE('3 pr-2'!B60)</f>
        <v>R01-8821-420000-1172</v>
      </c>
      <c r="C59" s="247" t="str">
        <f>CONCATENATE('ketv. 2'!B59)</f>
        <v>05.4.1-LVPA-R-821-11-0001</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92" t="str">
        <f>CONCATENATE('3 pr-2'!J60)</f>
        <v>-</v>
      </c>
      <c r="K59" s="1296">
        <f>IF(S59&gt;0,'3 pr-2'!L60,0)</f>
        <v>288106</v>
      </c>
      <c r="L59" s="1296">
        <f>IF(S59&gt;0,'3 pr-2'!O60,0)</f>
        <v>43215.9</v>
      </c>
      <c r="M59" s="1296">
        <f>IF(S59&gt;0,'3 pr-2'!R60,0)</f>
        <v>0</v>
      </c>
      <c r="N59" s="1296">
        <f>IF(S59&gt;0,'3 pr-2'!U60,0)</f>
        <v>0</v>
      </c>
      <c r="O59" s="1296">
        <f>IF(S59&gt;0,'3 pr-2'!X60,0)</f>
        <v>0</v>
      </c>
      <c r="P59" s="1296">
        <f>IF(S59&gt;0,'3 pr-2'!AA60,0)</f>
        <v>244890.1</v>
      </c>
      <c r="Q59" s="1296">
        <f>IF($S$9&gt;0,'3 pr-2'!AB60,0)</f>
        <v>0</v>
      </c>
      <c r="R59" s="1361">
        <f>SUM('3 pr-2'!AH60)</f>
        <v>42706</v>
      </c>
      <c r="S59" s="1366">
        <f>SUMIF(Lapas4!$A$12:$A$299,C59,Lapas4!$H$12:$H$300)</f>
        <v>42706</v>
      </c>
      <c r="T59" s="191">
        <f>IF((YEAR(R59)-YEAR(S59))=0,0,YEAR(R59)-YEAR(S59))</f>
        <v>0</v>
      </c>
      <c r="U59" s="647" t="str">
        <f t="shared" si="7"/>
        <v>–</v>
      </c>
    </row>
    <row r="60" spans="1:21" ht="49.5" thickBot="1" x14ac:dyDescent="0.3">
      <c r="A60" s="181" t="str">
        <f>CONCATENATE('3 pr-2'!A61)</f>
        <v>1.1.1.7.3</v>
      </c>
      <c r="B60" s="1359" t="str">
        <f>CONCATENATE('3 pr-2'!B61)</f>
        <v>R01-8821-420000-1173</v>
      </c>
      <c r="C60" s="247" t="str">
        <f>CONCATENATE('ketv. 2'!B60)</f>
        <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92" t="str">
        <f>CONCATENATE('3 pr-2'!J61)</f>
        <v>-</v>
      </c>
      <c r="K60" s="1296">
        <f>IF(S60&gt;0,'3 pr-2'!L61,0)</f>
        <v>0</v>
      </c>
      <c r="L60" s="1296">
        <f>IF(S60&gt;0,'3 pr-2'!O61,0)</f>
        <v>0</v>
      </c>
      <c r="M60" s="1296">
        <f>IF(S60&gt;0,'3 pr-2'!R61,0)</f>
        <v>0</v>
      </c>
      <c r="N60" s="1296">
        <f>IF(S60&gt;0,'3 pr-2'!U61,0)</f>
        <v>0</v>
      </c>
      <c r="O60" s="1296">
        <f>IF(S60&gt;0,'3 pr-2'!X61,0)</f>
        <v>0</v>
      </c>
      <c r="P60" s="1296">
        <f>IF(S60&gt;0,'3 pr-2'!AA61,0)</f>
        <v>0</v>
      </c>
      <c r="Q60" s="1296">
        <f>IF($S$9&gt;0,'3 pr-2'!AB61,0)</f>
        <v>0</v>
      </c>
      <c r="R60" s="1361">
        <f>SUM('3 pr-2'!AH61)</f>
        <v>43553</v>
      </c>
      <c r="S60" s="1366"/>
      <c r="T60" s="191"/>
      <c r="U60" s="647" t="str">
        <f t="shared" si="7"/>
        <v>–</v>
      </c>
    </row>
    <row r="61" spans="1:21" ht="29.25" customHeight="1" thickBot="1" x14ac:dyDescent="0.3">
      <c r="A61" s="326" t="str">
        <f>CONCATENATE('3 pr-2'!A62)</f>
        <v>1.1.1.8</v>
      </c>
      <c r="B61" s="2025" t="str">
        <f>CONCATENATE('3 pr-2'!B62)</f>
        <v>Priemonė:
Modernizuoti savivaldybių kultūros infrastruktūrą</v>
      </c>
      <c r="C61" s="2026"/>
      <c r="D61" s="2026"/>
      <c r="E61" s="2026"/>
      <c r="F61" s="2026"/>
      <c r="G61" s="2026"/>
      <c r="H61" s="2026"/>
      <c r="I61" s="2026"/>
      <c r="J61" s="2027"/>
      <c r="K61" s="1293">
        <f t="shared" ref="K61:Q61" si="14">SUM(K62:K65)</f>
        <v>1972835.5100000002</v>
      </c>
      <c r="L61" s="1293">
        <f t="shared" si="14"/>
        <v>422270.99</v>
      </c>
      <c r="M61" s="1293">
        <f t="shared" si="14"/>
        <v>0</v>
      </c>
      <c r="N61" s="1293">
        <f t="shared" si="14"/>
        <v>0</v>
      </c>
      <c r="O61" s="1293">
        <f t="shared" si="14"/>
        <v>352400.82</v>
      </c>
      <c r="P61" s="1293">
        <f t="shared" si="14"/>
        <v>1198163.7</v>
      </c>
      <c r="Q61" s="1293">
        <f t="shared" si="14"/>
        <v>0</v>
      </c>
      <c r="R61" s="1340"/>
      <c r="S61" s="1341"/>
      <c r="T61" s="398"/>
      <c r="U61" s="399"/>
    </row>
    <row r="62" spans="1:21" ht="49.5" thickBot="1" x14ac:dyDescent="0.3">
      <c r="A62" s="181" t="str">
        <f>CONCATENATE('3 pr-2'!A63)</f>
        <v>1.1.1.8.1</v>
      </c>
      <c r="B62" s="1359" t="str">
        <f>CONCATENATE('3 pr-2'!B63)</f>
        <v>R01-3305-330000-1181</v>
      </c>
      <c r="C62" s="247" t="str">
        <f>CONCATENATE('ketv. 2'!B62)</f>
        <v>07.1.1-CPVA-R-305-11-0001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92" t="str">
        <f>CONCATENATE('3 pr-2'!J63)</f>
        <v>ITI</v>
      </c>
      <c r="K62" s="1296">
        <f>IF(S62&gt;0,'3 pr-2'!L63,0)</f>
        <v>352401</v>
      </c>
      <c r="L62" s="1296">
        <f>IF(S62&gt;0,'3 pr-2'!O63,0)</f>
        <v>52860.15</v>
      </c>
      <c r="M62" s="1296">
        <f>IF(S62&gt;0,'3 pr-2'!R63,0)</f>
        <v>0</v>
      </c>
      <c r="N62" s="1296">
        <f>IF(S62&gt;0,'3 pr-2'!U63,0)</f>
        <v>0</v>
      </c>
      <c r="O62" s="1296">
        <f>IF(S62&gt;0,'3 pr-2'!X63,0)</f>
        <v>0</v>
      </c>
      <c r="P62" s="1296">
        <f>IF(S62&gt;0,'3 pr-2'!AA63,0)</f>
        <v>299540.84999999998</v>
      </c>
      <c r="Q62" s="1296">
        <f>IF($S$9&gt;0,'3 pr-2'!AB63,0)</f>
        <v>0</v>
      </c>
      <c r="R62" s="1361">
        <f>SUM('3 pr-2'!AH63)</f>
        <v>42767</v>
      </c>
      <c r="S62" s="1366">
        <f>SUMIF(Lapas4!$A$12:$A$299,C62,Lapas4!$H$12:$H$300)</f>
        <v>42754</v>
      </c>
      <c r="T62" s="191">
        <f>IF((YEAR(R62)-YEAR(S62))=0,0,YEAR(R62)-YEAR(S62))</f>
        <v>0</v>
      </c>
      <c r="U62" s="647" t="str">
        <f t="shared" si="7"/>
        <v>–</v>
      </c>
    </row>
    <row r="63" spans="1:21" ht="49.5" thickBot="1" x14ac:dyDescent="0.3">
      <c r="A63" s="181" t="str">
        <f>CONCATENATE('3 pr-2'!A64)</f>
        <v>1.1.1.8.2</v>
      </c>
      <c r="B63" s="1359" t="str">
        <f>CONCATENATE('3 pr-2'!B64)</f>
        <v>R01-3305-330000-1182</v>
      </c>
      <c r="C63" s="247" t="str">
        <f>CONCATENATE('ketv. 2'!B63)</f>
        <v>07.1.1-CPVA-R-305-11-0002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92" t="str">
        <f>CONCATENATE('3 pr-2'!J64)</f>
        <v>ITI</v>
      </c>
      <c r="K63" s="1296">
        <f>IF(S63&gt;0,'3 pr-2'!L64,0)</f>
        <v>783264.16</v>
      </c>
      <c r="L63" s="1296">
        <f>IF(S63&gt;0,'3 pr-2'!O64,0)</f>
        <v>131322.34</v>
      </c>
      <c r="M63" s="1296">
        <f>IF(S63&gt;0,'3 pr-2'!R64,0)</f>
        <v>0</v>
      </c>
      <c r="N63" s="1296">
        <f>IF(S63&gt;0,'3 pr-2'!U64,0)</f>
        <v>0</v>
      </c>
      <c r="O63" s="1296">
        <f>IF(S63&gt;0,'3 pr-2'!X64,0)</f>
        <v>352400.82</v>
      </c>
      <c r="P63" s="1296">
        <f>IF(S63&gt;0,'3 pr-2'!AA64,0)</f>
        <v>299541</v>
      </c>
      <c r="Q63" s="1296">
        <f>IF($S$9&gt;0,'3 pr-2'!AB64,0)</f>
        <v>0</v>
      </c>
      <c r="R63" s="1361">
        <f>SUM('3 pr-2'!AH64)</f>
        <v>42762</v>
      </c>
      <c r="S63" s="1366">
        <f>SUMIF(Lapas4!$A$12:$A$299,C63,Lapas4!$H$12:$H$300)</f>
        <v>42761</v>
      </c>
      <c r="T63" s="191">
        <f>IF((YEAR(R63)-YEAR(S63))=0,0,YEAR(R63)-YEAR(S63))</f>
        <v>0</v>
      </c>
      <c r="U63" s="647" t="str">
        <f t="shared" si="7"/>
        <v>–</v>
      </c>
    </row>
    <row r="64" spans="1:21" ht="49.5" thickBot="1" x14ac:dyDescent="0.3">
      <c r="A64" s="181" t="str">
        <f>CONCATENATE('3 pr-2'!A65)</f>
        <v>1.1.1.8.3</v>
      </c>
      <c r="B64" s="1359" t="str">
        <f>CONCATENATE('3 pr-2'!B65)</f>
        <v>R01-3305-330000-1183</v>
      </c>
      <c r="C64" s="247" t="str">
        <f>CONCATENATE('ketv. 2'!B64)</f>
        <v>07.1.1-CPVA-R-305-11-0003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92" t="str">
        <f>CONCATENATE('3 pr-2'!J65)</f>
        <v>ITI</v>
      </c>
      <c r="K64" s="1296">
        <f>IF(S64&gt;0,'3 pr-2'!L65,0)</f>
        <v>352401</v>
      </c>
      <c r="L64" s="1296">
        <f>IF(S64&gt;0,'3 pr-2'!O65,0)</f>
        <v>52860.15</v>
      </c>
      <c r="M64" s="1296">
        <f>IF(S64&gt;0,'3 pr-2'!R65,0)</f>
        <v>0</v>
      </c>
      <c r="N64" s="1296">
        <f>IF(S64&gt;0,'3 pr-2'!U65,0)</f>
        <v>0</v>
      </c>
      <c r="O64" s="1296">
        <f>IF(S64&gt;0,'3 pr-2'!X65,0)</f>
        <v>0</v>
      </c>
      <c r="P64" s="1296">
        <f>IF(S64&gt;0,'3 pr-2'!AA65,0)</f>
        <v>299540.84999999998</v>
      </c>
      <c r="Q64" s="1296">
        <f>IF($S$9&gt;0,'3 pr-2'!AB65,0)</f>
        <v>0</v>
      </c>
      <c r="R64" s="1361">
        <f>SUM('3 pr-2'!AH65)</f>
        <v>42767</v>
      </c>
      <c r="S64" s="1366">
        <f>SUMIF(Lapas4!$A$12:$A$299,C64,Lapas4!$H$12:$H$300)</f>
        <v>42762</v>
      </c>
      <c r="T64" s="191">
        <f>IF((YEAR(R64)-YEAR(S64))=0,0,YEAR(R64)-YEAR(S64))</f>
        <v>0</v>
      </c>
      <c r="U64" s="647" t="str">
        <f t="shared" si="7"/>
        <v>–</v>
      </c>
    </row>
    <row r="65" spans="1:22" ht="49.5" thickBot="1" x14ac:dyDescent="0.3">
      <c r="A65" s="181" t="str">
        <f>CONCATENATE('3 pr-2'!A66)</f>
        <v>1.1.1.8.4</v>
      </c>
      <c r="B65" s="1359" t="str">
        <f>CONCATENATE('3 pr-2'!B66)</f>
        <v>R01-3305-330200-1184</v>
      </c>
      <c r="C65" s="247" t="str">
        <f>CONCATENATE('ketv. 2'!B65)</f>
        <v>07.1.1-CPVA-R-305-11-0004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92" t="str">
        <f>CONCATENATE('3 pr-2'!J66)</f>
        <v>ITI</v>
      </c>
      <c r="K65" s="1296">
        <f>IF(S65&gt;0,'3 pr-2'!L66,0)</f>
        <v>484769.35</v>
      </c>
      <c r="L65" s="1296">
        <f>IF(S65&gt;0,'3 pr-2'!O66,0)</f>
        <v>185228.35</v>
      </c>
      <c r="M65" s="1296">
        <f>IF(S65&gt;0,'3 pr-2'!R66,0)</f>
        <v>0</v>
      </c>
      <c r="N65" s="1296">
        <f>IF(S65&gt;0,'3 pr-2'!U66,0)</f>
        <v>0</v>
      </c>
      <c r="O65" s="1296">
        <f>IF(S65&gt;0,'3 pr-2'!X66,0)</f>
        <v>0</v>
      </c>
      <c r="P65" s="1296">
        <f>IF(S65&gt;0,'3 pr-2'!AA66,0)</f>
        <v>299541</v>
      </c>
      <c r="Q65" s="1296">
        <f>IF($S$9&gt;0,'3 pr-2'!AB66,0)</f>
        <v>0</v>
      </c>
      <c r="R65" s="1361">
        <f>SUM('3 pr-2'!AH66)</f>
        <v>43097</v>
      </c>
      <c r="S65" s="1366">
        <f>SUMIF(Lapas4!$A$12:$A$299,C65,Lapas4!$H$12:$H$300)</f>
        <v>43097</v>
      </c>
      <c r="T65" s="191">
        <f>IF((YEAR(R65)-YEAR(S65))=0,0,YEAR(R65)-YEAR(S65))</f>
        <v>0</v>
      </c>
      <c r="U65" s="647" t="str">
        <f t="shared" si="7"/>
        <v>–</v>
      </c>
    </row>
    <row r="66" spans="1:22" ht="34.5" customHeight="1" thickBot="1" x14ac:dyDescent="0.3">
      <c r="A66" s="326" t="str">
        <f>CONCATENATE('3 pr-2'!A67)</f>
        <v>1.1.1.9</v>
      </c>
      <c r="B66" s="2025" t="str">
        <f>CONCATENATE('3 pr-2'!B67)</f>
        <v>Priemonė:
Aktualizuoti savivaldybių kultūros paveldo objektus</v>
      </c>
      <c r="C66" s="2026"/>
      <c r="D66" s="2026"/>
      <c r="E66" s="2026"/>
      <c r="F66" s="2026"/>
      <c r="G66" s="2026"/>
      <c r="H66" s="2026"/>
      <c r="I66" s="2026"/>
      <c r="J66" s="2027"/>
      <c r="K66" s="1293">
        <f t="shared" ref="K66:Q66" si="15">SUM(K67:K71)</f>
        <v>1487190.57</v>
      </c>
      <c r="L66" s="1293">
        <f t="shared" si="15"/>
        <v>456910.57</v>
      </c>
      <c r="M66" s="1293">
        <f t="shared" si="15"/>
        <v>0</v>
      </c>
      <c r="N66" s="1293">
        <f t="shared" si="15"/>
        <v>0</v>
      </c>
      <c r="O66" s="1293">
        <f t="shared" si="15"/>
        <v>0</v>
      </c>
      <c r="P66" s="1293">
        <f t="shared" si="15"/>
        <v>1030280</v>
      </c>
      <c r="Q66" s="1293">
        <f t="shared" si="15"/>
        <v>0</v>
      </c>
      <c r="R66" s="1340"/>
      <c r="S66" s="1341"/>
      <c r="T66" s="398"/>
      <c r="U66" s="399"/>
    </row>
    <row r="67" spans="1:22" ht="49.5" thickBot="1" x14ac:dyDescent="0.3">
      <c r="A67" s="240" t="str">
        <f>CONCATENATE('3 pr-2'!A68)</f>
        <v>1.1.1.9.1</v>
      </c>
      <c r="B67" s="1359" t="str">
        <f>CONCATENATE('3 pr-2'!B68)</f>
        <v>R01-3302-440000-1191</v>
      </c>
      <c r="C67" s="402" t="str">
        <f>CONCATENATE('ketv. 2'!B67)</f>
        <v>05.4.1-CPVA-R-302-11-0003</v>
      </c>
      <c r="D67" s="240" t="str">
        <f>CONCATENATE('3 pr-2'!D68)</f>
        <v>Buvusios sinagogos pastato Kauno g. 9A Alytuje rekonstravimas ir aplinkinės teritorijos sutvarkymas</v>
      </c>
      <c r="E67" s="240" t="str">
        <f>CONCATENATE('3 pr-2'!E68)</f>
        <v>Alytaus miesto savivaldybės administracija</v>
      </c>
      <c r="F67" s="240" t="str">
        <f>CONCATENATE('3 pr-2'!F68)</f>
        <v>Lietuvos Respublikos kultūros ministerija</v>
      </c>
      <c r="G67" s="240" t="str">
        <f>CONCATENATE('3 pr-2'!G68)</f>
        <v>Alytaus m. sav.</v>
      </c>
      <c r="H67" s="240" t="str">
        <f>CONCATENATE('3 pr-2'!H68)</f>
        <v>05.4.1-CPVA-R-302</v>
      </c>
      <c r="I67" s="240" t="str">
        <f>CONCATENATE('3 pr-2'!I68)</f>
        <v>R</v>
      </c>
      <c r="J67" s="240" t="str">
        <f>CONCATENATE('3 pr-2'!J68)</f>
        <v>ITI</v>
      </c>
      <c r="K67" s="1296">
        <f>IF(S67&gt;0,'3 pr-2'!L68,0)</f>
        <v>444560.16000000003</v>
      </c>
      <c r="L67" s="1296">
        <f>IF(S67&gt;0,'3 pr-2'!O68,0)</f>
        <v>238504.16</v>
      </c>
      <c r="M67" s="1296">
        <f>IF(S67&gt;0,'3 pr-2'!R68,0)</f>
        <v>0</v>
      </c>
      <c r="N67" s="1296">
        <f>IF(S67&gt;0,'3 pr-2'!U68,0)</f>
        <v>0</v>
      </c>
      <c r="O67" s="1296">
        <f>IF(S67&gt;0,'3 pr-2'!X68,0)</f>
        <v>0</v>
      </c>
      <c r="P67" s="1296">
        <f>IF(S67&gt;0,'3 pr-2'!AA68,0)</f>
        <v>206056</v>
      </c>
      <c r="Q67" s="1296">
        <f>IF($S$9&gt;0,'3 pr-2'!AB68,0)</f>
        <v>0</v>
      </c>
      <c r="R67" s="1370">
        <f>SUM('3 pr-2'!AH68)</f>
        <v>43220</v>
      </c>
      <c r="S67" s="1366">
        <f>SUMIF(Lapas4!$A$12:$A$299,C67,Lapas4!$H$12:$H$300)</f>
        <v>43189</v>
      </c>
      <c r="T67" s="404"/>
      <c r="U67" s="647" t="str">
        <f t="shared" si="7"/>
        <v>–</v>
      </c>
    </row>
    <row r="68" spans="1:22" ht="49.5" thickBot="1" x14ac:dyDescent="0.3">
      <c r="A68" s="182" t="str">
        <f>CONCATENATE('3 pr-2'!A69)</f>
        <v>1.1.1.9.2</v>
      </c>
      <c r="B68" s="1359" t="str">
        <f>CONCATENATE('3 pr-2'!B69)</f>
        <v>R01-3302-440000-1192</v>
      </c>
      <c r="C68" s="309" t="str">
        <f>CONCATENATE('ketv. 2'!B68)</f>
        <v>05.4.1-CPVA-R-302-11-0002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96">
        <f>IF(S68&gt;0,'3 pr-2'!L69,0)</f>
        <v>297670.41000000003</v>
      </c>
      <c r="L68" s="1296">
        <f>IF(S68&gt;0,'3 pr-2'!O69,0)</f>
        <v>91614.41</v>
      </c>
      <c r="M68" s="1296">
        <f>IF(S68&gt;0,'3 pr-2'!R69,0)</f>
        <v>0</v>
      </c>
      <c r="N68" s="1296">
        <f>IF(S68&gt;0,'3 pr-2'!U69,0)</f>
        <v>0</v>
      </c>
      <c r="O68" s="1296">
        <f>IF(S68&gt;0,'3 pr-2'!X69,0)</f>
        <v>0</v>
      </c>
      <c r="P68" s="1296">
        <f>IF(S68&gt;0,'3 pr-2'!AA69,0)</f>
        <v>206056</v>
      </c>
      <c r="Q68" s="1296">
        <f>IF($S$9&gt;0,'3 pr-2'!AB69,0)</f>
        <v>0</v>
      </c>
      <c r="R68" s="1336">
        <f>SUM('3 pr-2'!AH69)</f>
        <v>43190</v>
      </c>
      <c r="S68" s="1366">
        <f>SUMIF(Lapas4!$A$12:$A$299,C68,Lapas4!$H$12:$H$300)</f>
        <v>43189</v>
      </c>
      <c r="T68" s="216"/>
      <c r="U68" s="647" t="str">
        <f t="shared" si="7"/>
        <v>–</v>
      </c>
      <c r="V68" s="5"/>
    </row>
    <row r="69" spans="1:22" ht="49.5" thickBot="1" x14ac:dyDescent="0.3">
      <c r="A69" s="182" t="str">
        <f>CONCATENATE('3 pr-2'!A70)</f>
        <v>1.1.1.9.3</v>
      </c>
      <c r="B69" s="1359" t="str">
        <f>CONCATENATE('3 pr-2'!B70)</f>
        <v>R01-3302-440200-1193</v>
      </c>
      <c r="C69" s="309" t="str">
        <f>CONCATENATE('ketv. 2'!B69)</f>
        <v>05.4.1-CPVA-R-302-11-0001</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96">
        <f>IF(S69&gt;0,'3 pr-2'!L70,0)</f>
        <v>242419</v>
      </c>
      <c r="L69" s="1296">
        <f>IF(S69&gt;0,'3 pr-2'!O70,0)</f>
        <v>36363</v>
      </c>
      <c r="M69" s="1296">
        <f>IF(S69&gt;0,'3 pr-2'!R70,0)</f>
        <v>0</v>
      </c>
      <c r="N69" s="1296">
        <f>IF(S69&gt;0,'3 pr-2'!U70,0)</f>
        <v>0</v>
      </c>
      <c r="O69" s="1296">
        <f>IF(S69&gt;0,'3 pr-2'!X70,0)</f>
        <v>0</v>
      </c>
      <c r="P69" s="1296">
        <f>IF(S69&gt;0,'3 pr-2'!AA70,0)</f>
        <v>206056</v>
      </c>
      <c r="Q69" s="1296">
        <f>IF($S$9&gt;0,'3 pr-2'!AB70,0)</f>
        <v>0</v>
      </c>
      <c r="R69" s="1336">
        <f>SUM('3 pr-2'!AH70)</f>
        <v>43179</v>
      </c>
      <c r="S69" s="1366">
        <f>SUMIF(Lapas4!$A$12:$A$299,C69,Lapas4!$H$12:$H$300)</f>
        <v>43178</v>
      </c>
      <c r="T69" s="216"/>
      <c r="U69" s="647" t="str">
        <f t="shared" si="7"/>
        <v>–</v>
      </c>
    </row>
    <row r="70" spans="1:22" ht="49.5" thickBot="1" x14ac:dyDescent="0.3">
      <c r="A70" s="182" t="str">
        <f>CONCATENATE('3 pr-2'!A71)</f>
        <v>1.1.1.9.4</v>
      </c>
      <c r="B70" s="1359" t="str">
        <f>CONCATENATE('3 pr-2'!B71)</f>
        <v>R01-3302-440000-1194</v>
      </c>
      <c r="C70" s="309" t="str">
        <f>CONCATENATE('ketv. 2'!B70)</f>
        <v>05.4.1-CPVA-R-302-11-0004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96">
        <f>IF(S70&gt;0,'3 pr-2'!L71,0)</f>
        <v>260122</v>
      </c>
      <c r="L70" s="1296">
        <f>IF(S70&gt;0,'3 pr-2'!O71,0)</f>
        <v>54066</v>
      </c>
      <c r="M70" s="1296">
        <f>IF(S70&gt;0,'3 pr-2'!R71,0)</f>
        <v>0</v>
      </c>
      <c r="N70" s="1296">
        <f>IF(S70&gt;0,'3 pr-2'!U71,0)</f>
        <v>0</v>
      </c>
      <c r="O70" s="1296">
        <f>IF(S70&gt;0,'3 pr-2'!X71,0)</f>
        <v>0</v>
      </c>
      <c r="P70" s="1296">
        <f>IF(S70&gt;0,'3 pr-2'!AA71,0)</f>
        <v>206056</v>
      </c>
      <c r="Q70" s="1296">
        <f>IF($S$9&gt;0,'3 pr-2'!AB71,0)</f>
        <v>0</v>
      </c>
      <c r="R70" s="1336">
        <f>SUM('3 pr-2'!AH71)</f>
        <v>43190</v>
      </c>
      <c r="S70" s="1366">
        <f>SUMIF(Lapas4!$A$12:$A$299,C70,Lapas4!$H$12:$H$300)</f>
        <v>43189</v>
      </c>
      <c r="T70" s="216"/>
      <c r="U70" s="647" t="str">
        <f t="shared" si="7"/>
        <v>–</v>
      </c>
    </row>
    <row r="71" spans="1:22" ht="49.5" thickBot="1" x14ac:dyDescent="0.3">
      <c r="A71" s="259" t="str">
        <f>CONCATENATE('3 pr-2'!A72)</f>
        <v>1.1.1.9.5</v>
      </c>
      <c r="B71" s="1359" t="str">
        <f>CONCATENATE('3 pr-2'!B72)</f>
        <v>R01-3302-440000-1195</v>
      </c>
      <c r="C71" s="400" t="str">
        <f>CONCATENATE('ketv. 2'!B71)</f>
        <v>05.4.1-CPVA-R-302-11-0005</v>
      </c>
      <c r="D71" s="259" t="str">
        <f>CONCATENATE('3 pr-2'!D72)</f>
        <v>Vinco Krėvės-Mickevičiaus memorialinio muziejaus atnaujinimas</v>
      </c>
      <c r="E71" s="259" t="str">
        <f>CONCATENATE('3 pr-2'!E72)</f>
        <v>Varėnos rajono savivaldybės administracija</v>
      </c>
      <c r="F71" s="259" t="str">
        <f>CONCATENATE('3 pr-2'!F72)</f>
        <v>Lietuvos Respublikos kultūros ministerija</v>
      </c>
      <c r="G71" s="259" t="str">
        <f>CONCATENATE('3 pr-2'!G72)</f>
        <v>Varėnos r. sav.</v>
      </c>
      <c r="H71" s="259" t="str">
        <f>CONCATENATE('3 pr-2'!H72)</f>
        <v>05.4.1-CPVA-R-302</v>
      </c>
      <c r="I71" s="259" t="str">
        <f>CONCATENATE('3 pr-2'!I72)</f>
        <v>R</v>
      </c>
      <c r="J71" s="259" t="str">
        <f>CONCATENATE('3 pr-2'!J72)</f>
        <v>-</v>
      </c>
      <c r="K71" s="1296">
        <f>IF(S71&gt;0,'3 pr-2'!L72,0)</f>
        <v>242419</v>
      </c>
      <c r="L71" s="1296">
        <f>IF(S71&gt;0,'3 pr-2'!O72,0)</f>
        <v>36363</v>
      </c>
      <c r="M71" s="1296">
        <f>IF(S71&gt;0,'3 pr-2'!R72,0)</f>
        <v>0</v>
      </c>
      <c r="N71" s="1296">
        <f>IF(S71&gt;0,'3 pr-2'!U72,0)</f>
        <v>0</v>
      </c>
      <c r="O71" s="1296">
        <f>IF(S71&gt;0,'3 pr-2'!X72,0)</f>
        <v>0</v>
      </c>
      <c r="P71" s="1296">
        <f>IF(S71&gt;0,'3 pr-2'!AA72,0)</f>
        <v>206056</v>
      </c>
      <c r="Q71" s="1296">
        <f>IF($S$9&gt;0,'3 pr-2'!AB72,0)</f>
        <v>0</v>
      </c>
      <c r="R71" s="1349">
        <f>SUM('3 pr-2'!AH72)</f>
        <v>43241</v>
      </c>
      <c r="S71" s="1366">
        <f>SUMIF(Lapas4!$A$12:$A$299,C71,Lapas4!$H$12:$H$300)</f>
        <v>43214</v>
      </c>
      <c r="T71" s="401"/>
      <c r="U71" s="647" t="str">
        <f t="shared" si="7"/>
        <v>–</v>
      </c>
    </row>
    <row r="72" spans="1:22" ht="39.75" customHeight="1" thickBot="1" x14ac:dyDescent="0.3">
      <c r="A72" s="261" t="str">
        <f>CONCATENATE('3 pr-2'!A73)</f>
        <v>1.1.2.</v>
      </c>
      <c r="B72" s="2022" t="str">
        <f>CONCATENATE('3 pr-2'!B73)</f>
        <v>Uždavinys:
Pagerinti darbo jėgos judėjimo galimybes gerinant susisiekimo sistemas</v>
      </c>
      <c r="C72" s="2023"/>
      <c r="D72" s="2023"/>
      <c r="E72" s="2023"/>
      <c r="F72" s="2023"/>
      <c r="G72" s="2023"/>
      <c r="H72" s="2023"/>
      <c r="I72" s="2023"/>
      <c r="J72" s="2024"/>
      <c r="K72" s="1420">
        <f t="shared" ref="K72:P72" si="16">SUM(K73+K78+K85+K91)</f>
        <v>6418739.3800000008</v>
      </c>
      <c r="L72" s="1420">
        <f t="shared" si="16"/>
        <v>1953596.9499999997</v>
      </c>
      <c r="M72" s="1420">
        <f t="shared" si="16"/>
        <v>0</v>
      </c>
      <c r="N72" s="1420">
        <f t="shared" si="16"/>
        <v>422692</v>
      </c>
      <c r="O72" s="1420">
        <f t="shared" si="16"/>
        <v>62660</v>
      </c>
      <c r="P72" s="1420">
        <f t="shared" si="16"/>
        <v>3979790.43</v>
      </c>
      <c r="Q72" s="1420">
        <f t="shared" ref="Q72" si="17">SUM(Q73+Q78+Q85+Q91)</f>
        <v>0</v>
      </c>
      <c r="R72" s="1338"/>
      <c r="S72" s="1339"/>
      <c r="T72" s="408"/>
      <c r="U72" s="239"/>
    </row>
    <row r="73" spans="1:22" ht="37.5" customHeight="1" thickBot="1" x14ac:dyDescent="0.3">
      <c r="A73" s="326" t="str">
        <f>CONCATENATE('3 pr-2'!A74)</f>
        <v>1.1.2.1</v>
      </c>
      <c r="B73" s="2025" t="str">
        <f>CONCATENATE('3 pr-2'!B74)</f>
        <v>Priemonė:
Vietinio susisiekimo viešojo transporto priemonių parko atnaujinimas</v>
      </c>
      <c r="C73" s="2026"/>
      <c r="D73" s="2026"/>
      <c r="E73" s="2026"/>
      <c r="F73" s="2026"/>
      <c r="G73" s="2026"/>
      <c r="H73" s="2026"/>
      <c r="I73" s="2026"/>
      <c r="J73" s="2027"/>
      <c r="K73" s="1293">
        <f t="shared" ref="K73:P73" si="18">SUM(K74:K77)</f>
        <v>1102944</v>
      </c>
      <c r="L73" s="1293">
        <f t="shared" si="18"/>
        <v>39406</v>
      </c>
      <c r="M73" s="1293">
        <f t="shared" si="18"/>
        <v>0</v>
      </c>
      <c r="N73" s="1293">
        <f t="shared" si="18"/>
        <v>422692</v>
      </c>
      <c r="O73" s="1293">
        <f t="shared" si="18"/>
        <v>0</v>
      </c>
      <c r="P73" s="1293">
        <f t="shared" si="18"/>
        <v>640846</v>
      </c>
      <c r="Q73" s="1293">
        <f t="shared" ref="Q73" si="19">SUM(Q74:Q77)</f>
        <v>0</v>
      </c>
      <c r="R73" s="1340"/>
      <c r="S73" s="1341"/>
      <c r="T73" s="398"/>
      <c r="U73" s="399"/>
    </row>
    <row r="74" spans="1:22" ht="49.5" thickBot="1" x14ac:dyDescent="0.3">
      <c r="A74" s="182" t="str">
        <f>CONCATENATE('3 pr-2'!A75)</f>
        <v>1.1.2.1.1</v>
      </c>
      <c r="B74" s="1359" t="str">
        <f>CONCATENATE('3 pr-2'!B75)</f>
        <v>R01-5518-100000-1211</v>
      </c>
      <c r="C74" s="309" t="str">
        <f>CONCATENATE('ketv. 2'!B74)</f>
        <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96">
        <f>IF(S74&gt;0,'3 pr-2'!L75,0)</f>
        <v>0</v>
      </c>
      <c r="L74" s="1296">
        <f>IF(S74&gt;0,'3 pr-2'!O75,0)</f>
        <v>0</v>
      </c>
      <c r="M74" s="1296">
        <f>IF(S74&gt;0,'3 pr-2'!R75,0)</f>
        <v>0</v>
      </c>
      <c r="N74" s="1296">
        <f>IF(S74&gt;0,'3 pr-2'!U75,0)</f>
        <v>0</v>
      </c>
      <c r="O74" s="1296">
        <f>IF(S74&gt;0,'3 pr-2'!X75,0)</f>
        <v>0</v>
      </c>
      <c r="P74" s="1296">
        <f>IF(S74&gt;0,'3 pr-2'!AA75,0)</f>
        <v>0</v>
      </c>
      <c r="Q74" s="1296">
        <f>IF($S$9&gt;0,'3 pr-2'!AB75,0)</f>
        <v>0</v>
      </c>
      <c r="R74" s="1336">
        <f>SUM('3 pr-2'!AH75)</f>
        <v>43646</v>
      </c>
      <c r="S74" s="1366"/>
      <c r="T74" s="182"/>
      <c r="U74" s="647" t="str">
        <f t="shared" ref="U74:U76" si="20">IF(R74-S74&lt;0,(R74-S74)/30.4166666666667,"–")</f>
        <v>–</v>
      </c>
    </row>
    <row r="75" spans="1:22" ht="49.5" thickBot="1" x14ac:dyDescent="0.3">
      <c r="A75" s="182" t="str">
        <f>CONCATENATE('3 pr-2'!A76)</f>
        <v>1.1.2.1.2</v>
      </c>
      <c r="B75" s="1359" t="str">
        <f>CONCATENATE('3 pr-2'!B76)</f>
        <v>R01-5518-100000-1212</v>
      </c>
      <c r="C75" s="309" t="str">
        <f>CONCATENATE('ketv. 2'!B75)</f>
        <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96">
        <f>IF(S75&gt;0,'3 pr-2'!L76,0)</f>
        <v>0</v>
      </c>
      <c r="L75" s="1296">
        <f>IF(S75&gt;0,'3 pr-2'!O76,0)</f>
        <v>0</v>
      </c>
      <c r="M75" s="1296">
        <f>IF(S75&gt;0,'3 pr-2'!R76,0)</f>
        <v>0</v>
      </c>
      <c r="N75" s="1296">
        <f>IF(S75&gt;0,'3 pr-2'!U76,0)</f>
        <v>0</v>
      </c>
      <c r="O75" s="1296">
        <f>IF(S75&gt;0,'3 pr-2'!X76,0)</f>
        <v>0</v>
      </c>
      <c r="P75" s="1296">
        <f>IF(S75&gt;0,'3 pr-2'!AA76,0)</f>
        <v>0</v>
      </c>
      <c r="Q75" s="1296">
        <f>IF($S$9&gt;0,'3 pr-2'!AB76,0)</f>
        <v>0</v>
      </c>
      <c r="R75" s="1336">
        <f>SUM('3 pr-2'!AH76)</f>
        <v>43455</v>
      </c>
      <c r="S75" s="1366"/>
      <c r="T75" s="182"/>
      <c r="U75" s="647" t="str">
        <f t="shared" si="20"/>
        <v>–</v>
      </c>
    </row>
    <row r="76" spans="1:22" ht="49.5" thickBot="1" x14ac:dyDescent="0.3">
      <c r="A76" s="182" t="str">
        <f>CONCATENATE('3 pr-2'!A77)</f>
        <v>1.1.2.1.3</v>
      </c>
      <c r="B76" s="1359" t="str">
        <f>CONCATENATE('3 pr-2'!B77)</f>
        <v>R01-5518-100000-1213</v>
      </c>
      <c r="C76" s="309" t="str">
        <f>CONCATENATE('ketv. 2'!B76)</f>
        <v>04.5.1-TID-R-518-11-0002</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96">
        <f>IF(S76&gt;0,'3 pr-2'!L77,0)</f>
        <v>840240</v>
      </c>
      <c r="L76" s="1296">
        <f>IF(S76&gt;0,'3 pr-2'!O77,0)</f>
        <v>0</v>
      </c>
      <c r="M76" s="1296">
        <f>IF(S76&gt;0,'3 pr-2'!R77,0)</f>
        <v>0</v>
      </c>
      <c r="N76" s="1296">
        <f>IF(S76&gt;0,'3 pr-2'!U77,0)</f>
        <v>422692</v>
      </c>
      <c r="O76" s="1296">
        <f>IF(S76&gt;0,'3 pr-2'!X77,0)</f>
        <v>0</v>
      </c>
      <c r="P76" s="1296">
        <f>IF(S76&gt;0,'3 pr-2'!AA77,0)</f>
        <v>417548</v>
      </c>
      <c r="Q76" s="1296">
        <f>IF($S$9&gt;0,'3 pr-2'!AB77,0)</f>
        <v>0</v>
      </c>
      <c r="R76" s="1336">
        <f>SUM('3 pr-2'!AH77)</f>
        <v>43343</v>
      </c>
      <c r="S76" s="1366">
        <f>SUMIF(Lapas4!$A$12:$A$299,C76,Lapas4!$H$12:$H$300)</f>
        <v>43343</v>
      </c>
      <c r="T76" s="182"/>
      <c r="U76" s="647" t="str">
        <f t="shared" si="20"/>
        <v>–</v>
      </c>
    </row>
    <row r="77" spans="1:22" ht="49.5" thickBot="1" x14ac:dyDescent="0.3">
      <c r="A77" s="259" t="str">
        <f>CONCATENATE('3 pr-2'!A78)</f>
        <v>1.1.2.1.4</v>
      </c>
      <c r="B77" s="1359" t="str">
        <f>CONCATENATE('3 pr-2'!B78)</f>
        <v>R01-5518-100000-1214</v>
      </c>
      <c r="C77" s="400" t="str">
        <f>CONCATENATE('ketv. 2'!B77)</f>
        <v>04.5.1-TID-R-518-11-0001</v>
      </c>
      <c r="D77" s="259" t="str">
        <f>CONCATENATE('3 pr-2'!D78)</f>
        <v>Ekologiškų transporto priemonių įsigijimas  Lazdijų rajono savivaldybėje</v>
      </c>
      <c r="E77" s="259" t="str">
        <f>CONCATENATE('3 pr-2'!E78)</f>
        <v>Lazdijų rajono savivaldybės administracija</v>
      </c>
      <c r="F77" s="259" t="str">
        <f>CONCATENATE('3 pr-2'!F78)</f>
        <v>Lietuvos Respublikos susisiekimo ministerija</v>
      </c>
      <c r="G77" s="259" t="str">
        <f>CONCATENATE('3 pr-2'!G78)</f>
        <v>Lazdijų r. sav.</v>
      </c>
      <c r="H77" s="259" t="str">
        <f>CONCATENATE('3 pr-2'!H78)</f>
        <v>04.5.1-TID-R-518</v>
      </c>
      <c r="I77" s="259" t="str">
        <f>CONCATENATE('3 pr-2'!I78)</f>
        <v>R</v>
      </c>
      <c r="J77" s="259" t="str">
        <f>CONCATENATE('3 pr-2'!J78)</f>
        <v>-</v>
      </c>
      <c r="K77" s="1296">
        <f>IF(S77&gt;0,'3 pr-2'!L78,0)</f>
        <v>262704</v>
      </c>
      <c r="L77" s="1296">
        <f>IF(S77&gt;0,'3 pr-2'!O78,0)</f>
        <v>39406</v>
      </c>
      <c r="M77" s="1296">
        <f>IF(S77&gt;0,'3 pr-2'!R78,0)</f>
        <v>0</v>
      </c>
      <c r="N77" s="1296">
        <f>IF(S77&gt;0,'3 pr-2'!U78,0)</f>
        <v>0</v>
      </c>
      <c r="O77" s="1296">
        <f>IF(S77&gt;0,'3 pr-2'!X78,0)</f>
        <v>0</v>
      </c>
      <c r="P77" s="1296">
        <f>IF(S77&gt;0,'3 pr-2'!AA78,0)</f>
        <v>223298</v>
      </c>
      <c r="Q77" s="1296">
        <f>IF($S$9&gt;0,'3 pr-2'!AB78,0)</f>
        <v>0</v>
      </c>
      <c r="R77" s="1349">
        <f>SUM('3 pr-2'!AH78)</f>
        <v>43343</v>
      </c>
      <c r="S77" s="1366">
        <f>SUMIF(Lapas4!$A$12:$A$299,C77,Lapas4!$H$12:$H$300)</f>
        <v>43342</v>
      </c>
      <c r="T77" s="259"/>
      <c r="U77" s="647" t="str">
        <f>IF(R77-S77&lt;0,(R77-S77)/30.4166666666667,"–")</f>
        <v>–</v>
      </c>
    </row>
    <row r="78" spans="1:22" ht="36" customHeight="1" thickBot="1" x14ac:dyDescent="0.3">
      <c r="A78" s="326" t="str">
        <f>CONCATENATE('3 pr-2'!A79)</f>
        <v>1.1.2.2</v>
      </c>
      <c r="B78" s="2025" t="str">
        <f>CONCATENATE('3 pr-2'!B79)</f>
        <v>Priemonė:
Darnaus judumo priemonių diegimas</v>
      </c>
      <c r="C78" s="2026"/>
      <c r="D78" s="2026"/>
      <c r="E78" s="2026"/>
      <c r="F78" s="2026"/>
      <c r="G78" s="2026"/>
      <c r="H78" s="2026"/>
      <c r="I78" s="2026"/>
      <c r="J78" s="2027"/>
      <c r="K78" s="1293">
        <f t="shared" ref="K78:O78" si="21">SUM(K79:K84)</f>
        <v>50638</v>
      </c>
      <c r="L78" s="1293">
        <f t="shared" si="21"/>
        <v>7595.7</v>
      </c>
      <c r="M78" s="1293">
        <f t="shared" si="21"/>
        <v>0</v>
      </c>
      <c r="N78" s="1293">
        <f t="shared" si="21"/>
        <v>0</v>
      </c>
      <c r="O78" s="1293">
        <f t="shared" si="21"/>
        <v>0</v>
      </c>
      <c r="P78" s="1293">
        <f>SUM(P79:P84)</f>
        <v>43042.3</v>
      </c>
      <c r="Q78" s="1293">
        <f>SUM(Q79:Q84)</f>
        <v>0</v>
      </c>
      <c r="R78" s="1340"/>
      <c r="S78" s="1341"/>
      <c r="T78" s="398"/>
      <c r="U78" s="399"/>
    </row>
    <row r="79" spans="1:22" ht="48.75" x14ac:dyDescent="0.25">
      <c r="A79" s="240" t="str">
        <f>CONCATENATE('3 pr-2'!A80)</f>
        <v>1.1.2.2.1</v>
      </c>
      <c r="B79" s="1359" t="str">
        <f>CONCATENATE('3 pr-2'!B80)</f>
        <v>R01-5514-190000-1221</v>
      </c>
      <c r="C79" s="402" t="str">
        <f>CONCATENATE('ketv. 2'!B79)</f>
        <v/>
      </c>
      <c r="D79" s="657" t="str">
        <f>CONCATENATE('3 pr-2'!D80)</f>
        <v>Darnaus judumo priemonių diegimas Alytaus mieste</v>
      </c>
      <c r="E79" s="657" t="str">
        <f>CONCATENATE('3 pr-2'!E80)</f>
        <v>Alytaus miesto savivaldybės administracija</v>
      </c>
      <c r="F79" s="657" t="str">
        <f>CONCATENATE('3 pr-2'!F80)</f>
        <v>Lietuvos Respublikos susisiekimo ministerija</v>
      </c>
      <c r="G79" s="657" t="str">
        <f>CONCATENATE('3 pr-2'!G80)</f>
        <v>Alytaus m. sav.</v>
      </c>
      <c r="H79" s="657" t="str">
        <f>CONCATENATE('3 pr-2'!H80)</f>
        <v>04.5.1.-TID-R-514</v>
      </c>
      <c r="I79" s="657" t="str">
        <f>CONCATENATE('3 pr-2'!I80)</f>
        <v>R</v>
      </c>
      <c r="J79" s="657" t="str">
        <f>CONCATENATE('3 pr-2'!J80)</f>
        <v>ITI</v>
      </c>
      <c r="K79" s="1460">
        <f>IF(S79&gt;0,'3 pr-2'!L80,0)</f>
        <v>0</v>
      </c>
      <c r="L79" s="1460">
        <f>IF(S79&gt;0,'3 pr-2'!O80,0)</f>
        <v>0</v>
      </c>
      <c r="M79" s="1460">
        <f>IF(S79&gt;0,'3 pr-2'!R80,0)</f>
        <v>0</v>
      </c>
      <c r="N79" s="1460">
        <f>IF(S79&gt;0,'3 pr-2'!U80,0)</f>
        <v>0</v>
      </c>
      <c r="O79" s="1460">
        <f>IF(S79&gt;0,'3 pr-2'!X80,0)</f>
        <v>0</v>
      </c>
      <c r="P79" s="1460">
        <f>IF(S79&gt;0,'3 pr-2'!AA80,0)</f>
        <v>0</v>
      </c>
      <c r="Q79" s="1296">
        <f>IF($S$9&gt;0,'3 pr-2'!AB80,0)</f>
        <v>0</v>
      </c>
      <c r="R79" s="1371">
        <f>SUM('3 pr-2'!AH80)</f>
        <v>43616</v>
      </c>
      <c r="S79" s="1366"/>
      <c r="T79" s="1177"/>
      <c r="U79" s="1178" t="str">
        <f t="shared" ref="U79:U82" si="22">IF(R79-S79&lt;0,(R79-S79)/30.4166666666667,"–")</f>
        <v>–</v>
      </c>
    </row>
    <row r="80" spans="1:22" ht="49.5" thickBot="1" x14ac:dyDescent="0.3">
      <c r="A80" s="182" t="str">
        <f>CONCATENATE('3 pr-2'!A81)</f>
        <v>1.1.2.2.2</v>
      </c>
      <c r="B80" s="1359" t="str">
        <f>CONCATENATE('3 pr-2'!B81)</f>
        <v>R01-5514-190000-1222</v>
      </c>
      <c r="C80" s="309" t="str">
        <f>CONCATENATE('ketv. 2'!B80)</f>
        <v>04.5.1-TID-V-513-01-0015</v>
      </c>
      <c r="D80" s="644" t="str">
        <f>CONCATENATE('3 pr-2'!D81)</f>
        <v>Alytaus miesto darnaus judumo plano parengimas</v>
      </c>
      <c r="E80" s="644" t="str">
        <f>CONCATENATE('3 pr-2'!E81)</f>
        <v>Alytaus miesto savivaldybės administracija</v>
      </c>
      <c r="F80" s="644" t="str">
        <f>CONCATENATE('3 pr-2'!F81)</f>
        <v>Lietuvos Respublikos susisiekimo ministerija</v>
      </c>
      <c r="G80" s="644" t="str">
        <f>CONCATENATE('3 pr-2'!G81)</f>
        <v>Alytaus m. sav.</v>
      </c>
      <c r="H80" s="644" t="str">
        <f>CONCATENATE('3 pr-2'!H81)</f>
        <v>04.5.1-TID-V-513</v>
      </c>
      <c r="I80" s="644" t="str">
        <f>CONCATENATE('3 pr-2'!I81)</f>
        <v>V</v>
      </c>
      <c r="J80" s="644" t="str">
        <f>CONCATENATE('3 pr-2'!J81)</f>
        <v>ITI</v>
      </c>
      <c r="K80" s="1460">
        <f>IF(S80&gt;0,'3 pr-2'!L81,0)</f>
        <v>33638</v>
      </c>
      <c r="L80" s="1460">
        <f>IF(S80&gt;0,'3 pr-2'!O81,0)</f>
        <v>5045.7</v>
      </c>
      <c r="M80" s="1460">
        <f>IF(S80&gt;0,'3 pr-2'!R81,0)</f>
        <v>0</v>
      </c>
      <c r="N80" s="1460">
        <f>IF(S80&gt;0,'3 pr-2'!U81,0)</f>
        <v>0</v>
      </c>
      <c r="O80" s="1460">
        <f>IF(S80&gt;0,'3 pr-2'!X81,0)</f>
        <v>0</v>
      </c>
      <c r="P80" s="1460">
        <f>IF(S80&gt;0,'3 pr-2'!AA81,0)</f>
        <v>28592.3</v>
      </c>
      <c r="Q80" s="1296">
        <f>IF($S$9&gt;0,'3 pr-2'!AB81,0)</f>
        <v>0</v>
      </c>
      <c r="R80" s="1346">
        <f>SUM('3 pr-2'!AH81)</f>
        <v>42855</v>
      </c>
      <c r="S80" s="1373">
        <v>42838</v>
      </c>
      <c r="T80" s="648">
        <f>IF((YEAR(R80)-YEAR(S80))=0,0,YEAR(R80)-YEAR(S80))</f>
        <v>0</v>
      </c>
      <c r="U80" s="1178" t="str">
        <f t="shared" si="22"/>
        <v>–</v>
      </c>
    </row>
    <row r="81" spans="1:21" ht="48.75" x14ac:dyDescent="0.25">
      <c r="A81" s="182" t="str">
        <f>CONCATENATE('3 pr-2'!A82)</f>
        <v>1.1.2.2.3</v>
      </c>
      <c r="B81" s="1359" t="str">
        <f>CONCATENATE('3 pr-2'!B82)</f>
        <v>R01-5514-191800-1223</v>
      </c>
      <c r="C81" s="309" t="str">
        <f>CONCATENATE('ketv. 2'!B81)</f>
        <v/>
      </c>
      <c r="D81" s="644" t="str">
        <f>CONCATENATE('3 pr-2'!D82)</f>
        <v>Intelektinių transporto sistemų diegimas Druskininkuose</v>
      </c>
      <c r="E81" s="644" t="str">
        <f>CONCATENATE('3 pr-2'!E82)</f>
        <v>Druskininkų savivaldybės administracija</v>
      </c>
      <c r="F81" s="644" t="str">
        <f>CONCATENATE('3 pr-2'!F82)</f>
        <v>Lietuvos Respublikos susisiekimo ministerija</v>
      </c>
      <c r="G81" s="644" t="str">
        <f>CONCATENATE('3 pr-2'!G82)</f>
        <v>Druskininkų sav.</v>
      </c>
      <c r="H81" s="644" t="str">
        <f>CONCATENATE('3 pr-2'!H82)</f>
        <v>04.5.1.-TID-R-514</v>
      </c>
      <c r="I81" s="644" t="str">
        <f>CONCATENATE('3 pr-2'!I82)</f>
        <v>R</v>
      </c>
      <c r="J81" s="644" t="str">
        <f>CONCATENATE('3 pr-2'!J82)</f>
        <v>-</v>
      </c>
      <c r="K81" s="1460">
        <f>IF(S81&gt;0,'3 pr-2'!L82,0)</f>
        <v>0</v>
      </c>
      <c r="L81" s="1460">
        <f>IF(S81&gt;0,'3 pr-2'!O82,0)</f>
        <v>0</v>
      </c>
      <c r="M81" s="1460">
        <f>IF(S81&gt;0,'3 pr-2'!R82,0)</f>
        <v>0</v>
      </c>
      <c r="N81" s="1460">
        <f>IF(S81&gt;0,'3 pr-2'!U82,0)</f>
        <v>0</v>
      </c>
      <c r="O81" s="1460">
        <f>IF(S81&gt;0,'3 pr-2'!X82,0)</f>
        <v>0</v>
      </c>
      <c r="P81" s="1460">
        <f>IF(S81&gt;0,'3 pr-2'!AA82,0)</f>
        <v>0</v>
      </c>
      <c r="Q81" s="1296">
        <f>IF($S$9&gt;0,'3 pr-2'!AB82,0)</f>
        <v>0</v>
      </c>
      <c r="R81" s="1346">
        <f>SUM('3 pr-2'!AH82)</f>
        <v>43524</v>
      </c>
      <c r="S81" s="1366"/>
      <c r="T81" s="1179"/>
      <c r="U81" s="1178" t="str">
        <f t="shared" si="22"/>
        <v>–</v>
      </c>
    </row>
    <row r="82" spans="1:21" ht="49.5" thickBot="1" x14ac:dyDescent="0.3">
      <c r="A82" s="182" t="str">
        <f>CONCATENATE('3 pr-2'!A83)</f>
        <v>1.1.2.2.4</v>
      </c>
      <c r="B82" s="1359" t="str">
        <f>CONCATENATE('3 pr-2'!B83)</f>
        <v>R01-5514-190000-1224</v>
      </c>
      <c r="C82" s="309" t="str">
        <f>CONCATENATE('ketv. 2'!B82)</f>
        <v>04.5.1-TID-V-513-01-0006</v>
      </c>
      <c r="D82" s="644" t="str">
        <f>CONCATENATE('3 pr-2'!D83)</f>
        <v>Darnaus judumo plano Druskininkuose parengimas</v>
      </c>
      <c r="E82" s="644" t="str">
        <f>CONCATENATE('3 pr-2'!E83)</f>
        <v>Druskininkų savivaldybės administracija</v>
      </c>
      <c r="F82" s="644" t="str">
        <f>CONCATENATE('3 pr-2'!F83)</f>
        <v>Lietuvos Respublikos susisiekimo ministerija</v>
      </c>
      <c r="G82" s="644" t="str">
        <f>CONCATENATE('3 pr-2'!G83)</f>
        <v>Druskininkų sav.</v>
      </c>
      <c r="H82" s="644" t="str">
        <f>CONCATENATE('3 pr-2'!H83)</f>
        <v>04.5.1-TID-V-513</v>
      </c>
      <c r="I82" s="644" t="str">
        <f>CONCATENATE('3 pr-2'!I83)</f>
        <v>V</v>
      </c>
      <c r="J82" s="644" t="str">
        <f>CONCATENATE('3 pr-2'!J83)</f>
        <v>ITI</v>
      </c>
      <c r="K82" s="1460">
        <f>IF(S82&gt;0,'3 pr-2'!L83,0)</f>
        <v>17000</v>
      </c>
      <c r="L82" s="1460">
        <f>IF(S82&gt;0,'3 pr-2'!O83,0)</f>
        <v>2550</v>
      </c>
      <c r="M82" s="1460">
        <f>IF(S82&gt;0,'3 pr-2'!R83,0)</f>
        <v>0</v>
      </c>
      <c r="N82" s="1460">
        <f>IF(S82&gt;0,'3 pr-2'!U83,0)</f>
        <v>0</v>
      </c>
      <c r="O82" s="1460">
        <f>IF(S82&gt;0,'3 pr-2'!X83,0)</f>
        <v>0</v>
      </c>
      <c r="P82" s="1460">
        <f>IF(S82&gt;0,'3 pr-2'!AA83,0)</f>
        <v>14450</v>
      </c>
      <c r="Q82" s="1296">
        <f>IF($S$9&gt;0,'3 pr-2'!AB83,0)</f>
        <v>0</v>
      </c>
      <c r="R82" s="1346">
        <f>SUM('3 pr-2'!AH83)</f>
        <v>42735</v>
      </c>
      <c r="S82" s="1373">
        <v>42718</v>
      </c>
      <c r="T82" s="648">
        <f>IF((YEAR(R82)-YEAR(S82))=0,0,YEAR(R82)-YEAR(S82))</f>
        <v>0</v>
      </c>
      <c r="U82" s="1178" t="str">
        <f t="shared" si="22"/>
        <v>–</v>
      </c>
    </row>
    <row r="83" spans="1:21" ht="49.5" thickBot="1" x14ac:dyDescent="0.3">
      <c r="A83" s="509" t="str">
        <f>CONCATENATE('3 pr-2'!A84)</f>
        <v>1.1.2.2.5</v>
      </c>
      <c r="B83" s="1359" t="str">
        <f>CONCATENATE('3 pr-2'!B84)</f>
        <v>R01-5514-190000-1225</v>
      </c>
      <c r="C83" s="969" t="str">
        <f>CONCATENATE('ketv. 2'!B83)</f>
        <v/>
      </c>
      <c r="D83" s="644" t="str">
        <f>CONCATENATE('3 pr-2'!D84)</f>
        <v>Viešojo transporto organizavimo tobulinimas rekonstruojant Druskininkų miesto gatvių infrastruktūrą</v>
      </c>
      <c r="E83" s="644" t="str">
        <f>CONCATENATE('3 pr-2'!E84)</f>
        <v>Druskininkų savivaldybės administracija</v>
      </c>
      <c r="F83" s="644" t="str">
        <f>CONCATENATE('3 pr-2'!F84)</f>
        <v>Lietuvos Respublikos susisiekimo ministerija</v>
      </c>
      <c r="G83" s="644" t="str">
        <f>CONCATENATE('3 pr-2'!G84)</f>
        <v>Druskininkų sav.</v>
      </c>
      <c r="H83" s="644" t="str">
        <f>CONCATENATE('3 pr-2'!H84)</f>
        <v>04.5.1.-TID-R-514</v>
      </c>
      <c r="I83" s="644" t="str">
        <f>CONCATENATE('3 pr-2'!I84)</f>
        <v>R</v>
      </c>
      <c r="J83" s="644" t="str">
        <f>CONCATENATE('3 pr-2'!J84)</f>
        <v>-</v>
      </c>
      <c r="K83" s="1460">
        <f>IF(S83&gt;0,'3 pr-2'!L84,0)</f>
        <v>0</v>
      </c>
      <c r="L83" s="1460">
        <f>IF(S83&gt;0,'3 pr-2'!O84,0)</f>
        <v>0</v>
      </c>
      <c r="M83" s="1460">
        <f>IF(S83&gt;0,'3 pr-2'!R84,0)</f>
        <v>0</v>
      </c>
      <c r="N83" s="1460">
        <f>IF(S83&gt;0,'3 pr-2'!U84,0)</f>
        <v>0</v>
      </c>
      <c r="O83" s="1460">
        <f>IF(S83&gt;0,'3 pr-2'!X84,0)</f>
        <v>0</v>
      </c>
      <c r="P83" s="1460">
        <f>IF(S83&gt;0,'3 pr-2'!AA84,0)</f>
        <v>0</v>
      </c>
      <c r="Q83" s="1296">
        <f>IF($S$9&gt;0,'3 pr-2'!AB84,0)</f>
        <v>0</v>
      </c>
      <c r="R83" s="1346">
        <f>SUM('3 pr-2'!AH84)</f>
        <v>43449</v>
      </c>
      <c r="S83" s="1366"/>
      <c r="T83" s="648">
        <f t="shared" ref="T83:T84" si="23">IF((YEAR(R83)-YEAR(S83))=0,0,YEAR(R83)-YEAR(S83))</f>
        <v>118</v>
      </c>
      <c r="U83" s="1178" t="str">
        <f t="shared" ref="U83:U84" si="24">IF(R83-S83&lt;0,(R83-S83)/30.4166666666667,"–")</f>
        <v>–</v>
      </c>
    </row>
    <row r="84" spans="1:21" ht="49.5" thickBot="1" x14ac:dyDescent="0.3">
      <c r="A84" s="509" t="str">
        <f>CONCATENATE('3 pr-2'!A85)</f>
        <v>1.1.2.2.6</v>
      </c>
      <c r="B84" s="1359" t="str">
        <f>CONCATENATE('3 pr-2'!B85)</f>
        <v>R01-5514-190000-1226</v>
      </c>
      <c r="C84" s="969" t="str">
        <f>CONCATENATE('ketv. 2'!B84)</f>
        <v/>
      </c>
      <c r="D84" s="644" t="str">
        <f>CONCATENATE('3 pr-2'!D85)</f>
        <v>Vandens transporto infrastruktūros įrengimas skatinant kitų rūšių transportą</v>
      </c>
      <c r="E84" s="644" t="str">
        <f>CONCATENATE('3 pr-2'!E85)</f>
        <v>Druskininkų savivaldybės administracija</v>
      </c>
      <c r="F84" s="644" t="str">
        <f>CONCATENATE('3 pr-2'!F85)</f>
        <v>Lietuvos Respublikos susisiekimo ministerija</v>
      </c>
      <c r="G84" s="644" t="str">
        <f>CONCATENATE('3 pr-2'!G85)</f>
        <v>Druskininkų sav.</v>
      </c>
      <c r="H84" s="644" t="str">
        <f>CONCATENATE('3 pr-2'!H85)</f>
        <v>04.5.1.-TID-R-514</v>
      </c>
      <c r="I84" s="644" t="str">
        <f>CONCATENATE('3 pr-2'!I85)</f>
        <v>R</v>
      </c>
      <c r="J84" s="644" t="str">
        <f>CONCATENATE('3 pr-2'!J85)</f>
        <v>-</v>
      </c>
      <c r="K84" s="1460">
        <f>IF(S84&gt;0,'3 pr-2'!L85,0)</f>
        <v>0</v>
      </c>
      <c r="L84" s="1460">
        <f>IF(S84&gt;0,'3 pr-2'!O85,0)</f>
        <v>0</v>
      </c>
      <c r="M84" s="1460">
        <f>IF(S84&gt;0,'3 pr-2'!R85,0)</f>
        <v>0</v>
      </c>
      <c r="N84" s="1460">
        <f>IF(S84&gt;0,'3 pr-2'!U85,0)</f>
        <v>0</v>
      </c>
      <c r="O84" s="1460">
        <f>IF(S84&gt;0,'3 pr-2'!X85,0)</f>
        <v>0</v>
      </c>
      <c r="P84" s="1460">
        <f>IF(S84&gt;0,'3 pr-2'!AA85,0)</f>
        <v>0</v>
      </c>
      <c r="Q84" s="1296">
        <f>IF($S$9&gt;0,'3 pr-2'!AB85,0)</f>
        <v>0</v>
      </c>
      <c r="R84" s="1346">
        <f>SUM('3 pr-2'!AH85)</f>
        <v>43736</v>
      </c>
      <c r="S84" s="1366"/>
      <c r="T84" s="648">
        <f t="shared" si="23"/>
        <v>119</v>
      </c>
      <c r="U84" s="1178" t="str">
        <f t="shared" si="24"/>
        <v>–</v>
      </c>
    </row>
    <row r="85" spans="1:21" ht="36.75" customHeight="1" thickBot="1" x14ac:dyDescent="0.3">
      <c r="A85" s="326" t="str">
        <f>CONCATENATE('3 pr-2'!A86)</f>
        <v>1.1.2.3</v>
      </c>
      <c r="B85" s="2025" t="str">
        <f>CONCATENATE('3 pr-2'!B86)</f>
        <v>Priemonė:
Pėsčiųjų ir dviračių takų rekonstrukcija ir plėtra</v>
      </c>
      <c r="C85" s="2026"/>
      <c r="D85" s="2026"/>
      <c r="E85" s="2026"/>
      <c r="F85" s="2026"/>
      <c r="G85" s="2026"/>
      <c r="H85" s="2026"/>
      <c r="I85" s="2026"/>
      <c r="J85" s="2027"/>
      <c r="K85" s="1293">
        <f t="shared" ref="K85:Q85" si="25">SUM(K86:K90)</f>
        <v>418969.56</v>
      </c>
      <c r="L85" s="1293">
        <f t="shared" si="25"/>
        <v>62885.43</v>
      </c>
      <c r="M85" s="1293">
        <f t="shared" si="25"/>
        <v>0</v>
      </c>
      <c r="N85" s="1293">
        <f t="shared" si="25"/>
        <v>0</v>
      </c>
      <c r="O85" s="1293">
        <f t="shared" si="25"/>
        <v>0</v>
      </c>
      <c r="P85" s="1293">
        <f t="shared" si="25"/>
        <v>356084.13</v>
      </c>
      <c r="Q85" s="1293">
        <f t="shared" si="25"/>
        <v>0</v>
      </c>
      <c r="R85" s="1340"/>
      <c r="S85" s="1341"/>
      <c r="T85" s="398"/>
      <c r="U85" s="399"/>
    </row>
    <row r="86" spans="1:21" ht="49.5" thickBot="1" x14ac:dyDescent="0.3">
      <c r="A86" s="182" t="str">
        <f>CONCATENATE('3 pr-2'!A87)</f>
        <v>1.1.2.3.1</v>
      </c>
      <c r="B86" s="1359" t="str">
        <f>CONCATENATE('3 pr-2'!B87)</f>
        <v>R01-5516-190000-1231</v>
      </c>
      <c r="C86" s="309" t="str">
        <f>CONCATENATE('ketv. 2'!B86)</f>
        <v>04.5.1-TID-R-516-11-0004</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96">
        <f>IF(S86&gt;0,'3 pr-2'!L87,0)</f>
        <v>96513</v>
      </c>
      <c r="L86" s="1296">
        <f>IF(S86&gt;0,'3 pr-2'!O87,0)</f>
        <v>14477</v>
      </c>
      <c r="M86" s="1296">
        <f>IF(S86&gt;0,'3 pr-2'!R87,0)</f>
        <v>0</v>
      </c>
      <c r="N86" s="1296">
        <f>IF(S86&gt;0,'3 pr-2'!U87,0)</f>
        <v>0</v>
      </c>
      <c r="O86" s="1296">
        <f>IF(S86&gt;0,'3 pr-2'!X87,0)</f>
        <v>0</v>
      </c>
      <c r="P86" s="1296">
        <f>IF(S86&gt;0,'3 pr-2'!AA87,0)</f>
        <v>82036</v>
      </c>
      <c r="Q86" s="1296">
        <f>IF($S$9&gt;0,'3 pr-2'!AB87,0)</f>
        <v>0</v>
      </c>
      <c r="R86" s="1336">
        <f>SUM('3 pr-2'!AH87)</f>
        <v>43100</v>
      </c>
      <c r="S86" s="1366">
        <f>SUMIF(Lapas4!$A$12:$A$299,C86,Lapas4!$H$12:$H$300)</f>
        <v>43098</v>
      </c>
      <c r="T86" s="216">
        <f>IF((YEAR(R86)-YEAR(S86))=0,0,YEAR(R86)-YEAR(S86))</f>
        <v>0</v>
      </c>
      <c r="U86" s="647" t="str">
        <f t="shared" ref="U86:U90" si="26">IF(R86-S86&lt;0,(R86-S86)/30.4166666666667,"–")</f>
        <v>–</v>
      </c>
    </row>
    <row r="87" spans="1:21" ht="49.5" thickBot="1" x14ac:dyDescent="0.3">
      <c r="A87" s="182" t="str">
        <f>CONCATENATE('3 pr-2'!A88)</f>
        <v>1.1.2.3.2</v>
      </c>
      <c r="B87" s="1359" t="str">
        <f>CONCATENATE('3 pr-2'!B88)</f>
        <v>R01-5516-190000-1232</v>
      </c>
      <c r="C87" s="309" t="str">
        <f>CONCATENATE('ketv. 2'!B87)</f>
        <v>04.5.1-TID-R-516-11-0001</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96">
        <f>IF(S87&gt;0,'3 pr-2'!L88,0)</f>
        <v>135732</v>
      </c>
      <c r="L87" s="1296">
        <f>IF(S87&gt;0,'3 pr-2'!O88,0)</f>
        <v>20400</v>
      </c>
      <c r="M87" s="1296">
        <f>IF(S87&gt;0,'3 pr-2'!R88,0)</f>
        <v>0</v>
      </c>
      <c r="N87" s="1296">
        <f>IF(S87&gt;0,'3 pr-2'!U88,0)</f>
        <v>0</v>
      </c>
      <c r="O87" s="1296">
        <f>IF(S87&gt;0,'3 pr-2'!X88,0)</f>
        <v>0</v>
      </c>
      <c r="P87" s="1296">
        <f>IF(S87&gt;0,'3 pr-2'!AA88,0)</f>
        <v>115332</v>
      </c>
      <c r="Q87" s="1296">
        <f>IF($S$9&gt;0,'3 pr-2'!AB88,0)</f>
        <v>0</v>
      </c>
      <c r="R87" s="1336">
        <f>SUM('3 pr-2'!AH88)</f>
        <v>42916</v>
      </c>
      <c r="S87" s="1366">
        <f>SUMIF(Lapas4!$A$12:$A$299,C87,Lapas4!$H$12:$H$300)</f>
        <v>42914</v>
      </c>
      <c r="T87" s="216">
        <f>IF((YEAR(R87)-YEAR(S87))=0,0,YEAR(R87)-YEAR(S87))</f>
        <v>0</v>
      </c>
      <c r="U87" s="647" t="str">
        <f t="shared" si="26"/>
        <v>–</v>
      </c>
    </row>
    <row r="88" spans="1:21" ht="49.5" thickBot="1" x14ac:dyDescent="0.3">
      <c r="A88" s="182" t="str">
        <f>CONCATENATE('3 pr-2'!A89)</f>
        <v>1.1.2.3.3</v>
      </c>
      <c r="B88" s="1359" t="str">
        <f>CONCATENATE('3 pr-2'!B89)</f>
        <v>R01-5516-190000-1233</v>
      </c>
      <c r="C88" s="309" t="str">
        <f>CONCATENATE('ketv. 2'!B88)</f>
        <v>04.5.1-TID-R-516-11-0002</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96">
        <f>IF(S88&gt;0,'3 pr-2'!L89,0)</f>
        <v>87775</v>
      </c>
      <c r="L88" s="1296">
        <f>IF(S88&gt;0,'3 pr-2'!O89,0)</f>
        <v>13166</v>
      </c>
      <c r="M88" s="1296">
        <f>IF(S88&gt;0,'3 pr-2'!R89,0)</f>
        <v>0</v>
      </c>
      <c r="N88" s="1296">
        <f>IF(S88&gt;0,'3 pr-2'!U89,0)</f>
        <v>0</v>
      </c>
      <c r="O88" s="1296">
        <f>IF(S88&gt;0,'3 pr-2'!X89,0)</f>
        <v>0</v>
      </c>
      <c r="P88" s="1296">
        <f>IF(S88&gt;0,'3 pr-2'!AA89,0)</f>
        <v>74609</v>
      </c>
      <c r="Q88" s="1296">
        <f>IF($S$9&gt;0,'3 pr-2'!AB89,0)</f>
        <v>0</v>
      </c>
      <c r="R88" s="1336">
        <f>SUM('3 pr-2'!AH89)</f>
        <v>43010</v>
      </c>
      <c r="S88" s="1366">
        <f>SUMIF(Lapas4!$A$12:$A$299,C88,Lapas4!$H$12:$H$300)</f>
        <v>43007</v>
      </c>
      <c r="T88" s="216">
        <f>IF((YEAR(R88)-YEAR(S88))=0,0,YEAR(R88)-YEAR(S88))</f>
        <v>0</v>
      </c>
      <c r="U88" s="647" t="str">
        <f t="shared" si="26"/>
        <v>–</v>
      </c>
    </row>
    <row r="89" spans="1:21" ht="49.5" thickBot="1" x14ac:dyDescent="0.3">
      <c r="A89" s="182" t="str">
        <f>CONCATENATE('3 pr-2'!A90)</f>
        <v>1.1.2.3.4</v>
      </c>
      <c r="B89" s="1359" t="str">
        <f>CONCATENATE('3 pr-2'!B90)</f>
        <v>R01-5516-190000-1234</v>
      </c>
      <c r="C89" s="309" t="str">
        <f>CONCATENATE('ketv. 2'!B89)</f>
        <v>04.5.1-TID-R-516-11-0005</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96">
        <f>IF(S89&gt;0,'3 pr-2'!L90,0)</f>
        <v>98949.56</v>
      </c>
      <c r="L89" s="1296">
        <f>IF(S89&gt;0,'3 pr-2'!O90,0)</f>
        <v>14842.43</v>
      </c>
      <c r="M89" s="1296">
        <f>IF(S89&gt;0,'3 pr-2'!R90,0)</f>
        <v>0</v>
      </c>
      <c r="N89" s="1296">
        <f>IF(S89&gt;0,'3 pr-2'!U90,0)</f>
        <v>0</v>
      </c>
      <c r="O89" s="1296">
        <f>IF(S89&gt;0,'3 pr-2'!X90,0)</f>
        <v>0</v>
      </c>
      <c r="P89" s="1296">
        <f>IF(S89&gt;0,'3 pr-2'!AA90,0)</f>
        <v>84107.13</v>
      </c>
      <c r="Q89" s="1296">
        <f>IF($S$9&gt;0,'3 pr-2'!AB90,0)</f>
        <v>0</v>
      </c>
      <c r="R89" s="1336">
        <f>SUM('3 pr-2'!AH90)</f>
        <v>43131</v>
      </c>
      <c r="S89" s="1366">
        <f>SUMIF(Lapas4!$A$12:$A$299,C89,Lapas4!$H$12:$H$300)</f>
        <v>43131</v>
      </c>
      <c r="T89" s="216">
        <f>IF((YEAR(R89)-YEAR(S89))=0,0,YEAR(R89)-YEAR(S89))</f>
        <v>0</v>
      </c>
      <c r="U89" s="647" t="str">
        <f t="shared" si="26"/>
        <v>–</v>
      </c>
    </row>
    <row r="90" spans="1:21" ht="49.5" thickBot="1" x14ac:dyDescent="0.3">
      <c r="A90" s="182" t="str">
        <f>CONCATENATE('3 pr-2'!A91)</f>
        <v>1.1.2.3.5</v>
      </c>
      <c r="B90" s="1359" t="str">
        <f>CONCATENATE('3 pr-2'!B91)</f>
        <v>R01-5516-190000-1235</v>
      </c>
      <c r="C90" s="309" t="str">
        <f>CONCATENATE('ketv. 2'!B90)</f>
        <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96">
        <f>IF(S90&gt;0,'3 pr-2'!L91,0)</f>
        <v>0</v>
      </c>
      <c r="L90" s="1296">
        <f>IF(S90&gt;0,'3 pr-2'!O91,0)</f>
        <v>0</v>
      </c>
      <c r="M90" s="1296">
        <f>IF(S90&gt;0,'3 pr-2'!R91,0)</f>
        <v>0</v>
      </c>
      <c r="N90" s="1296">
        <f>IF(S90&gt;0,'3 pr-2'!U91,0)</f>
        <v>0</v>
      </c>
      <c r="O90" s="1296">
        <f>IF(S90&gt;0,'3 pr-2'!X91,0)</f>
        <v>0</v>
      </c>
      <c r="P90" s="1296">
        <f>IF(S90&gt;0,'3 pr-2'!AA91,0)</f>
        <v>0</v>
      </c>
      <c r="Q90" s="1296">
        <f>IF($S$9&gt;0,'3 pr-2'!AB91,0)</f>
        <v>0</v>
      </c>
      <c r="R90" s="1336">
        <f>SUM('3 pr-2'!AH91)</f>
        <v>43510</v>
      </c>
      <c r="S90" s="1366"/>
      <c r="T90" s="216"/>
      <c r="U90" s="647" t="str">
        <f t="shared" si="26"/>
        <v>–</v>
      </c>
    </row>
    <row r="91" spans="1:21" ht="42.75" customHeight="1" thickBot="1" x14ac:dyDescent="0.3">
      <c r="A91" s="326" t="str">
        <f>CONCATENATE('3 pr-2'!A92)</f>
        <v>1.1.2.4</v>
      </c>
      <c r="B91" s="2025" t="str">
        <f>CONCATENATE('3 pr-2'!B92)</f>
        <v>Priemonė:
Vietinių kelių techninių parametrų ir eismo saugos gerinimas</v>
      </c>
      <c r="C91" s="2026"/>
      <c r="D91" s="2026"/>
      <c r="E91" s="2026"/>
      <c r="F91" s="2026"/>
      <c r="G91" s="2026"/>
      <c r="H91" s="2026"/>
      <c r="I91" s="2026"/>
      <c r="J91" s="2027"/>
      <c r="K91" s="1293">
        <f>SUM(K92:K98)</f>
        <v>4846187.82</v>
      </c>
      <c r="L91" s="1293">
        <f t="shared" ref="L91:Q91" si="27">SUM(L92:L98)</f>
        <v>1843709.8199999998</v>
      </c>
      <c r="M91" s="1293">
        <f t="shared" si="27"/>
        <v>0</v>
      </c>
      <c r="N91" s="1293">
        <f t="shared" si="27"/>
        <v>0</v>
      </c>
      <c r="O91" s="1293">
        <f t="shared" si="27"/>
        <v>62660</v>
      </c>
      <c r="P91" s="1293">
        <f t="shared" si="27"/>
        <v>2939818</v>
      </c>
      <c r="Q91" s="1293">
        <f t="shared" si="27"/>
        <v>0</v>
      </c>
      <c r="R91" s="1340"/>
      <c r="S91" s="1341"/>
      <c r="T91" s="398"/>
      <c r="U91" s="399"/>
    </row>
    <row r="92" spans="1:21" ht="49.5" thickBot="1" x14ac:dyDescent="0.3">
      <c r="A92" s="182" t="str">
        <f>CONCATENATE('3 pr-2'!A93)</f>
        <v>1.1.2.4.1</v>
      </c>
      <c r="B92" s="1359" t="str">
        <f>CONCATENATE('3 pr-2'!B93)</f>
        <v>R01-5511-120000-1241</v>
      </c>
      <c r="C92" s="309" t="str">
        <f>CONCATENATE('ketv. 2'!B92)</f>
        <v>06.2.1-TID-R-511-11-0002</v>
      </c>
      <c r="D92" s="182" t="str">
        <f>CONCATENATE('3 pr-2'!D93)</f>
        <v>Varėnos miesto J. Basanavičiaus, Savanorių ir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96">
        <f>IF(S92&gt;0,'3 pr-2'!L93,0)</f>
        <v>835464</v>
      </c>
      <c r="L92" s="1296">
        <f>IF(S92&gt;0,'3 pr-2'!O93,0)</f>
        <v>62660</v>
      </c>
      <c r="M92" s="1296">
        <f>IF(S92&gt;0,'3 pr-2'!R93,0)</f>
        <v>0</v>
      </c>
      <c r="N92" s="1296">
        <f>IF(S92&gt;0,'3 pr-2'!U93,0)</f>
        <v>0</v>
      </c>
      <c r="O92" s="1296">
        <f>IF(S92&gt;0,'3 pr-2'!X93,0)</f>
        <v>62660</v>
      </c>
      <c r="P92" s="1296">
        <f>IF(S92&gt;0,'3 pr-2'!AA93,0)</f>
        <v>710144</v>
      </c>
      <c r="Q92" s="1296">
        <f>IF($S$9&gt;0,'3 pr-2'!AB93,0)</f>
        <v>0</v>
      </c>
      <c r="R92" s="1336">
        <f>SUM('3 pr-2'!AH93)</f>
        <v>42887</v>
      </c>
      <c r="S92" s="1366">
        <f>SUMIF(Lapas4!$A$12:$A$299,C92,Lapas4!$H$12:$H$300)</f>
        <v>42887</v>
      </c>
      <c r="T92" s="216">
        <f>IF((YEAR(R92)-YEAR(S92))=0,0,YEAR(R92)-YEAR(S92))</f>
        <v>0</v>
      </c>
      <c r="U92" s="647" t="str">
        <f t="shared" ref="U92:U97" si="28">IF(R92-S92&lt;0,(R92-S92)/30.4166666666667,"–")</f>
        <v>–</v>
      </c>
    </row>
    <row r="93" spans="1:21" ht="49.5" thickBot="1" x14ac:dyDescent="0.3">
      <c r="A93" s="182" t="str">
        <f>CONCATENATE('3 pr-2'!A94)</f>
        <v>1.1.2.4.2</v>
      </c>
      <c r="B93" s="1359" t="str">
        <f>CONCATENATE('3 pr-2'!B94)</f>
        <v>R01-5511-110000-1242</v>
      </c>
      <c r="C93" s="309" t="str">
        <f>CONCATENATE('ketv. 2'!B93)</f>
        <v>06.2.1-TID-R-511-11-0001</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96">
        <f>IF(S93&gt;0,'3 pr-2'!L94,0)</f>
        <v>1402213</v>
      </c>
      <c r="L93" s="1296">
        <f>IF(S93&gt;0,'3 pr-2'!O94,0)</f>
        <v>654275</v>
      </c>
      <c r="M93" s="1296">
        <f>IF(S93&gt;0,'3 pr-2'!R94,0)</f>
        <v>0</v>
      </c>
      <c r="N93" s="1296">
        <f>IF(S93&gt;0,'3 pr-2'!U94,0)</f>
        <v>0</v>
      </c>
      <c r="O93" s="1296">
        <f>IF(S93&gt;0,'3 pr-2'!X94,0)</f>
        <v>0</v>
      </c>
      <c r="P93" s="1296">
        <f>IF(S93&gt;0,'3 pr-2'!AA94,0)</f>
        <v>747938</v>
      </c>
      <c r="Q93" s="1296">
        <f>IF($S$9&gt;0,'3 pr-2'!AB94,0)</f>
        <v>0</v>
      </c>
      <c r="R93" s="1336">
        <f>SUM('3 pr-2'!AH94)</f>
        <v>42855</v>
      </c>
      <c r="S93" s="1366">
        <f>SUMIF(Lapas4!$A$12:$A$299,C93,Lapas4!$H$12:$H$300)</f>
        <v>42851</v>
      </c>
      <c r="T93" s="216">
        <f>IF((YEAR(R93)-YEAR(S93))=0,0,YEAR(R93)-YEAR(S93))</f>
        <v>0</v>
      </c>
      <c r="U93" s="647" t="str">
        <f t="shared" si="28"/>
        <v>–</v>
      </c>
    </row>
    <row r="94" spans="1:21" ht="49.5" thickBot="1" x14ac:dyDescent="0.3">
      <c r="A94" s="182" t="str">
        <f>CONCATENATE('3 pr-2'!A95)</f>
        <v>1.1.2.4.3.</v>
      </c>
      <c r="B94" s="1359" t="str">
        <f>CONCATENATE('3 pr-2'!B95)</f>
        <v>R01-5511-500000-1243</v>
      </c>
      <c r="C94" s="309" t="str">
        <f>CONCATENATE('ketv. 2'!B94)</f>
        <v>06.2.1-TID-R-511-11-0008</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96">
        <f>IF(S94&gt;0,'3 pr-2'!L95,0)</f>
        <v>315614.59999999998</v>
      </c>
      <c r="L94" s="1296">
        <f>IF(S94&gt;0,'3 pr-2'!O95,0)</f>
        <v>65315.6</v>
      </c>
      <c r="M94" s="1296">
        <f>IF(S94&gt;0,'3 pr-2'!R95,0)</f>
        <v>0</v>
      </c>
      <c r="N94" s="1296">
        <f>IF(S94&gt;0,'3 pr-2'!U95,0)</f>
        <v>0</v>
      </c>
      <c r="O94" s="1296">
        <f>IF(S94&gt;0,'3 pr-2'!X95,0)</f>
        <v>0</v>
      </c>
      <c r="P94" s="1296">
        <f>IF(S94&gt;0,'3 pr-2'!AA95,0)</f>
        <v>250299</v>
      </c>
      <c r="Q94" s="1296">
        <f>IF($S$9&gt;0,'3 pr-2'!AB95,0)</f>
        <v>0</v>
      </c>
      <c r="R94" s="1336">
        <f>SUM('3 pr-2'!AH95)</f>
        <v>43342</v>
      </c>
      <c r="S94" s="1366">
        <f>SUMIF(Lapas4!$A$12:$A$299,C94,Lapas4!$H$12:$H$300)</f>
        <v>43342</v>
      </c>
      <c r="T94" s="216"/>
      <c r="U94" s="647" t="str">
        <f>IF(R94-S94&lt;0,(R94-S94)/30.4166666666667,"–")</f>
        <v>–</v>
      </c>
    </row>
    <row r="95" spans="1:21" ht="49.5" thickBot="1" x14ac:dyDescent="0.3">
      <c r="A95" s="182" t="str">
        <f>CONCATENATE('3 pr-2'!A96)</f>
        <v>1.1.2.4.4</v>
      </c>
      <c r="B95" s="1359" t="str">
        <f>CONCATENATE('3 pr-2'!B96)</f>
        <v>R01-5511-500000-1244</v>
      </c>
      <c r="C95" s="309" t="str">
        <f>CONCATENATE('ketv. 2'!B95)</f>
        <v>06.2.1-TID-R-511-11-0006</v>
      </c>
      <c r="D95" s="182" t="str">
        <f>CONCATENATE('3 pr-2'!D96)</f>
        <v>Eismo saugos priemonių diegimas Alytaus rajone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96">
        <f>IF(S95&gt;0,'3 pr-2'!L96,0)</f>
        <v>274817.98</v>
      </c>
      <c r="L95" s="1296">
        <f>IF(S95&gt;0,'3 pr-2'!O96,0)</f>
        <v>73973.98</v>
      </c>
      <c r="M95" s="1296">
        <f>IF(S95&gt;0,'3 pr-2'!R96,0)</f>
        <v>0</v>
      </c>
      <c r="N95" s="1296">
        <f>IF(S95&gt;0,'3 pr-2'!U96,0)</f>
        <v>0</v>
      </c>
      <c r="O95" s="1296">
        <f>IF(S95&gt;0,'3 pr-2'!X96,0)</f>
        <v>0</v>
      </c>
      <c r="P95" s="1296">
        <f>IF(S95&gt;0,'3 pr-2'!AA96,0)</f>
        <v>200844</v>
      </c>
      <c r="Q95" s="1296">
        <f>IF($S$9&gt;0,'3 pr-2'!AB96,0)</f>
        <v>0</v>
      </c>
      <c r="R95" s="1336">
        <f>SUM('3 pr-2'!AH96)</f>
        <v>43252</v>
      </c>
      <c r="S95" s="1366">
        <f>SUMIF(Lapas4!$A$12:$A$299,C95,Lapas4!$H$12:$H$300)</f>
        <v>43270</v>
      </c>
      <c r="T95" s="216"/>
      <c r="U95" s="647">
        <f t="shared" si="28"/>
        <v>-0.59178082191780756</v>
      </c>
    </row>
    <row r="96" spans="1:21" ht="49.5" thickBot="1" x14ac:dyDescent="0.3">
      <c r="A96" s="182" t="str">
        <f>CONCATENATE('3 pr-2'!A97)</f>
        <v>1.1.2.4.5</v>
      </c>
      <c r="B96" s="1359" t="str">
        <f>CONCATENATE('3 pr-2'!B97)</f>
        <v>R01-5511-120900-1245</v>
      </c>
      <c r="C96" s="309" t="str">
        <f>CONCATENATE('ketv. 2'!B96)</f>
        <v>06.2.1-TID-R-511-11-0007</v>
      </c>
      <c r="D96" s="182" t="str">
        <f>CONCATENATE('3 pr-2'!D97)</f>
        <v>M. 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96">
        <f>IF(S96&gt;0,'3 pr-2'!L97,0)</f>
        <v>1258144.24</v>
      </c>
      <c r="L96" s="1296">
        <f>IF(S96&gt;0,'3 pr-2'!O97,0)</f>
        <v>873495.24</v>
      </c>
      <c r="M96" s="1296">
        <f>IF(S96&gt;0,'3 pr-2'!R97,0)</f>
        <v>0</v>
      </c>
      <c r="N96" s="1296">
        <f>IF(S96&gt;0,'3 pr-2'!U97,0)</f>
        <v>0</v>
      </c>
      <c r="O96" s="1296">
        <f>IF(S96&gt;0,'3 pr-2'!X97,0)</f>
        <v>0</v>
      </c>
      <c r="P96" s="1296">
        <f>IF(S96&gt;0,'3 pr-2'!AA97,0)</f>
        <v>384649</v>
      </c>
      <c r="Q96" s="1296">
        <f>IF($S$9&gt;0,'3 pr-2'!AB97,0)</f>
        <v>0</v>
      </c>
      <c r="R96" s="1336">
        <f>SUM('3 pr-2'!AH97)</f>
        <v>43326</v>
      </c>
      <c r="S96" s="1366">
        <f>SUMIF(Lapas4!$A$12:$A$299,C96,Lapas4!$H$12:$H$300)</f>
        <v>43326</v>
      </c>
      <c r="T96" s="216"/>
      <c r="U96" s="647" t="str">
        <f t="shared" si="28"/>
        <v>–</v>
      </c>
    </row>
    <row r="97" spans="1:21" ht="45.75" customHeight="1" thickBot="1" x14ac:dyDescent="0.3">
      <c r="A97" s="259" t="str">
        <f>CONCATENATE('3 pr-2'!A98)</f>
        <v>1.1.2.4.6</v>
      </c>
      <c r="B97" s="1359" t="str">
        <f>CONCATENATE('3 pr-2'!B98)</f>
        <v>R01-5511-120000-1246</v>
      </c>
      <c r="C97" s="400" t="str">
        <f>CONCATENATE('ketv. 2'!B97)</f>
        <v>06.2.1-TID-R-511-11-0004</v>
      </c>
      <c r="D97" s="259" t="str">
        <f>CONCATENATE('3 pr-2'!D98)</f>
        <v>Lazdijų miesto Seinų ir Lazdijos gatvių bei vietinės reikšmės kelio nuo Janonio gatvės iki Lazdijų hipodromo rekonstravimas</v>
      </c>
      <c r="E97" s="259" t="str">
        <f>CONCATENATE('3 pr-2'!E98)</f>
        <v>Lazdijų rajono savivaldybės administracija</v>
      </c>
      <c r="F97" s="259" t="str">
        <f>CONCATENATE('3 pr-2'!F98)</f>
        <v>Lietuvos Respublikos susisiekimo ministerija</v>
      </c>
      <c r="G97" s="259" t="str">
        <f>CONCATENATE('3 pr-2'!G98)</f>
        <v>Lazdijų r. sav.</v>
      </c>
      <c r="H97" s="259" t="str">
        <f>CONCATENATE('3 pr-2'!H98)</f>
        <v>06.2.1-TID-R-511</v>
      </c>
      <c r="I97" s="259" t="str">
        <f>CONCATENATE('3 pr-2'!I98)</f>
        <v>R</v>
      </c>
      <c r="J97" s="259" t="str">
        <f>CONCATENATE('3 pr-2'!J98)</f>
        <v>ITI</v>
      </c>
      <c r="K97" s="1296">
        <f>IF(S97&gt;0,'3 pr-2'!L98,0)</f>
        <v>759934</v>
      </c>
      <c r="L97" s="1296">
        <f>IF(S97&gt;0,'3 pr-2'!O98,0)</f>
        <v>113990</v>
      </c>
      <c r="M97" s="1296">
        <f>IF(S97&gt;0,'3 pr-2'!R98,0)</f>
        <v>0</v>
      </c>
      <c r="N97" s="1296">
        <f>IF(S97&gt;0,'3 pr-2'!U98,0)</f>
        <v>0</v>
      </c>
      <c r="O97" s="1296">
        <f>IF(S97&gt;0,'3 pr-2'!X98,0)</f>
        <v>0</v>
      </c>
      <c r="P97" s="1296">
        <f>IF(S97&gt;0,'3 pr-2'!AA98,0)</f>
        <v>645944</v>
      </c>
      <c r="Q97" s="1296">
        <f>IF($S$9&gt;0,'3 pr-2'!AB98,0)</f>
        <v>0</v>
      </c>
      <c r="R97" s="1349">
        <f>SUM('3 pr-2'!AH98)</f>
        <v>43130</v>
      </c>
      <c r="S97" s="1366">
        <f>SUMIF(Lapas4!$A$12:$A$299,C97,Lapas4!$H$12:$H$300)</f>
        <v>43130</v>
      </c>
      <c r="T97" s="401"/>
      <c r="U97" s="647" t="str">
        <f t="shared" si="28"/>
        <v>–</v>
      </c>
    </row>
    <row r="98" spans="1:21" ht="45.75" customHeight="1" thickBot="1" x14ac:dyDescent="0.3">
      <c r="A98" s="259" t="str">
        <f>CONCATENATE('3 pr-2'!A99)</f>
        <v>1.1.2.4.7</v>
      </c>
      <c r="B98" s="1359" t="str">
        <f>CONCATENATE('3 pr-2'!B99)</f>
        <v>R01-5511-120000-1247</v>
      </c>
      <c r="C98" s="400" t="str">
        <f>CONCATENATE('ketv. 2'!B98)</f>
        <v/>
      </c>
      <c r="D98" s="259" t="str">
        <f>CONCATENATE('3 pr-2'!D99)</f>
        <v>Eismo saugumo priemonių diegimas Druskininkų savivaldybėje</v>
      </c>
      <c r="E98" s="259" t="str">
        <f>CONCATENATE('3 pr-2'!E99)</f>
        <v xml:space="preserve">Druskininkų savivaldybės administracija  </v>
      </c>
      <c r="F98" s="259" t="str">
        <f>CONCATENATE('3 pr-2'!F99)</f>
        <v>Lietuvos Respublikos susisiekimo ministerija</v>
      </c>
      <c r="G98" s="259" t="str">
        <f>CONCATENATE('3 pr-2'!G99)</f>
        <v>Druskininkų sav.</v>
      </c>
      <c r="H98" s="259" t="str">
        <f>CONCATENATE('3 pr-2'!H99)</f>
        <v>06.2.1-TID-R-511</v>
      </c>
      <c r="I98" s="259" t="str">
        <f>CONCATENATE('3 pr-2'!I99)</f>
        <v>R</v>
      </c>
      <c r="J98" s="259" t="str">
        <f>CONCATENATE('3 pr-2'!J99)</f>
        <v>-</v>
      </c>
      <c r="K98" s="1296">
        <f>IF(S98&gt;0,'3 pr-2'!L99,0)</f>
        <v>0</v>
      </c>
      <c r="L98" s="1296">
        <f>IF(S98&gt;0,'3 pr-2'!O99,0)</f>
        <v>0</v>
      </c>
      <c r="M98" s="1296">
        <f>IF(S98&gt;0,'3 pr-2'!R99,0)</f>
        <v>0</v>
      </c>
      <c r="N98" s="1296">
        <f>IF(S98&gt;0,'3 pr-2'!U99,0)</f>
        <v>0</v>
      </c>
      <c r="O98" s="1296">
        <f>IF(S98&gt;0,'3 pr-2'!X99,0)</f>
        <v>0</v>
      </c>
      <c r="P98" s="1296">
        <f>IF(S98&gt;0,'3 pr-2'!AA99,0)</f>
        <v>0</v>
      </c>
      <c r="Q98" s="1296">
        <f>IF($S$9&gt;0,'3 pr-2'!AB99,0)</f>
        <v>0</v>
      </c>
      <c r="R98" s="1349">
        <f>SUM('3 pr-2'!AH99)</f>
        <v>43496</v>
      </c>
      <c r="S98" s="1366"/>
      <c r="T98" s="401"/>
      <c r="U98" s="647" t="str">
        <f t="shared" ref="U98" si="29">IF(R98-S98&lt;0,(R98-S98)/30.4166666666667,"–")</f>
        <v>–</v>
      </c>
    </row>
    <row r="99" spans="1:21" ht="48" customHeight="1" thickBot="1" x14ac:dyDescent="0.3">
      <c r="A99" s="412" t="str">
        <f>CONCATENATE('3 pr-2'!A100)</f>
        <v>2.1.</v>
      </c>
      <c r="B99" s="2028" t="str">
        <f>CONCATENATE('3 pr-2'!B100)</f>
        <v>Tikslas:
GERINTI VIEŠŲJŲ  PASLAUGŲ KOKYBĘ IR PRIEINAMUMĄ</v>
      </c>
      <c r="C99" s="2023"/>
      <c r="D99" s="2023"/>
      <c r="E99" s="2023"/>
      <c r="F99" s="2023"/>
      <c r="G99" s="2023"/>
      <c r="H99" s="2023"/>
      <c r="I99" s="2023"/>
      <c r="J99" s="2024"/>
      <c r="K99" s="1514">
        <f>SUM(K100+K119+K146+K159)</f>
        <v>11516460.550000001</v>
      </c>
      <c r="L99" s="1520">
        <f>SUM('3 pr-2'!O100)</f>
        <v>1894321.3399999999</v>
      </c>
      <c r="M99" s="1520">
        <f>SUM('3 pr-2'!R100)</f>
        <v>411995.91</v>
      </c>
      <c r="N99" s="1520">
        <f>SUM('3 pr-2'!U100)</f>
        <v>40158</v>
      </c>
      <c r="O99" s="1520">
        <f>SUM('3 pr-2'!X100)</f>
        <v>1299.95</v>
      </c>
      <c r="P99" s="1520">
        <f>SUM('3 pr-2'!AA100)</f>
        <v>10245866.530000001</v>
      </c>
      <c r="Q99" s="1520">
        <f>SUM('3 pr-2'!AB100)</f>
        <v>0</v>
      </c>
      <c r="R99" s="1351" t="s">
        <v>690</v>
      </c>
      <c r="S99" s="1351" t="s">
        <v>690</v>
      </c>
      <c r="T99" s="406" t="s">
        <v>690</v>
      </c>
      <c r="U99" s="406"/>
    </row>
    <row r="100" spans="1:21" ht="59.25" customHeight="1" thickBot="1" x14ac:dyDescent="0.3">
      <c r="A100" s="261" t="str">
        <f>CONCATENATE('3 pr-2'!A101)</f>
        <v>2.1.1.</v>
      </c>
      <c r="B100" s="2022" t="str">
        <f>CONCATENATE('3 pr-2'!B101)</f>
        <v xml:space="preserve">Uždavinys:
Bendrojo ugdymo ir neformaliojo švietimo įstaigų (ypač vykdančių ikimokyklinio ir priešmokyklinio ugdymo programas) tinklo veiklos efektyvumo didinimas </v>
      </c>
      <c r="C100" s="2023"/>
      <c r="D100" s="2023"/>
      <c r="E100" s="2023"/>
      <c r="F100" s="2023"/>
      <c r="G100" s="2023"/>
      <c r="H100" s="2023"/>
      <c r="I100" s="2023"/>
      <c r="J100" s="2024"/>
      <c r="K100" s="1420">
        <f t="shared" ref="K100:P100" si="30">SUM(K101+K107+K113)</f>
        <v>4776867.3599999994</v>
      </c>
      <c r="L100" s="1420">
        <f t="shared" si="30"/>
        <v>808633.36</v>
      </c>
      <c r="M100" s="1420">
        <f t="shared" si="30"/>
        <v>201262</v>
      </c>
      <c r="N100" s="1420">
        <f t="shared" si="30"/>
        <v>0</v>
      </c>
      <c r="O100" s="1420">
        <f t="shared" si="30"/>
        <v>0</v>
      </c>
      <c r="P100" s="1420">
        <f t="shared" si="30"/>
        <v>3766972</v>
      </c>
      <c r="Q100" s="1420">
        <f t="shared" ref="Q100" si="31">SUM(Q101+Q107+Q113)</f>
        <v>0</v>
      </c>
      <c r="R100" s="1338" t="s">
        <v>690</v>
      </c>
      <c r="S100" s="1339" t="s">
        <v>690</v>
      </c>
      <c r="T100" s="408" t="s">
        <v>690</v>
      </c>
      <c r="U100" s="239"/>
    </row>
    <row r="101" spans="1:21" ht="37.5" customHeight="1" thickBot="1" x14ac:dyDescent="0.3">
      <c r="A101" s="326" t="str">
        <f>CONCATENATE('3 pr-2'!A102)</f>
        <v>2.1.1.1</v>
      </c>
      <c r="B101" s="2025" t="str">
        <f>CONCATENATE('3 pr-2'!B102)</f>
        <v>Priemonė:
Mokyklų tinklo efektyvumo didinimas</v>
      </c>
      <c r="C101" s="2026"/>
      <c r="D101" s="2026"/>
      <c r="E101" s="2026"/>
      <c r="F101" s="2026"/>
      <c r="G101" s="2026"/>
      <c r="H101" s="2026"/>
      <c r="I101" s="2026"/>
      <c r="J101" s="2027"/>
      <c r="K101" s="1293">
        <f t="shared" ref="K101:P101" si="32">SUM(K102:K106)</f>
        <v>1343975.4100000001</v>
      </c>
      <c r="L101" s="1293">
        <f t="shared" si="32"/>
        <v>100799.41</v>
      </c>
      <c r="M101" s="1293">
        <f t="shared" si="32"/>
        <v>100799</v>
      </c>
      <c r="N101" s="1293">
        <f t="shared" si="32"/>
        <v>0</v>
      </c>
      <c r="O101" s="1293">
        <f t="shared" si="32"/>
        <v>0</v>
      </c>
      <c r="P101" s="1293">
        <f t="shared" si="32"/>
        <v>1142377</v>
      </c>
      <c r="Q101" s="1293">
        <f t="shared" ref="Q101" si="33">SUM(Q102:Q106)</f>
        <v>0</v>
      </c>
      <c r="R101" s="1340"/>
      <c r="S101" s="1341"/>
      <c r="T101" s="398"/>
      <c r="U101" s="399"/>
    </row>
    <row r="102" spans="1:21" ht="61.5" thickBot="1" x14ac:dyDescent="0.3">
      <c r="A102" s="182" t="str">
        <f>CONCATENATE('3 pr-2'!A103)</f>
        <v>2.1.1.1.1</v>
      </c>
      <c r="B102" s="1359" t="str">
        <f>CONCATENATE('3 pr-2'!B103)</f>
        <v>R01-7724-220000-2111</v>
      </c>
      <c r="C102" s="309" t="str">
        <f>CONCATENATE('ketv. 2'!B102)</f>
        <v>09.1.3-CPVA-R-724-11-0003</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96">
        <f>IF(S102&gt;0,'3 pr-2'!L103,0)</f>
        <v>220453</v>
      </c>
      <c r="L102" s="1296">
        <f>IF(S102&gt;0,'3 pr-2'!O103,0)</f>
        <v>16534</v>
      </c>
      <c r="M102" s="1296">
        <f>IF(S102&gt;0,'3 pr-2'!R103,0)</f>
        <v>16534</v>
      </c>
      <c r="N102" s="1296">
        <f>IF(S102&gt;0,'3 pr-2'!U103,0)</f>
        <v>0</v>
      </c>
      <c r="O102" s="1296">
        <f>IF(S102&gt;0,'3 pr-2'!X103,0)</f>
        <v>0</v>
      </c>
      <c r="P102" s="1296">
        <f>IF(S102&gt;0,'3 pr-2'!AA103,0)</f>
        <v>187385</v>
      </c>
      <c r="Q102" s="1296">
        <f>IF($S$9&gt;0,'3 pr-2'!AB103,0)</f>
        <v>0</v>
      </c>
      <c r="R102" s="1336">
        <f>SUM('3 pr-2'!AH103)</f>
        <v>42993</v>
      </c>
      <c r="S102" s="1366">
        <f>SUMIF(Lapas4!$A$12:$A$299,C102,Lapas4!$H$12:$H$300)</f>
        <v>42993</v>
      </c>
      <c r="T102" s="216">
        <f>IF((YEAR(R102)-YEAR(S102))=0,0,YEAR(R102)-YEAR(S102))</f>
        <v>0</v>
      </c>
      <c r="U102" s="647" t="str">
        <f t="shared" ref="U102:U106" si="34">IF(R102-S102&lt;0,(R102-S102)/30.4166666666667,"–")</f>
        <v>–</v>
      </c>
    </row>
    <row r="103" spans="1:21" ht="61.5" thickBot="1" x14ac:dyDescent="0.3">
      <c r="A103" s="182" t="str">
        <f>CONCATENATE('3 pr-2'!A104)</f>
        <v>2.1.1.1.2</v>
      </c>
      <c r="B103" s="1359" t="str">
        <f>CONCATENATE('3 pr-2'!B104)</f>
        <v>R01-7724-220000-2112</v>
      </c>
      <c r="C103" s="309" t="str">
        <f>CONCATENATE('ketv. 2'!B103)</f>
        <v>09.1.3-CPVA-R-724-11-0005</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96">
        <f>IF(S103&gt;0,'3 pr-2'!L104,0)</f>
        <v>106845.41</v>
      </c>
      <c r="L103" s="1296">
        <f>IF(S103&gt;0,'3 pr-2'!O104,0)</f>
        <v>8013.41</v>
      </c>
      <c r="M103" s="1296">
        <f>IF(S103&gt;0,'3 pr-2'!R104,0)</f>
        <v>8014</v>
      </c>
      <c r="N103" s="1296">
        <f>IF(S103&gt;0,'3 pr-2'!U104,0)</f>
        <v>0</v>
      </c>
      <c r="O103" s="1296">
        <f>IF(S103&gt;0,'3 pr-2'!X104,0)</f>
        <v>0</v>
      </c>
      <c r="P103" s="1296">
        <f>IF(S103&gt;0,'3 pr-2'!AA104,0)</f>
        <v>90818</v>
      </c>
      <c r="Q103" s="1296">
        <f>IF($S$9&gt;0,'3 pr-2'!AB104,0)</f>
        <v>0</v>
      </c>
      <c r="R103" s="1336">
        <f>SUM('3 pr-2'!AH104)</f>
        <v>42993</v>
      </c>
      <c r="S103" s="1366">
        <f>SUMIF(Lapas4!$A$12:$A$299,C103,Lapas4!$H$12:$H$300)</f>
        <v>43003</v>
      </c>
      <c r="T103" s="216">
        <f>IF((YEAR(R103)-YEAR(S103))=0,0,YEAR(R103)-YEAR(S103))</f>
        <v>0</v>
      </c>
      <c r="U103" s="647">
        <f t="shared" si="34"/>
        <v>-0.32876712328767088</v>
      </c>
    </row>
    <row r="104" spans="1:21" ht="61.5" thickBot="1" x14ac:dyDescent="0.3">
      <c r="A104" s="182" t="str">
        <f>CONCATENATE('3 pr-2'!A105)</f>
        <v>2.1.1.1.3</v>
      </c>
      <c r="B104" s="1359" t="str">
        <f>CONCATENATE('3 pr-2'!B105)</f>
        <v>R01-7724-220000-2113</v>
      </c>
      <c r="C104" s="309" t="str">
        <f>CONCATENATE('ketv. 2'!B104)</f>
        <v>09.1.3-CPVA-R-724-11-0002</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96">
        <f>IF(S104&gt;0,'3 pr-2'!L105,0)</f>
        <v>657021</v>
      </c>
      <c r="L104" s="1296">
        <f>IF(S104&gt;0,'3 pr-2'!O105,0)</f>
        <v>49277</v>
      </c>
      <c r="M104" s="1296">
        <f>IF(S104&gt;0,'3 pr-2'!R105,0)</f>
        <v>49277</v>
      </c>
      <c r="N104" s="1296">
        <f>IF(S104&gt;0,'3 pr-2'!U105,0)</f>
        <v>0</v>
      </c>
      <c r="O104" s="1296">
        <f>IF(S104&gt;0,'3 pr-2'!X105,0)</f>
        <v>0</v>
      </c>
      <c r="P104" s="1296">
        <f>IF(S104&gt;0,'3 pr-2'!AA105,0)</f>
        <v>558467</v>
      </c>
      <c r="Q104" s="1296">
        <f>IF($S$9&gt;0,'3 pr-2'!AB105,0)</f>
        <v>0</v>
      </c>
      <c r="R104" s="1336">
        <f>SUM('3 pr-2'!AH105)</f>
        <v>42992</v>
      </c>
      <c r="S104" s="1366">
        <f>SUMIF(Lapas4!$A$12:$A$299,C104,Lapas4!$H$12:$H$300)</f>
        <v>42991</v>
      </c>
      <c r="T104" s="216">
        <f>IF((YEAR(R104)-YEAR(S104))=0,0,YEAR(R104)-YEAR(S104))</f>
        <v>0</v>
      </c>
      <c r="U104" s="647" t="str">
        <f t="shared" si="34"/>
        <v>–</v>
      </c>
    </row>
    <row r="105" spans="1:21" ht="61.5" thickBot="1" x14ac:dyDescent="0.3">
      <c r="A105" s="182" t="str">
        <f>CONCATENATE('3 pr-2'!A106)</f>
        <v>2.1.1.1.4</v>
      </c>
      <c r="B105" s="1359" t="str">
        <f>CONCATENATE('3 pr-2'!B106)</f>
        <v>R01-7724-220000-2114</v>
      </c>
      <c r="C105" s="309" t="str">
        <f>CONCATENATE('ketv. 2'!B105)</f>
        <v>09.1.3-CPVA-R-724-11-0004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96">
        <f>IF(S105&gt;0,'3 pr-2'!L106,0)</f>
        <v>163877</v>
      </c>
      <c r="L105" s="1296">
        <f>IF(S105&gt;0,'3 pr-2'!O106,0)</f>
        <v>12291</v>
      </c>
      <c r="M105" s="1296">
        <f>IF(S105&gt;0,'3 pr-2'!R106,0)</f>
        <v>12291</v>
      </c>
      <c r="N105" s="1296">
        <f>IF(S105&gt;0,'3 pr-2'!U106,0)</f>
        <v>0</v>
      </c>
      <c r="O105" s="1296">
        <f>IF(S105&gt;0,'3 pr-2'!X106,0)</f>
        <v>0</v>
      </c>
      <c r="P105" s="1296">
        <f>IF(S105&gt;0,'3 pr-2'!AA106,0)</f>
        <v>139295</v>
      </c>
      <c r="Q105" s="1296">
        <f>IF($S$9&gt;0,'3 pr-2'!AB106,0)</f>
        <v>0</v>
      </c>
      <c r="R105" s="1336">
        <f>SUM('3 pr-2'!AH106)</f>
        <v>42993</v>
      </c>
      <c r="S105" s="1366">
        <f>SUMIF(Lapas4!$A$12:$A$299,C105,Lapas4!$H$12:$H$300)</f>
        <v>42993</v>
      </c>
      <c r="T105" s="216">
        <f>IF((YEAR(R105)-YEAR(S105))=0,0,YEAR(R105)-YEAR(S105))</f>
        <v>0</v>
      </c>
      <c r="U105" s="647" t="str">
        <f t="shared" si="34"/>
        <v>–</v>
      </c>
    </row>
    <row r="106" spans="1:21" ht="61.5" thickBot="1" x14ac:dyDescent="0.3">
      <c r="A106" s="182" t="str">
        <f>CONCATENATE('3 pr-2'!A107)</f>
        <v>2.1.1.1.5</v>
      </c>
      <c r="B106" s="1359" t="str">
        <f>CONCATENATE('3 pr-2'!B107)</f>
        <v>R01-7724-220000-2115</v>
      </c>
      <c r="C106" s="309" t="str">
        <f>CONCATENATE('ketv. 2'!B106)</f>
        <v>09.1.3-CPVA-R-724-11-0001</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96">
        <f>IF(S106&gt;0,'3 pr-2'!L107,0)</f>
        <v>195779</v>
      </c>
      <c r="L106" s="1296">
        <f>IF(S106&gt;0,'3 pr-2'!O107,0)</f>
        <v>14684</v>
      </c>
      <c r="M106" s="1296">
        <f>IF(S106&gt;0,'3 pr-2'!R107,0)</f>
        <v>14683</v>
      </c>
      <c r="N106" s="1296">
        <f>IF(S106&gt;0,'3 pr-2'!U107,0)</f>
        <v>0</v>
      </c>
      <c r="O106" s="1296">
        <f>IF(S106&gt;0,'3 pr-2'!X107,0)</f>
        <v>0</v>
      </c>
      <c r="P106" s="1296">
        <f>IF(S106&gt;0,'3 pr-2'!AA107,0)</f>
        <v>166412</v>
      </c>
      <c r="Q106" s="1296">
        <f>IF($S$9&gt;0,'3 pr-2'!AB107,0)</f>
        <v>0</v>
      </c>
      <c r="R106" s="1336">
        <f>SUM('3 pr-2'!AH107)</f>
        <v>42993</v>
      </c>
      <c r="S106" s="1366">
        <f>SUMIF(Lapas4!$A$12:$A$299,C106,Lapas4!$H$12:$H$300)</f>
        <v>42991</v>
      </c>
      <c r="T106" s="216">
        <f>IF((YEAR(R106)-YEAR(S106))=0,0,YEAR(R106)-YEAR(S106))</f>
        <v>0</v>
      </c>
      <c r="U106" s="647" t="str">
        <f t="shared" si="34"/>
        <v>–</v>
      </c>
    </row>
    <row r="107" spans="1:21" ht="39.75" customHeight="1" thickBot="1" x14ac:dyDescent="0.3">
      <c r="A107" s="326" t="str">
        <f>CONCATENATE('3 pr-2'!A108)</f>
        <v>2.1.1.2</v>
      </c>
      <c r="B107" s="2025" t="str">
        <f>CONCATENATE('3 pr-2'!B108)</f>
        <v>Priemonė:
Neformaliojo švietimo infrastruktūros tobulinimas</v>
      </c>
      <c r="C107" s="2026"/>
      <c r="D107" s="2026"/>
      <c r="E107" s="2026"/>
      <c r="F107" s="2026"/>
      <c r="G107" s="2026"/>
      <c r="H107" s="2026"/>
      <c r="I107" s="2026"/>
      <c r="J107" s="2027"/>
      <c r="K107" s="1293">
        <f t="shared" ref="K107:Q107" si="35">SUM(K108:K112)</f>
        <v>1973870.18</v>
      </c>
      <c r="L107" s="1293">
        <f t="shared" si="35"/>
        <v>487863.18</v>
      </c>
      <c r="M107" s="1293">
        <f t="shared" si="35"/>
        <v>0</v>
      </c>
      <c r="N107" s="1293">
        <f t="shared" si="35"/>
        <v>0</v>
      </c>
      <c r="O107" s="1293">
        <f t="shared" si="35"/>
        <v>0</v>
      </c>
      <c r="P107" s="1293">
        <f t="shared" si="35"/>
        <v>1486007</v>
      </c>
      <c r="Q107" s="1293">
        <f t="shared" si="35"/>
        <v>0</v>
      </c>
      <c r="R107" s="1340"/>
      <c r="S107" s="1341"/>
      <c r="T107" s="398"/>
      <c r="U107" s="399"/>
    </row>
    <row r="108" spans="1:21" ht="37.5" customHeight="1" thickBot="1" x14ac:dyDescent="0.3">
      <c r="A108" s="240" t="str">
        <f>CONCATENATE('3 pr-2'!A109)</f>
        <v>2.1.1.2.1</v>
      </c>
      <c r="B108" s="1359" t="str">
        <f>CONCATENATE('3 pr-2'!B109)</f>
        <v>R01-7725-240000-2121</v>
      </c>
      <c r="C108" s="402" t="str">
        <f>CONCATENATE('ketv. 2'!B108)</f>
        <v>09.1.3-CPVA-R-725-11-0003</v>
      </c>
      <c r="D108" s="240" t="str">
        <f>CONCATENATE('3 pr-2'!D109)</f>
        <v>Varėnos moksleivių kūrybos centro pastato J. Basanavičiaus g. 38, Varėnoje, modernizavimas</v>
      </c>
      <c r="E108" s="240" t="str">
        <f>CONCATENATE('3 pr-2'!E109)</f>
        <v>Varėnos rajono savivaldybės administracija</v>
      </c>
      <c r="F108" s="240" t="str">
        <f>CONCATENATE('3 pr-2'!F109)</f>
        <v>Lietuvos Respublikos švietimo ir mokslo ministerija</v>
      </c>
      <c r="G108" s="240" t="str">
        <f>CONCATENATE('3 pr-2'!G109)</f>
        <v>Varėnos r. sav.</v>
      </c>
      <c r="H108" s="240" t="str">
        <f>CONCATENATE('3 pr-2'!H109)</f>
        <v>09.13.CPVA-R-725</v>
      </c>
      <c r="I108" s="240" t="str">
        <f>CONCATENATE('3 pr-2'!I109)</f>
        <v>R</v>
      </c>
      <c r="J108" s="240" t="str">
        <f>CONCATENATE('3 pr-2'!J109)</f>
        <v>-</v>
      </c>
      <c r="K108" s="1296">
        <f>IF(S108&gt;0,'3 pr-2'!L109,0)</f>
        <v>437551</v>
      </c>
      <c r="L108" s="1296">
        <f>IF(S108&gt;0,'3 pr-2'!O109,0)</f>
        <v>65633</v>
      </c>
      <c r="M108" s="1296">
        <f>IF(S108&gt;0,'3 pr-2'!R109,0)</f>
        <v>0</v>
      </c>
      <c r="N108" s="1296">
        <f>IF(S108&gt;0,'3 pr-2'!U109,0)</f>
        <v>0</v>
      </c>
      <c r="O108" s="1296">
        <f>IF(S108&gt;0,'3 pr-2'!X109,0)</f>
        <v>0</v>
      </c>
      <c r="P108" s="1296">
        <f>IF(S108&gt;0,'3 pr-2'!AA109,0)</f>
        <v>371918</v>
      </c>
      <c r="Q108" s="1296">
        <f>IF($S$9&gt;0,'3 pr-2'!AB109,0)</f>
        <v>0</v>
      </c>
      <c r="R108" s="1370">
        <f>SUM('3 pr-2'!AH109)</f>
        <v>43007</v>
      </c>
      <c r="S108" s="1366">
        <f>SUMIF(Lapas4!$A$12:$A$299,C108,Lapas4!$H$12:$H$300)</f>
        <v>43004</v>
      </c>
      <c r="T108" s="404">
        <f>IF((YEAR(R108)-YEAR(S108))=0,0,YEAR(R108)-YEAR(S108))</f>
        <v>0</v>
      </c>
      <c r="U108" s="647" t="str">
        <f t="shared" ref="U108:U112" si="36">IF(R108-S108&lt;0,(R108-S108)/30.4166666666667,"–")</f>
        <v>–</v>
      </c>
    </row>
    <row r="109" spans="1:21" ht="61.5" thickBot="1" x14ac:dyDescent="0.3">
      <c r="A109" s="182" t="str">
        <f>CONCATENATE('3 pr-2'!A110)</f>
        <v>2.1.1.2.2</v>
      </c>
      <c r="B109" s="1359" t="str">
        <f>CONCATENATE('3 pr-2'!B110)</f>
        <v>R01-7725-240000-2122</v>
      </c>
      <c r="C109" s="309" t="str">
        <f>CONCATENATE('ketv. 2'!B109)</f>
        <v>09.1.3-CPVA-R-725-11-0005</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96">
        <f>IF(S109&gt;0,'3 pr-2'!L110,0)</f>
        <v>856424.88</v>
      </c>
      <c r="L109" s="1296">
        <f>IF(S109&gt;0,'3 pr-2'!O110,0)</f>
        <v>319813.88</v>
      </c>
      <c r="M109" s="1296">
        <f>IF(S109&gt;0,'3 pr-2'!R110,0)</f>
        <v>0</v>
      </c>
      <c r="N109" s="1296">
        <f>IF(S109&gt;0,'3 pr-2'!U110,0)</f>
        <v>0</v>
      </c>
      <c r="O109" s="1296">
        <f>IF(S109&gt;0,'3 pr-2'!X110,0)</f>
        <v>0</v>
      </c>
      <c r="P109" s="1296">
        <f>IF(S109&gt;0,'3 pr-2'!AA110,0)</f>
        <v>536611</v>
      </c>
      <c r="Q109" s="1296">
        <f>IF($S$9&gt;0,'3 pr-2'!AB110,0)</f>
        <v>0</v>
      </c>
      <c r="R109" s="1336">
        <f>SUM('3 pr-2'!AH110)</f>
        <v>43008</v>
      </c>
      <c r="S109" s="1366">
        <f>SUMIF(Lapas4!$A$12:$A$299,C109,Lapas4!$H$12:$H$300)</f>
        <v>43081</v>
      </c>
      <c r="T109" s="216">
        <f>IF((YEAR(R109)-YEAR(S109))=0,0,YEAR(R109)-YEAR(S109))</f>
        <v>0</v>
      </c>
      <c r="U109" s="647">
        <f t="shared" si="36"/>
        <v>-2.3999999999999972</v>
      </c>
    </row>
    <row r="110" spans="1:21" ht="61.5" thickBot="1" x14ac:dyDescent="0.3">
      <c r="A110" s="182" t="str">
        <f>CONCATENATE('3 pr-2'!A111)</f>
        <v>2.1.1.2.3</v>
      </c>
      <c r="B110" s="1359" t="str">
        <f>CONCATENATE('3 pr-2'!B111)</f>
        <v>R01-7725-240000-2123</v>
      </c>
      <c r="C110" s="309" t="str">
        <f>CONCATENATE('ketv. 2'!B110)</f>
        <v>09.1.3-CPVA-R-725-11-0004</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96">
        <f>IF(S110&gt;0,'3 pr-2'!L111,0)</f>
        <v>397378</v>
      </c>
      <c r="L110" s="1296">
        <f>IF(S110&gt;0,'3 pr-2'!O111,0)</f>
        <v>59607</v>
      </c>
      <c r="M110" s="1296">
        <f>IF(S110&gt;0,'3 pr-2'!R111,0)</f>
        <v>0</v>
      </c>
      <c r="N110" s="1296">
        <f>IF(S110&gt;0,'3 pr-2'!U111,0)</f>
        <v>0</v>
      </c>
      <c r="O110" s="1296">
        <f>IF(S110&gt;0,'3 pr-2'!X111,0)</f>
        <v>0</v>
      </c>
      <c r="P110" s="1296">
        <f>IF(S110&gt;0,'3 pr-2'!AA111,0)</f>
        <v>337771</v>
      </c>
      <c r="Q110" s="1296">
        <f>IF($S$9&gt;0,'3 pr-2'!AB111,0)</f>
        <v>0</v>
      </c>
      <c r="R110" s="1336">
        <f>SUM('3 pr-2'!AH111)</f>
        <v>43007</v>
      </c>
      <c r="S110" s="1366">
        <f>SUMIF(Lapas4!$A$12:$A$299,C110,Lapas4!$H$12:$H$300)</f>
        <v>43006</v>
      </c>
      <c r="T110" s="216">
        <f>IF((YEAR(R110)-YEAR(S110))=0,0,YEAR(R110)-YEAR(S110))</f>
        <v>0</v>
      </c>
      <c r="U110" s="647" t="str">
        <f t="shared" si="36"/>
        <v>–</v>
      </c>
    </row>
    <row r="111" spans="1:21" ht="61.5" thickBot="1" x14ac:dyDescent="0.3">
      <c r="A111" s="182" t="str">
        <f>CONCATENATE('3 pr-2'!A112)</f>
        <v>2.1.1.2.4</v>
      </c>
      <c r="B111" s="1359" t="str">
        <f>CONCATENATE('3 pr-2'!B112)</f>
        <v>R01-7725-240000-2124</v>
      </c>
      <c r="C111" s="309" t="str">
        <f>CONCATENATE('ketv. 2'!B111)</f>
        <v>09.1.3-CPVA-R-725-11-0002</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96">
        <f>IF(S111&gt;0,'3 pr-2'!L112,0)</f>
        <v>146702.29999999999</v>
      </c>
      <c r="L111" s="1296">
        <f>IF(S111&gt;0,'3 pr-2'!O112,0)</f>
        <v>22436.3</v>
      </c>
      <c r="M111" s="1296">
        <f>IF(S111&gt;0,'3 pr-2'!R112,0)</f>
        <v>0</v>
      </c>
      <c r="N111" s="1296">
        <f>IF(S111&gt;0,'3 pr-2'!U112,0)</f>
        <v>0</v>
      </c>
      <c r="O111" s="1296">
        <f>IF(S111&gt;0,'3 pr-2'!X112,0)</f>
        <v>0</v>
      </c>
      <c r="P111" s="1296">
        <f>IF(S111&gt;0,'3 pr-2'!AA112,0)</f>
        <v>124266</v>
      </c>
      <c r="Q111" s="1296">
        <f>IF($S$9&gt;0,'3 pr-2'!AB112,0)</f>
        <v>0</v>
      </c>
      <c r="R111" s="1336">
        <f>SUM('3 pr-2'!AH112)</f>
        <v>42993</v>
      </c>
      <c r="S111" s="1366">
        <f>SUMIF(Lapas4!$A$12:$A$299,C111,Lapas4!$H$12:$H$300)</f>
        <v>42993</v>
      </c>
      <c r="T111" s="216">
        <f>IF((YEAR(R111)-YEAR(S111))=0,0,YEAR(R111)-YEAR(S111))</f>
        <v>0</v>
      </c>
      <c r="U111" s="647" t="str">
        <f t="shared" si="36"/>
        <v>–</v>
      </c>
    </row>
    <row r="112" spans="1:21" ht="61.5" thickBot="1" x14ac:dyDescent="0.3">
      <c r="A112" s="259" t="str">
        <f>CONCATENATE('3 pr-2'!A113)</f>
        <v>2.1.1.2.5</v>
      </c>
      <c r="B112" s="1359" t="str">
        <f>CONCATENATE('3 pr-2'!B113)</f>
        <v>R01-7725-240000-2125</v>
      </c>
      <c r="C112" s="400" t="str">
        <f>CONCATENATE('ketv. 2'!B112)</f>
        <v>09.1.3-CPVA-R-725-11-0001</v>
      </c>
      <c r="D112" s="259" t="str">
        <f>CONCATENATE('3 pr-2'!D113)</f>
        <v>Neformaliojo švietimo įstaigų Lazdijų rajono savivaldybėje infrastruktūros tobulinimas</v>
      </c>
      <c r="E112" s="259" t="str">
        <f>CONCATENATE('3 pr-2'!E113)</f>
        <v>VšĮ „Lazdijų sporto centras“</v>
      </c>
      <c r="F112" s="259" t="str">
        <f>CONCATENATE('3 pr-2'!F113)</f>
        <v>Lietuvos Respublikos švietimo ir mokslo ministerija</v>
      </c>
      <c r="G112" s="259" t="str">
        <f>CONCATENATE('3 pr-2'!G113)</f>
        <v>Lazdijų r. sav.</v>
      </c>
      <c r="H112" s="259" t="str">
        <f>CONCATENATE('3 pr-2'!H113)</f>
        <v>09.13.CPVA-R-725</v>
      </c>
      <c r="I112" s="259" t="str">
        <f>CONCATENATE('3 pr-2'!I113)</f>
        <v>R</v>
      </c>
      <c r="J112" s="259" t="str">
        <f>CONCATENATE('3 pr-2'!J113)</f>
        <v>-</v>
      </c>
      <c r="K112" s="1296">
        <f>IF(S112&gt;0,'3 pr-2'!L113,0)</f>
        <v>135814</v>
      </c>
      <c r="L112" s="1296">
        <f>IF(S112&gt;0,'3 pr-2'!O113,0)</f>
        <v>20373</v>
      </c>
      <c r="M112" s="1296">
        <f>IF(S112&gt;0,'3 pr-2'!R113,0)</f>
        <v>0</v>
      </c>
      <c r="N112" s="1296">
        <f>IF(S112&gt;0,'3 pr-2'!U113,0)</f>
        <v>0</v>
      </c>
      <c r="O112" s="1296">
        <f>IF(S112&gt;0,'3 pr-2'!X113,0)</f>
        <v>0</v>
      </c>
      <c r="P112" s="1296">
        <f>IF(S112&gt;0,'3 pr-2'!AA113,0)</f>
        <v>115441</v>
      </c>
      <c r="Q112" s="1296">
        <f>IF($S$9&gt;0,'3 pr-2'!AB113,0)</f>
        <v>0</v>
      </c>
      <c r="R112" s="1349">
        <f>SUM('3 pr-2'!AH113)</f>
        <v>42916</v>
      </c>
      <c r="S112" s="1366">
        <f>SUMIF(Lapas4!$A$12:$A$299,C112,Lapas4!$H$12:$H$300)</f>
        <v>42915</v>
      </c>
      <c r="T112" s="401">
        <f>IF((YEAR(R112)-YEAR(S112))=0,0,YEAR(R112)-YEAR(S112))</f>
        <v>0</v>
      </c>
      <c r="U112" s="647" t="str">
        <f t="shared" si="36"/>
        <v>–</v>
      </c>
    </row>
    <row r="113" spans="1:22" ht="37.5" customHeight="1" thickBot="1" x14ac:dyDescent="0.3">
      <c r="A113" s="326" t="str">
        <f>CONCATENATE('3 pr-2'!A114)</f>
        <v>2.1.1.3</v>
      </c>
      <c r="B113" s="2025" t="str">
        <f>CONCATENATE('3 pr-2'!B114)</f>
        <v>Priemonė:
Ikimokyklinio ir priešmokyklinio ugdymo prieinamumo didinimas</v>
      </c>
      <c r="C113" s="2026"/>
      <c r="D113" s="2026"/>
      <c r="E113" s="2026"/>
      <c r="F113" s="2026"/>
      <c r="G113" s="2026"/>
      <c r="H113" s="2026"/>
      <c r="I113" s="2026"/>
      <c r="J113" s="2027"/>
      <c r="K113" s="1293">
        <f t="shared" ref="K113:Q113" si="37">SUM(K114:K118)</f>
        <v>1459021.7699999998</v>
      </c>
      <c r="L113" s="1293">
        <f t="shared" si="37"/>
        <v>219970.77</v>
      </c>
      <c r="M113" s="1293">
        <f t="shared" si="37"/>
        <v>100463</v>
      </c>
      <c r="N113" s="1293">
        <f t="shared" si="37"/>
        <v>0</v>
      </c>
      <c r="O113" s="1293">
        <f t="shared" si="37"/>
        <v>0</v>
      </c>
      <c r="P113" s="1293">
        <f t="shared" si="37"/>
        <v>1138588</v>
      </c>
      <c r="Q113" s="1293">
        <f t="shared" si="37"/>
        <v>0</v>
      </c>
      <c r="R113" s="1340"/>
      <c r="S113" s="1341"/>
      <c r="T113" s="398"/>
      <c r="U113" s="399"/>
    </row>
    <row r="114" spans="1:22" ht="61.5" thickBot="1" x14ac:dyDescent="0.3">
      <c r="A114" s="240" t="str">
        <f>CONCATENATE('3 pr-2'!A115)</f>
        <v>2.1.1.3.1</v>
      </c>
      <c r="B114" s="1359" t="str">
        <f>CONCATENATE('3 pr-2'!B115)</f>
        <v>R01-7705-230000-2131</v>
      </c>
      <c r="C114" s="402" t="str">
        <f>CONCATENATE('ketv. 2'!B114)</f>
        <v>09.1.3-CPVA-R-705-11-0003</v>
      </c>
      <c r="D114" s="240" t="str">
        <f>CONCATENATE('3 pr-2'!D115)</f>
        <v>Varėnos "Pasakos" vaikų lopšelio-darželio pastato modernizavimas</v>
      </c>
      <c r="E114" s="240" t="str">
        <f>CONCATENATE('3 pr-2'!E115)</f>
        <v>Varėnos rajono savivaldybės administracija</v>
      </c>
      <c r="F114" s="240" t="str">
        <f>CONCATENATE('3 pr-2'!F115)</f>
        <v>Lietuvos Respublikos švietimo ir mokslo ministerija</v>
      </c>
      <c r="G114" s="240" t="str">
        <f>CONCATENATE('3 pr-2'!G115)</f>
        <v>Varėnos r. sav.</v>
      </c>
      <c r="H114" s="240" t="str">
        <f>CONCATENATE('3 pr-2'!H115)</f>
        <v>09.1.3-CPVA-R-705</v>
      </c>
      <c r="I114" s="240" t="str">
        <f>CONCATENATE('3 pr-2'!I115)</f>
        <v>R</v>
      </c>
      <c r="J114" s="240" t="str">
        <f>CONCATENATE('3 pr-2'!J115)</f>
        <v>-</v>
      </c>
      <c r="K114" s="1296">
        <f>IF(S114&gt;0,'3 pr-2'!L115,0)</f>
        <v>370000</v>
      </c>
      <c r="L114" s="1296">
        <f>IF(S114&gt;0,'3 pr-2'!O115,0)</f>
        <v>57342</v>
      </c>
      <c r="M114" s="1296">
        <f>IF(S114&gt;0,'3 pr-2'!R115,0)</f>
        <v>25351</v>
      </c>
      <c r="N114" s="1296">
        <f>IF(S114&gt;0,'3 pr-2'!U115,0)</f>
        <v>0</v>
      </c>
      <c r="O114" s="1296">
        <f>IF(S114&gt;0,'3 pr-2'!X115,0)</f>
        <v>0</v>
      </c>
      <c r="P114" s="1296">
        <f>IF(S114&gt;0,'3 pr-2'!AA115,0)</f>
        <v>287307</v>
      </c>
      <c r="Q114" s="1296">
        <f>IF($S$9&gt;0,'3 pr-2'!AB115,0)</f>
        <v>0</v>
      </c>
      <c r="R114" s="1370">
        <f>SUM('3 pr-2'!AH115)</f>
        <v>43080</v>
      </c>
      <c r="S114" s="1366">
        <f>SUMIF(Lapas4!$A$12:$A$299,C114,Lapas4!$H$12:$H$300)</f>
        <v>43080</v>
      </c>
      <c r="T114" s="401">
        <f t="shared" ref="T114:T118" si="38">IF((YEAR(R114)-YEAR(S114))=0,0,YEAR(R114)-YEAR(S114))</f>
        <v>0</v>
      </c>
      <c r="U114" s="647" t="str">
        <f t="shared" ref="U114:U118" si="39">IF(R114-S114&lt;0,(R114-S114)/30.4166666666667,"–")</f>
        <v>–</v>
      </c>
      <c r="V114" s="5"/>
    </row>
    <row r="115" spans="1:22" ht="61.5" thickBot="1" x14ac:dyDescent="0.3">
      <c r="A115" s="182" t="str">
        <f>CONCATENATE('3 pr-2'!A116)</f>
        <v>2.1.1.3.2</v>
      </c>
      <c r="B115" s="1359" t="str">
        <f>CONCATENATE('3 pr-2'!B116)</f>
        <v>R01-7705-230000-2132</v>
      </c>
      <c r="C115" s="309" t="str">
        <f>CONCATENATE('ketv. 2'!B115)</f>
        <v>09.1.3-CPVA-R-705-11-0004</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96">
        <f>IF(S115&gt;0,'3 pr-2'!L116,0)</f>
        <v>597456.88</v>
      </c>
      <c r="L115" s="1296">
        <f>IF(S115&gt;0,'3 pr-2'!O116,0)</f>
        <v>59861.88</v>
      </c>
      <c r="M115" s="1296">
        <f>IF(S115&gt;0,'3 pr-2'!R116,0)</f>
        <v>43588</v>
      </c>
      <c r="N115" s="1296">
        <f>IF(S115&gt;0,'3 pr-2'!U116,0)</f>
        <v>0</v>
      </c>
      <c r="O115" s="1296">
        <f>IF(S115&gt;0,'3 pr-2'!X116,0)</f>
        <v>0</v>
      </c>
      <c r="P115" s="1296">
        <f>IF(S115&gt;0,'3 pr-2'!AA116,0)</f>
        <v>494007</v>
      </c>
      <c r="Q115" s="1296">
        <f>IF($S$9&gt;0,'3 pr-2'!AB116,0)</f>
        <v>0</v>
      </c>
      <c r="R115" s="1336">
        <f>SUM('3 pr-2'!AH116)</f>
        <v>43080</v>
      </c>
      <c r="S115" s="1366">
        <f>SUMIF(Lapas4!$A$12:$A$299,C115,Lapas4!$H$12:$H$300)</f>
        <v>43080</v>
      </c>
      <c r="T115" s="401">
        <f t="shared" si="38"/>
        <v>0</v>
      </c>
      <c r="U115" s="647" t="str">
        <f t="shared" si="39"/>
        <v>–</v>
      </c>
    </row>
    <row r="116" spans="1:22" ht="61.5" thickBot="1" x14ac:dyDescent="0.3">
      <c r="A116" s="182" t="str">
        <f>CONCATENATE('3 pr-2'!A117)</f>
        <v>2.1.1.3.3</v>
      </c>
      <c r="B116" s="1359" t="str">
        <f>CONCATENATE('3 pr-2'!B117)</f>
        <v>R01-7705-230000-2133</v>
      </c>
      <c r="C116" s="309" t="str">
        <f>CONCATENATE('ketv. 2'!B116)</f>
        <v>09.1.3-CPVA-R-705-11-0001</v>
      </c>
      <c r="D116" s="182" t="str">
        <f>CONCATENATE('3 pr-2'!D117)</f>
        <v>Alytaus lopšelio-darželio "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96">
        <f>IF(S116&gt;0,'3 pr-2'!L117,0)</f>
        <v>181986</v>
      </c>
      <c r="L116" s="1296">
        <f>IF(S116&gt;0,'3 pr-2'!O117,0)</f>
        <v>13649</v>
      </c>
      <c r="M116" s="1296">
        <f>IF(S116&gt;0,'3 pr-2'!R117,0)</f>
        <v>13649</v>
      </c>
      <c r="N116" s="1296">
        <f>IF(S116&gt;0,'3 pr-2'!U117,0)</f>
        <v>0</v>
      </c>
      <c r="O116" s="1296">
        <f>IF(S116&gt;0,'3 pr-2'!X117,0)</f>
        <v>0</v>
      </c>
      <c r="P116" s="1296">
        <f>IF(S116&gt;0,'3 pr-2'!AA117,0)</f>
        <v>154688</v>
      </c>
      <c r="Q116" s="1296">
        <f>IF($S$9&gt;0,'3 pr-2'!AB117,0)</f>
        <v>0</v>
      </c>
      <c r="R116" s="1336">
        <f>SUM('3 pr-2'!AH117)</f>
        <v>43080</v>
      </c>
      <c r="S116" s="1366">
        <f>SUMIF(Lapas4!$A$12:$A$299,C116,Lapas4!$H$12:$H$300)</f>
        <v>43076</v>
      </c>
      <c r="T116" s="401">
        <f t="shared" si="38"/>
        <v>0</v>
      </c>
      <c r="U116" s="647" t="str">
        <f t="shared" si="39"/>
        <v>–</v>
      </c>
    </row>
    <row r="117" spans="1:22" ht="61.5" thickBot="1" x14ac:dyDescent="0.3">
      <c r="A117" s="182" t="str">
        <f>CONCATENATE('3 pr-2'!A118)</f>
        <v>2.1.1.3.4</v>
      </c>
      <c r="B117" s="1359" t="str">
        <f>CONCATENATE('3 pr-2'!B118)</f>
        <v>R01-7705-230000-2134</v>
      </c>
      <c r="C117" s="309" t="str">
        <f>CONCATENATE('ketv. 2'!B117)</f>
        <v>09.1.3-CPVA-R-705-11-0006</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96">
        <f>IF(S117&gt;0,'3 pr-2'!L118,0)</f>
        <v>176024.68</v>
      </c>
      <c r="L117" s="1296">
        <f>IF(S117&gt;0,'3 pr-2'!O118,0)</f>
        <v>79091.679999999993</v>
      </c>
      <c r="M117" s="1296">
        <f>IF(S117&gt;0,'3 pr-2'!R118,0)</f>
        <v>7859</v>
      </c>
      <c r="N117" s="1296">
        <f>IF(S117&gt;0,'3 pr-2'!U118,0)</f>
        <v>0</v>
      </c>
      <c r="O117" s="1296">
        <f>IF(S117&gt;0,'3 pr-2'!X118,0)</f>
        <v>0</v>
      </c>
      <c r="P117" s="1296">
        <f>IF(S117&gt;0,'3 pr-2'!AA118,0)</f>
        <v>89074</v>
      </c>
      <c r="Q117" s="1296">
        <f>IF($S$9&gt;0,'3 pr-2'!AB118,0)</f>
        <v>0</v>
      </c>
      <c r="R117" s="1336">
        <f>SUM('3 pr-2'!AH118)</f>
        <v>43160</v>
      </c>
      <c r="S117" s="1366">
        <f>SUMIF(Lapas4!$A$12:$A$299,C117,Lapas4!$H$12:$H$300)</f>
        <v>43175</v>
      </c>
      <c r="T117" s="401">
        <f t="shared" si="38"/>
        <v>0</v>
      </c>
      <c r="U117" s="647">
        <f t="shared" si="39"/>
        <v>-0.49315068493150632</v>
      </c>
    </row>
    <row r="118" spans="1:22" ht="61.5" thickBot="1" x14ac:dyDescent="0.3">
      <c r="A118" s="259" t="str">
        <f>CONCATENATE('3 pr-2'!A119)</f>
        <v>2.1.1.3.5</v>
      </c>
      <c r="B118" s="1359" t="str">
        <f>CONCATENATE('3 pr-2'!B119)</f>
        <v>R01-7705-230000-2135</v>
      </c>
      <c r="C118" s="400" t="str">
        <f>CONCATENATE('ketv. 2'!B118)</f>
        <v>09.1.3-CPVA-R-705-11-0002</v>
      </c>
      <c r="D118" s="259" t="str">
        <f>CONCATENATE('3 pr-2'!D119)</f>
        <v>Ikimokyklinio ir priešmokyklinio ugdymo įstaigų Lazdijų rajono savivaldybėje modernizavimas</v>
      </c>
      <c r="E118" s="259" t="str">
        <f>CONCATENATE('3 pr-2'!E119)</f>
        <v>Lazdijų rajono savivaldybės administracija</v>
      </c>
      <c r="F118" s="259" t="str">
        <f>CONCATENATE('3 pr-2'!F119)</f>
        <v>Lietuvos Respublikos švietimo ir mokslo ministerija</v>
      </c>
      <c r="G118" s="259" t="str">
        <f>CONCATENATE('3 pr-2'!G119)</f>
        <v>Lazdijų r. sav.</v>
      </c>
      <c r="H118" s="259" t="str">
        <f>CONCATENATE('3 pr-2'!H119)</f>
        <v>09.1.3-CPVA-R-705</v>
      </c>
      <c r="I118" s="259" t="str">
        <f>CONCATENATE('3 pr-2'!I119)</f>
        <v>R</v>
      </c>
      <c r="J118" s="259" t="str">
        <f>CONCATENATE('3 pr-2'!J119)</f>
        <v>-</v>
      </c>
      <c r="K118" s="1296">
        <f>IF(S118&gt;0,'3 pr-2'!L119,0)</f>
        <v>133554.21</v>
      </c>
      <c r="L118" s="1296">
        <f>IF(S118&gt;0,'3 pr-2'!O119,0)</f>
        <v>10026.209999999999</v>
      </c>
      <c r="M118" s="1296">
        <f>IF(S118&gt;0,'3 pr-2'!R119,0)</f>
        <v>10016</v>
      </c>
      <c r="N118" s="1296">
        <f>IF(S118&gt;0,'3 pr-2'!U119,0)</f>
        <v>0</v>
      </c>
      <c r="O118" s="1296">
        <f>IF(S118&gt;0,'3 pr-2'!X119,0)</f>
        <v>0</v>
      </c>
      <c r="P118" s="1296">
        <f>IF(S118&gt;0,'3 pr-2'!AA119,0)</f>
        <v>113512</v>
      </c>
      <c r="Q118" s="1296">
        <f>IF($S$9&gt;0,'3 pr-2'!AB119,0)</f>
        <v>0</v>
      </c>
      <c r="R118" s="1349">
        <f>SUM('3 pr-2'!AH119)</f>
        <v>43080</v>
      </c>
      <c r="S118" s="1366">
        <f>SUMIF(Lapas4!$A$12:$A$299,C118,Lapas4!$H$12:$H$300)</f>
        <v>43080</v>
      </c>
      <c r="T118" s="401">
        <f t="shared" si="38"/>
        <v>0</v>
      </c>
      <c r="U118" s="647" t="str">
        <f t="shared" si="39"/>
        <v>–</v>
      </c>
    </row>
    <row r="119" spans="1:22" ht="50.25" customHeight="1" thickBot="1" x14ac:dyDescent="0.3">
      <c r="A119" s="261" t="str">
        <f>CONCATENATE('3 pr-2'!A120)</f>
        <v>2.1.2.</v>
      </c>
      <c r="B119" s="2022" t="str">
        <f>CONCATENATE('3 pr-2'!B120)</f>
        <v>Uždavinys:
Sveikatos netolygumų sumažinimas, gerinant sveikatos priežiūros kokybę ir prieinamumą tikslinėms gyventojų grupėms ir sveiko senėjimo skatinimas</v>
      </c>
      <c r="C119" s="2023"/>
      <c r="D119" s="2023"/>
      <c r="E119" s="2023"/>
      <c r="F119" s="2023"/>
      <c r="G119" s="2023"/>
      <c r="H119" s="2023"/>
      <c r="I119" s="2023"/>
      <c r="J119" s="2024"/>
      <c r="K119" s="1420">
        <f t="shared" ref="K119:P119" si="40">SUM(K120+K134)</f>
        <v>1631082.5399999998</v>
      </c>
      <c r="L119" s="1420">
        <f t="shared" si="40"/>
        <v>112765.07</v>
      </c>
      <c r="M119" s="1420">
        <f t="shared" si="40"/>
        <v>122330.62</v>
      </c>
      <c r="N119" s="1420">
        <f t="shared" si="40"/>
        <v>9566</v>
      </c>
      <c r="O119" s="1420">
        <f t="shared" si="40"/>
        <v>0</v>
      </c>
      <c r="P119" s="1420">
        <f t="shared" si="40"/>
        <v>1386420.85</v>
      </c>
      <c r="Q119" s="1420">
        <f t="shared" ref="Q119" si="41">SUM(Q120+Q134)</f>
        <v>0</v>
      </c>
      <c r="R119" s="1338"/>
      <c r="S119" s="1339"/>
      <c r="T119" s="408"/>
      <c r="U119" s="239"/>
    </row>
    <row r="120" spans="1:22" ht="38.25" customHeight="1" thickBot="1" x14ac:dyDescent="0.3">
      <c r="A120" s="326" t="str">
        <f>CONCATENATE('3 pr-2'!A121)</f>
        <v>2.1.2.1</v>
      </c>
      <c r="B120" s="2025" t="str">
        <f>CONCATENATE('3 pr-2'!B121)</f>
        <v>Priemonė:
Pirminės asmens ir visuomenės sveikatos priežiūros veiklos efektyvumo didinimas gerinant jų infrastruktūrą</v>
      </c>
      <c r="C120" s="2026"/>
      <c r="D120" s="2026"/>
      <c r="E120" s="2026"/>
      <c r="F120" s="2026"/>
      <c r="G120" s="2026"/>
      <c r="H120" s="2026"/>
      <c r="I120" s="2026"/>
      <c r="J120" s="2027"/>
      <c r="K120" s="1293">
        <f t="shared" ref="K120:P120" si="42">SUM(K121:K128)</f>
        <v>636098</v>
      </c>
      <c r="L120" s="1293">
        <f t="shared" si="42"/>
        <v>38141</v>
      </c>
      <c r="M120" s="1293">
        <f t="shared" si="42"/>
        <v>47707</v>
      </c>
      <c r="N120" s="1293">
        <f t="shared" si="42"/>
        <v>9566</v>
      </c>
      <c r="O120" s="1293">
        <f t="shared" si="42"/>
        <v>0</v>
      </c>
      <c r="P120" s="1293">
        <f t="shared" si="42"/>
        <v>540684</v>
      </c>
      <c r="Q120" s="1293">
        <f t="shared" ref="Q120" si="43">SUM(Q121:Q128)</f>
        <v>0</v>
      </c>
      <c r="R120" s="1340"/>
      <c r="S120" s="1341"/>
      <c r="T120" s="398">
        <f>IF((YEAR(R120)-YEAR(S120))=0,0,YEAR(R120)-YEAR(S120))</f>
        <v>0</v>
      </c>
      <c r="U120" s="399">
        <f>IF((MONTH(R120)-MONTH(S120))=0,0,MONTH(R120)-MONTH(S120))</f>
        <v>0</v>
      </c>
    </row>
    <row r="121" spans="1:22" ht="61.5" thickBot="1" x14ac:dyDescent="0.3">
      <c r="A121" s="181" t="str">
        <f>CONCATENATE('3 pr-2'!A122)</f>
        <v>2.1.2.1.1</v>
      </c>
      <c r="B121" s="1359" t="str">
        <f>CONCATENATE('3 pr-2'!B122)</f>
        <v>R01-6609-274710-2211</v>
      </c>
      <c r="C121" s="247" t="str">
        <f>CONCATENATE('ketv. 2'!B121)</f>
        <v>08.1.3-CPVA-R-609-11-0002</v>
      </c>
      <c r="D121" s="182" t="str">
        <f>CONCATENATE('3 pr-2'!D122)</f>
        <v xml:space="preserve">Alytaus poliklinikos teikiamų pirminės sveikatos priežiūros paslaugų prieinamumo didinimas ir kokybės gerinimas </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92" t="str">
        <f>CONCATENATE('3 pr-2'!J122)</f>
        <v>-</v>
      </c>
      <c r="K121" s="1296">
        <f>IF(S121&gt;0,'3 pr-2'!L122,0)</f>
        <v>458183</v>
      </c>
      <c r="L121" s="1296">
        <f>IF(S121&gt;0,'3 pr-2'!O122,0)</f>
        <v>34364</v>
      </c>
      <c r="M121" s="1296">
        <f>IF(S121&gt;0,'3 pr-2'!R122,0)</f>
        <v>34363</v>
      </c>
      <c r="N121" s="1296">
        <f>IF(S121&gt;0,'3 pr-2'!U122,0)</f>
        <v>0</v>
      </c>
      <c r="O121" s="1296">
        <f>IF(S121&gt;0,'3 pr-2'!X122,0)</f>
        <v>0</v>
      </c>
      <c r="P121" s="1296">
        <f>IF(S121&gt;0,'3 pr-2'!AA122,0)</f>
        <v>389456</v>
      </c>
      <c r="Q121" s="1296">
        <f>IF($S$9&gt;0,'3 pr-2'!AB122,0)</f>
        <v>0</v>
      </c>
      <c r="R121" s="1361">
        <f>SUM('3 pr-2'!AH122)</f>
        <v>43363</v>
      </c>
      <c r="S121" s="1366">
        <f>SUMIF(Lapas4!$A$12:$A$299,C121,Lapas4!$H$12:$H$300)</f>
        <v>43362</v>
      </c>
      <c r="T121" s="191">
        <f>IF((YEAR(R121)-YEAR(S121))=0,0,YEAR(R121)-YEAR(S121))</f>
        <v>0</v>
      </c>
      <c r="U121" s="647" t="str">
        <f t="shared" ref="U121:U128" si="44">IF(R121-S121&lt;0,(R121-S121)/30.4166666666667,"–")</f>
        <v>–</v>
      </c>
    </row>
    <row r="122" spans="1:22" ht="85.5" thickBot="1" x14ac:dyDescent="0.3">
      <c r="A122" s="181" t="str">
        <f>CONCATENATE('3 pr-2'!A123)</f>
        <v>2.1.2.1.2</v>
      </c>
      <c r="B122" s="1359" t="str">
        <f>CONCATENATE('3 pr-2'!B123)</f>
        <v>R01-6609-274710-2212</v>
      </c>
      <c r="C122" s="247" t="str">
        <f>CONCATENATE('ketv. 2'!B122)</f>
        <v>08.1.3-CPVA-R-609-11-0004</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92" t="str">
        <f>CONCATENATE('3 pr-2'!J123)</f>
        <v>-</v>
      </c>
      <c r="K122" s="1296">
        <f>IF(S122&gt;0,'3 pr-2'!L123,0)</f>
        <v>50356</v>
      </c>
      <c r="L122" s="1296">
        <f>IF(S122&gt;0,'3 pr-2'!O123,0)</f>
        <v>3777</v>
      </c>
      <c r="M122" s="1296">
        <f>IF(S122&gt;0,'3 pr-2'!R123,0)</f>
        <v>3777</v>
      </c>
      <c r="N122" s="1296">
        <f>IF(S122&gt;0,'3 pr-2'!U123,0)</f>
        <v>0</v>
      </c>
      <c r="O122" s="1296">
        <f>IF(S122&gt;0,'3 pr-2'!X123,0)</f>
        <v>0</v>
      </c>
      <c r="P122" s="1296">
        <f>IF(S122&gt;0,'3 pr-2'!AA123,0)</f>
        <v>42802</v>
      </c>
      <c r="Q122" s="1296">
        <f>IF($S$9&gt;0,'3 pr-2'!AB123,0)</f>
        <v>0</v>
      </c>
      <c r="R122" s="1361">
        <f>SUM('3 pr-2'!AH123)</f>
        <v>43373</v>
      </c>
      <c r="S122" s="1366">
        <f>SUMIF(Lapas4!$A$12:$A$299,C122,Lapas4!$H$12:$H$300)</f>
        <v>43371</v>
      </c>
      <c r="T122" s="191"/>
      <c r="U122" s="647" t="str">
        <f t="shared" si="44"/>
        <v>–</v>
      </c>
    </row>
    <row r="123" spans="1:22" ht="61.5" thickBot="1" x14ac:dyDescent="0.3">
      <c r="A123" s="181" t="str">
        <f>CONCATENATE('3 pr-2'!A124)</f>
        <v>2.1.2.1.3</v>
      </c>
      <c r="B123" s="1359" t="str">
        <f>CONCATENATE('3 pr-2'!B124)</f>
        <v>R01-6609-274700-2213</v>
      </c>
      <c r="C123" s="247" t="str">
        <f>CONCATENATE('ketv. 2'!B123)</f>
        <v>08.1.3-CPVA-R-609-11-0003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92" t="str">
        <f>CONCATENATE('3 pr-2'!J124)</f>
        <v>-</v>
      </c>
      <c r="K123" s="1296">
        <f>IF(S123&gt;0,'3 pr-2'!L124,0)</f>
        <v>83468</v>
      </c>
      <c r="L123" s="1296">
        <f>IF(S123&gt;0,'3 pr-2'!O124,0)</f>
        <v>0</v>
      </c>
      <c r="M123" s="1296">
        <f>IF(S123&gt;0,'3 pr-2'!R124,0)</f>
        <v>6260</v>
      </c>
      <c r="N123" s="1296">
        <f>IF(S123&gt;0,'3 pr-2'!U124,0)</f>
        <v>6260</v>
      </c>
      <c r="O123" s="1296">
        <f>IF(S123&gt;0,'3 pr-2'!X124,0)</f>
        <v>0</v>
      </c>
      <c r="P123" s="1296">
        <f>IF(S123&gt;0,'3 pr-2'!AA124,0)</f>
        <v>70948</v>
      </c>
      <c r="Q123" s="1296">
        <f>IF($S$9&gt;0,'3 pr-2'!AB124,0)</f>
        <v>0</v>
      </c>
      <c r="R123" s="1361">
        <f>SUM('3 pr-2'!AH124)</f>
        <v>43373</v>
      </c>
      <c r="S123" s="1366">
        <f>SUMIF(Lapas4!$A$12:$A$299,C123,Lapas4!$H$12:$H$300)</f>
        <v>43370</v>
      </c>
      <c r="T123" s="191"/>
      <c r="U123" s="647" t="str">
        <f t="shared" si="44"/>
        <v>–</v>
      </c>
    </row>
    <row r="124" spans="1:22" ht="61.5" thickBot="1" x14ac:dyDescent="0.3">
      <c r="A124" s="181" t="str">
        <f>CONCATENATE('3 pr-2'!A125)</f>
        <v>2.1.2.1.4</v>
      </c>
      <c r="B124" s="1359" t="str">
        <f>CONCATENATE('3 pr-2'!B125)</f>
        <v>R01-6609-274710-2214</v>
      </c>
      <c r="C124" s="247" t="str">
        <f>CONCATENATE('ketv. 2'!B124)</f>
        <v>08.1.3-CPVA-R-609-11-0005</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92" t="str">
        <f>CONCATENATE('3 pr-2'!J125)</f>
        <v>-</v>
      </c>
      <c r="K124" s="1296">
        <f>IF(S124&gt;0,'3 pr-2'!L125,0)</f>
        <v>44091</v>
      </c>
      <c r="L124" s="1296">
        <f>IF(S124&gt;0,'3 pr-2'!O125,0)</f>
        <v>0</v>
      </c>
      <c r="M124" s="1296">
        <f>IF(S124&gt;0,'3 pr-2'!R125,0)</f>
        <v>3307</v>
      </c>
      <c r="N124" s="1296">
        <f>IF(S124&gt;0,'3 pr-2'!U125,0)</f>
        <v>3306</v>
      </c>
      <c r="O124" s="1296">
        <f>IF(S124&gt;0,'3 pr-2'!X125,0)</f>
        <v>0</v>
      </c>
      <c r="P124" s="1296">
        <f>IF(S124&gt;0,'3 pr-2'!AA125,0)</f>
        <v>37478</v>
      </c>
      <c r="Q124" s="1296">
        <f>IF($S$9&gt;0,'3 pr-2'!AB125,0)</f>
        <v>0</v>
      </c>
      <c r="R124" s="1361">
        <f>SUM('3 pr-2'!AH125)</f>
        <v>43373</v>
      </c>
      <c r="S124" s="1366">
        <f>SUMIF(Lapas4!$A$12:$A$299,C124,Lapas4!$H$12:$H$300)</f>
        <v>43371</v>
      </c>
      <c r="T124" s="191"/>
      <c r="U124" s="647" t="str">
        <f t="shared" si="44"/>
        <v>–</v>
      </c>
    </row>
    <row r="125" spans="1:22" ht="85.5" thickBot="1" x14ac:dyDescent="0.3">
      <c r="A125" s="181" t="str">
        <f>CONCATENATE('3 pr-2'!A126)</f>
        <v>2.1.2.1.5</v>
      </c>
      <c r="B125" s="1359" t="str">
        <f>CONCATENATE('3 pr-2'!B126)</f>
        <v>R01-6609-274710-2215</v>
      </c>
      <c r="C125" s="247" t="str">
        <f>CONCATENATE('ketv. 2'!B125)</f>
        <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92" t="str">
        <f>CONCATENATE('3 pr-2'!J126)</f>
        <v>-</v>
      </c>
      <c r="K125" s="1296">
        <f>IF(S125&gt;0,'3 pr-2'!L126,0)</f>
        <v>0</v>
      </c>
      <c r="L125" s="1296">
        <f>IF(S125&gt;0,'3 pr-2'!O126,0)</f>
        <v>0</v>
      </c>
      <c r="M125" s="1296">
        <f>IF(S125&gt;0,'3 pr-2'!R126,0)</f>
        <v>0</v>
      </c>
      <c r="N125" s="1296">
        <f>IF(S125&gt;0,'3 pr-2'!U126,0)</f>
        <v>0</v>
      </c>
      <c r="O125" s="1296">
        <f>IF(S125&gt;0,'3 pr-2'!X126,0)</f>
        <v>0</v>
      </c>
      <c r="P125" s="1296">
        <f>IF(S125&gt;0,'3 pr-2'!AA126,0)</f>
        <v>0</v>
      </c>
      <c r="Q125" s="1296">
        <f>IF($S$9&gt;0,'3 pr-2'!AB126,0)</f>
        <v>0</v>
      </c>
      <c r="R125" s="1361">
        <f>SUM('3 pr-2'!AH126)</f>
        <v>43403</v>
      </c>
      <c r="S125" s="1366"/>
      <c r="T125" s="191"/>
      <c r="U125" s="647" t="str">
        <f t="shared" si="44"/>
        <v>–</v>
      </c>
    </row>
    <row r="126" spans="1:22" ht="61.5" thickBot="1" x14ac:dyDescent="0.3">
      <c r="A126" s="181" t="str">
        <f>CONCATENATE('3 pr-2'!A127)</f>
        <v>2.1.2.1.6</v>
      </c>
      <c r="B126" s="1359" t="str">
        <f>CONCATENATE('3 pr-2'!B127)</f>
        <v>R01-6609-471000-2216</v>
      </c>
      <c r="C126" s="247" t="str">
        <f>CONCATENATE('ketv. 2'!B126)</f>
        <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92" t="str">
        <f>CONCATENATE('3 pr-2'!J127)</f>
        <v>-</v>
      </c>
      <c r="K126" s="1296">
        <f>IF(S126&gt;0,'3 pr-2'!L127,0)</f>
        <v>0</v>
      </c>
      <c r="L126" s="1296">
        <f>IF(S126&gt;0,'3 pr-2'!O127,0)</f>
        <v>0</v>
      </c>
      <c r="M126" s="1296">
        <f>IF(S126&gt;0,'3 pr-2'!R127,0)</f>
        <v>0</v>
      </c>
      <c r="N126" s="1296">
        <f>IF(S126&gt;0,'3 pr-2'!U127,0)</f>
        <v>0</v>
      </c>
      <c r="O126" s="1296">
        <f>IF(S126&gt;0,'3 pr-2'!X127,0)</f>
        <v>0</v>
      </c>
      <c r="P126" s="1296">
        <f>IF(S126&gt;0,'3 pr-2'!AA127,0)</f>
        <v>0</v>
      </c>
      <c r="Q126" s="1296">
        <f>IF($S$9&gt;0,'3 pr-2'!AB127,0)</f>
        <v>0</v>
      </c>
      <c r="R126" s="1361">
        <f>SUM('3 pr-2'!AH127)</f>
        <v>43403</v>
      </c>
      <c r="S126" s="1366"/>
      <c r="T126" s="191"/>
      <c r="U126" s="647" t="str">
        <f t="shared" si="44"/>
        <v>–</v>
      </c>
    </row>
    <row r="127" spans="1:22" ht="61.5" thickBot="1" x14ac:dyDescent="0.3">
      <c r="A127" s="181" t="str">
        <f>CONCATENATE('3 pr-2'!A128)</f>
        <v>2.1.2.1.7</v>
      </c>
      <c r="B127" s="1359" t="str">
        <f>CONCATENATE('3 pr-2'!B128)</f>
        <v>R01-6609-274710-2217</v>
      </c>
      <c r="C127" s="247" t="str">
        <f>CONCATENATE('ketv. 2'!B127)</f>
        <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92" t="str">
        <f>CONCATENATE('3 pr-2'!J128)</f>
        <v>-</v>
      </c>
      <c r="K127" s="1296">
        <f>IF(S127&gt;0,'3 pr-2'!L128,0)</f>
        <v>0</v>
      </c>
      <c r="L127" s="1296">
        <f>IF(S127&gt;0,'3 pr-2'!O128,0)</f>
        <v>0</v>
      </c>
      <c r="M127" s="1296">
        <f>IF(S127&gt;0,'3 pr-2'!R128,0)</f>
        <v>0</v>
      </c>
      <c r="N127" s="1296">
        <f>IF(S127&gt;0,'3 pr-2'!U128,0)</f>
        <v>0</v>
      </c>
      <c r="O127" s="1296">
        <f>IF(S127&gt;0,'3 pr-2'!X128,0)</f>
        <v>0</v>
      </c>
      <c r="P127" s="1296">
        <f>IF(S127&gt;0,'3 pr-2'!AA128,0)</f>
        <v>0</v>
      </c>
      <c r="Q127" s="1296">
        <f>IF($S$9&gt;0,'3 pr-2'!AB128,0)</f>
        <v>0</v>
      </c>
      <c r="R127" s="1361">
        <f>SUM('3 pr-2'!AH128)</f>
        <v>43403</v>
      </c>
      <c r="S127" s="1366"/>
      <c r="T127" s="191"/>
      <c r="U127" s="647" t="str">
        <f t="shared" si="44"/>
        <v>–</v>
      </c>
    </row>
    <row r="128" spans="1:22" ht="61.5" thickBot="1" x14ac:dyDescent="0.3">
      <c r="A128" s="181" t="str">
        <f>CONCATENATE('3 pr-2'!A129)</f>
        <v>2.1.2.1.8</v>
      </c>
      <c r="B128" s="1359" t="str">
        <f>CONCATENATE('3 pr-2'!B129)</f>
        <v>R01-6609-104700-2218</v>
      </c>
      <c r="C128" s="247" t="str">
        <f>CONCATENATE('ketv. 2'!B128)</f>
        <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92" t="str">
        <f>CONCATENATE('3 pr-2'!J129)</f>
        <v>-</v>
      </c>
      <c r="K128" s="1296">
        <f>IF(S128&gt;0,'3 pr-2'!L129,0)</f>
        <v>0</v>
      </c>
      <c r="L128" s="1296">
        <f>IF(S128&gt;0,'3 pr-2'!O129,0)</f>
        <v>0</v>
      </c>
      <c r="M128" s="1296">
        <f>IF(S128&gt;0,'3 pr-2'!R129,0)</f>
        <v>0</v>
      </c>
      <c r="N128" s="1296">
        <f>IF(S128&gt;0,'3 pr-2'!U129,0)</f>
        <v>0</v>
      </c>
      <c r="O128" s="1296">
        <f>IF(S128&gt;0,'3 pr-2'!X129,0)</f>
        <v>0</v>
      </c>
      <c r="P128" s="1296">
        <f>IF(S128&gt;0,'3 pr-2'!AA129,0)</f>
        <v>0</v>
      </c>
      <c r="Q128" s="1296">
        <f>IF($S$9&gt;0,'3 pr-2'!AB129,0)</f>
        <v>0</v>
      </c>
      <c r="R128" s="1361">
        <f>SUM('3 pr-2'!AH129)</f>
        <v>43403</v>
      </c>
      <c r="S128" s="1366"/>
      <c r="T128" s="191"/>
      <c r="U128" s="647" t="str">
        <f t="shared" si="44"/>
        <v>–</v>
      </c>
    </row>
    <row r="129" spans="1:21" ht="61.5" thickBot="1" x14ac:dyDescent="0.3">
      <c r="A129" s="181" t="str">
        <f>CONCATENATE('3 pr-2'!A130)</f>
        <v>2.1.2.1.9</v>
      </c>
      <c r="B129" s="1359" t="str">
        <f>CONCATENATE('3 pr-2'!B130)</f>
        <v>R01-6609-274710-2219</v>
      </c>
      <c r="C129" s="247" t="str">
        <f>CONCATENATE('ketv. 2'!B129)</f>
        <v>08.1.3-CPVA-R-609-11-0001</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92" t="str">
        <f>CONCATENATE('3 pr-2'!J130)</f>
        <v>-</v>
      </c>
      <c r="K129" s="1296">
        <f>IF(S129&gt;0,'3 pr-2'!L130,0)</f>
        <v>25517</v>
      </c>
      <c r="L129" s="1296">
        <f>IF(S129&gt;0,'3 pr-2'!O130,0)</f>
        <v>0</v>
      </c>
      <c r="M129" s="1296">
        <f>IF(S129&gt;0,'3 pr-2'!R130,0)</f>
        <v>1914</v>
      </c>
      <c r="N129" s="1296">
        <f>IF(S129&gt;0,'3 pr-2'!U130,0)</f>
        <v>1914</v>
      </c>
      <c r="O129" s="1296">
        <f>IF(S129&gt;0,'3 pr-2'!X130,0)</f>
        <v>0</v>
      </c>
      <c r="P129" s="1296">
        <f>IF(S129&gt;0,'3 pr-2'!AA130,0)</f>
        <v>21689</v>
      </c>
      <c r="Q129" s="1296">
        <f>IF($S$9&gt;0,'3 pr-2'!AB130,0)</f>
        <v>0</v>
      </c>
      <c r="R129" s="1361">
        <f>SUM('3 pr-2'!AH130)</f>
        <v>43373</v>
      </c>
      <c r="S129" s="1366">
        <f>SUMIF(Lapas4!$A$12:$A$299,C129,Lapas4!$H$12:$H$300)</f>
        <v>43360</v>
      </c>
      <c r="T129" s="191"/>
      <c r="U129" s="647" t="str">
        <f t="shared" ref="U129:U133" si="45">IF(R129-S129&lt;0,(R129-S129)/30.4166666666667,"–")</f>
        <v>–</v>
      </c>
    </row>
    <row r="130" spans="1:21" ht="61.5" thickBot="1" x14ac:dyDescent="0.3">
      <c r="A130" s="181" t="str">
        <f>CONCATENATE('3 pr-2'!A131)</f>
        <v>2.1.2.1.10</v>
      </c>
      <c r="B130" s="1359" t="str">
        <f>CONCATENATE('3 pr-2'!B131)</f>
        <v>R01-6609-274710-2220</v>
      </c>
      <c r="C130" s="247" t="str">
        <f>CONCATENATE('ketv. 2'!B130)</f>
        <v/>
      </c>
      <c r="D130" s="182" t="str">
        <f>CONCATENATE('3 pr-2'!D131)</f>
        <v>Pirminės ambulatorinės asmens sveikatos priežiūros efektyvumo didinimas R.Ambrazaitienės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92" t="str">
        <f>CONCATENATE('3 pr-2'!J131)</f>
        <v>-</v>
      </c>
      <c r="K130" s="1296">
        <f>IF(S130&gt;0,'3 pr-2'!L131,0)</f>
        <v>0</v>
      </c>
      <c r="L130" s="1296">
        <f>IF(S130&gt;0,'3 pr-2'!O131,0)</f>
        <v>0</v>
      </c>
      <c r="M130" s="1296">
        <f>IF(S130&gt;0,'3 pr-2'!R131,0)</f>
        <v>0</v>
      </c>
      <c r="N130" s="1296">
        <f>IF(S130&gt;0,'3 pr-2'!U131,0)</f>
        <v>0</v>
      </c>
      <c r="O130" s="1296">
        <f>IF(S130&gt;0,'3 pr-2'!X131,0)</f>
        <v>0</v>
      </c>
      <c r="P130" s="1296">
        <f>IF(S130&gt;0,'3 pr-2'!AA131,0)</f>
        <v>0</v>
      </c>
      <c r="Q130" s="1296">
        <f>IF($S$9&gt;0,'3 pr-2'!AB131,0)</f>
        <v>0</v>
      </c>
      <c r="R130" s="1361">
        <f>SUM('3 pr-2'!AH131)</f>
        <v>43403</v>
      </c>
      <c r="S130" s="1366"/>
      <c r="T130" s="191"/>
      <c r="U130" s="647" t="str">
        <f t="shared" si="45"/>
        <v>–</v>
      </c>
    </row>
    <row r="131" spans="1:21" ht="61.5" thickBot="1" x14ac:dyDescent="0.3">
      <c r="A131" s="181" t="str">
        <f>CONCATENATE('3 pr-2'!A132)</f>
        <v>2.1.2.1.11</v>
      </c>
      <c r="B131" s="1359" t="str">
        <f>CONCATENATE('3 pr-2'!B132)</f>
        <v>R01-6609-274700-2221</v>
      </c>
      <c r="C131" s="247" t="str">
        <f>CONCATENATE('ketv. 2'!B131)</f>
        <v/>
      </c>
      <c r="D131" s="182" t="str">
        <f>CONCATENATE('3 pr-2'!D132)</f>
        <v xml:space="preserve">Pirminės asmens sveikatos priežiūros veiklos efektyvumo didinimas Lazdijų rajono savivaldybėje </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92" t="str">
        <f>CONCATENATE('3 pr-2'!J132)</f>
        <v>-</v>
      </c>
      <c r="K131" s="1296">
        <f>IF(S131&gt;0,'3 pr-2'!L132,0)</f>
        <v>0</v>
      </c>
      <c r="L131" s="1296">
        <f>IF(S131&gt;0,'3 pr-2'!O132,0)</f>
        <v>0</v>
      </c>
      <c r="M131" s="1296">
        <f>IF(S131&gt;0,'3 pr-2'!R132,0)</f>
        <v>0</v>
      </c>
      <c r="N131" s="1296">
        <f>IF(S131&gt;0,'3 pr-2'!U132,0)</f>
        <v>0</v>
      </c>
      <c r="O131" s="1296">
        <f>IF(S131&gt;0,'3 pr-2'!X132,0)</f>
        <v>0</v>
      </c>
      <c r="P131" s="1296">
        <f>IF(S131&gt;0,'3 pr-2'!AA132,0)</f>
        <v>0</v>
      </c>
      <c r="Q131" s="1296">
        <f>IF($S$9&gt;0,'3 pr-2'!AB132,0)</f>
        <v>0</v>
      </c>
      <c r="R131" s="1361">
        <f>SUM('3 pr-2'!AH132)</f>
        <v>43404</v>
      </c>
      <c r="S131" s="1366"/>
      <c r="T131" s="191"/>
      <c r="U131" s="647" t="str">
        <f t="shared" si="45"/>
        <v>–</v>
      </c>
    </row>
    <row r="132" spans="1:21" ht="61.5" thickBot="1" x14ac:dyDescent="0.3">
      <c r="A132" s="181" t="str">
        <f>CONCATENATE('3 pr-2'!A133)</f>
        <v>2.1.2.1.12</v>
      </c>
      <c r="B132" s="1359" t="str">
        <f>CONCATENATE('3 pr-2'!B133)</f>
        <v>R01-6609-274710-2222</v>
      </c>
      <c r="C132" s="247" t="str">
        <f>CONCATENATE('ketv. 2'!B132)</f>
        <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92" t="str">
        <f>CONCATENATE('3 pr-2'!J133)</f>
        <v>-</v>
      </c>
      <c r="K132" s="1296">
        <f>IF(S132&gt;0,'3 pr-2'!L133,0)</f>
        <v>0</v>
      </c>
      <c r="L132" s="1296">
        <f>IF(S132&gt;0,'3 pr-2'!O133,0)</f>
        <v>0</v>
      </c>
      <c r="M132" s="1296">
        <f>IF(S132&gt;0,'3 pr-2'!R133,0)</f>
        <v>0</v>
      </c>
      <c r="N132" s="1296">
        <f>IF(S132&gt;0,'3 pr-2'!U133,0)</f>
        <v>0</v>
      </c>
      <c r="O132" s="1296">
        <f>IF(S132&gt;0,'3 pr-2'!X133,0)</f>
        <v>0</v>
      </c>
      <c r="P132" s="1296">
        <f>IF(S132&gt;0,'3 pr-2'!AA133,0)</f>
        <v>0</v>
      </c>
      <c r="Q132" s="1296">
        <f>IF($S$9&gt;0,'3 pr-2'!AB133,0)</f>
        <v>0</v>
      </c>
      <c r="R132" s="1361">
        <f>SUM('3 pr-2'!AH133)</f>
        <v>43434</v>
      </c>
      <c r="S132" s="1366"/>
      <c r="T132" s="191"/>
      <c r="U132" s="1360" t="str">
        <f t="shared" si="45"/>
        <v>–</v>
      </c>
    </row>
    <row r="133" spans="1:21" ht="61.5" thickBot="1" x14ac:dyDescent="0.3">
      <c r="A133" s="181" t="str">
        <f>CONCATENATE('3 pr-2'!A134)</f>
        <v>2.1.2.1.13</v>
      </c>
      <c r="B133" s="1359" t="str">
        <f>CONCATENATE('3 pr-2'!B134)</f>
        <v>R01-6609-470000-2223</v>
      </c>
      <c r="C133" s="247" t="str">
        <f>CONCATENATE('ketv. 2'!B133)</f>
        <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92" t="str">
        <f>CONCATENATE('3 pr-2'!J134)</f>
        <v>-</v>
      </c>
      <c r="K133" s="1296">
        <f>IF(S133&gt;0,'3 pr-2'!L134,0)</f>
        <v>0</v>
      </c>
      <c r="L133" s="1296">
        <f>IF(S133&gt;0,'3 pr-2'!O134,0)</f>
        <v>0</v>
      </c>
      <c r="M133" s="1296">
        <f>IF(S133&gt;0,'3 pr-2'!R134,0)</f>
        <v>0</v>
      </c>
      <c r="N133" s="1296">
        <f>IF(S133&gt;0,'3 pr-2'!U134,0)</f>
        <v>0</v>
      </c>
      <c r="O133" s="1296">
        <f>IF(S133&gt;0,'3 pr-2'!X134,0)</f>
        <v>0</v>
      </c>
      <c r="P133" s="1296">
        <f>IF(S133&gt;0,'3 pr-2'!AA134,0)</f>
        <v>0</v>
      </c>
      <c r="Q133" s="1296">
        <f>IF($S$9&gt;0,'3 pr-2'!AB134,0)</f>
        <v>0</v>
      </c>
      <c r="R133" s="1361">
        <f>SUM('3 pr-2'!AH134)</f>
        <v>43404</v>
      </c>
      <c r="S133" s="1366"/>
      <c r="T133" s="1184"/>
      <c r="U133" s="1360" t="str">
        <f t="shared" si="45"/>
        <v>–</v>
      </c>
    </row>
    <row r="134" spans="1:21" ht="41.25" customHeight="1" thickBot="1" x14ac:dyDescent="0.3">
      <c r="A134" s="326" t="str">
        <f>CONCATENATE('3 pr-2'!A135)</f>
        <v>2.1.2.2</v>
      </c>
      <c r="B134" s="2025" t="str">
        <f>CONCATENATE('3 pr-2'!B135)</f>
        <v>Priemonė:
Sveikos gyvensenos skatinimas regioniniu lygiu</v>
      </c>
      <c r="C134" s="2026"/>
      <c r="D134" s="2026"/>
      <c r="E134" s="2026"/>
      <c r="F134" s="2026"/>
      <c r="G134" s="2026"/>
      <c r="H134" s="2026"/>
      <c r="I134" s="2026"/>
      <c r="J134" s="2027"/>
      <c r="K134" s="1455">
        <f t="shared" ref="K134:Q134" si="46">SUM(K135:K139)</f>
        <v>994984.5399999998</v>
      </c>
      <c r="L134" s="1455">
        <f t="shared" si="46"/>
        <v>74624.070000000007</v>
      </c>
      <c r="M134" s="1455">
        <f t="shared" si="46"/>
        <v>74623.62</v>
      </c>
      <c r="N134" s="1455">
        <f t="shared" si="46"/>
        <v>0</v>
      </c>
      <c r="O134" s="1455">
        <f t="shared" si="46"/>
        <v>0</v>
      </c>
      <c r="P134" s="1455">
        <f t="shared" si="46"/>
        <v>845736.85</v>
      </c>
      <c r="Q134" s="1455">
        <f t="shared" si="46"/>
        <v>0</v>
      </c>
      <c r="R134" s="1352"/>
      <c r="S134" s="1353"/>
      <c r="T134" s="640"/>
      <c r="U134" s="641"/>
    </row>
    <row r="135" spans="1:21" ht="61.5" thickBot="1" x14ac:dyDescent="0.3">
      <c r="A135" s="642" t="str">
        <f>CONCATENATE('3 pr-2'!A136)</f>
        <v>2.1.2.2.1</v>
      </c>
      <c r="B135" s="1359" t="str">
        <f>CONCATENATE('3 pr-2'!B136)</f>
        <v>R01-6630-475000-2221</v>
      </c>
      <c r="C135" s="643" t="str">
        <f>CONCATENATE('ketv. 2'!B135)</f>
        <v>08.4.2-ESFA-R-630-11-0004</v>
      </c>
      <c r="D135" s="644" t="str">
        <f>CONCATENATE('3 pr-2'!D136)</f>
        <v>Sveikos gyvensenos skatinimas Alytaus rajone</v>
      </c>
      <c r="E135" s="644" t="str">
        <f>CONCATENATE('3 pr-2'!E136)</f>
        <v>Alytaus rajono savivaldybės visuomenės sveikatos biuras</v>
      </c>
      <c r="F135" s="644" t="str">
        <f>CONCATENATE('3 pr-2'!F136)</f>
        <v>Lietuvos Respublikos Sveikatos apsaugos ministerija</v>
      </c>
      <c r="G135" s="644" t="str">
        <f>CONCATENATE('3 pr-2'!G136)</f>
        <v>Alytaus r. sav.</v>
      </c>
      <c r="H135" s="644" t="str">
        <f>CONCATENATE('3 pr-2'!H136)</f>
        <v>08.4.2-ESFA-R-630</v>
      </c>
      <c r="I135" s="644" t="str">
        <f>CONCATENATE('3 pr-2'!I136)</f>
        <v>R</v>
      </c>
      <c r="J135" s="645" t="str">
        <f>CONCATENATE('3 pr-2'!J136)</f>
        <v>-</v>
      </c>
      <c r="K135" s="1460">
        <f>IF(S135&gt;0,'3 pr-2'!L136,0)</f>
        <v>198997.18</v>
      </c>
      <c r="L135" s="1460">
        <f>IF(S135&gt;0,'3 pr-2'!O136,0)</f>
        <v>14924.79</v>
      </c>
      <c r="M135" s="1460">
        <f>IF(S135&gt;0,'3 pr-2'!R136,0)</f>
        <v>14924.79</v>
      </c>
      <c r="N135" s="1460">
        <f>IF(S135&gt;0,'3 pr-2'!U136,0)</f>
        <v>0</v>
      </c>
      <c r="O135" s="1460">
        <f>IF(S135&gt;0,'3 pr-2'!X136,0)</f>
        <v>0</v>
      </c>
      <c r="P135" s="1460">
        <f>IF(S135&gt;0,'3 pr-2'!AA136,0)</f>
        <v>169147.6</v>
      </c>
      <c r="Q135" s="1296">
        <f>IF($S$9&gt;0,'3 pr-2'!AB136,0)</f>
        <v>0</v>
      </c>
      <c r="R135" s="1372">
        <f>SUM('3 pr-2'!AH136)</f>
        <v>43220</v>
      </c>
      <c r="S135" s="1366">
        <f>SUMIF(Lapas4!$A$12:$A$299,C135,Lapas4!$H$12:$H$300)</f>
        <v>43220</v>
      </c>
      <c r="T135" s="646"/>
      <c r="U135" s="647" t="str">
        <f t="shared" ref="U135:U139" si="47">IF(R135-S135&lt;0,(R135-S135)/30.4166666666667,"–")</f>
        <v>–</v>
      </c>
    </row>
    <row r="136" spans="1:21" ht="61.5" thickBot="1" x14ac:dyDescent="0.3">
      <c r="A136" s="642" t="str">
        <f>CONCATENATE('3 pr-2'!A137)</f>
        <v>2.1.2.2.2</v>
      </c>
      <c r="B136" s="1359" t="str">
        <f>CONCATENATE('3 pr-2'!B137)</f>
        <v>R01-6630-470000-2222</v>
      </c>
      <c r="C136" s="643" t="str">
        <f>CONCATENATE('ketv. 2'!B136)</f>
        <v>08.4.2-ESFA-R-630-11-0001</v>
      </c>
      <c r="D136" s="644" t="str">
        <f>CONCATENATE('3 pr-2'!D137)</f>
        <v>Mažais žingsneliais – sveikos gyvensenos link</v>
      </c>
      <c r="E136" s="644" t="str">
        <f>CONCATENATE('3 pr-2'!E137)</f>
        <v>Alytaus miesto savivaldybės administracija</v>
      </c>
      <c r="F136" s="644" t="str">
        <f>CONCATENATE('3 pr-2'!F137)</f>
        <v>Lietuvos Respublikos Sveikatos apsaugos ministerija</v>
      </c>
      <c r="G136" s="644" t="str">
        <f>CONCATENATE('3 pr-2'!G137)</f>
        <v>Alytaus m. sav.</v>
      </c>
      <c r="H136" s="644" t="str">
        <f>CONCATENATE('3 pr-2'!H137)</f>
        <v>08.4.2-ESFA-R-630</v>
      </c>
      <c r="I136" s="644" t="str">
        <f>CONCATENATE('3 pr-2'!I137)</f>
        <v>R</v>
      </c>
      <c r="J136" s="645" t="str">
        <f>CONCATENATE('3 pr-2'!J137)</f>
        <v>-</v>
      </c>
      <c r="K136" s="1460">
        <f>IF(S136&gt;0,'3 pr-2'!L137,0)</f>
        <v>198996</v>
      </c>
      <c r="L136" s="1460">
        <f>IF(S136&gt;0,'3 pr-2'!O137,0)</f>
        <v>14924.7</v>
      </c>
      <c r="M136" s="1460">
        <f>IF(S136&gt;0,'3 pr-2'!R137,0)</f>
        <v>14924.7</v>
      </c>
      <c r="N136" s="1460">
        <f>IF(S136&gt;0,'3 pr-2'!U137,0)</f>
        <v>0</v>
      </c>
      <c r="O136" s="1460">
        <f>IF(S136&gt;0,'3 pr-2'!X137,0)</f>
        <v>0</v>
      </c>
      <c r="P136" s="1460">
        <f>IF(S136&gt;0,'3 pr-2'!AA137,0)</f>
        <v>169146.6</v>
      </c>
      <c r="Q136" s="1296">
        <f>IF($S$9&gt;0,'3 pr-2'!AB137,0)</f>
        <v>0</v>
      </c>
      <c r="R136" s="1372">
        <f>SUM('3 pr-2'!AH137)</f>
        <v>43251</v>
      </c>
      <c r="S136" s="1366">
        <f>SUMIF(Lapas4!$A$12:$A$299,C136,Lapas4!$H$12:$H$300)</f>
        <v>43217</v>
      </c>
      <c r="T136" s="646"/>
      <c r="U136" s="647" t="str">
        <f t="shared" si="47"/>
        <v>–</v>
      </c>
    </row>
    <row r="137" spans="1:21" ht="61.5" thickBot="1" x14ac:dyDescent="0.3">
      <c r="A137" s="642" t="str">
        <f>CONCATENATE('3 pr-2'!A138)</f>
        <v>2.1.2.2.3</v>
      </c>
      <c r="B137" s="1359" t="str">
        <f>CONCATENATE('3 pr-2'!B138)</f>
        <v>R01-6630-470000-2223</v>
      </c>
      <c r="C137" s="643" t="str">
        <f>CONCATENATE('ketv. 2'!B137)</f>
        <v>08.4.2-ESFA-R-630-11-0005</v>
      </c>
      <c r="D137" s="644" t="str">
        <f>CONCATENATE('3 pr-2'!D138)</f>
        <v>Sveikos gyvensenos skatinimas Varėnos rajono savivaldybėje</v>
      </c>
      <c r="E137" s="644" t="str">
        <f>CONCATENATE('3 pr-2'!E138)</f>
        <v>Varėnos rajono savivaldybės visuomenės sveikatos biuras</v>
      </c>
      <c r="F137" s="644" t="str">
        <f>CONCATENATE('3 pr-2'!F138)</f>
        <v>Lietuvos Respublikos Sveikatos apsaugos ministerija</v>
      </c>
      <c r="G137" s="644" t="str">
        <f>CONCATENATE('3 pr-2'!G138)</f>
        <v>Varėnos r. sav.</v>
      </c>
      <c r="H137" s="644" t="str">
        <f>CONCATENATE('3 pr-2'!H138)</f>
        <v>08.4.2-ESFA-R-630</v>
      </c>
      <c r="I137" s="644" t="str">
        <f>CONCATENATE('3 pr-2'!I138)</f>
        <v>R</v>
      </c>
      <c r="J137" s="645" t="str">
        <f>CONCATENATE('3 pr-2'!J138)</f>
        <v>-</v>
      </c>
      <c r="K137" s="1460">
        <f>IF(S137&gt;0,'3 pr-2'!L138,0)</f>
        <v>198997</v>
      </c>
      <c r="L137" s="1460">
        <f>IF(S137&gt;0,'3 pr-2'!O138,0)</f>
        <v>14925</v>
      </c>
      <c r="M137" s="1460">
        <f>IF(S137&gt;0,'3 pr-2'!R138,0)</f>
        <v>14924.55</v>
      </c>
      <c r="N137" s="1460">
        <f>IF(S137&gt;0,'3 pr-2'!U138,0)</f>
        <v>0</v>
      </c>
      <c r="O137" s="1460">
        <f>IF(S137&gt;0,'3 pr-2'!X138,0)</f>
        <v>0</v>
      </c>
      <c r="P137" s="1460">
        <f>IF(S137&gt;0,'3 pr-2'!AA138,0)</f>
        <v>169147.45</v>
      </c>
      <c r="Q137" s="1296">
        <f>IF($S$9&gt;0,'3 pr-2'!AB138,0)</f>
        <v>0</v>
      </c>
      <c r="R137" s="1372">
        <f>SUM('3 pr-2'!AH138)</f>
        <v>43250</v>
      </c>
      <c r="S137" s="1366">
        <f>SUMIF(Lapas4!$A$12:$A$299,C137,Lapas4!$H$12:$H$300)</f>
        <v>43223</v>
      </c>
      <c r="T137" s="646"/>
      <c r="U137" s="647" t="str">
        <f t="shared" si="47"/>
        <v>–</v>
      </c>
    </row>
    <row r="138" spans="1:21" ht="61.5" thickBot="1" x14ac:dyDescent="0.3">
      <c r="A138" s="642" t="str">
        <f>CONCATENATE('3 pr-2'!A139)</f>
        <v>2.1.2.2.4.</v>
      </c>
      <c r="B138" s="1359" t="str">
        <f>CONCATENATE('3 pr-2'!B139)</f>
        <v>R01-6630-470000-2224</v>
      </c>
      <c r="C138" s="643" t="str">
        <f>CONCATENATE('ketv. 2'!B138)</f>
        <v>08.4.2-ESFA-R-630-11-0003</v>
      </c>
      <c r="D138" s="644" t="str">
        <f>CONCATENATE('3 pr-2'!D139)</f>
        <v>Sveika bendruomenė – stipri visuomenė</v>
      </c>
      <c r="E138" s="644" t="str">
        <f>CONCATENATE('3 pr-2'!E139)</f>
        <v>Druskininkų savivaldybės visuomenės sveikatos biuras</v>
      </c>
      <c r="F138" s="644" t="str">
        <f>CONCATENATE('3 pr-2'!F139)</f>
        <v>Lietuvos Respublikos Sveikatos apsaugos ministerija</v>
      </c>
      <c r="G138" s="644" t="str">
        <f>CONCATENATE('3 pr-2'!G139)</f>
        <v>Druskininkų sav.</v>
      </c>
      <c r="H138" s="644" t="str">
        <f>CONCATENATE('3 pr-2'!H139)</f>
        <v>08.4.2-ESFA-R-630</v>
      </c>
      <c r="I138" s="644" t="str">
        <f>CONCATENATE('3 pr-2'!I139)</f>
        <v>R</v>
      </c>
      <c r="J138" s="645" t="str">
        <f>CONCATENATE('3 pr-2'!J139)</f>
        <v>-</v>
      </c>
      <c r="K138" s="1460">
        <f>IF(S138&gt;0,'3 pr-2'!L139,0)</f>
        <v>198997.18</v>
      </c>
      <c r="L138" s="1460">
        <f>IF(S138&gt;0,'3 pr-2'!O139,0)</f>
        <v>14924.79</v>
      </c>
      <c r="M138" s="1460">
        <f>IF(S138&gt;0,'3 pr-2'!R139,0)</f>
        <v>14924.79</v>
      </c>
      <c r="N138" s="1460">
        <f>IF(S138&gt;0,'3 pr-2'!U139,0)</f>
        <v>0</v>
      </c>
      <c r="O138" s="1460">
        <f>IF(S138&gt;0,'3 pr-2'!X139,0)</f>
        <v>0</v>
      </c>
      <c r="P138" s="1460">
        <f>IF(S138&gt;0,'3 pr-2'!AA139,0)</f>
        <v>169147.6</v>
      </c>
      <c r="Q138" s="1296">
        <f>IF($S$9&gt;0,'3 pr-2'!AB139,0)</f>
        <v>0</v>
      </c>
      <c r="R138" s="1372">
        <f>SUM('3 pr-2'!AH139)</f>
        <v>43220</v>
      </c>
      <c r="S138" s="1366">
        <f>SUMIF(Lapas4!$A$12:$A$299,C138,Lapas4!$H$12:$H$300)</f>
        <v>43217</v>
      </c>
      <c r="T138" s="646"/>
      <c r="U138" s="647" t="str">
        <f t="shared" si="47"/>
        <v>–</v>
      </c>
    </row>
    <row r="139" spans="1:21" ht="61.5" thickBot="1" x14ac:dyDescent="0.3">
      <c r="A139" s="642" t="str">
        <f>CONCATENATE('3 pr-2'!A140)</f>
        <v>2.1.2.2.5</v>
      </c>
      <c r="B139" s="1359" t="str">
        <f>CONCATENATE('3 pr-2'!B140)</f>
        <v>R01-6630-470000-2225</v>
      </c>
      <c r="C139" s="643" t="str">
        <f>CONCATENATE('ketv. 2'!B139)</f>
        <v>08.4.2-ESFA-R-630-11-0002</v>
      </c>
      <c r="D139" s="644" t="str">
        <f>CONCATENATE('3 pr-2'!D140)</f>
        <v>Sveikos gyvensenos skatinimas Lazdijų rajono savivaldybėje</v>
      </c>
      <c r="E139" s="644" t="str">
        <f>CONCATENATE('3 pr-2'!E140)</f>
        <v>Lazdijų rajono savivaldybės visuomenės sveikatos biuras</v>
      </c>
      <c r="F139" s="644" t="str">
        <f>CONCATENATE('3 pr-2'!F140)</f>
        <v>Lietuvos Respublikos Sveikatos apsaugos ministerija</v>
      </c>
      <c r="G139" s="644" t="str">
        <f>CONCATENATE('3 pr-2'!G140)</f>
        <v>Lazdijų r. sav.</v>
      </c>
      <c r="H139" s="644" t="str">
        <f>CONCATENATE('3 pr-2'!H140)</f>
        <v>08.4.2-ESFA-R-630</v>
      </c>
      <c r="I139" s="644" t="str">
        <f>CONCATENATE('3 pr-2'!I140)</f>
        <v>R</v>
      </c>
      <c r="J139" s="645" t="str">
        <f>CONCATENATE('3 pr-2'!J140)</f>
        <v>-</v>
      </c>
      <c r="K139" s="1460">
        <f>IF(S139&gt;0,'3 pr-2'!L140,0)</f>
        <v>198997.18</v>
      </c>
      <c r="L139" s="1460">
        <f>IF(S139&gt;0,'3 pr-2'!O140,0)</f>
        <v>14924.79</v>
      </c>
      <c r="M139" s="1460">
        <f>IF(S139&gt;0,'3 pr-2'!R140,0)</f>
        <v>14924.79</v>
      </c>
      <c r="N139" s="1460">
        <f>IF(S139&gt;0,'3 pr-2'!U140,0)</f>
        <v>0</v>
      </c>
      <c r="O139" s="1460">
        <f>IF(S139&gt;0,'3 pr-2'!X140,0)</f>
        <v>0</v>
      </c>
      <c r="P139" s="1460">
        <f>IF(S139&gt;0,'3 pr-2'!AA140,0)</f>
        <v>169147.6</v>
      </c>
      <c r="Q139" s="1296">
        <f>IF($S$9&gt;0,'3 pr-2'!AB140,0)</f>
        <v>0</v>
      </c>
      <c r="R139" s="1372">
        <f>SUM('3 pr-2'!AH140)</f>
        <v>43217</v>
      </c>
      <c r="S139" s="1366">
        <f>SUMIF(Lapas4!$A$12:$A$299,C139,Lapas4!$H$12:$H$300)</f>
        <v>43217</v>
      </c>
      <c r="T139" s="646"/>
      <c r="U139" s="647" t="str">
        <f t="shared" si="47"/>
        <v>–</v>
      </c>
    </row>
    <row r="140" spans="1:21" ht="41.25" customHeight="1" thickBot="1" x14ac:dyDescent="0.3">
      <c r="A140" s="326" t="str">
        <f>CONCATENATE('3 pr-2'!A141)</f>
        <v>2.1.2.3</v>
      </c>
      <c r="B140" s="2025" t="str">
        <f>CONCATENATE('3 pr-2'!B141)</f>
        <v>Priemonė:
Priemonių, gerinančių ambulatorinių sveikatos priežiūros paslaugų prieinamumą tuberkulioze sergantiems pacientams, įgyvendinimas</v>
      </c>
      <c r="C140" s="2026"/>
      <c r="D140" s="2026"/>
      <c r="E140" s="2026"/>
      <c r="F140" s="2026"/>
      <c r="G140" s="2026"/>
      <c r="H140" s="2026"/>
      <c r="I140" s="2026"/>
      <c r="J140" s="2027"/>
      <c r="K140" s="1455">
        <f t="shared" ref="K140:Q140" si="48">SUM(K141:K151)</f>
        <v>6591060.6999999993</v>
      </c>
      <c r="L140" s="1455">
        <f t="shared" si="48"/>
        <v>1431661.6199999999</v>
      </c>
      <c r="M140" s="1455">
        <f t="shared" si="48"/>
        <v>49452.14</v>
      </c>
      <c r="N140" s="1455">
        <f t="shared" si="48"/>
        <v>0</v>
      </c>
      <c r="O140" s="1455">
        <f t="shared" si="48"/>
        <v>1299.95</v>
      </c>
      <c r="P140" s="1455">
        <f t="shared" si="48"/>
        <v>5108646.99</v>
      </c>
      <c r="Q140" s="1455">
        <f t="shared" si="48"/>
        <v>0</v>
      </c>
      <c r="R140" s="1352"/>
      <c r="S140" s="1353"/>
      <c r="T140" s="640"/>
      <c r="U140" s="641"/>
    </row>
    <row r="141" spans="1:21" ht="85.5" thickBot="1" x14ac:dyDescent="0.3">
      <c r="A141" s="642" t="str">
        <f>CONCATENATE('3 pr-2'!A142)</f>
        <v>2.1.2.3.1</v>
      </c>
      <c r="B141" s="1359" t="str">
        <f>CONCATENATE('3 pr-2'!B142)</f>
        <v>R01-6615-475000-2231</v>
      </c>
      <c r="C141" s="643" t="str">
        <f>CONCATENATE('ketv. 2'!B141)</f>
        <v>08.4.2-ESFA-R-615-11-0004</v>
      </c>
      <c r="D141" s="644" t="str">
        <f>CONCATENATE('3 pr-2'!D142)</f>
        <v>Priemonių gerinančių ambulatorinių sveikatos priežiūros paslaugų prieinamumą tuberkulioze sergantiems asmenims, Alytaus rajone įgyvendinimas</v>
      </c>
      <c r="E141" s="644" t="str">
        <f>CONCATENATE('3 pr-2'!E142)</f>
        <v>VšĮ Alytaus rajono savivaldybės pirminės sveikatos priežiūros centras</v>
      </c>
      <c r="F141" s="644" t="str">
        <f>CONCATENATE('3 pr-2'!F142)</f>
        <v>Lietuvos Respublikos Sveikatos apsaugos ministerija</v>
      </c>
      <c r="G141" s="644" t="str">
        <f>CONCATENATE('3 pr-2'!G142)</f>
        <v>Alytaus r. sav.</v>
      </c>
      <c r="H141" s="644" t="str">
        <f>CONCATENATE('3 pr-2'!H142)</f>
        <v>08.4.2-ESFA-R-615</v>
      </c>
      <c r="I141" s="644" t="str">
        <f>CONCATENATE('3 pr-2'!I142)</f>
        <v>R</v>
      </c>
      <c r="J141" s="645" t="str">
        <f>CONCATENATE('3 pr-2'!J142)</f>
        <v>-</v>
      </c>
      <c r="K141" s="1460">
        <f>IF(S141&gt;0,'3 pr-2'!L142,0)</f>
        <v>10453</v>
      </c>
      <c r="L141" s="1460">
        <f>IF(S141&gt;0,'3 pr-2'!O142,0)</f>
        <v>0</v>
      </c>
      <c r="M141" s="1460">
        <f>IF(S141&gt;0,'3 pr-2'!R142,0)</f>
        <v>1449.64</v>
      </c>
      <c r="N141" s="1460">
        <f>IF(S141&gt;0,'3 pr-2'!U142,0)</f>
        <v>0</v>
      </c>
      <c r="O141" s="1460">
        <f>IF(S141&gt;0,'3 pr-2'!X142,0)</f>
        <v>788.75</v>
      </c>
      <c r="P141" s="1460">
        <f>IF(S141&gt;0,'3 pr-2'!AA142,0)</f>
        <v>8214.61</v>
      </c>
      <c r="Q141" s="1296">
        <f>IF($S$9&gt;0,'3 pr-2'!AB142,0)</f>
        <v>0</v>
      </c>
      <c r="R141" s="1372">
        <f>SUM('3 pr-2'!AH142)</f>
        <v>43281</v>
      </c>
      <c r="S141" s="1366">
        <f>SUMIF(Lapas4!$A$12:$A$299,C141,Lapas4!$H$12:$H$300)</f>
        <v>43280</v>
      </c>
      <c r="T141" s="646"/>
      <c r="U141" s="257" t="str">
        <f t="shared" ref="U141:U145" si="49">IF(R141-S141&lt;0,(R141-S141)/30.4166666666667,"–")</f>
        <v>–</v>
      </c>
    </row>
    <row r="142" spans="1:21" ht="61.5" thickBot="1" x14ac:dyDescent="0.3">
      <c r="A142" s="642" t="str">
        <f>CONCATENATE('3 pr-2'!A143)</f>
        <v>2.1.2.3.2</v>
      </c>
      <c r="B142" s="1359" t="str">
        <f>CONCATENATE('3 pr-2'!B143)</f>
        <v>R01-6615-470000-2232</v>
      </c>
      <c r="C142" s="643" t="str">
        <f>CONCATENATE('ketv. 2'!B142)</f>
        <v>08.4.2-ESFA-R-615-11-0005</v>
      </c>
      <c r="D142" s="644" t="str">
        <f>CONCATENATE('3 pr-2'!D143)</f>
        <v>Ambulatorinių sveikatos priežiūros paslaugų gerinimas tuberkulioze sergantiems asmenims</v>
      </c>
      <c r="E142" s="644" t="str">
        <f>CONCATENATE('3 pr-2'!E143)</f>
        <v>Alytaus miesto savivaldybės administracija</v>
      </c>
      <c r="F142" s="644" t="str">
        <f>CONCATENATE('3 pr-2'!F143)</f>
        <v>Lietuvos Respublikos Sveikatos apsaugos ministerija</v>
      </c>
      <c r="G142" s="644" t="str">
        <f>CONCATENATE('3 pr-2'!G143)</f>
        <v>Alytaus m. sav.</v>
      </c>
      <c r="H142" s="644" t="str">
        <f>CONCATENATE('3 pr-2'!H143)</f>
        <v>08.4.2-ESFA-R-615</v>
      </c>
      <c r="I142" s="644" t="str">
        <f>CONCATENATE('3 pr-2'!I143)</f>
        <v>R</v>
      </c>
      <c r="J142" s="645" t="str">
        <f>CONCATENATE('3 pr-2'!J143)</f>
        <v>-</v>
      </c>
      <c r="K142" s="1460">
        <f>IF(S142&gt;0,'3 pr-2'!L143,0)</f>
        <v>17041.18</v>
      </c>
      <c r="L142" s="1460">
        <f>IF(S142&gt;0,'3 pr-2'!O143,0)</f>
        <v>1278.0899999999999</v>
      </c>
      <c r="M142" s="1460">
        <f>IF(S142&gt;0,'3 pr-2'!R143,0)</f>
        <v>1278</v>
      </c>
      <c r="N142" s="1460">
        <f>IF(S142&gt;0,'3 pr-2'!U143,0)</f>
        <v>0</v>
      </c>
      <c r="O142" s="1460">
        <f>IF(S142&gt;0,'3 pr-2'!X143,0)</f>
        <v>0</v>
      </c>
      <c r="P142" s="1460">
        <f>IF(S142&gt;0,'3 pr-2'!AA143,0)</f>
        <v>14485.09</v>
      </c>
      <c r="Q142" s="1296">
        <f>IF($S$9&gt;0,'3 pr-2'!AB143,0)</f>
        <v>0</v>
      </c>
      <c r="R142" s="1372">
        <f>SUM('3 pr-2'!AH143)</f>
        <v>43281</v>
      </c>
      <c r="S142" s="1366">
        <f>SUMIF(Lapas4!$A$12:$A$299,C142,Lapas4!$H$12:$H$300)</f>
        <v>43285</v>
      </c>
      <c r="T142" s="646"/>
      <c r="U142" s="257">
        <f t="shared" si="49"/>
        <v>-0.13150684931506834</v>
      </c>
    </row>
    <row r="143" spans="1:21" ht="61.5" thickBot="1" x14ac:dyDescent="0.3">
      <c r="A143" s="642" t="str">
        <f>CONCATENATE('3 pr-2'!A144)</f>
        <v>2.1.2.3.3</v>
      </c>
      <c r="B143" s="1359" t="str">
        <f>CONCATENATE('3 pr-2'!B144)</f>
        <v>R01-6615-470000-2233</v>
      </c>
      <c r="C143" s="643" t="str">
        <f>CONCATENATE('ketv. 2'!B143)</f>
        <v>08.4.2-ESFA-R-615-11-0001</v>
      </c>
      <c r="D143" s="644" t="str">
        <f>CONCATENATE('3 pr-2'!D144)</f>
        <v xml:space="preserve">Paslaugų tuberkulioze sergantiems asmenims gerinimas Lazdijų rajono savivaldybėje </v>
      </c>
      <c r="E143" s="644" t="str">
        <f>CONCATENATE('3 pr-2'!E144)</f>
        <v>Lazdijų rajono savivaldybės administracija</v>
      </c>
      <c r="F143" s="644" t="str">
        <f>CONCATENATE('3 pr-2'!F144)</f>
        <v>Lietuvos Respublikos Sveikatos apsaugos ministerija</v>
      </c>
      <c r="G143" s="644" t="str">
        <f>CONCATENATE('3 pr-2'!G144)</f>
        <v>Lazdijų r. sav.</v>
      </c>
      <c r="H143" s="644" t="str">
        <f>CONCATENATE('3 pr-2'!H144)</f>
        <v>08.4.2-ESFA-R-615</v>
      </c>
      <c r="I143" s="644" t="str">
        <f>CONCATENATE('3 pr-2'!I144)</f>
        <v>R</v>
      </c>
      <c r="J143" s="645" t="str">
        <f>CONCATENATE('3 pr-2'!J144)</f>
        <v>-</v>
      </c>
      <c r="K143" s="1460">
        <f>IF(S143&gt;0,'3 pr-2'!L144,0)</f>
        <v>15224</v>
      </c>
      <c r="L143" s="1460">
        <f>IF(S143&gt;0,'3 pr-2'!O144,0)</f>
        <v>1142</v>
      </c>
      <c r="M143" s="1460">
        <f>IF(S143&gt;0,'3 pr-2'!R144,0)</f>
        <v>1141.5999999999999</v>
      </c>
      <c r="N143" s="1460">
        <f>IF(S143&gt;0,'3 pr-2'!U144,0)</f>
        <v>0</v>
      </c>
      <c r="O143" s="1460">
        <f>IF(S143&gt;0,'3 pr-2'!X144,0)</f>
        <v>0</v>
      </c>
      <c r="P143" s="1460">
        <f>IF(S143&gt;0,'3 pr-2'!AA144,0)</f>
        <v>12940.4</v>
      </c>
      <c r="Q143" s="1296">
        <f>IF($S$9&gt;0,'3 pr-2'!AB144,0)</f>
        <v>0</v>
      </c>
      <c r="R143" s="1372">
        <f>SUM('3 pr-2'!AH144)</f>
        <v>43189</v>
      </c>
      <c r="S143" s="1366">
        <f>SUMIF(Lapas4!$A$12:$A$299,C143,Lapas4!$H$12:$H$300)</f>
        <v>43188</v>
      </c>
      <c r="T143" s="646"/>
      <c r="U143" s="257" t="str">
        <f t="shared" si="49"/>
        <v>–</v>
      </c>
    </row>
    <row r="144" spans="1:21" ht="61.5" thickBot="1" x14ac:dyDescent="0.3">
      <c r="A144" s="642" t="str">
        <f>CONCATENATE('3 pr-2'!A145)</f>
        <v>2.1.2.3.4</v>
      </c>
      <c r="B144" s="1359" t="str">
        <f>CONCATENATE('3 pr-2'!B145)</f>
        <v>R01-6615-470000-2234</v>
      </c>
      <c r="C144" s="643" t="str">
        <f>CONCATENATE('ketv. 2'!B144)</f>
        <v>08.4.2-ESFA-R-615-11-0002</v>
      </c>
      <c r="D144" s="644" t="str">
        <f>CONCATENATE('3 pr-2'!D145)</f>
        <v>Ambulatorinių sveikatos priežiūros paslaugų tuberkulioze sergantiems asmenims prieinamumo gerinimas Druskininkų savivaldybėje</v>
      </c>
      <c r="E144" s="644" t="str">
        <f>CONCATENATE('3 pr-2'!E145)</f>
        <v>Druskininkų pirminės sveikatos priežiūros centras</v>
      </c>
      <c r="F144" s="644" t="str">
        <f>CONCATENATE('3 pr-2'!F145)</f>
        <v>Lietuvos Respublikos Sveikatos apsaugos ministerija</v>
      </c>
      <c r="G144" s="644" t="str">
        <f>CONCATENATE('3 pr-2'!G145)</f>
        <v>Druskininkų sav.</v>
      </c>
      <c r="H144" s="644" t="str">
        <f>CONCATENATE('3 pr-2'!H145)</f>
        <v>08.4.2-ESFA-R-615</v>
      </c>
      <c r="I144" s="644" t="str">
        <f>CONCATENATE('3 pr-2'!I145)</f>
        <v>R</v>
      </c>
      <c r="J144" s="645" t="str">
        <f>CONCATENATE('3 pr-2'!J145)</f>
        <v>-</v>
      </c>
      <c r="K144" s="1460">
        <f>IF(S144&gt;0,'3 pr-2'!L145,0)</f>
        <v>6816</v>
      </c>
      <c r="L144" s="1460">
        <f>IF(S144&gt;0,'3 pr-2'!O145,0)</f>
        <v>0</v>
      </c>
      <c r="M144" s="1460">
        <f>IF(S144&gt;0,'3 pr-2'!R145,0)</f>
        <v>511.2</v>
      </c>
      <c r="N144" s="1460">
        <f>IF(S144&gt;0,'3 pr-2'!U145,0)</f>
        <v>0</v>
      </c>
      <c r="O144" s="1460">
        <f>IF(S144&gt;0,'3 pr-2'!X145,0)</f>
        <v>511.2</v>
      </c>
      <c r="P144" s="1460">
        <f>IF(S144&gt;0,'3 pr-2'!AA145,0)</f>
        <v>5793.6</v>
      </c>
      <c r="Q144" s="1296">
        <f>IF($S$9&gt;0,'3 pr-2'!AB145,0)</f>
        <v>0</v>
      </c>
      <c r="R144" s="1372">
        <f>SUM('3 pr-2'!AH145)</f>
        <v>43255</v>
      </c>
      <c r="S144" s="1366">
        <f>SUMIF(Lapas4!$A$12:$A$299,C144,Lapas4!$H$12:$H$300)</f>
        <v>43255</v>
      </c>
      <c r="T144" s="646"/>
      <c r="U144" s="257" t="str">
        <f t="shared" si="49"/>
        <v>–</v>
      </c>
    </row>
    <row r="145" spans="1:21" ht="61.5" thickBot="1" x14ac:dyDescent="0.3">
      <c r="A145" s="642" t="str">
        <f>CONCATENATE('3 pr-2'!A146)</f>
        <v>2.1.2.3.5</v>
      </c>
      <c r="B145" s="1359" t="str">
        <f>CONCATENATE('3 pr-2'!B146)</f>
        <v>R01-6615-470000-2235</v>
      </c>
      <c r="C145" s="643" t="str">
        <f>CONCATENATE('ketv. 2'!B145)</f>
        <v>08.4.2-ESFA-R-615-11-0003</v>
      </c>
      <c r="D145" s="644" t="str">
        <f>CONCATENATE('3 pr-2'!D146)</f>
        <v>Ambulatorinių sveikatos priežiūros paslaugų prieinamumo gerinimas tuberkulioze sergantiems asmenims Varėnos rajono savivaldybėje</v>
      </c>
      <c r="E145" s="644" t="str">
        <f>CONCATENATE('3 pr-2'!E146)</f>
        <v>Varėnos rajono savivaldybės administracija</v>
      </c>
      <c r="F145" s="644" t="str">
        <f>CONCATENATE('3 pr-2'!F146)</f>
        <v>Lietuvos Respublikos Sveikatos apsaugos ministerija</v>
      </c>
      <c r="G145" s="644" t="str">
        <f>CONCATENATE('3 pr-2'!G146)</f>
        <v>Varėnos r. sav.</v>
      </c>
      <c r="H145" s="644" t="str">
        <f>CONCATENATE('3 pr-2'!H146)</f>
        <v>08.4.2-ESFA-R-615</v>
      </c>
      <c r="I145" s="644" t="str">
        <f>CONCATENATE('3 pr-2'!I146)</f>
        <v>R</v>
      </c>
      <c r="J145" s="645" t="str">
        <f>CONCATENATE('3 pr-2'!J146)</f>
        <v>-</v>
      </c>
      <c r="K145" s="1460">
        <f>IF(S145&gt;0,'3 pr-2'!L146,0)</f>
        <v>15679</v>
      </c>
      <c r="L145" s="1460">
        <f>IF(S145&gt;0,'3 pr-2'!O146,0)</f>
        <v>1176</v>
      </c>
      <c r="M145" s="1460">
        <f>IF(S145&gt;0,'3 pr-2'!R146,0)</f>
        <v>1176</v>
      </c>
      <c r="N145" s="1460">
        <f>IF(S145&gt;0,'3 pr-2'!U146,0)</f>
        <v>0</v>
      </c>
      <c r="O145" s="1460">
        <f>IF(S145&gt;0,'3 pr-2'!X146,0)</f>
        <v>0</v>
      </c>
      <c r="P145" s="1460">
        <f>IF(S145&gt;0,'3 pr-2'!AA146,0)</f>
        <v>13327</v>
      </c>
      <c r="Q145" s="1296">
        <f>IF($S$9&gt;0,'3 pr-2'!AB146,0)</f>
        <v>0</v>
      </c>
      <c r="R145" s="1372">
        <f>SUM('3 pr-2'!AH146)</f>
        <v>43281</v>
      </c>
      <c r="S145" s="1366">
        <f>SUMIF(Lapas4!$A$12:$A$299,C145,Lapas4!$H$12:$H$300)</f>
        <v>43278</v>
      </c>
      <c r="T145" s="646"/>
      <c r="U145" s="257" t="str">
        <f t="shared" si="49"/>
        <v>–</v>
      </c>
    </row>
    <row r="146" spans="1:21" ht="44.25" customHeight="1" thickBot="1" x14ac:dyDescent="0.3">
      <c r="A146" s="261" t="str">
        <f>CONCATENATE('3 pr-2'!A147)</f>
        <v>2.1.3.</v>
      </c>
      <c r="B146" s="2022" t="str">
        <f>CONCATENATE('3 pr-2'!B147)</f>
        <v>Uždavinys:
Socialinio būsto ir socialinių paslaugų prieinamumo pažeidžiamiausioms gyventojų grupėms padidinimas</v>
      </c>
      <c r="C146" s="2023"/>
      <c r="D146" s="2023"/>
      <c r="E146" s="2023"/>
      <c r="F146" s="2023"/>
      <c r="G146" s="2023"/>
      <c r="H146" s="2023"/>
      <c r="I146" s="2023"/>
      <c r="J146" s="2024"/>
      <c r="K146" s="1420">
        <f t="shared" ref="K146:P146" si="50">SUM(K147+K153)</f>
        <v>4201522.92</v>
      </c>
      <c r="L146" s="1420">
        <f t="shared" si="50"/>
        <v>772839.92999999993</v>
      </c>
      <c r="M146" s="1420">
        <f t="shared" si="50"/>
        <v>21947.85</v>
      </c>
      <c r="N146" s="1420">
        <f t="shared" si="50"/>
        <v>0</v>
      </c>
      <c r="O146" s="1420">
        <f t="shared" si="50"/>
        <v>0</v>
      </c>
      <c r="P146" s="1420">
        <f t="shared" si="50"/>
        <v>3406735.14</v>
      </c>
      <c r="Q146" s="1420">
        <f t="shared" ref="Q146" si="51">SUM(Q147+Q153)</f>
        <v>0</v>
      </c>
      <c r="R146" s="1338" t="s">
        <v>690</v>
      </c>
      <c r="S146" s="1339" t="s">
        <v>690</v>
      </c>
      <c r="T146" s="408" t="s">
        <v>690</v>
      </c>
      <c r="U146" s="239"/>
    </row>
    <row r="147" spans="1:21" ht="42.75" customHeight="1" thickBot="1" x14ac:dyDescent="0.3">
      <c r="A147" s="326" t="str">
        <f>CONCATENATE('3 pr-2'!A148)</f>
        <v>2.1.3.1</v>
      </c>
      <c r="B147" s="2025" t="str">
        <f>CONCATENATE('3 pr-2'!B148)</f>
        <v>Priemonė:
Socialinių paslaugų infrastruktūros plėtra</v>
      </c>
      <c r="C147" s="2026"/>
      <c r="D147" s="2026"/>
      <c r="E147" s="2026"/>
      <c r="F147" s="2026"/>
      <c r="G147" s="2026"/>
      <c r="H147" s="2026"/>
      <c r="I147" s="2026"/>
      <c r="J147" s="2027"/>
      <c r="K147" s="1293">
        <f t="shared" ref="K147:P147" si="52">SUM(K148:K152)</f>
        <v>1235321.8</v>
      </c>
      <c r="L147" s="1293">
        <f t="shared" si="52"/>
        <v>327612.79999999999</v>
      </c>
      <c r="M147" s="1293">
        <f t="shared" si="52"/>
        <v>21947.85</v>
      </c>
      <c r="N147" s="1293">
        <f t="shared" si="52"/>
        <v>0</v>
      </c>
      <c r="O147" s="1293">
        <f t="shared" si="52"/>
        <v>0</v>
      </c>
      <c r="P147" s="1293">
        <f t="shared" si="52"/>
        <v>885761.15</v>
      </c>
      <c r="Q147" s="1293">
        <f t="shared" ref="Q147" si="53">SUM(Q148:Q152)</f>
        <v>0</v>
      </c>
      <c r="R147" s="1340"/>
      <c r="S147" s="1341"/>
      <c r="T147" s="398"/>
      <c r="U147" s="399"/>
    </row>
    <row r="148" spans="1:21" ht="61.5" thickBot="1" x14ac:dyDescent="0.3">
      <c r="A148" s="181" t="str">
        <f>CONCATENATE('3 pr-2'!A149)</f>
        <v>2.1.3.1.1</v>
      </c>
      <c r="B148" s="1359" t="str">
        <f>CONCATENATE('3 pr-2'!B149)</f>
        <v>R01-4407-270000-2311</v>
      </c>
      <c r="C148" s="247" t="str">
        <f>CONCATENATE('ketv. 2'!B148)</f>
        <v>08.1.1-CPVA-R-407-11-0002</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92" t="str">
        <f>CONCATENATE('3 pr-2'!J149)</f>
        <v>-</v>
      </c>
      <c r="K148" s="1296">
        <f>IF(S148&gt;0,'3 pr-2'!L149,0)</f>
        <v>148480</v>
      </c>
      <c r="L148" s="1296">
        <f>IF(S148&gt;0,'3 pr-2'!O149,0)</f>
        <v>22272</v>
      </c>
      <c r="M148" s="1296">
        <f>IF(S148&gt;0,'3 pr-2'!R149,0)</f>
        <v>0</v>
      </c>
      <c r="N148" s="1296">
        <f>IF(S148&gt;0,'3 pr-2'!U149,0)</f>
        <v>0</v>
      </c>
      <c r="O148" s="1296">
        <f>IF(S148&gt;0,'3 pr-2'!X149,0)</f>
        <v>0</v>
      </c>
      <c r="P148" s="1296">
        <f>IF(S148&gt;0,'3 pr-2'!AA149,0)</f>
        <v>126208</v>
      </c>
      <c r="Q148" s="1296">
        <f>IF($S$9&gt;0,'3 pr-2'!AB149,0)</f>
        <v>0</v>
      </c>
      <c r="R148" s="1361">
        <f>SUM('3 pr-2'!AH149)</f>
        <v>42719</v>
      </c>
      <c r="S148" s="1366">
        <f>SUMIF(Lapas4!$A$12:$A$299,C148,Lapas4!$H$12:$H$300)</f>
        <v>42734</v>
      </c>
      <c r="T148" s="191">
        <f>IF((YEAR(R148)-YEAR(S148))=0,0,YEAR(R148)-YEAR(S148))</f>
        <v>0</v>
      </c>
      <c r="U148" s="257">
        <f t="shared" ref="U148:U152" si="54">IF(R148-S148&lt;0,(R148-S148)/30.4166666666667,"–")</f>
        <v>-0.49315068493150632</v>
      </c>
    </row>
    <row r="149" spans="1:21" ht="61.5" thickBot="1" x14ac:dyDescent="0.3">
      <c r="A149" s="181" t="str">
        <f>CONCATENATE('3 pr-2'!A150)</f>
        <v>2.1.3.1.2</v>
      </c>
      <c r="B149" s="1359" t="str">
        <f>CONCATENATE('3 pr-2'!B150)</f>
        <v>R01-4407-274800-2312</v>
      </c>
      <c r="C149" s="247" t="str">
        <f>CONCATENATE('ketv. 2'!B149)</f>
        <v>08.1.1-CPVA-R-407-11-0004</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92" t="str">
        <f>CONCATENATE('3 pr-2'!J150)</f>
        <v/>
      </c>
      <c r="K149" s="1296">
        <f>IF(S149&gt;0,'3 pr-2'!L150,0)</f>
        <v>188353</v>
      </c>
      <c r="L149" s="1296">
        <f>IF(S149&gt;0,'3 pr-2'!O150,0)</f>
        <v>28253</v>
      </c>
      <c r="M149" s="1296">
        <f>IF(S149&gt;0,'3 pr-2'!R150,0)</f>
        <v>0</v>
      </c>
      <c r="N149" s="1296">
        <f>IF(S149&gt;0,'3 pr-2'!U150,0)</f>
        <v>0</v>
      </c>
      <c r="O149" s="1296">
        <f>IF(S149&gt;0,'3 pr-2'!X150,0)</f>
        <v>0</v>
      </c>
      <c r="P149" s="1296">
        <f>IF(S149&gt;0,'3 pr-2'!AA150,0)</f>
        <v>160100</v>
      </c>
      <c r="Q149" s="1296">
        <f>IF($S$9&gt;0,'3 pr-2'!AB150,0)</f>
        <v>0</v>
      </c>
      <c r="R149" s="1361">
        <f>SUM('3 pr-2'!AH150)</f>
        <v>42738</v>
      </c>
      <c r="S149" s="1366">
        <f>SUMIF(Lapas4!$A$12:$A$299,C149,Lapas4!$H$12:$H$300)</f>
        <v>42738</v>
      </c>
      <c r="T149" s="191">
        <f>IF((YEAR(R149)-YEAR(S149))=0,0,YEAR(R149)-YEAR(S149))</f>
        <v>0</v>
      </c>
      <c r="U149" s="257" t="str">
        <f t="shared" si="54"/>
        <v>–</v>
      </c>
    </row>
    <row r="150" spans="1:21" ht="61.5" thickBot="1" x14ac:dyDescent="0.3">
      <c r="A150" s="181" t="str">
        <f>CONCATENATE('3 pr-2'!A151)</f>
        <v>2.1.3.1.3</v>
      </c>
      <c r="B150" s="1359" t="str">
        <f>CONCATENATE('3 pr-2'!B151)</f>
        <v>R01-4407-270000-2313</v>
      </c>
      <c r="C150" s="247" t="str">
        <f>CONCATENATE('ketv. 2'!B150)</f>
        <v>08.1.1-CPVA-R-407-11-0005</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92" t="str">
        <f>CONCATENATE('3 pr-2'!J151)</f>
        <v>-</v>
      </c>
      <c r="K150" s="1296">
        <f>IF(S150&gt;0,'3 pr-2'!L151,0)</f>
        <v>600732.80000000005</v>
      </c>
      <c r="L150" s="1296">
        <f>IF(S150&gt;0,'3 pr-2'!O151,0)</f>
        <v>254371.8</v>
      </c>
      <c r="M150" s="1296">
        <f>IF(S150&gt;0,'3 pr-2'!R151,0)</f>
        <v>0</v>
      </c>
      <c r="N150" s="1296">
        <f>IF(S150&gt;0,'3 pr-2'!U151,0)</f>
        <v>0</v>
      </c>
      <c r="O150" s="1296">
        <f>IF(S150&gt;0,'3 pr-2'!X151,0)</f>
        <v>0</v>
      </c>
      <c r="P150" s="1296">
        <f>IF(S150&gt;0,'3 pr-2'!AA151,0)</f>
        <v>346361</v>
      </c>
      <c r="Q150" s="1296">
        <f>IF($S$9&gt;0,'3 pr-2'!AB151,0)</f>
        <v>0</v>
      </c>
      <c r="R150" s="1361">
        <f>SUM('3 pr-2'!AH151)</f>
        <v>42766</v>
      </c>
      <c r="S150" s="1366">
        <f>SUMIF(Lapas4!$A$12:$A$299,C150,Lapas4!$H$12:$H$300)</f>
        <v>42766</v>
      </c>
      <c r="T150" s="191">
        <f>IF((YEAR(R150)-YEAR(S150))=0,0,YEAR(R150)-YEAR(S150))</f>
        <v>0</v>
      </c>
      <c r="U150" s="257" t="str">
        <f t="shared" si="54"/>
        <v>–</v>
      </c>
    </row>
    <row r="151" spans="1:21" ht="61.5" thickBot="1" x14ac:dyDescent="0.3">
      <c r="A151" s="181" t="str">
        <f>CONCATENATE('3 pr-2'!A152)</f>
        <v>2.1.3.1.4</v>
      </c>
      <c r="B151" s="1359" t="str">
        <f>CONCATENATE('3 pr-2'!B152)</f>
        <v>R01-4407-270000-2314</v>
      </c>
      <c r="C151" s="247" t="str">
        <f>CONCATENATE('ketv. 2'!B151)</f>
        <v>08.1.1-CPVA-R-407-11-0001</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92" t="str">
        <f>CONCATENATE('3 pr-2'!J152)</f>
        <v>-</v>
      </c>
      <c r="K151" s="1296">
        <f>IF(S151&gt;0,'3 pr-2'!L152,0)</f>
        <v>151437</v>
      </c>
      <c r="L151" s="1296">
        <f>IF(S151&gt;0,'3 pr-2'!O152,0)</f>
        <v>22716</v>
      </c>
      <c r="M151" s="1296">
        <f>IF(S151&gt;0,'3 pr-2'!R152,0)</f>
        <v>0</v>
      </c>
      <c r="N151" s="1296">
        <f>IF(S151&gt;0,'3 pr-2'!U152,0)</f>
        <v>0</v>
      </c>
      <c r="O151" s="1296">
        <f>IF(S151&gt;0,'3 pr-2'!X152,0)</f>
        <v>0</v>
      </c>
      <c r="P151" s="1296">
        <f>IF(S151&gt;0,'3 pr-2'!AA152,0)</f>
        <v>128721</v>
      </c>
      <c r="Q151" s="1296">
        <f>IF($S$9&gt;0,'3 pr-2'!AB152,0)</f>
        <v>0</v>
      </c>
      <c r="R151" s="1361">
        <f>SUM('3 pr-2'!AH152)</f>
        <v>42735</v>
      </c>
      <c r="S151" s="1366">
        <f>SUMIF(Lapas4!$A$12:$A$299,C151,Lapas4!$H$12:$H$300)</f>
        <v>42734</v>
      </c>
      <c r="T151" s="191">
        <f>IF((YEAR(R151)-YEAR(S151))=0,0,YEAR(R151)-YEAR(S151))</f>
        <v>0</v>
      </c>
      <c r="U151" s="257" t="str">
        <f t="shared" si="54"/>
        <v>–</v>
      </c>
    </row>
    <row r="152" spans="1:21" ht="61.5" thickBot="1" x14ac:dyDescent="0.3">
      <c r="A152" s="181" t="str">
        <f>CONCATENATE('3 pr-2'!A153)</f>
        <v>2.1.3.1.5</v>
      </c>
      <c r="B152" s="1359" t="str">
        <f>CONCATENATE('3 pr-2'!B153)</f>
        <v>R01-4407-270000-2315</v>
      </c>
      <c r="C152" s="247" t="str">
        <f>CONCATENATE('ketv. 2'!B152)</f>
        <v>08.1.1-CPVA-R-407-11-0003</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92" t="str">
        <f>CONCATENATE('3 pr-2'!J153)</f>
        <v>-</v>
      </c>
      <c r="K152" s="1296">
        <f>IF(S152&gt;0,'3 pr-2'!L153,0)</f>
        <v>146319</v>
      </c>
      <c r="L152" s="1296">
        <f>IF(S152&gt;0,'3 pr-2'!O153,0)</f>
        <v>0</v>
      </c>
      <c r="M152" s="1296">
        <f>IF(S152&gt;0,'3 pr-2'!R153,0)</f>
        <v>21947.85</v>
      </c>
      <c r="N152" s="1296">
        <f>IF(S152&gt;0,'3 pr-2'!U153,0)</f>
        <v>0</v>
      </c>
      <c r="O152" s="1296">
        <f>IF(S152&gt;0,'3 pr-2'!X153,0)</f>
        <v>0</v>
      </c>
      <c r="P152" s="1296">
        <f>IF(S152&gt;0,'3 pr-2'!AA153,0)</f>
        <v>124371.15</v>
      </c>
      <c r="Q152" s="1296">
        <f>IF($S$9&gt;0,'3 pr-2'!AB153,0)</f>
        <v>0</v>
      </c>
      <c r="R152" s="1361">
        <f>SUM('3 pr-2'!AH153)</f>
        <v>42737</v>
      </c>
      <c r="S152" s="1366">
        <f>SUMIF(Lapas4!$A$12:$A$299,C152,Lapas4!$H$12:$H$300)</f>
        <v>42737</v>
      </c>
      <c r="T152" s="191">
        <f>IF((YEAR(R152)-YEAR(S152))=0,0,YEAR(R152)-YEAR(S152))</f>
        <v>0</v>
      </c>
      <c r="U152" s="257" t="str">
        <f t="shared" si="54"/>
        <v>–</v>
      </c>
    </row>
    <row r="153" spans="1:21" ht="25.5" customHeight="1" thickBot="1" x14ac:dyDescent="0.3">
      <c r="A153" s="326" t="str">
        <f>CONCATENATE('3 pr-2'!A154)</f>
        <v>2.1.3.2</v>
      </c>
      <c r="B153" s="2025" t="str">
        <f>CONCATENATE('3 pr-2'!B154)</f>
        <v>Priemonė:
Socialinio būsto fondo plėtra</v>
      </c>
      <c r="C153" s="2026"/>
      <c r="D153" s="2026"/>
      <c r="E153" s="2026"/>
      <c r="F153" s="2026"/>
      <c r="G153" s="2026"/>
      <c r="H153" s="2026"/>
      <c r="I153" s="2026"/>
      <c r="J153" s="2027"/>
      <c r="K153" s="1293">
        <f t="shared" ref="K153:Q153" si="55">SUM(K154:K158)</f>
        <v>2966201.12</v>
      </c>
      <c r="L153" s="1293">
        <f t="shared" si="55"/>
        <v>445227.13</v>
      </c>
      <c r="M153" s="1293">
        <f t="shared" si="55"/>
        <v>0</v>
      </c>
      <c r="N153" s="1293">
        <f t="shared" si="55"/>
        <v>0</v>
      </c>
      <c r="O153" s="1293">
        <f t="shared" si="55"/>
        <v>0</v>
      </c>
      <c r="P153" s="1293">
        <f t="shared" si="55"/>
        <v>2520973.9900000002</v>
      </c>
      <c r="Q153" s="1293">
        <f t="shared" si="55"/>
        <v>0</v>
      </c>
      <c r="R153" s="1340"/>
      <c r="S153" s="1341"/>
      <c r="T153" s="398"/>
      <c r="U153" s="399"/>
    </row>
    <row r="154" spans="1:21" ht="61.5" thickBot="1" x14ac:dyDescent="0.3">
      <c r="A154" s="181" t="str">
        <f>CONCATENATE('3 pr-2'!A155)</f>
        <v>2.1.3.2.1</v>
      </c>
      <c r="B154" s="1359" t="str">
        <f>CONCATENATE('3 pr-2'!B155)</f>
        <v>R01-4408-260000-2321</v>
      </c>
      <c r="C154" s="247" t="str">
        <f>CONCATENATE('ketv. 2'!B154)</f>
        <v>08.1.2-CPVA-R-408-11-0001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92" t="str">
        <f>CONCATENATE('3 pr-2'!J155)</f>
        <v>-</v>
      </c>
      <c r="K154" s="1296">
        <f>IF(S154&gt;0,'3 pr-2'!L155,0)</f>
        <v>736499</v>
      </c>
      <c r="L154" s="1296">
        <f>IF(S154&gt;0,'3 pr-2'!O155,0)</f>
        <v>110475</v>
      </c>
      <c r="M154" s="1296">
        <f>IF(S154&gt;0,'3 pr-2'!R155,0)</f>
        <v>0</v>
      </c>
      <c r="N154" s="1296">
        <f>IF(S154&gt;0,'3 pr-2'!U155,0)</f>
        <v>0</v>
      </c>
      <c r="O154" s="1296">
        <f>IF(S154&gt;0,'3 pr-2'!X155,0)</f>
        <v>0</v>
      </c>
      <c r="P154" s="1296">
        <f>IF(S154&gt;0,'3 pr-2'!AA155,0)</f>
        <v>626024</v>
      </c>
      <c r="Q154" s="1296">
        <f>IF($S$9&gt;0,'3 pr-2'!AB155,0)</f>
        <v>0</v>
      </c>
      <c r="R154" s="1361">
        <f>SUM('3 pr-2'!AH155)</f>
        <v>42674</v>
      </c>
      <c r="S154" s="1366">
        <f>SUMIF(Lapas4!$A$12:$A$299,C154,Lapas4!$H$12:$H$300)</f>
        <v>42506</v>
      </c>
      <c r="T154" s="191">
        <f>IF((YEAR(R154)-YEAR(S154))=0,0,YEAR(R154)-YEAR(S154))</f>
        <v>0</v>
      </c>
      <c r="U154" s="647" t="str">
        <f t="shared" ref="U154:U158" si="56">IF(R154-S154&lt;0,(R154-S154)/30.4166666666667,"–")</f>
        <v>–</v>
      </c>
    </row>
    <row r="155" spans="1:21" ht="61.5" thickBot="1" x14ac:dyDescent="0.3">
      <c r="A155" s="181" t="str">
        <f>CONCATENATE('3 pr-2'!A156)</f>
        <v>2.1.3.2.2</v>
      </c>
      <c r="B155" s="1359" t="str">
        <f>CONCATENATE('3 pr-2'!B156)</f>
        <v>R01-4408-250000-2322</v>
      </c>
      <c r="C155" s="247" t="str">
        <f>CONCATENATE('ketv. 2'!B155)</f>
        <v>08.1.2-CPVA-R-408-11-0005</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92" t="str">
        <f>CONCATENATE('3 pr-2'!J156)</f>
        <v>-</v>
      </c>
      <c r="K155" s="1296">
        <f>IF(S155&gt;0,'3 pr-2'!L156,0)</f>
        <v>241889</v>
      </c>
      <c r="L155" s="1296">
        <f>IF(S155&gt;0,'3 pr-2'!O156,0)</f>
        <v>36283</v>
      </c>
      <c r="M155" s="1296">
        <f>IF(S155&gt;0,'3 pr-2'!R156,0)</f>
        <v>0</v>
      </c>
      <c r="N155" s="1296">
        <f>IF(S155&gt;0,'3 pr-2'!U156,0)</f>
        <v>0</v>
      </c>
      <c r="O155" s="1296">
        <f>IF(S155&gt;0,'3 pr-2'!X156,0)</f>
        <v>0</v>
      </c>
      <c r="P155" s="1296">
        <f>IF(S155&gt;0,'3 pr-2'!AA156,0)</f>
        <v>205606</v>
      </c>
      <c r="Q155" s="1296">
        <f>IF($S$9&gt;0,'3 pr-2'!AB156,0)</f>
        <v>0</v>
      </c>
      <c r="R155" s="1361">
        <f>SUM('3 pr-2'!AH156)</f>
        <v>42674</v>
      </c>
      <c r="S155" s="1366">
        <f>SUMIF(Lapas4!$A$12:$A$299,C155,Lapas4!$H$12:$H$300)</f>
        <v>42523</v>
      </c>
      <c r="T155" s="191">
        <f>IF((YEAR(R155)-YEAR(S155))=0,0,YEAR(R155)-YEAR(S155))</f>
        <v>0</v>
      </c>
      <c r="U155" s="647" t="str">
        <f t="shared" si="56"/>
        <v>–</v>
      </c>
    </row>
    <row r="156" spans="1:21" ht="61.5" thickBot="1" x14ac:dyDescent="0.3">
      <c r="A156" s="181" t="str">
        <f>CONCATENATE('3 pr-2'!A157)</f>
        <v>2.1.3.1.3</v>
      </c>
      <c r="B156" s="1359" t="str">
        <f>CONCATENATE('3 pr-2'!B157)</f>
        <v>R01-4408-260000-2323</v>
      </c>
      <c r="C156" s="247" t="str">
        <f>CONCATENATE('ketv. 2'!B156)</f>
        <v>08.1.2-CPVA-R-408-11-0002</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92" t="str">
        <f>CONCATENATE('3 pr-2'!J157)</f>
        <v>-</v>
      </c>
      <c r="K156" s="1296">
        <f>IF(S156&gt;0,'3 pr-2'!L157,0)</f>
        <v>891741.17999999993</v>
      </c>
      <c r="L156" s="1296">
        <f>IF(S156&gt;0,'3 pr-2'!O157,0)</f>
        <v>133761.18</v>
      </c>
      <c r="M156" s="1296">
        <f>IF(S156&gt;0,'3 pr-2'!R157,0)</f>
        <v>0</v>
      </c>
      <c r="N156" s="1296">
        <f>IF(S156&gt;0,'3 pr-2'!U157,0)</f>
        <v>0</v>
      </c>
      <c r="O156" s="1296">
        <f>IF(S156&gt;0,'3 pr-2'!X157,0)</f>
        <v>0</v>
      </c>
      <c r="P156" s="1296">
        <f>IF(S156&gt;0,'3 pr-2'!AA157,0)</f>
        <v>757980</v>
      </c>
      <c r="Q156" s="1296">
        <f>IF($S$9&gt;0,'3 pr-2'!AB157,0)</f>
        <v>0</v>
      </c>
      <c r="R156" s="1361">
        <f>SUM('3 pr-2'!AH157)</f>
        <v>42563</v>
      </c>
      <c r="S156" s="1366">
        <f>SUMIF(Lapas4!$A$12:$A$299,C156,Lapas4!$H$12:$H$300)</f>
        <v>42563</v>
      </c>
      <c r="T156" s="191">
        <f>IF((YEAR(R156)-YEAR(S156))=0,0,YEAR(R156)-YEAR(S156))</f>
        <v>0</v>
      </c>
      <c r="U156" s="647" t="str">
        <f t="shared" si="56"/>
        <v>–</v>
      </c>
    </row>
    <row r="157" spans="1:21" ht="61.5" thickBot="1" x14ac:dyDescent="0.3">
      <c r="A157" s="181" t="str">
        <f>CONCATENATE('3 pr-2'!A158)</f>
        <v>2.1.3.2.4</v>
      </c>
      <c r="B157" s="1359" t="str">
        <f>CONCATENATE('3 pr-2'!B158)</f>
        <v>R01-4408-260000-2324</v>
      </c>
      <c r="C157" s="247" t="str">
        <f>CONCATENATE('ketv. 2'!B157)</f>
        <v>08.1.2-CPVA-R-408-11-0003</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92" t="str">
        <f>CONCATENATE('3 pr-2'!J158)</f>
        <v>-</v>
      </c>
      <c r="K157" s="1296">
        <f>IF(S157&gt;0,'3 pr-2'!L158,0)</f>
        <v>727472.94</v>
      </c>
      <c r="L157" s="1296">
        <f>IF(S157&gt;0,'3 pr-2'!O158,0)</f>
        <v>109120.95</v>
      </c>
      <c r="M157" s="1296">
        <f>IF(S157&gt;0,'3 pr-2'!R158,0)</f>
        <v>0</v>
      </c>
      <c r="N157" s="1296">
        <f>IF(S157&gt;0,'3 pr-2'!U158,0)</f>
        <v>0</v>
      </c>
      <c r="O157" s="1296">
        <f>IF(S157&gt;0,'3 pr-2'!X158,0)</f>
        <v>0</v>
      </c>
      <c r="P157" s="1296">
        <f>IF(S157&gt;0,'3 pr-2'!AA158,0)</f>
        <v>618351.99</v>
      </c>
      <c r="Q157" s="1296">
        <f>IF($S$9&gt;0,'3 pr-2'!AB158,0)</f>
        <v>0</v>
      </c>
      <c r="R157" s="1361">
        <f>SUM('3 pr-2'!AH158)</f>
        <v>42674</v>
      </c>
      <c r="S157" s="1366">
        <f>SUMIF(Lapas4!$A$12:$A$299,C157,Lapas4!$H$12:$H$300)</f>
        <v>42515</v>
      </c>
      <c r="T157" s="191">
        <f>IF((YEAR(R157)-YEAR(S157))=0,0,YEAR(R157)-YEAR(S157))</f>
        <v>0</v>
      </c>
      <c r="U157" s="647" t="str">
        <f t="shared" si="56"/>
        <v>–</v>
      </c>
    </row>
    <row r="158" spans="1:21" ht="61.5" thickBot="1" x14ac:dyDescent="0.3">
      <c r="A158" s="181" t="str">
        <f>CONCATENATE('3 pr-2'!A159)</f>
        <v>2.1.3.2.5</v>
      </c>
      <c r="B158" s="1359" t="str">
        <f>CONCATENATE('3 pr-2'!B159)</f>
        <v>R01-4408-252600-2325</v>
      </c>
      <c r="C158" s="247" t="str">
        <f>CONCATENATE('ketv. 2'!B158)</f>
        <v>08.1.2-CPVA-R-408-11-0004</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92" t="str">
        <f>CONCATENATE('3 pr-2'!J159)</f>
        <v>-</v>
      </c>
      <c r="K158" s="1296">
        <f>IF(S158&gt;0,'3 pr-2'!L159,0)</f>
        <v>368599</v>
      </c>
      <c r="L158" s="1296">
        <f>IF(S158&gt;0,'3 pr-2'!O159,0)</f>
        <v>55587</v>
      </c>
      <c r="M158" s="1296">
        <f>IF(S158&gt;0,'3 pr-2'!R159,0)</f>
        <v>0</v>
      </c>
      <c r="N158" s="1296">
        <f>IF(S158&gt;0,'3 pr-2'!U159,0)</f>
        <v>0</v>
      </c>
      <c r="O158" s="1296">
        <f>IF(S158&gt;0,'3 pr-2'!X159,0)</f>
        <v>0</v>
      </c>
      <c r="P158" s="1296">
        <f>IF(S158&gt;0,'3 pr-2'!AA159,0)</f>
        <v>313012</v>
      </c>
      <c r="Q158" s="1296">
        <f>IF($S$9&gt;0,'3 pr-2'!AB159,0)</f>
        <v>0</v>
      </c>
      <c r="R158" s="1361">
        <f>SUM('3 pr-2'!AH159)</f>
        <v>42674</v>
      </c>
      <c r="S158" s="1366">
        <f>SUMIF(Lapas4!$A$12:$A$299,C158,Lapas4!$H$12:$H$300)</f>
        <v>42566</v>
      </c>
      <c r="T158" s="235">
        <f>IF((YEAR(R158)-YEAR(S158))=0,0,YEAR(R158)-YEAR(S158))</f>
        <v>0</v>
      </c>
      <c r="U158" s="647" t="str">
        <f t="shared" si="56"/>
        <v>–</v>
      </c>
    </row>
    <row r="159" spans="1:21" ht="40.5" customHeight="1" thickBot="1" x14ac:dyDescent="0.3">
      <c r="A159" s="261" t="str">
        <f>CONCATENATE('3 pr-2'!A160)</f>
        <v>2.1.4.</v>
      </c>
      <c r="B159" s="2022" t="str">
        <f>CONCATENATE('3 pr-2'!B160)</f>
        <v>Uždavinys:
Visuomenei teikiamų paslaugų kokybės, didinant jų atitikimo visuomenės poreikiams pagerinimas</v>
      </c>
      <c r="C159" s="2023"/>
      <c r="D159" s="2023"/>
      <c r="E159" s="2023"/>
      <c r="F159" s="2023"/>
      <c r="G159" s="2023"/>
      <c r="H159" s="2023"/>
      <c r="I159" s="2023"/>
      <c r="J159" s="2024"/>
      <c r="K159" s="1420">
        <f t="shared" ref="K159:Q159" si="57">SUM(K160)</f>
        <v>906987.73</v>
      </c>
      <c r="L159" s="1420">
        <f t="shared" si="57"/>
        <v>136179.88999999998</v>
      </c>
      <c r="M159" s="1420">
        <f t="shared" si="57"/>
        <v>0</v>
      </c>
      <c r="N159" s="1420">
        <f t="shared" si="57"/>
        <v>0</v>
      </c>
      <c r="O159" s="1420">
        <f t="shared" si="57"/>
        <v>0</v>
      </c>
      <c r="P159" s="1420">
        <f t="shared" si="57"/>
        <v>770807.84000000008</v>
      </c>
      <c r="Q159" s="1420">
        <f t="shared" si="57"/>
        <v>0</v>
      </c>
      <c r="R159" s="1338" t="s">
        <v>690</v>
      </c>
      <c r="S159" s="1339" t="s">
        <v>690</v>
      </c>
      <c r="T159" s="408" t="s">
        <v>690</v>
      </c>
      <c r="U159" s="239"/>
    </row>
    <row r="160" spans="1:21" ht="38.25" customHeight="1" thickBot="1" x14ac:dyDescent="0.3">
      <c r="A160" s="326" t="str">
        <f>CONCATENATE('3 pr-2'!A161)</f>
        <v>2.1.4.1</v>
      </c>
      <c r="B160" s="2025" t="str">
        <f>CONCATENATE('3 pr-2'!B161)</f>
        <v>Priemonė:
Paslaugų teikimo ir asmenų aptarnavimo kokybės gerinimas savivaldybėse</v>
      </c>
      <c r="C160" s="2026"/>
      <c r="D160" s="2026"/>
      <c r="E160" s="2026"/>
      <c r="F160" s="2026"/>
      <c r="G160" s="2026"/>
      <c r="H160" s="2026"/>
      <c r="I160" s="2026"/>
      <c r="J160" s="2027"/>
      <c r="K160" s="1293">
        <f t="shared" ref="K160:P160" si="58">SUM(K161:K166)</f>
        <v>906987.73</v>
      </c>
      <c r="L160" s="1293">
        <f t="shared" si="58"/>
        <v>136179.88999999998</v>
      </c>
      <c r="M160" s="1293">
        <f t="shared" si="58"/>
        <v>0</v>
      </c>
      <c r="N160" s="1293">
        <f t="shared" si="58"/>
        <v>0</v>
      </c>
      <c r="O160" s="1293">
        <f t="shared" si="58"/>
        <v>0</v>
      </c>
      <c r="P160" s="1293">
        <f t="shared" si="58"/>
        <v>770807.84000000008</v>
      </c>
      <c r="Q160" s="1293">
        <f t="shared" ref="Q160" si="59">SUM(Q161:Q166)</f>
        <v>0</v>
      </c>
      <c r="R160" s="1340"/>
      <c r="S160" s="1341"/>
      <c r="T160" s="398"/>
      <c r="U160" s="399"/>
    </row>
    <row r="161" spans="1:22" ht="49.5" thickBot="1" x14ac:dyDescent="0.3">
      <c r="A161" s="181" t="str">
        <f>CONCATENATE('3 pr-2'!A162)</f>
        <v>2.1.4.1.1</v>
      </c>
      <c r="B161" s="1359" t="str">
        <f>CONCATENATE('3 pr-2'!B162)</f>
        <v>R01-9920-490000-2411</v>
      </c>
      <c r="C161" s="247" t="str">
        <f>CONCATENATE('ketv. 2'!B161)</f>
        <v>10.1.3-ESFA-R-920-11-0001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92" t="str">
        <f>CONCATENATE('3 pr-2'!J162)</f>
        <v>-</v>
      </c>
      <c r="K161" s="1296">
        <f>IF(S161&gt;0,'3 pr-2'!L162,0)</f>
        <v>172733.52</v>
      </c>
      <c r="L161" s="1296">
        <f>IF(S161&gt;0,'3 pr-2'!O162,0)</f>
        <v>25910.03</v>
      </c>
      <c r="M161" s="1296">
        <f>IF(S161&gt;0,'3 pr-2'!R162,0)</f>
        <v>0</v>
      </c>
      <c r="N161" s="1296">
        <f>IF(S161&gt;0,'3 pr-2'!U162,0)</f>
        <v>0</v>
      </c>
      <c r="O161" s="1296">
        <f>IF(S161&gt;0,'3 pr-2'!X162,0)</f>
        <v>0</v>
      </c>
      <c r="P161" s="1296">
        <f>IF(S161&gt;0,'3 pr-2'!AA162,0)</f>
        <v>146823.49</v>
      </c>
      <c r="Q161" s="1296">
        <f>IF($S$9&gt;0,'3 pr-2'!AB162,0)</f>
        <v>0</v>
      </c>
      <c r="R161" s="1361">
        <f>SUM('3 pr-2'!AH162)</f>
        <v>43039</v>
      </c>
      <c r="S161" s="1366">
        <f>SUMIF(Lapas4!$A$12:$A$299,C161,Lapas4!$H$12:$H$300)</f>
        <v>43039</v>
      </c>
      <c r="T161" s="241"/>
      <c r="U161" s="257" t="str">
        <f t="shared" ref="U161:U166" si="60">IF(R161-S161&lt;0,(R161-S161)/30.4166666666667,"–")</f>
        <v>–</v>
      </c>
      <c r="V161" s="5"/>
    </row>
    <row r="162" spans="1:22" ht="49.5" thickBot="1" x14ac:dyDescent="0.3">
      <c r="A162" s="181" t="str">
        <f>CONCATENATE('3 pr-2'!A163)</f>
        <v>2.1.4.1.2</v>
      </c>
      <c r="B162" s="1359" t="str">
        <f>CONCATENATE('3 pr-2'!B163)</f>
        <v>R01-9920-490000-2412</v>
      </c>
      <c r="C162" s="247" t="str">
        <f>CONCATENATE('ketv. 2'!B162)</f>
        <v>10.1.3-ESFA-R-920-11-0005</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92" t="str">
        <f>CONCATENATE('3 pr-2'!J163)</f>
        <v>-</v>
      </c>
      <c r="K162" s="1296">
        <f>IF(S162&gt;0,'3 pr-2'!L163,0)</f>
        <v>192832.21</v>
      </c>
      <c r="L162" s="1296">
        <f>IF(S162&gt;0,'3 pr-2'!O163,0)</f>
        <v>28924.84</v>
      </c>
      <c r="M162" s="1296">
        <f>IF(S162&gt;0,'3 pr-2'!R163,0)</f>
        <v>0</v>
      </c>
      <c r="N162" s="1296">
        <f>IF(S162&gt;0,'3 pr-2'!U163,0)</f>
        <v>0</v>
      </c>
      <c r="O162" s="1296">
        <f>IF(S162&gt;0,'3 pr-2'!X163,0)</f>
        <v>0</v>
      </c>
      <c r="P162" s="1296">
        <f>IF(S162&gt;0,'3 pr-2'!AA163,0)</f>
        <v>163907.37</v>
      </c>
      <c r="Q162" s="1296">
        <f>IF($S$9&gt;0,'3 pr-2'!AB163,0)</f>
        <v>0</v>
      </c>
      <c r="R162" s="1361">
        <f>SUM('3 pr-2'!AH163)</f>
        <v>43131</v>
      </c>
      <c r="S162" s="1366">
        <f>SUMIF(Lapas4!$A$12:$A$299,C162,Lapas4!$H$12:$H$300)</f>
        <v>43131</v>
      </c>
      <c r="T162" s="183"/>
      <c r="U162" s="257" t="str">
        <f t="shared" si="60"/>
        <v>–</v>
      </c>
    </row>
    <row r="163" spans="1:22" ht="49.5" thickBot="1" x14ac:dyDescent="0.3">
      <c r="A163" s="181" t="str">
        <f>CONCATENATE('3 pr-2'!A164)</f>
        <v>2.1.4.1.3</v>
      </c>
      <c r="B163" s="1359" t="str">
        <f>CONCATENATE('3 pr-2'!B164)</f>
        <v>R01-9920-490000-2413</v>
      </c>
      <c r="C163" s="247" t="str">
        <f>CONCATENATE('ketv. 2'!B163)</f>
        <v>10.1.3-ESFA-R-920-11-0003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92" t="str">
        <f>CONCATENATE('3 pr-2'!J164)</f>
        <v>-</v>
      </c>
      <c r="K163" s="1296">
        <f>IF(S163&gt;0,'3 pr-2'!L164,0)</f>
        <v>163986.88</v>
      </c>
      <c r="L163" s="1296">
        <f>IF(S163&gt;0,'3 pr-2'!O164,0)</f>
        <v>24598.880000000001</v>
      </c>
      <c r="M163" s="1296">
        <f>IF(S163&gt;0,'3 pr-2'!R164,0)</f>
        <v>0</v>
      </c>
      <c r="N163" s="1296">
        <f>IF(S163&gt;0,'3 pr-2'!U164,0)</f>
        <v>0</v>
      </c>
      <c r="O163" s="1296">
        <f>IF(S163&gt;0,'3 pr-2'!X164,0)</f>
        <v>0</v>
      </c>
      <c r="P163" s="1296">
        <f>IF(S163&gt;0,'3 pr-2'!AA164,0)</f>
        <v>139388</v>
      </c>
      <c r="Q163" s="1296">
        <f>IF($S$9&gt;0,'3 pr-2'!AB164,0)</f>
        <v>0</v>
      </c>
      <c r="R163" s="1361">
        <f>SUM('3 pr-2'!AH164)</f>
        <v>43063</v>
      </c>
      <c r="S163" s="1366">
        <f>SUMIF(Lapas4!$A$12:$A$299,C163,Lapas4!$H$12:$H$300)</f>
        <v>43061</v>
      </c>
      <c r="T163" s="183"/>
      <c r="U163" s="257" t="str">
        <f t="shared" si="60"/>
        <v>–</v>
      </c>
    </row>
    <row r="164" spans="1:22" ht="49.5" thickBot="1" x14ac:dyDescent="0.3">
      <c r="A164" s="181" t="str">
        <f>CONCATENATE('3 pr-2'!A165)</f>
        <v>2.1.4.1.4</v>
      </c>
      <c r="B164" s="1359" t="str">
        <f>CONCATENATE('3 pr-2'!B165)</f>
        <v>R01-9920-490000-2414</v>
      </c>
      <c r="C164" s="247" t="str">
        <f>CONCATENATE('ketv. 2'!B164)</f>
        <v>10.1.3-ESFA-R-920-11-0007</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92" t="str">
        <f>CONCATENATE('3 pr-2'!J165)</f>
        <v>-</v>
      </c>
      <c r="K164" s="1296">
        <f>IF(S164&gt;0,'3 pr-2'!L165,0)</f>
        <v>215693.16</v>
      </c>
      <c r="L164" s="1296">
        <f>IF(S164&gt;0,'3 pr-2'!O165,0)</f>
        <v>32353.98</v>
      </c>
      <c r="M164" s="1296">
        <f>IF(S164&gt;0,'3 pr-2'!R165,0)</f>
        <v>0</v>
      </c>
      <c r="N164" s="1296">
        <f>IF(S164&gt;0,'3 pr-2'!U165,0)</f>
        <v>0</v>
      </c>
      <c r="O164" s="1296">
        <f>IF(S164&gt;0,'3 pr-2'!X165,0)</f>
        <v>0</v>
      </c>
      <c r="P164" s="1296">
        <f>IF(S164&gt;0,'3 pr-2'!AA165,0)</f>
        <v>183339.18</v>
      </c>
      <c r="Q164" s="1296">
        <f>IF($S$9&gt;0,'3 pr-2'!AB165,0)</f>
        <v>0</v>
      </c>
      <c r="R164" s="1361">
        <f>SUM('3 pr-2'!AH165)</f>
        <v>43159</v>
      </c>
      <c r="S164" s="1366">
        <f>SUMIF(Lapas4!$A$12:$A$299,C164,Lapas4!$H$12:$H$300)</f>
        <v>43159</v>
      </c>
      <c r="T164" s="183"/>
      <c r="U164" s="257" t="str">
        <f t="shared" si="60"/>
        <v>–</v>
      </c>
    </row>
    <row r="165" spans="1:22" ht="49.5" thickBot="1" x14ac:dyDescent="0.3">
      <c r="A165" s="181" t="str">
        <f>CONCATENATE('3 pr-2'!A166)</f>
        <v>2.1.4.1.5</v>
      </c>
      <c r="B165" s="1359" t="str">
        <f>CONCATENATE('3 pr-2'!B166)</f>
        <v>R01-9920-490000-2415</v>
      </c>
      <c r="C165" s="247" t="str">
        <f>CONCATENATE('ketv. 2'!B165)</f>
        <v>10.1.3-ESFA-R-920-11-0006</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92" t="str">
        <f>CONCATENATE('3 pr-2'!J166)</f>
        <v>-</v>
      </c>
      <c r="K165" s="1296">
        <f>IF(S165&gt;0,'3 pr-2'!L166,0)</f>
        <v>161741.96</v>
      </c>
      <c r="L165" s="1296">
        <f>IF(S165&gt;0,'3 pr-2'!O166,0)</f>
        <v>24392.16</v>
      </c>
      <c r="M165" s="1296">
        <f>IF(S165&gt;0,'3 pr-2'!R166,0)</f>
        <v>0</v>
      </c>
      <c r="N165" s="1296">
        <f>IF(S165&gt;0,'3 pr-2'!U166,0)</f>
        <v>0</v>
      </c>
      <c r="O165" s="1296">
        <f>IF(S165&gt;0,'3 pr-2'!X166,0)</f>
        <v>0</v>
      </c>
      <c r="P165" s="1296">
        <f>IF(S165&gt;0,'3 pr-2'!AA166,0)</f>
        <v>137349.79999999999</v>
      </c>
      <c r="Q165" s="1296">
        <f>IF($S$9&gt;0,'3 pr-2'!AB166,0)</f>
        <v>0</v>
      </c>
      <c r="R165" s="1361">
        <f>SUM('3 pr-2'!AH166)</f>
        <v>43146</v>
      </c>
      <c r="S165" s="1366">
        <f>SUMIF(Lapas4!$A$12:$A$299,C165,Lapas4!$H$12:$H$300)</f>
        <v>43146</v>
      </c>
      <c r="T165" s="183"/>
      <c r="U165" s="257" t="str">
        <f t="shared" si="60"/>
        <v>–</v>
      </c>
    </row>
    <row r="166" spans="1:22" ht="49.5" thickBot="1" x14ac:dyDescent="0.3">
      <c r="A166" s="181" t="str">
        <f>CONCATENATE('3 pr-2'!A167)</f>
        <v>2.1.4.1.6</v>
      </c>
      <c r="B166" s="1359" t="str">
        <f>CONCATENATE('3 pr-2'!B167)</f>
        <v>R01-9920-490000-2416</v>
      </c>
      <c r="C166" s="247" t="str">
        <f>CONCATENATE('ketv. 2'!B166)</f>
        <v/>
      </c>
      <c r="D166" s="182"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92" t="str">
        <f>CONCATENATE('3 pr-2'!J167)</f>
        <v>-</v>
      </c>
      <c r="K166" s="1296">
        <f>IF(S166&gt;0,'3 pr-2'!L167,0)</f>
        <v>0</v>
      </c>
      <c r="L166" s="1296">
        <f>IF(S166&gt;0,'3 pr-2'!O167,0)</f>
        <v>0</v>
      </c>
      <c r="M166" s="1296">
        <f>IF(S166&gt;0,'3 pr-2'!R167,0)</f>
        <v>0</v>
      </c>
      <c r="N166" s="1296">
        <f>IF(S166&gt;0,'3 pr-2'!U167,0)</f>
        <v>0</v>
      </c>
      <c r="O166" s="1296">
        <f>IF(S166&gt;0,'3 pr-2'!X167,0)</f>
        <v>0</v>
      </c>
      <c r="P166" s="1296">
        <f>IF(S166&gt;0,'3 pr-2'!AA167,0)</f>
        <v>0</v>
      </c>
      <c r="Q166" s="1296">
        <f>IF($S$9&gt;0,'3 pr-2'!AB167,0)</f>
        <v>0</v>
      </c>
      <c r="R166" s="1361">
        <f>SUM('3 pr-2'!AH167)</f>
        <v>43524</v>
      </c>
      <c r="S166" s="1366"/>
      <c r="T166" s="183"/>
      <c r="U166" s="257" t="str">
        <f t="shared" si="60"/>
        <v>–</v>
      </c>
    </row>
    <row r="167" spans="1:22" ht="42" customHeight="1" thickBot="1" x14ac:dyDescent="0.3">
      <c r="A167" s="412" t="str">
        <f>CONCATENATE('3 pr-2'!A168)</f>
        <v>3.1.</v>
      </c>
      <c r="B167" s="2028" t="str">
        <f>CONCATENATE('3 pr-2'!B168)</f>
        <v>Tikslas: 
DARNIAI TVARKYTI IR VYSTYTI REGIONO TERITORIJĄ</v>
      </c>
      <c r="C167" s="2023"/>
      <c r="D167" s="2023"/>
      <c r="E167" s="2023"/>
      <c r="F167" s="2023"/>
      <c r="G167" s="2023"/>
      <c r="H167" s="2023"/>
      <c r="I167" s="2023"/>
      <c r="J167" s="2024"/>
      <c r="K167" s="1514">
        <f t="shared" ref="K167:P167" si="61">SUM(K168+K171)</f>
        <v>5845957.5370588228</v>
      </c>
      <c r="L167" s="1514">
        <f t="shared" si="61"/>
        <v>1035169.8870588234</v>
      </c>
      <c r="M167" s="1514">
        <f t="shared" si="61"/>
        <v>0</v>
      </c>
      <c r="N167" s="1514">
        <f t="shared" si="61"/>
        <v>0</v>
      </c>
      <c r="O167" s="1514">
        <f t="shared" si="61"/>
        <v>0</v>
      </c>
      <c r="P167" s="1514">
        <f t="shared" si="61"/>
        <v>4810787.6500000004</v>
      </c>
      <c r="Q167" s="1514">
        <f t="shared" ref="Q167" si="62">SUM(Q168+Q171)</f>
        <v>0</v>
      </c>
      <c r="R167" s="1351" t="s">
        <v>690</v>
      </c>
      <c r="S167" s="1351" t="s">
        <v>690</v>
      </c>
      <c r="T167" s="406" t="s">
        <v>690</v>
      </c>
      <c r="U167" s="406"/>
    </row>
    <row r="168" spans="1:22" ht="32.25" customHeight="1" thickBot="1" x14ac:dyDescent="0.3">
      <c r="A168" s="261" t="str">
        <f>CONCATENATE('3 pr-2'!A169)</f>
        <v>3.1.1.</v>
      </c>
      <c r="B168" s="2022" t="str">
        <f>CONCATENATE('3 pr-2'!B169)</f>
        <v>Uždavinys:
Sumažinti sąvartynuose šalinamų komunalinių atliekų kiekį</v>
      </c>
      <c r="C168" s="2023"/>
      <c r="D168" s="2023"/>
      <c r="E168" s="2023"/>
      <c r="F168" s="2023"/>
      <c r="G168" s="2023"/>
      <c r="H168" s="2023"/>
      <c r="I168" s="2023"/>
      <c r="J168" s="2024"/>
      <c r="K168" s="1420">
        <f t="shared" ref="K168:Q169" si="63">SUM(K169)</f>
        <v>4130687.05</v>
      </c>
      <c r="L168" s="1420">
        <f t="shared" si="63"/>
        <v>777879.2799999998</v>
      </c>
      <c r="M168" s="1420">
        <f t="shared" si="63"/>
        <v>0</v>
      </c>
      <c r="N168" s="1420">
        <f t="shared" si="63"/>
        <v>0</v>
      </c>
      <c r="O168" s="1420">
        <f t="shared" si="63"/>
        <v>0</v>
      </c>
      <c r="P168" s="1420">
        <f t="shared" si="63"/>
        <v>3352807.77</v>
      </c>
      <c r="Q168" s="1420">
        <f t="shared" si="63"/>
        <v>0</v>
      </c>
      <c r="R168" s="1338" t="s">
        <v>690</v>
      </c>
      <c r="S168" s="1339" t="s">
        <v>690</v>
      </c>
      <c r="T168" s="408" t="s">
        <v>690</v>
      </c>
      <c r="U168" s="239"/>
    </row>
    <row r="169" spans="1:22" ht="33.75" customHeight="1" thickBot="1" x14ac:dyDescent="0.3">
      <c r="A169" s="326" t="str">
        <f>CONCATENATE('3 pr-2'!A170)</f>
        <v>3.1.1.1</v>
      </c>
      <c r="B169" s="2025" t="str">
        <f>CONCATENATE('3 pr-2'!B170)</f>
        <v>Priemonė:
Komunalinių atliekų tvarkymo infrastruktūros plėtra</v>
      </c>
      <c r="C169" s="2026"/>
      <c r="D169" s="2026"/>
      <c r="E169" s="2026"/>
      <c r="F169" s="2026"/>
      <c r="G169" s="2026"/>
      <c r="H169" s="2026"/>
      <c r="I169" s="2026"/>
      <c r="J169" s="2027"/>
      <c r="K169" s="1293">
        <f t="shared" si="63"/>
        <v>4130687.05</v>
      </c>
      <c r="L169" s="1293">
        <f t="shared" si="63"/>
        <v>777879.2799999998</v>
      </c>
      <c r="M169" s="1293">
        <f t="shared" si="63"/>
        <v>0</v>
      </c>
      <c r="N169" s="1293">
        <f t="shared" si="63"/>
        <v>0</v>
      </c>
      <c r="O169" s="1293">
        <f t="shared" si="63"/>
        <v>0</v>
      </c>
      <c r="P169" s="1293">
        <f t="shared" si="63"/>
        <v>3352807.77</v>
      </c>
      <c r="Q169" s="1293">
        <f t="shared" si="63"/>
        <v>0</v>
      </c>
      <c r="R169" s="1340"/>
      <c r="S169" s="1341"/>
      <c r="T169" s="398"/>
      <c r="U169" s="399"/>
    </row>
    <row r="170" spans="1:22" ht="49.5" thickBot="1" x14ac:dyDescent="0.3">
      <c r="A170" s="181" t="str">
        <f>CONCATENATE('3 pr-2'!A171)</f>
        <v>3.1.1.1.1</v>
      </c>
      <c r="B170" s="1359" t="str">
        <f>CONCATENATE('3 pr-2'!B171)</f>
        <v>R01-0008-050000-3111</v>
      </c>
      <c r="C170" s="247" t="str">
        <f>CONCATENATE('ketv. 2'!B170)</f>
        <v>05.2.1-APVA-R-008-11-0001</v>
      </c>
      <c r="D170" s="182" t="str">
        <f>CONCATENATE('3 pr-2'!D171)</f>
        <v>Komunalinių atliekų tvarkymo sistemos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92" t="str">
        <f>CONCATENATE('3 pr-2'!J171)</f>
        <v>-</v>
      </c>
      <c r="K170" s="1296">
        <f>IF(S170&gt;0,'3 pr-2'!L171,0)</f>
        <v>4130687.05</v>
      </c>
      <c r="L170" s="1296">
        <f>IF(S170&gt;0,'3 pr-2'!O171,0)</f>
        <v>777879.2799999998</v>
      </c>
      <c r="M170" s="1296">
        <f>IF(S170&gt;0,'3 pr-2'!R171,0)</f>
        <v>0</v>
      </c>
      <c r="N170" s="1296">
        <f>IF(S170&gt;0,'3 pr-2'!U171,0)</f>
        <v>0</v>
      </c>
      <c r="O170" s="1296">
        <f>IF(S170&gt;0,'3 pr-2'!X171,0)</f>
        <v>0</v>
      </c>
      <c r="P170" s="1296">
        <f>IF(S170&gt;0,'3 pr-2'!AA171,0)</f>
        <v>3352807.77</v>
      </c>
      <c r="Q170" s="1296">
        <f>IF($S$9&gt;0,'3 pr-2'!AB171,0)</f>
        <v>0</v>
      </c>
      <c r="R170" s="1361">
        <f>SUM('3 pr-2'!AH171)</f>
        <v>42916</v>
      </c>
      <c r="S170" s="1366">
        <f>SUMIF(Lapas4!$A$12:$A$299,C170,Lapas4!$H$12:$H$300)</f>
        <v>42832</v>
      </c>
      <c r="T170" s="191">
        <f>IF((YEAR(R170)-YEAR(S170))=0,0,YEAR(R170)-YEAR(S170))</f>
        <v>0</v>
      </c>
      <c r="U170" s="647" t="str">
        <f t="shared" ref="U170" si="64">IF(R170-S170&lt;0,(R170-S170)/30.4166666666667,"–")</f>
        <v>–</v>
      </c>
    </row>
    <row r="171" spans="1:22" ht="39.75" customHeight="1" thickBot="1" x14ac:dyDescent="0.3">
      <c r="A171" s="261" t="str">
        <f>CONCATENATE('3 pr-2'!A172)</f>
        <v>3.1.2.</v>
      </c>
      <c r="B171" s="2022" t="str">
        <f>CONCATENATE('3 pr-2'!B172)</f>
        <v>Uždavinys:
Kraštovaizdžio apsauga, planavimas ir tvarkymas</v>
      </c>
      <c r="C171" s="2023"/>
      <c r="D171" s="2023"/>
      <c r="E171" s="2023"/>
      <c r="F171" s="2023"/>
      <c r="G171" s="2023"/>
      <c r="H171" s="2023"/>
      <c r="I171" s="2023"/>
      <c r="J171" s="2024"/>
      <c r="K171" s="1420">
        <f t="shared" ref="K171:Q171" si="65">SUM(K172)</f>
        <v>1715270.4870588235</v>
      </c>
      <c r="L171" s="1420">
        <f t="shared" si="65"/>
        <v>257290.60705882352</v>
      </c>
      <c r="M171" s="1420">
        <f t="shared" si="65"/>
        <v>0</v>
      </c>
      <c r="N171" s="1420">
        <f t="shared" si="65"/>
        <v>0</v>
      </c>
      <c r="O171" s="1420">
        <f t="shared" si="65"/>
        <v>0</v>
      </c>
      <c r="P171" s="1420">
        <f t="shared" si="65"/>
        <v>1457979.88</v>
      </c>
      <c r="Q171" s="1420">
        <f t="shared" si="65"/>
        <v>0</v>
      </c>
      <c r="R171" s="1338" t="s">
        <v>690</v>
      </c>
      <c r="S171" s="1339" t="s">
        <v>690</v>
      </c>
      <c r="T171" s="408" t="s">
        <v>690</v>
      </c>
      <c r="U171" s="239"/>
    </row>
    <row r="172" spans="1:22" ht="33.75" customHeight="1" thickBot="1" x14ac:dyDescent="0.3">
      <c r="A172" s="326" t="str">
        <f>CONCATENATE('3 pr-2'!A173)</f>
        <v>3.1.2.1</v>
      </c>
      <c r="B172" s="2025" t="str">
        <f>CONCATENATE('3 pr-2'!B173)</f>
        <v>Priemonė:
Kraštovaizdžio apsauga/plėtra</v>
      </c>
      <c r="C172" s="2026"/>
      <c r="D172" s="2026"/>
      <c r="E172" s="2026"/>
      <c r="F172" s="2026"/>
      <c r="G172" s="2026"/>
      <c r="H172" s="2026"/>
      <c r="I172" s="2026"/>
      <c r="J172" s="2027"/>
      <c r="K172" s="1293">
        <f t="shared" ref="K172:P172" si="66">SUM(K173:K180)</f>
        <v>1715270.4870588235</v>
      </c>
      <c r="L172" s="1293">
        <f t="shared" si="66"/>
        <v>257290.60705882352</v>
      </c>
      <c r="M172" s="1293">
        <f t="shared" si="66"/>
        <v>0</v>
      </c>
      <c r="N172" s="1293">
        <f t="shared" si="66"/>
        <v>0</v>
      </c>
      <c r="O172" s="1293">
        <f t="shared" si="66"/>
        <v>0</v>
      </c>
      <c r="P172" s="1293">
        <f t="shared" si="66"/>
        <v>1457979.88</v>
      </c>
      <c r="Q172" s="1293">
        <f t="shared" ref="Q172" si="67">SUM(Q173:Q180)</f>
        <v>0</v>
      </c>
      <c r="R172" s="1340"/>
      <c r="S172" s="1341"/>
      <c r="T172" s="398"/>
      <c r="U172" s="399"/>
    </row>
    <row r="173" spans="1:22" ht="49.5" thickBot="1" x14ac:dyDescent="0.3">
      <c r="A173" s="240" t="str">
        <f>CONCATENATE('3 pr-2'!A174)</f>
        <v>3.1.2.1.1</v>
      </c>
      <c r="B173" s="1359" t="str">
        <f>CONCATENATE('3 pr-2'!B174)</f>
        <v>R01-0019-380000-3211</v>
      </c>
      <c r="C173" s="402" t="str">
        <f>CONCATENATE('ketv. 2'!B173)</f>
        <v>05.5.1-APVA-R-019-11-0002</v>
      </c>
      <c r="D173" s="240" t="str">
        <f>CONCATENATE('3 pr-2'!D174)</f>
        <v>Kraštovaizdžio formavimas ir tvarkymas Varėnos r. savivaldybėje (I etapas)</v>
      </c>
      <c r="E173" s="240" t="str">
        <f>CONCATENATE('3 pr-2'!E174)</f>
        <v>Varėnos rajono savivaldybės administracija</v>
      </c>
      <c r="F173" s="240" t="str">
        <f>CONCATENATE('3 pr-2'!F174)</f>
        <v>Lietuvos Respublikos aplinkos ministerija</v>
      </c>
      <c r="G173" s="240" t="str">
        <f>CONCATENATE('3 pr-2'!G174)</f>
        <v>Varėnos r. sav.</v>
      </c>
      <c r="H173" s="240" t="str">
        <f>CONCATENATE('3 pr-2'!H174)</f>
        <v>05.5.1-APVA-R-019</v>
      </c>
      <c r="I173" s="240" t="str">
        <f>CONCATENATE('3 pr-2'!I174)</f>
        <v>R</v>
      </c>
      <c r="J173" s="240" t="str">
        <f>CONCATENATE('3 pr-2'!J174)</f>
        <v>-</v>
      </c>
      <c r="K173" s="1435">
        <f>IF(S173&gt;0,'3 pr-2'!L174,0)</f>
        <v>309522</v>
      </c>
      <c r="L173" s="1435">
        <f>IF(S173&gt;0,'3 pr-2'!O174,0)</f>
        <v>46428.3</v>
      </c>
      <c r="M173" s="1435">
        <f>IF(S173&gt;0,'3 pr-2'!R174,0)</f>
        <v>0</v>
      </c>
      <c r="N173" s="1435">
        <f>IF(S173&gt;0,'3 pr-2'!U174,0)</f>
        <v>0</v>
      </c>
      <c r="O173" s="1435">
        <f>IF(S173&gt;0,'3 pr-2'!X174,0)</f>
        <v>0</v>
      </c>
      <c r="P173" s="1435">
        <f>IF(S173&gt;0,'3 pr-2'!AA174,0)</f>
        <v>263093.7</v>
      </c>
      <c r="Q173" s="1296">
        <f>IF($S$9&gt;0,'3 pr-2'!AB174,0)</f>
        <v>0</v>
      </c>
      <c r="R173" s="1370">
        <f>SUM('3 pr-2'!AH174)</f>
        <v>42795</v>
      </c>
      <c r="S173" s="1366">
        <f>SUMIF(Lapas4!$A$12:$A$299,C173,Lapas4!$H$12:$H$300)</f>
        <v>42797</v>
      </c>
      <c r="T173" s="404">
        <f>IF((YEAR(R173)-YEAR(S173))=0,0,YEAR(R173)-YEAR(S173))</f>
        <v>0</v>
      </c>
      <c r="U173" s="257">
        <f t="shared" ref="U173:U180" si="68">IF(R173-S173&lt;0,(R173-S173)/30.4166666666667,"–")</f>
        <v>-6.5753424657534171E-2</v>
      </c>
    </row>
    <row r="174" spans="1:22" ht="49.5" thickBot="1" x14ac:dyDescent="0.3">
      <c r="A174" s="182" t="str">
        <f>CONCATENATE('3 pr-2'!A175)</f>
        <v>3.1.2.1.2</v>
      </c>
      <c r="B174" s="1359" t="str">
        <f>CONCATENATE('3 pr-2'!B175)</f>
        <v>R01-0019-380000-3212</v>
      </c>
      <c r="C174" s="309" t="str">
        <f>CONCATENATE('ketv. 2'!B174)</f>
        <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96">
        <f>IF(S174&gt;0,'3 pr-2'!L175,0)</f>
        <v>0</v>
      </c>
      <c r="L174" s="1296">
        <f>IF(S174&gt;0,'3 pr-2'!O175,0)</f>
        <v>0</v>
      </c>
      <c r="M174" s="1296">
        <f>IF(S174&gt;0,'3 pr-2'!R175,0)</f>
        <v>0</v>
      </c>
      <c r="N174" s="1296">
        <f>IF(S174&gt;0,'3 pr-2'!U175,0)</f>
        <v>0</v>
      </c>
      <c r="O174" s="1296">
        <f>IF(S174&gt;0,'3 pr-2'!X175,0)</f>
        <v>0</v>
      </c>
      <c r="P174" s="1296">
        <f>IF(S174&gt;0,'3 pr-2'!AA175,0)</f>
        <v>0</v>
      </c>
      <c r="Q174" s="1296">
        <f>IF($S$9&gt;0,'3 pr-2'!AB175,0)</f>
        <v>0</v>
      </c>
      <c r="R174" s="1336">
        <f>SUM('3 pr-2'!AH175)</f>
        <v>43465</v>
      </c>
      <c r="S174" s="1366"/>
      <c r="T174" s="216"/>
      <c r="U174" s="257" t="str">
        <f t="shared" si="68"/>
        <v>–</v>
      </c>
    </row>
    <row r="175" spans="1:22" ht="49.5" thickBot="1" x14ac:dyDescent="0.3">
      <c r="A175" s="182" t="str">
        <f>CONCATENATE('3 pr-2'!A176)</f>
        <v>3.1.2.1.3</v>
      </c>
      <c r="B175" s="1359" t="str">
        <f>CONCATENATE('3 pr-2'!B176)</f>
        <v>R01-0019-380000-3213</v>
      </c>
      <c r="C175" s="309" t="str">
        <f>CONCATENATE('ketv. 2'!B175)</f>
        <v>05.5.1-APVA-R-019-11-0001</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96">
        <f>IF(S175&gt;0,'3 pr-2'!L176,0)</f>
        <v>101765.7</v>
      </c>
      <c r="L175" s="1296">
        <f>IF(S175&gt;0,'3 pr-2'!O176,0)</f>
        <v>15264.9</v>
      </c>
      <c r="M175" s="1296">
        <f>IF(S175&gt;0,'3 pr-2'!R176,0)</f>
        <v>0</v>
      </c>
      <c r="N175" s="1296">
        <f>IF(S175&gt;0,'3 pr-2'!U176,0)</f>
        <v>0</v>
      </c>
      <c r="O175" s="1296">
        <f>IF(S175&gt;0,'3 pr-2'!X176,0)</f>
        <v>0</v>
      </c>
      <c r="P175" s="1296">
        <f>IF(S175&gt;0,'3 pr-2'!AA176,0)</f>
        <v>86500.800000000003</v>
      </c>
      <c r="Q175" s="1296">
        <f>IF($S$9&gt;0,'3 pr-2'!AB176,0)</f>
        <v>0</v>
      </c>
      <c r="R175" s="1336">
        <f>SUM('3 pr-2'!AH176)</f>
        <v>42767</v>
      </c>
      <c r="S175" s="1366">
        <f>SUMIF(Lapas4!$A$12:$A$299,C175,Lapas4!$H$12:$H$300)</f>
        <v>42769</v>
      </c>
      <c r="T175" s="216">
        <f>IF((YEAR(R175)-YEAR(S175))=0,0,YEAR(R175)-YEAR(S175))</f>
        <v>0</v>
      </c>
      <c r="U175" s="257">
        <f t="shared" si="68"/>
        <v>-6.5753424657534171E-2</v>
      </c>
    </row>
    <row r="176" spans="1:22" ht="49.5" thickBot="1" x14ac:dyDescent="0.3">
      <c r="A176" s="182" t="str">
        <f>CONCATENATE('3 pr-2'!A177)</f>
        <v>3.1.2.1.4</v>
      </c>
      <c r="B176" s="1359" t="str">
        <f>CONCATENATE('3 pr-2'!B177)</f>
        <v>R01-0019-380000-3214</v>
      </c>
      <c r="C176" s="309" t="str">
        <f>CONCATENATE('ketv. 2'!B176)</f>
        <v>05.5.1-APVA-R-019-11-0004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96">
        <f>IF(S176&gt;0,'3 pr-2'!L177,0)</f>
        <v>3993</v>
      </c>
      <c r="L176" s="1296">
        <f>IF(S176&gt;0,'3 pr-2'!O177,0)</f>
        <v>598.95000000000005</v>
      </c>
      <c r="M176" s="1296">
        <f>IF(S176&gt;0,'3 pr-2'!R177,0)</f>
        <v>0</v>
      </c>
      <c r="N176" s="1296">
        <f>IF(S176&gt;0,'3 pr-2'!U177,0)</f>
        <v>0</v>
      </c>
      <c r="O176" s="1296">
        <f>IF(S176&gt;0,'3 pr-2'!X177,0)</f>
        <v>0</v>
      </c>
      <c r="P176" s="1296">
        <f>IF(S176&gt;0,'3 pr-2'!AA177,0)</f>
        <v>3394.05</v>
      </c>
      <c r="Q176" s="1296">
        <f>IF($S$9&gt;0,'3 pr-2'!AB177,0)</f>
        <v>0</v>
      </c>
      <c r="R176" s="1336">
        <f>SUM('3 pr-2'!AH177)</f>
        <v>42874</v>
      </c>
      <c r="S176" s="1366">
        <f>SUMIF(Lapas4!$A$12:$A$299,C176,Lapas4!$H$12:$H$300)</f>
        <v>42867</v>
      </c>
      <c r="T176" s="216">
        <f>IF((YEAR(R176)-YEAR(S176))=0,0,YEAR(R176)-YEAR(S176))</f>
        <v>0</v>
      </c>
      <c r="U176" s="257" t="str">
        <f t="shared" si="68"/>
        <v>–</v>
      </c>
    </row>
    <row r="177" spans="1:21" ht="49.5" thickBot="1" x14ac:dyDescent="0.3">
      <c r="A177" s="182" t="str">
        <f>CONCATENATE('3 pr-2'!A178)</f>
        <v>3.1.2.1.5</v>
      </c>
      <c r="B177" s="1359" t="str">
        <f>CONCATENATE('3 pr-2'!B178)</f>
        <v>R01-0019-380000-3215</v>
      </c>
      <c r="C177" s="309" t="str">
        <f>CONCATENATE('ketv. 2'!B177)</f>
        <v>05.5.1-APVA-R-019-11-0005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96">
        <f>IF(S177&gt;0,'3 pr-2'!L178,0)</f>
        <v>121153.55</v>
      </c>
      <c r="L177" s="1296">
        <f>IF(S177&gt;0,'3 pr-2'!O178,0)</f>
        <v>18173.03</v>
      </c>
      <c r="M177" s="1296">
        <f>IF(S177&gt;0,'3 pr-2'!R178,0)</f>
        <v>0</v>
      </c>
      <c r="N177" s="1296">
        <f>IF(S177&gt;0,'3 pr-2'!U178,0)</f>
        <v>0</v>
      </c>
      <c r="O177" s="1296">
        <f>IF(S177&gt;0,'3 pr-2'!X178,0)</f>
        <v>0</v>
      </c>
      <c r="P177" s="1296">
        <f>IF(S177&gt;0,'3 pr-2'!AA178,0)</f>
        <v>102980.52</v>
      </c>
      <c r="Q177" s="1296">
        <f>IF($S$9&gt;0,'3 pr-2'!AB178,0)</f>
        <v>0</v>
      </c>
      <c r="R177" s="1336">
        <f>SUM('3 pr-2'!AH178)</f>
        <v>42887</v>
      </c>
      <c r="S177" s="1366">
        <f>SUMIF(Lapas4!$A$12:$A$299,C177,Lapas4!$H$12:$H$300)</f>
        <v>42887</v>
      </c>
      <c r="T177" s="216">
        <f>IF((YEAR(R177)-YEAR(S177))=0,0,YEAR(R177)-YEAR(S177))</f>
        <v>0</v>
      </c>
      <c r="U177" s="257" t="str">
        <f t="shared" si="68"/>
        <v>–</v>
      </c>
    </row>
    <row r="178" spans="1:21" ht="49.5" thickBot="1" x14ac:dyDescent="0.3">
      <c r="A178" s="182" t="str">
        <f>CONCATENATE('3 pr-2'!A179)</f>
        <v>3.1.2.1.6</v>
      </c>
      <c r="B178" s="1359" t="str">
        <f>CONCATENATE('3 pr-2'!B179)</f>
        <v>R01-0019-380000-3216</v>
      </c>
      <c r="C178" s="309" t="str">
        <f>CONCATENATE('ketv. 2'!B178)</f>
        <v>05.5.1-APVA-R-019-11-0003</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96">
        <f>IF(S178&gt;0,'3 pr-2'!L179,0)</f>
        <v>442298.58999999997</v>
      </c>
      <c r="L178" s="1296">
        <f>IF(S178&gt;0,'3 pr-2'!O179,0)</f>
        <v>66344.78</v>
      </c>
      <c r="M178" s="1296">
        <f>IF(S178&gt;0,'3 pr-2'!R179,0)</f>
        <v>0</v>
      </c>
      <c r="N178" s="1296">
        <f>IF(S178&gt;0,'3 pr-2'!U179,0)</f>
        <v>0</v>
      </c>
      <c r="O178" s="1296">
        <f>IF(S178&gt;0,'3 pr-2'!X179,0)</f>
        <v>0</v>
      </c>
      <c r="P178" s="1296">
        <f>IF(S178&gt;0,'3 pr-2'!AA179,0)</f>
        <v>375953.81</v>
      </c>
      <c r="Q178" s="1296">
        <f>IF($S$9&gt;0,'3 pr-2'!AB179,0)</f>
        <v>0</v>
      </c>
      <c r="R178" s="1336">
        <f>SUM('3 pr-2'!AH179)</f>
        <v>42825</v>
      </c>
      <c r="S178" s="1366">
        <f>SUMIF(Lapas4!$A$12:$A$299,C178,Lapas4!$H$12:$H$300)</f>
        <v>42825</v>
      </c>
      <c r="T178" s="216">
        <f>IF((YEAR(R178)-YEAR(S178))=0,0,YEAR(R178)-YEAR(S178))</f>
        <v>0</v>
      </c>
      <c r="U178" s="257" t="str">
        <f t="shared" si="68"/>
        <v>–</v>
      </c>
    </row>
    <row r="179" spans="1:21" ht="49.5" thickBot="1" x14ac:dyDescent="0.3">
      <c r="A179" s="182" t="str">
        <f>CONCATENATE('3 pr-2'!A180)</f>
        <v>3.1.2.1.7</v>
      </c>
      <c r="B179" s="1359" t="str">
        <f>CONCATENATE('3 pr-2'!B180)</f>
        <v>R01-0019-283800-3217</v>
      </c>
      <c r="C179" s="309" t="str">
        <f>CONCATENATE('ketv. 2'!B179)</f>
        <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96">
        <f>IF(S179&gt;0,'3 pr-2'!L180,0)</f>
        <v>0</v>
      </c>
      <c r="L179" s="1296">
        <f>IF(S179&gt;0,'3 pr-2'!O180,0)</f>
        <v>0</v>
      </c>
      <c r="M179" s="1296">
        <f>IF(S179&gt;0,'3 pr-2'!R180,0)</f>
        <v>0</v>
      </c>
      <c r="N179" s="1296">
        <f>IF(S179&gt;0,'3 pr-2'!U180,0)</f>
        <v>0</v>
      </c>
      <c r="O179" s="1296">
        <f>IF(S179&gt;0,'3 pr-2'!X180,0)</f>
        <v>0</v>
      </c>
      <c r="P179" s="1296">
        <f>IF(S179&gt;0,'3 pr-2'!AA180,0)</f>
        <v>0</v>
      </c>
      <c r="Q179" s="1296">
        <f>IF($S$9&gt;0,'3 pr-2'!AB180,0)</f>
        <v>0</v>
      </c>
      <c r="R179" s="1336">
        <f>SUM('3 pr-2'!AH180)</f>
        <v>43495</v>
      </c>
      <c r="S179" s="1366"/>
      <c r="T179" s="216"/>
      <c r="U179" s="257" t="str">
        <f t="shared" si="68"/>
        <v>–</v>
      </c>
    </row>
    <row r="180" spans="1:21" ht="48.75" x14ac:dyDescent="0.25">
      <c r="A180" s="182" t="str">
        <f>CONCATENATE('3 pr-2'!A181)</f>
        <v>3.1.2.1.8</v>
      </c>
      <c r="B180" s="1359" t="str">
        <f>CONCATENATE('3 pr-2'!B181)</f>
        <v>R01-0019-380000-3218</v>
      </c>
      <c r="C180" s="309" t="str">
        <f>CONCATENATE('ketv. 2'!B180)</f>
        <v>05.5.1-APVA-R-019-11-0006</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96">
        <f>IF(S180&gt;0,'3 pr-2'!L181,0)</f>
        <v>736537.6470588235</v>
      </c>
      <c r="L180" s="1296">
        <f>IF(S180&gt;0,'3 pr-2'!O181,0)</f>
        <v>110480.64705882352</v>
      </c>
      <c r="M180" s="1296">
        <f>IF(S180&gt;0,'3 pr-2'!R181,0)</f>
        <v>0</v>
      </c>
      <c r="N180" s="1296">
        <f>IF(S180&gt;0,'3 pr-2'!U181,0)</f>
        <v>0</v>
      </c>
      <c r="O180" s="1296">
        <f>IF(S180&gt;0,'3 pr-2'!X181,0)</f>
        <v>0</v>
      </c>
      <c r="P180" s="1296">
        <f>IF(S180&gt;0,'3 pr-2'!AA181,0)</f>
        <v>626057</v>
      </c>
      <c r="Q180" s="1296">
        <f>IF($S$9&gt;0,'3 pr-2'!AB181,0)</f>
        <v>0</v>
      </c>
      <c r="R180" s="1336">
        <f>SUM('3 pr-2'!AH181)</f>
        <v>43222</v>
      </c>
      <c r="S180" s="1366">
        <f>SUMIF(Lapas4!$A$12:$A$299,C180,Lapas4!$H$12:$H$300)</f>
        <v>43320</v>
      </c>
      <c r="T180" s="216" t="s">
        <v>690</v>
      </c>
      <c r="U180" s="257">
        <f t="shared" si="68"/>
        <v>-3.2219178082191746</v>
      </c>
    </row>
    <row r="181" spans="1:21" hidden="1" x14ac:dyDescent="0.25">
      <c r="K181" s="1562">
        <f>SUM(K6+K99+K167)</f>
        <v>61307478.416470595</v>
      </c>
      <c r="L181" s="1562">
        <f t="shared" ref="L181:Q181" si="69">SUM(L6+L99+L167)</f>
        <v>7873239.176470587</v>
      </c>
      <c r="M181" s="1562">
        <f t="shared" si="69"/>
        <v>1569926.0799999998</v>
      </c>
      <c r="N181" s="1562">
        <f t="shared" si="69"/>
        <v>8520797.0100000016</v>
      </c>
      <c r="O181" s="1562">
        <f t="shared" si="69"/>
        <v>416360.77</v>
      </c>
      <c r="P181" s="1562">
        <f t="shared" si="69"/>
        <v>44004336.560000002</v>
      </c>
      <c r="Q181" s="256">
        <f t="shared" si="69"/>
        <v>0</v>
      </c>
    </row>
    <row r="182" spans="1:21" ht="15.75" x14ac:dyDescent="0.25">
      <c r="B182" s="1397" t="s">
        <v>1814</v>
      </c>
    </row>
  </sheetData>
  <autoFilter ref="A5:U180"/>
  <mergeCells count="39">
    <mergeCell ref="B147:J147"/>
    <mergeCell ref="B153:J153"/>
    <mergeCell ref="B160:J160"/>
    <mergeCell ref="B169:J169"/>
    <mergeCell ref="B172:J172"/>
    <mergeCell ref="B167:J167"/>
    <mergeCell ref="B107:J107"/>
    <mergeCell ref="B113:J113"/>
    <mergeCell ref="B120:J120"/>
    <mergeCell ref="B134:J134"/>
    <mergeCell ref="B140:J140"/>
    <mergeCell ref="B119:J119"/>
    <mergeCell ref="B146:J146"/>
    <mergeCell ref="B159:J159"/>
    <mergeCell ref="B168:J168"/>
    <mergeCell ref="B171:J171"/>
    <mergeCell ref="B32:J32"/>
    <mergeCell ref="B38:J38"/>
    <mergeCell ref="B45:J45"/>
    <mergeCell ref="B49:J49"/>
    <mergeCell ref="B55:J55"/>
    <mergeCell ref="B57:J57"/>
    <mergeCell ref="B61:J61"/>
    <mergeCell ref="B66:J66"/>
    <mergeCell ref="B73:J73"/>
    <mergeCell ref="B78:J78"/>
    <mergeCell ref="B85:J85"/>
    <mergeCell ref="B91:J91"/>
    <mergeCell ref="B99:J99"/>
    <mergeCell ref="B100:J100"/>
    <mergeCell ref="B72:J72"/>
    <mergeCell ref="B101:J101"/>
    <mergeCell ref="R2:U2"/>
    <mergeCell ref="B8:J8"/>
    <mergeCell ref="A1:L1"/>
    <mergeCell ref="A2:J2"/>
    <mergeCell ref="K2:Q2"/>
    <mergeCell ref="B6:J6"/>
    <mergeCell ref="B7:J7"/>
  </mergeCells>
  <pageMargins left="0.23622047244094491" right="0.23622047244094491" top="0.74803149606299213" bottom="0.74803149606299213" header="0.31496062992125984" footer="0.31496062992125984"/>
  <pageSetup paperSize="8" scale="7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85"/>
  <sheetViews>
    <sheetView topLeftCell="D1" workbookViewId="0">
      <pane ySplit="3105" topLeftCell="A136" activePane="bottomLeft"/>
      <selection activeCell="A2" sqref="A2:L2"/>
      <selection pane="bottomLeft" activeCell="AA38" sqref="AA38"/>
    </sheetView>
  </sheetViews>
  <sheetFormatPr defaultRowHeight="15" x14ac:dyDescent="0.25"/>
  <cols>
    <col min="1" max="1" width="7.42578125" customWidth="1"/>
    <col min="2" max="2" width="10.28515625" customWidth="1"/>
    <col min="3" max="3" width="13" hidden="1" customWidth="1"/>
    <col min="4" max="4" width="44.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2.7109375" bestFit="1" customWidth="1"/>
    <col min="16" max="16" width="18" bestFit="1" customWidth="1"/>
    <col min="17" max="17" width="11.42578125" hidden="1" customWidth="1"/>
    <col min="18" max="18" width="10.140625" hidden="1" customWidth="1"/>
    <col min="19" max="19" width="9.5703125" hidden="1" customWidth="1"/>
    <col min="20" max="20" width="12.28515625" hidden="1" customWidth="1"/>
    <col min="21" max="21" width="12.5703125" hidden="1" customWidth="1"/>
    <col min="22" max="22" width="9.42578125" customWidth="1"/>
    <col min="23" max="23" width="9" customWidth="1"/>
    <col min="24" max="24" width="9.5703125" customWidth="1"/>
    <col min="25" max="25" width="9.7109375" hidden="1" customWidth="1"/>
    <col min="26" max="26" width="9.7109375" customWidth="1"/>
    <col min="27" max="27" width="10.42578125" style="1" bestFit="1" customWidth="1"/>
  </cols>
  <sheetData>
    <row r="1" spans="1:26" ht="15.75" x14ac:dyDescent="0.25">
      <c r="C1" s="268"/>
      <c r="D1" s="269"/>
      <c r="E1" s="269"/>
      <c r="F1" s="269"/>
      <c r="G1" s="269"/>
      <c r="H1" s="269"/>
      <c r="I1" s="269"/>
      <c r="J1" s="269"/>
      <c r="K1" s="269"/>
      <c r="L1" s="269"/>
    </row>
    <row r="2" spans="1:26" ht="16.5" thickBot="1" x14ac:dyDescent="0.3">
      <c r="A2" s="2047" t="s">
        <v>1149</v>
      </c>
      <c r="B2" s="2047"/>
      <c r="C2" s="2047"/>
      <c r="D2" s="2047"/>
      <c r="E2" s="2047"/>
      <c r="F2" s="2047"/>
      <c r="G2" s="2047"/>
      <c r="H2" s="2047"/>
      <c r="I2" s="2047"/>
      <c r="J2" s="2047"/>
      <c r="K2" s="2047"/>
      <c r="L2" s="2047"/>
    </row>
    <row r="3" spans="1:26" ht="30" customHeight="1" thickBot="1" x14ac:dyDescent="0.3">
      <c r="A3" s="2017" t="s">
        <v>46</v>
      </c>
      <c r="B3" s="2018"/>
      <c r="C3" s="2018"/>
      <c r="D3" s="2018"/>
      <c r="E3" s="2018"/>
      <c r="F3" s="2018"/>
      <c r="G3" s="2018"/>
      <c r="H3" s="2018"/>
      <c r="I3" s="2018"/>
      <c r="J3" s="2021"/>
      <c r="K3" s="2017" t="s">
        <v>47</v>
      </c>
      <c r="L3" s="2018"/>
      <c r="M3" s="2018"/>
      <c r="N3" s="2018"/>
      <c r="O3" s="2018"/>
      <c r="P3" s="2018"/>
      <c r="Q3" s="2018" t="s">
        <v>771</v>
      </c>
      <c r="R3" s="2018"/>
      <c r="S3" s="2018"/>
      <c r="T3" s="2018"/>
      <c r="U3" s="1921"/>
      <c r="V3" s="1379"/>
      <c r="W3" s="2017" t="s">
        <v>706</v>
      </c>
      <c r="X3" s="1921"/>
      <c r="Y3" s="1921"/>
      <c r="Z3" s="1922"/>
    </row>
    <row r="4" spans="1:26" ht="62.25" customHeight="1" thickBot="1" x14ac:dyDescent="0.3">
      <c r="A4" s="249" t="s">
        <v>7</v>
      </c>
      <c r="B4" s="249" t="s">
        <v>1804</v>
      </c>
      <c r="C4" s="385" t="s">
        <v>703</v>
      </c>
      <c r="D4" s="249" t="s">
        <v>49</v>
      </c>
      <c r="E4" s="249" t="s">
        <v>1797</v>
      </c>
      <c r="F4" s="249" t="s">
        <v>51</v>
      </c>
      <c r="G4" s="249" t="s">
        <v>52</v>
      </c>
      <c r="H4" s="249" t="s">
        <v>687</v>
      </c>
      <c r="I4" s="386" t="s">
        <v>1808</v>
      </c>
      <c r="J4" s="384" t="s">
        <v>1809</v>
      </c>
      <c r="K4" s="201" t="s">
        <v>57</v>
      </c>
      <c r="L4" s="202" t="s">
        <v>58</v>
      </c>
      <c r="M4" s="202" t="s">
        <v>59</v>
      </c>
      <c r="N4" s="202" t="s">
        <v>60</v>
      </c>
      <c r="O4" s="202" t="s">
        <v>61</v>
      </c>
      <c r="P4" s="203" t="s">
        <v>10</v>
      </c>
      <c r="Q4" s="1378"/>
      <c r="R4" s="1378"/>
      <c r="S4" s="1380"/>
      <c r="T4" s="1381"/>
      <c r="U4" s="249"/>
      <c r="V4" s="249" t="s">
        <v>1806</v>
      </c>
      <c r="W4" s="415" t="s">
        <v>1802</v>
      </c>
      <c r="X4" s="249" t="s">
        <v>1801</v>
      </c>
      <c r="Y4" s="249" t="s">
        <v>697</v>
      </c>
      <c r="Z4" s="249" t="s">
        <v>1800</v>
      </c>
    </row>
    <row r="5" spans="1:26" ht="15.75" thickBot="1" x14ac:dyDescent="0.3">
      <c r="A5" s="2017"/>
      <c r="B5" s="2018"/>
      <c r="C5" s="2018"/>
      <c r="D5" s="2018"/>
      <c r="E5" s="2018"/>
      <c r="F5" s="2018"/>
      <c r="G5" s="2018"/>
      <c r="H5" s="2018"/>
      <c r="I5" s="2018"/>
      <c r="J5" s="2021"/>
      <c r="K5" s="2017"/>
      <c r="L5" s="2018"/>
      <c r="M5" s="2018"/>
      <c r="N5" s="2018"/>
      <c r="O5" s="2018"/>
      <c r="P5" s="2021"/>
      <c r="Q5" s="2017">
        <v>2016</v>
      </c>
      <c r="R5" s="2018">
        <v>2017</v>
      </c>
      <c r="S5" s="2018">
        <v>2018</v>
      </c>
      <c r="T5" s="2021">
        <v>2019</v>
      </c>
      <c r="U5" s="2017"/>
      <c r="V5" s="2018"/>
      <c r="W5" s="2018"/>
      <c r="X5" s="2018"/>
      <c r="Y5" s="2018"/>
      <c r="Z5" s="2018"/>
    </row>
    <row r="6" spans="1:26" ht="12.75" customHeight="1" thickBot="1" x14ac:dyDescent="0.3">
      <c r="A6" s="206"/>
      <c r="B6" s="1374"/>
      <c r="C6" s="244"/>
      <c r="D6" s="207"/>
      <c r="E6" s="207"/>
      <c r="F6" s="207"/>
      <c r="G6" s="207"/>
      <c r="H6" s="207"/>
      <c r="I6" s="207"/>
      <c r="J6" s="207"/>
      <c r="K6" s="185"/>
      <c r="L6" s="186"/>
      <c r="M6" s="186"/>
      <c r="N6" s="186"/>
      <c r="O6" s="186"/>
      <c r="P6" s="196"/>
      <c r="Q6" s="534">
        <v>2016</v>
      </c>
      <c r="R6" s="534">
        <v>2017</v>
      </c>
      <c r="S6" s="534">
        <v>2018</v>
      </c>
      <c r="T6" s="534">
        <v>2019</v>
      </c>
      <c r="U6" s="535">
        <v>2020</v>
      </c>
      <c r="V6" s="207"/>
      <c r="W6" s="208"/>
      <c r="X6" s="209"/>
      <c r="Y6" s="183"/>
      <c r="Z6" s="183"/>
    </row>
    <row r="7" spans="1:26" ht="38.25" customHeight="1" thickBot="1" x14ac:dyDescent="0.3">
      <c r="A7" s="443" t="str">
        <f>CONCATENATE('3 pr-2'!A7)</f>
        <v>1.1.</v>
      </c>
      <c r="B7" s="2028" t="str">
        <f>CONCATENATE('3 pr-2'!B7)</f>
        <v>Tikslas: 
DIDINTI ŪKINĖS VEIKLOS ĮVAIROVĘ IR PAGERINTI SĄLYGAS INVESTICIJŲ PRITRAUKIMUI, MAŽINANT GEOGRAFINIŲ SĄLYGŲ IR DEMOGRAFINIŲ PROCESŲ SUKELIAMUS GYVENIMO KOKYBĖS NETOLYGUMUS</v>
      </c>
      <c r="C7" s="2023"/>
      <c r="D7" s="2023"/>
      <c r="E7" s="2023"/>
      <c r="F7" s="2023"/>
      <c r="G7" s="2023"/>
      <c r="H7" s="2023"/>
      <c r="I7" s="2023"/>
      <c r="J7" s="2024"/>
      <c r="K7" s="1484">
        <f>SUM(K8+K73)</f>
        <v>40410391.489411764</v>
      </c>
      <c r="L7" s="1484">
        <f t="shared" ref="L7:P7" si="0">SUM(L8+L73)</f>
        <v>3848193.109411764</v>
      </c>
      <c r="M7" s="1484">
        <f t="shared" si="0"/>
        <v>1106455.17</v>
      </c>
      <c r="N7" s="1484">
        <f t="shared" si="0"/>
        <v>8057947.0100000007</v>
      </c>
      <c r="O7" s="1484">
        <f t="shared" si="0"/>
        <v>415060.82</v>
      </c>
      <c r="P7" s="1484">
        <f t="shared" si="0"/>
        <v>26982735.380000003</v>
      </c>
      <c r="Q7" s="1497"/>
      <c r="R7" s="1497"/>
      <c r="S7" s="1497"/>
      <c r="T7" s="1497"/>
      <c r="U7" s="1498"/>
      <c r="V7" s="1484">
        <f t="shared" ref="V7" si="1">SUM(V8+V73)</f>
        <v>0</v>
      </c>
      <c r="W7" s="444" t="s">
        <v>690</v>
      </c>
      <c r="X7" s="444" t="s">
        <v>690</v>
      </c>
      <c r="Y7" s="444" t="s">
        <v>690</v>
      </c>
      <c r="Z7" s="444"/>
    </row>
    <row r="8" spans="1:26" ht="54" customHeight="1" thickBot="1" x14ac:dyDescent="0.3">
      <c r="A8" s="261" t="s">
        <v>691</v>
      </c>
      <c r="B8" s="2022" t="str">
        <f>CONCATENATE('3 pr-2'!B8)</f>
        <v>Uždavinys: 
Sudaryti sąlygas darbo vietų kūrimui, kuriant ir atnaujinant viešąją ir ekoinžinerinę  infrastruktūrą,  gamtos, kultūros paveldo objektus ir kultūros įstaigas</v>
      </c>
      <c r="C8" s="2023"/>
      <c r="D8" s="2023"/>
      <c r="E8" s="2023"/>
      <c r="F8" s="2023"/>
      <c r="G8" s="2023"/>
      <c r="H8" s="2023"/>
      <c r="I8" s="2023"/>
      <c r="J8" s="2024"/>
      <c r="K8" s="1420">
        <f>SUM(K9+K33+K39+K46+K50+K56+K58+K62+K67)</f>
        <v>36668354.949411765</v>
      </c>
      <c r="L8" s="1420">
        <f t="shared" ref="L8:P8" si="2">SUM(L9+L33+L39+L46+L50+L56+L58+L62+L67)</f>
        <v>2872812.9994117641</v>
      </c>
      <c r="M8" s="1420">
        <f t="shared" si="2"/>
        <v>1106455.17</v>
      </c>
      <c r="N8" s="1420">
        <f t="shared" si="2"/>
        <v>8057947.0100000007</v>
      </c>
      <c r="O8" s="1420">
        <f t="shared" si="2"/>
        <v>352400.82</v>
      </c>
      <c r="P8" s="1420">
        <f t="shared" si="2"/>
        <v>24278738.950000003</v>
      </c>
      <c r="Q8" s="1499"/>
      <c r="R8" s="1500"/>
      <c r="S8" s="1501"/>
      <c r="T8" s="1502"/>
      <c r="U8" s="1503"/>
      <c r="V8" s="1420">
        <f t="shared" ref="V8" si="3">SUM(V9+V33+V39+V46+V50+V56+V58+V62+V67)</f>
        <v>0</v>
      </c>
      <c r="W8" s="228" t="s">
        <v>690</v>
      </c>
      <c r="X8" s="228" t="s">
        <v>690</v>
      </c>
      <c r="Y8" s="228" t="s">
        <v>690</v>
      </c>
      <c r="Z8" s="267"/>
    </row>
    <row r="9" spans="1:26" ht="40.5" customHeight="1" thickBot="1" x14ac:dyDescent="0.3">
      <c r="A9" s="326" t="s">
        <v>67</v>
      </c>
      <c r="B9" s="2025" t="str">
        <f>CONCATENATE('3 pr-2'!B9)</f>
        <v>Priemonė:
Kaimo gyvenamųjų vietovių (turinčių iki 1 tūkst. gyventojų) atnaujinimas</v>
      </c>
      <c r="C9" s="2026"/>
      <c r="D9" s="2026"/>
      <c r="E9" s="2026"/>
      <c r="F9" s="2026"/>
      <c r="G9" s="2026"/>
      <c r="H9" s="2026"/>
      <c r="I9" s="2026"/>
      <c r="J9" s="2027"/>
      <c r="K9" s="1293">
        <f>SUM(K10:K32)</f>
        <v>3900227</v>
      </c>
      <c r="L9" s="1293">
        <f t="shared" ref="L9:P9" si="4">SUM(L10:L32)</f>
        <v>846770</v>
      </c>
      <c r="M9" s="1293">
        <f t="shared" si="4"/>
        <v>458019</v>
      </c>
      <c r="N9" s="1293">
        <f t="shared" si="4"/>
        <v>0</v>
      </c>
      <c r="O9" s="1293">
        <f t="shared" si="4"/>
        <v>0</v>
      </c>
      <c r="P9" s="1293">
        <f t="shared" si="4"/>
        <v>2595438</v>
      </c>
      <c r="Q9" s="1504">
        <f>SUM(Q10:Q32)</f>
        <v>0</v>
      </c>
      <c r="R9" s="1505">
        <f t="shared" ref="R9:V9" si="5">SUM(R10:R32)</f>
        <v>0</v>
      </c>
      <c r="S9" s="1504">
        <f t="shared" si="5"/>
        <v>2595438</v>
      </c>
      <c r="T9" s="1505">
        <f t="shared" si="5"/>
        <v>0</v>
      </c>
      <c r="U9" s="1506">
        <f t="shared" si="5"/>
        <v>0</v>
      </c>
      <c r="V9" s="1293">
        <f t="shared" si="5"/>
        <v>0</v>
      </c>
      <c r="W9" s="397"/>
      <c r="X9" s="397"/>
      <c r="Y9" s="397"/>
      <c r="Z9" s="397"/>
    </row>
    <row r="10" spans="1:26" ht="48.75" x14ac:dyDescent="0.25">
      <c r="A10" s="240" t="str">
        <f>CONCATENATE('3 pr-2'!A10)</f>
        <v>1.1.1.1.1</v>
      </c>
      <c r="B10" s="240" t="str">
        <f>CONCATENATE('3 pr-2'!B10)</f>
        <v>R01-ZM72-120000-1101</v>
      </c>
      <c r="C10" s="402" t="str">
        <f>CONCATENATE('ketv. 2'!B9)</f>
        <v>20KI-KA-17-1-02616-PR001</v>
      </c>
      <c r="D10" s="240" t="str">
        <f>CONCATENATE('3 pr-2'!D10)</f>
        <v xml:space="preserve">Druskininkų savivaldybės Viečiūnų seniūnijos Ilgio ir Raigardo seniūnaitijų kelių būklės gerinimas  </v>
      </c>
      <c r="E10" s="240" t="str">
        <f>CONCATENATE('3 pr-2'!E10)</f>
        <v xml:space="preserve">Druskininkų savivaldybės administracija  </v>
      </c>
      <c r="F10" s="240" t="str">
        <f>CONCATENATE('3 pr-2'!F10)</f>
        <v>Lietuvos Respublikos žemės ūkio ministerija</v>
      </c>
      <c r="G10" s="240" t="str">
        <f>CONCATENATE('3 pr-2'!G10)</f>
        <v>Druskininkų sav.</v>
      </c>
      <c r="H10" s="240" t="str">
        <f>CONCATENATE('3 pr-2'!H10)</f>
        <v xml:space="preserve">Pagrindinės paslaugos ir kaimų atnaujinimas kaimo vietovėse </v>
      </c>
      <c r="I10" s="240" t="str">
        <f>CONCATENATE('3 pr-2'!I10)</f>
        <v>R</v>
      </c>
      <c r="J10" s="240" t="str">
        <f>CONCATENATE('3 pr-2'!J10)</f>
        <v>-</v>
      </c>
      <c r="K10" s="1435">
        <f>IF(X10&gt;0,'3 pr-2'!L10,0)</f>
        <v>198893</v>
      </c>
      <c r="L10" s="1435">
        <f>IF(X10&gt;0,'3 pr-2'!O10,0)</f>
        <v>39779</v>
      </c>
      <c r="M10" s="1435">
        <f>IF(X10&gt;0,'3 pr-2'!R10,0)</f>
        <v>23867</v>
      </c>
      <c r="N10" s="1435">
        <f>IF(X10&gt;0,'3 pr-2'!U10,0)</f>
        <v>0</v>
      </c>
      <c r="O10" s="1435">
        <f>IF(X10&gt;0,'3 pr-2'!X10,0)</f>
        <v>0</v>
      </c>
      <c r="P10" s="1435">
        <f>IF(X10&gt;0,'3 pr-2'!AA10,0)</f>
        <v>135247</v>
      </c>
      <c r="Q10" s="1435">
        <f t="shared" ref="Q10:Q32" si="6">IF(YEAR(X10)=2016,P10,0)</f>
        <v>0</v>
      </c>
      <c r="R10" s="1435">
        <f t="shared" ref="R10:R32" si="7">IF(YEAR(X10)=2017,P10,0)</f>
        <v>0</v>
      </c>
      <c r="S10" s="1435">
        <f t="shared" ref="S10:S32" si="8">IF(YEAR(X10)=2018,P10,0)</f>
        <v>135247</v>
      </c>
      <c r="T10" s="1435">
        <f t="shared" ref="T10:T32" si="9">IF(YEAR(X10)=2019,P10,0)</f>
        <v>0</v>
      </c>
      <c r="U10" s="1435">
        <f t="shared" ref="U10:U32" si="10">IF(YEAR(X10)=2020,P10,0)</f>
        <v>0</v>
      </c>
      <c r="V10" s="1435">
        <f>IF(X10&gt;0,'3 pr-2'!$AB$10,0)</f>
        <v>0</v>
      </c>
      <c r="W10" s="1370">
        <f>SUM('3 pr-2'!AI10)</f>
        <v>43102</v>
      </c>
      <c r="X10" s="1370">
        <v>43340</v>
      </c>
      <c r="Y10" s="404"/>
      <c r="Z10" s="445">
        <f>IF(W10-X10&lt;0,(W10-X10)/30.4166666666667,"–")</f>
        <v>-7.8246575342465672</v>
      </c>
    </row>
    <row r="11" spans="1:26" ht="48.75" x14ac:dyDescent="0.25">
      <c r="A11" s="182" t="str">
        <f>CONCATENATE('3 pr-2'!A11)</f>
        <v>1.1.1.1.2</v>
      </c>
      <c r="B11" s="240" t="str">
        <f>CONCATENATE('3 pr-2'!B11)</f>
        <v>R01-ZM72-120000-1102</v>
      </c>
      <c r="C11" s="402" t="str">
        <f>CONCATENATE('ketv. 2'!B10)</f>
        <v>20KI-KA-17-1-02617-PR001</v>
      </c>
      <c r="D11" s="182" t="str">
        <f>CONCATENATE('3 pr-2'!D11)</f>
        <v>Druskininkų savivaldybės Viečiūnų seniūnijos Ratnyčėlės seniūnaitijos kelių būklės gerinimas</v>
      </c>
      <c r="E11" s="182" t="str">
        <f>CONCATENATE('3 pr-2'!E11)</f>
        <v xml:space="preserve">Druskininkų savivaldybės administracija  </v>
      </c>
      <c r="F11" s="182" t="str">
        <f>CONCATENATE('3 pr-2'!F11)</f>
        <v>Lietuvos Respublikos žemės ūkio ministerija</v>
      </c>
      <c r="G11" s="182" t="str">
        <f>CONCATENATE('3 pr-2'!G11)</f>
        <v>Druskininkų sav.</v>
      </c>
      <c r="H11" s="182" t="str">
        <f>CONCATENATE('3 pr-2'!H11)</f>
        <v xml:space="preserve">Pagrindinės paslaugos ir kaimų atnaujinimas kaimo vietovėse </v>
      </c>
      <c r="I11" s="182" t="str">
        <f>CONCATENATE('3 pr-2'!I11)</f>
        <v>R</v>
      </c>
      <c r="J11" s="182" t="str">
        <f>CONCATENATE('3 pr-2'!J11)</f>
        <v>-</v>
      </c>
      <c r="K11" s="1296">
        <f>IF(X11&gt;0,'3 pr-2'!L11,0)</f>
        <v>151340</v>
      </c>
      <c r="L11" s="1296">
        <f>IF(X11&gt;0,'3 pr-2'!O11,0)</f>
        <v>30268</v>
      </c>
      <c r="M11" s="1296">
        <f>IF(X11&gt;0,'3 pr-2'!R11,0)</f>
        <v>18161</v>
      </c>
      <c r="N11" s="1296">
        <f>IF(X11&gt;0,'3 pr-2'!U11,0)</f>
        <v>0</v>
      </c>
      <c r="O11" s="1296">
        <f>IF(X11&gt;0,'3 pr-2'!X11,0)</f>
        <v>0</v>
      </c>
      <c r="P11" s="1296">
        <f>IF(X11&gt;0,'3 pr-2'!AA11,0)</f>
        <v>102911</v>
      </c>
      <c r="Q11" s="1296">
        <f t="shared" si="6"/>
        <v>0</v>
      </c>
      <c r="R11" s="1296">
        <f t="shared" si="7"/>
        <v>0</v>
      </c>
      <c r="S11" s="1296">
        <f t="shared" si="8"/>
        <v>102911</v>
      </c>
      <c r="T11" s="1296">
        <f t="shared" si="9"/>
        <v>0</v>
      </c>
      <c r="U11" s="1296">
        <f t="shared" si="10"/>
        <v>0</v>
      </c>
      <c r="V11" s="1435">
        <f>IF(X11&gt;0,'3 pr-2'!$AB$10,0)</f>
        <v>0</v>
      </c>
      <c r="W11" s="1336">
        <f>SUM('3 pr-2'!AI11)</f>
        <v>43102</v>
      </c>
      <c r="X11" s="1336">
        <v>43340</v>
      </c>
      <c r="Y11" s="216"/>
      <c r="Z11" s="445">
        <f t="shared" ref="Z11:Z32" si="11">IF(W11-X11&lt;0,(W11-X11)/30.4166666666667,"–")</f>
        <v>-7.8246575342465672</v>
      </c>
    </row>
    <row r="12" spans="1:26" ht="48.75" x14ac:dyDescent="0.25">
      <c r="A12" s="182" t="str">
        <f>CONCATENATE('3 pr-2'!A12)</f>
        <v>1.1.1.1.3</v>
      </c>
      <c r="B12" s="240" t="str">
        <f>CONCATENATE('3 pr-2'!B12)</f>
        <v>R01-ZM72-120000-1103</v>
      </c>
      <c r="C12" s="402" t="str">
        <f>CONCATENATE('ketv. 2'!B11)</f>
        <v>20KI-KA-17-1-02622-PR001</v>
      </c>
      <c r="D12" s="182" t="str">
        <f>CONCATENATE('3 pr-2'!D12)</f>
        <v>Druskininkų savivaldybės Leipalingio seniūnijos Klonio seniūnaitijos kelių būklės gerinimas</v>
      </c>
      <c r="E12" s="182" t="str">
        <f>CONCATENATE('3 pr-2'!E12)</f>
        <v xml:space="preserve">Druskininkų savivaldybės administracija  </v>
      </c>
      <c r="F12" s="182" t="str">
        <f>CONCATENATE('3 pr-2'!F12)</f>
        <v>Lietuvos Respublikos žemės ūkio ministerija</v>
      </c>
      <c r="G12" s="182" t="str">
        <f>CONCATENATE('3 pr-2'!G12)</f>
        <v>Druskininkų sav.</v>
      </c>
      <c r="H12" s="182" t="str">
        <f>CONCATENATE('3 pr-2'!H12)</f>
        <v xml:space="preserve">Pagrindinės paslaugos ir kaimų atnaujinimas kaimo vietovėse </v>
      </c>
      <c r="I12" s="182" t="str">
        <f>CONCATENATE('3 pr-2'!I12)</f>
        <v>R</v>
      </c>
      <c r="J12" s="182" t="str">
        <f>CONCATENATE('3 pr-2'!J12)</f>
        <v>-</v>
      </c>
      <c r="K12" s="1296">
        <f>IF(X12&gt;0,'3 pr-2'!L12,0)</f>
        <v>193059</v>
      </c>
      <c r="L12" s="1296">
        <f>IF(X12&gt;0,'3 pr-2'!O12,0)</f>
        <v>38612</v>
      </c>
      <c r="M12" s="1296">
        <f>IF(X12&gt;0,'3 pr-2'!R12,0)</f>
        <v>23167</v>
      </c>
      <c r="N12" s="1296">
        <f>IF(X12&gt;0,'3 pr-2'!U12,0)</f>
        <v>0</v>
      </c>
      <c r="O12" s="1296">
        <f>IF(X12&gt;0,'3 pr-2'!X12,0)</f>
        <v>0</v>
      </c>
      <c r="P12" s="1296">
        <f>IF(X12&gt;0,'3 pr-2'!AA12,0)</f>
        <v>131280</v>
      </c>
      <c r="Q12" s="1296">
        <f t="shared" si="6"/>
        <v>0</v>
      </c>
      <c r="R12" s="1296">
        <f t="shared" si="7"/>
        <v>0</v>
      </c>
      <c r="S12" s="1296">
        <f t="shared" si="8"/>
        <v>131280</v>
      </c>
      <c r="T12" s="1296">
        <f t="shared" si="9"/>
        <v>0</v>
      </c>
      <c r="U12" s="1296">
        <f t="shared" si="10"/>
        <v>0</v>
      </c>
      <c r="V12" s="1435">
        <f>IF(X12&gt;0,'3 pr-2'!$AB$10,0)</f>
        <v>0</v>
      </c>
      <c r="W12" s="1336">
        <f>SUM('3 pr-2'!AI12)</f>
        <v>43102</v>
      </c>
      <c r="X12" s="1336">
        <v>43281</v>
      </c>
      <c r="Y12" s="216"/>
      <c r="Z12" s="445">
        <f t="shared" si="11"/>
        <v>-5.8849315068493082</v>
      </c>
    </row>
    <row r="13" spans="1:26" ht="48.75" x14ac:dyDescent="0.25">
      <c r="A13" s="182" t="str">
        <f>CONCATENATE('3 pr-2'!A13)</f>
        <v>1.1.1.1.4</v>
      </c>
      <c r="B13" s="240" t="str">
        <f>CONCATENATE('3 pr-2'!B13)</f>
        <v>R01-ZM72-330200-1104</v>
      </c>
      <c r="C13" s="402" t="str">
        <f>CONCATENATE('ketv. 2'!B12)</f>
        <v>20KI-KA-17-1-02368-PR001</v>
      </c>
      <c r="D13" s="182" t="str">
        <f>CONCATENATE('3 pr-2'!D13)</f>
        <v>Rudaminos laisvalaikio salės pritaikymas bendruomenės poreikiams ir liaudies amatų plėtrai</v>
      </c>
      <c r="E13" s="182" t="str">
        <f>CONCATENATE('3 pr-2'!E13)</f>
        <v>Viešoji įstaiga Lazdijų kultūros centras</v>
      </c>
      <c r="F13" s="182" t="str">
        <f>CONCATENATE('3 pr-2'!F13)</f>
        <v>Lietuvos Respublikos žemės ūkio ministerija</v>
      </c>
      <c r="G13" s="182" t="str">
        <f>CONCATENATE('3 pr-2'!G13)</f>
        <v>Lazdijų r. sav.</v>
      </c>
      <c r="H13" s="182" t="str">
        <f>CONCATENATE('3 pr-2'!H13)</f>
        <v xml:space="preserve">Pagrindinės paslaugos ir kaimų atnaujinimas kaimo vietovėse </v>
      </c>
      <c r="I13" s="182" t="str">
        <f>CONCATENATE('3 pr-2'!I13)</f>
        <v>R</v>
      </c>
      <c r="J13" s="182" t="str">
        <f>CONCATENATE('3 pr-2'!J13)</f>
        <v>-</v>
      </c>
      <c r="K13" s="1296">
        <f>IF(X13&gt;0,'3 pr-2'!L13,0)</f>
        <v>125000</v>
      </c>
      <c r="L13" s="1296">
        <f>IF(X13&gt;0,'3 pr-2'!O13,0)</f>
        <v>25000</v>
      </c>
      <c r="M13" s="1296">
        <f>IF(X13&gt;0,'3 pr-2'!R13,0)</f>
        <v>15000</v>
      </c>
      <c r="N13" s="1296">
        <f>IF(X13&gt;0,'3 pr-2'!U13,0)</f>
        <v>0</v>
      </c>
      <c r="O13" s="1296">
        <f>IF(X13&gt;0,'3 pr-2'!X13,0)</f>
        <v>0</v>
      </c>
      <c r="P13" s="1296">
        <f>IF(X13&gt;0,'3 pr-2'!AA13,0)</f>
        <v>85000</v>
      </c>
      <c r="Q13" s="1296">
        <f t="shared" si="6"/>
        <v>0</v>
      </c>
      <c r="R13" s="1296">
        <f t="shared" si="7"/>
        <v>0</v>
      </c>
      <c r="S13" s="1296">
        <f t="shared" si="8"/>
        <v>85000</v>
      </c>
      <c r="T13" s="1296">
        <f t="shared" si="9"/>
        <v>0</v>
      </c>
      <c r="U13" s="1296">
        <f t="shared" si="10"/>
        <v>0</v>
      </c>
      <c r="V13" s="1435">
        <f>IF(X13&gt;0,'3 pr-2'!$AB$10,0)</f>
        <v>0</v>
      </c>
      <c r="W13" s="1336">
        <f>SUM('3 pr-2'!AI13)</f>
        <v>43102</v>
      </c>
      <c r="X13" s="1336">
        <v>43340</v>
      </c>
      <c r="Y13" s="216"/>
      <c r="Z13" s="445">
        <f t="shared" si="11"/>
        <v>-7.8246575342465672</v>
      </c>
    </row>
    <row r="14" spans="1:26" ht="48.75" x14ac:dyDescent="0.25">
      <c r="A14" s="182" t="str">
        <f>CONCATENATE('3 pr-2'!A14)</f>
        <v>1.1.1.1.5</v>
      </c>
      <c r="B14" s="240" t="str">
        <f>CONCATENATE('3 pr-2'!B14)</f>
        <v>R01-ZM72-120000-1105</v>
      </c>
      <c r="C14" s="402" t="str">
        <f>CONCATENATE('ketv. 2'!B13)</f>
        <v>20KI-KA-17-1-02619-PR001</v>
      </c>
      <c r="D14" s="182" t="str">
        <f>CONCATENATE('3 pr-2'!D14)</f>
        <v>Druskininkų savivaldybės Leipalingio seniūnijos Bilso seniūnaitijos kelių būklės gerinimas</v>
      </c>
      <c r="E14" s="182" t="str">
        <f>CONCATENATE('3 pr-2'!E14)</f>
        <v xml:space="preserve">Druskininkų savivaldybės administracija  </v>
      </c>
      <c r="F14" s="182" t="str">
        <f>CONCATENATE('3 pr-2'!F14)</f>
        <v>Lietuvos Respublikos žemės ūkio ministerija</v>
      </c>
      <c r="G14" s="182" t="str">
        <f>CONCATENATE('3 pr-2'!G14)</f>
        <v>Druskininkų sav.</v>
      </c>
      <c r="H14" s="182" t="str">
        <f>CONCATENATE('3 pr-2'!H14)</f>
        <v xml:space="preserve">Pagrindinės paslaugos ir kaimų atnaujinimas kaimo vietovėse </v>
      </c>
      <c r="I14" s="182" t="str">
        <f>CONCATENATE('3 pr-2'!I14)</f>
        <v>R</v>
      </c>
      <c r="J14" s="182" t="str">
        <f>CONCATENATE('3 pr-2'!J14)</f>
        <v>-</v>
      </c>
      <c r="K14" s="1296">
        <f>IF(X14&gt;0,'3 pr-2'!L14,0)</f>
        <v>240940</v>
      </c>
      <c r="L14" s="1296">
        <f>IF(X14&gt;0,'3 pr-2'!O14,0)</f>
        <v>112896</v>
      </c>
      <c r="M14" s="1296">
        <f>IF(X14&gt;0,'3 pr-2'!R14,0)</f>
        <v>19207</v>
      </c>
      <c r="N14" s="1296">
        <f>IF(X14&gt;0,'3 pr-2'!U14,0)</f>
        <v>0</v>
      </c>
      <c r="O14" s="1296">
        <f>IF(X14&gt;0,'3 pr-2'!X14,0)</f>
        <v>0</v>
      </c>
      <c r="P14" s="1296">
        <f>IF(X14&gt;0,'3 pr-2'!AA14,0)</f>
        <v>108837</v>
      </c>
      <c r="Q14" s="1296">
        <f t="shared" si="6"/>
        <v>0</v>
      </c>
      <c r="R14" s="1296">
        <f t="shared" si="7"/>
        <v>0</v>
      </c>
      <c r="S14" s="1296">
        <f t="shared" si="8"/>
        <v>108837</v>
      </c>
      <c r="T14" s="1296">
        <f t="shared" si="9"/>
        <v>0</v>
      </c>
      <c r="U14" s="1296">
        <f t="shared" si="10"/>
        <v>0</v>
      </c>
      <c r="V14" s="1435">
        <f>IF(X14&gt;0,'3 pr-2'!$AB$10,0)</f>
        <v>0</v>
      </c>
      <c r="W14" s="1336">
        <f>SUM('3 pr-2'!AI14)</f>
        <v>43102</v>
      </c>
      <c r="X14" s="1336">
        <v>43340</v>
      </c>
      <c r="Y14" s="216"/>
      <c r="Z14" s="445">
        <f t="shared" si="11"/>
        <v>-7.8246575342465672</v>
      </c>
    </row>
    <row r="15" spans="1:26" ht="60.75" x14ac:dyDescent="0.25">
      <c r="A15" s="182" t="str">
        <f>CONCATENATE('3 pr-2'!A15)</f>
        <v>1.1.1.1.6</v>
      </c>
      <c r="B15" s="240" t="str">
        <f>CONCATENATE('3 pr-2'!B15)</f>
        <v>R01-ZM72-330200-1106</v>
      </c>
      <c r="C15" s="402" t="str">
        <f>CONCATENATE('ketv. 2'!B14)</f>
        <v>20KI-KA-17-1-02374-PR001</v>
      </c>
      <c r="D15" s="182" t="str">
        <f>CONCATENATE('3 pr-2'!D15)</f>
        <v>Lazdijų rajono kaimų patrauklumo didinimas atnaujinant bibliotekas</v>
      </c>
      <c r="E15" s="182" t="str">
        <f>CONCATENATE('3 pr-2'!E15)</f>
        <v xml:space="preserve">Biudžetinė įstaiga Lazdijų rajono savivaldybės viešoji biblioteka </v>
      </c>
      <c r="F15" s="182" t="str">
        <f>CONCATENATE('3 pr-2'!F15)</f>
        <v>Lietuvos Respublikos žemės ūkio ministerija</v>
      </c>
      <c r="G15" s="182" t="str">
        <f>CONCATENATE('3 pr-2'!G15)</f>
        <v>Lazdijų r. sav.</v>
      </c>
      <c r="H15" s="182" t="str">
        <f>CONCATENATE('3 pr-2'!H15)</f>
        <v xml:space="preserve">Pagrindinės paslaugos ir kaimų atnaujinimas kaimo vietovėse </v>
      </c>
      <c r="I15" s="182" t="str">
        <f>CONCATENATE('3 pr-2'!I15)</f>
        <v>R</v>
      </c>
      <c r="J15" s="182" t="str">
        <f>CONCATENATE('3 pr-2'!J15)</f>
        <v>-</v>
      </c>
      <c r="K15" s="1296">
        <f>IF(X15&gt;0,'3 pr-2'!L15,0)</f>
        <v>201000</v>
      </c>
      <c r="L15" s="1296">
        <f>IF(X15&gt;0,'3 pr-2'!O15,0)</f>
        <v>40200</v>
      </c>
      <c r="M15" s="1296">
        <f>IF(X15&gt;0,'3 pr-2'!R15,0)</f>
        <v>24120</v>
      </c>
      <c r="N15" s="1296">
        <f>IF(X15&gt;0,'3 pr-2'!U15,0)</f>
        <v>0</v>
      </c>
      <c r="O15" s="1296">
        <f>IF(X15&gt;0,'3 pr-2'!X15,0)</f>
        <v>0</v>
      </c>
      <c r="P15" s="1296">
        <f>IF(X15&gt;0,'3 pr-2'!AA15,0)</f>
        <v>136680</v>
      </c>
      <c r="Q15" s="1296">
        <f t="shared" si="6"/>
        <v>0</v>
      </c>
      <c r="R15" s="1296">
        <f t="shared" si="7"/>
        <v>0</v>
      </c>
      <c r="S15" s="1296">
        <f t="shared" si="8"/>
        <v>136680</v>
      </c>
      <c r="T15" s="1296">
        <f t="shared" si="9"/>
        <v>0</v>
      </c>
      <c r="U15" s="1296">
        <f t="shared" si="10"/>
        <v>0</v>
      </c>
      <c r="V15" s="1435">
        <f>IF(X15&gt;0,'3 pr-2'!$AB$10,0)</f>
        <v>0</v>
      </c>
      <c r="W15" s="1336">
        <f>SUM('3 pr-2'!AI15)</f>
        <v>43102</v>
      </c>
      <c r="X15" s="1336">
        <v>43340</v>
      </c>
      <c r="Y15" s="216"/>
      <c r="Z15" s="445">
        <f t="shared" si="11"/>
        <v>-7.8246575342465672</v>
      </c>
    </row>
    <row r="16" spans="1:26" ht="48.75" x14ac:dyDescent="0.25">
      <c r="A16" s="182" t="str">
        <f>CONCATENATE('3 pr-2'!A16)</f>
        <v>1.1.1.1.7</v>
      </c>
      <c r="B16" s="240" t="str">
        <f>CONCATENATE('3 pr-2'!B16)</f>
        <v>R01-ZM72-123200-1107</v>
      </c>
      <c r="C16" s="402" t="str">
        <f>CONCATENATE('ketv. 2'!B15)</f>
        <v>20KI-KA-17-1-02437-PR001</v>
      </c>
      <c r="D16" s="182" t="str">
        <f>CONCATENATE('3 pr-2'!D16)</f>
        <v>Alytaus rajono Miroslavo kaimo multifunkcinės sporto aikštės įrengimas ir gatvių bei šaligatvių rekonstrukcija</v>
      </c>
      <c r="E16" s="182" t="str">
        <f>CONCATENATE('3 pr-2'!E16)</f>
        <v>Alytaus rajono savivaldybės administracija</v>
      </c>
      <c r="F16" s="182" t="str">
        <f>CONCATENATE('3 pr-2'!F16)</f>
        <v>Lietuvos Respublikos žemės ūkio ministerija</v>
      </c>
      <c r="G16" s="182" t="str">
        <f>CONCATENATE('3 pr-2'!G16)</f>
        <v>Alytaus r. sav.</v>
      </c>
      <c r="H16" s="182" t="str">
        <f>CONCATENATE('3 pr-2'!H16)</f>
        <v xml:space="preserve">Pagrindinės paslaugos ir kaimų atnaujinimas kaimo vietovėse </v>
      </c>
      <c r="I16" s="182" t="str">
        <f>CONCATENATE('3 pr-2'!I16)</f>
        <v>R</v>
      </c>
      <c r="J16" s="182" t="str">
        <f>CONCATENATE('3 pr-2'!J16)</f>
        <v>-</v>
      </c>
      <c r="K16" s="1296">
        <f>IF(X16&gt;0,'3 pr-2'!L16,0)</f>
        <v>252212</v>
      </c>
      <c r="L16" s="1296">
        <f>IF(X16&gt;0,'3 pr-2'!O16,0)</f>
        <v>52212</v>
      </c>
      <c r="M16" s="1296">
        <f>IF(X16&gt;0,'3 pr-2'!R16,0)</f>
        <v>30000</v>
      </c>
      <c r="N16" s="1296">
        <f>IF(X16&gt;0,'3 pr-2'!U16,0)</f>
        <v>0</v>
      </c>
      <c r="O16" s="1296">
        <f>IF(X16&gt;0,'3 pr-2'!X16,0)</f>
        <v>0</v>
      </c>
      <c r="P16" s="1296">
        <f>IF(X16&gt;0,'3 pr-2'!AA16,0)</f>
        <v>170000</v>
      </c>
      <c r="Q16" s="1296">
        <f t="shared" si="6"/>
        <v>0</v>
      </c>
      <c r="R16" s="1296">
        <f t="shared" si="7"/>
        <v>0</v>
      </c>
      <c r="S16" s="1296">
        <f t="shared" si="8"/>
        <v>170000</v>
      </c>
      <c r="T16" s="1296">
        <f t="shared" si="9"/>
        <v>0</v>
      </c>
      <c r="U16" s="1296">
        <f t="shared" si="10"/>
        <v>0</v>
      </c>
      <c r="V16" s="1435">
        <f>IF(X16&gt;0,'3 pr-2'!$AB$10,0)</f>
        <v>0</v>
      </c>
      <c r="W16" s="1336">
        <f>SUM('3 pr-2'!AI16)</f>
        <v>43102</v>
      </c>
      <c r="X16" s="1336">
        <v>43388</v>
      </c>
      <c r="Y16" s="216"/>
      <c r="Z16" s="445">
        <f t="shared" si="11"/>
        <v>-9.4027397260273862</v>
      </c>
    </row>
    <row r="17" spans="1:28" ht="48.75" x14ac:dyDescent="0.25">
      <c r="A17" s="182" t="str">
        <f>CONCATENATE('3 pr-2'!A17)</f>
        <v>1.1.1.1.8</v>
      </c>
      <c r="B17" s="240" t="str">
        <f>CONCATENATE('3 pr-2'!B17)</f>
        <v>R01-ZM72-123200-1108</v>
      </c>
      <c r="C17" s="402" t="str">
        <f>CONCATENATE('ketv. 2'!B16)</f>
        <v>20KI-KA-17-1-02242-PR001</v>
      </c>
      <c r="D17" s="182" t="str">
        <f>CONCATENATE('3 pr-2'!D17)</f>
        <v>Alytaus rajono Luksnėnų kaimo multifunkcinės sporto aikštės įrengimas ir gatvių rekonstrukcija</v>
      </c>
      <c r="E17" s="182" t="str">
        <f>CONCATENATE('3 pr-2'!E17)</f>
        <v>Alytaus rajono savivaldybės administracija</v>
      </c>
      <c r="F17" s="182" t="str">
        <f>CONCATENATE('3 pr-2'!F17)</f>
        <v>Lietuvos Respublikos žemės ūkio ministerija</v>
      </c>
      <c r="G17" s="182" t="str">
        <f>CONCATENATE('3 pr-2'!G17)</f>
        <v>Alytaus r. sav.</v>
      </c>
      <c r="H17" s="182" t="str">
        <f>CONCATENATE('3 pr-2'!H17)</f>
        <v xml:space="preserve">Pagrindinės paslaugos ir kaimų atnaujinimas kaimo vietovėse </v>
      </c>
      <c r="I17" s="182" t="str">
        <f>CONCATENATE('3 pr-2'!I17)</f>
        <v>R</v>
      </c>
      <c r="J17" s="182" t="str">
        <f>CONCATENATE('3 pr-2'!J17)</f>
        <v>-</v>
      </c>
      <c r="K17" s="1296">
        <f>IF(X17&gt;0,'3 pr-2'!L17,0)</f>
        <v>250309</v>
      </c>
      <c r="L17" s="1296">
        <f>IF(X17&gt;0,'3 pr-2'!O17,0)</f>
        <v>50309</v>
      </c>
      <c r="M17" s="1296">
        <f>IF(X17&gt;0,'3 pr-2'!R17,0)</f>
        <v>30000</v>
      </c>
      <c r="N17" s="1296">
        <f>IF(X17&gt;0,'3 pr-2'!U17,0)</f>
        <v>0</v>
      </c>
      <c r="O17" s="1296">
        <f>IF(X17&gt;0,'3 pr-2'!X17,0)</f>
        <v>0</v>
      </c>
      <c r="P17" s="1296">
        <f>IF(X17&gt;0,'3 pr-2'!AA17,0)</f>
        <v>170000</v>
      </c>
      <c r="Q17" s="1296">
        <f t="shared" si="6"/>
        <v>0</v>
      </c>
      <c r="R17" s="1296">
        <f t="shared" si="7"/>
        <v>0</v>
      </c>
      <c r="S17" s="1296">
        <f t="shared" si="8"/>
        <v>170000</v>
      </c>
      <c r="T17" s="1296">
        <f t="shared" si="9"/>
        <v>0</v>
      </c>
      <c r="U17" s="1296">
        <f t="shared" si="10"/>
        <v>0</v>
      </c>
      <c r="V17" s="1435">
        <f>IF(X17&gt;0,'3 pr-2'!$AB$10,0)</f>
        <v>0</v>
      </c>
      <c r="W17" s="1336">
        <f>SUM('3 pr-2'!AI17)</f>
        <v>43102</v>
      </c>
      <c r="X17" s="1336">
        <v>43189</v>
      </c>
      <c r="Y17" s="216"/>
      <c r="Z17" s="445">
        <f t="shared" si="11"/>
        <v>-2.8602739726027364</v>
      </c>
    </row>
    <row r="18" spans="1:28" ht="48.75" x14ac:dyDescent="0.25">
      <c r="A18" s="182" t="str">
        <f>CONCATENATE('3 pr-2'!A18)</f>
        <v>1.1.1.1.9</v>
      </c>
      <c r="B18" s="240" t="str">
        <f>CONCATENATE('3 pr-2'!B18)</f>
        <v>R01-ZM72-340000-1109</v>
      </c>
      <c r="C18" s="402" t="str">
        <f>CONCATENATE('ketv. 2'!B17)</f>
        <v>20KI-KA-17-1-02372-PR001</v>
      </c>
      <c r="D18" s="182" t="str">
        <f>CONCATENATE('3 pr-2'!D18)</f>
        <v>Krikštonių laisvalaikio salės pritaikymas bendruomenės poreikiams</v>
      </c>
      <c r="E18" s="182" t="str">
        <f>CONCATENATE('3 pr-2'!E18)</f>
        <v xml:space="preserve">Viešoji įstaiga Lazdijų kultūros centras </v>
      </c>
      <c r="F18" s="182" t="str">
        <f>CONCATENATE('3 pr-2'!F18)</f>
        <v>Lietuvos Respublikos žemės ūkio ministerija</v>
      </c>
      <c r="G18" s="182" t="str">
        <f>CONCATENATE('3 pr-2'!G18)</f>
        <v>Lazdijų r. sav.</v>
      </c>
      <c r="H18" s="182" t="str">
        <f>CONCATENATE('3 pr-2'!H18)</f>
        <v xml:space="preserve">Pagrindinės paslaugos ir kaimų atnaujinimas kaimo vietovėse </v>
      </c>
      <c r="I18" s="182" t="str">
        <f>CONCATENATE('3 pr-2'!I18)</f>
        <v>R</v>
      </c>
      <c r="J18" s="182" t="str">
        <f>CONCATENATE('3 pr-2'!J18)</f>
        <v>-</v>
      </c>
      <c r="K18" s="1296">
        <f>IF(X18&gt;0,'3 pr-2'!L18,0)</f>
        <v>250000</v>
      </c>
      <c r="L18" s="1296">
        <f>IF(X18&gt;0,'3 pr-2'!O18,0)</f>
        <v>50000</v>
      </c>
      <c r="M18" s="1296">
        <f>IF(X18&gt;0,'3 pr-2'!R18,0)</f>
        <v>30000</v>
      </c>
      <c r="N18" s="1296">
        <f>IF(X18&gt;0,'3 pr-2'!U18,0)</f>
        <v>0</v>
      </c>
      <c r="O18" s="1296">
        <f>IF(X18&gt;0,'3 pr-2'!X18,0)</f>
        <v>0</v>
      </c>
      <c r="P18" s="1296">
        <f>IF(X18&gt;0,'3 pr-2'!AA18,0)</f>
        <v>170000</v>
      </c>
      <c r="Q18" s="1296">
        <f t="shared" si="6"/>
        <v>0</v>
      </c>
      <c r="R18" s="1296">
        <f t="shared" si="7"/>
        <v>0</v>
      </c>
      <c r="S18" s="1296">
        <f t="shared" si="8"/>
        <v>170000</v>
      </c>
      <c r="T18" s="1296">
        <f t="shared" si="9"/>
        <v>0</v>
      </c>
      <c r="U18" s="1296">
        <f t="shared" si="10"/>
        <v>0</v>
      </c>
      <c r="V18" s="1435">
        <f>IF(X18&gt;0,'3 pr-2'!$AB$10,0)</f>
        <v>0</v>
      </c>
      <c r="W18" s="1336">
        <f>SUM('3 pr-2'!AI18)</f>
        <v>43102</v>
      </c>
      <c r="X18" s="1336">
        <v>43361</v>
      </c>
      <c r="Y18" s="216"/>
      <c r="Z18" s="445">
        <f t="shared" si="11"/>
        <v>-8.5150684931506753</v>
      </c>
    </row>
    <row r="19" spans="1:28" ht="48.75" x14ac:dyDescent="0.25">
      <c r="A19" s="182" t="str">
        <f>CONCATENATE('3 pr-2'!A19)</f>
        <v>1.1.1.1.10</v>
      </c>
      <c r="B19" s="240" t="str">
        <f>CONCATENATE('3 pr-2'!B19)</f>
        <v>R01-ZM72-340200-1110</v>
      </c>
      <c r="C19" s="402" t="str">
        <f>CONCATENATE('ketv. 2'!B18)</f>
        <v>20KI-KA-17-1-02370-PR001</v>
      </c>
      <c r="D19" s="182" t="str">
        <f>CONCATENATE('3 pr-2'!D19)</f>
        <v>Kučiūnų laisvalaikio salės pritaikymas bendruomenės poreikiams</v>
      </c>
      <c r="E19" s="182" t="str">
        <f>CONCATENATE('3 pr-2'!E19)</f>
        <v xml:space="preserve">Viešoji įstaiga Lazdijų kultūros centras </v>
      </c>
      <c r="F19" s="182" t="str">
        <f>CONCATENATE('3 pr-2'!F19)</f>
        <v>Lietuvos Respublikos žemės ūkio ministerija</v>
      </c>
      <c r="G19" s="182" t="str">
        <f>CONCATENATE('3 pr-2'!G19)</f>
        <v>Lazdijų r. sav.</v>
      </c>
      <c r="H19" s="182" t="str">
        <f>CONCATENATE('3 pr-2'!H19)</f>
        <v xml:space="preserve">Pagrindinės paslaugos ir kaimų atnaujinimas kaimo vietovėse </v>
      </c>
      <c r="I19" s="182" t="str">
        <f>CONCATENATE('3 pr-2'!I19)</f>
        <v>R</v>
      </c>
      <c r="J19" s="182" t="str">
        <f>CONCATENATE('3 pr-2'!J19)</f>
        <v>-</v>
      </c>
      <c r="K19" s="1296">
        <f>IF(X19&gt;0,'3 pr-2'!L19,0)</f>
        <v>250000</v>
      </c>
      <c r="L19" s="1296">
        <f>IF(X19&gt;0,'3 pr-2'!O19,0)</f>
        <v>50000</v>
      </c>
      <c r="M19" s="1296">
        <f>IF(X19&gt;0,'3 pr-2'!R19,0)</f>
        <v>30000</v>
      </c>
      <c r="N19" s="1296">
        <f>IF(X19&gt;0,'3 pr-2'!U19,0)</f>
        <v>0</v>
      </c>
      <c r="O19" s="1296">
        <f>IF(X19&gt;0,'3 pr-2'!X19,0)</f>
        <v>0</v>
      </c>
      <c r="P19" s="1296">
        <f>IF(X19&gt;0,'3 pr-2'!AA19,0)</f>
        <v>170000</v>
      </c>
      <c r="Q19" s="1296">
        <f t="shared" si="6"/>
        <v>0</v>
      </c>
      <c r="R19" s="1296">
        <f t="shared" si="7"/>
        <v>0</v>
      </c>
      <c r="S19" s="1296">
        <f t="shared" si="8"/>
        <v>170000</v>
      </c>
      <c r="T19" s="1296">
        <f t="shared" si="9"/>
        <v>0</v>
      </c>
      <c r="U19" s="1296">
        <f t="shared" si="10"/>
        <v>0</v>
      </c>
      <c r="V19" s="1435">
        <f>IF(X19&gt;0,'3 pr-2'!$AB$10,0)</f>
        <v>0</v>
      </c>
      <c r="W19" s="1336">
        <f>SUM('3 pr-2'!AI19)</f>
        <v>43102</v>
      </c>
      <c r="X19" s="1336">
        <v>43340</v>
      </c>
      <c r="Y19" s="216"/>
      <c r="Z19" s="445">
        <f t="shared" si="11"/>
        <v>-7.8246575342465672</v>
      </c>
    </row>
    <row r="20" spans="1:28" ht="48.75" x14ac:dyDescent="0.25">
      <c r="A20" s="182" t="str">
        <f>CONCATENATE('3 pr-2'!A20)</f>
        <v>1.1.1.1.11</v>
      </c>
      <c r="B20" s="240" t="str">
        <f>CONCATENATE('3 pr-2'!B20)</f>
        <v>R01-ZM72-320000-1111</v>
      </c>
      <c r="C20" s="402" t="str">
        <f>CONCATENATE('ketv. 2'!B19)</f>
        <v>20KI-KA-17-1-02354-PR001</v>
      </c>
      <c r="D20" s="182" t="str">
        <f>CONCATENATE('3 pr-2'!D20)</f>
        <v>Laisvalaikio infrastruktūros sukūrimas Lazdijų rajono kaimo gyvenamosiose vietovėse</v>
      </c>
      <c r="E20" s="182" t="str">
        <f>CONCATENATE('3 pr-2'!E20)</f>
        <v>Lazdijų rajono savivaldybės administracija</v>
      </c>
      <c r="F20" s="182" t="str">
        <f>CONCATENATE('3 pr-2'!F20)</f>
        <v>Lietuvos Respublikos žemės ūkio ministerija</v>
      </c>
      <c r="G20" s="182" t="str">
        <f>CONCATENATE('3 pr-2'!G20)</f>
        <v>Lazdijų r. sav.</v>
      </c>
      <c r="H20" s="182" t="str">
        <f>CONCATENATE('3 pr-2'!H20)</f>
        <v xml:space="preserve">Pagrindinės paslaugos ir kaimų atnaujinimas kaimo vietovėse </v>
      </c>
      <c r="I20" s="182" t="str">
        <f>CONCATENATE('3 pr-2'!I20)</f>
        <v>R</v>
      </c>
      <c r="J20" s="182" t="str">
        <f>CONCATENATE('3 pr-2'!J20)</f>
        <v>-</v>
      </c>
      <c r="K20" s="1296">
        <f>IF(X20&gt;0,'3 pr-2'!L20,0)</f>
        <v>125000</v>
      </c>
      <c r="L20" s="1296">
        <f>IF(X20&gt;0,'3 pr-2'!O20,0)</f>
        <v>25000</v>
      </c>
      <c r="M20" s="1296">
        <f>IF(X20&gt;0,'3 pr-2'!R20,0)</f>
        <v>15000</v>
      </c>
      <c r="N20" s="1296">
        <f>IF(X20&gt;0,'3 pr-2'!U20,0)</f>
        <v>0</v>
      </c>
      <c r="O20" s="1296">
        <f>IF(X20&gt;0,'3 pr-2'!X20,0)</f>
        <v>0</v>
      </c>
      <c r="P20" s="1296">
        <f>IF(X20&gt;0,'3 pr-2'!AA20,0)</f>
        <v>85000</v>
      </c>
      <c r="Q20" s="1296">
        <f t="shared" si="6"/>
        <v>0</v>
      </c>
      <c r="R20" s="1296">
        <f t="shared" si="7"/>
        <v>0</v>
      </c>
      <c r="S20" s="1296">
        <f t="shared" si="8"/>
        <v>85000</v>
      </c>
      <c r="T20" s="1296">
        <f t="shared" si="9"/>
        <v>0</v>
      </c>
      <c r="U20" s="1296">
        <f t="shared" si="10"/>
        <v>0</v>
      </c>
      <c r="V20" s="1435">
        <f>IF(X20&gt;0,'3 pr-2'!$AB$10,0)</f>
        <v>0</v>
      </c>
      <c r="W20" s="1336">
        <f>SUM('3 pr-2'!AI20)</f>
        <v>43102</v>
      </c>
      <c r="X20" s="1336">
        <v>43340</v>
      </c>
      <c r="Y20" s="216"/>
      <c r="Z20" s="445">
        <f t="shared" si="11"/>
        <v>-7.8246575342465672</v>
      </c>
    </row>
    <row r="21" spans="1:28" ht="48.75" x14ac:dyDescent="0.25">
      <c r="A21" s="182" t="str">
        <f>CONCATENATE('3 pr-2'!A21)</f>
        <v>1.1.1.1.12</v>
      </c>
      <c r="B21" s="240" t="str">
        <f>CONCATENATE('3 pr-2'!B21)</f>
        <v>R01-ZM72-120000-1112</v>
      </c>
      <c r="C21" s="402" t="str">
        <f>CONCATENATE('ketv. 2'!B20)</f>
        <v>20KI-KA-17-1-02470-PR001</v>
      </c>
      <c r="D21" s="182" t="str">
        <f>CONCATENATE('3 pr-2'!D21)</f>
        <v>Alytaus rajono Butrimonių miestelio šaligatvių kapitalinis remontas ir gyvenvietės apšvietimo įrengimas</v>
      </c>
      <c r="E21" s="182" t="str">
        <f>CONCATENATE('3 pr-2'!E21)</f>
        <v>Alytaus rajono savivaldybės administracija</v>
      </c>
      <c r="F21" s="182" t="str">
        <f>CONCATENATE('3 pr-2'!F21)</f>
        <v>Lietuvos Respublikos žemės ūkio ministerija</v>
      </c>
      <c r="G21" s="182" t="str">
        <f>CONCATENATE('3 pr-2'!G21)</f>
        <v>Alytaus r. sav.</v>
      </c>
      <c r="H21" s="182" t="str">
        <f>CONCATENATE('3 pr-2'!H21)</f>
        <v xml:space="preserve">Pagrindinės paslaugos ir kaimų atnaujinimas kaimo vietovėse </v>
      </c>
      <c r="I21" s="182" t="str">
        <f>CONCATENATE('3 pr-2'!I21)</f>
        <v>R</v>
      </c>
      <c r="J21" s="182" t="str">
        <f>CONCATENATE('3 pr-2'!J21)</f>
        <v>-</v>
      </c>
      <c r="K21" s="1296">
        <f>IF(X21&gt;0,'3 pr-2'!L21,0)</f>
        <v>153566</v>
      </c>
      <c r="L21" s="1296">
        <f>IF(X21&gt;0,'3 pr-2'!O21,0)</f>
        <v>30713</v>
      </c>
      <c r="M21" s="1296">
        <f>IF(X21&gt;0,'3 pr-2'!R21,0)</f>
        <v>18428</v>
      </c>
      <c r="N21" s="1296">
        <f>IF(X21&gt;0,'3 pr-2'!U21,0)</f>
        <v>0</v>
      </c>
      <c r="O21" s="1296">
        <f>IF(X21&gt;0,'3 pr-2'!X21,0)</f>
        <v>0</v>
      </c>
      <c r="P21" s="1296">
        <f>IF(X21&gt;0,'3 pr-2'!AA21,0)</f>
        <v>104425</v>
      </c>
      <c r="Q21" s="1296">
        <f t="shared" si="6"/>
        <v>0</v>
      </c>
      <c r="R21" s="1296">
        <f t="shared" si="7"/>
        <v>0</v>
      </c>
      <c r="S21" s="1296">
        <f t="shared" si="8"/>
        <v>104425</v>
      </c>
      <c r="T21" s="1296">
        <f t="shared" si="9"/>
        <v>0</v>
      </c>
      <c r="U21" s="1296">
        <f t="shared" si="10"/>
        <v>0</v>
      </c>
      <c r="V21" s="1435">
        <f>IF(X21&gt;0,'3 pr-2'!$AB$10,0)</f>
        <v>0</v>
      </c>
      <c r="W21" s="1336">
        <f>SUM('3 pr-2'!AI21)</f>
        <v>43102</v>
      </c>
      <c r="X21" s="1336">
        <v>43388</v>
      </c>
      <c r="Y21" s="216"/>
      <c r="Z21" s="445">
        <f t="shared" si="11"/>
        <v>-9.4027397260273862</v>
      </c>
    </row>
    <row r="22" spans="1:28" ht="48.75" x14ac:dyDescent="0.25">
      <c r="A22" s="182" t="str">
        <f>CONCATENATE('3 pr-2'!A22)</f>
        <v>1.1.1.1.13</v>
      </c>
      <c r="B22" s="240" t="str">
        <f>CONCATENATE('3 pr-2'!B22)</f>
        <v>R01-ZM72-123200-1113</v>
      </c>
      <c r="C22" s="402" t="str">
        <f>CONCATENATE('ketv. 2'!B21)</f>
        <v>20KI-KA-17-1-02438-PR001</v>
      </c>
      <c r="D22" s="182" t="str">
        <f>CONCATENATE('3 pr-2'!D22)</f>
        <v>Alytaus rajono Genių kaimo sporto aikštės įrengimas ir gatvių rekonstrukcija</v>
      </c>
      <c r="E22" s="182" t="str">
        <f>CONCATENATE('3 pr-2'!E22)</f>
        <v>Alytaus rajono savivaldybės administracija</v>
      </c>
      <c r="F22" s="182" t="str">
        <f>CONCATENATE('3 pr-2'!F22)</f>
        <v>Lietuvos Respublikos žemės ūkio ministerija</v>
      </c>
      <c r="G22" s="182" t="str">
        <f>CONCATENATE('3 pr-2'!G22)</f>
        <v>Alytaus r. sav.</v>
      </c>
      <c r="H22" s="182" t="str">
        <f>CONCATENATE('3 pr-2'!H22)</f>
        <v xml:space="preserve">Pagrindinės paslaugos ir kaimų atnaujinimas kaimo vietovėse </v>
      </c>
      <c r="I22" s="182" t="str">
        <f>CONCATENATE('3 pr-2'!I22)</f>
        <v>R</v>
      </c>
      <c r="J22" s="182" t="str">
        <f>CONCATENATE('3 pr-2'!J22)</f>
        <v>-</v>
      </c>
      <c r="K22" s="1296">
        <f>IF(X22&gt;0,'3 pr-2'!L22,0)</f>
        <v>250000</v>
      </c>
      <c r="L22" s="1296">
        <f>IF(X22&gt;0,'3 pr-2'!O22,0)</f>
        <v>50000</v>
      </c>
      <c r="M22" s="1296">
        <f>IF(X22&gt;0,'3 pr-2'!R22,0)</f>
        <v>30000</v>
      </c>
      <c r="N22" s="1296">
        <f>IF(X22&gt;0,'3 pr-2'!U22,0)</f>
        <v>0</v>
      </c>
      <c r="O22" s="1296">
        <f>IF(X22&gt;0,'3 pr-2'!X22,0)</f>
        <v>0</v>
      </c>
      <c r="P22" s="1296">
        <f>IF(X22&gt;0,'3 pr-2'!AA22,0)</f>
        <v>170000</v>
      </c>
      <c r="Q22" s="1296">
        <f t="shared" si="6"/>
        <v>0</v>
      </c>
      <c r="R22" s="1296">
        <f t="shared" si="7"/>
        <v>0</v>
      </c>
      <c r="S22" s="1296">
        <f t="shared" si="8"/>
        <v>170000</v>
      </c>
      <c r="T22" s="1296">
        <f t="shared" si="9"/>
        <v>0</v>
      </c>
      <c r="U22" s="1296">
        <f t="shared" si="10"/>
        <v>0</v>
      </c>
      <c r="V22" s="1435">
        <f>IF(X22&gt;0,'3 pr-2'!$AB$10,0)</f>
        <v>0</v>
      </c>
      <c r="W22" s="1336">
        <f>SUM('3 pr-2'!AI22)</f>
        <v>43102</v>
      </c>
      <c r="X22" s="1336">
        <v>43340</v>
      </c>
      <c r="Y22" s="216"/>
      <c r="Z22" s="445">
        <f t="shared" si="11"/>
        <v>-7.8246575342465672</v>
      </c>
    </row>
    <row r="23" spans="1:28" ht="48.75" x14ac:dyDescent="0.25">
      <c r="A23" s="182" t="str">
        <f>CONCATENATE('3 pr-2'!A23)</f>
        <v>1.1.1.1.14</v>
      </c>
      <c r="B23" s="240" t="str">
        <f>CONCATENATE('3 pr-2'!B23)</f>
        <v>R01-ZM72-122900-1114</v>
      </c>
      <c r="C23" s="402" t="str">
        <f>CONCATENATE('ketv. 2'!B22)</f>
        <v>20KI-KA-17-1-01647-PR001</v>
      </c>
      <c r="D23" s="182" t="str">
        <f>CONCATENATE('3 pr-2'!D23)</f>
        <v>Varėnos r. Dargužių kaimo Liepų gatvės ir viešosios erdvės įrengimas</v>
      </c>
      <c r="E23" s="182" t="str">
        <f>CONCATENATE('3 pr-2'!E23)</f>
        <v xml:space="preserve">Varėnos rajono savivaldybės administracija </v>
      </c>
      <c r="F23" s="182" t="str">
        <f>CONCATENATE('3 pr-2'!F23)</f>
        <v>Lietuvos Respublikos žemės ūkio ministerija</v>
      </c>
      <c r="G23" s="182" t="str">
        <f>CONCATENATE('3 pr-2'!G23)</f>
        <v>Varėnos r. sav.</v>
      </c>
      <c r="H23" s="182" t="str">
        <f>CONCATENATE('3 pr-2'!H23)</f>
        <v xml:space="preserve">Pagrindinės paslaugos ir kaimų atnaujinimas kaimo vietovėse </v>
      </c>
      <c r="I23" s="182" t="str">
        <f>CONCATENATE('3 pr-2'!I23)</f>
        <v>R</v>
      </c>
      <c r="J23" s="182" t="str">
        <f>CONCATENATE('3 pr-2'!J23)</f>
        <v>-</v>
      </c>
      <c r="K23" s="1296">
        <f>IF(X23&gt;0,'3 pr-2'!L23,0)</f>
        <v>215626</v>
      </c>
      <c r="L23" s="1296">
        <f>IF(X23&gt;0,'3 pr-2'!O23,0)</f>
        <v>43125</v>
      </c>
      <c r="M23" s="1296">
        <f>IF(X23&gt;0,'3 pr-2'!R23,0)</f>
        <v>25875</v>
      </c>
      <c r="N23" s="1296">
        <f>IF(X23&gt;0,'3 pr-2'!U23,0)</f>
        <v>0</v>
      </c>
      <c r="O23" s="1296">
        <f>IF(X23&gt;0,'3 pr-2'!X23,0)</f>
        <v>0</v>
      </c>
      <c r="P23" s="1296">
        <f>IF(X23&gt;0,'3 pr-2'!AA23,0)</f>
        <v>146626</v>
      </c>
      <c r="Q23" s="1296">
        <f t="shared" si="6"/>
        <v>0</v>
      </c>
      <c r="R23" s="1296">
        <f t="shared" si="7"/>
        <v>0</v>
      </c>
      <c r="S23" s="1296">
        <f t="shared" si="8"/>
        <v>146626</v>
      </c>
      <c r="T23" s="1296">
        <f t="shared" si="9"/>
        <v>0</v>
      </c>
      <c r="U23" s="1296">
        <f t="shared" si="10"/>
        <v>0</v>
      </c>
      <c r="V23" s="1435">
        <f>IF(X23&gt;0,'3 pr-2'!$AB$10,0)</f>
        <v>0</v>
      </c>
      <c r="W23" s="1336">
        <f>SUM('3 pr-2'!AI23)</f>
        <v>43102</v>
      </c>
      <c r="X23" s="1336">
        <v>43281</v>
      </c>
      <c r="Y23" s="216"/>
      <c r="Z23" s="445">
        <f t="shared" si="11"/>
        <v>-5.8849315068493082</v>
      </c>
    </row>
    <row r="24" spans="1:28" ht="48.75" x14ac:dyDescent="0.25">
      <c r="A24" s="182" t="str">
        <f>CONCATENATE('3 pr-2'!A24)</f>
        <v>1.1.1.1.15</v>
      </c>
      <c r="B24" s="240" t="str">
        <f>CONCATENATE('3 pr-2'!B24)</f>
        <v>R01-ZM72-123200-1115</v>
      </c>
      <c r="C24" s="402" t="str">
        <f>CONCATENATE('ketv. 2'!B23)</f>
        <v>20KI-KA-17-1-02469-PR001</v>
      </c>
      <c r="D24" s="182" t="str">
        <f>CONCATENATE('3 pr-2'!D24)</f>
        <v>Alytaus rajono Vaisodžių kaimo sporto aikštės įrengimas ir gatvių apšvietimo atnaujinimas bei plėtra</v>
      </c>
      <c r="E24" s="182" t="str">
        <f>CONCATENATE('3 pr-2'!E24)</f>
        <v>Alytaus rajono savivaldybės administracija</v>
      </c>
      <c r="F24" s="182" t="str">
        <f>CONCATENATE('3 pr-2'!F24)</f>
        <v>Lietuvos Respublikos žemės ūkio ministerija</v>
      </c>
      <c r="G24" s="182" t="str">
        <f>CONCATENATE('3 pr-2'!G24)</f>
        <v>Alytaus r. sav.</v>
      </c>
      <c r="H24" s="182" t="str">
        <f>CONCATENATE('3 pr-2'!H24)</f>
        <v xml:space="preserve">Pagrindinės paslaugos ir kaimų atnaujinimas kaimo vietovėse </v>
      </c>
      <c r="I24" s="182" t="str">
        <f>CONCATENATE('3 pr-2'!I24)</f>
        <v>R</v>
      </c>
      <c r="J24" s="182" t="str">
        <f>CONCATENATE('3 pr-2'!J24)</f>
        <v>-</v>
      </c>
      <c r="K24" s="1296">
        <f>IF(X24&gt;0,'3 pr-2'!L24,0)</f>
        <v>0</v>
      </c>
      <c r="L24" s="1296">
        <f>IF(X24&gt;0,'3 pr-2'!O24,0)</f>
        <v>0</v>
      </c>
      <c r="M24" s="1296">
        <f>IF(X24&gt;0,'3 pr-2'!R24,0)</f>
        <v>0</v>
      </c>
      <c r="N24" s="1296">
        <f>IF(X24&gt;0,'3 pr-2'!U24,0)</f>
        <v>0</v>
      </c>
      <c r="O24" s="1296">
        <f>IF(X24&gt;0,'3 pr-2'!X24,0)</f>
        <v>0</v>
      </c>
      <c r="P24" s="1296">
        <f>IF(X24&gt;0,'3 pr-2'!AA24,0)</f>
        <v>0</v>
      </c>
      <c r="Q24" s="1296">
        <f t="shared" si="6"/>
        <v>0</v>
      </c>
      <c r="R24" s="1296">
        <f t="shared" si="7"/>
        <v>0</v>
      </c>
      <c r="S24" s="1296">
        <f t="shared" si="8"/>
        <v>0</v>
      </c>
      <c r="T24" s="1296">
        <f t="shared" si="9"/>
        <v>0</v>
      </c>
      <c r="U24" s="1296">
        <f t="shared" si="10"/>
        <v>0</v>
      </c>
      <c r="V24" s="1435">
        <f>IF(X24&gt;0,'3 pr-2'!$AB$10,0)</f>
        <v>0</v>
      </c>
      <c r="W24" s="1336">
        <f>SUM('3 pr-2'!AI24)</f>
        <v>43102</v>
      </c>
      <c r="X24" s="1336"/>
      <c r="Y24" s="216"/>
      <c r="Z24" s="445" t="str">
        <f t="shared" si="11"/>
        <v>–</v>
      </c>
    </row>
    <row r="25" spans="1:28" ht="48.75" x14ac:dyDescent="0.25">
      <c r="A25" s="182" t="str">
        <f>CONCATENATE('3 pr-2'!A25)</f>
        <v>1.1.1.1.16</v>
      </c>
      <c r="B25" s="240" t="str">
        <f>CONCATENATE('3 pr-2'!B25)</f>
        <v>R01-ZM72-123200-1116</v>
      </c>
      <c r="C25" s="402" t="str">
        <f>CONCATENATE('ketv. 2'!B24)</f>
        <v>20KI-KA-17-1-02240-PR001</v>
      </c>
      <c r="D25" s="182" t="str">
        <f>CONCATENATE('3 pr-2'!D25)</f>
        <v>Alytaus rajono Talokių kaimo sporto aikštės įrengimas ir Plytinės gatvės apšvietimas</v>
      </c>
      <c r="E25" s="182" t="str">
        <f>CONCATENATE('3 pr-2'!E25)</f>
        <v>Alytaus rajono savivaldybės administracija</v>
      </c>
      <c r="F25" s="182" t="str">
        <f>CONCATENATE('3 pr-2'!F25)</f>
        <v>Lietuvos Respublikos žemės ūkio ministerija</v>
      </c>
      <c r="G25" s="182" t="str">
        <f>CONCATENATE('3 pr-2'!G25)</f>
        <v>Alytaus r. sav.</v>
      </c>
      <c r="H25" s="182" t="str">
        <f>CONCATENATE('3 pr-2'!H25)</f>
        <v xml:space="preserve">Pagrindinės paslaugos ir kaimų atnaujinimas kaimo vietovėse </v>
      </c>
      <c r="I25" s="182" t="str">
        <f>CONCATENATE('3 pr-2'!I25)</f>
        <v>R</v>
      </c>
      <c r="J25" s="182" t="str">
        <f>CONCATENATE('3 pr-2'!J25)</f>
        <v>-</v>
      </c>
      <c r="K25" s="1296">
        <f>IF(X25&gt;0,'3 pr-2'!L25,0)</f>
        <v>139472</v>
      </c>
      <c r="L25" s="1296">
        <f>IF(X25&gt;0,'3 pr-2'!O25,0)</f>
        <v>27894</v>
      </c>
      <c r="M25" s="1296">
        <f>IF(X25&gt;0,'3 pr-2'!R25,0)</f>
        <v>16737</v>
      </c>
      <c r="N25" s="1296">
        <f>IF(X25&gt;0,'3 pr-2'!U25,0)</f>
        <v>0</v>
      </c>
      <c r="O25" s="1296">
        <f>IF(X25&gt;0,'3 pr-2'!X25,0)</f>
        <v>0</v>
      </c>
      <c r="P25" s="1296">
        <f>IF(X25&gt;0,'3 pr-2'!AA25,0)</f>
        <v>94841</v>
      </c>
      <c r="Q25" s="1296">
        <f t="shared" si="6"/>
        <v>0</v>
      </c>
      <c r="R25" s="1296">
        <f t="shared" si="7"/>
        <v>0</v>
      </c>
      <c r="S25" s="1296">
        <f t="shared" si="8"/>
        <v>94841</v>
      </c>
      <c r="T25" s="1296">
        <f t="shared" si="9"/>
        <v>0</v>
      </c>
      <c r="U25" s="1296">
        <f t="shared" si="10"/>
        <v>0</v>
      </c>
      <c r="V25" s="1435">
        <f>IF(X25&gt;0,'3 pr-2'!$AB$10,0)</f>
        <v>0</v>
      </c>
      <c r="W25" s="1336">
        <f>SUM('3 pr-2'!AI25)</f>
        <v>43102</v>
      </c>
      <c r="X25" s="1336">
        <v>43340</v>
      </c>
      <c r="Y25" s="216"/>
      <c r="Z25" s="445">
        <f t="shared" si="11"/>
        <v>-7.8246575342465672</v>
      </c>
    </row>
    <row r="26" spans="1:28" ht="48.75" x14ac:dyDescent="0.25">
      <c r="A26" s="182" t="str">
        <f>CONCATENATE('3 pr-2'!A26)</f>
        <v>1.1.1.1.17</v>
      </c>
      <c r="B26" s="240" t="str">
        <f>CONCATENATE('3 pr-2'!B26)</f>
        <v>R01-ZM72-120000-1117</v>
      </c>
      <c r="C26" s="402" t="str">
        <f>CONCATENATE('ketv. 2'!B25)</f>
        <v>20KI-KA-17-1-01639-PR001</v>
      </c>
      <c r="D26" s="182" t="str">
        <f>CONCATENATE('3 pr-2'!D26)</f>
        <v>Varėnos r. Rudnios kaimo Pušyno gatvės įrengimas</v>
      </c>
      <c r="E26" s="182" t="str">
        <f>CONCATENATE('3 pr-2'!E26)</f>
        <v xml:space="preserve">Varėnos rajono savivaldybės administracija </v>
      </c>
      <c r="F26" s="182" t="str">
        <f>CONCATENATE('3 pr-2'!F26)</f>
        <v>Lietuvos Respublikos žemės ūkio ministerija</v>
      </c>
      <c r="G26" s="182" t="str">
        <f>CONCATENATE('3 pr-2'!G26)</f>
        <v>Varėnos r. sav.</v>
      </c>
      <c r="H26" s="182" t="str">
        <f>CONCATENATE('3 pr-2'!H26)</f>
        <v xml:space="preserve">Pagrindinės paslaugos ir kaimų atnaujinimas kaimo vietovėse </v>
      </c>
      <c r="I26" s="182" t="str">
        <f>CONCATENATE('3 pr-2'!I26)</f>
        <v>R</v>
      </c>
      <c r="J26" s="182" t="str">
        <f>CONCATENATE('3 pr-2'!J26)</f>
        <v>-</v>
      </c>
      <c r="K26" s="1296">
        <f>IF(X26&gt;0,'3 pr-2'!L26,0)</f>
        <v>115824</v>
      </c>
      <c r="L26" s="1296">
        <f>IF(X26&gt;0,'3 pr-2'!O26,0)</f>
        <v>23165</v>
      </c>
      <c r="M26" s="1296">
        <f>IF(X26&gt;0,'3 pr-2'!R26,0)</f>
        <v>13899</v>
      </c>
      <c r="N26" s="1296">
        <f>IF(X26&gt;0,'3 pr-2'!U26,0)</f>
        <v>0</v>
      </c>
      <c r="O26" s="1296">
        <f>IF(X26&gt;0,'3 pr-2'!X26,0)</f>
        <v>0</v>
      </c>
      <c r="P26" s="1296">
        <f>IF(X26&gt;0,'3 pr-2'!AA26,0)</f>
        <v>78760</v>
      </c>
      <c r="Q26" s="1296">
        <f t="shared" si="6"/>
        <v>0</v>
      </c>
      <c r="R26" s="1296">
        <f t="shared" si="7"/>
        <v>0</v>
      </c>
      <c r="S26" s="1296">
        <f t="shared" si="8"/>
        <v>78760</v>
      </c>
      <c r="T26" s="1296">
        <f t="shared" si="9"/>
        <v>0</v>
      </c>
      <c r="U26" s="1296">
        <f t="shared" si="10"/>
        <v>0</v>
      </c>
      <c r="V26" s="1435">
        <f>IF(X26&gt;0,'3 pr-2'!$AB$10,0)</f>
        <v>0</v>
      </c>
      <c r="W26" s="1336">
        <f>SUM('3 pr-2'!AI26)</f>
        <v>43102</v>
      </c>
      <c r="X26" s="1336">
        <v>43189</v>
      </c>
      <c r="Y26" s="216"/>
      <c r="Z26" s="445">
        <f t="shared" si="11"/>
        <v>-2.8602739726027364</v>
      </c>
    </row>
    <row r="27" spans="1:28" ht="48.75" x14ac:dyDescent="0.25">
      <c r="A27" s="182" t="str">
        <f>CONCATENATE('3 pr-2'!A27)</f>
        <v>1.1.1.1.18</v>
      </c>
      <c r="B27" s="240" t="str">
        <f>CONCATENATE('3 pr-2'!B27)</f>
        <v>R01-ZM72-340000-1118</v>
      </c>
      <c r="C27" s="402" t="str">
        <f>CONCATENATE('ketv. 2'!B26)</f>
        <v>20KI-KA-17-1-01666-PR001</v>
      </c>
      <c r="D27" s="182" t="str">
        <f>CONCATENATE('3 pr-2'!D27)</f>
        <v>Varėnos kultūros centro Žilinų filialo pastato atnaujinimas ir pritaikymas bendruomenės poreikiams</v>
      </c>
      <c r="E27" s="182" t="str">
        <f>CONCATENATE('3 pr-2'!E27)</f>
        <v xml:space="preserve">Varėnos rajono savivaldybės administracija </v>
      </c>
      <c r="F27" s="182" t="str">
        <f>CONCATENATE('3 pr-2'!F27)</f>
        <v>Lietuvos Respublikos žemės ūkio ministerija</v>
      </c>
      <c r="G27" s="182" t="str">
        <f>CONCATENATE('3 pr-2'!G27)</f>
        <v>Varėnos r. sav.</v>
      </c>
      <c r="H27" s="182" t="str">
        <f>CONCATENATE('3 pr-2'!H27)</f>
        <v xml:space="preserve">Pagrindinės paslaugos ir kaimų atnaujinimas kaimo vietovėse </v>
      </c>
      <c r="I27" s="182" t="str">
        <f>CONCATENATE('3 pr-2'!I27)</f>
        <v>R</v>
      </c>
      <c r="J27" s="182" t="str">
        <f>CONCATENATE('3 pr-2'!J27)</f>
        <v>-</v>
      </c>
      <c r="K27" s="1296">
        <f>IF(X27&gt;0,'3 pr-2'!L27,0)</f>
        <v>250000</v>
      </c>
      <c r="L27" s="1296">
        <f>IF(X27&gt;0,'3 pr-2'!O27,0)</f>
        <v>50000</v>
      </c>
      <c r="M27" s="1296">
        <f>IF(X27&gt;0,'3 pr-2'!R27,0)</f>
        <v>30000</v>
      </c>
      <c r="N27" s="1296">
        <f>IF(X27&gt;0,'3 pr-2'!U27,0)</f>
        <v>0</v>
      </c>
      <c r="O27" s="1296">
        <f>IF(X27&gt;0,'3 pr-2'!X27,0)</f>
        <v>0</v>
      </c>
      <c r="P27" s="1296">
        <f>IF(X27&gt;0,'3 pr-2'!AA27,0)</f>
        <v>170000</v>
      </c>
      <c r="Q27" s="1296">
        <f t="shared" si="6"/>
        <v>0</v>
      </c>
      <c r="R27" s="1296">
        <f t="shared" si="7"/>
        <v>0</v>
      </c>
      <c r="S27" s="1296">
        <f t="shared" si="8"/>
        <v>170000</v>
      </c>
      <c r="T27" s="1296">
        <f t="shared" si="9"/>
        <v>0</v>
      </c>
      <c r="U27" s="1296">
        <f t="shared" si="10"/>
        <v>0</v>
      </c>
      <c r="V27" s="1435">
        <f>IF(X27&gt;0,'3 pr-2'!$AB$10,0)</f>
        <v>0</v>
      </c>
      <c r="W27" s="1336">
        <f>SUM('3 pr-2'!AI27)</f>
        <v>43102</v>
      </c>
      <c r="X27" s="1336">
        <v>43281</v>
      </c>
      <c r="Y27" s="216"/>
      <c r="Z27" s="445">
        <f t="shared" si="11"/>
        <v>-5.8849315068493082</v>
      </c>
    </row>
    <row r="28" spans="1:28" ht="48.75" x14ac:dyDescent="0.25">
      <c r="A28" s="182" t="str">
        <f>CONCATENATE('3 pr-2'!A28)</f>
        <v>1.1.1.1.19</v>
      </c>
      <c r="B28" s="240" t="str">
        <f>CONCATENATE('3 pr-2'!B28)</f>
        <v>R01-ZM72-120000-1119</v>
      </c>
      <c r="C28" s="402" t="str">
        <f>CONCATENATE('ketv. 2'!B27)</f>
        <v>20KI-KA-17-1-02648-PR001</v>
      </c>
      <c r="D28" s="182" t="str">
        <f>CONCATENATE('3 pr-2'!D28)</f>
        <v>Alytaus rajono Pivašiūnų kaimo šaligatvių, laiptų kapitalinis remontas ir gyvenvietės apšvietimo įrengimas</v>
      </c>
      <c r="E28" s="182" t="str">
        <f>CONCATENATE('3 pr-2'!E28)</f>
        <v>Alytaus rajono savivaldybės administracija</v>
      </c>
      <c r="F28" s="182" t="str">
        <f>CONCATENATE('3 pr-2'!F28)</f>
        <v>Lietuvos Respublikos žemės ūkio ministerija</v>
      </c>
      <c r="G28" s="182" t="str">
        <f>CONCATENATE('3 pr-2'!G28)</f>
        <v>Alytaus r. sav.</v>
      </c>
      <c r="H28" s="182" t="str">
        <f>CONCATENATE('3 pr-2'!H28)</f>
        <v xml:space="preserve">Pagrindinės paslaugos ir kaimų atnaujinimas kaimo vietovėse </v>
      </c>
      <c r="I28" s="182" t="str">
        <f>CONCATENATE('3 pr-2'!I28)</f>
        <v>R</v>
      </c>
      <c r="J28" s="182" t="str">
        <f>CONCATENATE('3 pr-2'!J28)</f>
        <v>-</v>
      </c>
      <c r="K28" s="1296">
        <f>IF(X28&gt;0,'3 pr-2'!L28,0)</f>
        <v>117986</v>
      </c>
      <c r="L28" s="1296">
        <f>IF(X28&gt;0,'3 pr-2'!O28,0)</f>
        <v>23597</v>
      </c>
      <c r="M28" s="1296">
        <f>IF(X28&gt;0,'3 pr-2'!R28,0)</f>
        <v>14158</v>
      </c>
      <c r="N28" s="1296">
        <f>IF(X28&gt;0,'3 pr-2'!U28,0)</f>
        <v>0</v>
      </c>
      <c r="O28" s="1296">
        <f>IF(X28&gt;0,'3 pr-2'!X28,0)</f>
        <v>0</v>
      </c>
      <c r="P28" s="1296">
        <f>IF(X28&gt;0,'3 pr-2'!AA28,0)</f>
        <v>80231</v>
      </c>
      <c r="Q28" s="1296">
        <f t="shared" si="6"/>
        <v>0</v>
      </c>
      <c r="R28" s="1296">
        <f t="shared" si="7"/>
        <v>0</v>
      </c>
      <c r="S28" s="1296">
        <f t="shared" si="8"/>
        <v>80231</v>
      </c>
      <c r="T28" s="1296">
        <f t="shared" si="9"/>
        <v>0</v>
      </c>
      <c r="U28" s="1296">
        <f t="shared" si="10"/>
        <v>0</v>
      </c>
      <c r="V28" s="1435">
        <f>IF(X28&gt;0,'3 pr-2'!$AB$10,0)</f>
        <v>0</v>
      </c>
      <c r="W28" s="1336">
        <f>SUM('3 pr-2'!AI28)</f>
        <v>43102</v>
      </c>
      <c r="X28" s="1336">
        <v>43388</v>
      </c>
      <c r="Y28" s="216"/>
      <c r="Z28" s="445">
        <f t="shared" si="11"/>
        <v>-9.4027397260273862</v>
      </c>
    </row>
    <row r="29" spans="1:28" ht="48.75" x14ac:dyDescent="0.25">
      <c r="A29" s="182" t="str">
        <f>CONCATENATE('3 pr-2'!A29)</f>
        <v>1.1.1.1.20</v>
      </c>
      <c r="B29" s="240" t="str">
        <f>CONCATENATE('3 pr-2'!B29)</f>
        <v>R01-ZM72-340000-1120</v>
      </c>
      <c r="C29" s="402" t="str">
        <f>CONCATENATE('ketv. 2'!B28)</f>
        <v>20KI-KA-17-1-01736-PR001</v>
      </c>
      <c r="D29" s="182" t="str">
        <f>CONCATENATE('3 pr-2'!D29)</f>
        <v>Pastato, esančio Pušelės g. 11, Naujųjų Valkininkų k., Varėnos r., atnaujinimas ir pritaikymas bendruomenės poreikiams</v>
      </c>
      <c r="E29" s="182" t="str">
        <f>CONCATENATE('3 pr-2'!E29)</f>
        <v xml:space="preserve">Varėnos rajono savivaldybės administracija </v>
      </c>
      <c r="F29" s="182" t="str">
        <f>CONCATENATE('3 pr-2'!F29)</f>
        <v>Lietuvos Respublikos žemės ūkio ministerija</v>
      </c>
      <c r="G29" s="182" t="str">
        <f>CONCATENATE('3 pr-2'!G29)</f>
        <v>Varėnos r. sav.</v>
      </c>
      <c r="H29" s="182" t="str">
        <f>CONCATENATE('3 pr-2'!H29)</f>
        <v xml:space="preserve">Pagrindinės paslaugos ir kaimų atnaujinimas kaimo vietovėse </v>
      </c>
      <c r="I29" s="182" t="str">
        <f>CONCATENATE('3 pr-2'!I29)</f>
        <v>R</v>
      </c>
      <c r="J29" s="182" t="str">
        <f>CONCATENATE('3 pr-2'!J29)</f>
        <v>-</v>
      </c>
      <c r="K29" s="1296">
        <f>IF(X29&gt;0,'3 pr-2'!L29,0)</f>
        <v>250000</v>
      </c>
      <c r="L29" s="1296">
        <f>IF(X29&gt;0,'3 pr-2'!O29,0)</f>
        <v>50000</v>
      </c>
      <c r="M29" s="1296">
        <f>IF(X29&gt;0,'3 pr-2'!R29,0)</f>
        <v>30000</v>
      </c>
      <c r="N29" s="1296">
        <f>IF(X29&gt;0,'3 pr-2'!U29,0)</f>
        <v>0</v>
      </c>
      <c r="O29" s="1296">
        <f>IF(X29&gt;0,'3 pr-2'!X29,0)</f>
        <v>0</v>
      </c>
      <c r="P29" s="1296">
        <f>IF(X29&gt;0,'3 pr-2'!AA29,0)</f>
        <v>170000</v>
      </c>
      <c r="Q29" s="1296">
        <f t="shared" si="6"/>
        <v>0</v>
      </c>
      <c r="R29" s="1296">
        <f t="shared" si="7"/>
        <v>0</v>
      </c>
      <c r="S29" s="1296">
        <f t="shared" si="8"/>
        <v>170000</v>
      </c>
      <c r="T29" s="1296">
        <f t="shared" si="9"/>
        <v>0</v>
      </c>
      <c r="U29" s="1296">
        <f t="shared" si="10"/>
        <v>0</v>
      </c>
      <c r="V29" s="1435">
        <f>IF(X29&gt;0,'3 pr-2'!$AB$10,0)</f>
        <v>0</v>
      </c>
      <c r="W29" s="1336">
        <f>SUM('3 pr-2'!AI29)</f>
        <v>43102</v>
      </c>
      <c r="X29" s="1336">
        <v>43281</v>
      </c>
      <c r="Y29" s="216"/>
      <c r="Z29" s="445">
        <f t="shared" si="11"/>
        <v>-5.8849315068493082</v>
      </c>
    </row>
    <row r="30" spans="1:28" ht="48.75" x14ac:dyDescent="0.25">
      <c r="A30" s="182" t="str">
        <f>CONCATENATE('3 pr-2'!A30)</f>
        <v>1.1.1.1.21</v>
      </c>
      <c r="B30" s="240" t="str">
        <f>CONCATENATE('3 pr-2'!B30)</f>
        <v>R01-ZM72-120000-1121</v>
      </c>
      <c r="C30" s="402" t="str">
        <f>CONCATENATE('ketv. 2'!B29)</f>
        <v>20KI-KA-17-1-02364-PR001</v>
      </c>
      <c r="D30" s="182" t="str">
        <f>CONCATENATE('3 pr-2'!D30)</f>
        <v>Kaimo gyvenamųjų vietovių Lazdijų rajono savivaldybėje patrauklumo gerinimas</v>
      </c>
      <c r="E30" s="182" t="str">
        <f>CONCATENATE('3 pr-2'!E30)</f>
        <v>Lazdijų rajono savivaldybės administracija</v>
      </c>
      <c r="F30" s="182" t="str">
        <f>CONCATENATE('3 pr-2'!F30)</f>
        <v>Lietuvos Respublikos žemės ūkio ministerija</v>
      </c>
      <c r="G30" s="182" t="str">
        <f>CONCATENATE('3 pr-2'!G30)</f>
        <v>Lazdijų r. sav.</v>
      </c>
      <c r="H30" s="182" t="str">
        <f>CONCATENATE('3 pr-2'!H30)</f>
        <v xml:space="preserve">Pagrindinės paslaugos ir kaimų atnaujinimas kaimo vietovėse </v>
      </c>
      <c r="I30" s="182" t="str">
        <f>CONCATENATE('3 pr-2'!I30)</f>
        <v>R</v>
      </c>
      <c r="J30" s="182" t="str">
        <f>CONCATENATE('3 pr-2'!J30)</f>
        <v>-</v>
      </c>
      <c r="K30" s="1296">
        <f>IF(X30&gt;0,'3 pr-2'!L30,0)</f>
        <v>170000</v>
      </c>
      <c r="L30" s="1296">
        <f>IF(X30&gt;0,'3 pr-2'!O30,0)</f>
        <v>34000</v>
      </c>
      <c r="M30" s="1296">
        <f>IF(X30&gt;0,'3 pr-2'!R30,0)</f>
        <v>20400</v>
      </c>
      <c r="N30" s="1296">
        <f>IF(X30&gt;0,'3 pr-2'!U30,0)</f>
        <v>0</v>
      </c>
      <c r="O30" s="1296">
        <f>IF(X30&gt;0,'3 pr-2'!X30,0)</f>
        <v>0</v>
      </c>
      <c r="P30" s="1296">
        <f>IF(X30&gt;0,'3 pr-2'!AA30,0)</f>
        <v>115600</v>
      </c>
      <c r="Q30" s="1296">
        <f t="shared" si="6"/>
        <v>0</v>
      </c>
      <c r="R30" s="1296">
        <f t="shared" si="7"/>
        <v>0</v>
      </c>
      <c r="S30" s="1296">
        <f t="shared" si="8"/>
        <v>115600</v>
      </c>
      <c r="T30" s="1296">
        <f t="shared" si="9"/>
        <v>0</v>
      </c>
      <c r="U30" s="1296">
        <f t="shared" si="10"/>
        <v>0</v>
      </c>
      <c r="V30" s="1435">
        <f>IF(X30&gt;0,'3 pr-2'!$AB$10,0)</f>
        <v>0</v>
      </c>
      <c r="W30" s="1336">
        <f>SUM('3 pr-2'!AI30)</f>
        <v>43102</v>
      </c>
      <c r="X30" s="1336">
        <v>43189</v>
      </c>
      <c r="Y30" s="216"/>
      <c r="Z30" s="445">
        <f t="shared" si="11"/>
        <v>-2.8602739726027364</v>
      </c>
    </row>
    <row r="31" spans="1:28" ht="48.75" x14ac:dyDescent="0.25">
      <c r="A31" s="182" t="str">
        <f>CONCATENATE('3 pr-2'!A31)</f>
        <v>1.1.1.1.22</v>
      </c>
      <c r="B31" s="240" t="str">
        <f>CONCATENATE('3 pr-2'!B31)</f>
        <v>R01-ZM72-120000-1122</v>
      </c>
      <c r="C31" s="402" t="str">
        <f>CONCATENATE('ketv. 2'!B30)</f>
        <v>20KI-KA-17-1-02241-PR001</v>
      </c>
      <c r="D31" s="182" t="str">
        <f>CONCATENATE('3 pr-2'!D31)</f>
        <v>Alytaus rajono Makniūnų kaimo šaligatvių atnaujinimas ir plėtra</v>
      </c>
      <c r="E31" s="182" t="str">
        <f>CONCATENATE('3 pr-2'!E31)</f>
        <v>Alytaus rajono savivaldybės administracija</v>
      </c>
      <c r="F31" s="182" t="str">
        <f>CONCATENATE('3 pr-2'!F31)</f>
        <v>Lietuvos Respublikos žemės ūkio ministerija</v>
      </c>
      <c r="G31" s="182" t="str">
        <f>CONCATENATE('3 pr-2'!G31)</f>
        <v>Alytaus r. sav.</v>
      </c>
      <c r="H31" s="182" t="str">
        <f>CONCATENATE('3 pr-2'!H31)</f>
        <v xml:space="preserve">Pagrindinės paslaugos ir kaimų atnaujinimas kaimo vietovėse </v>
      </c>
      <c r="I31" s="182" t="str">
        <f>CONCATENATE('3 pr-2'!I31)</f>
        <v>R</v>
      </c>
      <c r="J31" s="182" t="str">
        <f>CONCATENATE('3 pr-2'!J31)</f>
        <v>-</v>
      </c>
      <c r="K31" s="1296">
        <f>IF(X31&gt;0,'3 pr-2'!L31,0)</f>
        <v>0</v>
      </c>
      <c r="L31" s="1296">
        <f>IF(X31&gt;0,'3 pr-2'!O31,0)</f>
        <v>0</v>
      </c>
      <c r="M31" s="1296">
        <f>IF(X31&gt;0,'3 pr-2'!R31,0)</f>
        <v>0</v>
      </c>
      <c r="N31" s="1296">
        <f>IF(X31&gt;0,'3 pr-2'!U31,0)</f>
        <v>0</v>
      </c>
      <c r="O31" s="1296">
        <f>IF(X31&gt;0,'3 pr-2'!X31,0)</f>
        <v>0</v>
      </c>
      <c r="P31" s="1296">
        <f>IF(X31&gt;0,'3 pr-2'!AA31,0)</f>
        <v>0</v>
      </c>
      <c r="Q31" s="1296">
        <f t="shared" si="6"/>
        <v>0</v>
      </c>
      <c r="R31" s="1296">
        <f t="shared" si="7"/>
        <v>0</v>
      </c>
      <c r="S31" s="1296">
        <f t="shared" si="8"/>
        <v>0</v>
      </c>
      <c r="T31" s="1296">
        <f t="shared" si="9"/>
        <v>0</v>
      </c>
      <c r="U31" s="1296">
        <f t="shared" si="10"/>
        <v>0</v>
      </c>
      <c r="V31" s="1435">
        <f>IF(X31&gt;0,'3 pr-2'!$AB$10,0)</f>
        <v>0</v>
      </c>
      <c r="W31" s="1336">
        <f>SUM('3 pr-2'!AI31)</f>
        <v>43102</v>
      </c>
      <c r="X31" s="1336"/>
      <c r="Y31" s="216"/>
      <c r="Z31" s="445" t="str">
        <f t="shared" si="11"/>
        <v>–</v>
      </c>
      <c r="AB31" s="706"/>
    </row>
    <row r="32" spans="1:28" ht="49.5" thickBot="1" x14ac:dyDescent="0.3">
      <c r="A32" s="259" t="str">
        <f>CONCATENATE('3 pr-2'!A32)</f>
        <v>1.1.1.1.23</v>
      </c>
      <c r="B32" s="240" t="str">
        <f>CONCATENATE('3 pr-2'!B32)</f>
        <v>R01-ZM72-120000-1123</v>
      </c>
      <c r="C32" s="402" t="str">
        <f>CONCATENATE('ketv. 2'!B31)</f>
        <v/>
      </c>
      <c r="D32" s="259" t="str">
        <f>CONCATENATE('3 pr-2'!D32)</f>
        <v>Varėnos r. Vazgirdonių kaimo Klevų gatvės įrengimas</v>
      </c>
      <c r="E32" s="259" t="str">
        <f>CONCATENATE('3 pr-2'!E32)</f>
        <v xml:space="preserve">Varėnos rajono savivaldybės administracija </v>
      </c>
      <c r="F32" s="259" t="str">
        <f>CONCATENATE('3 pr-2'!F32)</f>
        <v>Lietuvos Respublikos žemės ūkio ministerija</v>
      </c>
      <c r="G32" s="259" t="str">
        <f>CONCATENATE('3 pr-2'!G32)</f>
        <v>Varėnos r. sav.</v>
      </c>
      <c r="H32" s="259" t="str">
        <f>CONCATENATE('3 pr-2'!H32)</f>
        <v xml:space="preserve">Pagrindinės paslaugos ir kaimų atnaujinimas kaimo vietovėse </v>
      </c>
      <c r="I32" s="259" t="str">
        <f>CONCATENATE('3 pr-2'!I32)</f>
        <v>R</v>
      </c>
      <c r="J32" s="259" t="str">
        <f>CONCATENATE('3 pr-2'!J32)</f>
        <v>-</v>
      </c>
      <c r="K32" s="1433">
        <f>IF(X32&gt;0,'3 pr-2'!L32,0)</f>
        <v>0</v>
      </c>
      <c r="L32" s="1433">
        <f>IF(X32&gt;0,'3 pr-2'!O32,0)</f>
        <v>0</v>
      </c>
      <c r="M32" s="1433">
        <f>IF(X32&gt;0,'3 pr-2'!R32,0)</f>
        <v>0</v>
      </c>
      <c r="N32" s="1433">
        <f>IF(X32&gt;0,'3 pr-2'!U32,0)</f>
        <v>0</v>
      </c>
      <c r="O32" s="1433">
        <f>IF(X32&gt;0,'3 pr-2'!X32,0)</f>
        <v>0</v>
      </c>
      <c r="P32" s="1433">
        <f>IF(X32&gt;0,'3 pr-2'!AA32,0)</f>
        <v>0</v>
      </c>
      <c r="Q32" s="1433">
        <f t="shared" si="6"/>
        <v>0</v>
      </c>
      <c r="R32" s="1433">
        <f t="shared" si="7"/>
        <v>0</v>
      </c>
      <c r="S32" s="1433">
        <f t="shared" si="8"/>
        <v>0</v>
      </c>
      <c r="T32" s="1433">
        <f t="shared" si="9"/>
        <v>0</v>
      </c>
      <c r="U32" s="1433">
        <f t="shared" si="10"/>
        <v>0</v>
      </c>
      <c r="V32" s="1435">
        <f>IF(X32&gt;0,'3 pr-2'!$AB$10,0)</f>
        <v>0</v>
      </c>
      <c r="W32" s="1349">
        <f>SUM('3 pr-2'!AI32)</f>
        <v>43102</v>
      </c>
      <c r="X32" s="1349"/>
      <c r="Y32" s="401"/>
      <c r="Z32" s="445" t="str">
        <f t="shared" si="11"/>
        <v>–</v>
      </c>
    </row>
    <row r="33" spans="1:27" ht="39" customHeight="1" thickBot="1" x14ac:dyDescent="0.3">
      <c r="A33" s="326" t="str">
        <f>CONCATENATE('3 pr-2'!A33)</f>
        <v>1.1.1.2</v>
      </c>
      <c r="B33" s="2025" t="str">
        <f>CONCATENATE('3 pr-2'!B33)</f>
        <v>Priemonė:
Kaimo gyvenamųjų vietovių (turinčių 1-6 tūkst. gyventojų) atnaujinimas ir plėtra</v>
      </c>
      <c r="C33" s="2026"/>
      <c r="D33" s="2026"/>
      <c r="E33" s="2026"/>
      <c r="F33" s="2026"/>
      <c r="G33" s="2026"/>
      <c r="H33" s="2026"/>
      <c r="I33" s="2026"/>
      <c r="J33" s="2027"/>
      <c r="K33" s="1293">
        <f>SUM(K34:K38)</f>
        <v>2673858.7999999998</v>
      </c>
      <c r="L33" s="1293">
        <f t="shared" ref="L33:P33" si="12">SUM(L34:L38)</f>
        <v>574103.41999999993</v>
      </c>
      <c r="M33" s="1293">
        <f t="shared" si="12"/>
        <v>170250.74</v>
      </c>
      <c r="N33" s="1293">
        <f t="shared" si="12"/>
        <v>0</v>
      </c>
      <c r="O33" s="1293">
        <f t="shared" si="12"/>
        <v>0</v>
      </c>
      <c r="P33" s="1293">
        <f t="shared" si="12"/>
        <v>1929504.6400000001</v>
      </c>
      <c r="Q33" s="1504">
        <f>SUM(Q34:Q38)</f>
        <v>0</v>
      </c>
      <c r="R33" s="1505">
        <f t="shared" ref="R33:V33" si="13">SUM(R34:R38)</f>
        <v>0</v>
      </c>
      <c r="S33" s="1504">
        <f t="shared" si="13"/>
        <v>1929504.6400000001</v>
      </c>
      <c r="T33" s="1505">
        <f t="shared" si="13"/>
        <v>0</v>
      </c>
      <c r="U33" s="1506">
        <f t="shared" si="13"/>
        <v>0</v>
      </c>
      <c r="V33" s="1293">
        <f t="shared" si="13"/>
        <v>0</v>
      </c>
      <c r="W33" s="1402" t="s">
        <v>690</v>
      </c>
      <c r="X33" s="1402" t="s">
        <v>690</v>
      </c>
      <c r="Y33" s="397" t="s">
        <v>690</v>
      </c>
      <c r="Z33" s="397"/>
    </row>
    <row r="34" spans="1:27" ht="48.75" x14ac:dyDescent="0.25">
      <c r="A34" s="240" t="str">
        <f>CONCATENATE('3 pr-2'!A34)</f>
        <v>1.1.1.2.1</v>
      </c>
      <c r="B34" s="240" t="str">
        <f>CONCATENATE('3 pr-2'!B34)</f>
        <v>R01-9908-293400-1121</v>
      </c>
      <c r="C34" s="402" t="str">
        <f>CONCATENATE('ketv. 2'!B33)</f>
        <v>08.2.1-CPVA-R-908-11-0002</v>
      </c>
      <c r="D34" s="240" t="str">
        <f>CONCATENATE('3 pr-2'!D34)</f>
        <v>Matuizų kaimo viešosios infrastruktūros atnaujinimas ir pritaikymas bendruomenės poreikiams</v>
      </c>
      <c r="E34" s="240" t="str">
        <f>CONCATENATE('3 pr-2'!E34)</f>
        <v>Varėnos rajono savivaldybės administracija</v>
      </c>
      <c r="F34" s="240" t="str">
        <f>CONCATENATE('3 pr-2'!F34)</f>
        <v>Lietuvos Respublikos vidaus reikalų ministerija</v>
      </c>
      <c r="G34" s="240" t="str">
        <f>CONCATENATE('3 pr-2'!G34)</f>
        <v>Varėnos r. sav.</v>
      </c>
      <c r="H34" s="240" t="str">
        <f>CONCATENATE('3 pr-2'!H34)</f>
        <v>8.2.1-CPVA-R-908</v>
      </c>
      <c r="I34" s="240" t="str">
        <f>CONCATENATE('3 pr-2'!I34)</f>
        <v>R</v>
      </c>
      <c r="J34" s="240" t="str">
        <f>CONCATENATE('3 pr-2'!J34)</f>
        <v>-</v>
      </c>
      <c r="K34" s="1435">
        <f>IF(X34&gt;0,'3 pr-2'!L34,0)</f>
        <v>815537.61</v>
      </c>
      <c r="L34" s="1435">
        <f>IF(X34&gt;0,'3 pr-2'!O34,0)</f>
        <v>285195.61</v>
      </c>
      <c r="M34" s="1435">
        <f>IF(X34&gt;0,'3 pr-2'!R34,0)</f>
        <v>43001</v>
      </c>
      <c r="N34" s="1435">
        <f>IF(X34&gt;0,'3 pr-2'!U34,0)</f>
        <v>0</v>
      </c>
      <c r="O34" s="1435">
        <f>IF(X34&gt;0,'3 pr-2'!X34,0)</f>
        <v>0</v>
      </c>
      <c r="P34" s="1435">
        <f>IF(X34&gt;0,'3 pr-2'!AA34,0)</f>
        <v>487341</v>
      </c>
      <c r="Q34" s="1435">
        <f>IF(YEAR(X34)=2016,P34,0)</f>
        <v>0</v>
      </c>
      <c r="R34" s="1435">
        <f>IF(YEAR(X34)=2017,P34,0)</f>
        <v>0</v>
      </c>
      <c r="S34" s="1435">
        <f>IF(YEAR(X34)=2018,P34,0)</f>
        <v>487341</v>
      </c>
      <c r="T34" s="1435">
        <f>IF(YEAR(X34)=2019,P34,0)</f>
        <v>0</v>
      </c>
      <c r="U34" s="1435">
        <f>IF(YEAR(X34)=2020,P34,0)</f>
        <v>0</v>
      </c>
      <c r="V34" s="1435">
        <f>IF(X34&gt;0,'3 pr-2'!$AB$10,0)</f>
        <v>0</v>
      </c>
      <c r="W34" s="1370">
        <f>SUM('3 pr-2'!AI34)</f>
        <v>43281</v>
      </c>
      <c r="X34" s="1370">
        <f>SUMIF('sutarčių ataskaita'!$J$19:$J$600,C34,'sutarčių ataskaita'!$L$19:$L$600)</f>
        <v>43279</v>
      </c>
      <c r="Y34" s="404"/>
      <c r="Z34" s="445" t="str">
        <f t="shared" ref="Z34:Z38" si="14">IF(W34-X34&lt;0,(W34-X34)/30.4166666666667,"–")</f>
        <v>–</v>
      </c>
    </row>
    <row r="35" spans="1:27" ht="48.75" x14ac:dyDescent="0.25">
      <c r="A35" s="182" t="str">
        <f>CONCATENATE('3 pr-2'!A35)</f>
        <v>1.1.1.2.2</v>
      </c>
      <c r="B35" s="240" t="str">
        <f>CONCATENATE('3 pr-2'!B35)</f>
        <v>R01-9908-290000-1122</v>
      </c>
      <c r="C35" s="402" t="str">
        <f>CONCATENATE('ketv. 2'!B34)</f>
        <v>08.2.1-CPVA-R-908-11-0001</v>
      </c>
      <c r="D35" s="182" t="str">
        <f>CONCATENATE('3 pr-2'!D35)</f>
        <v>Senosios Varėnos kaimo viešosios infrastruktūros atnaujinimas ir pritaikymas bendruomenės poreikiams</v>
      </c>
      <c r="E35" s="182" t="str">
        <f>CONCATENATE('3 pr-2'!E35)</f>
        <v>Varėnos rajono savivaldybės administracija</v>
      </c>
      <c r="F35" s="182" t="str">
        <f>CONCATENATE('3 pr-2'!F35)</f>
        <v>Lietuvos Respublikos vidaus reikalų ministerija</v>
      </c>
      <c r="G35" s="182" t="str">
        <f>CONCATENATE('3 pr-2'!G35)</f>
        <v>Varėnos r. sav.</v>
      </c>
      <c r="H35" s="182" t="str">
        <f>CONCATENATE('3 pr-2'!H35)</f>
        <v>8.2.1-CPVA-R-908</v>
      </c>
      <c r="I35" s="182" t="str">
        <f>CONCATENATE('3 pr-2'!I35)</f>
        <v>R</v>
      </c>
      <c r="J35" s="182" t="str">
        <f>CONCATENATE('3 pr-2'!J35)</f>
        <v>-</v>
      </c>
      <c r="K35" s="1296">
        <f>IF(X35&gt;0,'3 pr-2'!L35,0)</f>
        <v>605024.19999999995</v>
      </c>
      <c r="L35" s="1296">
        <f>IF(X35&gt;0,'3 pr-2'!O35,0)</f>
        <v>45376.82</v>
      </c>
      <c r="M35" s="1296">
        <f>IF(X35&gt;0,'3 pr-2'!R35,0)</f>
        <v>45376.81</v>
      </c>
      <c r="N35" s="1296">
        <f>IF(X35&gt;0,'3 pr-2'!U35,0)</f>
        <v>0</v>
      </c>
      <c r="O35" s="1296">
        <f>IF(X35&gt;0,'3 pr-2'!X35,0)</f>
        <v>0</v>
      </c>
      <c r="P35" s="1296">
        <f>IF(X35&gt;0,'3 pr-2'!AA35,0)</f>
        <v>514270.57</v>
      </c>
      <c r="Q35" s="1296">
        <f>IF(YEAR(X35)=2016,P35,0)</f>
        <v>0</v>
      </c>
      <c r="R35" s="1296">
        <f>IF(YEAR(X35)=2017,P35,0)</f>
        <v>0</v>
      </c>
      <c r="S35" s="1296">
        <f>IF(YEAR(X35)=2018,P35,0)</f>
        <v>514270.57</v>
      </c>
      <c r="T35" s="1296">
        <f>IF(YEAR(X35)=2019,P35,0)</f>
        <v>0</v>
      </c>
      <c r="U35" s="1296">
        <f>IF(YEAR(X35)=2020,P35,0)</f>
        <v>0</v>
      </c>
      <c r="V35" s="1435">
        <f>IF(X35&gt;0,'3 pr-2'!$AB$10,0)</f>
        <v>0</v>
      </c>
      <c r="W35" s="1336">
        <f>SUM('3 pr-2'!AI35)</f>
        <v>43131</v>
      </c>
      <c r="X35" s="1370">
        <f>SUMIF('sutarčių ataskaita'!$J$19:$J$600,C35,'sutarčių ataskaita'!$L$19:$L$600)</f>
        <v>43125</v>
      </c>
      <c r="Y35" s="216"/>
      <c r="Z35" s="445" t="str">
        <f t="shared" si="14"/>
        <v>–</v>
      </c>
    </row>
    <row r="36" spans="1:27" ht="48.75" x14ac:dyDescent="0.25">
      <c r="A36" s="182" t="str">
        <f>CONCATENATE('3 pr-2'!A36)</f>
        <v>1.1.1.2.3</v>
      </c>
      <c r="B36" s="240" t="str">
        <f>CONCATENATE('3 pr-2'!B36)</f>
        <v>R01-9908-290000-1123</v>
      </c>
      <c r="C36" s="402" t="str">
        <f>CONCATENATE('ketv. 2'!B35)</f>
        <v/>
      </c>
      <c r="D36" s="182" t="str">
        <f>CONCATENATE('3 pr-2'!D36)</f>
        <v>Kompleksinė Miklusėnų gyvenvietės plėtra</v>
      </c>
      <c r="E36" s="182" t="str">
        <f>CONCATENATE('3 pr-2'!E36)</f>
        <v>Alytaus rajono savivaldybės administracija</v>
      </c>
      <c r="F36" s="182" t="str">
        <f>CONCATENATE('3 pr-2'!F36)</f>
        <v>Lietuvos Respublikos vidaus reikalų ministerija</v>
      </c>
      <c r="G36" s="182" t="str">
        <f>CONCATENATE('3 pr-2'!G36)</f>
        <v>Alytaus r. sav.</v>
      </c>
      <c r="H36" s="182" t="str">
        <f>CONCATENATE('3 pr-2'!H36)</f>
        <v>8.2.1-CPVA-R-908</v>
      </c>
      <c r="I36" s="182" t="str">
        <f>CONCATENATE('3 pr-2'!I36)</f>
        <v>R</v>
      </c>
      <c r="J36" s="182" t="str">
        <f>CONCATENATE('3 pr-2'!J36)</f>
        <v>-</v>
      </c>
      <c r="K36" s="1296">
        <f>IF(X36&gt;0,'3 pr-2'!L36,0)</f>
        <v>0</v>
      </c>
      <c r="L36" s="1296">
        <f>IF(X36&gt;0,'3 pr-2'!O36,0)</f>
        <v>0</v>
      </c>
      <c r="M36" s="1296">
        <f>IF(X36&gt;0,'3 pr-2'!R36,0)</f>
        <v>0</v>
      </c>
      <c r="N36" s="1296">
        <f>IF(X36&gt;0,'3 pr-2'!U36,0)</f>
        <v>0</v>
      </c>
      <c r="O36" s="1296">
        <f>IF(X36&gt;0,'3 pr-2'!X36,0)</f>
        <v>0</v>
      </c>
      <c r="P36" s="1296">
        <f>IF(X36&gt;0,'3 pr-2'!AA36,0)</f>
        <v>0</v>
      </c>
      <c r="Q36" s="1296">
        <f>IF(YEAR(X36)=2016,P36,0)</f>
        <v>0</v>
      </c>
      <c r="R36" s="1296">
        <f>IF(YEAR(X36)=2017,P36,0)</f>
        <v>0</v>
      </c>
      <c r="S36" s="1296">
        <f>IF(YEAR(X36)=2018,P36,0)</f>
        <v>0</v>
      </c>
      <c r="T36" s="1296">
        <f>IF(YEAR(X36)=2019,P36,0)</f>
        <v>0</v>
      </c>
      <c r="U36" s="1296">
        <f>IF(YEAR(X36)=2020,P36,0)</f>
        <v>0</v>
      </c>
      <c r="V36" s="1435">
        <f>IF(X36&gt;0,'3 pr-2'!$AB$10,0)</f>
        <v>0</v>
      </c>
      <c r="W36" s="1336">
        <f>SUM('3 pr-2'!AI36)</f>
        <v>43646</v>
      </c>
      <c r="X36" s="1370"/>
      <c r="Y36" s="216"/>
      <c r="Z36" s="445" t="str">
        <f t="shared" si="14"/>
        <v>–</v>
      </c>
    </row>
    <row r="37" spans="1:27" ht="48.75" x14ac:dyDescent="0.25">
      <c r="A37" s="182" t="str">
        <f>CONCATENATE('3 pr-2'!A37)</f>
        <v>1.1.1.2.4</v>
      </c>
      <c r="B37" s="240" t="str">
        <f>CONCATENATE('3 pr-2'!B37)</f>
        <v>R01-9908-290000-1124</v>
      </c>
      <c r="C37" s="402" t="str">
        <f>CONCATENATE('ketv. 2'!B36)</f>
        <v>08.2.1-CPVA-R-908-11-0003</v>
      </c>
      <c r="D37" s="182" t="str">
        <f>CONCATENATE('3 pr-2'!D37)</f>
        <v>Leipalingio viešosios erdvės pritaikymas bendruomenės poreikiams</v>
      </c>
      <c r="E37" s="182" t="str">
        <f>CONCATENATE('3 pr-2'!E37)</f>
        <v xml:space="preserve">Druskininkų savivaldybės administracija  </v>
      </c>
      <c r="F37" s="182" t="str">
        <f>CONCATENATE('3 pr-2'!F37)</f>
        <v>Lietuvos Respublikos vidaus reikalų ministerija</v>
      </c>
      <c r="G37" s="182" t="str">
        <f>CONCATENATE('3 pr-2'!G37)</f>
        <v>Druskininkų sav.</v>
      </c>
      <c r="H37" s="182" t="str">
        <f>CONCATENATE('3 pr-2'!H37)</f>
        <v>8.2.1-CPVA-R-908</v>
      </c>
      <c r="I37" s="182" t="str">
        <f>CONCATENATE('3 pr-2'!I37)</f>
        <v>R</v>
      </c>
      <c r="J37" s="182" t="str">
        <f>CONCATENATE('3 pr-2'!J37)</f>
        <v>-</v>
      </c>
      <c r="K37" s="1296">
        <f>IF(X37&gt;0,'3 pr-2'!L37,0)</f>
        <v>579418.99</v>
      </c>
      <c r="L37" s="1296">
        <f>IF(X37&gt;0,'3 pr-2'!O37,0)</f>
        <v>192989.99</v>
      </c>
      <c r="M37" s="1296">
        <f>IF(X37&gt;0,'3 pr-2'!R37,0)</f>
        <v>31332.09</v>
      </c>
      <c r="N37" s="1296">
        <f>IF(X37&gt;0,'3 pr-2'!U37,0)</f>
        <v>0</v>
      </c>
      <c r="O37" s="1296">
        <f>IF(X37&gt;0,'3 pr-2'!X37,0)</f>
        <v>0</v>
      </c>
      <c r="P37" s="1296">
        <f>IF(X37&gt;0,'3 pr-2'!AA37,0)</f>
        <v>355096.91</v>
      </c>
      <c r="Q37" s="1296">
        <f>IF(YEAR(X37)=2016,P37,0)</f>
        <v>0</v>
      </c>
      <c r="R37" s="1296">
        <f>IF(YEAR(X37)=2017,P37,0)</f>
        <v>0</v>
      </c>
      <c r="S37" s="1296">
        <f>IF(YEAR(X37)=2018,P37,0)</f>
        <v>355096.91</v>
      </c>
      <c r="T37" s="1296">
        <f>IF(YEAR(X37)=2019,P37,0)</f>
        <v>0</v>
      </c>
      <c r="U37" s="1296">
        <f>IF(YEAR(X37)=2020,P37,0)</f>
        <v>0</v>
      </c>
      <c r="V37" s="1435">
        <f>IF(X37&gt;0,'3 pr-2'!$AB$10,0)</f>
        <v>0</v>
      </c>
      <c r="W37" s="1336">
        <f>SUM('3 pr-2'!AI37)</f>
        <v>43343</v>
      </c>
      <c r="X37" s="1370">
        <f>SUMIF('sutarčių ataskaita'!$J$19:$J$600,C37,'sutarčių ataskaita'!$L$19:$L$600)</f>
        <v>43328</v>
      </c>
      <c r="Y37" s="216"/>
      <c r="Z37" s="445" t="str">
        <f t="shared" si="14"/>
        <v>–</v>
      </c>
    </row>
    <row r="38" spans="1:27" ht="49.5" thickBot="1" x14ac:dyDescent="0.3">
      <c r="A38" s="259" t="str">
        <f>CONCATENATE('3 pr-2'!A38)</f>
        <v>1.1.1.2.5</v>
      </c>
      <c r="B38" s="240" t="str">
        <f>CONCATENATE('3 pr-2'!B38)</f>
        <v>R01-9908-290000-1125</v>
      </c>
      <c r="C38" s="402" t="str">
        <f>CONCATENATE('ketv. 2'!B37)</f>
        <v>08.2.1-CPVA-R-908-11-0004</v>
      </c>
      <c r="D38" s="259" t="str">
        <f>CONCATENATE('3 pr-2'!D38)</f>
        <v>Viečiūnų viešosios erdvės pritaikymas bendruomenės poreikiams</v>
      </c>
      <c r="E38" s="259" t="str">
        <f>CONCATENATE('3 pr-2'!E38)</f>
        <v xml:space="preserve">Druskininkų savivaldybės administracija  </v>
      </c>
      <c r="F38" s="259" t="str">
        <f>CONCATENATE('3 pr-2'!F38)</f>
        <v>Lietuvos Respublikos vidaus reikalų ministerija</v>
      </c>
      <c r="G38" s="259" t="str">
        <f>CONCATENATE('3 pr-2'!G38)</f>
        <v>Druskininkų sav.</v>
      </c>
      <c r="H38" s="259" t="str">
        <f>CONCATENATE('3 pr-2'!H38)</f>
        <v>8.2.1-CPVA-R-908</v>
      </c>
      <c r="I38" s="259" t="str">
        <f>CONCATENATE('3 pr-2'!I38)</f>
        <v>R</v>
      </c>
      <c r="J38" s="259" t="str">
        <f>CONCATENATE('3 pr-2'!J38)</f>
        <v>-</v>
      </c>
      <c r="K38" s="1433">
        <f>IF(X38&gt;0,'3 pr-2'!L38,0)</f>
        <v>673878</v>
      </c>
      <c r="L38" s="1433">
        <f>IF(X38&gt;0,'3 pr-2'!O38,0)</f>
        <v>50541</v>
      </c>
      <c r="M38" s="1433">
        <f>IF(X38&gt;0,'3 pr-2'!R38,0)</f>
        <v>50540.84</v>
      </c>
      <c r="N38" s="1433">
        <f>IF(X38&gt;0,'3 pr-2'!U38,0)</f>
        <v>0</v>
      </c>
      <c r="O38" s="1433">
        <f>IF(X38&gt;0,'3 pr-2'!X38,0)</f>
        <v>0</v>
      </c>
      <c r="P38" s="1433">
        <f>IF(X38&gt;0,'3 pr-2'!AA38,0)</f>
        <v>572796.16000000003</v>
      </c>
      <c r="Q38" s="1433">
        <f>IF(YEAR(X38)=2016,P38,0)</f>
        <v>0</v>
      </c>
      <c r="R38" s="1433">
        <f>IF(YEAR(X38)=2017,P38,0)</f>
        <v>0</v>
      </c>
      <c r="S38" s="1433">
        <f>IF(YEAR(X38)=2018,P38,0)</f>
        <v>572796.16000000003</v>
      </c>
      <c r="T38" s="1433">
        <f>IF(YEAR(X38)=2019,P38,0)</f>
        <v>0</v>
      </c>
      <c r="U38" s="1433">
        <f>IF(YEAR(X38)=2020,P38,0)</f>
        <v>0</v>
      </c>
      <c r="V38" s="1435">
        <f>IF(X38&gt;0,'3 pr-2'!$AB$10,0)</f>
        <v>0</v>
      </c>
      <c r="W38" s="1349">
        <f>SUM('3 pr-2'!AI38)</f>
        <v>43312</v>
      </c>
      <c r="X38" s="1370">
        <f>SUMIF('sutarčių ataskaita'!$J$19:$J$600,C38,'sutarčių ataskaita'!$L$19:$L$600)</f>
        <v>43333</v>
      </c>
      <c r="Y38" s="401"/>
      <c r="Z38" s="445">
        <f t="shared" si="14"/>
        <v>-0.69041095890410886</v>
      </c>
      <c r="AA38" s="1772"/>
    </row>
    <row r="39" spans="1:27" ht="30.75" customHeight="1" thickBot="1" x14ac:dyDescent="0.3">
      <c r="A39" s="326" t="str">
        <f>CONCATENATE('3 pr-2'!A39)</f>
        <v>1.1.1.3</v>
      </c>
      <c r="B39" s="2025" t="str">
        <f>CONCATENATE('3 pr-2'!B39)</f>
        <v>Priemonė:
Varėnos miesto kompleksinė plėtra</v>
      </c>
      <c r="C39" s="2026"/>
      <c r="D39" s="2026"/>
      <c r="E39" s="2026"/>
      <c r="F39" s="2026"/>
      <c r="G39" s="2026"/>
      <c r="H39" s="2026"/>
      <c r="I39" s="2026"/>
      <c r="J39" s="2027"/>
      <c r="K39" s="1293">
        <f>SUM(K40:K45)</f>
        <v>3908178.91</v>
      </c>
      <c r="L39" s="1293">
        <f t="shared" ref="L39:P39" si="15">SUM(L40:L45)</f>
        <v>263316.61</v>
      </c>
      <c r="M39" s="1293">
        <f t="shared" si="15"/>
        <v>330377.41000000003</v>
      </c>
      <c r="N39" s="1293">
        <f t="shared" si="15"/>
        <v>0</v>
      </c>
      <c r="O39" s="1293">
        <f t="shared" si="15"/>
        <v>0</v>
      </c>
      <c r="P39" s="1293">
        <f t="shared" si="15"/>
        <v>3314484.8899999997</v>
      </c>
      <c r="Q39" s="1504">
        <f>SUM(Q40:Q44)</f>
        <v>1289392.2</v>
      </c>
      <c r="R39" s="1505">
        <f t="shared" ref="R39:U39" si="16">SUM(R40:R44)</f>
        <v>845933.69</v>
      </c>
      <c r="S39" s="1504">
        <f t="shared" si="16"/>
        <v>1179159</v>
      </c>
      <c r="T39" s="1505">
        <f t="shared" si="16"/>
        <v>0</v>
      </c>
      <c r="U39" s="1506">
        <f t="shared" si="16"/>
        <v>0</v>
      </c>
      <c r="V39" s="1293">
        <f t="shared" ref="V39" si="17">SUM(V40:V45)</f>
        <v>0</v>
      </c>
      <c r="W39" s="1402" t="s">
        <v>690</v>
      </c>
      <c r="X39" s="1402" t="s">
        <v>690</v>
      </c>
      <c r="Y39" s="397" t="s">
        <v>690</v>
      </c>
      <c r="Z39" s="397"/>
    </row>
    <row r="40" spans="1:27" ht="48.75" x14ac:dyDescent="0.25">
      <c r="A40" s="240" t="str">
        <f>CONCATENATE('3 pr-2'!A40)</f>
        <v>1.1.1.3.1</v>
      </c>
      <c r="B40" s="240" t="str">
        <f>CONCATENATE('3 pr-2'!B40)</f>
        <v>R01-9905-290000-1131</v>
      </c>
      <c r="C40" s="402" t="str">
        <f>CONCATENATE('ketv. 2'!B39)</f>
        <v>07.1.1-CPVA-R-905-11-0001</v>
      </c>
      <c r="D40" s="240" t="str">
        <f>CONCATENATE('3 pr-2'!D40)</f>
        <v>Varėnos miesto centrinės dalies modernizavimas ir pritaikymas visuomenės poreikiams (I etapas)</v>
      </c>
      <c r="E40" s="240" t="str">
        <f>CONCATENATE('3 pr-2'!E40)</f>
        <v>Varėnos rajono savivaldybės administracija</v>
      </c>
      <c r="F40" s="240" t="str">
        <f>CONCATENATE('3 pr-2'!F40)</f>
        <v>Lietuvos Respublikos vidaus reikalų ministerija</v>
      </c>
      <c r="G40" s="240" t="str">
        <f>CONCATENATE('3 pr-2'!G40)</f>
        <v>Varėnos r. sav.</v>
      </c>
      <c r="H40" s="240" t="str">
        <f>CONCATENATE('3 pr-2'!H40)</f>
        <v xml:space="preserve">07.1.1-CPVA-R-905 </v>
      </c>
      <c r="I40" s="240" t="str">
        <f>CONCATENATE('3 pr-2'!I40)</f>
        <v>R</v>
      </c>
      <c r="J40" s="240" t="str">
        <f>CONCATENATE('3 pr-2'!J40)</f>
        <v>ITI</v>
      </c>
      <c r="K40" s="1435">
        <f>IF(X40&gt;0,'3 pr-2'!L40,0)</f>
        <v>1516932.01</v>
      </c>
      <c r="L40" s="1435">
        <f>IF(X40&gt;0,'3 pr-2'!O40,0)</f>
        <v>75846.61</v>
      </c>
      <c r="M40" s="1435">
        <f>IF(X40&gt;0,'3 pr-2'!R40,0)</f>
        <v>151693.20000000001</v>
      </c>
      <c r="N40" s="1435">
        <f>IF(X40&gt;0,'3 pr-2'!U40,0)</f>
        <v>0</v>
      </c>
      <c r="O40" s="1435">
        <f>IF(X40&gt;0,'3 pr-2'!X40,0)</f>
        <v>0</v>
      </c>
      <c r="P40" s="1435">
        <f>IF(X40&gt;0,'3 pr-2'!AA40,0)</f>
        <v>1289392.2</v>
      </c>
      <c r="Q40" s="1435">
        <f t="shared" ref="Q40:Q45" si="18">IF(YEAR(X40)=2016,P40,0)</f>
        <v>1289392.2</v>
      </c>
      <c r="R40" s="1435">
        <f t="shared" ref="R40:R45" si="19">IF(YEAR(X40)=2017,P40,0)</f>
        <v>0</v>
      </c>
      <c r="S40" s="1435">
        <f t="shared" ref="S40:S45" si="20">IF(YEAR(X40)=2018,P40,0)</f>
        <v>0</v>
      </c>
      <c r="T40" s="1435">
        <f t="shared" ref="T40:T45" si="21">IF(YEAR(X40)=2019,P40,0)</f>
        <v>0</v>
      </c>
      <c r="U40" s="1435">
        <f t="shared" ref="U40:U45" si="22">IF(YEAR(X40)=2020,P40,0)</f>
        <v>0</v>
      </c>
      <c r="V40" s="1435">
        <f>IF(X40&gt;0,'3 pr-2'!$AB$10,0)</f>
        <v>0</v>
      </c>
      <c r="W40" s="1370">
        <f>SUM('3 pr-2'!AI40)</f>
        <v>42735</v>
      </c>
      <c r="X40" s="1370">
        <f>SUMIF('sutarčių ataskaita'!$J$19:$J$600,C40,'sutarčių ataskaita'!$L$19:$L$600)</f>
        <v>42733</v>
      </c>
      <c r="Y40" s="404">
        <f t="shared" ref="Y40:Y41" si="23">IF((YEAR(W40)-YEAR(X40))=0,0,YEAR(W40)-YEAR(X40))</f>
        <v>0</v>
      </c>
      <c r="Z40" s="445" t="str">
        <f t="shared" ref="Z40:Z45" si="24">IF(W40-X40&lt;0,(W40-X40)/30.4166666666667,"–")</f>
        <v>–</v>
      </c>
      <c r="AA40" s="1174"/>
    </row>
    <row r="41" spans="1:27" ht="48.75" x14ac:dyDescent="0.25">
      <c r="A41" s="182" t="str">
        <f>CONCATENATE('3 pr-2'!A41)</f>
        <v>1.1.1.3.2</v>
      </c>
      <c r="B41" s="240" t="str">
        <f>CONCATENATE('3 pr-2'!B41)</f>
        <v>R01-9905-282900-1132</v>
      </c>
      <c r="C41" s="309" t="str">
        <f>CONCATENATE('ketv. 2'!B40)</f>
        <v>07.1.1-CPVA-R-905-11-0002</v>
      </c>
      <c r="D41" s="182" t="str">
        <f>CONCATENATE('3 pr-2'!D41)</f>
        <v>Varėnos miesto centrinės dalies modernizavimas ir pritaikymas visuomenės poreikiams (II etapas)</v>
      </c>
      <c r="E41" s="182" t="str">
        <f>CONCATENATE('3 pr-2'!E41)</f>
        <v>Varėnos rajono savivaldybės administracija</v>
      </c>
      <c r="F41" s="182" t="str">
        <f>CONCATENATE('3 pr-2'!F41)</f>
        <v>Lietuvos Respublikos vidaus reikalų ministerija</v>
      </c>
      <c r="G41" s="182" t="str">
        <f>CONCATENATE('3 pr-2'!G41)</f>
        <v>Varėnos r. sav.</v>
      </c>
      <c r="H41" s="182" t="str">
        <f>CONCATENATE('3 pr-2'!H41)</f>
        <v xml:space="preserve">07.1.1-CPVA-R-905 </v>
      </c>
      <c r="I41" s="182" t="str">
        <f>CONCATENATE('3 pr-2'!I41)</f>
        <v>R</v>
      </c>
      <c r="J41" s="182" t="str">
        <f>CONCATENATE('3 pr-2'!J41)</f>
        <v>ITI</v>
      </c>
      <c r="K41" s="1296">
        <f>IF(X41&gt;0,'3 pr-2'!L41,0)</f>
        <v>1004000.8999999999</v>
      </c>
      <c r="L41" s="1296">
        <f>IF(X41&gt;0,'3 pr-2'!O41,0)</f>
        <v>83426</v>
      </c>
      <c r="M41" s="1296">
        <f>IF(X41&gt;0,'3 pr-2'!R41,0)</f>
        <v>74641.210000000006</v>
      </c>
      <c r="N41" s="1296">
        <f>IF(X41&gt;0,'3 pr-2'!U41,0)</f>
        <v>0</v>
      </c>
      <c r="O41" s="1296">
        <f>IF(X41&gt;0,'3 pr-2'!X41,0)</f>
        <v>0</v>
      </c>
      <c r="P41" s="1296">
        <f>IF(X41&gt;0,'3 pr-2'!AA41,0)</f>
        <v>845933.69</v>
      </c>
      <c r="Q41" s="1296">
        <f t="shared" si="18"/>
        <v>0</v>
      </c>
      <c r="R41" s="1296">
        <f t="shared" si="19"/>
        <v>845933.69</v>
      </c>
      <c r="S41" s="1296">
        <f t="shared" si="20"/>
        <v>0</v>
      </c>
      <c r="T41" s="1296">
        <f t="shared" si="21"/>
        <v>0</v>
      </c>
      <c r="U41" s="1296">
        <f t="shared" si="22"/>
        <v>0</v>
      </c>
      <c r="V41" s="1435">
        <f>IF(X41&gt;0,'3 pr-2'!$AB$10,0)</f>
        <v>0</v>
      </c>
      <c r="W41" s="1336">
        <f>SUM('3 pr-2'!AI41)</f>
        <v>42978</v>
      </c>
      <c r="X41" s="1370">
        <f>SUMIF('sutarčių ataskaita'!$J$19:$J$600,C41,'sutarčių ataskaita'!$L$19:$L$600)</f>
        <v>42984</v>
      </c>
      <c r="Y41" s="216">
        <f t="shared" si="23"/>
        <v>0</v>
      </c>
      <c r="Z41" s="445">
        <f t="shared" si="24"/>
        <v>-0.19726027397260251</v>
      </c>
    </row>
    <row r="42" spans="1:27" ht="48.75" x14ac:dyDescent="0.25">
      <c r="A42" s="182" t="str">
        <f>CONCATENATE('3 pr-2'!A42)</f>
        <v>1.1.1.3.3</v>
      </c>
      <c r="B42" s="240" t="str">
        <f>CONCATENATE('3 pr-2'!B42)</f>
        <v>R01-9905-292800-1133</v>
      </c>
      <c r="C42" s="309" t="str">
        <f>CONCATENATE('ketv. 2'!B41)</f>
        <v>07.1.1-CPVA-R-905-11-0004</v>
      </c>
      <c r="D42" s="182" t="str">
        <f>CONCATENATE('3 pr-2'!D42)</f>
        <v xml:space="preserve">Varėnos miesto Dainų slėnio infrastruktūros atnaujinimas ir pritaikymas visuomenės poreikiams </v>
      </c>
      <c r="E42" s="182" t="str">
        <f>CONCATENATE('3 pr-2'!E42)</f>
        <v>Varėnos rajono savivaldybės administracija</v>
      </c>
      <c r="F42" s="182" t="str">
        <f>CONCATENATE('3 pr-2'!F42)</f>
        <v>Lietuvos Respublikos vidaus reikalų ministerija</v>
      </c>
      <c r="G42" s="182" t="str">
        <f>CONCATENATE('3 pr-2'!G42)</f>
        <v>Varėnos r. sav.</v>
      </c>
      <c r="H42" s="182" t="str">
        <f>CONCATENATE('3 pr-2'!H42)</f>
        <v xml:space="preserve">07.1.1-CPVA-R-905 </v>
      </c>
      <c r="I42" s="182" t="str">
        <f>CONCATENATE('3 pr-2'!I42)</f>
        <v>R</v>
      </c>
      <c r="J42" s="182" t="str">
        <f>CONCATENATE('3 pr-2'!J42)</f>
        <v>ITI</v>
      </c>
      <c r="K42" s="1296">
        <f>IF(X42&gt;0,'3 pr-2'!L42,0)</f>
        <v>630000</v>
      </c>
      <c r="L42" s="1296">
        <f>IF(X42&gt;0,'3 pr-2'!O42,0)</f>
        <v>47250</v>
      </c>
      <c r="M42" s="1296">
        <f>IF(X42&gt;0,'3 pr-2'!R42,0)</f>
        <v>47250</v>
      </c>
      <c r="N42" s="1296">
        <f>IF(X42&gt;0,'3 pr-2'!U42,0)</f>
        <v>0</v>
      </c>
      <c r="O42" s="1296">
        <f>IF(X42&gt;0,'3 pr-2'!X42,0)</f>
        <v>0</v>
      </c>
      <c r="P42" s="1296">
        <f>IF(X42&gt;0,'3 pr-2'!AA42,0)</f>
        <v>535500</v>
      </c>
      <c r="Q42" s="1296">
        <f t="shared" si="18"/>
        <v>0</v>
      </c>
      <c r="R42" s="1296">
        <f t="shared" si="19"/>
        <v>0</v>
      </c>
      <c r="S42" s="1296">
        <f t="shared" si="20"/>
        <v>535500</v>
      </c>
      <c r="T42" s="1296">
        <f t="shared" si="21"/>
        <v>0</v>
      </c>
      <c r="U42" s="1296">
        <f t="shared" si="22"/>
        <v>0</v>
      </c>
      <c r="V42" s="1435">
        <f>IF(X42&gt;0,'3 pr-2'!$AB$10,0)</f>
        <v>0</v>
      </c>
      <c r="W42" s="1336">
        <f>SUM('3 pr-2'!AI42)</f>
        <v>43343</v>
      </c>
      <c r="X42" s="1370">
        <f>SUMIF('sutarčių ataskaita'!$J$19:$J$600,C42,'sutarčių ataskaita'!$L$19:$L$600)</f>
        <v>43321</v>
      </c>
      <c r="Y42" s="216"/>
      <c r="Z42" s="445" t="str">
        <f t="shared" si="24"/>
        <v>–</v>
      </c>
    </row>
    <row r="43" spans="1:27" ht="48.75" x14ac:dyDescent="0.25">
      <c r="A43" s="182" t="str">
        <f>CONCATENATE('3 pr-2'!A43)</f>
        <v>1.1.1.3.4</v>
      </c>
      <c r="B43" s="240" t="str">
        <f>CONCATENATE('3 pr-2'!B43)</f>
        <v>R01-9905-280000-1134</v>
      </c>
      <c r="C43" s="309" t="str">
        <f>CONCATENATE('ketv. 2'!B42)</f>
        <v>07.1.1-CPVA-R-905-11-0003</v>
      </c>
      <c r="D43" s="182" t="str">
        <f>CONCATENATE('3 pr-2'!D43)</f>
        <v>Karloniškės ežero ir jo prieigų sutvarkymas ir pritaikymas aktyviam poilsiui</v>
      </c>
      <c r="E43" s="182" t="str">
        <f>CONCATENATE('3 pr-2'!E43)</f>
        <v>Varėnos rajono savivaldybės administracija</v>
      </c>
      <c r="F43" s="182" t="str">
        <f>CONCATENATE('3 pr-2'!F43)</f>
        <v>Lietuvos Respublikos vidaus reikalų ministerija</v>
      </c>
      <c r="G43" s="182" t="str">
        <f>CONCATENATE('3 pr-2'!G43)</f>
        <v>Varėnos r. sav.</v>
      </c>
      <c r="H43" s="182" t="str">
        <f>CONCATENATE('3 pr-2'!H43)</f>
        <v xml:space="preserve">07.1.1-CPVA-R-905 </v>
      </c>
      <c r="I43" s="182" t="str">
        <f>CONCATENATE('3 pr-2'!I43)</f>
        <v>R</v>
      </c>
      <c r="J43" s="182" t="str">
        <f>CONCATENATE('3 pr-2'!J43)</f>
        <v>ITI</v>
      </c>
      <c r="K43" s="1296">
        <f>IF(X43&gt;0,'3 pr-2'!L43,0)</f>
        <v>757246</v>
      </c>
      <c r="L43" s="1296">
        <f>IF(X43&gt;0,'3 pr-2'!O43,0)</f>
        <v>56794</v>
      </c>
      <c r="M43" s="1296">
        <f>IF(X43&gt;0,'3 pr-2'!R43,0)</f>
        <v>56793</v>
      </c>
      <c r="N43" s="1296">
        <f>IF(X43&gt;0,'3 pr-2'!U43,0)</f>
        <v>0</v>
      </c>
      <c r="O43" s="1296">
        <f>IF(X43&gt;0,'3 pr-2'!X43,0)</f>
        <v>0</v>
      </c>
      <c r="P43" s="1296">
        <f>IF(X43&gt;0,'3 pr-2'!AA43,0)</f>
        <v>643659</v>
      </c>
      <c r="Q43" s="1296">
        <f t="shared" si="18"/>
        <v>0</v>
      </c>
      <c r="R43" s="1296">
        <f t="shared" si="19"/>
        <v>0</v>
      </c>
      <c r="S43" s="1296">
        <f t="shared" si="20"/>
        <v>643659</v>
      </c>
      <c r="T43" s="1296">
        <f t="shared" si="21"/>
        <v>0</v>
      </c>
      <c r="U43" s="1296">
        <f t="shared" si="22"/>
        <v>0</v>
      </c>
      <c r="V43" s="1435">
        <f>IF(X43&gt;0,'3 pr-2'!$AB$10,0)</f>
        <v>0</v>
      </c>
      <c r="W43" s="1336">
        <f>SUM('3 pr-2'!AI43)</f>
        <v>43100</v>
      </c>
      <c r="X43" s="1370">
        <f>SUMIF('sutarčių ataskaita'!$J$19:$J$600,C43,'sutarčių ataskaita'!$L$19:$L$600)</f>
        <v>43105</v>
      </c>
      <c r="Y43" s="216"/>
      <c r="Z43" s="445">
        <f t="shared" si="24"/>
        <v>-0.16438356164383544</v>
      </c>
    </row>
    <row r="44" spans="1:27" ht="48.75" x14ac:dyDescent="0.25">
      <c r="A44" s="182" t="str">
        <f>CONCATENATE('3 pr-2'!A44)</f>
        <v>1.1.1.3.5</v>
      </c>
      <c r="B44" s="240" t="str">
        <f>CONCATENATE('3 pr-2'!B44)</f>
        <v>R01-9905-362900-1135</v>
      </c>
      <c r="C44" s="309" t="str">
        <f>CONCATENATE('ketv. 2'!B43)</f>
        <v>07.1.1-CPVA-R-905-11-0005</v>
      </c>
      <c r="D44" s="182" t="str">
        <f>CONCATENATE('3 pr-2'!D44)</f>
        <v xml:space="preserve">Nenaudojamų teritorijų Varėnos mieste sutvarkymas ir pritaikymas verslui </v>
      </c>
      <c r="E44" s="182" t="str">
        <f>CONCATENATE('3 pr-2'!E44)</f>
        <v>Varėnos rajono savivaldybės administracija</v>
      </c>
      <c r="F44" s="182" t="str">
        <f>CONCATENATE('3 pr-2'!F44)</f>
        <v>Lietuvos Respublikos vidaus reikalų ministerija</v>
      </c>
      <c r="G44" s="182" t="str">
        <f>CONCATENATE('3 pr-2'!G44)</f>
        <v>Varėnos r. sav.</v>
      </c>
      <c r="H44" s="182" t="str">
        <f>CONCATENATE('3 pr-2'!H44)</f>
        <v xml:space="preserve">07.1.1-CPVA-R-905 </v>
      </c>
      <c r="I44" s="182" t="str">
        <f>CONCATENATE('3 pr-2'!I44)</f>
        <v>R</v>
      </c>
      <c r="J44" s="182" t="str">
        <f>CONCATENATE('3 pr-2'!J44)</f>
        <v>ITI</v>
      </c>
      <c r="K44" s="1296">
        <f>IF(X44&gt;0,'3 pr-2'!L44,0)</f>
        <v>0</v>
      </c>
      <c r="L44" s="1296">
        <f>IF(X44&gt;0,'3 pr-2'!O44,0)</f>
        <v>0</v>
      </c>
      <c r="M44" s="1296">
        <f>IF(X44&gt;0,'3 pr-2'!R44,0)</f>
        <v>0</v>
      </c>
      <c r="N44" s="1296">
        <f>IF(X44&gt;0,'3 pr-2'!U44,0)</f>
        <v>0</v>
      </c>
      <c r="O44" s="1296">
        <f>IF(X44&gt;0,'3 pr-2'!X44,0)</f>
        <v>0</v>
      </c>
      <c r="P44" s="1296">
        <f>IF(X44&gt;0,'3 pr-2'!AA44,0)</f>
        <v>0</v>
      </c>
      <c r="Q44" s="1296">
        <f t="shared" si="18"/>
        <v>0</v>
      </c>
      <c r="R44" s="1296">
        <f t="shared" si="19"/>
        <v>0</v>
      </c>
      <c r="S44" s="1296">
        <f t="shared" si="20"/>
        <v>0</v>
      </c>
      <c r="T44" s="1296">
        <f t="shared" si="21"/>
        <v>0</v>
      </c>
      <c r="U44" s="1296">
        <f t="shared" si="22"/>
        <v>0</v>
      </c>
      <c r="V44" s="1435">
        <f>IF(X44&gt;0,'3 pr-2'!$AB$10,0)</f>
        <v>0</v>
      </c>
      <c r="W44" s="1336">
        <f>SUM('3 pr-2'!AI44)</f>
        <v>43464</v>
      </c>
      <c r="X44" s="1370"/>
      <c r="Y44" s="216"/>
      <c r="Z44" s="445" t="str">
        <f t="shared" si="24"/>
        <v>–</v>
      </c>
    </row>
    <row r="45" spans="1:27" ht="49.5" thickBot="1" x14ac:dyDescent="0.3">
      <c r="A45" s="259" t="str">
        <f>CONCATENATE('3 pr-2'!A45)</f>
        <v>1.1.1.3.6</v>
      </c>
      <c r="B45" s="240" t="str">
        <f>CONCATENATE('3 pr-2'!B45)</f>
        <v>R01-9905-290000-1136</v>
      </c>
      <c r="C45" s="400" t="str">
        <f>CONCATENATE('ketv. 2'!B44)</f>
        <v>07.1.1-CPVA-R-905-11-0006</v>
      </c>
      <c r="D45" s="259" t="str">
        <f>CONCATENATE('3 pr-2'!D45)</f>
        <v xml:space="preserve">Teritorijų prie daugiabučių gyvenamųjų pastatų Varėnos mieste sutvarkymas ir pritaikymas visuomenės poreikiams  </v>
      </c>
      <c r="E45" s="259" t="str">
        <f>CONCATENATE('3 pr-2'!E45)</f>
        <v>Varėnos rajono savivaldybės administracija</v>
      </c>
      <c r="F45" s="259" t="str">
        <f>CONCATENATE('3 pr-2'!F45)</f>
        <v>Lietuvos Respublikos vidaus reikalų ministerija</v>
      </c>
      <c r="G45" s="259" t="str">
        <f>CONCATENATE('3 pr-2'!G45)</f>
        <v>Varėnos r. sav.</v>
      </c>
      <c r="H45" s="259" t="str">
        <f>CONCATENATE('3 pr-2'!H45)</f>
        <v xml:space="preserve">07.1.1-CPVA-R-905 </v>
      </c>
      <c r="I45" s="259" t="str">
        <f>CONCATENATE('3 pr-2'!I45)</f>
        <v>R</v>
      </c>
      <c r="J45" s="259" t="str">
        <f>CONCATENATE('3 pr-2'!J45)</f>
        <v>ITI</v>
      </c>
      <c r="K45" s="1433">
        <f>IF(X45&gt;0,'3 pr-2'!L45,0)</f>
        <v>0</v>
      </c>
      <c r="L45" s="1433">
        <f>IF(X45&gt;0,'3 pr-2'!O45,0)</f>
        <v>0</v>
      </c>
      <c r="M45" s="1433">
        <f>IF(X45&gt;0,'3 pr-2'!R45,0)</f>
        <v>0</v>
      </c>
      <c r="N45" s="1433">
        <f>IF(X45&gt;0,'3 pr-2'!U45,0)</f>
        <v>0</v>
      </c>
      <c r="O45" s="1433">
        <f>IF(X45&gt;0,'3 pr-2'!X45,0)</f>
        <v>0</v>
      </c>
      <c r="P45" s="1433">
        <f>IF(X45&gt;0,'3 pr-2'!AA45,0)</f>
        <v>0</v>
      </c>
      <c r="Q45" s="1433">
        <f t="shared" si="18"/>
        <v>0</v>
      </c>
      <c r="R45" s="1433">
        <f t="shared" si="19"/>
        <v>0</v>
      </c>
      <c r="S45" s="1433">
        <f t="shared" si="20"/>
        <v>0</v>
      </c>
      <c r="T45" s="1433">
        <f t="shared" si="21"/>
        <v>0</v>
      </c>
      <c r="U45" s="1433">
        <f t="shared" si="22"/>
        <v>0</v>
      </c>
      <c r="V45" s="1435">
        <f>IF(X45&gt;0,'3 pr-2'!$AB$10,0)</f>
        <v>0</v>
      </c>
      <c r="W45" s="1349">
        <f>SUM('3 pr-2'!AI45)</f>
        <v>43464</v>
      </c>
      <c r="X45" s="1370"/>
      <c r="Y45" s="401"/>
      <c r="Z45" s="445" t="str">
        <f t="shared" si="24"/>
        <v>–</v>
      </c>
    </row>
    <row r="46" spans="1:27" ht="39.75" customHeight="1" thickBot="1" x14ac:dyDescent="0.3">
      <c r="A46" s="326" t="str">
        <f>CONCATENATE('3 pr-2'!A46)</f>
        <v>1.1.1.4</v>
      </c>
      <c r="B46" s="2025" t="str">
        <f>CONCATENATE('3 pr-2'!B46)</f>
        <v xml:space="preserve">Priemonė:
Alytaus, Druskininkų ir Lazdijų miestų kompleksinė plėtra
</v>
      </c>
      <c r="C46" s="2026"/>
      <c r="D46" s="2026"/>
      <c r="E46" s="2026"/>
      <c r="F46" s="2026"/>
      <c r="G46" s="2026"/>
      <c r="H46" s="2026"/>
      <c r="I46" s="2026"/>
      <c r="J46" s="2027"/>
      <c r="K46" s="1293">
        <f>SUM(K47:K49)</f>
        <v>2112023.5699999998</v>
      </c>
      <c r="L46" s="1293">
        <f t="shared" ref="L46:P46" si="25">SUM(L47:L49)</f>
        <v>289057.98</v>
      </c>
      <c r="M46" s="1293">
        <f t="shared" si="25"/>
        <v>147808.01999999999</v>
      </c>
      <c r="N46" s="1293">
        <f t="shared" si="25"/>
        <v>0</v>
      </c>
      <c r="O46" s="1293">
        <f t="shared" si="25"/>
        <v>0</v>
      </c>
      <c r="P46" s="1293">
        <f t="shared" si="25"/>
        <v>1675157.5699999998</v>
      </c>
      <c r="Q46" s="1504">
        <f>SUM(Q47:Q49)</f>
        <v>575484.89</v>
      </c>
      <c r="R46" s="1505">
        <f t="shared" ref="R46:V46" si="26">SUM(R47:R49)</f>
        <v>1099672.68</v>
      </c>
      <c r="S46" s="1504">
        <f t="shared" si="26"/>
        <v>0</v>
      </c>
      <c r="T46" s="1505">
        <f t="shared" si="26"/>
        <v>0</v>
      </c>
      <c r="U46" s="1506">
        <f t="shared" si="26"/>
        <v>0</v>
      </c>
      <c r="V46" s="1293">
        <f t="shared" si="26"/>
        <v>0</v>
      </c>
      <c r="W46" s="1402" t="s">
        <v>690</v>
      </c>
      <c r="X46" s="1402" t="s">
        <v>690</v>
      </c>
      <c r="Y46" s="397" t="s">
        <v>690</v>
      </c>
      <c r="Z46" s="397"/>
    </row>
    <row r="47" spans="1:27" ht="48.75" x14ac:dyDescent="0.25">
      <c r="A47" s="418" t="str">
        <f>CONCATENATE('3 pr-2'!A47)</f>
        <v>1.1.1.4.1</v>
      </c>
      <c r="B47" s="240" t="str">
        <f>CONCATENATE('3 pr-2'!B47)</f>
        <v>R01-9902-310000-1141</v>
      </c>
      <c r="C47" s="402" t="str">
        <f>CONCATENATE('ketv. 2'!B46)</f>
        <v>07.1.1-CPVA-V-902-01-0008</v>
      </c>
      <c r="D47" s="418" t="str">
        <f>CONCATENATE('3 pr-2'!D47)</f>
        <v>Buvusios pramoninės teritorijos Pramonės g. 1 Alytuje, pritaikymas verslo vystymui ir plėtrai.</v>
      </c>
      <c r="E47" s="418" t="str">
        <f>CONCATENATE('3 pr-2'!E47)</f>
        <v>Alytaus miesto savivaldybės administracija</v>
      </c>
      <c r="F47" s="418" t="str">
        <f>CONCATENATE('3 pr-2'!F47)</f>
        <v>Lietuvos Respublikos vidaus reikalų ministerija</v>
      </c>
      <c r="G47" s="418" t="str">
        <f>CONCATENATE('3 pr-2'!G47)</f>
        <v>Alytaus m. sav.</v>
      </c>
      <c r="H47" s="418" t="str">
        <f>CONCATENATE('3 pr-2'!H47)</f>
        <v>07.1.1-CPVA-V-902</v>
      </c>
      <c r="I47" s="418" t="str">
        <f>CONCATENATE('3 pr-2'!I47)</f>
        <v>V</v>
      </c>
      <c r="J47" s="418" t="str">
        <f>CONCATENATE('3 pr-2'!J47)</f>
        <v>ITI</v>
      </c>
      <c r="K47" s="1435">
        <f>IF(X47&gt;0,'3 pr-2'!L47,0)</f>
        <v>1293732.5699999998</v>
      </c>
      <c r="L47" s="1435">
        <f>IF(X47&gt;0,'3 pr-2'!O47,0)</f>
        <v>97029.95</v>
      </c>
      <c r="M47" s="1435">
        <f>IF(X47&gt;0,'3 pr-2'!R47,0)</f>
        <v>97029.94</v>
      </c>
      <c r="N47" s="1435">
        <f>IF(X47&gt;0,'3 pr-2'!U47,0)</f>
        <v>0</v>
      </c>
      <c r="O47" s="1435">
        <f>IF(X47&gt;0,'3 pr-2'!X47,0)</f>
        <v>0</v>
      </c>
      <c r="P47" s="1435">
        <f>IF(X47&gt;0,'3 pr-2'!AA47,0)</f>
        <v>1099672.68</v>
      </c>
      <c r="Q47" s="1507">
        <f>IF(YEAR(X47)=2016,P47,0)</f>
        <v>0</v>
      </c>
      <c r="R47" s="1507">
        <f>IF(YEAR(X47)=2017,P47,0)</f>
        <v>1099672.68</v>
      </c>
      <c r="S47" s="1507">
        <f>IF(YEAR(X47)=2018,P47,0)</f>
        <v>0</v>
      </c>
      <c r="T47" s="1507">
        <f>IF(YEAR(X47)=2019,P47,0)</f>
        <v>0</v>
      </c>
      <c r="U47" s="1507">
        <f>IF(YEAR(X47)=2020,P47,0)</f>
        <v>0</v>
      </c>
      <c r="V47" s="1435">
        <f>IF(X47&gt;0,'3 pr-2'!$AB$10,0)</f>
        <v>0</v>
      </c>
      <c r="W47" s="1403">
        <f>SUM('3 pr-2'!AI47)</f>
        <v>42735</v>
      </c>
      <c r="X47" s="1405">
        <v>42795</v>
      </c>
      <c r="Y47" s="419">
        <f t="shared" ref="Y47:Y49" si="27">IF((YEAR(W47)-YEAR(X47))=0,0,YEAR(W47)-YEAR(X47))</f>
        <v>-1</v>
      </c>
      <c r="Z47" s="1180">
        <f t="shared" ref="Z47:Z49" si="28">IF(W47-X47&lt;0,(W47-X47)/30.4166666666667,"–")</f>
        <v>-1.9726027397260253</v>
      </c>
    </row>
    <row r="48" spans="1:27" ht="48.75" x14ac:dyDescent="0.25">
      <c r="A48" s="417" t="str">
        <f>CONCATENATE('3 pr-2'!A48)</f>
        <v>1.1.1.4.2</v>
      </c>
      <c r="B48" s="240" t="str">
        <f>CONCATENATE('3 pr-2'!B48)</f>
        <v>R01-9903-290000-1142</v>
      </c>
      <c r="C48" s="309" t="str">
        <f>CONCATENATE('ketv. 2'!B47)</f>
        <v>07.1.1-CPVA-R-903-11-0001</v>
      </c>
      <c r="D48" s="417" t="str">
        <f>CONCATENATE('3 pr-2'!D48)</f>
        <v>Amatų centro „Menų kalvė“ Druskininkuose įkūrimas</v>
      </c>
      <c r="E48" s="417" t="str">
        <f>CONCATENATE('3 pr-2'!E48)</f>
        <v xml:space="preserve">Druskininkų savivaldybės administracija  </v>
      </c>
      <c r="F48" s="417" t="str">
        <f>CONCATENATE('3 pr-2'!F48)</f>
        <v>Lietuvos Respublikos vidaus reikalų ministerija</v>
      </c>
      <c r="G48" s="417" t="str">
        <f>CONCATENATE('3 pr-2'!G48)</f>
        <v>Druskininkų sav.</v>
      </c>
      <c r="H48" s="417" t="str">
        <f>CONCATENATE('3 pr-2'!H48)</f>
        <v>07.1.1-CPVA-R-903</v>
      </c>
      <c r="I48" s="417" t="str">
        <f>CONCATENATE('3 pr-2'!I48)</f>
        <v>R</v>
      </c>
      <c r="J48" s="417" t="str">
        <f>CONCATENATE('3 pr-2'!J48)</f>
        <v>ITI</v>
      </c>
      <c r="K48" s="1296">
        <f>IF(X48&gt;0,'3 pr-2'!L48,0)</f>
        <v>474784</v>
      </c>
      <c r="L48" s="1296">
        <f>IF(X48&gt;0,'3 pr-2'!O48,0)</f>
        <v>166265</v>
      </c>
      <c r="M48" s="1296">
        <f>IF(X48&gt;0,'3 pr-2'!R48,0)</f>
        <v>25015.06</v>
      </c>
      <c r="N48" s="1296">
        <f>IF(X48&gt;0,'3 pr-2'!U48,0)</f>
        <v>0</v>
      </c>
      <c r="O48" s="1296">
        <f>IF(X48&gt;0,'3 pr-2'!X48,0)</f>
        <v>0</v>
      </c>
      <c r="P48" s="1296">
        <f>IF(X48&gt;0,'3 pr-2'!AA48,0)</f>
        <v>283503.94</v>
      </c>
      <c r="Q48" s="1488">
        <f>IF(YEAR(X48)=2016,P48,0)</f>
        <v>283503.94</v>
      </c>
      <c r="R48" s="1488">
        <f>IF(YEAR(X48)=2017,P48,0)</f>
        <v>0</v>
      </c>
      <c r="S48" s="1488">
        <f>IF(YEAR(X48)=2018,P48,0)</f>
        <v>0</v>
      </c>
      <c r="T48" s="1488">
        <f>IF(YEAR(X48)=2019,P48,0)</f>
        <v>0</v>
      </c>
      <c r="U48" s="1488">
        <f>IF(YEAR(X48)=2020,P48,0)</f>
        <v>0</v>
      </c>
      <c r="V48" s="1435">
        <f>IF(X48&gt;0,'3 pr-2'!$AB$10,0)</f>
        <v>0</v>
      </c>
      <c r="W48" s="1343">
        <f>SUM('3 pr-2'!AI48)</f>
        <v>42675</v>
      </c>
      <c r="X48" s="1370">
        <f>SUMIF('sutarčių ataskaita'!$J$19:$J$600,C48,'sutarčių ataskaita'!$L$19:$L$600)</f>
        <v>42699</v>
      </c>
      <c r="Y48" s="416">
        <f t="shared" si="27"/>
        <v>0</v>
      </c>
      <c r="Z48" s="1180">
        <f t="shared" si="28"/>
        <v>-0.78904109589041005</v>
      </c>
    </row>
    <row r="49" spans="1:26" ht="49.5" thickBot="1" x14ac:dyDescent="0.3">
      <c r="A49" s="436" t="str">
        <f>CONCATENATE('3 pr-2'!A49)</f>
        <v>1.1.1.4.3</v>
      </c>
      <c r="B49" s="240" t="str">
        <f>CONCATENATE('3 pr-2'!B49)</f>
        <v>R01-9903-290000-1143</v>
      </c>
      <c r="C49" s="400" t="str">
        <f>CONCATENATE('ketv. 2'!B48)</f>
        <v>07.1.1-CPVA-R-903-11-0002</v>
      </c>
      <c r="D49" s="436" t="str">
        <f>CONCATENATE('3 pr-2'!D49)</f>
        <v>Lazdijų miesto kompleksinė infrastruktūros plėtra, III etapas</v>
      </c>
      <c r="E49" s="436" t="str">
        <f>CONCATENATE('3 pr-2'!E49)</f>
        <v>Lazdijų rajono savivaldybės administracija</v>
      </c>
      <c r="F49" s="436" t="str">
        <f>CONCATENATE('3 pr-2'!F49)</f>
        <v>Lietuvos Respublikos vidaus reikalų ministerija</v>
      </c>
      <c r="G49" s="436" t="str">
        <f>CONCATENATE('3 pr-2'!G49)</f>
        <v>Lazdijų r. sav.</v>
      </c>
      <c r="H49" s="436" t="str">
        <f>CONCATENATE('3 pr-2'!H49)</f>
        <v>07.1.1-CPVA-R-903</v>
      </c>
      <c r="I49" s="436" t="str">
        <f>CONCATENATE('3 pr-2'!I49)</f>
        <v>R</v>
      </c>
      <c r="J49" s="436" t="str">
        <f>CONCATENATE('3 pr-2'!J49)</f>
        <v>ITI</v>
      </c>
      <c r="K49" s="1433">
        <f>IF(X49&gt;0,'3 pr-2'!L49,0)</f>
        <v>343507</v>
      </c>
      <c r="L49" s="1433">
        <f>IF(X49&gt;0,'3 pr-2'!O49,0)</f>
        <v>25763.03</v>
      </c>
      <c r="M49" s="1433">
        <f>IF(X49&gt;0,'3 pr-2'!R49,0)</f>
        <v>25763.02</v>
      </c>
      <c r="N49" s="1433">
        <f>IF(X49&gt;0,'3 pr-2'!U49,0)</f>
        <v>0</v>
      </c>
      <c r="O49" s="1433">
        <f>IF(X49&gt;0,'3 pr-2'!X49,0)</f>
        <v>0</v>
      </c>
      <c r="P49" s="1433">
        <f>IF(X49&gt;0,'3 pr-2'!AA49,0)</f>
        <v>291980.95</v>
      </c>
      <c r="Q49" s="1508">
        <f>IF(YEAR(X49)=2016,P49,0)</f>
        <v>291980.95</v>
      </c>
      <c r="R49" s="1508">
        <f>IF(YEAR(X49)=2017,P49,0)</f>
        <v>0</v>
      </c>
      <c r="S49" s="1508">
        <f>IF(YEAR(X49)=2018,P49,0)</f>
        <v>0</v>
      </c>
      <c r="T49" s="1508">
        <f>IF(YEAR(X49)=2019,P49,0)</f>
        <v>0</v>
      </c>
      <c r="U49" s="1508">
        <f>IF(YEAR(X49)=2020,P49,0)</f>
        <v>0</v>
      </c>
      <c r="V49" s="1435">
        <f>IF(X49&gt;0,'3 pr-2'!$AB$10,0)</f>
        <v>0</v>
      </c>
      <c r="W49" s="1404">
        <f>SUM('3 pr-2'!AI49)</f>
        <v>42674</v>
      </c>
      <c r="X49" s="1370">
        <f>SUMIF('sutarčių ataskaita'!$J$19:$J$600,C49,'sutarčių ataskaita'!$L$19:$L$600)</f>
        <v>42709</v>
      </c>
      <c r="Y49" s="435">
        <f t="shared" si="27"/>
        <v>0</v>
      </c>
      <c r="Z49" s="1180">
        <f t="shared" si="28"/>
        <v>-1.1506849315068481</v>
      </c>
    </row>
    <row r="50" spans="1:26" ht="33.75" customHeight="1" thickBot="1" x14ac:dyDescent="0.3">
      <c r="A50" s="326" t="str">
        <f>CONCATENATE('3 pr-2'!A50)</f>
        <v>1.1.1.5</v>
      </c>
      <c r="B50" s="2025" t="str">
        <f>CONCATENATE('3 pr-2'!B50)</f>
        <v xml:space="preserve">Priemonė:
Geriamojo vandens tiekimo ir nuotekų tvarkymo sistemų renovavimas ir plėtra, įmonių valdymo tobulinimas </v>
      </c>
      <c r="C50" s="2026"/>
      <c r="D50" s="2026"/>
      <c r="E50" s="2026"/>
      <c r="F50" s="2026"/>
      <c r="G50" s="2026"/>
      <c r="H50" s="2026"/>
      <c r="I50" s="2026"/>
      <c r="J50" s="2027"/>
      <c r="K50" s="1293">
        <f>SUM(K51:K55)</f>
        <v>16378428.970000001</v>
      </c>
      <c r="L50" s="1293">
        <f t="shared" ref="L50:P50" si="29">SUM(L51:L55)</f>
        <v>0</v>
      </c>
      <c r="M50" s="1293">
        <f t="shared" si="29"/>
        <v>0</v>
      </c>
      <c r="N50" s="1293">
        <f t="shared" si="29"/>
        <v>7458036.4000000004</v>
      </c>
      <c r="O50" s="1293">
        <f t="shared" si="29"/>
        <v>0</v>
      </c>
      <c r="P50" s="1293">
        <f t="shared" si="29"/>
        <v>8920392.5700000003</v>
      </c>
      <c r="Q50" s="1504">
        <f>SUM(Q51:Q55)</f>
        <v>2696984.31</v>
      </c>
      <c r="R50" s="1505">
        <f t="shared" ref="R50:V50" si="30">SUM(R51:R55)</f>
        <v>5302933.26</v>
      </c>
      <c r="S50" s="1504">
        <f t="shared" si="30"/>
        <v>920475</v>
      </c>
      <c r="T50" s="1505">
        <f t="shared" si="30"/>
        <v>0</v>
      </c>
      <c r="U50" s="1506">
        <f t="shared" si="30"/>
        <v>0</v>
      </c>
      <c r="V50" s="1293">
        <f t="shared" si="30"/>
        <v>0</v>
      </c>
      <c r="W50" s="1402"/>
      <c r="X50" s="1402"/>
      <c r="Y50" s="397"/>
      <c r="Z50" s="397"/>
    </row>
    <row r="51" spans="1:26" ht="48.75" x14ac:dyDescent="0.25">
      <c r="A51" s="437" t="str">
        <f>CONCATENATE('3 pr-2'!A51)</f>
        <v>1.1.1.5.1</v>
      </c>
      <c r="B51" s="240" t="str">
        <f>CONCATENATE('3 pr-2'!B51)</f>
        <v>R01-0014-060700-1151</v>
      </c>
      <c r="C51" s="438" t="str">
        <f>CONCATENATE('ketv. 2'!B50)</f>
        <v>05.3.2-APVA-R-014-11-0001</v>
      </c>
      <c r="D51" s="437" t="str">
        <f>CONCATENATE('3 pr-2'!D51)</f>
        <v>Geriamojo vandens tiekimo ir nuotekų tvarkymo sistemų renovavimas ir plėtra Varėnos rajone</v>
      </c>
      <c r="E51" s="437" t="str">
        <f>CONCATENATE('3 pr-2'!E51)</f>
        <v>UAB „Varėnos vandenys“</v>
      </c>
      <c r="F51" s="437" t="str">
        <f>CONCATENATE('3 pr-2'!F51)</f>
        <v>Lietuvos Respublikos aplinkos ministerija</v>
      </c>
      <c r="G51" s="437" t="str">
        <f>CONCATENATE('3 pr-2'!G51)</f>
        <v>Varėnos r. sav.</v>
      </c>
      <c r="H51" s="437" t="str">
        <f>CONCATENATE('3 pr-2'!H51)</f>
        <v>05.3.2-APVA-R-014</v>
      </c>
      <c r="I51" s="437" t="str">
        <f>CONCATENATE('3 pr-2'!I51)</f>
        <v>R</v>
      </c>
      <c r="J51" s="437" t="str">
        <f>CONCATENATE('3 pr-2'!J51)</f>
        <v>ITI</v>
      </c>
      <c r="K51" s="1435">
        <f>IF(X51&gt;0,'3 pr-2'!L51,0)</f>
        <v>2477103.23</v>
      </c>
      <c r="L51" s="1435">
        <f>IF(X51&gt;0,'3 pr-2'!O51,0)</f>
        <v>0</v>
      </c>
      <c r="M51" s="1435">
        <f>IF(X51&gt;0,'3 pr-2'!R51,0)</f>
        <v>0</v>
      </c>
      <c r="N51" s="1435">
        <f>IF(X51&gt;0,'3 pr-2'!U51,0)</f>
        <v>862874.97</v>
      </c>
      <c r="O51" s="1435">
        <f>IF(X51&gt;0,'3 pr-2'!X51,0)</f>
        <v>0</v>
      </c>
      <c r="P51" s="1435">
        <f>IF(X51&gt;0,'3 pr-2'!AA51,0)</f>
        <v>1614228.26</v>
      </c>
      <c r="Q51" s="1509">
        <f>IF(YEAR(X51)=2016,P51,0)</f>
        <v>0</v>
      </c>
      <c r="R51" s="1509">
        <f>IF(YEAR(X51)=2017,P51,0)</f>
        <v>1614228.26</v>
      </c>
      <c r="S51" s="1509">
        <f>IF(YEAR(X51)=2018,P51,0)</f>
        <v>0</v>
      </c>
      <c r="T51" s="1509">
        <f>IF(YEAR(X51)=2019,P51,0)</f>
        <v>0</v>
      </c>
      <c r="U51" s="1509">
        <f>IF(YEAR(X51)=2020,P51,0)</f>
        <v>0</v>
      </c>
      <c r="V51" s="1435">
        <f>IF(X51&gt;0,'3 pr-2'!$AB$10,0)</f>
        <v>0</v>
      </c>
      <c r="W51" s="1406">
        <f>SUM('3 pr-2'!AI51)</f>
        <v>42766</v>
      </c>
      <c r="X51" s="1370">
        <f>SUMIF('sutarčių ataskaita'!$J$19:$J$600,C51,'sutarčių ataskaita'!$L$19:$L$600)</f>
        <v>42766</v>
      </c>
      <c r="Y51" s="439">
        <f t="shared" ref="Y51:Y55" si="31">IF((YEAR(W51)-YEAR(X51))=0,0,YEAR(W51)-YEAR(X51))</f>
        <v>0</v>
      </c>
      <c r="Z51" s="445" t="str">
        <f t="shared" ref="Z51:Z55" si="32">IF(W51-X51&lt;0,(W51-X51)/30.4166666666667,"–")</f>
        <v>–</v>
      </c>
    </row>
    <row r="52" spans="1:26" ht="48.75" x14ac:dyDescent="0.25">
      <c r="A52" s="420" t="str">
        <f>CONCATENATE('3 pr-2'!A52)</f>
        <v>1.1.1.5.2.</v>
      </c>
      <c r="B52" s="240" t="str">
        <f>CONCATENATE('3 pr-2'!B52)</f>
        <v>R01-0014-060750-1152</v>
      </c>
      <c r="C52" s="422" t="str">
        <f>CONCATENATE('ketv. 2'!B51)</f>
        <v>05.3.2-APVA-R-014-11-0002</v>
      </c>
      <c r="D52" s="420" t="str">
        <f>CONCATENATE('3 pr-2'!D52)</f>
        <v>Geriamojo vandens ir nuotekų tvarkymo sistemų renovavimas Alytaus mieste</v>
      </c>
      <c r="E52" s="420" t="str">
        <f>CONCATENATE('3 pr-2'!E52)</f>
        <v>UAB “Dzūkijos vandenys“</v>
      </c>
      <c r="F52" s="420" t="str">
        <f>CONCATENATE('3 pr-2'!F52)</f>
        <v>Lietuvos Respublikos aplinkos ministerija</v>
      </c>
      <c r="G52" s="420" t="str">
        <f>CONCATENATE('3 pr-2'!G52)</f>
        <v>Alytaus m. sav.</v>
      </c>
      <c r="H52" s="420" t="str">
        <f>CONCATENATE('3 pr-2'!H52)</f>
        <v>05.3.2-APVA-R-014</v>
      </c>
      <c r="I52" s="420" t="str">
        <f>CONCATENATE('3 pr-2'!I52)</f>
        <v>R</v>
      </c>
      <c r="J52" s="420" t="str">
        <f>CONCATENATE('3 pr-2'!J52)</f>
        <v>ITI</v>
      </c>
      <c r="K52" s="1296">
        <f>IF(X52&gt;0,'3 pr-2'!L52,0)</f>
        <v>5706088</v>
      </c>
      <c r="L52" s="1296">
        <f>IF(X52&gt;0,'3 pr-2'!O52,0)</f>
        <v>0</v>
      </c>
      <c r="M52" s="1296">
        <f>IF(X52&gt;0,'3 pr-2'!R52,0)</f>
        <v>0</v>
      </c>
      <c r="N52" s="1296">
        <f>IF(X52&gt;0,'3 pr-2'!U52,0)</f>
        <v>3009103.69</v>
      </c>
      <c r="O52" s="1296">
        <f>IF(X52&gt;0,'3 pr-2'!X52,0)</f>
        <v>0</v>
      </c>
      <c r="P52" s="1296">
        <f>IF(X52&gt;0,'3 pr-2'!AA52,0)</f>
        <v>2696984.31</v>
      </c>
      <c r="Q52" s="1510">
        <f>IF(YEAR(X52)=2016,P52,0)</f>
        <v>2696984.31</v>
      </c>
      <c r="R52" s="1510">
        <f>IF(YEAR(X52)=2017,P52,0)</f>
        <v>0</v>
      </c>
      <c r="S52" s="1510">
        <f>IF(YEAR(X52)=2018,P52,0)</f>
        <v>0</v>
      </c>
      <c r="T52" s="1510">
        <f>IF(YEAR(X52)=2019,P52,0)</f>
        <v>0</v>
      </c>
      <c r="U52" s="1510">
        <f>IF(YEAR(X52)=2020,P52,0)</f>
        <v>0</v>
      </c>
      <c r="V52" s="1435">
        <f>IF(X52&gt;0,'3 pr-2'!$AB$10,0)</f>
        <v>0</v>
      </c>
      <c r="W52" s="1407">
        <f>SUM('3 pr-2'!AI52)</f>
        <v>42736</v>
      </c>
      <c r="X52" s="1370">
        <f>SUMIF('sutarčių ataskaita'!$J$19:$J$600,C52,'sutarčių ataskaita'!$L$19:$L$600)</f>
        <v>42726</v>
      </c>
      <c r="Y52" s="421">
        <f t="shared" si="31"/>
        <v>1</v>
      </c>
      <c r="Z52" s="445" t="str">
        <f t="shared" si="32"/>
        <v>–</v>
      </c>
    </row>
    <row r="53" spans="1:26" ht="48.75" x14ac:dyDescent="0.25">
      <c r="A53" s="420" t="str">
        <f>CONCATENATE('3 pr-2'!A53)</f>
        <v>1.1.1.5.3</v>
      </c>
      <c r="B53" s="240" t="str">
        <f>CONCATENATE('3 pr-2'!B53)</f>
        <v>R01-0014-070650-1153</v>
      </c>
      <c r="C53" s="422" t="str">
        <f>CONCATENATE('ketv. 2'!B52)</f>
        <v>05.3.2-APVA-R-014-11-0004</v>
      </c>
      <c r="D53" s="420" t="str">
        <f>CONCATENATE('3 pr-2'!D53)</f>
        <v>Geriamojo vandens tiekimo ir nuotekų tvarkymo sistemų renovavimas ir plėtra Lazdijų rajono savivaldybėje</v>
      </c>
      <c r="E53" s="420" t="str">
        <f>CONCATENATE('3 pr-2'!E53)</f>
        <v>UAB „Lazdijų vanduo“</v>
      </c>
      <c r="F53" s="420" t="str">
        <f>CONCATENATE('3 pr-2'!F53)</f>
        <v>Lietuvos Respublikos aplinkos ministerija</v>
      </c>
      <c r="G53" s="420" t="str">
        <f>CONCATENATE('3 pr-2'!G53)</f>
        <v>Lazdijų r. sav.</v>
      </c>
      <c r="H53" s="420" t="str">
        <f>CONCATENATE('3 pr-2'!H53)</f>
        <v>05.3.2-APVA-R-014</v>
      </c>
      <c r="I53" s="420" t="str">
        <f>CONCATENATE('3 pr-2'!I53)</f>
        <v>R</v>
      </c>
      <c r="J53" s="420" t="str">
        <f>CONCATENATE('3 pr-2'!J53)</f>
        <v>-</v>
      </c>
      <c r="K53" s="1296">
        <f>IF(X53&gt;0,'3 pr-2'!L53,0)</f>
        <v>1437425.74</v>
      </c>
      <c r="L53" s="1296">
        <f>IF(X53&gt;0,'3 pr-2'!O53,0)</f>
        <v>0</v>
      </c>
      <c r="M53" s="1296">
        <f>IF(X53&gt;0,'3 pr-2'!R53,0)</f>
        <v>0</v>
      </c>
      <c r="N53" s="1296">
        <f>IF(X53&gt;0,'3 pr-2'!U53,0)</f>
        <v>641323.74</v>
      </c>
      <c r="O53" s="1296">
        <f>IF(X53&gt;0,'3 pr-2'!X53,0)</f>
        <v>0</v>
      </c>
      <c r="P53" s="1296">
        <f>IF(X53&gt;0,'3 pr-2'!AA53,0)</f>
        <v>796102</v>
      </c>
      <c r="Q53" s="1510">
        <f>IF(YEAR(X53)=2016,P53,0)</f>
        <v>0</v>
      </c>
      <c r="R53" s="1510">
        <f>IF(YEAR(X53)=2017,P53,0)</f>
        <v>796102</v>
      </c>
      <c r="S53" s="1510">
        <f>IF(YEAR(X53)=2018,P53,0)</f>
        <v>0</v>
      </c>
      <c r="T53" s="1510">
        <f>IF(YEAR(X53)=2019,P53,0)</f>
        <v>0</v>
      </c>
      <c r="U53" s="1510">
        <f>IF(YEAR(X53)=2020,P53,0)</f>
        <v>0</v>
      </c>
      <c r="V53" s="1435">
        <f>IF(X53&gt;0,'3 pr-2'!$AB$10,0)</f>
        <v>0</v>
      </c>
      <c r="W53" s="1407">
        <f>SUM('3 pr-2'!AI53)</f>
        <v>42825</v>
      </c>
      <c r="X53" s="1370">
        <f>SUMIF('sutarčių ataskaita'!$J$19:$J$600,C53,'sutarčių ataskaita'!$L$19:$L$600)</f>
        <v>42818</v>
      </c>
      <c r="Y53" s="421">
        <f t="shared" si="31"/>
        <v>0</v>
      </c>
      <c r="Z53" s="445" t="str">
        <f t="shared" si="32"/>
        <v>–</v>
      </c>
    </row>
    <row r="54" spans="1:26" ht="48.75" x14ac:dyDescent="0.25">
      <c r="A54" s="420" t="str">
        <f>CONCATENATE('3 pr-2'!A54)</f>
        <v>1.1.1.5.4.</v>
      </c>
      <c r="B54" s="240" t="str">
        <f>CONCATENATE('3 pr-2'!B54)</f>
        <v>R01-0014-060700-1154</v>
      </c>
      <c r="C54" s="422" t="str">
        <f>CONCATENATE('ketv. 2'!B53)</f>
        <v>05.3.2-APVA-R-014-11-0003</v>
      </c>
      <c r="D54" s="420" t="str">
        <f>CONCATENATE('3 pr-2'!D54)</f>
        <v>Vandens tiekimo ir nuotekų šalinimo infrastruktūros renovavimas ir plėtra Druskininkų savivaldybėje</v>
      </c>
      <c r="E54" s="420" t="str">
        <f>CONCATENATE('3 pr-2'!E54)</f>
        <v>UAB "Druskininkų vandenys"</v>
      </c>
      <c r="F54" s="420" t="str">
        <f>CONCATENATE('3 pr-2'!F54)</f>
        <v>Lietuvos Respublikos aplinkos ministerija</v>
      </c>
      <c r="G54" s="420" t="str">
        <f>CONCATENATE('3 pr-2'!G54)</f>
        <v>Druskininkų sav.</v>
      </c>
      <c r="H54" s="420" t="str">
        <f>CONCATENATE('3 pr-2'!H54)</f>
        <v>05.3.2-APVA-R-014</v>
      </c>
      <c r="I54" s="420" t="str">
        <f>CONCATENATE('3 pr-2'!I54)</f>
        <v>R</v>
      </c>
      <c r="J54" s="420" t="str">
        <f>CONCATENATE('3 pr-2'!J54)</f>
        <v>-</v>
      </c>
      <c r="K54" s="1296">
        <f>IF(X54&gt;0,'3 pr-2'!L54,0)</f>
        <v>5186812</v>
      </c>
      <c r="L54" s="1296">
        <f>IF(X54&gt;0,'3 pr-2'!O54,0)</f>
        <v>0</v>
      </c>
      <c r="M54" s="1296">
        <f>IF(X54&gt;0,'3 pr-2'!R54,0)</f>
        <v>0</v>
      </c>
      <c r="N54" s="1296">
        <f>IF(X54&gt;0,'3 pr-2'!U54,0)</f>
        <v>2294209</v>
      </c>
      <c r="O54" s="1296">
        <f>IF(X54&gt;0,'3 pr-2'!X54,0)</f>
        <v>0</v>
      </c>
      <c r="P54" s="1296">
        <f>IF(X54&gt;0,'3 pr-2'!AA54,0)</f>
        <v>2892603</v>
      </c>
      <c r="Q54" s="1510">
        <f>IF(YEAR(X54)=2016,P54,0)</f>
        <v>0</v>
      </c>
      <c r="R54" s="1510">
        <f>IF(YEAR(X54)=2017,P54,0)</f>
        <v>2892603</v>
      </c>
      <c r="S54" s="1510">
        <f>IF(YEAR(X54)=2018,P54,0)</f>
        <v>0</v>
      </c>
      <c r="T54" s="1510">
        <f>IF(YEAR(X54)=2019,P54,0)</f>
        <v>0</v>
      </c>
      <c r="U54" s="1510">
        <f>IF(YEAR(X54)=2020,P54,0)</f>
        <v>0</v>
      </c>
      <c r="V54" s="1435">
        <f>IF(X54&gt;0,'3 pr-2'!$AB$10,0)</f>
        <v>0</v>
      </c>
      <c r="W54" s="1407">
        <f>SUM('3 pr-2'!AI54)</f>
        <v>42824</v>
      </c>
      <c r="X54" s="1370">
        <f>SUMIF('sutarčių ataskaita'!$J$19:$J$600,C54,'sutarčių ataskaita'!$L$19:$L$600)</f>
        <v>42810</v>
      </c>
      <c r="Y54" s="421">
        <f t="shared" si="31"/>
        <v>0</v>
      </c>
      <c r="Z54" s="445" t="str">
        <f t="shared" si="32"/>
        <v>–</v>
      </c>
    </row>
    <row r="55" spans="1:26" ht="49.5" thickBot="1" x14ac:dyDescent="0.3">
      <c r="A55" s="440" t="str">
        <f>CONCATENATE('3 pr-2'!A55)</f>
        <v>1.1.1.5.5.</v>
      </c>
      <c r="B55" s="240" t="str">
        <f>CONCATENATE('3 pr-2'!B55)</f>
        <v>R01-0014-060750-1155</v>
      </c>
      <c r="C55" s="441" t="str">
        <f>CONCATENATE('ketv. 2'!B54)</f>
        <v>05.3.2-APVA-R-014-11-0005</v>
      </c>
      <c r="D55" s="440" t="str">
        <f>CONCATENATE('3 pr-2'!D55)</f>
        <v>Vandens tiekimo ir nuotekų tvarkymo infrastruktūros plėtra Alytaus rajone (Krokialaukyje)</v>
      </c>
      <c r="E55" s="440" t="str">
        <f>CONCATENATE('3 pr-2'!E55)</f>
        <v>SĮ „Simno komunalininkas“</v>
      </c>
      <c r="F55" s="440" t="str">
        <f>CONCATENATE('3 pr-2'!F55)</f>
        <v>Lietuvos Respublikos aplinkos ministerija</v>
      </c>
      <c r="G55" s="440" t="str">
        <f>CONCATENATE('3 pr-2'!G55)</f>
        <v>Alytaus r. sav.</v>
      </c>
      <c r="H55" s="440" t="str">
        <f>CONCATENATE('3 pr-2'!H55)</f>
        <v>05.3.2-APVA-R-014</v>
      </c>
      <c r="I55" s="440" t="str">
        <f>CONCATENATE('3 pr-2'!I55)</f>
        <v>R</v>
      </c>
      <c r="J55" s="440" t="str">
        <f>CONCATENATE('3 pr-2'!J55)</f>
        <v>-</v>
      </c>
      <c r="K55" s="1433">
        <f>IF(X55&gt;0,'3 pr-2'!L55,0)</f>
        <v>1571000</v>
      </c>
      <c r="L55" s="1433">
        <f>IF(X55&gt;0,'3 pr-2'!O55,0)</f>
        <v>0</v>
      </c>
      <c r="M55" s="1433">
        <f>IF(X55&gt;0,'3 pr-2'!R55,0)</f>
        <v>0</v>
      </c>
      <c r="N55" s="1433">
        <f>IF(X55&gt;0,'3 pr-2'!U55,0)</f>
        <v>650525</v>
      </c>
      <c r="O55" s="1433">
        <f>IF(X55&gt;0,'3 pr-2'!X55,0)</f>
        <v>0</v>
      </c>
      <c r="P55" s="1433">
        <f>IF(X55&gt;0,'3 pr-2'!AA55,0)</f>
        <v>920475</v>
      </c>
      <c r="Q55" s="1511">
        <f>IF(YEAR(X55)=2016,P55,0)</f>
        <v>0</v>
      </c>
      <c r="R55" s="1511">
        <f>IF(YEAR(X55)=2017,P55,0)</f>
        <v>0</v>
      </c>
      <c r="S55" s="1511">
        <f>IF(YEAR(X55)=2018,P55,0)</f>
        <v>920475</v>
      </c>
      <c r="T55" s="1511">
        <f>IF(YEAR(X55)=2019,P55,0)</f>
        <v>0</v>
      </c>
      <c r="U55" s="1511">
        <f>IF(YEAR(X55)=2020,P55,0)</f>
        <v>0</v>
      </c>
      <c r="V55" s="1435">
        <f>IF(X55&gt;0,'3 pr-2'!$AB$10,0)</f>
        <v>0</v>
      </c>
      <c r="W55" s="1408">
        <f>SUM('3 pr-2'!AI55)</f>
        <v>43146</v>
      </c>
      <c r="X55" s="1370">
        <f>SUMIF('sutarčių ataskaita'!$J$19:$J$600,C55,'sutarčių ataskaita'!$L$19:$L$600)</f>
        <v>43146</v>
      </c>
      <c r="Y55" s="442">
        <f t="shared" si="31"/>
        <v>0</v>
      </c>
      <c r="Z55" s="445" t="str">
        <f t="shared" si="32"/>
        <v>–</v>
      </c>
    </row>
    <row r="56" spans="1:26" ht="44.25" customHeight="1" thickBot="1" x14ac:dyDescent="0.3">
      <c r="A56" s="326" t="str">
        <f>CONCATENATE('3 pr-2'!A56)</f>
        <v>1.1.1.6</v>
      </c>
      <c r="B56" s="2025" t="str">
        <f>CONCATENATE('3 pr-2'!B56)</f>
        <v>Priemonė:
Paviršinių nuotekų sistemų tvarkymas</v>
      </c>
      <c r="C56" s="2026"/>
      <c r="D56" s="2026"/>
      <c r="E56" s="2026"/>
      <c r="F56" s="2026"/>
      <c r="G56" s="2026"/>
      <c r="H56" s="2026"/>
      <c r="I56" s="2026"/>
      <c r="J56" s="2027"/>
      <c r="K56" s="1293">
        <f>SUM(K57)</f>
        <v>3999404.09</v>
      </c>
      <c r="L56" s="1293">
        <f t="shared" ref="L56:P56" si="33">SUM(L57)</f>
        <v>0</v>
      </c>
      <c r="M56" s="1293">
        <f t="shared" si="33"/>
        <v>0</v>
      </c>
      <c r="N56" s="1293">
        <f t="shared" si="33"/>
        <v>599910.61</v>
      </c>
      <c r="O56" s="1293">
        <f t="shared" si="33"/>
        <v>0</v>
      </c>
      <c r="P56" s="1293">
        <f t="shared" si="33"/>
        <v>3399493.48</v>
      </c>
      <c r="Q56" s="1504">
        <f>SUM(Q57)</f>
        <v>0</v>
      </c>
      <c r="R56" s="1505">
        <f t="shared" ref="R56:V56" si="34">SUM(R57)</f>
        <v>3399493.48</v>
      </c>
      <c r="S56" s="1504">
        <f t="shared" si="34"/>
        <v>0</v>
      </c>
      <c r="T56" s="1505">
        <f t="shared" si="34"/>
        <v>0</v>
      </c>
      <c r="U56" s="1506">
        <f t="shared" si="34"/>
        <v>0</v>
      </c>
      <c r="V56" s="1293">
        <f t="shared" si="34"/>
        <v>0</v>
      </c>
      <c r="W56" s="1402"/>
      <c r="X56" s="1402"/>
      <c r="Y56" s="397"/>
      <c r="Z56" s="397"/>
    </row>
    <row r="57" spans="1:26" ht="49.5" thickBot="1" x14ac:dyDescent="0.3">
      <c r="A57" s="366" t="str">
        <f>CONCATENATE('3 pr-2'!A57)</f>
        <v>1.1.1.6.1</v>
      </c>
      <c r="B57" s="240" t="str">
        <f>CONCATENATE('3 pr-2'!B57)</f>
        <v>R01-0007-080000-1161</v>
      </c>
      <c r="C57" s="309" t="str">
        <f>CONCATENATE('ketv. 2'!B56)</f>
        <v>05.1.1-APVA-R-007-11-0001</v>
      </c>
      <c r="D57" s="366" t="str">
        <f>CONCATENATE('3 pr-2'!D57)</f>
        <v>Paviršinių nuotekų sistemų tvarkymas Alytaus mieste</v>
      </c>
      <c r="E57" s="366" t="str">
        <f>CONCATENATE('3 pr-2'!E57)</f>
        <v>UAB “Dzūkijos vandenys“</v>
      </c>
      <c r="F57" s="366" t="str">
        <f>CONCATENATE('3 pr-2'!F57)</f>
        <v>Lietuvos Respublikos aplinkos ministerija</v>
      </c>
      <c r="G57" s="366" t="str">
        <f>CONCATENATE('3 pr-2'!G57)</f>
        <v>Alytaus m. sav.</v>
      </c>
      <c r="H57" s="366" t="str">
        <f>CONCATENATE('3 pr-2'!H57)</f>
        <v>05.1.1-APVA-R-007</v>
      </c>
      <c r="I57" s="366" t="str">
        <f>CONCATENATE('3 pr-2'!I57)</f>
        <v>R</v>
      </c>
      <c r="J57" s="366" t="str">
        <f>CONCATENATE('3 pr-2'!J57)</f>
        <v>-</v>
      </c>
      <c r="K57" s="1432">
        <f>IF(X57&gt;0,'3 pr-2'!L57,0)</f>
        <v>3999404.09</v>
      </c>
      <c r="L57" s="1432">
        <f>IF(X57&gt;0,'3 pr-2'!O57,0)</f>
        <v>0</v>
      </c>
      <c r="M57" s="1432">
        <f>IF(X57&gt;0,'3 pr-2'!R57,0)</f>
        <v>0</v>
      </c>
      <c r="N57" s="1432">
        <f>IF(X57&gt;0,'3 pr-2'!U57,0)</f>
        <v>599910.61</v>
      </c>
      <c r="O57" s="1432">
        <f>IF(X57&gt;0,'3 pr-2'!X57,0)</f>
        <v>0</v>
      </c>
      <c r="P57" s="1432">
        <f>IF(X57&gt;0,'3 pr-2'!AA57,0)</f>
        <v>3399493.48</v>
      </c>
      <c r="Q57" s="1432">
        <f>IF(YEAR(X57)=2016,P57,0)</f>
        <v>0</v>
      </c>
      <c r="R57" s="1432">
        <f>IF(YEAR(X57)=2017,P57,0)</f>
        <v>3399493.48</v>
      </c>
      <c r="S57" s="1432">
        <f>IF(YEAR(X57)=2018,P57,0)</f>
        <v>0</v>
      </c>
      <c r="T57" s="1432">
        <f>IF(YEAR(X57)=2019,P57,0)</f>
        <v>0</v>
      </c>
      <c r="U57" s="1432">
        <f>IF(YEAR(X57)=2020,P57,0)</f>
        <v>0</v>
      </c>
      <c r="V57" s="1435">
        <f>IF(X57&gt;0,'3 pr-2'!$AB$10,0)</f>
        <v>0</v>
      </c>
      <c r="W57" s="1342">
        <f>SUM('3 pr-2'!AI57)</f>
        <v>42825</v>
      </c>
      <c r="X57" s="1370">
        <f>SUMIF('sutarčių ataskaita'!$J$19:$J$600,C57,'sutarčių ataskaita'!$L$19:$L$600)</f>
        <v>42815</v>
      </c>
      <c r="Y57" s="423">
        <f t="shared" ref="Y57" si="35">IF((YEAR(W57)-YEAR(X57))=0,0,YEAR(W57)-YEAR(X57))</f>
        <v>0</v>
      </c>
      <c r="Z57" s="445" t="str">
        <f>IF(W57-X57&lt;0,(W57-X57)/30.4166666666667,"–")</f>
        <v>–</v>
      </c>
    </row>
    <row r="58" spans="1:26" ht="39" customHeight="1" thickBot="1" x14ac:dyDescent="0.3">
      <c r="A58" s="326" t="str">
        <f>CONCATENATE('3 pr-2'!A58)</f>
        <v>1.1.1.7</v>
      </c>
      <c r="B58" s="2025" t="str">
        <f>CONCATENATE('3 pr-2'!B58)</f>
        <v>Priemonė:
Savivaldybes jungiančių turizmo trasų ir turizmo maršrutų informacinės infrastruktūros plėtra</v>
      </c>
      <c r="C58" s="2026"/>
      <c r="D58" s="2026"/>
      <c r="E58" s="2026"/>
      <c r="F58" s="2026"/>
      <c r="G58" s="2026"/>
      <c r="H58" s="2026"/>
      <c r="I58" s="2026"/>
      <c r="J58" s="2027"/>
      <c r="K58" s="1293">
        <f>SUM(K59:K61)</f>
        <v>496329.5294117647</v>
      </c>
      <c r="L58" s="1293">
        <f t="shared" ref="L58:P58" si="36">SUM(L59:L61)</f>
        <v>74449.429411764708</v>
      </c>
      <c r="M58" s="1293">
        <f t="shared" si="36"/>
        <v>0</v>
      </c>
      <c r="N58" s="1293">
        <f t="shared" si="36"/>
        <v>0</v>
      </c>
      <c r="O58" s="1293">
        <f t="shared" si="36"/>
        <v>0</v>
      </c>
      <c r="P58" s="1293">
        <f t="shared" si="36"/>
        <v>421880.1</v>
      </c>
      <c r="Q58" s="1504">
        <f>SUM(Q59:Q61)</f>
        <v>0</v>
      </c>
      <c r="R58" s="1505">
        <f t="shared" ref="R58:V58" si="37">SUM(R59:R61)</f>
        <v>421880.1</v>
      </c>
      <c r="S58" s="1504">
        <f t="shared" si="37"/>
        <v>0</v>
      </c>
      <c r="T58" s="1505">
        <f t="shared" si="37"/>
        <v>0</v>
      </c>
      <c r="U58" s="1506">
        <f t="shared" si="37"/>
        <v>0</v>
      </c>
      <c r="V58" s="1293">
        <f t="shared" si="37"/>
        <v>0</v>
      </c>
      <c r="W58" s="1402"/>
      <c r="X58" s="1402"/>
      <c r="Y58" s="397"/>
      <c r="Z58" s="397"/>
    </row>
    <row r="59" spans="1:26" ht="36.75" x14ac:dyDescent="0.25">
      <c r="A59" s="182" t="str">
        <f>CONCATENATE('3 pr-2'!A59)</f>
        <v>1.1.1.7.1</v>
      </c>
      <c r="B59" s="240" t="str">
        <f>CONCATENATE('3 pr-2'!B59)</f>
        <v>R01-8821-420000-1171</v>
      </c>
      <c r="C59" s="309" t="str">
        <f>CONCATENATE('ketv. 2'!B58)</f>
        <v>05.4.1-LVPA-R-821-11-0002</v>
      </c>
      <c r="D59" s="182" t="str">
        <f>CONCATENATE('3 pr-2'!D59)</f>
        <v>Alytaus regiono turizmo informacinės infrastruktūros plėtra</v>
      </c>
      <c r="E59" s="182" t="str">
        <f>CONCATENATE('3 pr-2'!E59)</f>
        <v>Alytaus miesto savivaldybės administracija</v>
      </c>
      <c r="F59" s="182" t="str">
        <f>CONCATENATE('3 pr-2'!F59)</f>
        <v>Lietuvos Respublikos ūkio ministerija</v>
      </c>
      <c r="G59" s="182" t="str">
        <f>CONCATENATE('3 pr-2'!G59)</f>
        <v>Alytaus m. sav.</v>
      </c>
      <c r="H59" s="182" t="str">
        <f>CONCATENATE('3 pr-2'!H59)</f>
        <v>05.4.1-LVPA-R-821</v>
      </c>
      <c r="I59" s="182" t="str">
        <f>CONCATENATE('3 pr-2'!I59)</f>
        <v>R</v>
      </c>
      <c r="J59" s="182" t="str">
        <f>CONCATENATE('3 pr-2'!J59)</f>
        <v>-</v>
      </c>
      <c r="K59" s="1432">
        <f>IF(X59&gt;0,'3 pr-2'!L59,0)</f>
        <v>208223.52941176473</v>
      </c>
      <c r="L59" s="1432">
        <f>IF(X59&gt;0,'3 pr-2'!O59,0)</f>
        <v>31233.529411764706</v>
      </c>
      <c r="M59" s="1432">
        <f>IF(X59&gt;0,'3 pr-2'!R59,0)</f>
        <v>0</v>
      </c>
      <c r="N59" s="1432">
        <f>IF(X59&gt;0,'3 pr-2'!U59,0)</f>
        <v>0</v>
      </c>
      <c r="O59" s="1432">
        <f>IF(X59&gt;0,'3 pr-2'!X59,0)</f>
        <v>0</v>
      </c>
      <c r="P59" s="1432">
        <f>IF(X59&gt;0,'3 pr-2'!AA59,0)</f>
        <v>176990</v>
      </c>
      <c r="Q59" s="1296">
        <f>IF(YEAR(X59)=2016,P59,0)</f>
        <v>0</v>
      </c>
      <c r="R59" s="1296">
        <f>IF(YEAR(X59)=2017,P59,0)</f>
        <v>176990</v>
      </c>
      <c r="S59" s="1296">
        <f>IF(YEAR(X59)=2018,P59,0)</f>
        <v>0</v>
      </c>
      <c r="T59" s="1296">
        <f>IF(YEAR(X59)=2019,P59,0)</f>
        <v>0</v>
      </c>
      <c r="U59" s="1296">
        <f>IF(YEAR(X59)=2020,P59,0)</f>
        <v>0</v>
      </c>
      <c r="V59" s="1435">
        <f>IF(X59&gt;0,'3 pr-2'!$AB$10,0)</f>
        <v>0</v>
      </c>
      <c r="W59" s="1336">
        <f>SUM('3 pr-2'!AI59)</f>
        <v>42855</v>
      </c>
      <c r="X59" s="1370">
        <f>SUMIF('sutarčių ataskaita'!$J$19:$J$600,C59,'sutarčių ataskaita'!$L$19:$L$600)</f>
        <v>42835</v>
      </c>
      <c r="Y59" s="216">
        <f t="shared" ref="Y59:Y60" si="38">IF((YEAR(W59)-YEAR(X59))=0,0,YEAR(W59)-YEAR(X59))</f>
        <v>0</v>
      </c>
      <c r="Z59" s="445" t="str">
        <f t="shared" ref="Z59:Z61" si="39">IF(W59-X59&lt;0,(W59-X59)/30.4166666666667,"–")</f>
        <v>–</v>
      </c>
    </row>
    <row r="60" spans="1:26" ht="48.75" x14ac:dyDescent="0.25">
      <c r="A60" s="182" t="str">
        <f>CONCATENATE('3 pr-2'!A60)</f>
        <v>1.1.1.7.2</v>
      </c>
      <c r="B60" s="240" t="str">
        <f>CONCATENATE('3 pr-2'!B60)</f>
        <v>R01-8821-420000-1172</v>
      </c>
      <c r="C60" s="309" t="str">
        <f>CONCATENATE('ketv. 2'!B59)</f>
        <v>05.4.1-LVPA-R-821-11-0001</v>
      </c>
      <c r="D60" s="182" t="str">
        <f>CONCATENATE('3 pr-2'!D60)</f>
        <v>„Turizmo trasų ir maršrutų informacinės infrastruktūros plėtra  Lazdijų, Varėnos rajonų ir Druskininkų savivaldybėse“</v>
      </c>
      <c r="E60" s="182" t="str">
        <f>CONCATENATE('3 pr-2'!E60)</f>
        <v>Lazdijų rajono savivaldybės administracija</v>
      </c>
      <c r="F60" s="182" t="str">
        <f>CONCATENATE('3 pr-2'!F60)</f>
        <v>Lietuvos Respublikos ūkio ministerija</v>
      </c>
      <c r="G60" s="182" t="str">
        <f>CONCATENATE('3 pr-2'!G60)</f>
        <v xml:space="preserve">Lazdijų, Varėnos rajonų ir Druskininkų savivaldybės </v>
      </c>
      <c r="H60" s="182" t="str">
        <f>CONCATENATE('3 pr-2'!H60)</f>
        <v>05.4.1-LVPA-R-821</v>
      </c>
      <c r="I60" s="182" t="str">
        <f>CONCATENATE('3 pr-2'!I60)</f>
        <v>R</v>
      </c>
      <c r="J60" s="182" t="str">
        <f>CONCATENATE('3 pr-2'!J60)</f>
        <v>-</v>
      </c>
      <c r="K60" s="1432">
        <f>IF(X60&gt;0,'3 pr-2'!L60,0)</f>
        <v>288106</v>
      </c>
      <c r="L60" s="1432">
        <f>IF(X60&gt;0,'3 pr-2'!O60,0)</f>
        <v>43215.9</v>
      </c>
      <c r="M60" s="1432">
        <f>IF(X60&gt;0,'3 pr-2'!R60,0)</f>
        <v>0</v>
      </c>
      <c r="N60" s="1432">
        <f>IF(X60&gt;0,'3 pr-2'!U60,0)</f>
        <v>0</v>
      </c>
      <c r="O60" s="1432">
        <f>IF(X60&gt;0,'3 pr-2'!X60,0)</f>
        <v>0</v>
      </c>
      <c r="P60" s="1432">
        <f>IF(X60&gt;0,'3 pr-2'!AA60,0)</f>
        <v>244890.1</v>
      </c>
      <c r="Q60" s="1296">
        <f>IF(YEAR(X60)=2016,P60,0)</f>
        <v>0</v>
      </c>
      <c r="R60" s="1296">
        <f>IF(YEAR(X60)=2017,P60,0)</f>
        <v>244890.1</v>
      </c>
      <c r="S60" s="1296">
        <f>IF(YEAR(X60)=2018,P60,0)</f>
        <v>0</v>
      </c>
      <c r="T60" s="1296">
        <f>IF(YEAR(X60)=2019,P60,0)</f>
        <v>0</v>
      </c>
      <c r="U60" s="1296">
        <f>IF(YEAR(X60)=2020,P60,0)</f>
        <v>0</v>
      </c>
      <c r="V60" s="1435">
        <f>IF(X60&gt;0,'3 pr-2'!$AB$10,0)</f>
        <v>0</v>
      </c>
      <c r="W60" s="1336">
        <f>SUM('3 pr-2'!AI60)</f>
        <v>42825</v>
      </c>
      <c r="X60" s="1370">
        <f>SUMIF('sutarčių ataskaita'!$J$19:$J$600,C60,'sutarčių ataskaita'!$L$19:$L$600)</f>
        <v>42811</v>
      </c>
      <c r="Y60" s="216">
        <f t="shared" si="38"/>
        <v>0</v>
      </c>
      <c r="Z60" s="445" t="str">
        <f t="shared" si="39"/>
        <v>–</v>
      </c>
    </row>
    <row r="61" spans="1:26" ht="49.5" thickBot="1" x14ac:dyDescent="0.3">
      <c r="A61" s="182" t="str">
        <f>CONCATENATE('3 pr-2'!A61)</f>
        <v>1.1.1.7.3</v>
      </c>
      <c r="B61" s="240" t="str">
        <f>CONCATENATE('3 pr-2'!B61)</f>
        <v>R01-8821-420000-1173</v>
      </c>
      <c r="C61" s="309" t="str">
        <f>CONCATENATE('ketv. 2'!B60)</f>
        <v/>
      </c>
      <c r="D61" s="182" t="str">
        <f>CONCATENATE('3 pr-2'!D61)</f>
        <v>„Turizmo trasų ir maršrutų informacinės infrastruktūros plėtra  Lazdijų, Varėnos rajonų ir Druskininkų savivaldybėse II etapas“</v>
      </c>
      <c r="E61" s="182" t="str">
        <f>CONCATENATE('3 pr-2'!E61)</f>
        <v>Lazdijų rajono savivaldybės administracija</v>
      </c>
      <c r="F61" s="182" t="str">
        <f>CONCATENATE('3 pr-2'!F61)</f>
        <v>Lietuvos Respublikos ūkio ministerija</v>
      </c>
      <c r="G61" s="182" t="str">
        <f>CONCATENATE('3 pr-2'!G61)</f>
        <v xml:space="preserve">Lazdijų, Varėnos rajonų ir Druskininkų savivaldybės </v>
      </c>
      <c r="H61" s="182" t="str">
        <f>CONCATENATE('3 pr-2'!H61)</f>
        <v>05.4.1-LVPA-R-821</v>
      </c>
      <c r="I61" s="182" t="str">
        <f>CONCATENATE('3 pr-2'!I61)</f>
        <v>R</v>
      </c>
      <c r="J61" s="182" t="str">
        <f>CONCATENATE('3 pr-2'!J61)</f>
        <v>-</v>
      </c>
      <c r="K61" s="1432">
        <f>IF(X61&gt;0,'3 pr-2'!L61,0)</f>
        <v>0</v>
      </c>
      <c r="L61" s="1432">
        <f>IF(X61&gt;0,'3 pr-2'!O61,0)</f>
        <v>0</v>
      </c>
      <c r="M61" s="1432">
        <f>IF(X61&gt;0,'3 pr-2'!R61,0)</f>
        <v>0</v>
      </c>
      <c r="N61" s="1432">
        <f>IF(X61&gt;0,'3 pr-2'!U61,0)</f>
        <v>0</v>
      </c>
      <c r="O61" s="1432">
        <f>IF(X61&gt;0,'3 pr-2'!X61,0)</f>
        <v>0</v>
      </c>
      <c r="P61" s="1432">
        <f>IF(X61&gt;0,'3 pr-2'!AA61,0)</f>
        <v>0</v>
      </c>
      <c r="Q61" s="1296">
        <f>IF(YEAR(X61)=2016,P61,0)</f>
        <v>0</v>
      </c>
      <c r="R61" s="1296">
        <f>IF(YEAR(X61)=2017,P61,0)</f>
        <v>0</v>
      </c>
      <c r="S61" s="1296">
        <f>IF(YEAR(X61)=2018,P61,0)</f>
        <v>0</v>
      </c>
      <c r="T61" s="1296">
        <f>IF(YEAR(X61)=2019,P61,0)</f>
        <v>0</v>
      </c>
      <c r="U61" s="1296">
        <f>IF(YEAR(X61)=2020,P61,0)</f>
        <v>0</v>
      </c>
      <c r="V61" s="1435">
        <f>IF(X61&gt;0,'3 pr-2'!$AB$10,0)</f>
        <v>0</v>
      </c>
      <c r="W61" s="1336">
        <f>SUM('3 pr-2'!AI61)</f>
        <v>43645</v>
      </c>
      <c r="X61" s="1370"/>
      <c r="Y61" s="216"/>
      <c r="Z61" s="445" t="str">
        <f t="shared" si="39"/>
        <v>–</v>
      </c>
    </row>
    <row r="62" spans="1:26" ht="36.75" customHeight="1" thickBot="1" x14ac:dyDescent="0.3">
      <c r="A62" s="326" t="str">
        <f>CONCATENATE('3 pr-2'!A62)</f>
        <v>1.1.1.8</v>
      </c>
      <c r="B62" s="2025" t="str">
        <f>CONCATENATE('3 pr-2'!B62)</f>
        <v>Priemonė:
Modernizuoti savivaldybių kultūros infrastruktūrą</v>
      </c>
      <c r="C62" s="2026"/>
      <c r="D62" s="2026"/>
      <c r="E62" s="2026"/>
      <c r="F62" s="2026"/>
      <c r="G62" s="2026"/>
      <c r="H62" s="2026"/>
      <c r="I62" s="2026"/>
      <c r="J62" s="2027"/>
      <c r="K62" s="1293">
        <f>SUM(K63:K66)</f>
        <v>1972835.5100000002</v>
      </c>
      <c r="L62" s="1293">
        <f t="shared" ref="L62:P62" si="40">SUM(L63:L66)</f>
        <v>422270.99</v>
      </c>
      <c r="M62" s="1293">
        <f t="shared" si="40"/>
        <v>0</v>
      </c>
      <c r="N62" s="1293">
        <f t="shared" si="40"/>
        <v>0</v>
      </c>
      <c r="O62" s="1293">
        <f t="shared" si="40"/>
        <v>352400.82</v>
      </c>
      <c r="P62" s="1293">
        <f t="shared" si="40"/>
        <v>1198163.7</v>
      </c>
      <c r="Q62" s="1504">
        <f>SUM(Q63:Q66)</f>
        <v>0</v>
      </c>
      <c r="R62" s="1505">
        <f t="shared" ref="R62:V62" si="41">SUM(R63:R66)</f>
        <v>898622.7</v>
      </c>
      <c r="S62" s="1504">
        <f t="shared" si="41"/>
        <v>299541</v>
      </c>
      <c r="T62" s="1505">
        <f t="shared" si="41"/>
        <v>0</v>
      </c>
      <c r="U62" s="1506">
        <f t="shared" si="41"/>
        <v>0</v>
      </c>
      <c r="V62" s="1293">
        <f t="shared" si="41"/>
        <v>0</v>
      </c>
      <c r="W62" s="1402"/>
      <c r="X62" s="1402"/>
      <c r="Y62" s="397"/>
      <c r="Z62" s="397"/>
    </row>
    <row r="63" spans="1:26" ht="48.75" x14ac:dyDescent="0.25">
      <c r="A63" s="182" t="str">
        <f>CONCATENATE('3 pr-2'!A63)</f>
        <v>1.1.1.8.1</v>
      </c>
      <c r="B63" s="240" t="str">
        <f>CONCATENATE('3 pr-2'!B63)</f>
        <v>R01-3305-330000-1181</v>
      </c>
      <c r="C63" s="309" t="str">
        <f>CONCATENATE('ketv. 2'!B62)</f>
        <v>07.1.1-CPVA-R-305-11-0001</v>
      </c>
      <c r="D63" s="182" t="str">
        <f>CONCATENATE('3 pr-2'!D63)</f>
        <v>Kultūros įstaigų infrastruktūros modernizavimas Varėnos mieste</v>
      </c>
      <c r="E63" s="182" t="str">
        <f>CONCATENATE('3 pr-2'!E63)</f>
        <v>Varėnos rajono savivaldybės administracija</v>
      </c>
      <c r="F63" s="182" t="str">
        <f>CONCATENATE('3 pr-2'!F63)</f>
        <v>Lietuvos Respublikos kultūros ministerija</v>
      </c>
      <c r="G63" s="182" t="str">
        <f>CONCATENATE('3 pr-2'!G63)</f>
        <v>Varėnos r. sav.</v>
      </c>
      <c r="H63" s="182" t="str">
        <f>CONCATENATE('3 pr-2'!H63)</f>
        <v>07.1.1-CPVA-R-305</v>
      </c>
      <c r="I63" s="182" t="str">
        <f>CONCATENATE('3 pr-2'!I63)</f>
        <v>R</v>
      </c>
      <c r="J63" s="182" t="str">
        <f>CONCATENATE('3 pr-2'!J63)</f>
        <v>ITI</v>
      </c>
      <c r="K63" s="1432">
        <f>IF(X63&gt;0,'3 pr-2'!L63,0)</f>
        <v>352401</v>
      </c>
      <c r="L63" s="1432">
        <f>IF(X63&gt;0,'3 pr-2'!O63,0)</f>
        <v>52860.15</v>
      </c>
      <c r="M63" s="1432">
        <f>IF(X63&gt;0,'3 pr-2'!R63,0)</f>
        <v>0</v>
      </c>
      <c r="N63" s="1432">
        <f>IF(X63&gt;0,'3 pr-2'!U63,0)</f>
        <v>0</v>
      </c>
      <c r="O63" s="1432">
        <f>IF(X63&gt;0,'3 pr-2'!X63,0)</f>
        <v>0</v>
      </c>
      <c r="P63" s="1432">
        <f>IF(X63&gt;0,'3 pr-2'!AA63,0)</f>
        <v>299540.84999999998</v>
      </c>
      <c r="Q63" s="1296">
        <f>IF(YEAR(X63)=2016,P63,0)</f>
        <v>0</v>
      </c>
      <c r="R63" s="1296">
        <f>IF(YEAR(X63)=2017,P63,0)</f>
        <v>299540.84999999998</v>
      </c>
      <c r="S63" s="1296">
        <f>IF(YEAR(X63)=2018,P63,0)</f>
        <v>0</v>
      </c>
      <c r="T63" s="1296">
        <f>IF(YEAR(X63)=2019,P63,0)</f>
        <v>0</v>
      </c>
      <c r="U63" s="1296">
        <f>IF(YEAR(X63)=2020,P63,0)</f>
        <v>0</v>
      </c>
      <c r="V63" s="1435">
        <f>IF(X63&gt;0,'3 pr-2'!$AB$10,0)</f>
        <v>0</v>
      </c>
      <c r="W63" s="1336">
        <f>SUM('3 pr-2'!AI63)</f>
        <v>42855</v>
      </c>
      <c r="X63" s="1370">
        <f>SUMIF('sutarčių ataskaita'!$J$19:$J$600,C63,'sutarčių ataskaita'!$L$19:$L$600)</f>
        <v>42860</v>
      </c>
      <c r="Y63" s="216">
        <f t="shared" ref="Y63:Y65" si="42">IF((YEAR(W63)-YEAR(X63))=0,0,YEAR(W63)-YEAR(X63))</f>
        <v>0</v>
      </c>
      <c r="Z63" s="445">
        <f t="shared" ref="Z63:Z66" si="43">IF(W63-X63&lt;0,(W63-X63)/30.4166666666667,"–")</f>
        <v>-0.16438356164383544</v>
      </c>
    </row>
    <row r="64" spans="1:26" ht="48.75" x14ac:dyDescent="0.25">
      <c r="A64" s="182" t="str">
        <f>CONCATENATE('3 pr-2'!A64)</f>
        <v>1.1.1.8.2</v>
      </c>
      <c r="B64" s="240" t="str">
        <f>CONCATENATE('3 pr-2'!B64)</f>
        <v>R01-3305-330000-1182</v>
      </c>
      <c r="C64" s="309" t="str">
        <f>CONCATENATE('ketv. 2'!B63)</f>
        <v>07.1.1-CPVA-R-305-11-0002</v>
      </c>
      <c r="D64" s="182" t="str">
        <f>CONCATENATE('3 pr-2'!D64)</f>
        <v>VšĮ Alytaus kultūros ir komunikacijos centro pastato Alytuje, Pramonės g. 1B, rekonstravimas</v>
      </c>
      <c r="E64" s="182" t="str">
        <f>CONCATENATE('3 pr-2'!E64)</f>
        <v>Alytaus miesto savivaldybės administracija</v>
      </c>
      <c r="F64" s="182" t="str">
        <f>CONCATENATE('3 pr-2'!F64)</f>
        <v>Lietuvos Respublikos kultūros ministerija</v>
      </c>
      <c r="G64" s="182" t="str">
        <f>CONCATENATE('3 pr-2'!G64)</f>
        <v>Alytaus m. sav.</v>
      </c>
      <c r="H64" s="182" t="str">
        <f>CONCATENATE('3 pr-2'!H64)</f>
        <v>07.1.1-CPVA-R-305</v>
      </c>
      <c r="I64" s="182" t="str">
        <f>CONCATENATE('3 pr-2'!I64)</f>
        <v>R</v>
      </c>
      <c r="J64" s="182" t="str">
        <f>CONCATENATE('3 pr-2'!J64)</f>
        <v>ITI</v>
      </c>
      <c r="K64" s="1432">
        <f>IF(X64&gt;0,'3 pr-2'!L64,0)</f>
        <v>783264.16</v>
      </c>
      <c r="L64" s="1432">
        <f>IF(X64&gt;0,'3 pr-2'!O64,0)</f>
        <v>131322.34</v>
      </c>
      <c r="M64" s="1432">
        <f>IF(X64&gt;0,'3 pr-2'!R64,0)</f>
        <v>0</v>
      </c>
      <c r="N64" s="1432">
        <f>IF(X64&gt;0,'3 pr-2'!U64,0)</f>
        <v>0</v>
      </c>
      <c r="O64" s="1432">
        <f>IF(X64&gt;0,'3 pr-2'!X64,0)</f>
        <v>352400.82</v>
      </c>
      <c r="P64" s="1432">
        <f>IF(X64&gt;0,'3 pr-2'!AA64,0)</f>
        <v>299541</v>
      </c>
      <c r="Q64" s="1296">
        <f>IF(YEAR(X64)=2016,P64,0)</f>
        <v>0</v>
      </c>
      <c r="R64" s="1296">
        <f>IF(YEAR(X64)=2017,P64,0)</f>
        <v>299541</v>
      </c>
      <c r="S64" s="1296">
        <f>IF(YEAR(X64)=2018,P64,0)</f>
        <v>0</v>
      </c>
      <c r="T64" s="1296">
        <f>IF(YEAR(X64)=2019,P64,0)</f>
        <v>0</v>
      </c>
      <c r="U64" s="1296">
        <f>IF(YEAR(X64)=2020,P64,0)</f>
        <v>0</v>
      </c>
      <c r="V64" s="1435">
        <f>IF(X64&gt;0,'3 pr-2'!$AB$10,0)</f>
        <v>0</v>
      </c>
      <c r="W64" s="1336">
        <f>SUM('3 pr-2'!AI64)</f>
        <v>42855</v>
      </c>
      <c r="X64" s="1370">
        <f>SUMIF('sutarčių ataskaita'!$J$19:$J$600,C64,'sutarčių ataskaita'!$L$19:$L$600)</f>
        <v>42886</v>
      </c>
      <c r="Y64" s="216">
        <f t="shared" si="42"/>
        <v>0</v>
      </c>
      <c r="Z64" s="445">
        <f t="shared" si="43"/>
        <v>-1.0191780821917797</v>
      </c>
    </row>
    <row r="65" spans="1:26" ht="48.75" x14ac:dyDescent="0.25">
      <c r="A65" s="182" t="str">
        <f>CONCATENATE('3 pr-2'!A65)</f>
        <v>1.1.1.8.3</v>
      </c>
      <c r="B65" s="240" t="str">
        <f>CONCATENATE('3 pr-2'!B65)</f>
        <v>R01-3305-330000-1183</v>
      </c>
      <c r="C65" s="309" t="str">
        <f>CONCATENATE('ketv. 2'!B64)</f>
        <v>07.1.1-CPVA-R-305-11-0003</v>
      </c>
      <c r="D65" s="182" t="str">
        <f>CONCATENATE('3 pr-2'!D65)</f>
        <v>Druskininkų kultūros centro lauko scenos, Vilniaus al. 24, Druskininkai, modernizavimas ir pritaikymas kultūros  poreikiams</v>
      </c>
      <c r="E65" s="182" t="str">
        <f>CONCATENATE('3 pr-2'!E65)</f>
        <v xml:space="preserve">Druskininkų savivaldybės administracija  </v>
      </c>
      <c r="F65" s="182" t="str">
        <f>CONCATENATE('3 pr-2'!F65)</f>
        <v>Lietuvos Respublikos kultūros ministerija</v>
      </c>
      <c r="G65" s="182" t="str">
        <f>CONCATENATE('3 pr-2'!G65)</f>
        <v>Druskininkų sav.</v>
      </c>
      <c r="H65" s="182" t="str">
        <f>CONCATENATE('3 pr-2'!H65)</f>
        <v>07.1.1-CPVA-R-305</v>
      </c>
      <c r="I65" s="182" t="str">
        <f>CONCATENATE('3 pr-2'!I65)</f>
        <v>R</v>
      </c>
      <c r="J65" s="182" t="str">
        <f>CONCATENATE('3 pr-2'!J65)</f>
        <v>ITI</v>
      </c>
      <c r="K65" s="1432">
        <f>IF(X65&gt;0,'3 pr-2'!L65,0)</f>
        <v>352401</v>
      </c>
      <c r="L65" s="1432">
        <f>IF(X65&gt;0,'3 pr-2'!O65,0)</f>
        <v>52860.15</v>
      </c>
      <c r="M65" s="1432">
        <f>IF(X65&gt;0,'3 pr-2'!R65,0)</f>
        <v>0</v>
      </c>
      <c r="N65" s="1432">
        <f>IF(X65&gt;0,'3 pr-2'!U65,0)</f>
        <v>0</v>
      </c>
      <c r="O65" s="1432">
        <f>IF(X65&gt;0,'3 pr-2'!X65,0)</f>
        <v>0</v>
      </c>
      <c r="P65" s="1432">
        <f>IF(X65&gt;0,'3 pr-2'!AA65,0)</f>
        <v>299540.84999999998</v>
      </c>
      <c r="Q65" s="1296">
        <f>IF(YEAR(X65)=2016,P65,0)</f>
        <v>0</v>
      </c>
      <c r="R65" s="1296">
        <f>IF(YEAR(X65)=2017,P65,0)</f>
        <v>299540.84999999998</v>
      </c>
      <c r="S65" s="1296">
        <f>IF(YEAR(X65)=2018,P65,0)</f>
        <v>0</v>
      </c>
      <c r="T65" s="1296">
        <f>IF(YEAR(X65)=2019,P65,0)</f>
        <v>0</v>
      </c>
      <c r="U65" s="1296">
        <f>IF(YEAR(X65)=2020,P65,0)</f>
        <v>0</v>
      </c>
      <c r="V65" s="1435">
        <f>IF(X65&gt;0,'3 pr-2'!$AB$10,0)</f>
        <v>0</v>
      </c>
      <c r="W65" s="1336">
        <f>SUM('3 pr-2'!AI65)</f>
        <v>42886</v>
      </c>
      <c r="X65" s="1370">
        <f>SUMIF('sutarčių ataskaita'!$J$19:$J$600,C65,'sutarčių ataskaita'!$L$19:$L$600)</f>
        <v>42857</v>
      </c>
      <c r="Y65" s="216">
        <f t="shared" si="42"/>
        <v>0</v>
      </c>
      <c r="Z65" s="445" t="str">
        <f t="shared" si="43"/>
        <v>–</v>
      </c>
    </row>
    <row r="66" spans="1:26" ht="49.5" thickBot="1" x14ac:dyDescent="0.3">
      <c r="A66" s="182" t="str">
        <f>CONCATENATE('3 pr-2'!A66)</f>
        <v>1.1.1.8.4</v>
      </c>
      <c r="B66" s="240" t="str">
        <f>CONCATENATE('3 pr-2'!B66)</f>
        <v>R01-3305-330200-1184</v>
      </c>
      <c r="C66" s="309" t="str">
        <f>CONCATENATE('ketv. 2'!B65)</f>
        <v>07.1.1-CPVA-R-305-11-0004</v>
      </c>
      <c r="D66" s="182" t="str">
        <f>CONCATENATE('3 pr-2'!D66)</f>
        <v>Pastato rekonstrukcija ir pritaikymas kultūrinėms, muziejinėms ir edukacinėms reikmėms</v>
      </c>
      <c r="E66" s="182" t="str">
        <f>CONCATENATE('3 pr-2'!E66)</f>
        <v>Lazdijų rajono savivaldybės administracija</v>
      </c>
      <c r="F66" s="182" t="str">
        <f>CONCATENATE('3 pr-2'!F66)</f>
        <v>Lietuvos Respublikos kultūros ministerija</v>
      </c>
      <c r="G66" s="182" t="str">
        <f>CONCATENATE('3 pr-2'!G66)</f>
        <v>Lazdijų r. sav.</v>
      </c>
      <c r="H66" s="182" t="str">
        <f>CONCATENATE('3 pr-2'!H66)</f>
        <v>07.1.1-CPVA-R-305</v>
      </c>
      <c r="I66" s="182" t="str">
        <f>CONCATENATE('3 pr-2'!I66)</f>
        <v>R</v>
      </c>
      <c r="J66" s="182" t="str">
        <f>CONCATENATE('3 pr-2'!J66)</f>
        <v>ITI</v>
      </c>
      <c r="K66" s="1432">
        <f>IF(X66&gt;0,'3 pr-2'!L66,0)</f>
        <v>484769.35</v>
      </c>
      <c r="L66" s="1432">
        <f>IF(X66&gt;0,'3 pr-2'!O66,0)</f>
        <v>185228.35</v>
      </c>
      <c r="M66" s="1432">
        <f>IF(X66&gt;0,'3 pr-2'!R66,0)</f>
        <v>0</v>
      </c>
      <c r="N66" s="1432">
        <f>IF(X66&gt;0,'3 pr-2'!U66,0)</f>
        <v>0</v>
      </c>
      <c r="O66" s="1432">
        <f>IF(X66&gt;0,'3 pr-2'!X66,0)</f>
        <v>0</v>
      </c>
      <c r="P66" s="1432">
        <f>IF(X66&gt;0,'3 pr-2'!AA66,0)</f>
        <v>299541</v>
      </c>
      <c r="Q66" s="1296">
        <f>IF(YEAR(X66)=2016,P66,0)</f>
        <v>0</v>
      </c>
      <c r="R66" s="1296">
        <f>IF(YEAR(X66)=2017,P66,0)</f>
        <v>0</v>
      </c>
      <c r="S66" s="1296">
        <f>IF(YEAR(X66)=2018,P66,0)</f>
        <v>299541</v>
      </c>
      <c r="T66" s="1296">
        <f>IF(YEAR(X66)=2019,P66,0)</f>
        <v>0</v>
      </c>
      <c r="U66" s="1296">
        <f>IF(YEAR(X66)=2020,P66,0)</f>
        <v>0</v>
      </c>
      <c r="V66" s="1435">
        <f>IF(X66&gt;0,'3 pr-2'!$AB$10,0)</f>
        <v>0</v>
      </c>
      <c r="W66" s="1336">
        <f>SUM('3 pr-2'!AI66)</f>
        <v>43190</v>
      </c>
      <c r="X66" s="1370">
        <f>SUMIF('sutarčių ataskaita'!$J$19:$J$600,C66,'sutarčių ataskaita'!$L$19:$L$600)</f>
        <v>43203</v>
      </c>
      <c r="Y66" s="216"/>
      <c r="Z66" s="445">
        <f t="shared" si="43"/>
        <v>-0.42739726027397212</v>
      </c>
    </row>
    <row r="67" spans="1:26" ht="39" customHeight="1" thickBot="1" x14ac:dyDescent="0.3">
      <c r="A67" s="326" t="str">
        <f>CONCATENATE('3 pr-2'!A67)</f>
        <v>1.1.1.9</v>
      </c>
      <c r="B67" s="2025" t="str">
        <f>CONCATENATE('3 pr-2'!B67)</f>
        <v>Priemonė:
Aktualizuoti savivaldybių kultūros paveldo objektus</v>
      </c>
      <c r="C67" s="2026"/>
      <c r="D67" s="2026"/>
      <c r="E67" s="2026"/>
      <c r="F67" s="2026"/>
      <c r="G67" s="2026"/>
      <c r="H67" s="2026"/>
      <c r="I67" s="2026"/>
      <c r="J67" s="2027"/>
      <c r="K67" s="1293">
        <f>SUM(K68:K72)</f>
        <v>1227068.57</v>
      </c>
      <c r="L67" s="1293">
        <f t="shared" ref="L67:P67" si="44">SUM(L68:L72)</f>
        <v>402844.57</v>
      </c>
      <c r="M67" s="1293">
        <f t="shared" si="44"/>
        <v>0</v>
      </c>
      <c r="N67" s="1293">
        <f t="shared" si="44"/>
        <v>0</v>
      </c>
      <c r="O67" s="1293">
        <f t="shared" si="44"/>
        <v>0</v>
      </c>
      <c r="P67" s="1293">
        <f t="shared" si="44"/>
        <v>824224</v>
      </c>
      <c r="Q67" s="1504">
        <f>SUM(Q68:Q72)</f>
        <v>0</v>
      </c>
      <c r="R67" s="1505">
        <f t="shared" ref="R67:V67" si="45">SUM(R68:R72)</f>
        <v>0</v>
      </c>
      <c r="S67" s="1504">
        <f t="shared" si="45"/>
        <v>824224</v>
      </c>
      <c r="T67" s="1505">
        <f t="shared" si="45"/>
        <v>0</v>
      </c>
      <c r="U67" s="1506">
        <f t="shared" si="45"/>
        <v>0</v>
      </c>
      <c r="V67" s="1293">
        <f t="shared" si="45"/>
        <v>0</v>
      </c>
      <c r="W67" s="1402"/>
      <c r="X67" s="1402"/>
      <c r="Y67" s="397"/>
      <c r="Z67" s="397"/>
    </row>
    <row r="68" spans="1:26" ht="48.75" x14ac:dyDescent="0.25">
      <c r="A68" s="182" t="str">
        <f>CONCATENATE('3 pr-2'!A68)</f>
        <v>1.1.1.9.1</v>
      </c>
      <c r="B68" s="240" t="str">
        <f>CONCATENATE('3 pr-2'!B68)</f>
        <v>R01-3302-440000-1191</v>
      </c>
      <c r="C68" s="309" t="str">
        <f>CONCATENATE('ketv. 2'!B67)</f>
        <v>05.4.1-CPVA-R-302-11-0003</v>
      </c>
      <c r="D68" s="182" t="str">
        <f>CONCATENATE('3 pr-2'!D68)</f>
        <v>Buvusios sinagogos pastato Kauno g. 9A Alytuje rekonstravimas ir aplinkinės teritorijos sutvarkymas</v>
      </c>
      <c r="E68" s="182" t="str">
        <f>CONCATENATE('3 pr-2'!E68)</f>
        <v>Alytaus miesto savivaldybės administracija</v>
      </c>
      <c r="F68" s="182" t="str">
        <f>CONCATENATE('3 pr-2'!F68)</f>
        <v>Lietuvos Respublikos kultūros ministerija</v>
      </c>
      <c r="G68" s="182" t="str">
        <f>CONCATENATE('3 pr-2'!G68)</f>
        <v>Alytaus m. sav.</v>
      </c>
      <c r="H68" s="182" t="str">
        <f>CONCATENATE('3 pr-2'!H68)</f>
        <v>05.4.1-CPVA-R-302</v>
      </c>
      <c r="I68" s="182" t="str">
        <f>CONCATENATE('3 pr-2'!I68)</f>
        <v>R</v>
      </c>
      <c r="J68" s="182" t="str">
        <f>CONCATENATE('3 pr-2'!J68)</f>
        <v>ITI</v>
      </c>
      <c r="K68" s="1432">
        <f>IF(X68&gt;0,'3 pr-2'!L68,0)</f>
        <v>444560.16000000003</v>
      </c>
      <c r="L68" s="1432">
        <f>IF(X68&gt;0,'3 pr-2'!O68,0)</f>
        <v>238504.16</v>
      </c>
      <c r="M68" s="1432">
        <f>IF(X68&gt;0,'3 pr-2'!R68,0)</f>
        <v>0</v>
      </c>
      <c r="N68" s="1432">
        <f>IF(X68&gt;0,'3 pr-2'!U68,0)</f>
        <v>0</v>
      </c>
      <c r="O68" s="1432">
        <f>IF(X68&gt;0,'3 pr-2'!X68,0)</f>
        <v>0</v>
      </c>
      <c r="P68" s="1432">
        <f>IF(X68&gt;0,'3 pr-2'!AA68,0)</f>
        <v>206056</v>
      </c>
      <c r="Q68" s="1296">
        <f>IF(YEAR(X68)=2016,P68,0)</f>
        <v>0</v>
      </c>
      <c r="R68" s="1296">
        <f>IF(YEAR(X68)=2017,P68,0)</f>
        <v>0</v>
      </c>
      <c r="S68" s="1296">
        <f>IF(YEAR(X68)=2018,P68,0)</f>
        <v>206056</v>
      </c>
      <c r="T68" s="1296">
        <f>IF(YEAR(X68)=2019,P68,0)</f>
        <v>0</v>
      </c>
      <c r="U68" s="1296">
        <f>IF(YEAR(X68)=2020,P68,0)</f>
        <v>0</v>
      </c>
      <c r="V68" s="1435">
        <f>IF(X68&gt;0,'3 pr-2'!$AB$10,0)</f>
        <v>0</v>
      </c>
      <c r="W68" s="1336">
        <f>SUM('3 pr-2'!AI68)</f>
        <v>43281</v>
      </c>
      <c r="X68" s="1370">
        <f>SUMIF('sutarčių ataskaita'!$J$19:$J$600,C68,'sutarčių ataskaita'!$L$19:$L$600)</f>
        <v>43276</v>
      </c>
      <c r="Y68" s="216"/>
      <c r="Z68" s="445" t="str">
        <f t="shared" ref="Z68:Z72" si="46">IF(W68-X68&lt;0,(W68-X68)/30.4166666666667,"–")</f>
        <v>–</v>
      </c>
    </row>
    <row r="69" spans="1:26" ht="48.75" x14ac:dyDescent="0.25">
      <c r="A69" s="182" t="str">
        <f>CONCATENATE('3 pr-2'!A69)</f>
        <v>1.1.1.9.2</v>
      </c>
      <c r="B69" s="240" t="str">
        <f>CONCATENATE('3 pr-2'!B69)</f>
        <v>R01-3302-440000-1192</v>
      </c>
      <c r="C69" s="309" t="str">
        <f>CONCATENATE('ketv. 2'!B68)</f>
        <v>05.4.1-CPVA-R-302-11-0002</v>
      </c>
      <c r="D69" s="182" t="str">
        <f>CONCATENATE('3 pr-2'!D69)</f>
        <v>Mažosios dailės galerijos, M.K.Čiurlionio g. 37, Druskininkai, modernizavimas ir pritaikymas kultūros poreikiams</v>
      </c>
      <c r="E69" s="182" t="str">
        <f>CONCATENATE('3 pr-2'!E69)</f>
        <v xml:space="preserve">Druskininkų savivaldybės administracija  </v>
      </c>
      <c r="F69" s="182" t="str">
        <f>CONCATENATE('3 pr-2'!F69)</f>
        <v>Lietuvos Respublikos kultūros ministerija</v>
      </c>
      <c r="G69" s="182" t="str">
        <f>CONCATENATE('3 pr-2'!G69)</f>
        <v>Druskininkų sav.</v>
      </c>
      <c r="H69" s="182" t="str">
        <f>CONCATENATE('3 pr-2'!H69)</f>
        <v>05.4.1-CPVA-R-302</v>
      </c>
      <c r="I69" s="182" t="str">
        <f>CONCATENATE('3 pr-2'!I69)</f>
        <v>R</v>
      </c>
      <c r="J69" s="182" t="str">
        <f>CONCATENATE('3 pr-2'!J69)</f>
        <v>-</v>
      </c>
      <c r="K69" s="1432">
        <f>IF(X69&gt;0,'3 pr-2'!L69,0)</f>
        <v>297670.41000000003</v>
      </c>
      <c r="L69" s="1432">
        <f>IF(X69&gt;0,'3 pr-2'!O69,0)</f>
        <v>91614.41</v>
      </c>
      <c r="M69" s="1432">
        <f>IF(X69&gt;0,'3 pr-2'!R69,0)</f>
        <v>0</v>
      </c>
      <c r="N69" s="1432">
        <f>IF(X69&gt;0,'3 pr-2'!U69,0)</f>
        <v>0</v>
      </c>
      <c r="O69" s="1432">
        <f>IF(X69&gt;0,'3 pr-2'!X69,0)</f>
        <v>0</v>
      </c>
      <c r="P69" s="1432">
        <f>IF(X69&gt;0,'3 pr-2'!AA69,0)</f>
        <v>206056</v>
      </c>
      <c r="Q69" s="1296">
        <f>IF(YEAR(X69)=2016,P69,0)</f>
        <v>0</v>
      </c>
      <c r="R69" s="1296">
        <f>IF(YEAR(X69)=2017,P69,0)</f>
        <v>0</v>
      </c>
      <c r="S69" s="1296">
        <f>IF(YEAR(X69)=2018,P69,0)</f>
        <v>206056</v>
      </c>
      <c r="T69" s="1296">
        <f>IF(YEAR(X69)=2019,P69,0)</f>
        <v>0</v>
      </c>
      <c r="U69" s="1296">
        <f>IF(YEAR(X69)=2020,P69,0)</f>
        <v>0</v>
      </c>
      <c r="V69" s="1435">
        <f>IF(X69&gt;0,'3 pr-2'!$AB$10,0)</f>
        <v>0</v>
      </c>
      <c r="W69" s="1336">
        <f>SUM('3 pr-2'!AI69)</f>
        <v>43281</v>
      </c>
      <c r="X69" s="1370">
        <f>SUMIF('sutarčių ataskaita'!$J$19:$J$600,C69,'sutarčių ataskaita'!$L$19:$L$600)</f>
        <v>43285</v>
      </c>
      <c r="Y69" s="216"/>
      <c r="Z69" s="445">
        <f t="shared" si="46"/>
        <v>-0.13150684931506834</v>
      </c>
    </row>
    <row r="70" spans="1:26" ht="48.75" x14ac:dyDescent="0.25">
      <c r="A70" s="182" t="str">
        <f>CONCATENATE('3 pr-2'!A70)</f>
        <v>1.1.1.9.3</v>
      </c>
      <c r="B70" s="240" t="str">
        <f>CONCATENATE('3 pr-2'!B70)</f>
        <v>R01-3302-440200-1193</v>
      </c>
      <c r="C70" s="309" t="str">
        <f>CONCATENATE('ketv. 2'!B69)</f>
        <v>05.4.1-CPVA-R-302-11-0001</v>
      </c>
      <c r="D70" s="182" t="str">
        <f>CONCATENATE('3 pr-2'!D70)</f>
        <v>Motiejaus  Gustaičio  memorialinio  namo  kompleksinis sutvarkymas</v>
      </c>
      <c r="E70" s="182" t="str">
        <f>CONCATENATE('3 pr-2'!E70)</f>
        <v>Lazdijų rajono savivaldybės administracija</v>
      </c>
      <c r="F70" s="182" t="str">
        <f>CONCATENATE('3 pr-2'!F70)</f>
        <v>Lietuvos Respublikos kultūros ministerija</v>
      </c>
      <c r="G70" s="182" t="str">
        <f>CONCATENATE('3 pr-2'!G70)</f>
        <v>Lazdijų r. sav.</v>
      </c>
      <c r="H70" s="182" t="str">
        <f>CONCATENATE('3 pr-2'!H70)</f>
        <v>05.4.1-CPVA-R-302</v>
      </c>
      <c r="I70" s="182" t="str">
        <f>CONCATENATE('3 pr-2'!I70)</f>
        <v>R</v>
      </c>
      <c r="J70" s="182" t="str">
        <f>CONCATENATE('3 pr-2'!J70)</f>
        <v>ITI</v>
      </c>
      <c r="K70" s="1432">
        <f>IF(X70&gt;0,'3 pr-2'!L70,0)</f>
        <v>242419</v>
      </c>
      <c r="L70" s="1432">
        <f>IF(X70&gt;0,'3 pr-2'!O70,0)</f>
        <v>36363</v>
      </c>
      <c r="M70" s="1432">
        <f>IF(X70&gt;0,'3 pr-2'!R70,0)</f>
        <v>0</v>
      </c>
      <c r="N70" s="1432">
        <f>IF(X70&gt;0,'3 pr-2'!U70,0)</f>
        <v>0</v>
      </c>
      <c r="O70" s="1432">
        <f>IF(X70&gt;0,'3 pr-2'!X70,0)</f>
        <v>0</v>
      </c>
      <c r="P70" s="1432">
        <f>IF(X70&gt;0,'3 pr-2'!AA70,0)</f>
        <v>206056</v>
      </c>
      <c r="Q70" s="1296">
        <f>IF(YEAR(X70)=2016,P70,0)</f>
        <v>0</v>
      </c>
      <c r="R70" s="1296">
        <f>IF(YEAR(X70)=2017,P70,0)</f>
        <v>0</v>
      </c>
      <c r="S70" s="1296">
        <f>IF(YEAR(X70)=2018,P70,0)</f>
        <v>206056</v>
      </c>
      <c r="T70" s="1296">
        <f>IF(YEAR(X70)=2019,P70,0)</f>
        <v>0</v>
      </c>
      <c r="U70" s="1296">
        <f>IF(YEAR(X70)=2020,P70,0)</f>
        <v>0</v>
      </c>
      <c r="V70" s="1435">
        <f>IF(X70&gt;0,'3 pr-2'!$AB$10,0)</f>
        <v>0</v>
      </c>
      <c r="W70" s="1336">
        <f>SUM('3 pr-2'!AI70)</f>
        <v>43249</v>
      </c>
      <c r="X70" s="1370">
        <f>SUMIF('sutarčių ataskaita'!$J$19:$J$600,C70,'sutarčių ataskaita'!$L$19:$L$600)</f>
        <v>43335</v>
      </c>
      <c r="Y70" s="216"/>
      <c r="Z70" s="445">
        <f t="shared" si="46"/>
        <v>-2.8273972602739694</v>
      </c>
    </row>
    <row r="71" spans="1:26" ht="48.75" x14ac:dyDescent="0.25">
      <c r="A71" s="182" t="str">
        <f>CONCATENATE('3 pr-2'!A71)</f>
        <v>1.1.1.9.4</v>
      </c>
      <c r="B71" s="240" t="str">
        <f>CONCATENATE('3 pr-2'!B71)</f>
        <v>R01-3302-440000-1194</v>
      </c>
      <c r="C71" s="309" t="str">
        <f>CONCATENATE('ketv. 2'!B70)</f>
        <v>05.4.1-CPVA-R-302-11-0004</v>
      </c>
      <c r="D71" s="182" t="str">
        <f>CONCATENATE('3 pr-2'!D71)</f>
        <v>Kurnėnų Lauryno Radziukyno mokyklos pritaikymas kultūrinėms ir turistinėms reikmėms</v>
      </c>
      <c r="E71" s="182" t="str">
        <f>CONCATENATE('3 pr-2'!E71)</f>
        <v>Alytaus rajono savivaldybės administracija</v>
      </c>
      <c r="F71" s="182" t="str">
        <f>CONCATENATE('3 pr-2'!F71)</f>
        <v>Lietuvos Respublikos kultūros ministerija</v>
      </c>
      <c r="G71" s="182" t="str">
        <f>CONCATENATE('3 pr-2'!G71)</f>
        <v>Alytaus r. sav.</v>
      </c>
      <c r="H71" s="182" t="str">
        <f>CONCATENATE('3 pr-2'!H71)</f>
        <v>05.4.1-CPVA-R-302</v>
      </c>
      <c r="I71" s="182" t="str">
        <f>CONCATENATE('3 pr-2'!I71)</f>
        <v>R</v>
      </c>
      <c r="J71" s="182" t="str">
        <f>CONCATENATE('3 pr-2'!J71)</f>
        <v>-</v>
      </c>
      <c r="K71" s="1432">
        <f>IF(X71&gt;0,'3 pr-2'!L71,0)</f>
        <v>0</v>
      </c>
      <c r="L71" s="1432">
        <f>IF(X71&gt;0,'3 pr-2'!O71,0)</f>
        <v>0</v>
      </c>
      <c r="M71" s="1432">
        <f>IF(X71&gt;0,'3 pr-2'!R71,0)</f>
        <v>0</v>
      </c>
      <c r="N71" s="1432">
        <f>IF(X71&gt;0,'3 pr-2'!U71,0)</f>
        <v>0</v>
      </c>
      <c r="O71" s="1432">
        <f>IF(X71&gt;0,'3 pr-2'!X71,0)</f>
        <v>0</v>
      </c>
      <c r="P71" s="1432">
        <f>IF(X71&gt;0,'3 pr-2'!AA71,0)</f>
        <v>0</v>
      </c>
      <c r="Q71" s="1296">
        <f>IF(YEAR(X71)=2016,P71,0)</f>
        <v>0</v>
      </c>
      <c r="R71" s="1296">
        <f>IF(YEAR(X71)=2017,P71,0)</f>
        <v>0</v>
      </c>
      <c r="S71" s="1296">
        <f>IF(YEAR(X71)=2018,P71,0)</f>
        <v>0</v>
      </c>
      <c r="T71" s="1296">
        <f>IF(YEAR(X71)=2019,P71,0)</f>
        <v>0</v>
      </c>
      <c r="U71" s="1296">
        <f>IF(YEAR(X71)=2020,P71,0)</f>
        <v>0</v>
      </c>
      <c r="V71" s="1435">
        <f>IF(X71&gt;0,'3 pr-2'!$AB$10,0)</f>
        <v>0</v>
      </c>
      <c r="W71" s="1336">
        <f>SUM('3 pr-2'!AI71)</f>
        <v>43281</v>
      </c>
      <c r="X71" s="1370"/>
      <c r="Y71" s="216"/>
      <c r="Z71" s="445" t="str">
        <f t="shared" si="46"/>
        <v>–</v>
      </c>
    </row>
    <row r="72" spans="1:26" ht="49.5" thickBot="1" x14ac:dyDescent="0.3">
      <c r="A72" s="259" t="str">
        <f>CONCATENATE('3 pr-2'!A72)</f>
        <v>1.1.1.9.5</v>
      </c>
      <c r="B72" s="240" t="str">
        <f>CONCATENATE('3 pr-2'!B72)</f>
        <v>R01-3302-440000-1195</v>
      </c>
      <c r="C72" s="400" t="str">
        <f>CONCATENATE('ketv. 2'!B71)</f>
        <v>05.4.1-CPVA-R-302-11-0005</v>
      </c>
      <c r="D72" s="259" t="str">
        <f>CONCATENATE('3 pr-2'!D72)</f>
        <v>Vinco Krėvės-Mickevičiaus memorialinio muziejaus atnaujinimas</v>
      </c>
      <c r="E72" s="259" t="str">
        <f>CONCATENATE('3 pr-2'!E72)</f>
        <v>Varėnos rajono savivaldybės administracija</v>
      </c>
      <c r="F72" s="259" t="str">
        <f>CONCATENATE('3 pr-2'!F72)</f>
        <v>Lietuvos Respublikos kultūros ministerija</v>
      </c>
      <c r="G72" s="259" t="str">
        <f>CONCATENATE('3 pr-2'!G72)</f>
        <v>Varėnos r. sav.</v>
      </c>
      <c r="H72" s="259" t="str">
        <f>CONCATENATE('3 pr-2'!H72)</f>
        <v>05.4.1-CPVA-R-302</v>
      </c>
      <c r="I72" s="259" t="str">
        <f>CONCATENATE('3 pr-2'!I72)</f>
        <v>R</v>
      </c>
      <c r="J72" s="259" t="str">
        <f>CONCATENATE('3 pr-2'!J72)</f>
        <v>-</v>
      </c>
      <c r="K72" s="1473">
        <f>IF(X72&gt;0,'3 pr-2'!L72,0)</f>
        <v>242419</v>
      </c>
      <c r="L72" s="1473">
        <f>IF(X72&gt;0,'3 pr-2'!O72,0)</f>
        <v>36363</v>
      </c>
      <c r="M72" s="1473">
        <f>IF(X72&gt;0,'3 pr-2'!R72,0)</f>
        <v>0</v>
      </c>
      <c r="N72" s="1473">
        <f>IF(X72&gt;0,'3 pr-2'!U72,0)</f>
        <v>0</v>
      </c>
      <c r="O72" s="1473">
        <f>IF(X72&gt;0,'3 pr-2'!X72,0)</f>
        <v>0</v>
      </c>
      <c r="P72" s="1473">
        <f>IF(X72&gt;0,'3 pr-2'!AA72,0)</f>
        <v>206056</v>
      </c>
      <c r="Q72" s="1433">
        <f>IF(YEAR(X72)=2016,P72,0)</f>
        <v>0</v>
      </c>
      <c r="R72" s="1433">
        <f>IF(YEAR(X72)=2017,P72,0)</f>
        <v>0</v>
      </c>
      <c r="S72" s="1433">
        <f>IF(YEAR(X72)=2018,P72,0)</f>
        <v>206056</v>
      </c>
      <c r="T72" s="1433">
        <f>IF(YEAR(X72)=2019,P72,0)</f>
        <v>0</v>
      </c>
      <c r="U72" s="1433">
        <f>IF(YEAR(X72)=2020,P72,0)</f>
        <v>0</v>
      </c>
      <c r="V72" s="1435">
        <f>IF(X72&gt;0,'3 pr-2'!$AB$10,0)</f>
        <v>0</v>
      </c>
      <c r="W72" s="1349">
        <f>SUM('3 pr-2'!AI72)</f>
        <v>43342</v>
      </c>
      <c r="X72" s="1370">
        <f>SUMIF('sutarčių ataskaita'!$J$19:$J$600,C72,'sutarčių ataskaita'!$L$19:$L$600)</f>
        <v>43307</v>
      </c>
      <c r="Y72" s="401"/>
      <c r="Z72" s="445" t="str">
        <f t="shared" si="46"/>
        <v>–</v>
      </c>
    </row>
    <row r="73" spans="1:26" ht="33.75" customHeight="1" thickBot="1" x14ac:dyDescent="0.3">
      <c r="A73" s="261" t="str">
        <f>CONCATENATE('3 pr-2'!A73)</f>
        <v>1.1.2.</v>
      </c>
      <c r="B73" s="2022" t="str">
        <f>CONCATENATE('3 pr-2'!B73)</f>
        <v>Uždavinys:
Pagerinti darbo jėgos judėjimo galimybes gerinant susisiekimo sistemas</v>
      </c>
      <c r="C73" s="2023"/>
      <c r="D73" s="2023"/>
      <c r="E73" s="2023"/>
      <c r="F73" s="2023"/>
      <c r="G73" s="2023"/>
      <c r="H73" s="2023"/>
      <c r="I73" s="2023"/>
      <c r="J73" s="2024"/>
      <c r="K73" s="1420">
        <f t="shared" ref="K73:P73" si="47">SUM(K74+K79+K86+K92)</f>
        <v>3742036.54</v>
      </c>
      <c r="L73" s="1420">
        <f t="shared" si="47"/>
        <v>975380.11</v>
      </c>
      <c r="M73" s="1420">
        <f t="shared" si="47"/>
        <v>0</v>
      </c>
      <c r="N73" s="1420">
        <f t="shared" si="47"/>
        <v>0</v>
      </c>
      <c r="O73" s="1420">
        <f t="shared" si="47"/>
        <v>62660</v>
      </c>
      <c r="P73" s="1420">
        <f t="shared" si="47"/>
        <v>2703996.43</v>
      </c>
      <c r="Q73" s="1420"/>
      <c r="R73" s="1512"/>
      <c r="S73" s="1512"/>
      <c r="T73" s="1512"/>
      <c r="U73" s="1513"/>
      <c r="V73" s="1420">
        <f t="shared" ref="V73" si="48">SUM(V74+V79+V86+V92)</f>
        <v>0</v>
      </c>
      <c r="W73" s="1339"/>
      <c r="X73" s="1339"/>
      <c r="Y73" s="408"/>
      <c r="Z73" s="239"/>
    </row>
    <row r="74" spans="1:26" ht="28.5" customHeight="1" thickBot="1" x14ac:dyDescent="0.3">
      <c r="A74" s="326" t="str">
        <f>CONCATENATE('3 pr-2'!A74)</f>
        <v>1.1.2.1</v>
      </c>
      <c r="B74" s="2025" t="str">
        <f>CONCATENATE('3 pr-2'!B74)</f>
        <v>Priemonė:
Vietinio susisiekimo viešojo transporto priemonių parko atnaujinimas</v>
      </c>
      <c r="C74" s="2026"/>
      <c r="D74" s="2026"/>
      <c r="E74" s="2026"/>
      <c r="F74" s="2026"/>
      <c r="G74" s="2026"/>
      <c r="H74" s="2026"/>
      <c r="I74" s="2026"/>
      <c r="J74" s="2027"/>
      <c r="K74" s="1293">
        <f>SUM(K75:K78)</f>
        <v>0</v>
      </c>
      <c r="L74" s="1293">
        <f t="shared" ref="L74:P74" si="49">SUM(L75:L78)</f>
        <v>0</v>
      </c>
      <c r="M74" s="1293">
        <f t="shared" si="49"/>
        <v>0</v>
      </c>
      <c r="N74" s="1293">
        <f t="shared" si="49"/>
        <v>0</v>
      </c>
      <c r="O74" s="1293">
        <f t="shared" si="49"/>
        <v>0</v>
      </c>
      <c r="P74" s="1293">
        <f t="shared" si="49"/>
        <v>0</v>
      </c>
      <c r="Q74" s="1504">
        <f>SUM(Q75:Q78)</f>
        <v>0</v>
      </c>
      <c r="R74" s="1505">
        <f>SUM(R75:R78)</f>
        <v>0</v>
      </c>
      <c r="S74" s="1504">
        <f>SUM(S75:S78)</f>
        <v>0</v>
      </c>
      <c r="T74" s="1505">
        <f>SUM(T75:T78)</f>
        <v>0</v>
      </c>
      <c r="U74" s="1506">
        <f>SUM(U75:U78)</f>
        <v>0</v>
      </c>
      <c r="V74" s="1293">
        <f t="shared" ref="V74" si="50">SUM(V75:V78)</f>
        <v>0</v>
      </c>
      <c r="W74" s="1402"/>
      <c r="X74" s="1402"/>
      <c r="Y74" s="397"/>
      <c r="Z74" s="397"/>
    </row>
    <row r="75" spans="1:26" ht="48.75" x14ac:dyDescent="0.25">
      <c r="A75" s="182" t="str">
        <f>CONCATENATE('3 pr-2'!A75)</f>
        <v>1.1.2.1.1</v>
      </c>
      <c r="B75" s="240" t="str">
        <f>CONCATENATE('3 pr-2'!B75)</f>
        <v>R01-5518-100000-1211</v>
      </c>
      <c r="C75" s="309" t="str">
        <f>CONCATENATE('ketv. 2'!B74)</f>
        <v/>
      </c>
      <c r="D75" s="182" t="str">
        <f>CONCATENATE('3 pr-2'!D75)</f>
        <v xml:space="preserve">Nekenksmingų aplinkai viešojo transporto priemonių įsigijimas Alytaus mieste </v>
      </c>
      <c r="E75" s="182" t="str">
        <f>CONCATENATE('3 pr-2'!E75)</f>
        <v>Alytaus miesto savivaldybės administracija</v>
      </c>
      <c r="F75" s="182" t="str">
        <f>CONCATENATE('3 pr-2'!F75)</f>
        <v>Lietuvos Respublikos susisiekimo ministerija</v>
      </c>
      <c r="G75" s="182" t="str">
        <f>CONCATENATE('3 pr-2'!G75)</f>
        <v>Alytaus m. sav.</v>
      </c>
      <c r="H75" s="182" t="str">
        <f>CONCATENATE('3 pr-2'!H75)</f>
        <v>04.5.1-TID-R-518</v>
      </c>
      <c r="I75" s="182" t="str">
        <f>CONCATENATE('3 pr-2'!I75)</f>
        <v>R</v>
      </c>
      <c r="J75" s="182" t="str">
        <f>CONCATENATE('3 pr-2'!J75)</f>
        <v>ITI</v>
      </c>
      <c r="K75" s="1432">
        <f>IF(X75&gt;0,'3 pr-2'!L75,0)</f>
        <v>0</v>
      </c>
      <c r="L75" s="1432">
        <f>IF(X75&gt;0,'3 pr-2'!O75,0)</f>
        <v>0</v>
      </c>
      <c r="M75" s="1432">
        <f>IF(X75&gt;0,'3 pr-2'!R75,0)</f>
        <v>0</v>
      </c>
      <c r="N75" s="1432">
        <f>IF(X75&gt;0,'3 pr-2'!U75,0)</f>
        <v>0</v>
      </c>
      <c r="O75" s="1432">
        <f>IF(X75&gt;0,'3 pr-2'!X75,0)</f>
        <v>0</v>
      </c>
      <c r="P75" s="1432">
        <f>IF(X75&gt;0,'3 pr-2'!AA75,0)</f>
        <v>0</v>
      </c>
      <c r="Q75" s="1296">
        <f>IF(YEAR(X75)=2016,P75,0)</f>
        <v>0</v>
      </c>
      <c r="R75" s="1296">
        <f>IF(YEAR(X75)=2017,P75,0)</f>
        <v>0</v>
      </c>
      <c r="S75" s="1296">
        <f>IF(YEAR(X75)=2018,P75,0)</f>
        <v>0</v>
      </c>
      <c r="T75" s="1296">
        <f>IF(YEAR(X75)=2019,P75,0)</f>
        <v>0</v>
      </c>
      <c r="U75" s="1296">
        <f>IF(YEAR(X75)=2020,P75,0)</f>
        <v>0</v>
      </c>
      <c r="V75" s="1435">
        <f>IF(X75&gt;0,'3 pr-2'!$AB$10,0)</f>
        <v>0</v>
      </c>
      <c r="W75" s="1336">
        <f>SUM('3 pr-2'!AI75)</f>
        <v>43738</v>
      </c>
      <c r="X75" s="1370"/>
      <c r="Y75" s="182"/>
      <c r="Z75" s="445" t="str">
        <f t="shared" ref="Z75:Z78" si="51">IF(W75-X75&lt;0,(W75-X75)/30.4166666666667,"–")</f>
        <v>–</v>
      </c>
    </row>
    <row r="76" spans="1:26" ht="48.75" x14ac:dyDescent="0.25">
      <c r="A76" s="182" t="str">
        <f>CONCATENATE('3 pr-2'!A76)</f>
        <v>1.1.2.1.2</v>
      </c>
      <c r="B76" s="240" t="str">
        <f>CONCATENATE('3 pr-2'!B76)</f>
        <v>R01-5518-100000-1212</v>
      </c>
      <c r="C76" s="309" t="str">
        <f>CONCATENATE('ketv. 2'!B75)</f>
        <v/>
      </c>
      <c r="D76" s="182" t="str">
        <f>CONCATENATE('3 pr-2'!D76)</f>
        <v>Vietinio susisiekimo transporto priemonių įsigijimas</v>
      </c>
      <c r="E76" s="182" t="str">
        <f>CONCATENATE('3 pr-2'!E76)</f>
        <v>Alytaus rajono savivaldybės administracija</v>
      </c>
      <c r="F76" s="182" t="str">
        <f>CONCATENATE('3 pr-2'!F76)</f>
        <v>Lietuvos Respublikos susisiekimo ministerija</v>
      </c>
      <c r="G76" s="182" t="str">
        <f>CONCATENATE('3 pr-2'!G76)</f>
        <v>Alytaus r. sav.</v>
      </c>
      <c r="H76" s="182" t="str">
        <f>CONCATENATE('3 pr-2'!H76)</f>
        <v>04.5.1-TID-R-518</v>
      </c>
      <c r="I76" s="182" t="str">
        <f>CONCATENATE('3 pr-2'!I76)</f>
        <v>R</v>
      </c>
      <c r="J76" s="182" t="str">
        <f>CONCATENATE('3 pr-2'!J76)</f>
        <v>-</v>
      </c>
      <c r="K76" s="1432">
        <f>IF(X76&gt;0,'3 pr-2'!L76,0)</f>
        <v>0</v>
      </c>
      <c r="L76" s="1432">
        <f>IF(X76&gt;0,'3 pr-2'!O76,0)</f>
        <v>0</v>
      </c>
      <c r="M76" s="1432">
        <f>IF(X76&gt;0,'3 pr-2'!R76,0)</f>
        <v>0</v>
      </c>
      <c r="N76" s="1432">
        <f>IF(X76&gt;0,'3 pr-2'!U76,0)</f>
        <v>0</v>
      </c>
      <c r="O76" s="1432">
        <f>IF(X76&gt;0,'3 pr-2'!X76,0)</f>
        <v>0</v>
      </c>
      <c r="P76" s="1432">
        <f>IF(X76&gt;0,'3 pr-2'!AA76,0)</f>
        <v>0</v>
      </c>
      <c r="Q76" s="1296">
        <f>IF(YEAR(X76)=2016,P76,0)</f>
        <v>0</v>
      </c>
      <c r="R76" s="1296">
        <f>IF(YEAR(X76)=2017,P76,0)</f>
        <v>0</v>
      </c>
      <c r="S76" s="1296">
        <f>IF(YEAR(X76)=2018,P76,0)</f>
        <v>0</v>
      </c>
      <c r="T76" s="1296">
        <f>IF(YEAR(X76)=2019,P76,0)</f>
        <v>0</v>
      </c>
      <c r="U76" s="1296">
        <f>IF(YEAR(X76)=2020,P76,0)</f>
        <v>0</v>
      </c>
      <c r="V76" s="1435">
        <f>IF(X76&gt;0,'3 pr-2'!$AB$10,0)</f>
        <v>0</v>
      </c>
      <c r="W76" s="1336">
        <f>SUM('3 pr-2'!AI76)</f>
        <v>43554</v>
      </c>
      <c r="X76" s="1370"/>
      <c r="Y76" s="182"/>
      <c r="Z76" s="445" t="str">
        <f t="shared" si="51"/>
        <v>–</v>
      </c>
    </row>
    <row r="77" spans="1:26" ht="48.75" x14ac:dyDescent="0.25">
      <c r="A77" s="182" t="str">
        <f>CONCATENATE('3 pr-2'!A77)</f>
        <v>1.1.2.1.3</v>
      </c>
      <c r="B77" s="240" t="str">
        <f>CONCATENATE('3 pr-2'!B77)</f>
        <v>R01-5518-100000-1213</v>
      </c>
      <c r="C77" s="309" t="str">
        <f>CONCATENATE('ketv. 2'!B76)</f>
        <v>04.5.1-TID-R-518-11-0002</v>
      </c>
      <c r="D77" s="182" t="str">
        <f>CONCATENATE('3 pr-2'!D77)</f>
        <v>Ekologiškų transporto priemonių įsigijimas Druskininkų savivaldybėje</v>
      </c>
      <c r="E77" s="182" t="str">
        <f>CONCATENATE('3 pr-2'!E77)</f>
        <v xml:space="preserve">Druskininkų savivaldybės administracija  </v>
      </c>
      <c r="F77" s="182" t="str">
        <f>CONCATENATE('3 pr-2'!F77)</f>
        <v>Lietuvos Respublikos susisiekimo ministerija</v>
      </c>
      <c r="G77" s="182" t="str">
        <f>CONCATENATE('3 pr-2'!G77)</f>
        <v>Druskininkų sav.</v>
      </c>
      <c r="H77" s="182" t="str">
        <f>CONCATENATE('3 pr-2'!H77)</f>
        <v>04.5.1-TID-R-518</v>
      </c>
      <c r="I77" s="182" t="str">
        <f>CONCATENATE('3 pr-2'!I77)</f>
        <v>R</v>
      </c>
      <c r="J77" s="182" t="str">
        <f>CONCATENATE('3 pr-2'!J77)</f>
        <v>-</v>
      </c>
      <c r="K77" s="1432">
        <f>IF(X77&gt;0,'3 pr-2'!L77,0)</f>
        <v>0</v>
      </c>
      <c r="L77" s="1432">
        <f>IF(X77&gt;0,'3 pr-2'!O77,0)</f>
        <v>0</v>
      </c>
      <c r="M77" s="1432">
        <f>IF(X77&gt;0,'3 pr-2'!R77,0)</f>
        <v>0</v>
      </c>
      <c r="N77" s="1432">
        <f>IF(X77&gt;0,'3 pr-2'!U77,0)</f>
        <v>0</v>
      </c>
      <c r="O77" s="1432">
        <f>IF(X77&gt;0,'3 pr-2'!X77,0)</f>
        <v>0</v>
      </c>
      <c r="P77" s="1432">
        <f>IF(X77&gt;0,'3 pr-2'!AA77,0)</f>
        <v>0</v>
      </c>
      <c r="Q77" s="1296">
        <f>IF(YEAR(X77)=2016,P77,0)</f>
        <v>0</v>
      </c>
      <c r="R77" s="1296">
        <f>IF(YEAR(X77)=2017,P77,0)</f>
        <v>0</v>
      </c>
      <c r="S77" s="1296">
        <f>IF(YEAR(X77)=2018,P77,0)</f>
        <v>0</v>
      </c>
      <c r="T77" s="1296">
        <f>IF(YEAR(X77)=2019,P77,0)</f>
        <v>0</v>
      </c>
      <c r="U77" s="1296">
        <f>IF(YEAR(X77)=2020,P77,0)</f>
        <v>0</v>
      </c>
      <c r="V77" s="1435">
        <f>IF(X77&gt;0,'3 pr-2'!$AB$10,0)</f>
        <v>0</v>
      </c>
      <c r="W77" s="1336">
        <f>SUM('3 pr-2'!AI77)</f>
        <v>43434</v>
      </c>
      <c r="X77" s="1370"/>
      <c r="Y77" s="182"/>
      <c r="Z77" s="445" t="str">
        <f t="shared" si="51"/>
        <v>–</v>
      </c>
    </row>
    <row r="78" spans="1:26" ht="49.5" thickBot="1" x14ac:dyDescent="0.3">
      <c r="A78" s="182" t="str">
        <f>CONCATENATE('3 pr-2'!A78)</f>
        <v>1.1.2.1.4</v>
      </c>
      <c r="B78" s="240" t="str">
        <f>CONCATENATE('3 pr-2'!B78)</f>
        <v>R01-5518-100000-1214</v>
      </c>
      <c r="C78" s="309" t="str">
        <f>CONCATENATE('ketv. 2'!B77)</f>
        <v>04.5.1-TID-R-518-11-0001</v>
      </c>
      <c r="D78" s="182" t="str">
        <f>CONCATENATE('3 pr-2'!D78)</f>
        <v>Ekologiškų transporto priemonių įsigijimas  Lazdijų rajono savivaldybėje</v>
      </c>
      <c r="E78" s="182" t="str">
        <f>CONCATENATE('3 pr-2'!E78)</f>
        <v>Lazdijų rajono savivaldybės administracija</v>
      </c>
      <c r="F78" s="182" t="str">
        <f>CONCATENATE('3 pr-2'!F78)</f>
        <v>Lietuvos Respublikos susisiekimo ministerija</v>
      </c>
      <c r="G78" s="182" t="str">
        <f>CONCATENATE('3 pr-2'!G78)</f>
        <v>Lazdijų r. sav.</v>
      </c>
      <c r="H78" s="182" t="str">
        <f>CONCATENATE('3 pr-2'!H78)</f>
        <v>04.5.1-TID-R-518</v>
      </c>
      <c r="I78" s="182" t="str">
        <f>CONCATENATE('3 pr-2'!I78)</f>
        <v>R</v>
      </c>
      <c r="J78" s="182" t="str">
        <f>CONCATENATE('3 pr-2'!J78)</f>
        <v>-</v>
      </c>
      <c r="K78" s="1432">
        <f>IF(X78&gt;0,'3 pr-2'!L78,0)</f>
        <v>0</v>
      </c>
      <c r="L78" s="1432">
        <f>IF(X78&gt;0,'3 pr-2'!O78,0)</f>
        <v>0</v>
      </c>
      <c r="M78" s="1432">
        <f>IF(X78&gt;0,'3 pr-2'!R78,0)</f>
        <v>0</v>
      </c>
      <c r="N78" s="1432">
        <f>IF(X78&gt;0,'3 pr-2'!U78,0)</f>
        <v>0</v>
      </c>
      <c r="O78" s="1432">
        <f>IF(X78&gt;0,'3 pr-2'!X78,0)</f>
        <v>0</v>
      </c>
      <c r="P78" s="1432">
        <f>IF(X78&gt;0,'3 pr-2'!AA78,0)</f>
        <v>0</v>
      </c>
      <c r="Q78" s="1296">
        <f>IF(YEAR(X78)=2016,P78,0)</f>
        <v>0</v>
      </c>
      <c r="R78" s="1296">
        <f>IF(YEAR(X78)=2017,P78,0)</f>
        <v>0</v>
      </c>
      <c r="S78" s="1296">
        <f>IF(YEAR(X78)=2018,P78,0)</f>
        <v>0</v>
      </c>
      <c r="T78" s="1296">
        <f>IF(YEAR(X78)=2019,P78,0)</f>
        <v>0</v>
      </c>
      <c r="U78" s="1296">
        <f>IF(YEAR(X78)=2020,P78,0)</f>
        <v>0</v>
      </c>
      <c r="V78" s="1435">
        <f>IF(X78&gt;0,'3 pr-2'!$AB$10,0)</f>
        <v>0</v>
      </c>
      <c r="W78" s="1336">
        <f>SUM('3 pr-2'!AI78)</f>
        <v>43434</v>
      </c>
      <c r="X78" s="1370"/>
      <c r="Y78" s="182"/>
      <c r="Z78" s="445" t="str">
        <f t="shared" si="51"/>
        <v>–</v>
      </c>
    </row>
    <row r="79" spans="1:26" ht="35.25" customHeight="1" thickBot="1" x14ac:dyDescent="0.3">
      <c r="A79" s="326" t="str">
        <f>CONCATENATE('3 pr-2'!A79)</f>
        <v>1.1.2.2</v>
      </c>
      <c r="B79" s="2025" t="str">
        <f>CONCATENATE('3 pr-2'!B79)</f>
        <v>Priemonė:
Darnaus judumo priemonių diegimas</v>
      </c>
      <c r="C79" s="2026"/>
      <c r="D79" s="2026"/>
      <c r="E79" s="2026"/>
      <c r="F79" s="2026"/>
      <c r="G79" s="2026"/>
      <c r="H79" s="2026"/>
      <c r="I79" s="2026"/>
      <c r="J79" s="2027"/>
      <c r="K79" s="1293">
        <f t="shared" ref="K79:O79" si="52">SUM(K80:K85)</f>
        <v>50638</v>
      </c>
      <c r="L79" s="1293">
        <f t="shared" si="52"/>
        <v>7595.7</v>
      </c>
      <c r="M79" s="1293">
        <f t="shared" si="52"/>
        <v>0</v>
      </c>
      <c r="N79" s="1293">
        <f t="shared" si="52"/>
        <v>0</v>
      </c>
      <c r="O79" s="1293">
        <f t="shared" si="52"/>
        <v>0</v>
      </c>
      <c r="P79" s="1293">
        <f>SUM(P80:P85)</f>
        <v>43042.3</v>
      </c>
      <c r="Q79" s="1504"/>
      <c r="R79" s="1505"/>
      <c r="S79" s="1504"/>
      <c r="T79" s="1505"/>
      <c r="U79" s="1506"/>
      <c r="V79" s="1293">
        <f>SUM(V80:V85)</f>
        <v>0</v>
      </c>
      <c r="W79" s="1402"/>
      <c r="X79" s="1402"/>
      <c r="Y79" s="397"/>
      <c r="Z79" s="397"/>
    </row>
    <row r="80" spans="1:26" ht="48.75" x14ac:dyDescent="0.25">
      <c r="A80" s="366" t="str">
        <f>CONCATENATE('3 pr-2'!A80)</f>
        <v>1.1.2.2.1</v>
      </c>
      <c r="B80" s="240" t="str">
        <f>CONCATENATE('3 pr-2'!B80)</f>
        <v>R01-5514-190000-1221</v>
      </c>
      <c r="C80" s="1181" t="str">
        <f>CONCATENATE('ketv. 2'!B79)</f>
        <v/>
      </c>
      <c r="D80" s="366" t="str">
        <f>CONCATENATE('3 pr-2'!D80)</f>
        <v>Darnaus judumo priemonių diegimas Alytaus mieste</v>
      </c>
      <c r="E80" s="366" t="str">
        <f>CONCATENATE('3 pr-2'!E80)</f>
        <v>Alytaus miesto savivaldybės administracija</v>
      </c>
      <c r="F80" s="366" t="str">
        <f>CONCATENATE('3 pr-2'!F80)</f>
        <v>Lietuvos Respublikos susisiekimo ministerija</v>
      </c>
      <c r="G80" s="366" t="str">
        <f>CONCATENATE('3 pr-2'!G80)</f>
        <v>Alytaus m. sav.</v>
      </c>
      <c r="H80" s="366" t="str">
        <f>CONCATENATE('3 pr-2'!H80)</f>
        <v>04.5.1.-TID-R-514</v>
      </c>
      <c r="I80" s="366" t="str">
        <f>CONCATENATE('3 pr-2'!I80)</f>
        <v>R</v>
      </c>
      <c r="J80" s="366" t="str">
        <f>CONCATENATE('3 pr-2'!J80)</f>
        <v>ITI</v>
      </c>
      <c r="K80" s="1432">
        <f>IF(X80&gt;0,'3 pr-2'!L80,0)</f>
        <v>0</v>
      </c>
      <c r="L80" s="1432">
        <f>IF(X80&gt;0,'3 pr-2'!O80,0)</f>
        <v>0</v>
      </c>
      <c r="M80" s="1432">
        <f>IF(X80&gt;0,'3 pr-2'!R80,0)</f>
        <v>0</v>
      </c>
      <c r="N80" s="1432">
        <f>IF(X80&gt;0,'3 pr-2'!U80,0)</f>
        <v>0</v>
      </c>
      <c r="O80" s="1432">
        <f>IF(X80&gt;0,'3 pr-2'!X80,0)</f>
        <v>0</v>
      </c>
      <c r="P80" s="1432">
        <f>IF(X80&gt;0,'3 pr-2'!AA80,0)</f>
        <v>0</v>
      </c>
      <c r="Q80" s="1432">
        <f t="shared" ref="Q80:Q85" si="53">IF(YEAR(X80)=2016,P80,0)</f>
        <v>0</v>
      </c>
      <c r="R80" s="1432">
        <f t="shared" ref="R80:R85" si="54">IF(YEAR(X80)=2017,P80,0)</f>
        <v>0</v>
      </c>
      <c r="S80" s="1432">
        <f t="shared" ref="S80:S85" si="55">IF(YEAR(X80)=2018,P80,0)</f>
        <v>0</v>
      </c>
      <c r="T80" s="1432">
        <f t="shared" ref="T80:T85" si="56">IF(YEAR(X80)=2019,P80,0)</f>
        <v>0</v>
      </c>
      <c r="U80" s="1432">
        <f t="shared" ref="U80:U85" si="57">IF(YEAR(X80)=2020,P80,0)</f>
        <v>0</v>
      </c>
      <c r="V80" s="1435">
        <f>IF(X80&gt;0,'3 pr-2'!$AB$10,0)</f>
        <v>0</v>
      </c>
      <c r="W80" s="1342">
        <f>SUM('3 pr-2'!AI80)</f>
        <v>43738</v>
      </c>
      <c r="X80" s="1370"/>
      <c r="Y80" s="425"/>
      <c r="Z80" s="445" t="str">
        <f t="shared" ref="Z80:Z83" si="58">IF(W80-X80&lt;0,(W80-X80)/30.4166666666667,"–")</f>
        <v>–</v>
      </c>
    </row>
    <row r="81" spans="1:26" ht="48.75" x14ac:dyDescent="0.25">
      <c r="A81" s="366" t="str">
        <f>CONCATENATE('3 pr-2'!A81)</f>
        <v>1.1.2.2.2</v>
      </c>
      <c r="B81" s="240" t="str">
        <f>CONCATENATE('3 pr-2'!B81)</f>
        <v>R01-5514-190000-1222</v>
      </c>
      <c r="C81" s="1181" t="str">
        <f>CONCATENATE('ketv. 2'!B80)</f>
        <v>04.5.1-TID-V-513-01-0015</v>
      </c>
      <c r="D81" s="366" t="str">
        <f>CONCATENATE('3 pr-2'!D81)</f>
        <v>Alytaus miesto darnaus judumo plano parengimas</v>
      </c>
      <c r="E81" s="366" t="str">
        <f>CONCATENATE('3 pr-2'!E81)</f>
        <v>Alytaus miesto savivaldybės administracija</v>
      </c>
      <c r="F81" s="366" t="str">
        <f>CONCATENATE('3 pr-2'!F81)</f>
        <v>Lietuvos Respublikos susisiekimo ministerija</v>
      </c>
      <c r="G81" s="366" t="str">
        <f>CONCATENATE('3 pr-2'!G81)</f>
        <v>Alytaus m. sav.</v>
      </c>
      <c r="H81" s="366" t="str">
        <f>CONCATENATE('3 pr-2'!H81)</f>
        <v>04.5.1-TID-V-513</v>
      </c>
      <c r="I81" s="366" t="str">
        <f>CONCATENATE('3 pr-2'!I81)</f>
        <v>V</v>
      </c>
      <c r="J81" s="366" t="str">
        <f>CONCATENATE('3 pr-2'!J81)</f>
        <v>ITI</v>
      </c>
      <c r="K81" s="1432">
        <f>IF(X81&gt;0,'3 pr-2'!L81,0)</f>
        <v>33638</v>
      </c>
      <c r="L81" s="1432">
        <f>IF(X81&gt;0,'3 pr-2'!O81,0)</f>
        <v>5045.7</v>
      </c>
      <c r="M81" s="1432">
        <f>IF(X81&gt;0,'3 pr-2'!R81,0)</f>
        <v>0</v>
      </c>
      <c r="N81" s="1432">
        <f>IF(X81&gt;0,'3 pr-2'!U81,0)</f>
        <v>0</v>
      </c>
      <c r="O81" s="1432">
        <f>IF(X81&gt;0,'3 pr-2'!X81,0)</f>
        <v>0</v>
      </c>
      <c r="P81" s="1432">
        <f>IF(X81&gt;0,'3 pr-2'!AA81,0)</f>
        <v>28592.3</v>
      </c>
      <c r="Q81" s="1432">
        <f t="shared" si="53"/>
        <v>0</v>
      </c>
      <c r="R81" s="1432">
        <f t="shared" si="54"/>
        <v>28592.3</v>
      </c>
      <c r="S81" s="1432">
        <f t="shared" si="55"/>
        <v>0</v>
      </c>
      <c r="T81" s="1432">
        <f t="shared" si="56"/>
        <v>0</v>
      </c>
      <c r="U81" s="1432">
        <f t="shared" si="57"/>
        <v>0</v>
      </c>
      <c r="V81" s="1435">
        <f>IF(X81&gt;0,'3 pr-2'!$AB$10,0)</f>
        <v>0</v>
      </c>
      <c r="W81" s="1342">
        <f>SUM('3 pr-2'!AI81)</f>
        <v>42947</v>
      </c>
      <c r="X81" s="1344">
        <v>42954</v>
      </c>
      <c r="Y81" s="423">
        <f t="shared" ref="Y81" si="59">IF((YEAR(W81)-YEAR(X81))=0,0,YEAR(W81)-YEAR(X81))</f>
        <v>0</v>
      </c>
      <c r="Z81" s="445">
        <f t="shared" si="58"/>
        <v>-0.23013698630136961</v>
      </c>
    </row>
    <row r="82" spans="1:26" ht="48.75" x14ac:dyDescent="0.25">
      <c r="A82" s="366" t="str">
        <f>CONCATENATE('3 pr-2'!A82)</f>
        <v>1.1.2.2.3</v>
      </c>
      <c r="B82" s="240" t="str">
        <f>CONCATENATE('3 pr-2'!B82)</f>
        <v>R01-5514-191800-1223</v>
      </c>
      <c r="C82" s="1181" t="str">
        <f>CONCATENATE('ketv. 2'!B81)</f>
        <v/>
      </c>
      <c r="D82" s="366" t="str">
        <f>CONCATENATE('3 pr-2'!D82)</f>
        <v>Intelektinių transporto sistemų diegimas Druskininkuose</v>
      </c>
      <c r="E82" s="366" t="str">
        <f>CONCATENATE('3 pr-2'!E82)</f>
        <v>Druskininkų savivaldybės administracija</v>
      </c>
      <c r="F82" s="366" t="str">
        <f>CONCATENATE('3 pr-2'!F82)</f>
        <v>Lietuvos Respublikos susisiekimo ministerija</v>
      </c>
      <c r="G82" s="366" t="str">
        <f>CONCATENATE('3 pr-2'!G82)</f>
        <v>Druskininkų sav.</v>
      </c>
      <c r="H82" s="366" t="str">
        <f>CONCATENATE('3 pr-2'!H82)</f>
        <v>04.5.1.-TID-R-514</v>
      </c>
      <c r="I82" s="366" t="str">
        <f>CONCATENATE('3 pr-2'!I82)</f>
        <v>R</v>
      </c>
      <c r="J82" s="366" t="str">
        <f>CONCATENATE('3 pr-2'!J82)</f>
        <v>-</v>
      </c>
      <c r="K82" s="1432">
        <f>IF(X82&gt;0,'3 pr-2'!L82,0)</f>
        <v>0</v>
      </c>
      <c r="L82" s="1432">
        <f>IF(X82&gt;0,'3 pr-2'!O82,0)</f>
        <v>0</v>
      </c>
      <c r="M82" s="1432">
        <f>IF(X82&gt;0,'3 pr-2'!R82,0)</f>
        <v>0</v>
      </c>
      <c r="N82" s="1432">
        <f>IF(X82&gt;0,'3 pr-2'!U82,0)</f>
        <v>0</v>
      </c>
      <c r="O82" s="1432">
        <f>IF(X82&gt;0,'3 pr-2'!X82,0)</f>
        <v>0</v>
      </c>
      <c r="P82" s="1432">
        <f>IF(X82&gt;0,'3 pr-2'!AA82,0)</f>
        <v>0</v>
      </c>
      <c r="Q82" s="1432">
        <f t="shared" si="53"/>
        <v>0</v>
      </c>
      <c r="R82" s="1432">
        <f t="shared" si="54"/>
        <v>0</v>
      </c>
      <c r="S82" s="1432">
        <f t="shared" si="55"/>
        <v>0</v>
      </c>
      <c r="T82" s="1432">
        <f t="shared" si="56"/>
        <v>0</v>
      </c>
      <c r="U82" s="1432">
        <f t="shared" si="57"/>
        <v>0</v>
      </c>
      <c r="V82" s="1435">
        <f>IF(X82&gt;0,'3 pr-2'!$AB$10,0)</f>
        <v>0</v>
      </c>
      <c r="W82" s="1342">
        <f>SUM('3 pr-2'!AI82)</f>
        <v>43611</v>
      </c>
      <c r="X82" s="1344"/>
      <c r="Y82" s="425"/>
      <c r="Z82" s="445" t="str">
        <f t="shared" si="58"/>
        <v>–</v>
      </c>
    </row>
    <row r="83" spans="1:26" ht="48.75" x14ac:dyDescent="0.25">
      <c r="A83" s="366" t="str">
        <f>CONCATENATE('3 pr-2'!A83)</f>
        <v>1.1.2.2.4</v>
      </c>
      <c r="B83" s="240" t="str">
        <f>CONCATENATE('3 pr-2'!B83)</f>
        <v>R01-5514-190000-1224</v>
      </c>
      <c r="C83" s="1181" t="str">
        <f>CONCATENATE('ketv. 2'!B82)</f>
        <v>04.5.1-TID-V-513-01-0006</v>
      </c>
      <c r="D83" s="366" t="str">
        <f>CONCATENATE('3 pr-2'!D83)</f>
        <v>Darnaus judumo plano Druskininkuose parengimas</v>
      </c>
      <c r="E83" s="366" t="str">
        <f>CONCATENATE('3 pr-2'!E83)</f>
        <v>Druskininkų savivaldybės administracija</v>
      </c>
      <c r="F83" s="366" t="str">
        <f>CONCATENATE('3 pr-2'!F83)</f>
        <v>Lietuvos Respublikos susisiekimo ministerija</v>
      </c>
      <c r="G83" s="366" t="str">
        <f>CONCATENATE('3 pr-2'!G83)</f>
        <v>Druskininkų sav.</v>
      </c>
      <c r="H83" s="366" t="str">
        <f>CONCATENATE('3 pr-2'!H83)</f>
        <v>04.5.1-TID-V-513</v>
      </c>
      <c r="I83" s="366" t="str">
        <f>CONCATENATE('3 pr-2'!I83)</f>
        <v>V</v>
      </c>
      <c r="J83" s="366" t="str">
        <f>CONCATENATE('3 pr-2'!J83)</f>
        <v>ITI</v>
      </c>
      <c r="K83" s="1432">
        <f>IF(X83&gt;0,'3 pr-2'!L83,0)</f>
        <v>17000</v>
      </c>
      <c r="L83" s="1432">
        <f>IF(X83&gt;0,'3 pr-2'!O83,0)</f>
        <v>2550</v>
      </c>
      <c r="M83" s="1432">
        <f>IF(X83&gt;0,'3 pr-2'!R83,0)</f>
        <v>0</v>
      </c>
      <c r="N83" s="1432">
        <f>IF(X83&gt;0,'3 pr-2'!U83,0)</f>
        <v>0</v>
      </c>
      <c r="O83" s="1432">
        <f>IF(X83&gt;0,'3 pr-2'!X83,0)</f>
        <v>0</v>
      </c>
      <c r="P83" s="1432">
        <f>IF(X83&gt;0,'3 pr-2'!AA83,0)</f>
        <v>14450</v>
      </c>
      <c r="Q83" s="1432">
        <f t="shared" si="53"/>
        <v>0</v>
      </c>
      <c r="R83" s="1432">
        <f t="shared" si="54"/>
        <v>14450</v>
      </c>
      <c r="S83" s="1432">
        <f t="shared" si="55"/>
        <v>0</v>
      </c>
      <c r="T83" s="1432">
        <f t="shared" si="56"/>
        <v>0</v>
      </c>
      <c r="U83" s="1432">
        <f t="shared" si="57"/>
        <v>0</v>
      </c>
      <c r="V83" s="1435">
        <f>IF(X83&gt;0,'3 pr-2'!$AB$10,0)</f>
        <v>0</v>
      </c>
      <c r="W83" s="1342">
        <f>SUM('3 pr-2'!AI83)</f>
        <v>42825</v>
      </c>
      <c r="X83" s="1344">
        <v>42821</v>
      </c>
      <c r="Y83" s="423">
        <f t="shared" ref="Y83" si="60">IF((YEAR(W83)-YEAR(X83))=0,0,YEAR(W83)-YEAR(X83))</f>
        <v>0</v>
      </c>
      <c r="Z83" s="445" t="str">
        <f t="shared" si="58"/>
        <v>–</v>
      </c>
    </row>
    <row r="84" spans="1:26" ht="48.75" x14ac:dyDescent="0.25">
      <c r="A84" s="366" t="str">
        <f>CONCATENATE('3 pr-2'!A84)</f>
        <v>1.1.2.2.5</v>
      </c>
      <c r="B84" s="240" t="str">
        <f>CONCATENATE('3 pr-2'!B84)</f>
        <v>R01-5514-190000-1225</v>
      </c>
      <c r="C84" s="1181" t="str">
        <f>CONCATENATE('ketv. 2'!B83)</f>
        <v/>
      </c>
      <c r="D84" s="366" t="str">
        <f>CONCATENATE('3 pr-2'!D84)</f>
        <v>Viešojo transporto organizavimo tobulinimas rekonstruojant Druskininkų miesto gatvių infrastruktūrą</v>
      </c>
      <c r="E84" s="366" t="str">
        <f>CONCATENATE('3 pr-2'!E84)</f>
        <v>Druskininkų savivaldybės administracija</v>
      </c>
      <c r="F84" s="366" t="str">
        <f>CONCATENATE('3 pr-2'!F84)</f>
        <v>Lietuvos Respublikos susisiekimo ministerija</v>
      </c>
      <c r="G84" s="366" t="str">
        <f>CONCATENATE('3 pr-2'!G84)</f>
        <v>Druskininkų sav.</v>
      </c>
      <c r="H84" s="366" t="str">
        <f>CONCATENATE('3 pr-2'!H84)</f>
        <v>04.5.1.-TID-R-514</v>
      </c>
      <c r="I84" s="366" t="str">
        <f>CONCATENATE('3 pr-2'!I84)</f>
        <v>R</v>
      </c>
      <c r="J84" s="366" t="str">
        <f>CONCATENATE('3 pr-2'!J84)</f>
        <v>-</v>
      </c>
      <c r="K84" s="1432">
        <f>IF(X84&gt;0,'3 pr-2'!L84,0)</f>
        <v>0</v>
      </c>
      <c r="L84" s="1432">
        <f>IF(X84&gt;0,'3 pr-2'!O84,0)</f>
        <v>0</v>
      </c>
      <c r="M84" s="1432">
        <f>IF(X84&gt;0,'3 pr-2'!R84,0)</f>
        <v>0</v>
      </c>
      <c r="N84" s="1432">
        <f>IF(X84&gt;0,'3 pr-2'!U84,0)</f>
        <v>0</v>
      </c>
      <c r="O84" s="1432">
        <f>IF(X84&gt;0,'3 pr-2'!X84,0)</f>
        <v>0</v>
      </c>
      <c r="P84" s="1432">
        <f>IF(X84&gt;0,'3 pr-2'!AA84,0)</f>
        <v>0</v>
      </c>
      <c r="Q84" s="1432">
        <f t="shared" si="53"/>
        <v>0</v>
      </c>
      <c r="R84" s="1432">
        <f t="shared" si="54"/>
        <v>0</v>
      </c>
      <c r="S84" s="1432">
        <f t="shared" si="55"/>
        <v>0</v>
      </c>
      <c r="T84" s="1432">
        <f t="shared" si="56"/>
        <v>0</v>
      </c>
      <c r="U84" s="1432">
        <f t="shared" si="57"/>
        <v>0</v>
      </c>
      <c r="V84" s="1435">
        <f>IF(X84&gt;0,'3 pr-2'!$AB$10,0)</f>
        <v>0</v>
      </c>
      <c r="W84" s="1342">
        <f>SUM('3 pr-2'!AI84)</f>
        <v>43524</v>
      </c>
      <c r="X84" s="1344"/>
      <c r="Y84" s="423">
        <f t="shared" ref="Y84:Y85" si="61">IF((YEAR(W84)-YEAR(X84))=0,0,YEAR(W84)-YEAR(X84))</f>
        <v>119</v>
      </c>
      <c r="Z84" s="445" t="str">
        <f t="shared" ref="Z84:Z85" si="62">IF(W84-X84&lt;0,(W84-X84)/30.4166666666667,"–")</f>
        <v>–</v>
      </c>
    </row>
    <row r="85" spans="1:26" ht="49.5" thickBot="1" x14ac:dyDescent="0.3">
      <c r="A85" s="366" t="str">
        <f>CONCATENATE('3 pr-2'!A85)</f>
        <v>1.1.2.2.6</v>
      </c>
      <c r="B85" s="240" t="str">
        <f>CONCATENATE('3 pr-2'!B85)</f>
        <v>R01-5514-190000-1226</v>
      </c>
      <c r="C85" s="1181" t="str">
        <f>CONCATENATE('ketv. 2'!B84)</f>
        <v/>
      </c>
      <c r="D85" s="366" t="str">
        <f>CONCATENATE('3 pr-2'!D85)</f>
        <v>Vandens transporto infrastruktūros įrengimas skatinant kitų rūšių transportą</v>
      </c>
      <c r="E85" s="366" t="str">
        <f>CONCATENATE('3 pr-2'!E85)</f>
        <v>Druskininkų savivaldybės administracija</v>
      </c>
      <c r="F85" s="366" t="str">
        <f>CONCATENATE('3 pr-2'!F85)</f>
        <v>Lietuvos Respublikos susisiekimo ministerija</v>
      </c>
      <c r="G85" s="366" t="str">
        <f>CONCATENATE('3 pr-2'!G85)</f>
        <v>Druskininkų sav.</v>
      </c>
      <c r="H85" s="366" t="str">
        <f>CONCATENATE('3 pr-2'!H85)</f>
        <v>04.5.1.-TID-R-514</v>
      </c>
      <c r="I85" s="366" t="str">
        <f>CONCATENATE('3 pr-2'!I85)</f>
        <v>R</v>
      </c>
      <c r="J85" s="366" t="str">
        <f>CONCATENATE('3 pr-2'!J85)</f>
        <v>-</v>
      </c>
      <c r="K85" s="1432">
        <f>IF(X85&gt;0,'3 pr-2'!L85,0)</f>
        <v>0</v>
      </c>
      <c r="L85" s="1432">
        <f>IF(X85&gt;0,'3 pr-2'!O85,0)</f>
        <v>0</v>
      </c>
      <c r="M85" s="1432">
        <f>IF(X85&gt;0,'3 pr-2'!R85,0)</f>
        <v>0</v>
      </c>
      <c r="N85" s="1432">
        <f>IF(X85&gt;0,'3 pr-2'!U85,0)</f>
        <v>0</v>
      </c>
      <c r="O85" s="1432">
        <f>IF(X85&gt;0,'3 pr-2'!X85,0)</f>
        <v>0</v>
      </c>
      <c r="P85" s="1432">
        <f>IF(X85&gt;0,'3 pr-2'!AA85,0)</f>
        <v>0</v>
      </c>
      <c r="Q85" s="1432">
        <f t="shared" si="53"/>
        <v>0</v>
      </c>
      <c r="R85" s="1432">
        <f t="shared" si="54"/>
        <v>0</v>
      </c>
      <c r="S85" s="1432">
        <f t="shared" si="55"/>
        <v>0</v>
      </c>
      <c r="T85" s="1432">
        <f t="shared" si="56"/>
        <v>0</v>
      </c>
      <c r="U85" s="1432">
        <f t="shared" si="57"/>
        <v>0</v>
      </c>
      <c r="V85" s="1435">
        <f>IF(X85&gt;0,'3 pr-2'!$AB$10,0)</f>
        <v>0</v>
      </c>
      <c r="W85" s="1342">
        <f>SUM('3 pr-2'!AI85)</f>
        <v>43797</v>
      </c>
      <c r="X85" s="1344"/>
      <c r="Y85" s="423">
        <f t="shared" si="61"/>
        <v>119</v>
      </c>
      <c r="Z85" s="445" t="str">
        <f t="shared" si="62"/>
        <v>–</v>
      </c>
    </row>
    <row r="86" spans="1:26" ht="33.75" customHeight="1" thickBot="1" x14ac:dyDescent="0.3">
      <c r="A86" s="326" t="str">
        <f>CONCATENATE('3 pr-2'!A86)</f>
        <v>1.1.2.3</v>
      </c>
      <c r="B86" s="2025" t="str">
        <f>CONCATENATE('3 pr-2'!B86)</f>
        <v>Priemonė:
Pėsčiųjų ir dviračių takų rekonstrukcija ir plėtra</v>
      </c>
      <c r="C86" s="2026"/>
      <c r="D86" s="2026"/>
      <c r="E86" s="2026"/>
      <c r="F86" s="2026"/>
      <c r="G86" s="2026"/>
      <c r="H86" s="2026"/>
      <c r="I86" s="2026"/>
      <c r="J86" s="2027"/>
      <c r="K86" s="1293">
        <f>SUM(K87:K91)</f>
        <v>418969.56</v>
      </c>
      <c r="L86" s="1293">
        <f t="shared" ref="L86:P86" si="63">SUM(L87:L91)</f>
        <v>62885.43</v>
      </c>
      <c r="M86" s="1293">
        <f t="shared" si="63"/>
        <v>0</v>
      </c>
      <c r="N86" s="1293">
        <f t="shared" si="63"/>
        <v>0</v>
      </c>
      <c r="O86" s="1293">
        <f t="shared" si="63"/>
        <v>0</v>
      </c>
      <c r="P86" s="1293">
        <f t="shared" si="63"/>
        <v>356084.13</v>
      </c>
      <c r="Q86" s="1504">
        <f>SUM(Q87:Q91)</f>
        <v>0</v>
      </c>
      <c r="R86" s="1505">
        <f t="shared" ref="R86:V86" si="64">SUM(R87:R91)</f>
        <v>115332</v>
      </c>
      <c r="S86" s="1504">
        <f t="shared" si="64"/>
        <v>240752.13</v>
      </c>
      <c r="T86" s="1505">
        <f t="shared" si="64"/>
        <v>0</v>
      </c>
      <c r="U86" s="1506">
        <f t="shared" si="64"/>
        <v>0</v>
      </c>
      <c r="V86" s="1293">
        <f t="shared" si="64"/>
        <v>0</v>
      </c>
      <c r="W86" s="1402"/>
      <c r="X86" s="1402"/>
      <c r="Y86" s="397"/>
      <c r="Z86" s="397"/>
    </row>
    <row r="87" spans="1:26" ht="48.75" x14ac:dyDescent="0.25">
      <c r="A87" s="366" t="str">
        <f>CONCATENATE('3 pr-2'!A87)</f>
        <v>1.1.2.3.1</v>
      </c>
      <c r="B87" s="240" t="str">
        <f>CONCATENATE('3 pr-2'!B87)</f>
        <v>R01-5516-190000-1231</v>
      </c>
      <c r="C87" s="1181" t="str">
        <f>CONCATENATE('ketv. 2'!B86)</f>
        <v>04.5.1-TID-R-516-11-0004</v>
      </c>
      <c r="D87" s="366" t="str">
        <f>CONCATENATE('3 pr-2'!D87)</f>
        <v>Dviračių ir pėsčiųjų takų įrengimas Varėnos miesto J. Basanavičiaus ir Žiedo gatvėse</v>
      </c>
      <c r="E87" s="366" t="str">
        <f>CONCATENATE('3 pr-2'!E87)</f>
        <v>Varėnos rajono savivaldybės administracija</v>
      </c>
      <c r="F87" s="366" t="str">
        <f>CONCATENATE('3 pr-2'!F87)</f>
        <v>Lietuvos Respublikos susisiekimo ministerija</v>
      </c>
      <c r="G87" s="366" t="str">
        <f>CONCATENATE('3 pr-2'!G87)</f>
        <v>Varėnos r. sav.</v>
      </c>
      <c r="H87" s="366" t="str">
        <f>CONCATENATE('3 pr-2'!H87)</f>
        <v>04.5.1-TID-R-516</v>
      </c>
      <c r="I87" s="366" t="str">
        <f>CONCATENATE('3 pr-2'!I87)</f>
        <v>R</v>
      </c>
      <c r="J87" s="366" t="str">
        <f>CONCATENATE('3 pr-2'!J87)</f>
        <v>ITI</v>
      </c>
      <c r="K87" s="1432">
        <f>IF(X87&gt;0,'3 pr-2'!L87,0)</f>
        <v>96513</v>
      </c>
      <c r="L87" s="1432">
        <f>IF(X87&gt;0,'3 pr-2'!O87,0)</f>
        <v>14477</v>
      </c>
      <c r="M87" s="1432">
        <f>IF(X87&gt;0,'3 pr-2'!R87,0)</f>
        <v>0</v>
      </c>
      <c r="N87" s="1432">
        <f>IF(X87&gt;0,'3 pr-2'!U87,0)</f>
        <v>0</v>
      </c>
      <c r="O87" s="1432">
        <f>IF(X87&gt;0,'3 pr-2'!X87,0)</f>
        <v>0</v>
      </c>
      <c r="P87" s="1432">
        <f>IF(X87&gt;0,'3 pr-2'!AA87,0)</f>
        <v>82036</v>
      </c>
      <c r="Q87" s="1432">
        <f>IF(YEAR(X87)=2016,P87,0)</f>
        <v>0</v>
      </c>
      <c r="R87" s="1432">
        <f>IF(YEAR(X87)=2017,P87,0)</f>
        <v>0</v>
      </c>
      <c r="S87" s="1432">
        <f>IF(YEAR(X87)=2018,P87,0)</f>
        <v>82036</v>
      </c>
      <c r="T87" s="1432">
        <f>IF(YEAR(X87)=2019,P87,0)</f>
        <v>0</v>
      </c>
      <c r="U87" s="1432">
        <f>IF(YEAR(X87)=2020,P87,0)</f>
        <v>0</v>
      </c>
      <c r="V87" s="1435">
        <f>IF(X87&gt;0,'3 pr-2'!$AB$10,0)</f>
        <v>0</v>
      </c>
      <c r="W87" s="1342">
        <f>SUM('3 pr-2'!AI87)</f>
        <v>43190</v>
      </c>
      <c r="X87" s="1370">
        <f>SUMIF('sutarčių ataskaita'!$J$19:$J$600,C87,'sutarčių ataskaita'!$L$19:$L$600)</f>
        <v>43193</v>
      </c>
      <c r="Y87" s="423"/>
      <c r="Z87" s="445">
        <f t="shared" ref="Z87:Z91" si="65">IF(W87-X87&lt;0,(W87-X87)/30.4166666666667,"–")</f>
        <v>-9.8630136986301256E-2</v>
      </c>
    </row>
    <row r="88" spans="1:26" ht="48.75" x14ac:dyDescent="0.25">
      <c r="A88" s="366" t="str">
        <f>CONCATENATE('3 pr-2'!A88)</f>
        <v>1.1.2.3.2</v>
      </c>
      <c r="B88" s="240" t="str">
        <f>CONCATENATE('3 pr-2'!B88)</f>
        <v>R01-5516-190000-1232</v>
      </c>
      <c r="C88" s="1181" t="str">
        <f>CONCATENATE('ketv. 2'!B87)</f>
        <v>04.5.1-TID-R-516-11-0001</v>
      </c>
      <c r="D88" s="366" t="str">
        <f>CONCATENATE('3 pr-2'!D88)</f>
        <v>Dviračių trasų infrastruktūros įrengimas nuo Putinų g. žiedo Pramonės gatvėje, Alytaus mieste</v>
      </c>
      <c r="E88" s="366" t="str">
        <f>CONCATENATE('3 pr-2'!E88)</f>
        <v>Alytaus miesto savivaldybės administracija</v>
      </c>
      <c r="F88" s="366" t="str">
        <f>CONCATENATE('3 pr-2'!F88)</f>
        <v>Lietuvos Respublikos susisiekimo ministerija</v>
      </c>
      <c r="G88" s="366" t="str">
        <f>CONCATENATE('3 pr-2'!G88)</f>
        <v>Alytaus m. sav.</v>
      </c>
      <c r="H88" s="366" t="str">
        <f>CONCATENATE('3 pr-2'!H88)</f>
        <v>04.5.1-TID-R-516</v>
      </c>
      <c r="I88" s="366" t="str">
        <f>CONCATENATE('3 pr-2'!I88)</f>
        <v>R</v>
      </c>
      <c r="J88" s="366" t="str">
        <f>CONCATENATE('3 pr-2'!J88)</f>
        <v>ITI</v>
      </c>
      <c r="K88" s="1432">
        <f>IF(X88&gt;0,'3 pr-2'!L88,0)</f>
        <v>135732</v>
      </c>
      <c r="L88" s="1432">
        <f>IF(X88&gt;0,'3 pr-2'!O88,0)</f>
        <v>20400</v>
      </c>
      <c r="M88" s="1432">
        <f>IF(X88&gt;0,'3 pr-2'!R88,0)</f>
        <v>0</v>
      </c>
      <c r="N88" s="1432">
        <f>IF(X88&gt;0,'3 pr-2'!U88,0)</f>
        <v>0</v>
      </c>
      <c r="O88" s="1432">
        <f>IF(X88&gt;0,'3 pr-2'!X88,0)</f>
        <v>0</v>
      </c>
      <c r="P88" s="1432">
        <f>IF(X88&gt;0,'3 pr-2'!AA88,0)</f>
        <v>115332</v>
      </c>
      <c r="Q88" s="1432">
        <f>IF(YEAR(X88)=2016,P88,0)</f>
        <v>0</v>
      </c>
      <c r="R88" s="1432">
        <f>IF(YEAR(X88)=2017,P88,0)</f>
        <v>115332</v>
      </c>
      <c r="S88" s="1432">
        <f>IF(YEAR(X88)=2018,P88,0)</f>
        <v>0</v>
      </c>
      <c r="T88" s="1432">
        <f>IF(YEAR(X88)=2019,P88,0)</f>
        <v>0</v>
      </c>
      <c r="U88" s="1432">
        <f>IF(YEAR(X88)=2020,P88,0)</f>
        <v>0</v>
      </c>
      <c r="V88" s="1435">
        <f>IF(X88&gt;0,'3 pr-2'!$AB$10,0)</f>
        <v>0</v>
      </c>
      <c r="W88" s="1342">
        <f>SUM('3 pr-2'!AI88)</f>
        <v>42978</v>
      </c>
      <c r="X88" s="1370">
        <f>SUMIF('sutarčių ataskaita'!$J$19:$J$600,C88,'sutarčių ataskaita'!$L$19:$L$600)</f>
        <v>42991</v>
      </c>
      <c r="Y88" s="423">
        <f t="shared" ref="Y88" si="66">IF((YEAR(W88)-YEAR(X88))=0,0,YEAR(W88)-YEAR(X88))</f>
        <v>0</v>
      </c>
      <c r="Z88" s="445">
        <f t="shared" si="65"/>
        <v>-0.42739726027397212</v>
      </c>
    </row>
    <row r="89" spans="1:26" ht="48.75" x14ac:dyDescent="0.25">
      <c r="A89" s="366" t="str">
        <f>CONCATENATE('3 pr-2'!A89)</f>
        <v>1.1.2.3.3</v>
      </c>
      <c r="B89" s="240" t="str">
        <f>CONCATENATE('3 pr-2'!B89)</f>
        <v>R01-5516-190000-1233</v>
      </c>
      <c r="C89" s="1181" t="str">
        <f>CONCATENATE('ketv. 2'!B88)</f>
        <v>04.5.1-TID-R-516-11-0002</v>
      </c>
      <c r="D89" s="366" t="str">
        <f>CONCATENATE('3 pr-2'!D89)</f>
        <v>Dviračių ir pėsčiųjų takų plėtra Lazdijų miesto Turistų gatvėje iki sodų bendrijos „Baltasis“ Lazdijų seniūnijoje</v>
      </c>
      <c r="E89" s="366" t="str">
        <f>CONCATENATE('3 pr-2'!E89)</f>
        <v>Lazdijų rajono savivaldybės administracija</v>
      </c>
      <c r="F89" s="366" t="str">
        <f>CONCATENATE('3 pr-2'!F89)</f>
        <v>Lietuvos Respublikos susisiekimo ministerija</v>
      </c>
      <c r="G89" s="366" t="str">
        <f>CONCATENATE('3 pr-2'!G89)</f>
        <v>Lazdijų r. sav.</v>
      </c>
      <c r="H89" s="366" t="str">
        <f>CONCATENATE('3 pr-2'!H89)</f>
        <v>04.5.1-TID-R-516</v>
      </c>
      <c r="I89" s="366" t="str">
        <f>CONCATENATE('3 pr-2'!I89)</f>
        <v>R</v>
      </c>
      <c r="J89" s="366" t="str">
        <f>CONCATENATE('3 pr-2'!J89)</f>
        <v>ITI</v>
      </c>
      <c r="K89" s="1432">
        <f>IF(X89&gt;0,'3 pr-2'!L89,0)</f>
        <v>87775</v>
      </c>
      <c r="L89" s="1432">
        <f>IF(X89&gt;0,'3 pr-2'!O89,0)</f>
        <v>13166</v>
      </c>
      <c r="M89" s="1432">
        <f>IF(X89&gt;0,'3 pr-2'!R89,0)</f>
        <v>0</v>
      </c>
      <c r="N89" s="1432">
        <f>IF(X89&gt;0,'3 pr-2'!U89,0)</f>
        <v>0</v>
      </c>
      <c r="O89" s="1432">
        <f>IF(X89&gt;0,'3 pr-2'!X89,0)</f>
        <v>0</v>
      </c>
      <c r="P89" s="1432">
        <f>IF(X89&gt;0,'3 pr-2'!AA89,0)</f>
        <v>74609</v>
      </c>
      <c r="Q89" s="1432">
        <f>IF(YEAR(X89)=2016,P89,0)</f>
        <v>0</v>
      </c>
      <c r="R89" s="1432">
        <f>IF(YEAR(X89)=2017,P89,0)</f>
        <v>0</v>
      </c>
      <c r="S89" s="1432">
        <f>IF(YEAR(X89)=2018,P89,0)</f>
        <v>74609</v>
      </c>
      <c r="T89" s="1432">
        <f>IF(YEAR(X89)=2019,P89,0)</f>
        <v>0</v>
      </c>
      <c r="U89" s="1432">
        <f>IF(YEAR(X89)=2020,P89,0)</f>
        <v>0</v>
      </c>
      <c r="V89" s="1435">
        <f>IF(X89&gt;0,'3 pr-2'!$AB$10,0)</f>
        <v>0</v>
      </c>
      <c r="W89" s="1342">
        <f>SUM('3 pr-2'!AI89)</f>
        <v>43100</v>
      </c>
      <c r="X89" s="1370">
        <f>SUMIF('sutarčių ataskaita'!$J$19:$J$600,C89,'sutarčių ataskaita'!$L$19:$L$600)</f>
        <v>43119</v>
      </c>
      <c r="Y89" s="423"/>
      <c r="Z89" s="445">
        <f t="shared" si="65"/>
        <v>-0.62465753424657466</v>
      </c>
    </row>
    <row r="90" spans="1:26" ht="48.75" x14ac:dyDescent="0.25">
      <c r="A90" s="366" t="str">
        <f>CONCATENATE('3 pr-2'!A90)</f>
        <v>1.1.2.3.4</v>
      </c>
      <c r="B90" s="240" t="str">
        <f>CONCATENATE('3 pr-2'!B90)</f>
        <v>R01-5516-190000-1234</v>
      </c>
      <c r="C90" s="1181" t="str">
        <f>CONCATENATE('ketv. 2'!B89)</f>
        <v>04.5.1-TID-R-516-11-0005</v>
      </c>
      <c r="D90" s="366" t="str">
        <f>CONCATENATE('3 pr-2'!D90)</f>
        <v>Pėsčiųjų ir dviračių takų plėtra Simno seniūnijoje</v>
      </c>
      <c r="E90" s="366" t="str">
        <f>CONCATENATE('3 pr-2'!E90)</f>
        <v>Alytaus rajono savivaldybės administracija</v>
      </c>
      <c r="F90" s="366" t="str">
        <f>CONCATENATE('3 pr-2'!F90)</f>
        <v>Lietuvos Respublikos susisiekimo ministerija</v>
      </c>
      <c r="G90" s="366" t="str">
        <f>CONCATENATE('3 pr-2'!G90)</f>
        <v>Alytaus r. sav.</v>
      </c>
      <c r="H90" s="366" t="str">
        <f>CONCATENATE('3 pr-2'!H90)</f>
        <v>04.5.1-TID-R-516</v>
      </c>
      <c r="I90" s="366" t="str">
        <f>CONCATENATE('3 pr-2'!I90)</f>
        <v>R</v>
      </c>
      <c r="J90" s="366" t="str">
        <f>CONCATENATE('3 pr-2'!J90)</f>
        <v>-</v>
      </c>
      <c r="K90" s="1432">
        <f>IF(X90&gt;0,'3 pr-2'!L90,0)</f>
        <v>98949.56</v>
      </c>
      <c r="L90" s="1432">
        <f>IF(X90&gt;0,'3 pr-2'!O90,0)</f>
        <v>14842.43</v>
      </c>
      <c r="M90" s="1432">
        <f>IF(X90&gt;0,'3 pr-2'!R90,0)</f>
        <v>0</v>
      </c>
      <c r="N90" s="1432">
        <f>IF(X90&gt;0,'3 pr-2'!U90,0)</f>
        <v>0</v>
      </c>
      <c r="O90" s="1432">
        <f>IF(X90&gt;0,'3 pr-2'!X90,0)</f>
        <v>0</v>
      </c>
      <c r="P90" s="1432">
        <f>IF(X90&gt;0,'3 pr-2'!AA90,0)</f>
        <v>84107.13</v>
      </c>
      <c r="Q90" s="1432">
        <f>IF(YEAR(X90)=2016,P90,0)</f>
        <v>0</v>
      </c>
      <c r="R90" s="1432">
        <f>IF(YEAR(X90)=2017,P90,0)</f>
        <v>0</v>
      </c>
      <c r="S90" s="1432">
        <f>IF(YEAR(X90)=2018,P90,0)</f>
        <v>84107.13</v>
      </c>
      <c r="T90" s="1432">
        <f>IF(YEAR(X90)=2019,P90,0)</f>
        <v>0</v>
      </c>
      <c r="U90" s="1432">
        <f>IF(YEAR(X90)=2020,P90,0)</f>
        <v>0</v>
      </c>
      <c r="V90" s="1435">
        <f>IF(X90&gt;0,'3 pr-2'!$AB$10,0)</f>
        <v>0</v>
      </c>
      <c r="W90" s="1342">
        <f>SUM('3 pr-2'!AI90)</f>
        <v>43220</v>
      </c>
      <c r="X90" s="1370">
        <f>SUMIF('sutarčių ataskaita'!$J$19:$J$600,C90,'sutarčių ataskaita'!$L$19:$L$600)</f>
        <v>43243</v>
      </c>
      <c r="Y90" s="423"/>
      <c r="Z90" s="445">
        <f t="shared" si="65"/>
        <v>-0.75616438356164306</v>
      </c>
    </row>
    <row r="91" spans="1:26" ht="49.5" thickBot="1" x14ac:dyDescent="0.3">
      <c r="A91" s="366" t="str">
        <f>CONCATENATE('3 pr-2'!A91)</f>
        <v>1.1.2.3.5</v>
      </c>
      <c r="B91" s="240" t="str">
        <f>CONCATENATE('3 pr-2'!B91)</f>
        <v>R01-5516-190000-1235</v>
      </c>
      <c r="C91" s="1181" t="str">
        <f>CONCATENATE('ketv. 2'!B90)</f>
        <v/>
      </c>
      <c r="D91" s="366" t="str">
        <f>CONCATENATE('3 pr-2'!D91)</f>
        <v>Dviračių ir pėsčiųjų tako, esančio šalia Ratnyčios upelio, Druskininkų mieste, rekonstrukcija</v>
      </c>
      <c r="E91" s="366" t="str">
        <f>CONCATENATE('3 pr-2'!E91)</f>
        <v xml:space="preserve">Druskininkų savivaldybės administracija  </v>
      </c>
      <c r="F91" s="366" t="str">
        <f>CONCATENATE('3 pr-2'!F91)</f>
        <v>Lietuvos Respublikos susisiekimo ministerija</v>
      </c>
      <c r="G91" s="366" t="str">
        <f>CONCATENATE('3 pr-2'!G91)</f>
        <v>Druskininkų sav.</v>
      </c>
      <c r="H91" s="366" t="str">
        <f>CONCATENATE('3 pr-2'!H91)</f>
        <v>04.5.1-TID-R-516</v>
      </c>
      <c r="I91" s="366" t="str">
        <f>CONCATENATE('3 pr-2'!I91)</f>
        <v>R</v>
      </c>
      <c r="J91" s="366" t="str">
        <f>CONCATENATE('3 pr-2'!J91)</f>
        <v>-</v>
      </c>
      <c r="K91" s="1432">
        <f>IF(X91&gt;0,'3 pr-2'!L91,0)</f>
        <v>0</v>
      </c>
      <c r="L91" s="1432">
        <f>IF(X91&gt;0,'3 pr-2'!O91,0)</f>
        <v>0</v>
      </c>
      <c r="M91" s="1432">
        <f>IF(X91&gt;0,'3 pr-2'!R91,0)</f>
        <v>0</v>
      </c>
      <c r="N91" s="1432">
        <f>IF(X91&gt;0,'3 pr-2'!U91,0)</f>
        <v>0</v>
      </c>
      <c r="O91" s="1432">
        <f>IF(X91&gt;0,'3 pr-2'!X91,0)</f>
        <v>0</v>
      </c>
      <c r="P91" s="1432">
        <f>IF(X91&gt;0,'3 pr-2'!AA91,0)</f>
        <v>0</v>
      </c>
      <c r="Q91" s="1432">
        <f>IF(YEAR(X91)=2016,P91,0)</f>
        <v>0</v>
      </c>
      <c r="R91" s="1432">
        <f>IF(YEAR(X91)=2017,P91,0)</f>
        <v>0</v>
      </c>
      <c r="S91" s="1432">
        <f>IF(YEAR(X91)=2018,P91,0)</f>
        <v>0</v>
      </c>
      <c r="T91" s="1432">
        <f>IF(YEAR(X91)=2019,P91,0)</f>
        <v>0</v>
      </c>
      <c r="U91" s="1432">
        <f>IF(YEAR(X91)=2020,P91,0)</f>
        <v>0</v>
      </c>
      <c r="V91" s="1435">
        <f>IF(X91&gt;0,'3 pr-2'!$AB$10,0)</f>
        <v>0</v>
      </c>
      <c r="W91" s="1342">
        <f>SUM('3 pr-2'!AI91)</f>
        <v>43599</v>
      </c>
      <c r="X91" s="1370"/>
      <c r="Y91" s="423"/>
      <c r="Z91" s="445" t="str">
        <f t="shared" si="65"/>
        <v>–</v>
      </c>
    </row>
    <row r="92" spans="1:26" ht="29.25" customHeight="1" thickBot="1" x14ac:dyDescent="0.3">
      <c r="A92" s="326" t="str">
        <f>CONCATENATE('3 pr-2'!A92)</f>
        <v>1.1.2.4</v>
      </c>
      <c r="B92" s="2025" t="str">
        <f>CONCATENATE('3 pr-2'!B92)</f>
        <v>Priemonė:
Vietinių kelių techninių parametrų ir eismo saugos gerinimas</v>
      </c>
      <c r="C92" s="2026"/>
      <c r="D92" s="2026"/>
      <c r="E92" s="2026"/>
      <c r="F92" s="2026"/>
      <c r="G92" s="2026"/>
      <c r="H92" s="2026"/>
      <c r="I92" s="2026"/>
      <c r="J92" s="2027"/>
      <c r="K92" s="1293">
        <f>SUM(K93:K99)</f>
        <v>3272428.98</v>
      </c>
      <c r="L92" s="1293">
        <f t="shared" ref="L92:P92" si="67">SUM(L93:L99)</f>
        <v>904898.98</v>
      </c>
      <c r="M92" s="1293">
        <f t="shared" si="67"/>
        <v>0</v>
      </c>
      <c r="N92" s="1293">
        <f t="shared" si="67"/>
        <v>0</v>
      </c>
      <c r="O92" s="1293">
        <f t="shared" si="67"/>
        <v>62660</v>
      </c>
      <c r="P92" s="1293">
        <f t="shared" si="67"/>
        <v>2304870</v>
      </c>
      <c r="Q92" s="1504">
        <f>SUM(Q93:Q98)</f>
        <v>0</v>
      </c>
      <c r="R92" s="1505">
        <f t="shared" ref="R92:U92" si="68">SUM(R93:R98)</f>
        <v>1458082</v>
      </c>
      <c r="S92" s="1504">
        <f t="shared" si="68"/>
        <v>846788</v>
      </c>
      <c r="T92" s="1505">
        <f t="shared" si="68"/>
        <v>0</v>
      </c>
      <c r="U92" s="1506">
        <f t="shared" si="68"/>
        <v>0</v>
      </c>
      <c r="V92" s="1293">
        <f t="shared" ref="V92" si="69">SUM(V93:V99)</f>
        <v>0</v>
      </c>
      <c r="W92" s="1402"/>
      <c r="X92" s="1402"/>
      <c r="Y92" s="397"/>
      <c r="Z92" s="397"/>
    </row>
    <row r="93" spans="1:26" ht="48.75" x14ac:dyDescent="0.25">
      <c r="A93" s="366" t="str">
        <f>CONCATENATE('3 pr-2'!A93)</f>
        <v>1.1.2.4.1</v>
      </c>
      <c r="B93" s="240" t="str">
        <f>CONCATENATE('3 pr-2'!B93)</f>
        <v>R01-5511-120000-1241</v>
      </c>
      <c r="C93" s="1181" t="str">
        <f>CONCATENATE('ketv. 2'!B92)</f>
        <v>06.2.1-TID-R-511-11-0002</v>
      </c>
      <c r="D93" s="366" t="str">
        <f>CONCATENATE('3 pr-2'!D93)</f>
        <v>Varėnos miesto J. Basanavičiaus, Savanorių ir M. K. Čiurlionio gatvių rekonstrukcija</v>
      </c>
      <c r="E93" s="366" t="str">
        <f>CONCATENATE('3 pr-2'!E93)</f>
        <v>Varėnos rajono savivaldybės administracija</v>
      </c>
      <c r="F93" s="366" t="str">
        <f>CONCATENATE('3 pr-2'!F93)</f>
        <v>Lietuvos Respublikos susisiekimo ministerija</v>
      </c>
      <c r="G93" s="366" t="str">
        <f>CONCATENATE('3 pr-2'!G93)</f>
        <v>Varėnos r. sav.</v>
      </c>
      <c r="H93" s="366" t="str">
        <f>CONCATENATE('3 pr-2'!H93)</f>
        <v>06.2.1-TID-R-511</v>
      </c>
      <c r="I93" s="366" t="str">
        <f>CONCATENATE('3 pr-2'!I93)</f>
        <v>R</v>
      </c>
      <c r="J93" s="366" t="str">
        <f>CONCATENATE('3 pr-2'!J93)</f>
        <v>ITI</v>
      </c>
      <c r="K93" s="1432">
        <f>IF(X93&gt;0,'3 pr-2'!L93,0)</f>
        <v>835464</v>
      </c>
      <c r="L93" s="1432">
        <f>IF(X93&gt;0,'3 pr-2'!O93,0)</f>
        <v>62660</v>
      </c>
      <c r="M93" s="1432">
        <f>IF(X93&gt;0,'3 pr-2'!R93,0)</f>
        <v>0</v>
      </c>
      <c r="N93" s="1432">
        <f>IF(X93&gt;0,'3 pr-2'!U93,0)</f>
        <v>0</v>
      </c>
      <c r="O93" s="1432">
        <f>IF(X93&gt;0,'3 pr-2'!X93,0)</f>
        <v>62660</v>
      </c>
      <c r="P93" s="1432">
        <f>IF(X93&gt;0,'3 pr-2'!AA93,0)</f>
        <v>710144</v>
      </c>
      <c r="Q93" s="1432">
        <f t="shared" ref="Q93:Q99" si="70">IF(YEAR(X93)=2016,P93,0)</f>
        <v>0</v>
      </c>
      <c r="R93" s="1432">
        <f t="shared" ref="R93:R99" si="71">IF(YEAR(X93)=2017,P93,0)</f>
        <v>710144</v>
      </c>
      <c r="S93" s="1432">
        <f t="shared" ref="S93:S99" si="72">IF(YEAR(X93)=2018,P93,0)</f>
        <v>0</v>
      </c>
      <c r="T93" s="1432">
        <f t="shared" ref="T93:T99" si="73">IF(YEAR(X93)=2019,P93,0)</f>
        <v>0</v>
      </c>
      <c r="U93" s="1432">
        <f t="shared" ref="U93:U99" si="74">IF(YEAR(X93)=2020,P93,0)</f>
        <v>0</v>
      </c>
      <c r="V93" s="1435">
        <f>IF(X93&gt;0,'3 pr-2'!$AB$10,0)</f>
        <v>0</v>
      </c>
      <c r="W93" s="1342">
        <f>SUM('3 pr-2'!AI93)</f>
        <v>43008</v>
      </c>
      <c r="X93" s="1370">
        <f>SUMIF('sutarčių ataskaita'!$J$19:$J$600,C93,'sutarčių ataskaita'!$L$19:$L$600)</f>
        <v>42992</v>
      </c>
      <c r="Y93" s="423">
        <f t="shared" ref="Y93" si="75">IF((YEAR(W93)-YEAR(X93))=0,0,YEAR(W93)-YEAR(X93))</f>
        <v>0</v>
      </c>
      <c r="Z93" s="445" t="str">
        <f t="shared" ref="Z93:Z98" si="76">IF(W93-X93&lt;0,(W93-X93)/30.4166666666667,"–")</f>
        <v>–</v>
      </c>
    </row>
    <row r="94" spans="1:26" ht="48.75" x14ac:dyDescent="0.25">
      <c r="A94" s="366" t="str">
        <f>CONCATENATE('3 pr-2'!A94)</f>
        <v>1.1.2.4.2</v>
      </c>
      <c r="B94" s="240" t="str">
        <f>CONCATENATE('3 pr-2'!B94)</f>
        <v>R01-5511-110000-1242</v>
      </c>
      <c r="C94" s="1181" t="str">
        <f>CONCATENATE('ketv. 2'!B93)</f>
        <v>06.2.1-TID-R-511-11-0001</v>
      </c>
      <c r="D94" s="366" t="str">
        <f>CONCATENATE('3 pr-2'!D94)</f>
        <v>Perspektyvinės gatvės nuo Pramonės g. iki Naujosios g. Alytuje įrengimas</v>
      </c>
      <c r="E94" s="366" t="str">
        <f>CONCATENATE('3 pr-2'!E94)</f>
        <v>Alytaus miesto savivaldybės administracija</v>
      </c>
      <c r="F94" s="366" t="str">
        <f>CONCATENATE('3 pr-2'!F94)</f>
        <v>Lietuvos Respublikos susisiekimo ministerija</v>
      </c>
      <c r="G94" s="366" t="str">
        <f>CONCATENATE('3 pr-2'!G94)</f>
        <v>Alytaus m. sav.</v>
      </c>
      <c r="H94" s="366" t="str">
        <f>CONCATENATE('3 pr-2'!H94)</f>
        <v>06.2.1-TID-R-511</v>
      </c>
      <c r="I94" s="366" t="str">
        <f>CONCATENATE('3 pr-2'!I94)</f>
        <v>R</v>
      </c>
      <c r="J94" s="366" t="str">
        <f>CONCATENATE('3 pr-2'!J94)</f>
        <v>ITI</v>
      </c>
      <c r="K94" s="1432">
        <f>IF(X94&gt;0,'3 pr-2'!L94,0)</f>
        <v>1402213</v>
      </c>
      <c r="L94" s="1432">
        <f>IF(X94&gt;0,'3 pr-2'!O94,0)</f>
        <v>654275</v>
      </c>
      <c r="M94" s="1432">
        <f>IF(X94&gt;0,'3 pr-2'!R94,0)</f>
        <v>0</v>
      </c>
      <c r="N94" s="1432">
        <f>IF(X94&gt;0,'3 pr-2'!U94,0)</f>
        <v>0</v>
      </c>
      <c r="O94" s="1432">
        <f>IF(X94&gt;0,'3 pr-2'!X94,0)</f>
        <v>0</v>
      </c>
      <c r="P94" s="1432">
        <f>IF(X94&gt;0,'3 pr-2'!AA94,0)</f>
        <v>747938</v>
      </c>
      <c r="Q94" s="1432">
        <f t="shared" si="70"/>
        <v>0</v>
      </c>
      <c r="R94" s="1432">
        <f t="shared" si="71"/>
        <v>747938</v>
      </c>
      <c r="S94" s="1432">
        <f t="shared" si="72"/>
        <v>0</v>
      </c>
      <c r="T94" s="1432">
        <f t="shared" si="73"/>
        <v>0</v>
      </c>
      <c r="U94" s="1432">
        <f t="shared" si="74"/>
        <v>0</v>
      </c>
      <c r="V94" s="1435">
        <f>IF(X94&gt;0,'3 pr-2'!$AB$10,0)</f>
        <v>0</v>
      </c>
      <c r="W94" s="1342">
        <f>SUM('3 pr-2'!AI94)</f>
        <v>42947</v>
      </c>
      <c r="X94" s="1370">
        <f>SUMIF('sutarčių ataskaita'!$J$19:$J$600,C94,'sutarčių ataskaita'!$L$19:$L$600)</f>
        <v>42920</v>
      </c>
      <c r="Y94" s="423">
        <f t="shared" ref="Y94" si="77">IF((YEAR(W94)-YEAR(X94))=0,0,YEAR(W94)-YEAR(X94))</f>
        <v>0</v>
      </c>
      <c r="Z94" s="445" t="str">
        <f t="shared" si="76"/>
        <v>–</v>
      </c>
    </row>
    <row r="95" spans="1:26" ht="48.75" x14ac:dyDescent="0.25">
      <c r="A95" s="366" t="str">
        <f>CONCATENATE('3 pr-2'!A95)</f>
        <v>1.1.2.4.3.</v>
      </c>
      <c r="B95" s="240" t="str">
        <f>CONCATENATE('3 pr-2'!B95)</f>
        <v>R01-5511-500000-1243</v>
      </c>
      <c r="C95" s="1181" t="str">
        <f>CONCATENATE('ketv. 2'!B94)</f>
        <v>06.2.1-TID-R-511-11-0008</v>
      </c>
      <c r="D95" s="366" t="str">
        <f>CONCATENATE('3 pr-2'!D95)</f>
        <v>Saugaus eismo priemonių diegimas Alytaus mieste</v>
      </c>
      <c r="E95" s="366" t="str">
        <f>CONCATENATE('3 pr-2'!E95)</f>
        <v>Alytaus miesto savivaldybės administracija</v>
      </c>
      <c r="F95" s="366" t="str">
        <f>CONCATENATE('3 pr-2'!F95)</f>
        <v>Lietuvos Respublikos susisiekimo ministerija</v>
      </c>
      <c r="G95" s="366" t="str">
        <f>CONCATENATE('3 pr-2'!G95)</f>
        <v>Alytaus m. sav.</v>
      </c>
      <c r="H95" s="366" t="str">
        <f>CONCATENATE('3 pr-2'!H95)</f>
        <v>06.2.1-TID-R-511</v>
      </c>
      <c r="I95" s="366" t="str">
        <f>CONCATENATE('3 pr-2'!I95)</f>
        <v>R</v>
      </c>
      <c r="J95" s="366" t="str">
        <f>CONCATENATE('3 pr-2'!J95)</f>
        <v>-</v>
      </c>
      <c r="K95" s="1432">
        <f>IF(X95&gt;0,'3 pr-2'!L95,0)</f>
        <v>0</v>
      </c>
      <c r="L95" s="1432">
        <f>IF(X95&gt;0,'3 pr-2'!O95,0)</f>
        <v>0</v>
      </c>
      <c r="M95" s="1432">
        <f>IF(X95&gt;0,'3 pr-2'!R95,0)</f>
        <v>0</v>
      </c>
      <c r="N95" s="1432">
        <f>IF(X95&gt;0,'3 pr-2'!U95,0)</f>
        <v>0</v>
      </c>
      <c r="O95" s="1432">
        <f>IF(X95&gt;0,'3 pr-2'!X95,0)</f>
        <v>0</v>
      </c>
      <c r="P95" s="1432">
        <f>IF(X95&gt;0,'3 pr-2'!AA95,0)</f>
        <v>0</v>
      </c>
      <c r="Q95" s="1432">
        <f t="shared" si="70"/>
        <v>0</v>
      </c>
      <c r="R95" s="1432">
        <f t="shared" si="71"/>
        <v>0</v>
      </c>
      <c r="S95" s="1432">
        <f t="shared" si="72"/>
        <v>0</v>
      </c>
      <c r="T95" s="1432">
        <f t="shared" si="73"/>
        <v>0</v>
      </c>
      <c r="U95" s="1432">
        <f t="shared" si="74"/>
        <v>0</v>
      </c>
      <c r="V95" s="1435">
        <f>IF(X95&gt;0,'3 pr-2'!$AB$10,0)</f>
        <v>0</v>
      </c>
      <c r="W95" s="1342">
        <f>SUM('3 pr-2'!AI95)</f>
        <v>43434</v>
      </c>
      <c r="X95" s="1370"/>
      <c r="Y95" s="423"/>
      <c r="Z95" s="445" t="str">
        <f t="shared" si="76"/>
        <v>–</v>
      </c>
    </row>
    <row r="96" spans="1:26" ht="48.75" x14ac:dyDescent="0.25">
      <c r="A96" s="366" t="str">
        <f>CONCATENATE('3 pr-2'!A96)</f>
        <v>1.1.2.4.4</v>
      </c>
      <c r="B96" s="240" t="str">
        <f>CONCATENATE('3 pr-2'!B96)</f>
        <v>R01-5511-500000-1244</v>
      </c>
      <c r="C96" s="1181" t="str">
        <f>CONCATENATE('ketv. 2'!B95)</f>
        <v>06.2.1-TID-R-511-11-0006</v>
      </c>
      <c r="D96" s="366" t="str">
        <f>CONCATENATE('3 pr-2'!D96)</f>
        <v>Eismo saugos priemonių diegimas Alytaus rajone</v>
      </c>
      <c r="E96" s="366" t="str">
        <f>CONCATENATE('3 pr-2'!E96)</f>
        <v>Alytaus rajono savivaldybės administracija</v>
      </c>
      <c r="F96" s="366" t="str">
        <f>CONCATENATE('3 pr-2'!F96)</f>
        <v>Lietuvos Respublikos susisiekimo ministerija</v>
      </c>
      <c r="G96" s="366" t="str">
        <f>CONCATENATE('3 pr-2'!G96)</f>
        <v>Alytaus r. sav.</v>
      </c>
      <c r="H96" s="366" t="str">
        <f>CONCATENATE('3 pr-2'!H96)</f>
        <v>06.2.1-TID-R-511</v>
      </c>
      <c r="I96" s="366" t="str">
        <f>CONCATENATE('3 pr-2'!I96)</f>
        <v>R</v>
      </c>
      <c r="J96" s="366" t="str">
        <f>CONCATENATE('3 pr-2'!J96)</f>
        <v>-</v>
      </c>
      <c r="K96" s="1432">
        <f>IF(X96&gt;0,'3 pr-2'!L96,0)</f>
        <v>274817.98</v>
      </c>
      <c r="L96" s="1432">
        <f>IF(X96&gt;0,'3 pr-2'!O96,0)</f>
        <v>73973.98</v>
      </c>
      <c r="M96" s="1432">
        <f>IF(X96&gt;0,'3 pr-2'!R96,0)</f>
        <v>0</v>
      </c>
      <c r="N96" s="1432">
        <f>IF(X96&gt;0,'3 pr-2'!U96,0)</f>
        <v>0</v>
      </c>
      <c r="O96" s="1432">
        <f>IF(X96&gt;0,'3 pr-2'!X96,0)</f>
        <v>0</v>
      </c>
      <c r="P96" s="1432">
        <f>IF(X96&gt;0,'3 pr-2'!AA96,0)</f>
        <v>200844</v>
      </c>
      <c r="Q96" s="1432">
        <f t="shared" si="70"/>
        <v>0</v>
      </c>
      <c r="R96" s="1432">
        <f t="shared" si="71"/>
        <v>0</v>
      </c>
      <c r="S96" s="1432">
        <f t="shared" si="72"/>
        <v>200844</v>
      </c>
      <c r="T96" s="1432">
        <f t="shared" si="73"/>
        <v>0</v>
      </c>
      <c r="U96" s="1432">
        <f t="shared" si="74"/>
        <v>0</v>
      </c>
      <c r="V96" s="1435">
        <f>IF(X96&gt;0,'3 pr-2'!$AB$10,0)</f>
        <v>0</v>
      </c>
      <c r="W96" s="1342">
        <f>SUM('3 pr-2'!AI96)</f>
        <v>43373</v>
      </c>
      <c r="X96" s="1370">
        <f>SUMIF('sutarčių ataskaita'!$J$19:$J$600,C96,'sutarčių ataskaita'!$L$19:$L$600)</f>
        <v>43367</v>
      </c>
      <c r="Y96" s="423"/>
      <c r="Z96" s="445" t="str">
        <f t="shared" si="76"/>
        <v>–</v>
      </c>
    </row>
    <row r="97" spans="1:27" ht="48.75" x14ac:dyDescent="0.25">
      <c r="A97" s="366" t="str">
        <f>CONCATENATE('3 pr-2'!A97)</f>
        <v>1.1.2.4.5</v>
      </c>
      <c r="B97" s="240" t="str">
        <f>CONCATENATE('3 pr-2'!B97)</f>
        <v>R01-5511-120900-1245</v>
      </c>
      <c r="C97" s="1181" t="str">
        <f>CONCATENATE('ketv. 2'!B96)</f>
        <v>06.2.1-TID-R-511-11-0007</v>
      </c>
      <c r="D97" s="366" t="str">
        <f>CONCATENATE('3 pr-2'!D97)</f>
        <v>M. K. Čiurlionio gatvės atkarpos Druskininkų m. rekonstrukcija</v>
      </c>
      <c r="E97" s="366" t="str">
        <f>CONCATENATE('3 pr-2'!E97)</f>
        <v xml:space="preserve">Druskininkų savivaldybės administracija  </v>
      </c>
      <c r="F97" s="366" t="str">
        <f>CONCATENATE('3 pr-2'!F97)</f>
        <v>Lietuvos Respublikos susisiekimo ministerija</v>
      </c>
      <c r="G97" s="366" t="str">
        <f>CONCATENATE('3 pr-2'!G97)</f>
        <v>Druskininkų sav.</v>
      </c>
      <c r="H97" s="366" t="str">
        <f>CONCATENATE('3 pr-2'!H97)</f>
        <v>06.2.1-TID-R-511</v>
      </c>
      <c r="I97" s="366" t="str">
        <f>CONCATENATE('3 pr-2'!I97)</f>
        <v>R</v>
      </c>
      <c r="J97" s="366" t="str">
        <f>CONCATENATE('3 pr-2'!J97)</f>
        <v>-</v>
      </c>
      <c r="K97" s="1432">
        <f>IF(X97&gt;0,'3 pr-2'!L97,0)</f>
        <v>0</v>
      </c>
      <c r="L97" s="1432">
        <f>IF(X97&gt;0,'3 pr-2'!O97,0)</f>
        <v>0</v>
      </c>
      <c r="M97" s="1432">
        <f>IF(X97&gt;0,'3 pr-2'!R97,0)</f>
        <v>0</v>
      </c>
      <c r="N97" s="1432">
        <f>IF(X97&gt;0,'3 pr-2'!U97,0)</f>
        <v>0</v>
      </c>
      <c r="O97" s="1432">
        <f>IF(X97&gt;0,'3 pr-2'!X97,0)</f>
        <v>0</v>
      </c>
      <c r="P97" s="1432">
        <f>IF(X97&gt;0,'3 pr-2'!AA97,0)</f>
        <v>0</v>
      </c>
      <c r="Q97" s="1432">
        <f t="shared" si="70"/>
        <v>0</v>
      </c>
      <c r="R97" s="1432">
        <f t="shared" si="71"/>
        <v>0</v>
      </c>
      <c r="S97" s="1432">
        <f t="shared" si="72"/>
        <v>0</v>
      </c>
      <c r="T97" s="1432">
        <f t="shared" si="73"/>
        <v>0</v>
      </c>
      <c r="U97" s="1432">
        <f t="shared" si="74"/>
        <v>0</v>
      </c>
      <c r="V97" s="1435">
        <f>IF(X97&gt;0,'3 pr-2'!$AB$10,0)</f>
        <v>0</v>
      </c>
      <c r="W97" s="1342">
        <f>SUM('3 pr-2'!AI97)</f>
        <v>43419</v>
      </c>
      <c r="X97" s="1370"/>
      <c r="Y97" s="423"/>
      <c r="Z97" s="445" t="str">
        <f t="shared" si="76"/>
        <v>–</v>
      </c>
    </row>
    <row r="98" spans="1:27" ht="48.75" x14ac:dyDescent="0.25">
      <c r="A98" s="366" t="str">
        <f>CONCATENATE('3 pr-2'!A98)</f>
        <v>1.1.2.4.6</v>
      </c>
      <c r="B98" s="240" t="str">
        <f>CONCATENATE('3 pr-2'!B98)</f>
        <v>R01-5511-120000-1246</v>
      </c>
      <c r="C98" s="1181" t="str">
        <f>CONCATENATE('ketv. 2'!B97)</f>
        <v>06.2.1-TID-R-511-11-0004</v>
      </c>
      <c r="D98" s="366" t="str">
        <f>CONCATENATE('3 pr-2'!D98)</f>
        <v>Lazdijų miesto Seinų ir Lazdijos gatvių bei vietinės reikšmės kelio nuo Janonio gatvės iki Lazdijų hipodromo rekonstravimas</v>
      </c>
      <c r="E98" s="366" t="str">
        <f>CONCATENATE('3 pr-2'!E98)</f>
        <v>Lazdijų rajono savivaldybės administracija</v>
      </c>
      <c r="F98" s="366" t="str">
        <f>CONCATENATE('3 pr-2'!F98)</f>
        <v>Lietuvos Respublikos susisiekimo ministerija</v>
      </c>
      <c r="G98" s="366" t="str">
        <f>CONCATENATE('3 pr-2'!G98)</f>
        <v>Lazdijų r. sav.</v>
      </c>
      <c r="H98" s="366" t="str">
        <f>CONCATENATE('3 pr-2'!H98)</f>
        <v>06.2.1-TID-R-511</v>
      </c>
      <c r="I98" s="366" t="str">
        <f>CONCATENATE('3 pr-2'!I98)</f>
        <v>R</v>
      </c>
      <c r="J98" s="366" t="str">
        <f>CONCATENATE('3 pr-2'!J98)</f>
        <v>ITI</v>
      </c>
      <c r="K98" s="1432">
        <f>IF(X98&gt;0,'3 pr-2'!L98,0)</f>
        <v>759934</v>
      </c>
      <c r="L98" s="1432">
        <f>IF(X98&gt;0,'3 pr-2'!O98,0)</f>
        <v>113990</v>
      </c>
      <c r="M98" s="1432">
        <f>IF(X98&gt;0,'3 pr-2'!R98,0)</f>
        <v>0</v>
      </c>
      <c r="N98" s="1432">
        <f>IF(X98&gt;0,'3 pr-2'!U98,0)</f>
        <v>0</v>
      </c>
      <c r="O98" s="1432">
        <f>IF(X98&gt;0,'3 pr-2'!X98,0)</f>
        <v>0</v>
      </c>
      <c r="P98" s="1432">
        <f>IF(X98&gt;0,'3 pr-2'!AA98,0)</f>
        <v>645944</v>
      </c>
      <c r="Q98" s="1432">
        <f t="shared" si="70"/>
        <v>0</v>
      </c>
      <c r="R98" s="1432">
        <f t="shared" si="71"/>
        <v>0</v>
      </c>
      <c r="S98" s="1432">
        <f t="shared" si="72"/>
        <v>645944</v>
      </c>
      <c r="T98" s="1432">
        <f t="shared" si="73"/>
        <v>0</v>
      </c>
      <c r="U98" s="1432">
        <f t="shared" si="74"/>
        <v>0</v>
      </c>
      <c r="V98" s="1435">
        <f>IF(X98&gt;0,'3 pr-2'!$AB$10,0)</f>
        <v>0</v>
      </c>
      <c r="W98" s="1350">
        <f>SUM('3 pr-2'!AI98)</f>
        <v>43217</v>
      </c>
      <c r="X98" s="1370">
        <f>SUMIF('sutarčių ataskaita'!$J$19:$J$600,C98,'sutarčių ataskaita'!$L$19:$L$600)</f>
        <v>43217</v>
      </c>
      <c r="Y98" s="423"/>
      <c r="Z98" s="445" t="str">
        <f t="shared" si="76"/>
        <v>–</v>
      </c>
    </row>
    <row r="99" spans="1:27" ht="49.5" thickBot="1" x14ac:dyDescent="0.3">
      <c r="A99" s="366" t="str">
        <f>CONCATENATE('3 pr-2'!A99)</f>
        <v>1.1.2.4.7</v>
      </c>
      <c r="B99" s="240" t="str">
        <f>CONCATENATE('3 pr-2'!B99)</f>
        <v>R01-5511-120000-1247</v>
      </c>
      <c r="C99" s="1181" t="str">
        <f>CONCATENATE('ketv. 2'!B98)</f>
        <v/>
      </c>
      <c r="D99" s="366" t="str">
        <f>CONCATENATE('3 pr-2'!D99)</f>
        <v>Eismo saugumo priemonių diegimas Druskininkų savivaldybėje</v>
      </c>
      <c r="E99" s="366" t="str">
        <f>CONCATENATE('3 pr-2'!E99)</f>
        <v xml:space="preserve">Druskininkų savivaldybės administracija  </v>
      </c>
      <c r="F99" s="366" t="str">
        <f>CONCATENATE('3 pr-2'!F99)</f>
        <v>Lietuvos Respublikos susisiekimo ministerija</v>
      </c>
      <c r="G99" s="366" t="str">
        <f>CONCATENATE('3 pr-2'!G99)</f>
        <v>Druskininkų sav.</v>
      </c>
      <c r="H99" s="366" t="str">
        <f>CONCATENATE('3 pr-2'!H99)</f>
        <v>06.2.1-TID-R-511</v>
      </c>
      <c r="I99" s="366" t="str">
        <f>CONCATENATE('3 pr-2'!I99)</f>
        <v>R</v>
      </c>
      <c r="J99" s="366" t="str">
        <f>CONCATENATE('3 pr-2'!J99)</f>
        <v>-</v>
      </c>
      <c r="K99" s="1432">
        <f>IF(X99&gt;0,'3 pr-2'!L99,0)</f>
        <v>0</v>
      </c>
      <c r="L99" s="1432">
        <f>IF(X99&gt;0,'3 pr-2'!O99,0)</f>
        <v>0</v>
      </c>
      <c r="M99" s="1432">
        <f>IF(X99&gt;0,'3 pr-2'!R99,0)</f>
        <v>0</v>
      </c>
      <c r="N99" s="1432">
        <f>IF(X99&gt;0,'3 pr-2'!U99,0)</f>
        <v>0</v>
      </c>
      <c r="O99" s="1432">
        <f>IF(X99&gt;0,'3 pr-2'!X99,0)</f>
        <v>0</v>
      </c>
      <c r="P99" s="1432">
        <f>IF(X99&gt;0,'3 pr-2'!AA99,0)</f>
        <v>0</v>
      </c>
      <c r="Q99" s="1432">
        <f t="shared" si="70"/>
        <v>0</v>
      </c>
      <c r="R99" s="1432">
        <f t="shared" si="71"/>
        <v>0</v>
      </c>
      <c r="S99" s="1432">
        <f t="shared" si="72"/>
        <v>0</v>
      </c>
      <c r="T99" s="1432">
        <f t="shared" si="73"/>
        <v>0</v>
      </c>
      <c r="U99" s="1432">
        <f t="shared" si="74"/>
        <v>0</v>
      </c>
      <c r="V99" s="1435">
        <f>IF(X99&gt;0,'3 pr-2'!$AB$10,0)</f>
        <v>0</v>
      </c>
      <c r="W99" s="1350">
        <f>SUM('3 pr-2'!AI99)</f>
        <v>43585</v>
      </c>
      <c r="X99" s="1370"/>
      <c r="Y99" s="423"/>
      <c r="Z99" s="445" t="str">
        <f t="shared" ref="Z99" si="78">IF(W99-X99&lt;0,(W99-X99)/30.4166666666667,"–")</f>
        <v>–</v>
      </c>
    </row>
    <row r="100" spans="1:27" ht="42.75" customHeight="1" thickBot="1" x14ac:dyDescent="0.3">
      <c r="A100" s="412" t="str">
        <f>CONCATENATE('3 pr-2'!A100)</f>
        <v>2.1.</v>
      </c>
      <c r="B100" s="2028" t="str">
        <f>CONCATENATE('3 pr-2'!B100)</f>
        <v>Tikslas:
GERINTI VIEŠŲJŲ  PASLAUGŲ KOKYBĘ IR PRIEINAMUMĄ</v>
      </c>
      <c r="C100" s="2023"/>
      <c r="D100" s="2023"/>
      <c r="E100" s="2023"/>
      <c r="F100" s="2023"/>
      <c r="G100" s="2023"/>
      <c r="H100" s="2023"/>
      <c r="I100" s="2023"/>
      <c r="J100" s="2024"/>
      <c r="K100" s="1514">
        <f t="shared" ref="K100:P100" si="79">SUM(K101+K120+K147+K160)</f>
        <v>10880362.550000001</v>
      </c>
      <c r="L100" s="1514">
        <f t="shared" si="79"/>
        <v>1792277.2499999998</v>
      </c>
      <c r="M100" s="1514">
        <f t="shared" si="79"/>
        <v>297833.46999999997</v>
      </c>
      <c r="N100" s="1514">
        <f t="shared" si="79"/>
        <v>0</v>
      </c>
      <c r="O100" s="1514">
        <f t="shared" si="79"/>
        <v>0</v>
      </c>
      <c r="P100" s="1514">
        <f t="shared" si="79"/>
        <v>8790251.8300000001</v>
      </c>
      <c r="Q100" s="1515"/>
      <c r="R100" s="1515"/>
      <c r="S100" s="1515"/>
      <c r="T100" s="1515"/>
      <c r="U100" s="1516"/>
      <c r="V100" s="1514">
        <f t="shared" ref="V100" si="80">SUM(V101+V120+V147+V160)</f>
        <v>0</v>
      </c>
      <c r="W100" s="1409" t="s">
        <v>690</v>
      </c>
      <c r="X100" s="1409" t="s">
        <v>690</v>
      </c>
      <c r="Y100" s="414" t="s">
        <v>690</v>
      </c>
      <c r="Z100" s="414"/>
    </row>
    <row r="101" spans="1:27" ht="51.75" customHeight="1" thickBot="1" x14ac:dyDescent="0.3">
      <c r="A101" s="155" t="str">
        <f>CONCATENATE('3 pr-2'!A101)</f>
        <v>2.1.1.</v>
      </c>
      <c r="B101" s="2022" t="str">
        <f>CONCATENATE('3 pr-2'!B101)</f>
        <v xml:space="preserve">Uždavinys:
Bendrojo ugdymo ir neformaliojo švietimo įstaigų (ypač vykdančių ikimokyklinio ir priešmokyklinio ugdymo programas) tinklo veiklos efektyvumo didinimas </v>
      </c>
      <c r="C101" s="2023"/>
      <c r="D101" s="2023"/>
      <c r="E101" s="2023"/>
      <c r="F101" s="2023"/>
      <c r="G101" s="2023"/>
      <c r="H101" s="2023"/>
      <c r="I101" s="2023"/>
      <c r="J101" s="2024"/>
      <c r="K101" s="1495">
        <f>SUM(K102+K108+K114)</f>
        <v>4776867.3599999994</v>
      </c>
      <c r="L101" s="1495">
        <f t="shared" ref="L101:P101" si="81">SUM(L102+L108+L114)</f>
        <v>808633.36</v>
      </c>
      <c r="M101" s="1495">
        <f t="shared" si="81"/>
        <v>201262</v>
      </c>
      <c r="N101" s="1495">
        <f t="shared" si="81"/>
        <v>0</v>
      </c>
      <c r="O101" s="1495">
        <f t="shared" si="81"/>
        <v>0</v>
      </c>
      <c r="P101" s="1495">
        <f t="shared" si="81"/>
        <v>3766972</v>
      </c>
      <c r="Q101" s="1495"/>
      <c r="R101" s="1495"/>
      <c r="S101" s="1495"/>
      <c r="T101" s="1495"/>
      <c r="U101" s="1495"/>
      <c r="V101" s="1495">
        <f t="shared" ref="V101" si="82">SUM(V102+V108+V114)</f>
        <v>0</v>
      </c>
      <c r="W101" s="1339" t="s">
        <v>690</v>
      </c>
      <c r="X101" s="1410" t="s">
        <v>690</v>
      </c>
      <c r="Y101" s="431" t="s">
        <v>690</v>
      </c>
      <c r="Z101" s="409"/>
    </row>
    <row r="102" spans="1:27" ht="37.5" customHeight="1" thickBot="1" x14ac:dyDescent="0.3">
      <c r="A102" s="326" t="str">
        <f>CONCATENATE('3 pr-2'!A102)</f>
        <v>2.1.1.1</v>
      </c>
      <c r="B102" s="2025" t="str">
        <f>CONCATENATE('3 pr-2'!B102)</f>
        <v>Priemonė:
Mokyklų tinklo efektyvumo didinimas</v>
      </c>
      <c r="C102" s="2026"/>
      <c r="D102" s="2026"/>
      <c r="E102" s="2026"/>
      <c r="F102" s="2026"/>
      <c r="G102" s="2026"/>
      <c r="H102" s="2026"/>
      <c r="I102" s="2026"/>
      <c r="J102" s="2027"/>
      <c r="K102" s="1293">
        <f>SUM('3 pr-2'!L102)</f>
        <v>1343975.4100000001</v>
      </c>
      <c r="L102" s="1293">
        <f>SUM('3 pr-2'!O102)</f>
        <v>100799.41</v>
      </c>
      <c r="M102" s="1293">
        <f>SUM('3 pr-2'!R102)</f>
        <v>100799</v>
      </c>
      <c r="N102" s="1293">
        <f>SUM('3 pr-2'!U102)</f>
        <v>0</v>
      </c>
      <c r="O102" s="1293">
        <f>SUM('3 pr-2'!X102)</f>
        <v>0</v>
      </c>
      <c r="P102" s="1293">
        <f>SUM('3 pr-2'!AA102)</f>
        <v>1142377</v>
      </c>
      <c r="Q102" s="1504">
        <f>SUM(Q103:Q107)</f>
        <v>0</v>
      </c>
      <c r="R102" s="1505">
        <f t="shared" ref="R102:U102" si="83">SUM(R103:R107)</f>
        <v>139295</v>
      </c>
      <c r="S102" s="1504">
        <f t="shared" si="83"/>
        <v>1003082</v>
      </c>
      <c r="T102" s="1505">
        <f t="shared" si="83"/>
        <v>0</v>
      </c>
      <c r="U102" s="1506">
        <f t="shared" si="83"/>
        <v>0</v>
      </c>
      <c r="V102" s="1293">
        <f>SUM('3 pr-2'!AG102)</f>
        <v>0</v>
      </c>
      <c r="W102" s="1402"/>
      <c r="X102" s="1402"/>
      <c r="Y102" s="397"/>
      <c r="Z102" s="397"/>
    </row>
    <row r="103" spans="1:27" ht="60.75" x14ac:dyDescent="0.25">
      <c r="A103" s="182" t="str">
        <f>CONCATENATE('3 pr-2'!A103)</f>
        <v>2.1.1.1.1</v>
      </c>
      <c r="B103" s="240" t="str">
        <f>CONCATENATE('3 pr-2'!B103)</f>
        <v>R01-7724-220000-2111</v>
      </c>
      <c r="C103" s="309" t="str">
        <f>CONCATENATE('ketv. 2'!B102)</f>
        <v>09.1.3-CPVA-R-724-11-0003</v>
      </c>
      <c r="D103" s="182" t="str">
        <f>CONCATENATE('3 pr-2'!D103)</f>
        <v>Varėnos r. Merkinės Vinco Krėvės gimnazijos laisvų patalpų pritaikymas ikimokyklinio ir priešmokyklinio ugdymo grupėms įrengti</v>
      </c>
      <c r="E103" s="182" t="str">
        <f>CONCATENATE('3 pr-2'!E103)</f>
        <v>Varėnos rajono savivaldybės administracija</v>
      </c>
      <c r="F103" s="182" t="str">
        <f>CONCATENATE('3 pr-2'!F103)</f>
        <v>Lietuvos Respublikos švietimo ir mokslo ministerija</v>
      </c>
      <c r="G103" s="182" t="str">
        <f>CONCATENATE('3 pr-2'!G103)</f>
        <v>Varėnos r. sav.</v>
      </c>
      <c r="H103" s="182" t="str">
        <f>CONCATENATE('3 pr-2'!H103)</f>
        <v>09.1.3-CPVA-R-724</v>
      </c>
      <c r="I103" s="182" t="str">
        <f>CONCATENATE('3 pr-2'!I103)</f>
        <v>R</v>
      </c>
      <c r="J103" s="182" t="str">
        <f>CONCATENATE('3 pr-2'!J103)</f>
        <v>-</v>
      </c>
      <c r="K103" s="1432">
        <f>IF(X103&gt;0,'3 pr-2'!L103,0)</f>
        <v>220453</v>
      </c>
      <c r="L103" s="1432">
        <f>IF(X103&gt;0,'3 pr-2'!O103,0)</f>
        <v>16534</v>
      </c>
      <c r="M103" s="1432">
        <f>IF(X103&gt;0,'3 pr-2'!R103,0)</f>
        <v>16534</v>
      </c>
      <c r="N103" s="1432">
        <f>IF(X103&gt;0,'3 pr-2'!U103,0)</f>
        <v>0</v>
      </c>
      <c r="O103" s="1432">
        <f>IF(X103&gt;0,'3 pr-2'!X103,0)</f>
        <v>0</v>
      </c>
      <c r="P103" s="1432">
        <f>IF(X103&gt;0,'3 pr-2'!AA103,0)</f>
        <v>187385</v>
      </c>
      <c r="Q103" s="1296">
        <f>IF(YEAR(X103)=2016,P103,0)</f>
        <v>0</v>
      </c>
      <c r="R103" s="1296">
        <f>IF(YEAR(X103)=2017,P103,0)</f>
        <v>0</v>
      </c>
      <c r="S103" s="1296">
        <f>IF(YEAR(X103)=2018,P103,0)</f>
        <v>187385</v>
      </c>
      <c r="T103" s="1296">
        <f>IF(YEAR(X103)=2019,P103,0)</f>
        <v>0</v>
      </c>
      <c r="U103" s="1296">
        <f>IF(YEAR(X103)=2020,P103,0)</f>
        <v>0</v>
      </c>
      <c r="V103" s="1435">
        <f>IF(X103&gt;0,'3 pr-2'!$AB$10,0)</f>
        <v>0</v>
      </c>
      <c r="W103" s="1336">
        <f>SUM('3 pr-2'!AI103)</f>
        <v>43117</v>
      </c>
      <c r="X103" s="1370">
        <f>SUMIF('sutarčių ataskaita'!$J$19:$J$600,C103,'sutarčių ataskaita'!$L$19:$L$600)</f>
        <v>43117</v>
      </c>
      <c r="Y103" s="216"/>
      <c r="Z103" s="445" t="str">
        <f t="shared" ref="Z103:Z107" si="84">IF(W103-X103&lt;0,(W103-X103)/30.4166666666667,"–")</f>
        <v>–</v>
      </c>
    </row>
    <row r="104" spans="1:27" ht="60.75" x14ac:dyDescent="0.25">
      <c r="A104" s="182" t="str">
        <f>CONCATENATE('3 pr-2'!A104)</f>
        <v>2.1.1.1.2</v>
      </c>
      <c r="B104" s="240" t="str">
        <f>CONCATENATE('3 pr-2'!B104)</f>
        <v>R01-7724-220000-2112</v>
      </c>
      <c r="C104" s="309" t="str">
        <f>CONCATENATE('ketv. 2'!B103)</f>
        <v>09.1.3-CPVA-R-724-11-0005</v>
      </c>
      <c r="D104" s="182" t="str">
        <f>CONCATENATE('3 pr-2'!D104)</f>
        <v>Alytaus rajono bendrojo ugdymo įstaigų aprūpinimas gamtos, technologijų, menų ir kitų mokslų laboratorijų įranga</v>
      </c>
      <c r="E104" s="182" t="str">
        <f>CONCATENATE('3 pr-2'!E104)</f>
        <v>Alytaus rajono savivaldybės administracija</v>
      </c>
      <c r="F104" s="182" t="str">
        <f>CONCATENATE('3 pr-2'!F104)</f>
        <v>Lietuvos Respublikos švietimo ir mokslo ministerija</v>
      </c>
      <c r="G104" s="182" t="str">
        <f>CONCATENATE('3 pr-2'!G104)</f>
        <v>Alytaus r. sav.</v>
      </c>
      <c r="H104" s="182" t="str">
        <f>CONCATENATE('3 pr-2'!H104)</f>
        <v>09.1.3-CPVA-R-724</v>
      </c>
      <c r="I104" s="182" t="str">
        <f>CONCATENATE('3 pr-2'!I104)</f>
        <v>R</v>
      </c>
      <c r="J104" s="182" t="str">
        <f>CONCATENATE('3 pr-2'!J104)</f>
        <v>-</v>
      </c>
      <c r="K104" s="1432">
        <f>IF(X104&gt;0,'3 pr-2'!L104,0)</f>
        <v>106845.41</v>
      </c>
      <c r="L104" s="1432">
        <f>IF(X104&gt;0,'3 pr-2'!O104,0)</f>
        <v>8013.41</v>
      </c>
      <c r="M104" s="1432">
        <f>IF(X104&gt;0,'3 pr-2'!R104,0)</f>
        <v>8014</v>
      </c>
      <c r="N104" s="1432">
        <f>IF(X104&gt;0,'3 pr-2'!U104,0)</f>
        <v>0</v>
      </c>
      <c r="O104" s="1432">
        <f>IF(X104&gt;0,'3 pr-2'!X104,0)</f>
        <v>0</v>
      </c>
      <c r="P104" s="1432">
        <f>IF(X104&gt;0,'3 pr-2'!AA104,0)</f>
        <v>90818</v>
      </c>
      <c r="Q104" s="1296">
        <f>IF(YEAR(X104)=2016,P104,0)</f>
        <v>0</v>
      </c>
      <c r="R104" s="1296">
        <f>IF(YEAR(X104)=2017,P104,0)</f>
        <v>0</v>
      </c>
      <c r="S104" s="1296">
        <f>IF(YEAR(X104)=2018,P104,0)</f>
        <v>90818</v>
      </c>
      <c r="T104" s="1296">
        <f>IF(YEAR(X104)=2019,P104,0)</f>
        <v>0</v>
      </c>
      <c r="U104" s="1296">
        <f>IF(YEAR(X104)=2020,P104,0)</f>
        <v>0</v>
      </c>
      <c r="V104" s="1435">
        <f>IF(X104&gt;0,'3 pr-2'!$AB$10,0)</f>
        <v>0</v>
      </c>
      <c r="W104" s="1336">
        <f>SUM('3 pr-2'!AI104)</f>
        <v>43112</v>
      </c>
      <c r="X104" s="1370">
        <f>SUMIF('sutarčių ataskaita'!$J$19:$J$600,C104,'sutarčių ataskaita'!$L$19:$L$600)</f>
        <v>43112</v>
      </c>
      <c r="Y104" s="216"/>
      <c r="Z104" s="445" t="str">
        <f t="shared" si="84"/>
        <v>–</v>
      </c>
    </row>
    <row r="105" spans="1:27" ht="60.75" x14ac:dyDescent="0.25">
      <c r="A105" s="182" t="str">
        <f>CONCATENATE('3 pr-2'!A105)</f>
        <v>2.1.1.1.3</v>
      </c>
      <c r="B105" s="240" t="str">
        <f>CONCATENATE('3 pr-2'!B105)</f>
        <v>R01-7724-220000-2113</v>
      </c>
      <c r="C105" s="309" t="str">
        <f>CONCATENATE('ketv. 2'!B104)</f>
        <v>09.1.3-CPVA-R-724-11-0002</v>
      </c>
      <c r="D105" s="182" t="str">
        <f>CONCATENATE('3 pr-2'!D105)</f>
        <v>Modernių ir saugių erdvių kūrimas Dzūkijos pagrindinėje mokykloje, Alytuje</v>
      </c>
      <c r="E105" s="182" t="str">
        <f>CONCATENATE('3 pr-2'!E105)</f>
        <v>Alytaus miesto savivaldybės administracija</v>
      </c>
      <c r="F105" s="182" t="str">
        <f>CONCATENATE('3 pr-2'!F105)</f>
        <v>Lietuvos Respublikos švietimo ir mokslo ministerija</v>
      </c>
      <c r="G105" s="182" t="str">
        <f>CONCATENATE('3 pr-2'!G105)</f>
        <v>Alytaus m. sav.</v>
      </c>
      <c r="H105" s="182" t="str">
        <f>CONCATENATE('3 pr-2'!H105)</f>
        <v>09.1.3-CPVA-R-724</v>
      </c>
      <c r="I105" s="182" t="str">
        <f>CONCATENATE('3 pr-2'!I105)</f>
        <v>R</v>
      </c>
      <c r="J105" s="182" t="str">
        <f>CONCATENATE('3 pr-2'!J105)</f>
        <v>-</v>
      </c>
      <c r="K105" s="1432">
        <f>IF(X105&gt;0,'3 pr-2'!L105,0)</f>
        <v>657021</v>
      </c>
      <c r="L105" s="1432">
        <f>IF(X105&gt;0,'3 pr-2'!O105,0)</f>
        <v>49277</v>
      </c>
      <c r="M105" s="1432">
        <f>IF(X105&gt;0,'3 pr-2'!R105,0)</f>
        <v>49277</v>
      </c>
      <c r="N105" s="1432">
        <f>IF(X105&gt;0,'3 pr-2'!U105,0)</f>
        <v>0</v>
      </c>
      <c r="O105" s="1432">
        <f>IF(X105&gt;0,'3 pr-2'!X105,0)</f>
        <v>0</v>
      </c>
      <c r="P105" s="1432">
        <f>IF(X105&gt;0,'3 pr-2'!AA105,0)</f>
        <v>558467</v>
      </c>
      <c r="Q105" s="1296">
        <f>IF(YEAR(X105)=2016,P105,0)</f>
        <v>0</v>
      </c>
      <c r="R105" s="1296">
        <f>IF(YEAR(X105)=2017,P105,0)</f>
        <v>0</v>
      </c>
      <c r="S105" s="1296">
        <f>IF(YEAR(X105)=2018,P105,0)</f>
        <v>558467</v>
      </c>
      <c r="T105" s="1296">
        <f>IF(YEAR(X105)=2019,P105,0)</f>
        <v>0</v>
      </c>
      <c r="U105" s="1296">
        <f>IF(YEAR(X105)=2020,P105,0)</f>
        <v>0</v>
      </c>
      <c r="V105" s="1435">
        <f>IF(X105&gt;0,'3 pr-2'!$AB$10,0)</f>
        <v>0</v>
      </c>
      <c r="W105" s="1336">
        <f>SUM('3 pr-2'!AI105)</f>
        <v>43139</v>
      </c>
      <c r="X105" s="1370">
        <f>SUMIF('sutarčių ataskaita'!$J$19:$J$600,C105,'sutarčių ataskaita'!$L$19:$L$600)</f>
        <v>43139</v>
      </c>
      <c r="Y105" s="232"/>
      <c r="Z105" s="445" t="str">
        <f t="shared" si="84"/>
        <v>–</v>
      </c>
    </row>
    <row r="106" spans="1:27" ht="60.75" x14ac:dyDescent="0.25">
      <c r="A106" s="182" t="str">
        <f>CONCATENATE('3 pr-2'!A106)</f>
        <v>2.1.1.1.4</v>
      </c>
      <c r="B106" s="240" t="str">
        <f>CONCATENATE('3 pr-2'!B106)</f>
        <v>R01-7724-220000-2114</v>
      </c>
      <c r="C106" s="309" t="str">
        <f>CONCATENATE('ketv. 2'!B105)</f>
        <v>09.1.3-CPVA-R-724-11-0004</v>
      </c>
      <c r="D106" s="182" t="str">
        <f>CONCATENATE('3 pr-2'!D106)</f>
        <v>Modernių ir saugių erdvių sukūrimas bendrojo ugdymo mokyklose Druskininkų sav.</v>
      </c>
      <c r="E106" s="182" t="str">
        <f>CONCATENATE('3 pr-2'!E106)</f>
        <v>Druskininkų savivaldybės administracija</v>
      </c>
      <c r="F106" s="182" t="str">
        <f>CONCATENATE('3 pr-2'!F106)</f>
        <v>Lietuvos Respublikos švietimo ir mokslo ministerija</v>
      </c>
      <c r="G106" s="182" t="str">
        <f>CONCATENATE('3 pr-2'!G106)</f>
        <v>Druskininkų sav.</v>
      </c>
      <c r="H106" s="182" t="str">
        <f>CONCATENATE('3 pr-2'!H106)</f>
        <v>09.1.3-CPVA-R-724</v>
      </c>
      <c r="I106" s="182" t="str">
        <f>CONCATENATE('3 pr-2'!I106)</f>
        <v>R</v>
      </c>
      <c r="J106" s="182" t="str">
        <f>CONCATENATE('3 pr-2'!J106)</f>
        <v>-</v>
      </c>
      <c r="K106" s="1432">
        <f>IF(X106&gt;0,'3 pr-2'!L106,0)</f>
        <v>163877</v>
      </c>
      <c r="L106" s="1432">
        <f>IF(X106&gt;0,'3 pr-2'!O106,0)</f>
        <v>12291</v>
      </c>
      <c r="M106" s="1432">
        <f>IF(X106&gt;0,'3 pr-2'!R106,0)</f>
        <v>12291</v>
      </c>
      <c r="N106" s="1432">
        <f>IF(X106&gt;0,'3 pr-2'!U106,0)</f>
        <v>0</v>
      </c>
      <c r="O106" s="1432">
        <f>IF(X106&gt;0,'3 pr-2'!X106,0)</f>
        <v>0</v>
      </c>
      <c r="P106" s="1432">
        <f>IF(X106&gt;0,'3 pr-2'!AA106,0)</f>
        <v>139295</v>
      </c>
      <c r="Q106" s="1296">
        <f>IF(YEAR(X106)=2016,P106,0)</f>
        <v>0</v>
      </c>
      <c r="R106" s="1296">
        <f>IF(YEAR(X106)=2017,P106,0)</f>
        <v>139295</v>
      </c>
      <c r="S106" s="1296">
        <f>IF(YEAR(X106)=2018,P106,0)</f>
        <v>0</v>
      </c>
      <c r="T106" s="1296">
        <f>IF(YEAR(X106)=2019,P106,0)</f>
        <v>0</v>
      </c>
      <c r="U106" s="1296">
        <f>IF(YEAR(X106)=2020,P106,0)</f>
        <v>0</v>
      </c>
      <c r="V106" s="1435">
        <f>IF(X106&gt;0,'3 pr-2'!$AB$10,0)</f>
        <v>0</v>
      </c>
      <c r="W106" s="1336">
        <f>SUM('3 pr-2'!AI106)</f>
        <v>43100</v>
      </c>
      <c r="X106" s="1370">
        <f>SUMIF('sutarčių ataskaita'!$J$19:$J$600,C106,'sutarčių ataskaita'!$L$19:$L$600)</f>
        <v>43098</v>
      </c>
      <c r="Y106" s="216"/>
      <c r="Z106" s="445" t="str">
        <f t="shared" si="84"/>
        <v>–</v>
      </c>
    </row>
    <row r="107" spans="1:27" ht="61.5" thickBot="1" x14ac:dyDescent="0.3">
      <c r="A107" s="182" t="str">
        <f>CONCATENATE('3 pr-2'!A107)</f>
        <v>2.1.1.1.5</v>
      </c>
      <c r="B107" s="240" t="str">
        <f>CONCATENATE('3 pr-2'!B107)</f>
        <v>R01-7724-220000-2115</v>
      </c>
      <c r="C107" s="309" t="str">
        <f>CONCATENATE('ketv. 2'!B106)</f>
        <v>09.1.3-CPVA-R-724-11-0001</v>
      </c>
      <c r="D107" s="182" t="str">
        <f>CONCATENATE('3 pr-2'!D107)</f>
        <v>Modernių ir saugių erdvių sukūrimas bendrojo ugdymo įstaigose Lazdijų rajono savivaldybėje</v>
      </c>
      <c r="E107" s="182" t="str">
        <f>CONCATENATE('3 pr-2'!E107)</f>
        <v>Lazdijų rajono savivaldybės administracija</v>
      </c>
      <c r="F107" s="182" t="str">
        <f>CONCATENATE('3 pr-2'!F107)</f>
        <v>Lietuvos Respublikos švietimo ir mokslo ministerija</v>
      </c>
      <c r="G107" s="182" t="str">
        <f>CONCATENATE('3 pr-2'!G107)</f>
        <v>Lazdijų r. sav.</v>
      </c>
      <c r="H107" s="182" t="str">
        <f>CONCATENATE('3 pr-2'!H107)</f>
        <v>09.1.3-CPVA-R-724</v>
      </c>
      <c r="I107" s="182" t="str">
        <f>CONCATENATE('3 pr-2'!I107)</f>
        <v>R</v>
      </c>
      <c r="J107" s="182" t="str">
        <f>CONCATENATE('3 pr-2'!J107)</f>
        <v>-</v>
      </c>
      <c r="K107" s="1432">
        <f>IF(X107&gt;0,'3 pr-2'!L107,0)</f>
        <v>195779</v>
      </c>
      <c r="L107" s="1432">
        <f>IF(X107&gt;0,'3 pr-2'!O107,0)</f>
        <v>14684</v>
      </c>
      <c r="M107" s="1432">
        <f>IF(X107&gt;0,'3 pr-2'!R107,0)</f>
        <v>14683</v>
      </c>
      <c r="N107" s="1432">
        <f>IF(X107&gt;0,'3 pr-2'!U107,0)</f>
        <v>0</v>
      </c>
      <c r="O107" s="1432">
        <f>IF(X107&gt;0,'3 pr-2'!X107,0)</f>
        <v>0</v>
      </c>
      <c r="P107" s="1432">
        <f>IF(X107&gt;0,'3 pr-2'!AA107,0)</f>
        <v>166412</v>
      </c>
      <c r="Q107" s="1296">
        <f>IF(YEAR(X107)=2016,P107,0)</f>
        <v>0</v>
      </c>
      <c r="R107" s="1296">
        <f>IF(YEAR(X107)=2017,P107,0)</f>
        <v>0</v>
      </c>
      <c r="S107" s="1296">
        <f>IF(YEAR(X107)=2018,P107,0)</f>
        <v>166412</v>
      </c>
      <c r="T107" s="1296">
        <f>IF(YEAR(X107)=2019,P107,0)</f>
        <v>0</v>
      </c>
      <c r="U107" s="1296">
        <f>IF(YEAR(X107)=2020,P107,0)</f>
        <v>0</v>
      </c>
      <c r="V107" s="1435">
        <f>IF(X107&gt;0,'3 pr-2'!$AB$10,0)</f>
        <v>0</v>
      </c>
      <c r="W107" s="1336">
        <f>SUM('3 pr-2'!AI107)</f>
        <v>43150</v>
      </c>
      <c r="X107" s="1370">
        <f>SUMIF('sutarčių ataskaita'!$J$19:$J$600,C107,'sutarčių ataskaita'!$L$19:$L$600)</f>
        <v>43150</v>
      </c>
      <c r="Y107" s="216"/>
      <c r="Z107" s="445" t="str">
        <f t="shared" si="84"/>
        <v>–</v>
      </c>
    </row>
    <row r="108" spans="1:27" ht="42.75" customHeight="1" thickBot="1" x14ac:dyDescent="0.3">
      <c r="A108" s="326" t="str">
        <f>CONCATENATE('3 pr-2'!A108)</f>
        <v>2.1.1.2</v>
      </c>
      <c r="B108" s="2025" t="str">
        <f>CONCATENATE('3 pr-2'!B108)</f>
        <v>Priemonė:
Neformaliojo švietimo infrastruktūros tobulinimas</v>
      </c>
      <c r="C108" s="2026"/>
      <c r="D108" s="2026"/>
      <c r="E108" s="2026"/>
      <c r="F108" s="2026"/>
      <c r="G108" s="2026"/>
      <c r="H108" s="2026"/>
      <c r="I108" s="2026"/>
      <c r="J108" s="2027"/>
      <c r="K108" s="1293">
        <f>SUM(K109:K113)</f>
        <v>1973870.18</v>
      </c>
      <c r="L108" s="1293">
        <f t="shared" ref="L108:P108" si="85">SUM(L109:L113)</f>
        <v>487863.18</v>
      </c>
      <c r="M108" s="1293">
        <f t="shared" si="85"/>
        <v>0</v>
      </c>
      <c r="N108" s="1293">
        <f t="shared" si="85"/>
        <v>0</v>
      </c>
      <c r="O108" s="1293">
        <f t="shared" si="85"/>
        <v>0</v>
      </c>
      <c r="P108" s="1293">
        <f t="shared" si="85"/>
        <v>1486007</v>
      </c>
      <c r="Q108" s="1504">
        <f>SUM(Q109:Q113)</f>
        <v>0</v>
      </c>
      <c r="R108" s="1505">
        <f t="shared" ref="R108:V108" si="86">SUM(R109:R113)</f>
        <v>611625</v>
      </c>
      <c r="S108" s="1504">
        <f t="shared" si="86"/>
        <v>874382</v>
      </c>
      <c r="T108" s="1505">
        <f t="shared" si="86"/>
        <v>0</v>
      </c>
      <c r="U108" s="1506">
        <f t="shared" si="86"/>
        <v>0</v>
      </c>
      <c r="V108" s="1293">
        <f t="shared" si="86"/>
        <v>0</v>
      </c>
      <c r="W108" s="1402"/>
      <c r="X108" s="1402"/>
      <c r="Y108" s="397"/>
      <c r="Z108" s="397"/>
    </row>
    <row r="109" spans="1:27" ht="60.75" x14ac:dyDescent="0.25">
      <c r="A109" s="366" t="str">
        <f>CONCATENATE('3 pr-2'!A109)</f>
        <v>2.1.1.2.1</v>
      </c>
      <c r="B109" s="240" t="str">
        <f>CONCATENATE('3 pr-2'!B109)</f>
        <v>R01-7725-240000-2121</v>
      </c>
      <c r="C109" s="309" t="str">
        <f>CONCATENATE('ketv. 2'!B108)</f>
        <v>09.1.3-CPVA-R-725-11-0003</v>
      </c>
      <c r="D109" s="366" t="str">
        <f>CONCATENATE('3 pr-2'!D109)</f>
        <v>Varėnos moksleivių kūrybos centro pastato J. Basanavičiaus g. 38, Varėnoje, modernizavimas</v>
      </c>
      <c r="E109" s="366" t="str">
        <f>CONCATENATE('3 pr-2'!E109)</f>
        <v>Varėnos rajono savivaldybės administracija</v>
      </c>
      <c r="F109" s="366" t="str">
        <f>CONCATENATE('3 pr-2'!F109)</f>
        <v>Lietuvos Respublikos švietimo ir mokslo ministerija</v>
      </c>
      <c r="G109" s="366" t="str">
        <f>CONCATENATE('3 pr-2'!G109)</f>
        <v>Varėnos r. sav.</v>
      </c>
      <c r="H109" s="366" t="str">
        <f>CONCATENATE('3 pr-2'!H109)</f>
        <v>09.13.CPVA-R-725</v>
      </c>
      <c r="I109" s="366" t="str">
        <f>CONCATENATE('3 pr-2'!I109)</f>
        <v>R</v>
      </c>
      <c r="J109" s="366" t="str">
        <f>CONCATENATE('3 pr-2'!J109)</f>
        <v>-</v>
      </c>
      <c r="K109" s="1432">
        <f>IF(X109&gt;0,'3 pr-2'!L109,0)</f>
        <v>437551</v>
      </c>
      <c r="L109" s="1432">
        <f>IF(X109&gt;0,'3 pr-2'!O109,0)</f>
        <v>65633</v>
      </c>
      <c r="M109" s="1432">
        <f>IF(X109&gt;0,'3 pr-2'!R109,0)</f>
        <v>0</v>
      </c>
      <c r="N109" s="1432">
        <f>IF(X109&gt;0,'3 pr-2'!U109,0)</f>
        <v>0</v>
      </c>
      <c r="O109" s="1432">
        <f>IF(X109&gt;0,'3 pr-2'!X109,0)</f>
        <v>0</v>
      </c>
      <c r="P109" s="1432">
        <f>IF(X109&gt;0,'3 pr-2'!AA109,0)</f>
        <v>371918</v>
      </c>
      <c r="Q109" s="1432">
        <f>IF(YEAR(X109)=2016,P109,0)</f>
        <v>0</v>
      </c>
      <c r="R109" s="1432">
        <f>IF(YEAR(X109)=2017,P109,0)</f>
        <v>371918</v>
      </c>
      <c r="S109" s="1432">
        <f>IF(YEAR(X109)=2018,P109,0)</f>
        <v>0</v>
      </c>
      <c r="T109" s="1432">
        <f>IF(YEAR(X109)=2019,P109,0)</f>
        <v>0</v>
      </c>
      <c r="U109" s="1432">
        <f>IF(YEAR(X109)=2020,P109,0)</f>
        <v>0</v>
      </c>
      <c r="V109" s="1435">
        <f>IF(X109&gt;0,'3 pr-2'!$AB$10,0)</f>
        <v>0</v>
      </c>
      <c r="W109" s="1342">
        <f>SUM('3 pr-2'!AI109)</f>
        <v>43100</v>
      </c>
      <c r="X109" s="1370">
        <f>SUMIF('sutarčių ataskaita'!$J$19:$J$600,C109,'sutarčių ataskaita'!$L$19:$L$600)</f>
        <v>43097</v>
      </c>
      <c r="Y109" s="423"/>
      <c r="Z109" s="445" t="str">
        <f t="shared" ref="Z109:Z113" si="87">IF(W109-X109&lt;0,(W109-X109)/30.4166666666667,"–")</f>
        <v>–</v>
      </c>
      <c r="AA109" s="1175"/>
    </row>
    <row r="110" spans="1:27" ht="60.75" x14ac:dyDescent="0.25">
      <c r="A110" s="366" t="str">
        <f>CONCATENATE('3 pr-2'!A110)</f>
        <v>2.1.1.2.2</v>
      </c>
      <c r="B110" s="240" t="str">
        <f>CONCATENATE('3 pr-2'!B110)</f>
        <v>R01-7725-240000-2122</v>
      </c>
      <c r="C110" s="309" t="str">
        <f>CONCATENATE('ketv. 2'!B109)</f>
        <v>09.1.3-CPVA-R-725-11-0005</v>
      </c>
      <c r="D110" s="366" t="str">
        <f>CONCATENATE('3 pr-2'!D110)</f>
        <v>Alytaus r. meno ir sporto mokyklos edukacinių erdvių įkūrimas ir atnaujinimas</v>
      </c>
      <c r="E110" s="366" t="str">
        <f>CONCATENATE('3 pr-2'!E110)</f>
        <v>Alytaus rajono savivaldybės administracija</v>
      </c>
      <c r="F110" s="366" t="str">
        <f>CONCATENATE('3 pr-2'!F110)</f>
        <v>Lietuvos Respublikos švietimo ir mokslo ministerija</v>
      </c>
      <c r="G110" s="366" t="str">
        <f>CONCATENATE('3 pr-2'!G110)</f>
        <v>Alytaus r. sav.</v>
      </c>
      <c r="H110" s="366" t="str">
        <f>CONCATENATE('3 pr-2'!H110)</f>
        <v>09.13.CPVA-R-725</v>
      </c>
      <c r="I110" s="366" t="str">
        <f>CONCATENATE('3 pr-2'!I110)</f>
        <v>R</v>
      </c>
      <c r="J110" s="366" t="str">
        <f>CONCATENATE('3 pr-2'!J110)</f>
        <v>-</v>
      </c>
      <c r="K110" s="1432">
        <f>IF(X110&gt;0,'3 pr-2'!L110,0)</f>
        <v>856424.88</v>
      </c>
      <c r="L110" s="1432">
        <f>IF(X110&gt;0,'3 pr-2'!O110,0)</f>
        <v>319813.88</v>
      </c>
      <c r="M110" s="1432">
        <f>IF(X110&gt;0,'3 pr-2'!R110,0)</f>
        <v>0</v>
      </c>
      <c r="N110" s="1432">
        <f>IF(X110&gt;0,'3 pr-2'!U110,0)</f>
        <v>0</v>
      </c>
      <c r="O110" s="1432">
        <f>IF(X110&gt;0,'3 pr-2'!X110,0)</f>
        <v>0</v>
      </c>
      <c r="P110" s="1432">
        <f>IF(X110&gt;0,'3 pr-2'!AA110,0)</f>
        <v>536611</v>
      </c>
      <c r="Q110" s="1432">
        <f>IF(YEAR(X110)=2016,P110,0)</f>
        <v>0</v>
      </c>
      <c r="R110" s="1432">
        <f>IF(YEAR(X110)=2017,P110,0)</f>
        <v>0</v>
      </c>
      <c r="S110" s="1432">
        <f>IF(YEAR(X110)=2018,P110,0)</f>
        <v>536611</v>
      </c>
      <c r="T110" s="1432">
        <f>IF(YEAR(X110)=2019,P110,0)</f>
        <v>0</v>
      </c>
      <c r="U110" s="1432">
        <f>IF(YEAR(X110)=2020,P110,0)</f>
        <v>0</v>
      </c>
      <c r="V110" s="1435">
        <f>IF(X110&gt;0,'3 pr-2'!$AB$10,0)</f>
        <v>0</v>
      </c>
      <c r="W110" s="1342">
        <f>SUM('3 pr-2'!AI110)</f>
        <v>43115</v>
      </c>
      <c r="X110" s="1370">
        <f>SUMIF('sutarčių ataskaita'!$J$19:$J$600,C110,'sutarčių ataskaita'!$L$19:$L$600)</f>
        <v>43115</v>
      </c>
      <c r="Y110" s="423"/>
      <c r="Z110" s="445" t="str">
        <f t="shared" si="87"/>
        <v>–</v>
      </c>
    </row>
    <row r="111" spans="1:27" ht="60.75" x14ac:dyDescent="0.25">
      <c r="A111" s="366" t="str">
        <f>CONCATENATE('3 pr-2'!A111)</f>
        <v>2.1.1.2.3</v>
      </c>
      <c r="B111" s="240" t="str">
        <f>CONCATENATE('3 pr-2'!B111)</f>
        <v>R01-7725-240000-2123</v>
      </c>
      <c r="C111" s="309" t="str">
        <f>CONCATENATE('ketv. 2'!B110)</f>
        <v>09.1.3-CPVA-R-725-11-0004</v>
      </c>
      <c r="D111" s="366" t="str">
        <f>CONCATENATE('3 pr-2'!D111)</f>
        <v>Alytaus muzikos mokyklos pastato modernizavimas ir ugdymo aplinkos gerinimas</v>
      </c>
      <c r="E111" s="366" t="str">
        <f>CONCATENATE('3 pr-2'!E111)</f>
        <v>Alytaus miesto savivaldybės administracija</v>
      </c>
      <c r="F111" s="366" t="str">
        <f>CONCATENATE('3 pr-2'!F111)</f>
        <v>Lietuvos Respublikos švietimo ir mokslo ministerija</v>
      </c>
      <c r="G111" s="366" t="str">
        <f>CONCATENATE('3 pr-2'!G111)</f>
        <v>Alytaus m. sav.</v>
      </c>
      <c r="H111" s="366" t="str">
        <f>CONCATENATE('3 pr-2'!H111)</f>
        <v>09.13.CPVA-R-725</v>
      </c>
      <c r="I111" s="366" t="str">
        <f>CONCATENATE('3 pr-2'!I111)</f>
        <v>R</v>
      </c>
      <c r="J111" s="366" t="str">
        <f>CONCATENATE('3 pr-2'!J111)</f>
        <v>-</v>
      </c>
      <c r="K111" s="1432">
        <f>IF(X111&gt;0,'3 pr-2'!L111,0)</f>
        <v>397378</v>
      </c>
      <c r="L111" s="1432">
        <f>IF(X111&gt;0,'3 pr-2'!O111,0)</f>
        <v>59607</v>
      </c>
      <c r="M111" s="1432">
        <f>IF(X111&gt;0,'3 pr-2'!R111,0)</f>
        <v>0</v>
      </c>
      <c r="N111" s="1432">
        <f>IF(X111&gt;0,'3 pr-2'!U111,0)</f>
        <v>0</v>
      </c>
      <c r="O111" s="1432">
        <f>IF(X111&gt;0,'3 pr-2'!X111,0)</f>
        <v>0</v>
      </c>
      <c r="P111" s="1432">
        <f>IF(X111&gt;0,'3 pr-2'!AA111,0)</f>
        <v>337771</v>
      </c>
      <c r="Q111" s="1432">
        <f>IF(YEAR(X111)=2016,P111,0)</f>
        <v>0</v>
      </c>
      <c r="R111" s="1432">
        <f>IF(YEAR(X111)=2017,P111,0)</f>
        <v>0</v>
      </c>
      <c r="S111" s="1432">
        <f>IF(YEAR(X111)=2018,P111,0)</f>
        <v>337771</v>
      </c>
      <c r="T111" s="1432">
        <f>IF(YEAR(X111)=2019,P111,0)</f>
        <v>0</v>
      </c>
      <c r="U111" s="1432">
        <f>IF(YEAR(X111)=2020,P111,0)</f>
        <v>0</v>
      </c>
      <c r="V111" s="1435">
        <f>IF(X111&gt;0,'3 pr-2'!$AB$10,0)</f>
        <v>0</v>
      </c>
      <c r="W111" s="1342">
        <f>SUM('3 pr-2'!AI111)</f>
        <v>43119</v>
      </c>
      <c r="X111" s="1370">
        <f>SUMIF('sutarčių ataskaita'!$J$19:$J$600,C111,'sutarčių ataskaita'!$L$19:$L$600)</f>
        <v>43119</v>
      </c>
      <c r="Y111" s="423"/>
      <c r="Z111" s="445" t="str">
        <f t="shared" si="87"/>
        <v>–</v>
      </c>
    </row>
    <row r="112" spans="1:27" ht="60.75" x14ac:dyDescent="0.25">
      <c r="A112" s="366" t="str">
        <f>CONCATENATE('3 pr-2'!A112)</f>
        <v>2.1.1.2.4</v>
      </c>
      <c r="B112" s="240" t="str">
        <f>CONCATENATE('3 pr-2'!B112)</f>
        <v>R01-7725-240000-2124</v>
      </c>
      <c r="C112" s="309" t="str">
        <f>CONCATENATE('ketv. 2'!B111)</f>
        <v>09.1.3-CPVA-R-725-11-0002</v>
      </c>
      <c r="D112" s="366" t="str">
        <f>CONCATENATE('3 pr-2'!D112)</f>
        <v>Druskininkų M. K. Čiurlionio meno mokyklos infrastruktūros tobulinimas</v>
      </c>
      <c r="E112" s="366" t="str">
        <f>CONCATENATE('3 pr-2'!E112)</f>
        <v xml:space="preserve">Druskininkų savivaldybės administracija  </v>
      </c>
      <c r="F112" s="366" t="str">
        <f>CONCATENATE('3 pr-2'!F112)</f>
        <v>Lietuvos Respublikos švietimo ir mokslo ministerija</v>
      </c>
      <c r="G112" s="366" t="str">
        <f>CONCATENATE('3 pr-2'!G112)</f>
        <v>Druskininkų sav.</v>
      </c>
      <c r="H112" s="366" t="str">
        <f>CONCATENATE('3 pr-2'!H112)</f>
        <v>09.13.CPVA-R-725</v>
      </c>
      <c r="I112" s="366" t="str">
        <f>CONCATENATE('3 pr-2'!I112)</f>
        <v>R</v>
      </c>
      <c r="J112" s="366" t="str">
        <f>CONCATENATE('3 pr-2'!J112)</f>
        <v>-</v>
      </c>
      <c r="K112" s="1432">
        <f>IF(X112&gt;0,'3 pr-2'!L112,0)</f>
        <v>146702.29999999999</v>
      </c>
      <c r="L112" s="1432">
        <f>IF(X112&gt;0,'3 pr-2'!O112,0)</f>
        <v>22436.3</v>
      </c>
      <c r="M112" s="1432">
        <f>IF(X112&gt;0,'3 pr-2'!R112,0)</f>
        <v>0</v>
      </c>
      <c r="N112" s="1432">
        <f>IF(X112&gt;0,'3 pr-2'!U112,0)</f>
        <v>0</v>
      </c>
      <c r="O112" s="1432">
        <f>IF(X112&gt;0,'3 pr-2'!X112,0)</f>
        <v>0</v>
      </c>
      <c r="P112" s="1432">
        <f>IF(X112&gt;0,'3 pr-2'!AA112,0)</f>
        <v>124266</v>
      </c>
      <c r="Q112" s="1432">
        <f>IF(YEAR(X112)=2016,P112,0)</f>
        <v>0</v>
      </c>
      <c r="R112" s="1432">
        <f>IF(YEAR(X112)=2017,P112,0)</f>
        <v>124266</v>
      </c>
      <c r="S112" s="1432">
        <f>IF(YEAR(X112)=2018,P112,0)</f>
        <v>0</v>
      </c>
      <c r="T112" s="1432">
        <f>IF(YEAR(X112)=2019,P112,0)</f>
        <v>0</v>
      </c>
      <c r="U112" s="1432">
        <f>IF(YEAR(X112)=2020,P112,0)</f>
        <v>0</v>
      </c>
      <c r="V112" s="1435">
        <f>IF(X112&gt;0,'3 pr-2'!$AB$10,0)</f>
        <v>0</v>
      </c>
      <c r="W112" s="1342">
        <f>SUM('3 pr-2'!AI112)</f>
        <v>43100</v>
      </c>
      <c r="X112" s="1370">
        <f>SUMIF('sutarčių ataskaita'!$J$19:$J$600,C112,'sutarčių ataskaita'!$L$19:$L$600)</f>
        <v>43097</v>
      </c>
      <c r="Y112" s="423"/>
      <c r="Z112" s="445" t="str">
        <f t="shared" si="87"/>
        <v>–</v>
      </c>
    </row>
    <row r="113" spans="1:26" ht="61.5" thickBot="1" x14ac:dyDescent="0.3">
      <c r="A113" s="366" t="str">
        <f>CONCATENATE('3 pr-2'!A113)</f>
        <v>2.1.1.2.5</v>
      </c>
      <c r="B113" s="240" t="str">
        <f>CONCATENATE('3 pr-2'!B113)</f>
        <v>R01-7725-240000-2125</v>
      </c>
      <c r="C113" s="309" t="str">
        <f>CONCATENATE('ketv. 2'!B112)</f>
        <v>09.1.3-CPVA-R-725-11-0001</v>
      </c>
      <c r="D113" s="366" t="str">
        <f>CONCATENATE('3 pr-2'!D113)</f>
        <v>Neformaliojo švietimo įstaigų Lazdijų rajono savivaldybėje infrastruktūros tobulinimas</v>
      </c>
      <c r="E113" s="366" t="str">
        <f>CONCATENATE('3 pr-2'!E113)</f>
        <v>VšĮ „Lazdijų sporto centras“</v>
      </c>
      <c r="F113" s="366" t="str">
        <f>CONCATENATE('3 pr-2'!F113)</f>
        <v>Lietuvos Respublikos švietimo ir mokslo ministerija</v>
      </c>
      <c r="G113" s="366" t="str">
        <f>CONCATENATE('3 pr-2'!G113)</f>
        <v>Lazdijų r. sav.</v>
      </c>
      <c r="H113" s="366" t="str">
        <f>CONCATENATE('3 pr-2'!H113)</f>
        <v>09.13.CPVA-R-725</v>
      </c>
      <c r="I113" s="366" t="str">
        <f>CONCATENATE('3 pr-2'!I113)</f>
        <v>R</v>
      </c>
      <c r="J113" s="366" t="str">
        <f>CONCATENATE('3 pr-2'!J113)</f>
        <v>-</v>
      </c>
      <c r="K113" s="1432">
        <f>IF(X113&gt;0,'3 pr-2'!L113,0)</f>
        <v>135814</v>
      </c>
      <c r="L113" s="1432">
        <f>IF(X113&gt;0,'3 pr-2'!O113,0)</f>
        <v>20373</v>
      </c>
      <c r="M113" s="1432">
        <f>IF(X113&gt;0,'3 pr-2'!R113,0)</f>
        <v>0</v>
      </c>
      <c r="N113" s="1432">
        <f>IF(X113&gt;0,'3 pr-2'!U113,0)</f>
        <v>0</v>
      </c>
      <c r="O113" s="1432">
        <f>IF(X113&gt;0,'3 pr-2'!X113,0)</f>
        <v>0</v>
      </c>
      <c r="P113" s="1432">
        <f>IF(X113&gt;0,'3 pr-2'!AA113,0)</f>
        <v>115441</v>
      </c>
      <c r="Q113" s="1432">
        <f>IF(YEAR(X113)=2016,P113,0)</f>
        <v>0</v>
      </c>
      <c r="R113" s="1432">
        <f>IF(YEAR(X113)=2017,P113,0)</f>
        <v>115441</v>
      </c>
      <c r="S113" s="1432">
        <f>IF(YEAR(X113)=2018,P113,0)</f>
        <v>0</v>
      </c>
      <c r="T113" s="1432">
        <f>IF(YEAR(X113)=2019,P113,0)</f>
        <v>0</v>
      </c>
      <c r="U113" s="1432">
        <f>IF(YEAR(X113)=2020,P113,0)</f>
        <v>0</v>
      </c>
      <c r="V113" s="1435">
        <f>IF(X113&gt;0,'3 pr-2'!$AB$10,0)</f>
        <v>0</v>
      </c>
      <c r="W113" s="1342">
        <f>SUM('3 pr-2'!AI113)</f>
        <v>43100</v>
      </c>
      <c r="X113" s="1370">
        <f>SUMIF('sutarčių ataskaita'!$J$19:$J$600,C113,'sutarčių ataskaita'!$L$19:$L$600)</f>
        <v>43045</v>
      </c>
      <c r="Y113" s="423"/>
      <c r="Z113" s="445" t="str">
        <f t="shared" si="87"/>
        <v>–</v>
      </c>
    </row>
    <row r="114" spans="1:26" ht="36" customHeight="1" thickBot="1" x14ac:dyDescent="0.3">
      <c r="A114" s="326" t="str">
        <f>CONCATENATE('3 pr-2'!A114)</f>
        <v>2.1.1.3</v>
      </c>
      <c r="B114" s="2025" t="str">
        <f>CONCATENATE('3 pr-2'!B114)</f>
        <v>Priemonė:
Ikimokyklinio ir priešmokyklinio ugdymo prieinamumo didinimas</v>
      </c>
      <c r="C114" s="2026"/>
      <c r="D114" s="2026"/>
      <c r="E114" s="2026"/>
      <c r="F114" s="2026"/>
      <c r="G114" s="2026"/>
      <c r="H114" s="2026"/>
      <c r="I114" s="2026"/>
      <c r="J114" s="2027"/>
      <c r="K114" s="1293">
        <f>SUM(K115:K119)</f>
        <v>1459021.7699999998</v>
      </c>
      <c r="L114" s="1293">
        <f t="shared" ref="L114:P114" si="88">SUM(L115:L119)</f>
        <v>219970.77</v>
      </c>
      <c r="M114" s="1293">
        <f t="shared" si="88"/>
        <v>100463</v>
      </c>
      <c r="N114" s="1293">
        <f t="shared" si="88"/>
        <v>0</v>
      </c>
      <c r="O114" s="1293">
        <f t="shared" si="88"/>
        <v>0</v>
      </c>
      <c r="P114" s="1293">
        <f t="shared" si="88"/>
        <v>1138588</v>
      </c>
      <c r="Q114" s="1504">
        <f>SUM(Q115:Q119)</f>
        <v>0</v>
      </c>
      <c r="R114" s="1505">
        <f t="shared" ref="R114:V114" si="89">SUM(R115:R119)</f>
        <v>0</v>
      </c>
      <c r="S114" s="1504">
        <f t="shared" si="89"/>
        <v>1138588</v>
      </c>
      <c r="T114" s="1505">
        <f t="shared" si="89"/>
        <v>0</v>
      </c>
      <c r="U114" s="1506">
        <f t="shared" si="89"/>
        <v>0</v>
      </c>
      <c r="V114" s="1293">
        <f t="shared" si="89"/>
        <v>0</v>
      </c>
      <c r="W114" s="1402"/>
      <c r="X114" s="1402"/>
      <c r="Y114" s="397"/>
      <c r="Z114" s="397"/>
    </row>
    <row r="115" spans="1:26" ht="60.75" x14ac:dyDescent="0.25">
      <c r="A115" s="366" t="str">
        <f>CONCATENATE('3 pr-2'!A115)</f>
        <v>2.1.1.3.1</v>
      </c>
      <c r="B115" s="240" t="str">
        <f>CONCATENATE('3 pr-2'!B115)</f>
        <v>R01-7705-230000-2131</v>
      </c>
      <c r="C115" s="309" t="str">
        <f>CONCATENATE('ketv. 2'!B114)</f>
        <v>09.1.3-CPVA-R-705-11-0003</v>
      </c>
      <c r="D115" s="366" t="str">
        <f>CONCATENATE('3 pr-2'!D115)</f>
        <v>Varėnos "Pasakos" vaikų lopšelio-darželio pastato modernizavimas</v>
      </c>
      <c r="E115" s="366" t="str">
        <f>CONCATENATE('3 pr-2'!E115)</f>
        <v>Varėnos rajono savivaldybės administracija</v>
      </c>
      <c r="F115" s="366" t="str">
        <f>CONCATENATE('3 pr-2'!F115)</f>
        <v>Lietuvos Respublikos švietimo ir mokslo ministerija</v>
      </c>
      <c r="G115" s="366" t="str">
        <f>CONCATENATE('3 pr-2'!G115)</f>
        <v>Varėnos r. sav.</v>
      </c>
      <c r="H115" s="366" t="str">
        <f>CONCATENATE('3 pr-2'!H115)</f>
        <v>09.1.3-CPVA-R-705</v>
      </c>
      <c r="I115" s="366" t="str">
        <f>CONCATENATE('3 pr-2'!I115)</f>
        <v>R</v>
      </c>
      <c r="J115" s="366" t="str">
        <f>CONCATENATE('3 pr-2'!J115)</f>
        <v>-</v>
      </c>
      <c r="K115" s="1432">
        <f>IF(X115&gt;0,'3 pr-2'!L115,0)</f>
        <v>370000</v>
      </c>
      <c r="L115" s="1432">
        <f>IF(X115&gt;0,'3 pr-2'!O115,0)</f>
        <v>57342</v>
      </c>
      <c r="M115" s="1432">
        <f>IF(X115&gt;0,'3 pr-2'!R115,0)</f>
        <v>25351</v>
      </c>
      <c r="N115" s="1432">
        <f>IF(X115&gt;0,'3 pr-2'!U115,0)</f>
        <v>0</v>
      </c>
      <c r="O115" s="1432">
        <f>IF(X115&gt;0,'3 pr-2'!X115,0)</f>
        <v>0</v>
      </c>
      <c r="P115" s="1432">
        <f>IF(X115&gt;0,'3 pr-2'!AA115,0)</f>
        <v>287307</v>
      </c>
      <c r="Q115" s="1432">
        <f>IF(YEAR(X115)=2016,P115,0)</f>
        <v>0</v>
      </c>
      <c r="R115" s="1432">
        <f>IF(YEAR(X115)=2017,P115,0)</f>
        <v>0</v>
      </c>
      <c r="S115" s="1432">
        <f>IF(YEAR(X115)=2018,P115,0)</f>
        <v>287307</v>
      </c>
      <c r="T115" s="1432">
        <f>IF(YEAR(X115)=2019,P115,0)</f>
        <v>0</v>
      </c>
      <c r="U115" s="1432">
        <f>IF(YEAR(X115)=2020,P115,0)</f>
        <v>0</v>
      </c>
      <c r="V115" s="1435">
        <f>IF(X115&gt;0,'3 pr-2'!$AB$10,0)</f>
        <v>0</v>
      </c>
      <c r="W115" s="1342">
        <f>SUM('3 pr-2'!AI115)</f>
        <v>43179</v>
      </c>
      <c r="X115" s="1370">
        <f>SUMIF('sutarčių ataskaita'!$J$19:$J$600,C115,'sutarčių ataskaita'!$L$19:$L$600)</f>
        <v>43179</v>
      </c>
      <c r="Y115" s="366"/>
      <c r="Z115" s="445" t="str">
        <f t="shared" ref="Z115:Z119" si="90">IF(W115-X115&lt;0,(W115-X115)/30.4166666666667,"–")</f>
        <v>–</v>
      </c>
    </row>
    <row r="116" spans="1:26" ht="60.75" x14ac:dyDescent="0.25">
      <c r="A116" s="366" t="str">
        <f>CONCATENATE('3 pr-2'!A116)</f>
        <v>2.1.1.3.2</v>
      </c>
      <c r="B116" s="240" t="str">
        <f>CONCATENATE('3 pr-2'!B116)</f>
        <v>R01-7705-230000-2132</v>
      </c>
      <c r="C116" s="309" t="str">
        <f>CONCATENATE('ketv. 2'!B115)</f>
        <v>09.1.3-CPVA-R-705-11-0004</v>
      </c>
      <c r="D116" s="366" t="str">
        <f>CONCATENATE('3 pr-2'!D116)</f>
        <v>Alytaus r. ikimokyklinio ir priešmokyklinio ugdymo prieinamumo didinimas įkuriant ir atnaujinant edukacines erdves</v>
      </c>
      <c r="E116" s="366" t="str">
        <f>CONCATENATE('3 pr-2'!E116)</f>
        <v>Alytaus rajono savivaldybės administracija</v>
      </c>
      <c r="F116" s="366" t="str">
        <f>CONCATENATE('3 pr-2'!F116)</f>
        <v>Lietuvos Respublikos švietimo ir mokslo ministerija</v>
      </c>
      <c r="G116" s="366" t="str">
        <f>CONCATENATE('3 pr-2'!G116)</f>
        <v>Alytaus r. sav.</v>
      </c>
      <c r="H116" s="366" t="str">
        <f>CONCATENATE('3 pr-2'!H116)</f>
        <v>09.1.3-CPVA-R-705</v>
      </c>
      <c r="I116" s="366" t="str">
        <f>CONCATENATE('3 pr-2'!I116)</f>
        <v>R</v>
      </c>
      <c r="J116" s="366" t="str">
        <f>CONCATENATE('3 pr-2'!J116)</f>
        <v/>
      </c>
      <c r="K116" s="1432">
        <f>IF(X116&gt;0,'3 pr-2'!L116,0)</f>
        <v>597456.88</v>
      </c>
      <c r="L116" s="1432">
        <f>IF(X116&gt;0,'3 pr-2'!O116,0)</f>
        <v>59861.88</v>
      </c>
      <c r="M116" s="1432">
        <f>IF(X116&gt;0,'3 pr-2'!R116,0)</f>
        <v>43588</v>
      </c>
      <c r="N116" s="1432">
        <f>IF(X116&gt;0,'3 pr-2'!U116,0)</f>
        <v>0</v>
      </c>
      <c r="O116" s="1432">
        <f>IF(X116&gt;0,'3 pr-2'!X116,0)</f>
        <v>0</v>
      </c>
      <c r="P116" s="1432">
        <f>IF(X116&gt;0,'3 pr-2'!AA116,0)</f>
        <v>494007</v>
      </c>
      <c r="Q116" s="1432">
        <f>IF(YEAR(X116)=2016,P116,0)</f>
        <v>0</v>
      </c>
      <c r="R116" s="1432">
        <f>IF(YEAR(X116)=2017,P116,0)</f>
        <v>0</v>
      </c>
      <c r="S116" s="1432">
        <f>IF(YEAR(X116)=2018,P116,0)</f>
        <v>494007</v>
      </c>
      <c r="T116" s="1432">
        <f>IF(YEAR(X116)=2019,P116,0)</f>
        <v>0</v>
      </c>
      <c r="U116" s="1432">
        <f>IF(YEAR(X116)=2020,P116,0)</f>
        <v>0</v>
      </c>
      <c r="V116" s="1435">
        <f>IF(X116&gt;0,'3 pr-2'!$AB$10,0)</f>
        <v>0</v>
      </c>
      <c r="W116" s="1342">
        <f>SUM('3 pr-2'!AI116)</f>
        <v>43186</v>
      </c>
      <c r="X116" s="1370">
        <f>SUMIF('sutarčių ataskaita'!$J$19:$J$600,C116,'sutarčių ataskaita'!$L$19:$L$600)</f>
        <v>43186</v>
      </c>
      <c r="Y116" s="366"/>
      <c r="Z116" s="445" t="str">
        <f t="shared" si="90"/>
        <v>–</v>
      </c>
    </row>
    <row r="117" spans="1:26" ht="60.75" x14ac:dyDescent="0.25">
      <c r="A117" s="366" t="str">
        <f>CONCATENATE('3 pr-2'!A117)</f>
        <v>2.1.1.3.3</v>
      </c>
      <c r="B117" s="240" t="str">
        <f>CONCATENATE('3 pr-2'!B117)</f>
        <v>R01-7705-230000-2133</v>
      </c>
      <c r="C117" s="309" t="str">
        <f>CONCATENATE('ketv. 2'!B116)</f>
        <v>09.1.3-CPVA-R-705-11-0001</v>
      </c>
      <c r="D117" s="366" t="str">
        <f>CONCATENATE('3 pr-2'!D117)</f>
        <v>Alytaus lopšelio-darželio " Girinukas" ugdymo aplinkos modernizavimas</v>
      </c>
      <c r="E117" s="366" t="str">
        <f>CONCATENATE('3 pr-2'!E117)</f>
        <v>Alytaus miesto savivaldybės administracija</v>
      </c>
      <c r="F117" s="366" t="str">
        <f>CONCATENATE('3 pr-2'!F117)</f>
        <v>Lietuvos Respublikos švietimo ir mokslo ministerija</v>
      </c>
      <c r="G117" s="366" t="str">
        <f>CONCATENATE('3 pr-2'!G117)</f>
        <v>Alytaus m. sav.</v>
      </c>
      <c r="H117" s="366" t="str">
        <f>CONCATENATE('3 pr-2'!H117)</f>
        <v>09.1.3-CPVA-R-705</v>
      </c>
      <c r="I117" s="366" t="str">
        <f>CONCATENATE('3 pr-2'!I117)</f>
        <v>R</v>
      </c>
      <c r="J117" s="366" t="str">
        <f>CONCATENATE('3 pr-2'!J117)</f>
        <v>-</v>
      </c>
      <c r="K117" s="1432">
        <f>IF(X117&gt;0,'3 pr-2'!L117,0)</f>
        <v>181986</v>
      </c>
      <c r="L117" s="1432">
        <f>IF(X117&gt;0,'3 pr-2'!O117,0)</f>
        <v>13649</v>
      </c>
      <c r="M117" s="1432">
        <f>IF(X117&gt;0,'3 pr-2'!R117,0)</f>
        <v>13649</v>
      </c>
      <c r="N117" s="1432">
        <f>IF(X117&gt;0,'3 pr-2'!U117,0)</f>
        <v>0</v>
      </c>
      <c r="O117" s="1432">
        <f>IF(X117&gt;0,'3 pr-2'!X117,0)</f>
        <v>0</v>
      </c>
      <c r="P117" s="1432">
        <f>IF(X117&gt;0,'3 pr-2'!AA117,0)</f>
        <v>154688</v>
      </c>
      <c r="Q117" s="1432">
        <f>IF(YEAR(X117)=2016,P117,0)</f>
        <v>0</v>
      </c>
      <c r="R117" s="1432">
        <f>IF(YEAR(X117)=2017,P117,0)</f>
        <v>0</v>
      </c>
      <c r="S117" s="1432">
        <f>IF(YEAR(X117)=2018,P117,0)</f>
        <v>154688</v>
      </c>
      <c r="T117" s="1432">
        <f>IF(YEAR(X117)=2019,P117,0)</f>
        <v>0</v>
      </c>
      <c r="U117" s="1432">
        <f>IF(YEAR(X117)=2020,P117,0)</f>
        <v>0</v>
      </c>
      <c r="V117" s="1435">
        <f>IF(X117&gt;0,'3 pr-2'!$AB$10,0)</f>
        <v>0</v>
      </c>
      <c r="W117" s="1342">
        <f>SUM('3 pr-2'!AI117)</f>
        <v>43164</v>
      </c>
      <c r="X117" s="1370">
        <f>SUMIF('sutarčių ataskaita'!$J$19:$J$600,C117,'sutarčių ataskaita'!$L$19:$L$600)</f>
        <v>43164</v>
      </c>
      <c r="Y117" s="366"/>
      <c r="Z117" s="445" t="str">
        <f t="shared" si="90"/>
        <v>–</v>
      </c>
    </row>
    <row r="118" spans="1:26" ht="60.75" x14ac:dyDescent="0.25">
      <c r="A118" s="366" t="str">
        <f>CONCATENATE('3 pr-2'!A118)</f>
        <v>2.1.1.3.4</v>
      </c>
      <c r="B118" s="240" t="str">
        <f>CONCATENATE('3 pr-2'!B118)</f>
        <v>R01-7705-230000-2134</v>
      </c>
      <c r="C118" s="309" t="str">
        <f>CONCATENATE('ketv. 2'!B117)</f>
        <v>09.1.3-CPVA-R-705-11-0006</v>
      </c>
      <c r="D118" s="366" t="str">
        <f>CONCATENATE('3 pr-2'!D118)</f>
        <v>Druskininkų sav. Viečiūnų progimnazijos ikimokyklinio ugdymo skyriaus „Linelis“ ugdymo prieinamumo didinimas</v>
      </c>
      <c r="E118" s="366" t="str">
        <f>CONCATENATE('3 pr-2'!E118)</f>
        <v xml:space="preserve">Druskininkų savivaldybės administracija  </v>
      </c>
      <c r="F118" s="366" t="str">
        <f>CONCATENATE('3 pr-2'!F118)</f>
        <v>Lietuvos Respublikos švietimo ir mokslo ministerija</v>
      </c>
      <c r="G118" s="366" t="str">
        <f>CONCATENATE('3 pr-2'!G118)</f>
        <v>Druskininkų sav.</v>
      </c>
      <c r="H118" s="366" t="str">
        <f>CONCATENATE('3 pr-2'!H118)</f>
        <v>09.1.3-CPVA-R-705</v>
      </c>
      <c r="I118" s="366" t="str">
        <f>CONCATENATE('3 pr-2'!I118)</f>
        <v>R</v>
      </c>
      <c r="J118" s="366" t="str">
        <f>CONCATENATE('3 pr-2'!J118)</f>
        <v>-</v>
      </c>
      <c r="K118" s="1432">
        <f>IF(X118&gt;0,'3 pr-2'!L118,0)</f>
        <v>176024.68</v>
      </c>
      <c r="L118" s="1432">
        <f>IF(X118&gt;0,'3 pr-2'!O118,0)</f>
        <v>79091.679999999993</v>
      </c>
      <c r="M118" s="1432">
        <f>IF(X118&gt;0,'3 pr-2'!R118,0)</f>
        <v>7859</v>
      </c>
      <c r="N118" s="1432">
        <f>IF(X118&gt;0,'3 pr-2'!U118,0)</f>
        <v>0</v>
      </c>
      <c r="O118" s="1432">
        <f>IF(X118&gt;0,'3 pr-2'!X118,0)</f>
        <v>0</v>
      </c>
      <c r="P118" s="1432">
        <f>IF(X118&gt;0,'3 pr-2'!AA118,0)</f>
        <v>89074</v>
      </c>
      <c r="Q118" s="1432">
        <f>IF(YEAR(X118)=2016,P118,0)</f>
        <v>0</v>
      </c>
      <c r="R118" s="1432">
        <f>IF(YEAR(X118)=2017,P118,0)</f>
        <v>0</v>
      </c>
      <c r="S118" s="1432">
        <f>IF(YEAR(X118)=2018,P118,0)</f>
        <v>89074</v>
      </c>
      <c r="T118" s="1432">
        <f>IF(YEAR(X118)=2019,P118,0)</f>
        <v>0</v>
      </c>
      <c r="U118" s="1432">
        <f>IF(YEAR(X118)=2020,P118,0)</f>
        <v>0</v>
      </c>
      <c r="V118" s="1435">
        <f>IF(X118&gt;0,'3 pr-2'!$AB$10,0)</f>
        <v>0</v>
      </c>
      <c r="W118" s="1342">
        <f>SUM('3 pr-2'!AI118)</f>
        <v>43252</v>
      </c>
      <c r="X118" s="1370">
        <f>SUMIF('sutarčių ataskaita'!$J$19:$J$600,C118,'sutarčių ataskaita'!$L$19:$L$600)</f>
        <v>43265</v>
      </c>
      <c r="Y118" s="366"/>
      <c r="Z118" s="445">
        <f t="shared" si="90"/>
        <v>-0.42739726027397212</v>
      </c>
    </row>
    <row r="119" spans="1:26" ht="61.5" thickBot="1" x14ac:dyDescent="0.3">
      <c r="A119" s="432" t="str">
        <f>CONCATENATE('3 pr-2'!A119)</f>
        <v>2.1.1.3.5</v>
      </c>
      <c r="B119" s="240" t="str">
        <f>CONCATENATE('3 pr-2'!B119)</f>
        <v>R01-7705-230000-2135</v>
      </c>
      <c r="C119" s="400" t="str">
        <f>CONCATENATE('ketv. 2'!B118)</f>
        <v>09.1.3-CPVA-R-705-11-0002</v>
      </c>
      <c r="D119" s="432" t="str">
        <f>CONCATENATE('3 pr-2'!D119)</f>
        <v>Ikimokyklinio ir priešmokyklinio ugdymo įstaigų Lazdijų rajono savivaldybėje modernizavimas</v>
      </c>
      <c r="E119" s="432" t="str">
        <f>CONCATENATE('3 pr-2'!E119)</f>
        <v>Lazdijų rajono savivaldybės administracija</v>
      </c>
      <c r="F119" s="432" t="str">
        <f>CONCATENATE('3 pr-2'!F119)</f>
        <v>Lietuvos Respublikos švietimo ir mokslo ministerija</v>
      </c>
      <c r="G119" s="432" t="str">
        <f>CONCATENATE('3 pr-2'!G119)</f>
        <v>Lazdijų r. sav.</v>
      </c>
      <c r="H119" s="432" t="str">
        <f>CONCATENATE('3 pr-2'!H119)</f>
        <v>09.1.3-CPVA-R-705</v>
      </c>
      <c r="I119" s="432" t="str">
        <f>CONCATENATE('3 pr-2'!I119)</f>
        <v>R</v>
      </c>
      <c r="J119" s="432" t="str">
        <f>CONCATENATE('3 pr-2'!J119)</f>
        <v>-</v>
      </c>
      <c r="K119" s="1432">
        <f>IF(X119&gt;0,'3 pr-2'!L119,0)</f>
        <v>133554.21</v>
      </c>
      <c r="L119" s="1432">
        <f>IF(X119&gt;0,'3 pr-2'!O119,0)</f>
        <v>10026.209999999999</v>
      </c>
      <c r="M119" s="1432">
        <f>IF(X119&gt;0,'3 pr-2'!R119,0)</f>
        <v>10016</v>
      </c>
      <c r="N119" s="1432">
        <f>IF(X119&gt;0,'3 pr-2'!U119,0)</f>
        <v>0</v>
      </c>
      <c r="O119" s="1432">
        <f>IF(X119&gt;0,'3 pr-2'!X119,0)</f>
        <v>0</v>
      </c>
      <c r="P119" s="1432">
        <f>IF(X119&gt;0,'3 pr-2'!AA119,0)</f>
        <v>113512</v>
      </c>
      <c r="Q119" s="1473">
        <f>IF(YEAR(X119)=2016,P119,0)</f>
        <v>0</v>
      </c>
      <c r="R119" s="1473">
        <f>IF(YEAR(X119)=2017,P119,0)</f>
        <v>0</v>
      </c>
      <c r="S119" s="1473">
        <f>IF(YEAR(X119)=2018,P119,0)</f>
        <v>113512</v>
      </c>
      <c r="T119" s="1473">
        <f>IF(YEAR(X119)=2019,P119,0)</f>
        <v>0</v>
      </c>
      <c r="U119" s="1473">
        <f>IF(YEAR(X119)=2020,P119,0)</f>
        <v>0</v>
      </c>
      <c r="V119" s="1435">
        <f>IF(X119&gt;0,'3 pr-2'!$AB$10,0)</f>
        <v>0</v>
      </c>
      <c r="W119" s="1350">
        <f>SUM('3 pr-2'!AI119)</f>
        <v>43159</v>
      </c>
      <c r="X119" s="1370">
        <f>SUMIF('sutarčių ataskaita'!$J$19:$J$600,C119,'sutarčių ataskaita'!$L$19:$L$600)</f>
        <v>43193</v>
      </c>
      <c r="Y119" s="432"/>
      <c r="Z119" s="445">
        <f t="shared" si="90"/>
        <v>-1.1178082191780809</v>
      </c>
    </row>
    <row r="120" spans="1:26" ht="47.25" customHeight="1" thickBot="1" x14ac:dyDescent="0.3">
      <c r="A120" s="261" t="str">
        <f>CONCATENATE('3 pr-2'!A120)</f>
        <v>2.1.2.</v>
      </c>
      <c r="B120" s="2022" t="str">
        <f>CONCATENATE('3 pr-2'!B120)</f>
        <v>Uždavinys:
Sveikatos netolygumų sumažinimas, gerinant sveikatos priežiūros kokybę ir prieinamumą tikslinėms gyventojų grupėms ir sveiko senėjimo skatinimas</v>
      </c>
      <c r="C120" s="2023"/>
      <c r="D120" s="2023"/>
      <c r="E120" s="2023"/>
      <c r="F120" s="2023"/>
      <c r="G120" s="2023"/>
      <c r="H120" s="2023"/>
      <c r="I120" s="2023"/>
      <c r="J120" s="2024"/>
      <c r="K120" s="1420">
        <f>SUM(K121+K135)</f>
        <v>994984.5399999998</v>
      </c>
      <c r="L120" s="1420">
        <f t="shared" ref="L120:P120" si="91">SUM(L121+L135)</f>
        <v>74624.070000000007</v>
      </c>
      <c r="M120" s="1420">
        <f t="shared" si="91"/>
        <v>74623.62</v>
      </c>
      <c r="N120" s="1420">
        <f t="shared" si="91"/>
        <v>0</v>
      </c>
      <c r="O120" s="1420">
        <f t="shared" si="91"/>
        <v>0</v>
      </c>
      <c r="P120" s="1420">
        <f t="shared" si="91"/>
        <v>845736.85</v>
      </c>
      <c r="Q120" s="1420"/>
      <c r="R120" s="1420"/>
      <c r="S120" s="1420"/>
      <c r="T120" s="1420"/>
      <c r="U120" s="1420"/>
      <c r="V120" s="1420">
        <f t="shared" ref="V120" si="92">SUM(V121+V135)</f>
        <v>0</v>
      </c>
      <c r="W120" s="1339"/>
      <c r="X120" s="1411"/>
      <c r="Y120" s="434"/>
      <c r="Z120" s="409"/>
    </row>
    <row r="121" spans="1:26" ht="38.25" customHeight="1" thickBot="1" x14ac:dyDescent="0.3">
      <c r="A121" s="326" t="str">
        <f>CONCATENATE('3 pr-2'!A121)</f>
        <v>2.1.2.1</v>
      </c>
      <c r="B121" s="2025" t="str">
        <f>CONCATENATE('3 pr-2'!B121)</f>
        <v>Priemonė:
Pirminės asmens ir visuomenės sveikatos priežiūros veiklos efektyvumo didinimas gerinant jų infrastruktūrą</v>
      </c>
      <c r="C121" s="2026"/>
      <c r="D121" s="2026"/>
      <c r="E121" s="2026"/>
      <c r="F121" s="2026"/>
      <c r="G121" s="2026"/>
      <c r="H121" s="2026"/>
      <c r="I121" s="2026"/>
      <c r="J121" s="2027"/>
      <c r="K121" s="1293">
        <f>SUM(K122:K129)</f>
        <v>0</v>
      </c>
      <c r="L121" s="1293">
        <f t="shared" ref="L121:P121" si="93">SUM(L122:L129)</f>
        <v>0</v>
      </c>
      <c r="M121" s="1293">
        <f t="shared" si="93"/>
        <v>0</v>
      </c>
      <c r="N121" s="1293">
        <f t="shared" si="93"/>
        <v>0</v>
      </c>
      <c r="O121" s="1293">
        <f t="shared" si="93"/>
        <v>0</v>
      </c>
      <c r="P121" s="1293">
        <f t="shared" si="93"/>
        <v>0</v>
      </c>
      <c r="Q121" s="1504">
        <f>SUM(Q122:Q129)</f>
        <v>0</v>
      </c>
      <c r="R121" s="1505">
        <f t="shared" ref="R121:V121" si="94">SUM(R122:R129)</f>
        <v>0</v>
      </c>
      <c r="S121" s="1504">
        <f t="shared" si="94"/>
        <v>0</v>
      </c>
      <c r="T121" s="1505">
        <f t="shared" si="94"/>
        <v>0</v>
      </c>
      <c r="U121" s="1506">
        <f t="shared" si="94"/>
        <v>0</v>
      </c>
      <c r="V121" s="1293">
        <f t="shared" si="94"/>
        <v>0</v>
      </c>
      <c r="W121" s="1402"/>
      <c r="X121" s="1402"/>
      <c r="Y121" s="397"/>
      <c r="Z121" s="397"/>
    </row>
    <row r="122" spans="1:26" ht="60.75" x14ac:dyDescent="0.25">
      <c r="A122" s="182" t="str">
        <f>CONCATENATE('3 pr-2'!A122)</f>
        <v>2.1.2.1.1</v>
      </c>
      <c r="B122" s="240" t="str">
        <f>CONCATENATE('3 pr-2'!B122)</f>
        <v>R01-6609-274710-2211</v>
      </c>
      <c r="C122" s="309" t="str">
        <f>CONCATENATE('ketv. 2'!B121)</f>
        <v>08.1.3-CPVA-R-609-11-0002</v>
      </c>
      <c r="D122" s="182" t="str">
        <f>CONCATENATE('3 pr-2'!D122)</f>
        <v xml:space="preserve">Alytaus poliklinikos teikiamų pirminės sveikatos priežiūros paslaugų prieinamumo didinimas ir kokybės gerinimas </v>
      </c>
      <c r="E122" s="182" t="str">
        <f>CONCATENATE('3 pr-2'!E122)</f>
        <v>VšĮ Alytaus poliklinika</v>
      </c>
      <c r="F122" s="182" t="str">
        <f>CONCATENATE('3 pr-2'!F122)</f>
        <v>Lietuvos Respublikos Sveikatos apsaugos ministerija</v>
      </c>
      <c r="G122" s="182" t="str">
        <f>CONCATENATE('3 pr-2'!G122)</f>
        <v>Alytaus m. sav.</v>
      </c>
      <c r="H122" s="182" t="str">
        <f>CONCATENATE('3 pr-2'!H122)</f>
        <v>08.1.3-CPVA-R-609</v>
      </c>
      <c r="I122" s="182" t="str">
        <f>CONCATENATE('3 pr-2'!I122)</f>
        <v>R</v>
      </c>
      <c r="J122" s="182" t="str">
        <f>CONCATENATE('3 pr-2'!J122)</f>
        <v>-</v>
      </c>
      <c r="K122" s="1432">
        <f>IF(X122&gt;0,'3 pr-2'!L122,0)</f>
        <v>0</v>
      </c>
      <c r="L122" s="1432">
        <f>IF(X122&gt;0,'3 pr-2'!O122,0)</f>
        <v>0</v>
      </c>
      <c r="M122" s="1432">
        <f>IF(X122&gt;0,'3 pr-2'!R122,0)</f>
        <v>0</v>
      </c>
      <c r="N122" s="1432">
        <f>IF(X122&gt;0,'3 pr-2'!U122,0)</f>
        <v>0</v>
      </c>
      <c r="O122" s="1432">
        <f>IF(X122&gt;0,'3 pr-2'!X122,0)</f>
        <v>0</v>
      </c>
      <c r="P122" s="1432">
        <f>IF(X122&gt;0,'3 pr-2'!AA122,0)</f>
        <v>0</v>
      </c>
      <c r="Q122" s="1296">
        <f t="shared" ref="Q122:Q134" si="95">IF(YEAR(X122)=2016,P122,0)</f>
        <v>0</v>
      </c>
      <c r="R122" s="1296">
        <f t="shared" ref="R122:R134" si="96">IF(YEAR(X122)=2017,P122,0)</f>
        <v>0</v>
      </c>
      <c r="S122" s="1296">
        <f t="shared" ref="S122:S134" si="97">IF(YEAR(X122)=2018,P122,0)</f>
        <v>0</v>
      </c>
      <c r="T122" s="1296">
        <f t="shared" ref="T122:T134" si="98">IF(YEAR(X122)=2019,P122,0)</f>
        <v>0</v>
      </c>
      <c r="U122" s="1296">
        <f t="shared" ref="U122:U134" si="99">IF(YEAR(X122)=2020,P122,0)</f>
        <v>0</v>
      </c>
      <c r="V122" s="1435">
        <f>IF(X122&gt;0,'3 pr-2'!$AB$10,0)</f>
        <v>0</v>
      </c>
      <c r="W122" s="1336">
        <f>SUM('3 pr-2'!AI122)</f>
        <v>43464</v>
      </c>
      <c r="X122" s="1370"/>
      <c r="Y122" s="216"/>
      <c r="Z122" s="445" t="str">
        <f t="shared" ref="Z122:Z129" si="100">IF(W122-X122&lt;0,(W122-X122)/30.4166666666667,"–")</f>
        <v>–</v>
      </c>
    </row>
    <row r="123" spans="1:26" ht="84.75" x14ac:dyDescent="0.25">
      <c r="A123" s="182" t="str">
        <f>CONCATENATE('3 pr-2'!A123)</f>
        <v>2.1.2.1.2</v>
      </c>
      <c r="B123" s="240" t="str">
        <f>CONCATENATE('3 pr-2'!B123)</f>
        <v>R01-6609-274710-2212</v>
      </c>
      <c r="C123" s="309" t="str">
        <f>CONCATENATE('ketv. 2'!B122)</f>
        <v>08.1.3-CPVA-R-609-11-0004</v>
      </c>
      <c r="D123" s="182" t="str">
        <f>CONCATENATE('3 pr-2'!D123)</f>
        <v>Sveikatos priežiūros paslaugų modernizavimas bei optimizavimas pirminės sveikatos priežiūros centre</v>
      </c>
      <c r="E123" s="182" t="str">
        <f>CONCATENATE('3 pr-2'!E123)</f>
        <v xml:space="preserve">VšĮ Alytaus miesto savivaldybės pirminės sveikatos priežiūros centras </v>
      </c>
      <c r="F123" s="182" t="str">
        <f>CONCATENATE('3 pr-2'!F123)</f>
        <v>Lietuvos Respublikos Sveikatos apsaugos ministerija</v>
      </c>
      <c r="G123" s="182" t="str">
        <f>CONCATENATE('3 pr-2'!G123)</f>
        <v>Alytaus m. sav.</v>
      </c>
      <c r="H123" s="182" t="str">
        <f>CONCATENATE('3 pr-2'!H123)</f>
        <v>08.1.3-CPVA-R-609</v>
      </c>
      <c r="I123" s="182" t="str">
        <f>CONCATENATE('3 pr-2'!I123)</f>
        <v>R</v>
      </c>
      <c r="J123" s="182" t="str">
        <f>CONCATENATE('3 pr-2'!J123)</f>
        <v>-</v>
      </c>
      <c r="K123" s="1432">
        <f>IF(X123&gt;0,'3 pr-2'!L123,0)</f>
        <v>0</v>
      </c>
      <c r="L123" s="1432">
        <f>IF(X123&gt;0,'3 pr-2'!O123,0)</f>
        <v>0</v>
      </c>
      <c r="M123" s="1432">
        <f>IF(X123&gt;0,'3 pr-2'!R123,0)</f>
        <v>0</v>
      </c>
      <c r="N123" s="1432">
        <f>IF(X123&gt;0,'3 pr-2'!U123,0)</f>
        <v>0</v>
      </c>
      <c r="O123" s="1432">
        <f>IF(X123&gt;0,'3 pr-2'!X123,0)</f>
        <v>0</v>
      </c>
      <c r="P123" s="1432">
        <f>IF(X123&gt;0,'3 pr-2'!AA123,0)</f>
        <v>0</v>
      </c>
      <c r="Q123" s="1296">
        <f t="shared" si="95"/>
        <v>0</v>
      </c>
      <c r="R123" s="1296">
        <f t="shared" si="96"/>
        <v>0</v>
      </c>
      <c r="S123" s="1296">
        <f t="shared" si="97"/>
        <v>0</v>
      </c>
      <c r="T123" s="1296">
        <f t="shared" si="98"/>
        <v>0</v>
      </c>
      <c r="U123" s="1296">
        <f t="shared" si="99"/>
        <v>0</v>
      </c>
      <c r="V123" s="1435">
        <f>IF(X123&gt;0,'3 pr-2'!$AB$10,0)</f>
        <v>0</v>
      </c>
      <c r="W123" s="1336">
        <f>SUM('3 pr-2'!AI123)</f>
        <v>43465</v>
      </c>
      <c r="X123" s="1370"/>
      <c r="Y123" s="216"/>
      <c r="Z123" s="445" t="str">
        <f t="shared" si="100"/>
        <v>–</v>
      </c>
    </row>
    <row r="124" spans="1:26" ht="60.75" x14ac:dyDescent="0.25">
      <c r="A124" s="182" t="str">
        <f>CONCATENATE('3 pr-2'!A124)</f>
        <v>2.1.2.1.3</v>
      </c>
      <c r="B124" s="240" t="str">
        <f>CONCATENATE('3 pr-2'!B124)</f>
        <v>R01-6609-274700-2213</v>
      </c>
      <c r="C124" s="309" t="str">
        <f>CONCATENATE('ketv. 2'!B123)</f>
        <v>08.1.3-CPVA-R-609-11-0003</v>
      </c>
      <c r="D124" s="182" t="str">
        <f>CONCATENATE('3 pr-2'!D124)</f>
        <v>UAB „MediCA klinika“ teikiamų pirminės asmens sveikatos priežiūros paslaugų efektyvumo didinimas Alytaus miesto savivaldybėje</v>
      </c>
      <c r="E124" s="182" t="str">
        <f>CONCATENATE('3 pr-2'!E124)</f>
        <v>UAB „MediCA klinika“</v>
      </c>
      <c r="F124" s="182" t="str">
        <f>CONCATENATE('3 pr-2'!F124)</f>
        <v>Lietuvos Respublikos Sveikatos apsaugos ministerija</v>
      </c>
      <c r="G124" s="182" t="str">
        <f>CONCATENATE('3 pr-2'!G124)</f>
        <v>Alytaus m. sav.</v>
      </c>
      <c r="H124" s="182" t="str">
        <f>CONCATENATE('3 pr-2'!H124)</f>
        <v>08.1.3-CPVA-R-609</v>
      </c>
      <c r="I124" s="182" t="str">
        <f>CONCATENATE('3 pr-2'!I124)</f>
        <v>R</v>
      </c>
      <c r="J124" s="182" t="str">
        <f>CONCATENATE('3 pr-2'!J124)</f>
        <v>-</v>
      </c>
      <c r="K124" s="1432">
        <f>IF(X124&gt;0,'3 pr-2'!L124,0)</f>
        <v>0</v>
      </c>
      <c r="L124" s="1432">
        <f>IF(X124&gt;0,'3 pr-2'!O124,0)</f>
        <v>0</v>
      </c>
      <c r="M124" s="1432">
        <f>IF(X124&gt;0,'3 pr-2'!R124,0)</f>
        <v>0</v>
      </c>
      <c r="N124" s="1432">
        <f>IF(X124&gt;0,'3 pr-2'!U124,0)</f>
        <v>0</v>
      </c>
      <c r="O124" s="1432">
        <f>IF(X124&gt;0,'3 pr-2'!X124,0)</f>
        <v>0</v>
      </c>
      <c r="P124" s="1432">
        <f>IF(X124&gt;0,'3 pr-2'!AA124,0)</f>
        <v>0</v>
      </c>
      <c r="Q124" s="1296">
        <f t="shared" si="95"/>
        <v>0</v>
      </c>
      <c r="R124" s="1296">
        <f t="shared" si="96"/>
        <v>0</v>
      </c>
      <c r="S124" s="1296">
        <f t="shared" si="97"/>
        <v>0</v>
      </c>
      <c r="T124" s="1296">
        <f t="shared" si="98"/>
        <v>0</v>
      </c>
      <c r="U124" s="1296">
        <f t="shared" si="99"/>
        <v>0</v>
      </c>
      <c r="V124" s="1435">
        <f>IF(X124&gt;0,'3 pr-2'!$AB$10,0)</f>
        <v>0</v>
      </c>
      <c r="W124" s="1336">
        <f>SUM('3 pr-2'!AI124)</f>
        <v>43465</v>
      </c>
      <c r="X124" s="1370"/>
      <c r="Y124" s="216"/>
      <c r="Z124" s="445" t="str">
        <f t="shared" si="100"/>
        <v>–</v>
      </c>
    </row>
    <row r="125" spans="1:26" ht="60.75" x14ac:dyDescent="0.25">
      <c r="A125" s="182" t="str">
        <f>CONCATENATE('3 pr-2'!A125)</f>
        <v>2.1.2.1.4</v>
      </c>
      <c r="B125" s="240" t="str">
        <f>CONCATENATE('3 pr-2'!B125)</f>
        <v>R01-6609-274710-2214</v>
      </c>
      <c r="C125" s="309" t="str">
        <f>CONCATENATE('ketv. 2'!B124)</f>
        <v>08.1.3-CPVA-R-609-11-0005</v>
      </c>
      <c r="D125" s="182" t="str">
        <f>CONCATENATE('3 pr-2'!D125)</f>
        <v>UAB "Pagalba ligoniui" teikiamų paslaugų efektyvumo didinimas</v>
      </c>
      <c r="E125" s="182" t="str">
        <f>CONCATENATE('3 pr-2'!E125)</f>
        <v>UAB „Pagalba ligoniui“, Alytaus filialas</v>
      </c>
      <c r="F125" s="182" t="str">
        <f>CONCATENATE('3 pr-2'!F125)</f>
        <v>Lietuvos Respublikos Sveikatos apsaugos ministerija</v>
      </c>
      <c r="G125" s="182" t="str">
        <f>CONCATENATE('3 pr-2'!G125)</f>
        <v>Alytaus m. sav.</v>
      </c>
      <c r="H125" s="182" t="str">
        <f>CONCATENATE('3 pr-2'!H125)</f>
        <v>08.1.3-CPVA-R-609</v>
      </c>
      <c r="I125" s="182" t="str">
        <f>CONCATENATE('3 pr-2'!I125)</f>
        <v>R</v>
      </c>
      <c r="J125" s="182" t="str">
        <f>CONCATENATE('3 pr-2'!J125)</f>
        <v>-</v>
      </c>
      <c r="K125" s="1432">
        <f>IF(X125&gt;0,'3 pr-2'!L125,0)</f>
        <v>0</v>
      </c>
      <c r="L125" s="1432">
        <f>IF(X125&gt;0,'3 pr-2'!O125,0)</f>
        <v>0</v>
      </c>
      <c r="M125" s="1432">
        <f>IF(X125&gt;0,'3 pr-2'!R125,0)</f>
        <v>0</v>
      </c>
      <c r="N125" s="1432">
        <f>IF(X125&gt;0,'3 pr-2'!U125,0)</f>
        <v>0</v>
      </c>
      <c r="O125" s="1432">
        <f>IF(X125&gt;0,'3 pr-2'!X125,0)</f>
        <v>0</v>
      </c>
      <c r="P125" s="1432">
        <f>IF(X125&gt;0,'3 pr-2'!AA125,0)</f>
        <v>0</v>
      </c>
      <c r="Q125" s="1296">
        <f t="shared" si="95"/>
        <v>0</v>
      </c>
      <c r="R125" s="1296">
        <f t="shared" si="96"/>
        <v>0</v>
      </c>
      <c r="S125" s="1296">
        <f t="shared" si="97"/>
        <v>0</v>
      </c>
      <c r="T125" s="1296">
        <f t="shared" si="98"/>
        <v>0</v>
      </c>
      <c r="U125" s="1296">
        <f t="shared" si="99"/>
        <v>0</v>
      </c>
      <c r="V125" s="1435">
        <f>IF(X125&gt;0,'3 pr-2'!$AB$10,0)</f>
        <v>0</v>
      </c>
      <c r="W125" s="1336">
        <f>SUM('3 pr-2'!AI125)</f>
        <v>43465</v>
      </c>
      <c r="X125" s="1370"/>
      <c r="Y125" s="216"/>
      <c r="Z125" s="445" t="str">
        <f t="shared" si="100"/>
        <v>–</v>
      </c>
    </row>
    <row r="126" spans="1:26" ht="84.75" x14ac:dyDescent="0.25">
      <c r="A126" s="182" t="str">
        <f>CONCATENATE('3 pr-2'!A126)</f>
        <v>2.1.2.1.5</v>
      </c>
      <c r="B126" s="240" t="str">
        <f>CONCATENATE('3 pr-2'!B126)</f>
        <v>R01-6609-274710-2215</v>
      </c>
      <c r="C126" s="309" t="str">
        <f>CONCATENATE('ketv. 2'!B125)</f>
        <v/>
      </c>
      <c r="D126" s="182" t="str">
        <f>CONCATENATE('3 pr-2'!D126)</f>
        <v>Pirminės asmens sveikatos priežiūros veiklos efektyvumo didinimas Alytaus rajono savivaldybėje</v>
      </c>
      <c r="E126" s="182" t="str">
        <f>CONCATENATE('3 pr-2'!E126)</f>
        <v>VšĮ Alytaus rajono savivaldybės pirminės sveikatos priežiūros centras</v>
      </c>
      <c r="F126" s="182" t="str">
        <f>CONCATENATE('3 pr-2'!F126)</f>
        <v>Lietuvos Respublikos Sveikatos apsaugos ministerija</v>
      </c>
      <c r="G126" s="182" t="str">
        <f>CONCATENATE('3 pr-2'!G126)</f>
        <v>Alytaus r. sav.</v>
      </c>
      <c r="H126" s="182" t="str">
        <f>CONCATENATE('3 pr-2'!H126)</f>
        <v>08.1.3-CPVA-R-609</v>
      </c>
      <c r="I126" s="182" t="str">
        <f>CONCATENATE('3 pr-2'!I126)</f>
        <v>R</v>
      </c>
      <c r="J126" s="182" t="str">
        <f>CONCATENATE('3 pr-2'!J126)</f>
        <v>-</v>
      </c>
      <c r="K126" s="1432">
        <f>IF(X126&gt;0,'3 pr-2'!L126,0)</f>
        <v>0</v>
      </c>
      <c r="L126" s="1432">
        <f>IF(X126&gt;0,'3 pr-2'!O126,0)</f>
        <v>0</v>
      </c>
      <c r="M126" s="1432">
        <f>IF(X126&gt;0,'3 pr-2'!R126,0)</f>
        <v>0</v>
      </c>
      <c r="N126" s="1432">
        <f>IF(X126&gt;0,'3 pr-2'!U126,0)</f>
        <v>0</v>
      </c>
      <c r="O126" s="1432">
        <f>IF(X126&gt;0,'3 pr-2'!X126,0)</f>
        <v>0</v>
      </c>
      <c r="P126" s="1432">
        <f>IF(X126&gt;0,'3 pr-2'!AA126,0)</f>
        <v>0</v>
      </c>
      <c r="Q126" s="1296">
        <f t="shared" si="95"/>
        <v>0</v>
      </c>
      <c r="R126" s="1296">
        <f t="shared" si="96"/>
        <v>0</v>
      </c>
      <c r="S126" s="1296">
        <f t="shared" si="97"/>
        <v>0</v>
      </c>
      <c r="T126" s="1296">
        <f t="shared" si="98"/>
        <v>0</v>
      </c>
      <c r="U126" s="1296">
        <f t="shared" si="99"/>
        <v>0</v>
      </c>
      <c r="V126" s="1435">
        <f>IF(X126&gt;0,'3 pr-2'!$AB$10,0)</f>
        <v>0</v>
      </c>
      <c r="W126" s="1336">
        <f>SUM('3 pr-2'!AI126)</f>
        <v>43496</v>
      </c>
      <c r="X126" s="1370"/>
      <c r="Y126" s="216"/>
      <c r="Z126" s="445" t="str">
        <f t="shared" si="100"/>
        <v>–</v>
      </c>
    </row>
    <row r="127" spans="1:26" ht="60.75" x14ac:dyDescent="0.25">
      <c r="A127" s="182" t="str">
        <f>CONCATENATE('3 pr-2'!A127)</f>
        <v>2.1.2.1.6</v>
      </c>
      <c r="B127" s="240" t="str">
        <f>CONCATENATE('3 pr-2'!B127)</f>
        <v>R01-6609-471000-2216</v>
      </c>
      <c r="C127" s="309" t="str">
        <f>CONCATENATE('ketv. 2'!B126)</f>
        <v/>
      </c>
      <c r="D127" s="182" t="str">
        <f>CONCATENATE('3 pr-2'!D127)</f>
        <v>Sveikatos priežiūros paslaugų gerinimas "UAB "Disolis"</v>
      </c>
      <c r="E127" s="182" t="str">
        <f>CONCATENATE('3 pr-2'!E127)</f>
        <v>UAB „Disolis“</v>
      </c>
      <c r="F127" s="182" t="str">
        <f>CONCATENATE('3 pr-2'!F127)</f>
        <v>Lietuvos Respublikos Sveikatos apsaugos ministerija</v>
      </c>
      <c r="G127" s="182" t="str">
        <f>CONCATENATE('3 pr-2'!G127)</f>
        <v>Alytaus r. sav.</v>
      </c>
      <c r="H127" s="182" t="str">
        <f>CONCATENATE('3 pr-2'!H127)</f>
        <v>08.1.3-CPVA-R-609</v>
      </c>
      <c r="I127" s="182" t="str">
        <f>CONCATENATE('3 pr-2'!I127)</f>
        <v>R</v>
      </c>
      <c r="J127" s="182" t="str">
        <f>CONCATENATE('3 pr-2'!J127)</f>
        <v>-</v>
      </c>
      <c r="K127" s="1432">
        <f>IF(X127&gt;0,'3 pr-2'!L127,0)</f>
        <v>0</v>
      </c>
      <c r="L127" s="1432">
        <f>IF(X127&gt;0,'3 pr-2'!O127,0)</f>
        <v>0</v>
      </c>
      <c r="M127" s="1432">
        <f>IF(X127&gt;0,'3 pr-2'!R127,0)</f>
        <v>0</v>
      </c>
      <c r="N127" s="1432">
        <f>IF(X127&gt;0,'3 pr-2'!U127,0)</f>
        <v>0</v>
      </c>
      <c r="O127" s="1432">
        <f>IF(X127&gt;0,'3 pr-2'!X127,0)</f>
        <v>0</v>
      </c>
      <c r="P127" s="1432">
        <f>IF(X127&gt;0,'3 pr-2'!AA127,0)</f>
        <v>0</v>
      </c>
      <c r="Q127" s="1296">
        <f t="shared" si="95"/>
        <v>0</v>
      </c>
      <c r="R127" s="1296">
        <f t="shared" si="96"/>
        <v>0</v>
      </c>
      <c r="S127" s="1296">
        <f t="shared" si="97"/>
        <v>0</v>
      </c>
      <c r="T127" s="1296">
        <f t="shared" si="98"/>
        <v>0</v>
      </c>
      <c r="U127" s="1296">
        <f t="shared" si="99"/>
        <v>0</v>
      </c>
      <c r="V127" s="1435">
        <f>IF(X127&gt;0,'3 pr-2'!$AB$10,0)</f>
        <v>0</v>
      </c>
      <c r="W127" s="1336">
        <f>SUM('3 pr-2'!AI127)</f>
        <v>43495</v>
      </c>
      <c r="X127" s="1370"/>
      <c r="Y127" s="216"/>
      <c r="Z127" s="445" t="str">
        <f t="shared" si="100"/>
        <v>–</v>
      </c>
    </row>
    <row r="128" spans="1:26" ht="60.75" x14ac:dyDescent="0.25">
      <c r="A128" s="182" t="str">
        <f>CONCATENATE('3 pr-2'!A128)</f>
        <v>2.1.2.1.7</v>
      </c>
      <c r="B128" s="240" t="str">
        <f>CONCATENATE('3 pr-2'!B128)</f>
        <v>R01-6609-274710-2217</v>
      </c>
      <c r="C128" s="309" t="str">
        <f>CONCATENATE('ketv. 2'!B127)</f>
        <v/>
      </c>
      <c r="D128" s="182" t="str">
        <f>CONCATENATE('3 pr-2'!D128)</f>
        <v>Pirminės asmens sveikatos priežiūros kokybės ir prieinamumo gerinimas Druskininkų savivaldybėje</v>
      </c>
      <c r="E128" s="182" t="str">
        <f>CONCATENATE('3 pr-2'!E128)</f>
        <v>VšĮ Druskininkų pirminės sveikatos priežiūros centras</v>
      </c>
      <c r="F128" s="182" t="str">
        <f>CONCATENATE('3 pr-2'!F128)</f>
        <v>Lietuvos Respublikos Sveikatos apsaugos ministerija</v>
      </c>
      <c r="G128" s="182" t="str">
        <f>CONCATENATE('3 pr-2'!G128)</f>
        <v>Druskininkų sav.</v>
      </c>
      <c r="H128" s="182" t="str">
        <f>CONCATENATE('3 pr-2'!H128)</f>
        <v>08.1.3-CPVA-R-609</v>
      </c>
      <c r="I128" s="182" t="str">
        <f>CONCATENATE('3 pr-2'!I128)</f>
        <v>R</v>
      </c>
      <c r="J128" s="182" t="str">
        <f>CONCATENATE('3 pr-2'!J128)</f>
        <v>-</v>
      </c>
      <c r="K128" s="1432">
        <f>IF(X128&gt;0,'3 pr-2'!L128,0)</f>
        <v>0</v>
      </c>
      <c r="L128" s="1432">
        <f>IF(X128&gt;0,'3 pr-2'!O128,0)</f>
        <v>0</v>
      </c>
      <c r="M128" s="1432">
        <f>IF(X128&gt;0,'3 pr-2'!R128,0)</f>
        <v>0</v>
      </c>
      <c r="N128" s="1432">
        <f>IF(X128&gt;0,'3 pr-2'!U128,0)</f>
        <v>0</v>
      </c>
      <c r="O128" s="1432">
        <f>IF(X128&gt;0,'3 pr-2'!X128,0)</f>
        <v>0</v>
      </c>
      <c r="P128" s="1432">
        <f>IF(X128&gt;0,'3 pr-2'!AA128,0)</f>
        <v>0</v>
      </c>
      <c r="Q128" s="1296">
        <f t="shared" si="95"/>
        <v>0</v>
      </c>
      <c r="R128" s="1296">
        <f t="shared" si="96"/>
        <v>0</v>
      </c>
      <c r="S128" s="1296">
        <f t="shared" si="97"/>
        <v>0</v>
      </c>
      <c r="T128" s="1296">
        <f t="shared" si="98"/>
        <v>0</v>
      </c>
      <c r="U128" s="1296">
        <f t="shared" si="99"/>
        <v>0</v>
      </c>
      <c r="V128" s="1435">
        <f>IF(X128&gt;0,'3 pr-2'!$AB$10,0)</f>
        <v>0</v>
      </c>
      <c r="W128" s="1336">
        <f>SUM('3 pr-2'!AI128)</f>
        <v>43465</v>
      </c>
      <c r="X128" s="1370"/>
      <c r="Y128" s="216"/>
      <c r="Z128" s="445" t="str">
        <f t="shared" si="100"/>
        <v>–</v>
      </c>
    </row>
    <row r="129" spans="1:26" ht="60.75" x14ac:dyDescent="0.25">
      <c r="A129" s="182" t="str">
        <f>CONCATENATE('3 pr-2'!A129)</f>
        <v>2.1.2.1.8</v>
      </c>
      <c r="B129" s="240" t="str">
        <f>CONCATENATE('3 pr-2'!B129)</f>
        <v>R01-6609-104700-2218</v>
      </c>
      <c r="C129" s="309" t="str">
        <f>CONCATENATE('ketv. 2'!B128)</f>
        <v/>
      </c>
      <c r="D129" s="182" t="str">
        <f>CONCATENATE('3 pr-2'!D129)</f>
        <v>UAB "Druskininkų šeimos klinika" asmens sveikatos priežiūros paslaugų prieinamumo ir efektyvumo didinimas</v>
      </c>
      <c r="E129" s="182" t="str">
        <f>CONCATENATE('3 pr-2'!E129)</f>
        <v>UAB „Druskininkų šeimos klinika“</v>
      </c>
      <c r="F129" s="182" t="str">
        <f>CONCATENATE('3 pr-2'!F129)</f>
        <v>Lietuvos Respublikos Sveikatos apsaugos ministerija</v>
      </c>
      <c r="G129" s="182" t="str">
        <f>CONCATENATE('3 pr-2'!G129)</f>
        <v>Druskininkų sav.</v>
      </c>
      <c r="H129" s="182" t="str">
        <f>CONCATENATE('3 pr-2'!H129)</f>
        <v>08.1.3-CPVA-R-609</v>
      </c>
      <c r="I129" s="182" t="str">
        <f>CONCATENATE('3 pr-2'!I129)</f>
        <v>R</v>
      </c>
      <c r="J129" s="182" t="str">
        <f>CONCATENATE('3 pr-2'!J129)</f>
        <v>-</v>
      </c>
      <c r="K129" s="1432">
        <f>IF(X129&gt;0,'3 pr-2'!L129,0)</f>
        <v>0</v>
      </c>
      <c r="L129" s="1432">
        <f>IF(X129&gt;0,'3 pr-2'!O129,0)</f>
        <v>0</v>
      </c>
      <c r="M129" s="1432">
        <f>IF(X129&gt;0,'3 pr-2'!R129,0)</f>
        <v>0</v>
      </c>
      <c r="N129" s="1432">
        <f>IF(X129&gt;0,'3 pr-2'!U129,0)</f>
        <v>0</v>
      </c>
      <c r="O129" s="1432">
        <f>IF(X129&gt;0,'3 pr-2'!X129,0)</f>
        <v>0</v>
      </c>
      <c r="P129" s="1432">
        <f>IF(X129&gt;0,'3 pr-2'!AA129,0)</f>
        <v>0</v>
      </c>
      <c r="Q129" s="1296">
        <f t="shared" si="95"/>
        <v>0</v>
      </c>
      <c r="R129" s="1296">
        <f t="shared" si="96"/>
        <v>0</v>
      </c>
      <c r="S129" s="1296">
        <f t="shared" si="97"/>
        <v>0</v>
      </c>
      <c r="T129" s="1296">
        <f t="shared" si="98"/>
        <v>0</v>
      </c>
      <c r="U129" s="1296">
        <f t="shared" si="99"/>
        <v>0</v>
      </c>
      <c r="V129" s="1435">
        <f>IF(X129&gt;0,'3 pr-2'!$AB$10,0)</f>
        <v>0</v>
      </c>
      <c r="W129" s="1336">
        <f>SUM('3 pr-2'!AI129)</f>
        <v>43495</v>
      </c>
      <c r="X129" s="1370"/>
      <c r="Y129" s="216"/>
      <c r="Z129" s="445" t="str">
        <f t="shared" si="100"/>
        <v>–</v>
      </c>
    </row>
    <row r="130" spans="1:26" ht="60.75" x14ac:dyDescent="0.25">
      <c r="A130" s="182" t="str">
        <f>CONCATENATE('3 pr-2'!A130)</f>
        <v>2.1.2.1.9</v>
      </c>
      <c r="B130" s="240" t="str">
        <f>CONCATENATE('3 pr-2'!B130)</f>
        <v>R01-6609-274710-2219</v>
      </c>
      <c r="C130" s="309" t="str">
        <f>CONCATENATE('ketv. 2'!B129)</f>
        <v>08.1.3-CPVA-R-609-11-0001</v>
      </c>
      <c r="D130" s="182" t="str">
        <f>CONCATENATE('3 pr-2'!D130)</f>
        <v>I. S. Kavaliauskienės įmonės teikiamų pirminės ambulatorinės asmens sveikatos priežiūros paslaugų kokybės ir prieinamumo gerinimas.</v>
      </c>
      <c r="E130" s="182" t="str">
        <f>CONCATENATE('3 pr-2'!E130)</f>
        <v>Irenos Stanislavos Kavaliauskienės įmonė</v>
      </c>
      <c r="F130" s="182" t="str">
        <f>CONCATENATE('3 pr-2'!F130)</f>
        <v>Lietuvos Respublikos Sveikatos apsaugos ministerija</v>
      </c>
      <c r="G130" s="182" t="str">
        <f>CONCATENATE('3 pr-2'!G130)</f>
        <v>Druskininkų sav.</v>
      </c>
      <c r="H130" s="182" t="str">
        <f>CONCATENATE('3 pr-2'!H130)</f>
        <v>08.1.3-CPVA-R-609</v>
      </c>
      <c r="I130" s="182" t="str">
        <f>CONCATENATE('3 pr-2'!I130)</f>
        <v>R</v>
      </c>
      <c r="J130" s="182" t="str">
        <f>CONCATENATE('3 pr-2'!J130)</f>
        <v>-</v>
      </c>
      <c r="K130" s="1432">
        <f>IF(X130&gt;0,'3 pr-2'!L130,0)</f>
        <v>0</v>
      </c>
      <c r="L130" s="1432">
        <f>IF(X130&gt;0,'3 pr-2'!O130,0)</f>
        <v>0</v>
      </c>
      <c r="M130" s="1432">
        <f>IF(X130&gt;0,'3 pr-2'!R130,0)</f>
        <v>0</v>
      </c>
      <c r="N130" s="1432">
        <f>IF(X130&gt;0,'3 pr-2'!U130,0)</f>
        <v>0</v>
      </c>
      <c r="O130" s="1432">
        <f>IF(X130&gt;0,'3 pr-2'!X130,0)</f>
        <v>0</v>
      </c>
      <c r="P130" s="1432">
        <f>IF(X130&gt;0,'3 pr-2'!AA130,0)</f>
        <v>0</v>
      </c>
      <c r="Q130" s="1296">
        <f t="shared" si="95"/>
        <v>0</v>
      </c>
      <c r="R130" s="1296">
        <f t="shared" si="96"/>
        <v>0</v>
      </c>
      <c r="S130" s="1296">
        <f t="shared" si="97"/>
        <v>0</v>
      </c>
      <c r="T130" s="1296">
        <f t="shared" si="98"/>
        <v>0</v>
      </c>
      <c r="U130" s="1296">
        <f t="shared" si="99"/>
        <v>0</v>
      </c>
      <c r="V130" s="1435">
        <f>IF(X130&gt;0,'3 pr-2'!$AB$10,0)</f>
        <v>0</v>
      </c>
      <c r="W130" s="1336">
        <f>SUM('3 pr-2'!AI130)</f>
        <v>43464</v>
      </c>
      <c r="X130" s="1370"/>
      <c r="Y130" s="216"/>
      <c r="Z130" s="445" t="str">
        <f t="shared" ref="Z130:Z133" si="101">IF(W130-X130&lt;0,(W130-X130)/30.4166666666667,"–")</f>
        <v>–</v>
      </c>
    </row>
    <row r="131" spans="1:26" ht="60.75" x14ac:dyDescent="0.25">
      <c r="A131" s="182" t="str">
        <f>CONCATENATE('3 pr-2'!A131)</f>
        <v>2.1.2.1.10</v>
      </c>
      <c r="B131" s="240" t="str">
        <f>CONCATENATE('3 pr-2'!B131)</f>
        <v>R01-6609-274710-2220</v>
      </c>
      <c r="C131" s="309" t="str">
        <f>CONCATENATE('ketv. 2'!B130)</f>
        <v/>
      </c>
      <c r="D131" s="182" t="str">
        <f>CONCATENATE('3 pr-2'!D131)</f>
        <v>Pirminės ambulatorinės asmens sveikatos priežiūros efektyvumo didinimas R.Ambrazaitienės ir L. Puzinovienės šeimos gydytojų kabinetuose</v>
      </c>
      <c r="E131" s="182" t="str">
        <f>CONCATENATE('3 pr-2'!E131)</f>
        <v>UAB „Rasos Ambrazaitienės šeimos gydytojo kabinetas“</v>
      </c>
      <c r="F131" s="182" t="str">
        <f>CONCATENATE('3 pr-2'!F131)</f>
        <v>Lietuvos Respublikos Sveikatos apsaugos ministerija</v>
      </c>
      <c r="G131" s="182" t="str">
        <f>CONCATENATE('3 pr-2'!G131)</f>
        <v>Druskininkų sav.</v>
      </c>
      <c r="H131" s="182" t="str">
        <f>CONCATENATE('3 pr-2'!H131)</f>
        <v>08.1.3-CPVA-R-609</v>
      </c>
      <c r="I131" s="182" t="str">
        <f>CONCATENATE('3 pr-2'!I131)</f>
        <v>R</v>
      </c>
      <c r="J131" s="182" t="str">
        <f>CONCATENATE('3 pr-2'!J131)</f>
        <v>-</v>
      </c>
      <c r="K131" s="1432">
        <f>IF(X131&gt;0,'3 pr-2'!L131,0)</f>
        <v>0</v>
      </c>
      <c r="L131" s="1432">
        <f>IF(X131&gt;0,'3 pr-2'!O131,0)</f>
        <v>0</v>
      </c>
      <c r="M131" s="1432">
        <f>IF(X131&gt;0,'3 pr-2'!R131,0)</f>
        <v>0</v>
      </c>
      <c r="N131" s="1432">
        <f>IF(X131&gt;0,'3 pr-2'!U131,0)</f>
        <v>0</v>
      </c>
      <c r="O131" s="1432">
        <f>IF(X131&gt;0,'3 pr-2'!X131,0)</f>
        <v>0</v>
      </c>
      <c r="P131" s="1432">
        <f>IF(X131&gt;0,'3 pr-2'!AA131,0)</f>
        <v>0</v>
      </c>
      <c r="Q131" s="1296">
        <f t="shared" si="95"/>
        <v>0</v>
      </c>
      <c r="R131" s="1296">
        <f t="shared" si="96"/>
        <v>0</v>
      </c>
      <c r="S131" s="1296">
        <f t="shared" si="97"/>
        <v>0</v>
      </c>
      <c r="T131" s="1296">
        <f t="shared" si="98"/>
        <v>0</v>
      </c>
      <c r="U131" s="1296">
        <f t="shared" si="99"/>
        <v>0</v>
      </c>
      <c r="V131" s="1435">
        <f>IF(X131&gt;0,'3 pr-2'!$AB$10,0)</f>
        <v>0</v>
      </c>
      <c r="W131" s="1336">
        <f>SUM('3 pr-2'!AI131)</f>
        <v>43495</v>
      </c>
      <c r="X131" s="1370"/>
      <c r="Y131" s="216"/>
      <c r="Z131" s="445" t="str">
        <f t="shared" si="101"/>
        <v>–</v>
      </c>
    </row>
    <row r="132" spans="1:26" ht="60.75" x14ac:dyDescent="0.25">
      <c r="A132" s="182" t="str">
        <f>CONCATENATE('3 pr-2'!A132)</f>
        <v>2.1.2.1.11</v>
      </c>
      <c r="B132" s="240" t="str">
        <f>CONCATENATE('3 pr-2'!B132)</f>
        <v>R01-6609-274700-2221</v>
      </c>
      <c r="C132" s="309" t="str">
        <f>CONCATENATE('ketv. 2'!B131)</f>
        <v/>
      </c>
      <c r="D132" s="182" t="str">
        <f>CONCATENATE('3 pr-2'!D132)</f>
        <v xml:space="preserve">Pirminės asmens sveikatos priežiūros veiklos efektyvumo didinimas Lazdijų rajono savivaldybėje </v>
      </c>
      <c r="E132" s="182" t="str">
        <f>CONCATENATE('3 pr-2'!E132)</f>
        <v>Lazdijų rajono savivaldybės administracija</v>
      </c>
      <c r="F132" s="182" t="str">
        <f>CONCATENATE('3 pr-2'!F132)</f>
        <v>Lietuvos Respublikos Sveikatos apsaugos ministerija</v>
      </c>
      <c r="G132" s="182" t="str">
        <f>CONCATENATE('3 pr-2'!G132)</f>
        <v>Lazdijų r. sav.</v>
      </c>
      <c r="H132" s="182" t="str">
        <f>CONCATENATE('3 pr-2'!H132)</f>
        <v>08.1.3-CPVA-R-609</v>
      </c>
      <c r="I132" s="182" t="str">
        <f>CONCATENATE('3 pr-2'!I132)</f>
        <v>R</v>
      </c>
      <c r="J132" s="182" t="str">
        <f>CONCATENATE('3 pr-2'!J132)</f>
        <v>-</v>
      </c>
      <c r="K132" s="1432">
        <f>IF(X132&gt;0,'3 pr-2'!L132,0)</f>
        <v>0</v>
      </c>
      <c r="L132" s="1432">
        <f>IF(X132&gt;0,'3 pr-2'!O132,0)</f>
        <v>0</v>
      </c>
      <c r="M132" s="1432">
        <f>IF(X132&gt;0,'3 pr-2'!R132,0)</f>
        <v>0</v>
      </c>
      <c r="N132" s="1432">
        <f>IF(X132&gt;0,'3 pr-2'!U132,0)</f>
        <v>0</v>
      </c>
      <c r="O132" s="1432">
        <f>IF(X132&gt;0,'3 pr-2'!X132,0)</f>
        <v>0</v>
      </c>
      <c r="P132" s="1432">
        <f>IF(X132&gt;0,'3 pr-2'!AA132,0)</f>
        <v>0</v>
      </c>
      <c r="Q132" s="1296">
        <f t="shared" si="95"/>
        <v>0</v>
      </c>
      <c r="R132" s="1296">
        <f t="shared" si="96"/>
        <v>0</v>
      </c>
      <c r="S132" s="1296">
        <f t="shared" si="97"/>
        <v>0</v>
      </c>
      <c r="T132" s="1296">
        <f t="shared" si="98"/>
        <v>0</v>
      </c>
      <c r="U132" s="1296">
        <f t="shared" si="99"/>
        <v>0</v>
      </c>
      <c r="V132" s="1435">
        <f>IF(X132&gt;0,'3 pr-2'!$AB$10,0)</f>
        <v>0</v>
      </c>
      <c r="W132" s="1336">
        <f>SUM('3 pr-2'!AI132)</f>
        <v>43496</v>
      </c>
      <c r="X132" s="1370"/>
      <c r="Y132" s="216"/>
      <c r="Z132" s="445" t="str">
        <f t="shared" si="101"/>
        <v>–</v>
      </c>
    </row>
    <row r="133" spans="1:26" ht="60.75" x14ac:dyDescent="0.25">
      <c r="A133" s="182" t="str">
        <f>CONCATENATE('3 pr-2'!A133)</f>
        <v>2.1.2.1.12</v>
      </c>
      <c r="B133" s="240" t="str">
        <f>CONCATENATE('3 pr-2'!B133)</f>
        <v>R01-6609-274710-2222</v>
      </c>
      <c r="C133" s="309" t="str">
        <f>CONCATENATE('ketv. 2'!B132)</f>
        <v/>
      </c>
      <c r="D133" s="182" t="str">
        <f>CONCATENATE('3 pr-2'!D133)</f>
        <v>Pirminės asmens sveikatos priežiūros veiklos efektyvumo didinimas Varėnos rajono savivaldybėje</v>
      </c>
      <c r="E133" s="182" t="str">
        <f>CONCATENATE('3 pr-2'!E133)</f>
        <v>VšĮ Varėnos pirminės sveikatos priežiūros centras</v>
      </c>
      <c r="F133" s="182" t="str">
        <f>CONCATENATE('3 pr-2'!F133)</f>
        <v>Lietuvos Respublikos Sveikatos apsaugos ministerija</v>
      </c>
      <c r="G133" s="182" t="str">
        <f>CONCATENATE('3 pr-2'!G133)</f>
        <v>Varėnos r. sav.</v>
      </c>
      <c r="H133" s="182" t="str">
        <f>CONCATENATE('3 pr-2'!H133)</f>
        <v>08.1.3-CPVA-R-609</v>
      </c>
      <c r="I133" s="182" t="str">
        <f>CONCATENATE('3 pr-2'!I133)</f>
        <v>R</v>
      </c>
      <c r="J133" s="182" t="str">
        <f>CONCATENATE('3 pr-2'!J133)</f>
        <v>-</v>
      </c>
      <c r="K133" s="1432">
        <f>IF(X133&gt;0,'3 pr-2'!L133,0)</f>
        <v>0</v>
      </c>
      <c r="L133" s="1432">
        <f>IF(X133&gt;0,'3 pr-2'!O133,0)</f>
        <v>0</v>
      </c>
      <c r="M133" s="1432">
        <f>IF(X133&gt;0,'3 pr-2'!R133,0)</f>
        <v>0</v>
      </c>
      <c r="N133" s="1432">
        <f>IF(X133&gt;0,'3 pr-2'!U133,0)</f>
        <v>0</v>
      </c>
      <c r="O133" s="1432">
        <f>IF(X133&gt;0,'3 pr-2'!X133,0)</f>
        <v>0</v>
      </c>
      <c r="P133" s="1432">
        <f>IF(X133&gt;0,'3 pr-2'!AA133,0)</f>
        <v>0</v>
      </c>
      <c r="Q133" s="1296">
        <f t="shared" si="95"/>
        <v>0</v>
      </c>
      <c r="R133" s="1296">
        <f t="shared" si="96"/>
        <v>0</v>
      </c>
      <c r="S133" s="1296">
        <f t="shared" si="97"/>
        <v>0</v>
      </c>
      <c r="T133" s="1296">
        <f t="shared" si="98"/>
        <v>0</v>
      </c>
      <c r="U133" s="1296">
        <f t="shared" si="99"/>
        <v>0</v>
      </c>
      <c r="V133" s="1435">
        <f>IF(X133&gt;0,'3 pr-2'!$AB$10,0)</f>
        <v>0</v>
      </c>
      <c r="W133" s="1336">
        <f>SUM('3 pr-2'!AI133)</f>
        <v>43496</v>
      </c>
      <c r="X133" s="1370"/>
      <c r="Y133" s="216"/>
      <c r="Z133" s="445" t="str">
        <f t="shared" si="101"/>
        <v>–</v>
      </c>
    </row>
    <row r="134" spans="1:26" ht="61.5" thickBot="1" x14ac:dyDescent="0.3">
      <c r="A134" s="182" t="str">
        <f>CONCATENATE('3 pr-2'!A134)</f>
        <v>2.1.2.1.13</v>
      </c>
      <c r="B134" s="240" t="str">
        <f>CONCATENATE('3 pr-2'!B134)</f>
        <v>R01-6609-470000-2223</v>
      </c>
      <c r="C134" s="309" t="str">
        <f>CONCATENATE('ketv. 2'!B133)</f>
        <v/>
      </c>
      <c r="D134" s="182" t="str">
        <f>CONCATENATE('3 pr-2'!D134)</f>
        <v>Pirminės asmens sveikatos priežiūros veiklos efektyvumo didinimas N. Jarašienės personalinėje įmonėje</v>
      </c>
      <c r="E134" s="182" t="str">
        <f>CONCATENATE('3 pr-2'!E134)</f>
        <v>N. Jarašienės personalinė įmonė</v>
      </c>
      <c r="F134" s="182" t="str">
        <f>CONCATENATE('3 pr-2'!F134)</f>
        <v>Lietuvos Respublikos Sveikatos apsaugos ministerija</v>
      </c>
      <c r="G134" s="182" t="str">
        <f>CONCATENATE('3 pr-2'!G134)</f>
        <v>Varėnos r. sav.</v>
      </c>
      <c r="H134" s="182" t="str">
        <f>CONCATENATE('3 pr-2'!H134)</f>
        <v>08.1.3-CPVA-R-609</v>
      </c>
      <c r="I134" s="182" t="str">
        <f>CONCATENATE('3 pr-2'!I134)</f>
        <v>R</v>
      </c>
      <c r="J134" s="182" t="str">
        <f>CONCATENATE('3 pr-2'!J134)</f>
        <v>-</v>
      </c>
      <c r="K134" s="1432">
        <f>IF(X134&gt;0,'3 pr-2'!L134,0)</f>
        <v>0</v>
      </c>
      <c r="L134" s="1432">
        <f>IF(X134&gt;0,'3 pr-2'!O134,0)</f>
        <v>0</v>
      </c>
      <c r="M134" s="1432">
        <f>IF(X134&gt;0,'3 pr-2'!R134,0)</f>
        <v>0</v>
      </c>
      <c r="N134" s="1432">
        <f>IF(X134&gt;0,'3 pr-2'!U134,0)</f>
        <v>0</v>
      </c>
      <c r="O134" s="1432">
        <f>IF(X134&gt;0,'3 pr-2'!X134,0)</f>
        <v>0</v>
      </c>
      <c r="P134" s="1432">
        <f>IF(X134&gt;0,'3 pr-2'!AA134,0)</f>
        <v>0</v>
      </c>
      <c r="Q134" s="1296">
        <f t="shared" si="95"/>
        <v>0</v>
      </c>
      <c r="R134" s="1296">
        <f t="shared" si="96"/>
        <v>0</v>
      </c>
      <c r="S134" s="1296">
        <f t="shared" si="97"/>
        <v>0</v>
      </c>
      <c r="T134" s="1296">
        <f t="shared" si="98"/>
        <v>0</v>
      </c>
      <c r="U134" s="1296">
        <f t="shared" si="99"/>
        <v>0</v>
      </c>
      <c r="V134" s="1435">
        <f>IF(X134&gt;0,'3 pr-2'!$AB$10,0)</f>
        <v>0</v>
      </c>
      <c r="W134" s="1336">
        <f>SUM('3 pr-2'!AI134)</f>
        <v>43496</v>
      </c>
      <c r="X134" s="1370"/>
      <c r="Y134" s="216"/>
      <c r="Z134" s="445" t="str">
        <f t="shared" ref="Z134" si="102">IF(W134-X134&lt;0,(W134-X134)/30.4166666666667,"–")</f>
        <v>–</v>
      </c>
    </row>
    <row r="135" spans="1:26" ht="42.75" customHeight="1" thickBot="1" x14ac:dyDescent="0.3">
      <c r="A135" s="326" t="str">
        <f>CONCATENATE('3 pr-2'!A135)</f>
        <v>2.1.2.2</v>
      </c>
      <c r="B135" s="2025" t="str">
        <f>CONCATENATE('3 pr-2'!B135)</f>
        <v>Priemonė:
Sveikos gyvensenos skatinimas regioniniu lygiu</v>
      </c>
      <c r="C135" s="2026"/>
      <c r="D135" s="2026"/>
      <c r="E135" s="2026"/>
      <c r="F135" s="2026"/>
      <c r="G135" s="2026"/>
      <c r="H135" s="2026"/>
      <c r="I135" s="2026"/>
      <c r="J135" s="2027"/>
      <c r="K135" s="1455">
        <f t="shared" ref="K135:V135" si="103">SUM(K136:K140)</f>
        <v>994984.5399999998</v>
      </c>
      <c r="L135" s="1455">
        <f t="shared" si="103"/>
        <v>74624.070000000007</v>
      </c>
      <c r="M135" s="1455">
        <f t="shared" si="103"/>
        <v>74623.62</v>
      </c>
      <c r="N135" s="1455">
        <f t="shared" si="103"/>
        <v>0</v>
      </c>
      <c r="O135" s="1455">
        <f t="shared" si="103"/>
        <v>0</v>
      </c>
      <c r="P135" s="1455">
        <f t="shared" si="103"/>
        <v>845736.85</v>
      </c>
      <c r="Q135" s="1517">
        <f t="shared" si="103"/>
        <v>0</v>
      </c>
      <c r="R135" s="1518">
        <f t="shared" si="103"/>
        <v>0</v>
      </c>
      <c r="S135" s="1517">
        <f t="shared" si="103"/>
        <v>845736.85</v>
      </c>
      <c r="T135" s="1518">
        <f t="shared" si="103"/>
        <v>0</v>
      </c>
      <c r="U135" s="1519">
        <f t="shared" si="103"/>
        <v>0</v>
      </c>
      <c r="V135" s="1455">
        <f t="shared" si="103"/>
        <v>0</v>
      </c>
      <c r="W135" s="1412"/>
      <c r="X135" s="1412"/>
      <c r="Y135" s="639"/>
      <c r="Z135" s="639"/>
    </row>
    <row r="136" spans="1:26" ht="60.75" x14ac:dyDescent="0.25">
      <c r="A136" s="644" t="str">
        <f>CONCATENATE('3 pr-2'!A136)</f>
        <v>2.1.2.2.1</v>
      </c>
      <c r="B136" s="240" t="str">
        <f>CONCATENATE('3 pr-2'!B136)</f>
        <v>R01-6630-475000-2221</v>
      </c>
      <c r="C136" s="422" t="str">
        <f>CONCATENATE('ketv. 2'!B135)</f>
        <v>08.4.2-ESFA-R-630-11-0004</v>
      </c>
      <c r="D136" s="644" t="str">
        <f>CONCATENATE('3 pr-2'!D136)</f>
        <v>Sveikos gyvensenos skatinimas Alytaus rajone</v>
      </c>
      <c r="E136" s="644" t="str">
        <f>CONCATENATE('3 pr-2'!E136)</f>
        <v>Alytaus rajono savivaldybės visuomenės sveikatos biuras</v>
      </c>
      <c r="F136" s="644" t="str">
        <f>CONCATENATE('3 pr-2'!F136)</f>
        <v>Lietuvos Respublikos Sveikatos apsaugos ministerija</v>
      </c>
      <c r="G136" s="644" t="str">
        <f>CONCATENATE('3 pr-2'!G136)</f>
        <v>Alytaus r. sav.</v>
      </c>
      <c r="H136" s="644" t="str">
        <f>CONCATENATE('3 pr-2'!H136)</f>
        <v>08.4.2-ESFA-R-630</v>
      </c>
      <c r="I136" s="644" t="str">
        <f>CONCATENATE('3 pr-2'!I136)</f>
        <v>R</v>
      </c>
      <c r="J136" s="644" t="str">
        <f>CONCATENATE('3 pr-2'!J136)</f>
        <v>-</v>
      </c>
      <c r="K136" s="1463">
        <f>IF(X136&gt;0,'3 pr-2'!L136,0)</f>
        <v>198997.18</v>
      </c>
      <c r="L136" s="1463">
        <f>IF(X136&gt;0,'3 pr-2'!O136,0)</f>
        <v>14924.79</v>
      </c>
      <c r="M136" s="1463">
        <f>IF(X136&gt;0,'3 pr-2'!R136,0)</f>
        <v>14924.79</v>
      </c>
      <c r="N136" s="1463">
        <f>IF(X136&gt;0,'3 pr-2'!U136,0)</f>
        <v>0</v>
      </c>
      <c r="O136" s="1463">
        <f>IF(X136&gt;0,'3 pr-2'!X136,0)</f>
        <v>0</v>
      </c>
      <c r="P136" s="1463">
        <f>IF(X136&gt;0,'3 pr-2'!AA136,0)</f>
        <v>169147.6</v>
      </c>
      <c r="Q136" s="1460">
        <f>IF(YEAR(X136)=2016,P136,0)</f>
        <v>0</v>
      </c>
      <c r="R136" s="1460">
        <f>IF(YEAR(X136)=2017,P136,0)</f>
        <v>0</v>
      </c>
      <c r="S136" s="1460">
        <f>IF(YEAR(X136)=2018,P136,0)</f>
        <v>169147.6</v>
      </c>
      <c r="T136" s="1460">
        <f>IF(YEAR(X136)=2019,P136,0)</f>
        <v>0</v>
      </c>
      <c r="U136" s="1460">
        <f>IF(YEAR(X136)=2020,P136,0)</f>
        <v>0</v>
      </c>
      <c r="V136" s="1435">
        <f>IF(X136&gt;0,'3 pr-2'!$AB$10,0)</f>
        <v>0</v>
      </c>
      <c r="W136" s="1346">
        <f>SUM('3 pr-2'!AI136)</f>
        <v>43312</v>
      </c>
      <c r="X136" s="1370">
        <f>SUMIF('sutarčių ataskaita'!$J$19:$J$600,C136,'sutarčių ataskaita'!$L$19:$L$600)</f>
        <v>43284</v>
      </c>
      <c r="Y136" s="644"/>
      <c r="Z136" s="445" t="str">
        <f t="shared" ref="Z136:Z140" si="104">IF(W136-X136&lt;0,(W136-X136)/30.4166666666667,"–")</f>
        <v>–</v>
      </c>
    </row>
    <row r="137" spans="1:26" ht="60.75" x14ac:dyDescent="0.25">
      <c r="A137" s="644" t="str">
        <f>CONCATENATE('3 pr-2'!A137)</f>
        <v>2.1.2.2.2</v>
      </c>
      <c r="B137" s="240" t="str">
        <f>CONCATENATE('3 pr-2'!B137)</f>
        <v>R01-6630-470000-2222</v>
      </c>
      <c r="C137" s="422" t="str">
        <f>CONCATENATE('ketv. 2'!B136)</f>
        <v>08.4.2-ESFA-R-630-11-0001</v>
      </c>
      <c r="D137" s="644" t="str">
        <f>CONCATENATE('3 pr-2'!D137)</f>
        <v>Mažais žingsneliais – sveikos gyvensenos link</v>
      </c>
      <c r="E137" s="644" t="str">
        <f>CONCATENATE('3 pr-2'!E137)</f>
        <v>Alytaus miesto savivaldybės administracija</v>
      </c>
      <c r="F137" s="644" t="str">
        <f>CONCATENATE('3 pr-2'!F137)</f>
        <v>Lietuvos Respublikos Sveikatos apsaugos ministerija</v>
      </c>
      <c r="G137" s="644" t="str">
        <f>CONCATENATE('3 pr-2'!G137)</f>
        <v>Alytaus m. sav.</v>
      </c>
      <c r="H137" s="644" t="str">
        <f>CONCATENATE('3 pr-2'!H137)</f>
        <v>08.4.2-ESFA-R-630</v>
      </c>
      <c r="I137" s="644" t="str">
        <f>CONCATENATE('3 pr-2'!I137)</f>
        <v>R</v>
      </c>
      <c r="J137" s="644" t="str">
        <f>CONCATENATE('3 pr-2'!J137)</f>
        <v>-</v>
      </c>
      <c r="K137" s="1463">
        <f>IF(X137&gt;0,'3 pr-2'!L137,0)</f>
        <v>198996</v>
      </c>
      <c r="L137" s="1463">
        <f>IF(X137&gt;0,'3 pr-2'!O137,0)</f>
        <v>14924.7</v>
      </c>
      <c r="M137" s="1463">
        <f>IF(X137&gt;0,'3 pr-2'!R137,0)</f>
        <v>14924.7</v>
      </c>
      <c r="N137" s="1463">
        <f>IF(X137&gt;0,'3 pr-2'!U137,0)</f>
        <v>0</v>
      </c>
      <c r="O137" s="1463">
        <f>IF(X137&gt;0,'3 pr-2'!X137,0)</f>
        <v>0</v>
      </c>
      <c r="P137" s="1463">
        <f>IF(X137&gt;0,'3 pr-2'!AA137,0)</f>
        <v>169146.6</v>
      </c>
      <c r="Q137" s="1460">
        <f>IF(YEAR(X137)=2016,P137,0)</f>
        <v>0</v>
      </c>
      <c r="R137" s="1460">
        <f>IF(YEAR(X137)=2017,P137,0)</f>
        <v>0</v>
      </c>
      <c r="S137" s="1460">
        <f>IF(YEAR(X137)=2018,P137,0)</f>
        <v>169146.6</v>
      </c>
      <c r="T137" s="1460">
        <f>IF(YEAR(X137)=2019,P137,0)</f>
        <v>0</v>
      </c>
      <c r="U137" s="1460">
        <f>IF(YEAR(X137)=2020,P137,0)</f>
        <v>0</v>
      </c>
      <c r="V137" s="1435">
        <f>IF(X137&gt;0,'3 pr-2'!$AB$10,0)</f>
        <v>0</v>
      </c>
      <c r="W137" s="1346">
        <f>SUM('3 pr-2'!AI137)</f>
        <v>43343</v>
      </c>
      <c r="X137" s="1370">
        <f>SUMIF('sutarčių ataskaita'!$J$19:$J$600,C137,'sutarčių ataskaita'!$L$19:$L$600)</f>
        <v>43284</v>
      </c>
      <c r="Y137" s="644"/>
      <c r="Z137" s="445" t="str">
        <f t="shared" si="104"/>
        <v>–</v>
      </c>
    </row>
    <row r="138" spans="1:26" ht="60.75" x14ac:dyDescent="0.25">
      <c r="A138" s="644" t="str">
        <f>CONCATENATE('3 pr-2'!A138)</f>
        <v>2.1.2.2.3</v>
      </c>
      <c r="B138" s="240" t="str">
        <f>CONCATENATE('3 pr-2'!B138)</f>
        <v>R01-6630-470000-2223</v>
      </c>
      <c r="C138" s="422" t="str">
        <f>CONCATENATE('ketv. 2'!B137)</f>
        <v>08.4.2-ESFA-R-630-11-0005</v>
      </c>
      <c r="D138" s="644" t="str">
        <f>CONCATENATE('3 pr-2'!D138)</f>
        <v>Sveikos gyvensenos skatinimas Varėnos rajono savivaldybėje</v>
      </c>
      <c r="E138" s="644" t="str">
        <f>CONCATENATE('3 pr-2'!E138)</f>
        <v>Varėnos rajono savivaldybės visuomenės sveikatos biuras</v>
      </c>
      <c r="F138" s="644" t="str">
        <f>CONCATENATE('3 pr-2'!F138)</f>
        <v>Lietuvos Respublikos Sveikatos apsaugos ministerija</v>
      </c>
      <c r="G138" s="644" t="str">
        <f>CONCATENATE('3 pr-2'!G138)</f>
        <v>Varėnos r. sav.</v>
      </c>
      <c r="H138" s="644" t="str">
        <f>CONCATENATE('3 pr-2'!H138)</f>
        <v>08.4.2-ESFA-R-630</v>
      </c>
      <c r="I138" s="644" t="str">
        <f>CONCATENATE('3 pr-2'!I138)</f>
        <v>R</v>
      </c>
      <c r="J138" s="644" t="str">
        <f>CONCATENATE('3 pr-2'!J138)</f>
        <v>-</v>
      </c>
      <c r="K138" s="1463">
        <f>IF(X138&gt;0,'3 pr-2'!L138,0)</f>
        <v>198997</v>
      </c>
      <c r="L138" s="1463">
        <f>IF(X138&gt;0,'3 pr-2'!O138,0)</f>
        <v>14925</v>
      </c>
      <c r="M138" s="1463">
        <f>IF(X138&gt;0,'3 pr-2'!R138,0)</f>
        <v>14924.55</v>
      </c>
      <c r="N138" s="1463">
        <f>IF(X138&gt;0,'3 pr-2'!U138,0)</f>
        <v>0</v>
      </c>
      <c r="O138" s="1463">
        <f>IF(X138&gt;0,'3 pr-2'!X138,0)</f>
        <v>0</v>
      </c>
      <c r="P138" s="1463">
        <f>IF(X138&gt;0,'3 pr-2'!AA138,0)</f>
        <v>169147.45</v>
      </c>
      <c r="Q138" s="1460">
        <f>IF(YEAR(X138)=2016,P138,0)</f>
        <v>0</v>
      </c>
      <c r="R138" s="1460">
        <f>IF(YEAR(X138)=2017,P138,0)</f>
        <v>0</v>
      </c>
      <c r="S138" s="1460">
        <f>IF(YEAR(X138)=2018,P138,0)</f>
        <v>169147.45</v>
      </c>
      <c r="T138" s="1460">
        <f>IF(YEAR(X138)=2019,P138,0)</f>
        <v>0</v>
      </c>
      <c r="U138" s="1460">
        <f>IF(YEAR(X138)=2020,P138,0)</f>
        <v>0</v>
      </c>
      <c r="V138" s="1435">
        <f>IF(X138&gt;0,'3 pr-2'!$AB$10,0)</f>
        <v>0</v>
      </c>
      <c r="W138" s="1346">
        <f>SUM('3 pr-2'!AI138)</f>
        <v>43342</v>
      </c>
      <c r="X138" s="1370">
        <f>SUMIF('sutarčių ataskaita'!$J$19:$J$600,C138,'sutarčių ataskaita'!$L$19:$L$600)</f>
        <v>43298</v>
      </c>
      <c r="Y138" s="644"/>
      <c r="Z138" s="445" t="str">
        <f t="shared" si="104"/>
        <v>–</v>
      </c>
    </row>
    <row r="139" spans="1:26" ht="60.75" x14ac:dyDescent="0.25">
      <c r="A139" s="644" t="str">
        <f>CONCATENATE('3 pr-2'!A139)</f>
        <v>2.1.2.2.4.</v>
      </c>
      <c r="B139" s="240" t="str">
        <f>CONCATENATE('3 pr-2'!B139)</f>
        <v>R01-6630-470000-2224</v>
      </c>
      <c r="C139" s="422" t="str">
        <f>CONCATENATE('ketv. 2'!B138)</f>
        <v>08.4.2-ESFA-R-630-11-0003</v>
      </c>
      <c r="D139" s="644" t="str">
        <f>CONCATENATE('3 pr-2'!D139)</f>
        <v>Sveika bendruomenė – stipri visuomenė</v>
      </c>
      <c r="E139" s="644" t="str">
        <f>CONCATENATE('3 pr-2'!E139)</f>
        <v>Druskininkų savivaldybės visuomenės sveikatos biuras</v>
      </c>
      <c r="F139" s="644" t="str">
        <f>CONCATENATE('3 pr-2'!F139)</f>
        <v>Lietuvos Respublikos Sveikatos apsaugos ministerija</v>
      </c>
      <c r="G139" s="644" t="str">
        <f>CONCATENATE('3 pr-2'!G139)</f>
        <v>Druskininkų sav.</v>
      </c>
      <c r="H139" s="644" t="str">
        <f>CONCATENATE('3 pr-2'!H139)</f>
        <v>08.4.2-ESFA-R-630</v>
      </c>
      <c r="I139" s="644" t="str">
        <f>CONCATENATE('3 pr-2'!I139)</f>
        <v>R</v>
      </c>
      <c r="J139" s="644" t="str">
        <f>CONCATENATE('3 pr-2'!J139)</f>
        <v>-</v>
      </c>
      <c r="K139" s="1463">
        <f>IF(X139&gt;0,'3 pr-2'!L139,0)</f>
        <v>198997.18</v>
      </c>
      <c r="L139" s="1463">
        <f>IF(X139&gt;0,'3 pr-2'!O139,0)</f>
        <v>14924.79</v>
      </c>
      <c r="M139" s="1463">
        <f>IF(X139&gt;0,'3 pr-2'!R139,0)</f>
        <v>14924.79</v>
      </c>
      <c r="N139" s="1463">
        <f>IF(X139&gt;0,'3 pr-2'!U139,0)</f>
        <v>0</v>
      </c>
      <c r="O139" s="1463">
        <f>IF(X139&gt;0,'3 pr-2'!X139,0)</f>
        <v>0</v>
      </c>
      <c r="P139" s="1463">
        <f>IF(X139&gt;0,'3 pr-2'!AA139,0)</f>
        <v>169147.6</v>
      </c>
      <c r="Q139" s="1460">
        <f>IF(YEAR(X139)=2016,P139,0)</f>
        <v>0</v>
      </c>
      <c r="R139" s="1460">
        <f>IF(YEAR(X139)=2017,P139,0)</f>
        <v>0</v>
      </c>
      <c r="S139" s="1460">
        <f>IF(YEAR(X139)=2018,P139,0)</f>
        <v>169147.6</v>
      </c>
      <c r="T139" s="1460">
        <f>IF(YEAR(X139)=2019,P139,0)</f>
        <v>0</v>
      </c>
      <c r="U139" s="1460">
        <f>IF(YEAR(X139)=2020,P139,0)</f>
        <v>0</v>
      </c>
      <c r="V139" s="1435">
        <f>IF(X139&gt;0,'3 pr-2'!$AB$10,0)</f>
        <v>0</v>
      </c>
      <c r="W139" s="1346">
        <f>SUM('3 pr-2'!AI139)</f>
        <v>43311</v>
      </c>
      <c r="X139" s="1370">
        <f>SUMIF('sutarčių ataskaita'!$J$19:$J$600,C139,'sutarčių ataskaita'!$L$19:$L$600)</f>
        <v>43286</v>
      </c>
      <c r="Y139" s="644"/>
      <c r="Z139" s="445" t="str">
        <f t="shared" si="104"/>
        <v>–</v>
      </c>
    </row>
    <row r="140" spans="1:26" ht="61.5" thickBot="1" x14ac:dyDescent="0.3">
      <c r="A140" s="644" t="str">
        <f>CONCATENATE('3 pr-2'!A140)</f>
        <v>2.1.2.2.5</v>
      </c>
      <c r="B140" s="240" t="str">
        <f>CONCATENATE('3 pr-2'!B140)</f>
        <v>R01-6630-470000-2225</v>
      </c>
      <c r="C140" s="422" t="str">
        <f>CONCATENATE('ketv. 2'!B139)</f>
        <v>08.4.2-ESFA-R-630-11-0002</v>
      </c>
      <c r="D140" s="644" t="str">
        <f>CONCATENATE('3 pr-2'!D140)</f>
        <v>Sveikos gyvensenos skatinimas Lazdijų rajono savivaldybėje</v>
      </c>
      <c r="E140" s="644" t="str">
        <f>CONCATENATE('3 pr-2'!E140)</f>
        <v>Lazdijų rajono savivaldybės visuomenės sveikatos biuras</v>
      </c>
      <c r="F140" s="644" t="str">
        <f>CONCATENATE('3 pr-2'!F140)</f>
        <v>Lietuvos Respublikos Sveikatos apsaugos ministerija</v>
      </c>
      <c r="G140" s="644" t="str">
        <f>CONCATENATE('3 pr-2'!G140)</f>
        <v>Lazdijų r. sav.</v>
      </c>
      <c r="H140" s="644" t="str">
        <f>CONCATENATE('3 pr-2'!H140)</f>
        <v>08.4.2-ESFA-R-630</v>
      </c>
      <c r="I140" s="644" t="str">
        <f>CONCATENATE('3 pr-2'!I140)</f>
        <v>R</v>
      </c>
      <c r="J140" s="644" t="str">
        <f>CONCATENATE('3 pr-2'!J140)</f>
        <v>-</v>
      </c>
      <c r="K140" s="1463">
        <f>IF(X140&gt;0,'3 pr-2'!L140,0)</f>
        <v>198997.18</v>
      </c>
      <c r="L140" s="1463">
        <f>IF(X140&gt;0,'3 pr-2'!O140,0)</f>
        <v>14924.79</v>
      </c>
      <c r="M140" s="1463">
        <f>IF(X140&gt;0,'3 pr-2'!R140,0)</f>
        <v>14924.79</v>
      </c>
      <c r="N140" s="1463">
        <f>IF(X140&gt;0,'3 pr-2'!U140,0)</f>
        <v>0</v>
      </c>
      <c r="O140" s="1463">
        <f>IF(X140&gt;0,'3 pr-2'!X140,0)</f>
        <v>0</v>
      </c>
      <c r="P140" s="1463">
        <f>IF(X140&gt;0,'3 pr-2'!AA140,0)</f>
        <v>169147.6</v>
      </c>
      <c r="Q140" s="1460">
        <f>IF(YEAR(X140)=2016,P140,0)</f>
        <v>0</v>
      </c>
      <c r="R140" s="1460">
        <f>IF(YEAR(X140)=2017,P140,0)</f>
        <v>0</v>
      </c>
      <c r="S140" s="1460">
        <f>IF(YEAR(X140)=2018,P140,0)</f>
        <v>169147.6</v>
      </c>
      <c r="T140" s="1460">
        <f>IF(YEAR(X140)=2019,P140,0)</f>
        <v>0</v>
      </c>
      <c r="U140" s="1460">
        <f>IF(YEAR(X140)=2020,P140,0)</f>
        <v>0</v>
      </c>
      <c r="V140" s="1435">
        <f>IF(X140&gt;0,'3 pr-2'!$AB$10,0)</f>
        <v>0</v>
      </c>
      <c r="W140" s="1346">
        <f>SUM('3 pr-2'!AI140)</f>
        <v>43278</v>
      </c>
      <c r="X140" s="1370">
        <f>SUMIF('sutarčių ataskaita'!$J$19:$J$600,C140,'sutarčių ataskaita'!$L$19:$L$600)</f>
        <v>43284</v>
      </c>
      <c r="Y140" s="644"/>
      <c r="Z140" s="445">
        <f t="shared" si="104"/>
        <v>-0.19726027397260251</v>
      </c>
    </row>
    <row r="141" spans="1:26" ht="43.5" customHeight="1" thickBot="1" x14ac:dyDescent="0.3">
      <c r="A141" s="326" t="str">
        <f>CONCATENATE('3 pr-2'!A141)</f>
        <v>2.1.2.3</v>
      </c>
      <c r="B141" s="2025" t="str">
        <f>CONCATENATE('3 pr-2'!B141)</f>
        <v>Priemonė:
Priemonių, gerinančių ambulatorinių sveikatos priežiūros paslaugų prieinamumą tuberkulioze sergantiems pacientams, įgyvendinimas</v>
      </c>
      <c r="C141" s="2026"/>
      <c r="D141" s="2026"/>
      <c r="E141" s="2026"/>
      <c r="F141" s="2026"/>
      <c r="G141" s="2026"/>
      <c r="H141" s="2026"/>
      <c r="I141" s="2026"/>
      <c r="J141" s="2027"/>
      <c r="K141" s="1455">
        <f>SUM(K142:K146)</f>
        <v>65213.18</v>
      </c>
      <c r="L141" s="1455">
        <f t="shared" ref="L141:P141" si="105">SUM(L142:L146)</f>
        <v>3596.09</v>
      </c>
      <c r="M141" s="1455">
        <f t="shared" si="105"/>
        <v>5556.4400000000005</v>
      </c>
      <c r="N141" s="1455">
        <f t="shared" si="105"/>
        <v>0</v>
      </c>
      <c r="O141" s="1455">
        <f t="shared" si="105"/>
        <v>1299.95</v>
      </c>
      <c r="P141" s="1455">
        <f t="shared" si="105"/>
        <v>54760.7</v>
      </c>
      <c r="Q141" s="1455">
        <f t="shared" ref="Q141" si="106">SUM(Q142:Q146)</f>
        <v>0</v>
      </c>
      <c r="R141" s="1455">
        <f t="shared" ref="R141" si="107">SUM(R142:R146)</f>
        <v>0</v>
      </c>
      <c r="S141" s="1455">
        <f t="shared" ref="S141" si="108">SUM(S142:S146)</f>
        <v>54760.7</v>
      </c>
      <c r="T141" s="1455">
        <f t="shared" ref="T141:V141" si="109">SUM(T142:T146)</f>
        <v>0</v>
      </c>
      <c r="U141" s="1455">
        <f t="shared" si="109"/>
        <v>0</v>
      </c>
      <c r="V141" s="1455">
        <f t="shared" si="109"/>
        <v>0</v>
      </c>
      <c r="W141" s="1412"/>
      <c r="X141" s="1412"/>
      <c r="Y141" s="639"/>
      <c r="Z141" s="639"/>
    </row>
    <row r="142" spans="1:26" ht="84.75" x14ac:dyDescent="0.25">
      <c r="A142" s="644" t="str">
        <f>CONCATENATE('3 pr-2'!A142)</f>
        <v>2.1.2.3.1</v>
      </c>
      <c r="B142" s="240" t="str">
        <f>CONCATENATE('3 pr-2'!B142)</f>
        <v>R01-6615-475000-2231</v>
      </c>
      <c r="C142" s="422" t="str">
        <f>CONCATENATE('ketv. 2'!B141)</f>
        <v>08.4.2-ESFA-R-615-11-0004</v>
      </c>
      <c r="D142" s="644" t="str">
        <f>CONCATENATE('3 pr-2'!D142)</f>
        <v>Priemonių gerinančių ambulatorinių sveikatos priežiūros paslaugų prieinamumą tuberkulioze sergantiems asmenims, Alytaus rajone įgyvendinimas</v>
      </c>
      <c r="E142" s="644" t="str">
        <f>CONCATENATE('3 pr-2'!E142)</f>
        <v>VšĮ Alytaus rajono savivaldybės pirminės sveikatos priežiūros centras</v>
      </c>
      <c r="F142" s="644" t="str">
        <f>CONCATENATE('3 pr-2'!F142)</f>
        <v>Lietuvos Respublikos Sveikatos apsaugos ministerija</v>
      </c>
      <c r="G142" s="644" t="str">
        <f>CONCATENATE('3 pr-2'!G142)</f>
        <v>Alytaus r. sav.</v>
      </c>
      <c r="H142" s="644" t="str">
        <f>CONCATENATE('3 pr-2'!H142)</f>
        <v>08.4.2-ESFA-R-615</v>
      </c>
      <c r="I142" s="644" t="str">
        <f>CONCATENATE('3 pr-2'!I142)</f>
        <v>R</v>
      </c>
      <c r="J142" s="644" t="str">
        <f>CONCATENATE('3 pr-2'!J142)</f>
        <v>-</v>
      </c>
      <c r="K142" s="1463">
        <f>IF(X142&gt;0,'3 pr-2'!L142,0)</f>
        <v>10453</v>
      </c>
      <c r="L142" s="1463">
        <f>IF(X142&gt;0,'3 pr-2'!O142,0)</f>
        <v>0</v>
      </c>
      <c r="M142" s="1463">
        <f>IF(X142&gt;0,'3 pr-2'!R142,0)</f>
        <v>1449.64</v>
      </c>
      <c r="N142" s="1463">
        <f>IF(X142&gt;0,'3 pr-2'!U142,0)</f>
        <v>0</v>
      </c>
      <c r="O142" s="1463">
        <f>IF(X142&gt;0,'3 pr-2'!X142,0)</f>
        <v>788.75</v>
      </c>
      <c r="P142" s="1463">
        <f>IF(X142&gt;0,'3 pr-2'!AA142,0)</f>
        <v>8214.61</v>
      </c>
      <c r="Q142" s="1460">
        <f>IF(YEAR(X142)=2016,P142,0)</f>
        <v>0</v>
      </c>
      <c r="R142" s="1460">
        <f>IF(YEAR(X142)=2017,P142,0)</f>
        <v>0</v>
      </c>
      <c r="S142" s="1460">
        <f>IF(YEAR(X142)=2018,P142,0)</f>
        <v>8214.61</v>
      </c>
      <c r="T142" s="1460">
        <f>IF(YEAR(X142)=2019,P142,0)</f>
        <v>0</v>
      </c>
      <c r="U142" s="1460">
        <f>IF(YEAR(X142)=2020,P142,0)</f>
        <v>0</v>
      </c>
      <c r="V142" s="1435">
        <f>IF(X142&gt;0,'3 pr-2'!$AB$10,0)</f>
        <v>0</v>
      </c>
      <c r="W142" s="1346">
        <f>SUM('3 pr-2'!AI142)</f>
        <v>43373</v>
      </c>
      <c r="X142" s="1370">
        <f>SUMIF('sutarčių ataskaita'!$J$19:$J$600,C142,'sutarčių ataskaita'!$L$19:$L$600)</f>
        <v>43409</v>
      </c>
      <c r="Y142" s="644"/>
      <c r="Z142" s="445">
        <f t="shared" ref="Z142:Z146" si="110">IF(W142-X142&lt;0,(W142-X142)/30.4166666666667,"–")</f>
        <v>-1.1835616438356151</v>
      </c>
    </row>
    <row r="143" spans="1:26" ht="60.75" x14ac:dyDescent="0.25">
      <c r="A143" s="644" t="str">
        <f>CONCATENATE('3 pr-2'!A143)</f>
        <v>2.1.2.3.2</v>
      </c>
      <c r="B143" s="240" t="str">
        <f>CONCATENATE('3 pr-2'!B143)</f>
        <v>R01-6615-470000-2232</v>
      </c>
      <c r="C143" s="422" t="str">
        <f>CONCATENATE('ketv. 2'!B142)</f>
        <v>08.4.2-ESFA-R-615-11-0005</v>
      </c>
      <c r="D143" s="644" t="str">
        <f>CONCATENATE('3 pr-2'!D143)</f>
        <v>Ambulatorinių sveikatos priežiūros paslaugų gerinimas tuberkulioze sergantiems asmenims</v>
      </c>
      <c r="E143" s="644" t="str">
        <f>CONCATENATE('3 pr-2'!E143)</f>
        <v>Alytaus miesto savivaldybės administracija</v>
      </c>
      <c r="F143" s="644" t="str">
        <f>CONCATENATE('3 pr-2'!F143)</f>
        <v>Lietuvos Respublikos Sveikatos apsaugos ministerija</v>
      </c>
      <c r="G143" s="644" t="str">
        <f>CONCATENATE('3 pr-2'!G143)</f>
        <v>Alytaus m. sav.</v>
      </c>
      <c r="H143" s="644" t="str">
        <f>CONCATENATE('3 pr-2'!H143)</f>
        <v>08.4.2-ESFA-R-615</v>
      </c>
      <c r="I143" s="644" t="str">
        <f>CONCATENATE('3 pr-2'!I143)</f>
        <v>R</v>
      </c>
      <c r="J143" s="644" t="str">
        <f>CONCATENATE('3 pr-2'!J143)</f>
        <v>-</v>
      </c>
      <c r="K143" s="1463">
        <f>IF(X143&gt;0,'3 pr-2'!L143,0)</f>
        <v>17041.18</v>
      </c>
      <c r="L143" s="1463">
        <f>IF(X143&gt;0,'3 pr-2'!O143,0)</f>
        <v>1278.0899999999999</v>
      </c>
      <c r="M143" s="1463">
        <f>IF(X143&gt;0,'3 pr-2'!R143,0)</f>
        <v>1278</v>
      </c>
      <c r="N143" s="1463">
        <f>IF(X143&gt;0,'3 pr-2'!U143,0)</f>
        <v>0</v>
      </c>
      <c r="O143" s="1463">
        <f>IF(X143&gt;0,'3 pr-2'!X143,0)</f>
        <v>0</v>
      </c>
      <c r="P143" s="1463">
        <f>IF(X143&gt;0,'3 pr-2'!AA143,0)</f>
        <v>14485.09</v>
      </c>
      <c r="Q143" s="1460">
        <f>IF(YEAR(X143)=2016,P143,0)</f>
        <v>0</v>
      </c>
      <c r="R143" s="1460">
        <f>IF(YEAR(X143)=2017,P143,0)</f>
        <v>0</v>
      </c>
      <c r="S143" s="1460">
        <f>IF(YEAR(X143)=2018,P143,0)</f>
        <v>14485.09</v>
      </c>
      <c r="T143" s="1460">
        <f>IF(YEAR(X143)=2019,P143,0)</f>
        <v>0</v>
      </c>
      <c r="U143" s="1460">
        <f>IF(YEAR(X143)=2020,P143,0)</f>
        <v>0</v>
      </c>
      <c r="V143" s="1435">
        <f>IF(X143&gt;0,'3 pr-2'!$AB$10,0)</f>
        <v>0</v>
      </c>
      <c r="W143" s="1346">
        <f>SUM('3 pr-2'!AI143)</f>
        <v>43373</v>
      </c>
      <c r="X143" s="1370">
        <f>SUMIF('sutarčių ataskaita'!$J$19:$J$600,C143,'sutarčių ataskaita'!$L$19:$L$600)</f>
        <v>43353</v>
      </c>
      <c r="Y143" s="644"/>
      <c r="Z143" s="445" t="str">
        <f t="shared" si="110"/>
        <v>–</v>
      </c>
    </row>
    <row r="144" spans="1:26" ht="60.75" x14ac:dyDescent="0.25">
      <c r="A144" s="644" t="str">
        <f>CONCATENATE('3 pr-2'!A144)</f>
        <v>2.1.2.3.3</v>
      </c>
      <c r="B144" s="240" t="str">
        <f>CONCATENATE('3 pr-2'!B144)</f>
        <v>R01-6615-470000-2233</v>
      </c>
      <c r="C144" s="422" t="str">
        <f>CONCATENATE('ketv. 2'!B143)</f>
        <v>08.4.2-ESFA-R-615-11-0001</v>
      </c>
      <c r="D144" s="644" t="str">
        <f>CONCATENATE('3 pr-2'!D144)</f>
        <v xml:space="preserve">Paslaugų tuberkulioze sergantiems asmenims gerinimas Lazdijų rajono savivaldybėje </v>
      </c>
      <c r="E144" s="644" t="str">
        <f>CONCATENATE('3 pr-2'!E144)</f>
        <v>Lazdijų rajono savivaldybės administracija</v>
      </c>
      <c r="F144" s="644" t="str">
        <f>CONCATENATE('3 pr-2'!F144)</f>
        <v>Lietuvos Respublikos Sveikatos apsaugos ministerija</v>
      </c>
      <c r="G144" s="644" t="str">
        <f>CONCATENATE('3 pr-2'!G144)</f>
        <v>Lazdijų r. sav.</v>
      </c>
      <c r="H144" s="644" t="str">
        <f>CONCATENATE('3 pr-2'!H144)</f>
        <v>08.4.2-ESFA-R-615</v>
      </c>
      <c r="I144" s="644" t="str">
        <f>CONCATENATE('3 pr-2'!I144)</f>
        <v>R</v>
      </c>
      <c r="J144" s="644" t="str">
        <f>CONCATENATE('3 pr-2'!J144)</f>
        <v>-</v>
      </c>
      <c r="K144" s="1463">
        <f>IF(X144&gt;0,'3 pr-2'!L144,0)</f>
        <v>15224</v>
      </c>
      <c r="L144" s="1463">
        <f>IF(X144&gt;0,'3 pr-2'!O144,0)</f>
        <v>1142</v>
      </c>
      <c r="M144" s="1463">
        <f>IF(X144&gt;0,'3 pr-2'!R144,0)</f>
        <v>1141.5999999999999</v>
      </c>
      <c r="N144" s="1463">
        <f>IF(X144&gt;0,'3 pr-2'!U144,0)</f>
        <v>0</v>
      </c>
      <c r="O144" s="1463">
        <f>IF(X144&gt;0,'3 pr-2'!X144,0)</f>
        <v>0</v>
      </c>
      <c r="P144" s="1463">
        <f>IF(X144&gt;0,'3 pr-2'!AA144,0)</f>
        <v>12940.4</v>
      </c>
      <c r="Q144" s="1460">
        <f>IF(YEAR(X144)=2016,P144,0)</f>
        <v>0</v>
      </c>
      <c r="R144" s="1460">
        <f>IF(YEAR(X144)=2017,P144,0)</f>
        <v>0</v>
      </c>
      <c r="S144" s="1460">
        <f>IF(YEAR(X144)=2018,P144,0)</f>
        <v>12940.4</v>
      </c>
      <c r="T144" s="1460">
        <f>IF(YEAR(X144)=2019,P144,0)</f>
        <v>0</v>
      </c>
      <c r="U144" s="1460">
        <f>IF(YEAR(X144)=2020,P144,0)</f>
        <v>0</v>
      </c>
      <c r="V144" s="1435">
        <f>IF(X144&gt;0,'3 pr-2'!$AB$10,0)</f>
        <v>0</v>
      </c>
      <c r="W144" s="1346">
        <f>SUM('3 pr-2'!AI144)</f>
        <v>43250</v>
      </c>
      <c r="X144" s="1370">
        <f>SUMIF('sutarčių ataskaita'!$J$19:$J$600,C144,'sutarčių ataskaita'!$L$19:$L$600)</f>
        <v>43235</v>
      </c>
      <c r="Y144" s="644"/>
      <c r="Z144" s="445" t="str">
        <f t="shared" si="110"/>
        <v>–</v>
      </c>
    </row>
    <row r="145" spans="1:26" ht="60.75" x14ac:dyDescent="0.25">
      <c r="A145" s="644" t="str">
        <f>CONCATENATE('3 pr-2'!A145)</f>
        <v>2.1.2.3.4</v>
      </c>
      <c r="B145" s="240" t="str">
        <f>CONCATENATE('3 pr-2'!B145)</f>
        <v>R01-6615-470000-2234</v>
      </c>
      <c r="C145" s="422" t="str">
        <f>CONCATENATE('ketv. 2'!B144)</f>
        <v>08.4.2-ESFA-R-615-11-0002</v>
      </c>
      <c r="D145" s="644" t="str">
        <f>CONCATENATE('3 pr-2'!D145)</f>
        <v>Ambulatorinių sveikatos priežiūros paslaugų tuberkulioze sergantiems asmenims prieinamumo gerinimas Druskininkų savivaldybėje</v>
      </c>
      <c r="E145" s="644" t="str">
        <f>CONCATENATE('3 pr-2'!E145)</f>
        <v>Druskininkų pirminės sveikatos priežiūros centras</v>
      </c>
      <c r="F145" s="644" t="str">
        <f>CONCATENATE('3 pr-2'!F145)</f>
        <v>Lietuvos Respublikos Sveikatos apsaugos ministerija</v>
      </c>
      <c r="G145" s="644" t="str">
        <f>CONCATENATE('3 pr-2'!G145)</f>
        <v>Druskininkų sav.</v>
      </c>
      <c r="H145" s="644" t="str">
        <f>CONCATENATE('3 pr-2'!H145)</f>
        <v>08.4.2-ESFA-R-615</v>
      </c>
      <c r="I145" s="644" t="str">
        <f>CONCATENATE('3 pr-2'!I145)</f>
        <v>R</v>
      </c>
      <c r="J145" s="644" t="str">
        <f>CONCATENATE('3 pr-2'!J145)</f>
        <v>-</v>
      </c>
      <c r="K145" s="1463">
        <f>IF(X145&gt;0,'3 pr-2'!L145,0)</f>
        <v>6816</v>
      </c>
      <c r="L145" s="1463">
        <f>IF(X145&gt;0,'3 pr-2'!O145,0)</f>
        <v>0</v>
      </c>
      <c r="M145" s="1463">
        <f>IF(X145&gt;0,'3 pr-2'!R145,0)</f>
        <v>511.2</v>
      </c>
      <c r="N145" s="1463">
        <f>IF(X145&gt;0,'3 pr-2'!U145,0)</f>
        <v>0</v>
      </c>
      <c r="O145" s="1463">
        <f>IF(X145&gt;0,'3 pr-2'!X145,0)</f>
        <v>511.2</v>
      </c>
      <c r="P145" s="1463">
        <f>IF(X145&gt;0,'3 pr-2'!AA145,0)</f>
        <v>5793.6</v>
      </c>
      <c r="Q145" s="1460">
        <f>IF(YEAR(X145)=2016,P145,0)</f>
        <v>0</v>
      </c>
      <c r="R145" s="1460">
        <f>IF(YEAR(X145)=2017,P145,0)</f>
        <v>0</v>
      </c>
      <c r="S145" s="1460">
        <f>IF(YEAR(X145)=2018,P145,0)</f>
        <v>5793.6</v>
      </c>
      <c r="T145" s="1460">
        <f>IF(YEAR(X145)=2019,P145,0)</f>
        <v>0</v>
      </c>
      <c r="U145" s="1460">
        <f>IF(YEAR(X145)=2020,P145,0)</f>
        <v>0</v>
      </c>
      <c r="V145" s="1435">
        <f>IF(X145&gt;0,'3 pr-2'!$AB$10,0)</f>
        <v>0</v>
      </c>
      <c r="W145" s="1346">
        <f>SUM('3 pr-2'!AI145)</f>
        <v>43344</v>
      </c>
      <c r="X145" s="1370">
        <f>SUMIF('sutarčių ataskaita'!$J$19:$J$600,C145,'sutarčių ataskaita'!$L$19:$L$600)</f>
        <v>43322</v>
      </c>
      <c r="Y145" s="644"/>
      <c r="Z145" s="445" t="str">
        <f t="shared" si="110"/>
        <v>–</v>
      </c>
    </row>
    <row r="146" spans="1:26" ht="61.5" thickBot="1" x14ac:dyDescent="0.3">
      <c r="A146" s="644" t="str">
        <f>CONCATENATE('3 pr-2'!A146)</f>
        <v>2.1.2.3.5</v>
      </c>
      <c r="B146" s="240" t="str">
        <f>CONCATENATE('3 pr-2'!B146)</f>
        <v>R01-6615-470000-2235</v>
      </c>
      <c r="C146" s="422" t="str">
        <f>CONCATENATE('ketv. 2'!B145)</f>
        <v>08.4.2-ESFA-R-615-11-0003</v>
      </c>
      <c r="D146" s="644" t="str">
        <f>CONCATENATE('3 pr-2'!D146)</f>
        <v>Ambulatorinių sveikatos priežiūros paslaugų prieinamumo gerinimas tuberkulioze sergantiems asmenims Varėnos rajono savivaldybėje</v>
      </c>
      <c r="E146" s="644" t="str">
        <f>CONCATENATE('3 pr-2'!E146)</f>
        <v>Varėnos rajono savivaldybės administracija</v>
      </c>
      <c r="F146" s="644" t="str">
        <f>CONCATENATE('3 pr-2'!F146)</f>
        <v>Lietuvos Respublikos Sveikatos apsaugos ministerija</v>
      </c>
      <c r="G146" s="644" t="str">
        <f>CONCATENATE('3 pr-2'!G146)</f>
        <v>Varėnos r. sav.</v>
      </c>
      <c r="H146" s="644" t="str">
        <f>CONCATENATE('3 pr-2'!H146)</f>
        <v>08.4.2-ESFA-R-615</v>
      </c>
      <c r="I146" s="644" t="str">
        <f>CONCATENATE('3 pr-2'!I146)</f>
        <v>R</v>
      </c>
      <c r="J146" s="644" t="str">
        <f>CONCATENATE('3 pr-2'!J146)</f>
        <v>-</v>
      </c>
      <c r="K146" s="1463">
        <f>IF(X146&gt;0,'3 pr-2'!L146,0)</f>
        <v>15679</v>
      </c>
      <c r="L146" s="1463">
        <f>IF(X146&gt;0,'3 pr-2'!O146,0)</f>
        <v>1176</v>
      </c>
      <c r="M146" s="1463">
        <f>IF(X146&gt;0,'3 pr-2'!R146,0)</f>
        <v>1176</v>
      </c>
      <c r="N146" s="1463">
        <f>IF(X146&gt;0,'3 pr-2'!U146,0)</f>
        <v>0</v>
      </c>
      <c r="O146" s="1463">
        <f>IF(X146&gt;0,'3 pr-2'!X146,0)</f>
        <v>0</v>
      </c>
      <c r="P146" s="1463">
        <f>IF(X146&gt;0,'3 pr-2'!AA146,0)</f>
        <v>13327</v>
      </c>
      <c r="Q146" s="1460">
        <f>IF(YEAR(X146)=2016,P146,0)</f>
        <v>0</v>
      </c>
      <c r="R146" s="1460">
        <f>IF(YEAR(X146)=2017,P146,0)</f>
        <v>0</v>
      </c>
      <c r="S146" s="1460">
        <f>IF(YEAR(X146)=2018,P146,0)</f>
        <v>13327</v>
      </c>
      <c r="T146" s="1460">
        <f>IF(YEAR(X146)=2019,P146,0)</f>
        <v>0</v>
      </c>
      <c r="U146" s="1460">
        <f>IF(YEAR(X146)=2020,P146,0)</f>
        <v>0</v>
      </c>
      <c r="V146" s="1435">
        <f>IF(X146&gt;0,'3 pr-2'!$AB$10,0)</f>
        <v>0</v>
      </c>
      <c r="W146" s="1346">
        <f>SUM('3 pr-2'!AI146)</f>
        <v>43373</v>
      </c>
      <c r="X146" s="1370">
        <f>SUMIF('sutarčių ataskaita'!$J$19:$J$600,C146,'sutarčių ataskaita'!$L$19:$L$600)</f>
        <v>43349</v>
      </c>
      <c r="Y146" s="644"/>
      <c r="Z146" s="445" t="str">
        <f t="shared" si="110"/>
        <v>–</v>
      </c>
    </row>
    <row r="147" spans="1:26" ht="36.75" customHeight="1" thickBot="1" x14ac:dyDescent="0.3">
      <c r="A147" s="261" t="str">
        <f>CONCATENATE('3 pr-2'!A147)</f>
        <v>2.1.3.</v>
      </c>
      <c r="B147" s="2022" t="str">
        <f>CONCATENATE('3 pr-2'!B147)</f>
        <v>Uždavinys:
Socialinio būsto ir socialinių paslaugų prieinamumo pažeidžiamiausioms gyventojų grupėms padidinimas</v>
      </c>
      <c r="C147" s="2023"/>
      <c r="D147" s="2023"/>
      <c r="E147" s="2023"/>
      <c r="F147" s="2023"/>
      <c r="G147" s="2023"/>
      <c r="H147" s="2023"/>
      <c r="I147" s="2023"/>
      <c r="J147" s="2024"/>
      <c r="K147" s="1420">
        <f>SUM(K148+K154)</f>
        <v>4201522.92</v>
      </c>
      <c r="L147" s="1420">
        <f t="shared" ref="L147:P147" si="111">SUM(L148+L154)</f>
        <v>772839.92999999993</v>
      </c>
      <c r="M147" s="1420">
        <f t="shared" si="111"/>
        <v>21947.85</v>
      </c>
      <c r="N147" s="1420">
        <f t="shared" si="111"/>
        <v>0</v>
      </c>
      <c r="O147" s="1420">
        <f t="shared" si="111"/>
        <v>0</v>
      </c>
      <c r="P147" s="1420">
        <f t="shared" si="111"/>
        <v>3406735.14</v>
      </c>
      <c r="Q147" s="1420"/>
      <c r="R147" s="1420"/>
      <c r="S147" s="1420"/>
      <c r="T147" s="1420"/>
      <c r="U147" s="1420"/>
      <c r="V147" s="1420">
        <f t="shared" ref="V147" si="112">SUM(V148+V154)</f>
        <v>0</v>
      </c>
      <c r="W147" s="1339" t="s">
        <v>690</v>
      </c>
      <c r="X147" s="1411" t="s">
        <v>690</v>
      </c>
      <c r="Y147" s="434" t="s">
        <v>690</v>
      </c>
      <c r="Z147" s="409"/>
    </row>
    <row r="148" spans="1:26" ht="36.75" customHeight="1" thickBot="1" x14ac:dyDescent="0.3">
      <c r="A148" s="326" t="str">
        <f>CONCATENATE('3 pr-2'!A148)</f>
        <v>2.1.3.1</v>
      </c>
      <c r="B148" s="2025" t="str">
        <f>CONCATENATE('3 pr-2'!B148)</f>
        <v>Priemonė:
Socialinių paslaugų infrastruktūros plėtra</v>
      </c>
      <c r="C148" s="2026"/>
      <c r="D148" s="2026"/>
      <c r="E148" s="2026"/>
      <c r="F148" s="2026"/>
      <c r="G148" s="2026"/>
      <c r="H148" s="2026"/>
      <c r="I148" s="2026"/>
      <c r="J148" s="2027"/>
      <c r="K148" s="1293">
        <f>SUM(K149:K153)</f>
        <v>1235321.8</v>
      </c>
      <c r="L148" s="1293">
        <f t="shared" ref="L148:P148" si="113">SUM(L149:L153)</f>
        <v>327612.79999999999</v>
      </c>
      <c r="M148" s="1293">
        <f t="shared" si="113"/>
        <v>21947.85</v>
      </c>
      <c r="N148" s="1293">
        <f t="shared" si="113"/>
        <v>0</v>
      </c>
      <c r="O148" s="1293">
        <f t="shared" si="113"/>
        <v>0</v>
      </c>
      <c r="P148" s="1293">
        <f t="shared" si="113"/>
        <v>885761.15</v>
      </c>
      <c r="Q148" s="1504">
        <f>SUM(Q149:Q153)</f>
        <v>0</v>
      </c>
      <c r="R148" s="1505">
        <f t="shared" ref="R148:V148" si="114">SUM(R149:R153)</f>
        <v>885761.15</v>
      </c>
      <c r="S148" s="1504">
        <f t="shared" si="114"/>
        <v>0</v>
      </c>
      <c r="T148" s="1505">
        <f t="shared" si="114"/>
        <v>0</v>
      </c>
      <c r="U148" s="1506">
        <f t="shared" si="114"/>
        <v>0</v>
      </c>
      <c r="V148" s="1293">
        <f t="shared" si="114"/>
        <v>0</v>
      </c>
      <c r="W148" s="1402"/>
      <c r="X148" s="1402"/>
      <c r="Y148" s="397"/>
      <c r="Z148" s="397"/>
    </row>
    <row r="149" spans="1:26" ht="60.75" x14ac:dyDescent="0.25">
      <c r="A149" s="429" t="str">
        <f>CONCATENATE('3 pr-2'!A149)</f>
        <v>2.1.3.1.1</v>
      </c>
      <c r="B149" s="240" t="str">
        <f>CONCATENATE('3 pr-2'!B149)</f>
        <v>R01-4407-270000-2311</v>
      </c>
      <c r="C149" s="1183" t="str">
        <f>CONCATENATE('ketv. 2'!B148)</f>
        <v>08.1.1-CPVA-R-407-11-0002</v>
      </c>
      <c r="D149" s="429" t="str">
        <f>CONCATENATE('3 pr-2'!D149)</f>
        <v>Socialinių paslaugų infrastruktūros plėtra Varėnos rajono savivaldybėje</v>
      </c>
      <c r="E149" s="429" t="str">
        <f>CONCATENATE('3 pr-2'!E149)</f>
        <v>Varėnos rajono savivaldybės administracija</v>
      </c>
      <c r="F149" s="429" t="str">
        <f>CONCATENATE('3 pr-2'!F149)</f>
        <v>Lietuvos Respublikos socialinės apsaugos ir darbo ministerija</v>
      </c>
      <c r="G149" s="429" t="str">
        <f>CONCATENATE('3 pr-2'!G149)</f>
        <v>Varėnos r. sav.</v>
      </c>
      <c r="H149" s="429" t="str">
        <f>CONCATENATE('3 pr-2'!H149)</f>
        <v>08.1.2-CPVA-R-407</v>
      </c>
      <c r="I149" s="429" t="str">
        <f>CONCATENATE('3 pr-2'!I149)</f>
        <v>R</v>
      </c>
      <c r="J149" s="429" t="str">
        <f>CONCATENATE('3 pr-2'!J149)</f>
        <v>-</v>
      </c>
      <c r="K149" s="1432">
        <f>IF(X149&gt;0,'3 pr-2'!L149,0)</f>
        <v>148480</v>
      </c>
      <c r="L149" s="1432">
        <f>IF(X149&gt;0,'3 pr-2'!O149,0)</f>
        <v>22272</v>
      </c>
      <c r="M149" s="1432">
        <f>IF(X149&gt;0,'3 pr-2'!R149,0)</f>
        <v>0</v>
      </c>
      <c r="N149" s="1432">
        <f>IF(X149&gt;0,'3 pr-2'!U149,0)</f>
        <v>0</v>
      </c>
      <c r="O149" s="1432">
        <f>IF(X149&gt;0,'3 pr-2'!X149,0)</f>
        <v>0</v>
      </c>
      <c r="P149" s="1432">
        <f>IF(X149&gt;0,'3 pr-2'!AA149,0)</f>
        <v>126208</v>
      </c>
      <c r="Q149" s="1463">
        <f>IF(YEAR(X149)=2016,P149,0)</f>
        <v>0</v>
      </c>
      <c r="R149" s="1463">
        <f>IF(YEAR(X149)=2017,P149,0)</f>
        <v>126208</v>
      </c>
      <c r="S149" s="1463">
        <f>IF(YEAR(X149)=2018,P149,0)</f>
        <v>0</v>
      </c>
      <c r="T149" s="1463">
        <f>IF(YEAR(X149)=2019,P149,0)</f>
        <v>0</v>
      </c>
      <c r="U149" s="1463">
        <f>IF(YEAR(X149)=2020,P149,0)</f>
        <v>0</v>
      </c>
      <c r="V149" s="1435">
        <f>IF(X149&gt;0,'3 pr-2'!$AB$10,0)</f>
        <v>0</v>
      </c>
      <c r="W149" s="1413">
        <f>SUM('3 pr-2'!AI149)</f>
        <v>42855</v>
      </c>
      <c r="X149" s="1370">
        <f>SUMIF('sutarčių ataskaita'!$J$19:$J$600,C149,'sutarčių ataskaita'!$L$19:$L$600)</f>
        <v>42849</v>
      </c>
      <c r="Y149" s="430">
        <f t="shared" ref="Y149:Y153" si="115">IF((YEAR(W149)-YEAR(X149))=0,0,YEAR(W149)-YEAR(X149))</f>
        <v>0</v>
      </c>
      <c r="Z149" s="445" t="str">
        <f t="shared" ref="Z149:Z153" si="116">IF(W149-X149&lt;0,(W149-X149)/30.4166666666667,"–")</f>
        <v>–</v>
      </c>
    </row>
    <row r="150" spans="1:26" ht="60.75" x14ac:dyDescent="0.25">
      <c r="A150" s="429" t="str">
        <f>CONCATENATE('3 pr-2'!A150)</f>
        <v>2.1.3.1.2</v>
      </c>
      <c r="B150" s="240" t="str">
        <f>CONCATENATE('3 pr-2'!B150)</f>
        <v>R01-4407-274800-2312</v>
      </c>
      <c r="C150" s="1183" t="str">
        <f>CONCATENATE('ketv. 2'!B149)</f>
        <v>08.1.1-CPVA-R-407-11-0004</v>
      </c>
      <c r="D150" s="429" t="str">
        <f>CONCATENATE('3 pr-2'!D150)</f>
        <v>Psichosocialinės pagalbos centro įkūrimas</v>
      </c>
      <c r="E150" s="429" t="str">
        <f>CONCATENATE('3 pr-2'!E150)</f>
        <v>Alytaus rajono savivaldybės administracija</v>
      </c>
      <c r="F150" s="429" t="str">
        <f>CONCATENATE('3 pr-2'!F150)</f>
        <v>Lietuvos Respublikos socialinės apsaugos ir darbo ministerija</v>
      </c>
      <c r="G150" s="429" t="str">
        <f>CONCATENATE('3 pr-2'!G150)</f>
        <v>Alytaus r. sav.</v>
      </c>
      <c r="H150" s="429" t="str">
        <f>CONCATENATE('3 pr-2'!H150)</f>
        <v>08.1.2-CPVA-R-407</v>
      </c>
      <c r="I150" s="429" t="str">
        <f>CONCATENATE('3 pr-2'!I150)</f>
        <v>R</v>
      </c>
      <c r="J150" s="429" t="str">
        <f>CONCATENATE('3 pr-2'!J150)</f>
        <v/>
      </c>
      <c r="K150" s="1432">
        <f>IF(X150&gt;0,'3 pr-2'!L150,0)</f>
        <v>188353</v>
      </c>
      <c r="L150" s="1432">
        <f>IF(X150&gt;0,'3 pr-2'!O150,0)</f>
        <v>28253</v>
      </c>
      <c r="M150" s="1432">
        <f>IF(X150&gt;0,'3 pr-2'!R150,0)</f>
        <v>0</v>
      </c>
      <c r="N150" s="1432">
        <f>IF(X150&gt;0,'3 pr-2'!U150,0)</f>
        <v>0</v>
      </c>
      <c r="O150" s="1432">
        <f>IF(X150&gt;0,'3 pr-2'!X150,0)</f>
        <v>0</v>
      </c>
      <c r="P150" s="1432">
        <f>IF(X150&gt;0,'3 pr-2'!AA150,0)</f>
        <v>160100</v>
      </c>
      <c r="Q150" s="1463">
        <f>IF(YEAR(X150)=2016,P150,0)</f>
        <v>0</v>
      </c>
      <c r="R150" s="1463">
        <f>IF(YEAR(X150)=2017,P150,0)</f>
        <v>160100</v>
      </c>
      <c r="S150" s="1463">
        <f>IF(YEAR(X150)=2018,P150,0)</f>
        <v>0</v>
      </c>
      <c r="T150" s="1463">
        <f>IF(YEAR(X150)=2019,P150,0)</f>
        <v>0</v>
      </c>
      <c r="U150" s="1463">
        <f>IF(YEAR(X150)=2020,P150,0)</f>
        <v>0</v>
      </c>
      <c r="V150" s="1435">
        <f>IF(X150&gt;0,'3 pr-2'!$AB$10,0)</f>
        <v>0</v>
      </c>
      <c r="W150" s="1413">
        <f>SUM('3 pr-2'!AI150)</f>
        <v>42888</v>
      </c>
      <c r="X150" s="1370">
        <f>SUMIF('sutarčių ataskaita'!$J$19:$J$600,C150,'sutarčių ataskaita'!$L$19:$L$600)</f>
        <v>42888</v>
      </c>
      <c r="Y150" s="430">
        <f t="shared" si="115"/>
        <v>0</v>
      </c>
      <c r="Z150" s="445" t="str">
        <f t="shared" si="116"/>
        <v>–</v>
      </c>
    </row>
    <row r="151" spans="1:26" ht="60.75" x14ac:dyDescent="0.25">
      <c r="A151" s="429" t="str">
        <f>CONCATENATE('3 pr-2'!A151)</f>
        <v>2.1.3.1.3</v>
      </c>
      <c r="B151" s="240" t="str">
        <f>CONCATENATE('3 pr-2'!B151)</f>
        <v>R01-4407-270000-2313</v>
      </c>
      <c r="C151" s="1183" t="str">
        <f>CONCATENATE('ketv. 2'!B150)</f>
        <v>08.1.1-CPVA-R-407-11-0005</v>
      </c>
      <c r="D151" s="429" t="str">
        <f>CONCATENATE('3 pr-2'!D151)</f>
        <v>Socialinių paslaugų plėtra Alytaus mieste</v>
      </c>
      <c r="E151" s="429" t="str">
        <f>CONCATENATE('3 pr-2'!E151)</f>
        <v>Alytaus miesto savivaldybės administracija</v>
      </c>
      <c r="F151" s="429" t="str">
        <f>CONCATENATE('3 pr-2'!F151)</f>
        <v>Lietuvos Respublikos socialinės apsaugos ir darbo ministerija</v>
      </c>
      <c r="G151" s="429" t="str">
        <f>CONCATENATE('3 pr-2'!G151)</f>
        <v>Alytaus m. sav.</v>
      </c>
      <c r="H151" s="429" t="str">
        <f>CONCATENATE('3 pr-2'!H151)</f>
        <v>08.1.2-CPVA-R-407</v>
      </c>
      <c r="I151" s="429" t="str">
        <f>CONCATENATE('3 pr-2'!I151)</f>
        <v>R</v>
      </c>
      <c r="J151" s="429" t="str">
        <f>CONCATENATE('3 pr-2'!J151)</f>
        <v>-</v>
      </c>
      <c r="K151" s="1432">
        <f>IF(X151&gt;0,'3 pr-2'!L151,0)</f>
        <v>600732.80000000005</v>
      </c>
      <c r="L151" s="1432">
        <f>IF(X151&gt;0,'3 pr-2'!O151,0)</f>
        <v>254371.8</v>
      </c>
      <c r="M151" s="1432">
        <f>IF(X151&gt;0,'3 pr-2'!R151,0)</f>
        <v>0</v>
      </c>
      <c r="N151" s="1432">
        <f>IF(X151&gt;0,'3 pr-2'!U151,0)</f>
        <v>0</v>
      </c>
      <c r="O151" s="1432">
        <f>IF(X151&gt;0,'3 pr-2'!X151,0)</f>
        <v>0</v>
      </c>
      <c r="P151" s="1432">
        <f>IF(X151&gt;0,'3 pr-2'!AA151,0)</f>
        <v>346361</v>
      </c>
      <c r="Q151" s="1463">
        <f>IF(YEAR(X151)=2016,P151,0)</f>
        <v>0</v>
      </c>
      <c r="R151" s="1463">
        <f>IF(YEAR(X151)=2017,P151,0)</f>
        <v>346361</v>
      </c>
      <c r="S151" s="1463">
        <f>IF(YEAR(X151)=2018,P151,0)</f>
        <v>0</v>
      </c>
      <c r="T151" s="1463">
        <f>IF(YEAR(X151)=2019,P151,0)</f>
        <v>0</v>
      </c>
      <c r="U151" s="1463">
        <f>IF(YEAR(X151)=2020,P151,0)</f>
        <v>0</v>
      </c>
      <c r="V151" s="1435">
        <f>IF(X151&gt;0,'3 pr-2'!$AB$10,0)</f>
        <v>0</v>
      </c>
      <c r="W151" s="1413">
        <f>SUM('3 pr-2'!AI151)</f>
        <v>42936</v>
      </c>
      <c r="X151" s="1370">
        <f>SUMIF('sutarčių ataskaita'!$J$19:$J$600,C151,'sutarčių ataskaita'!$L$19:$L$600)</f>
        <v>42936</v>
      </c>
      <c r="Y151" s="430">
        <f t="shared" si="115"/>
        <v>0</v>
      </c>
      <c r="Z151" s="445" t="str">
        <f t="shared" si="116"/>
        <v>–</v>
      </c>
    </row>
    <row r="152" spans="1:26" ht="60.75" x14ac:dyDescent="0.25">
      <c r="A152" s="429" t="str">
        <f>CONCATENATE('3 pr-2'!A152)</f>
        <v>2.1.3.1.4</v>
      </c>
      <c r="B152" s="240" t="str">
        <f>CONCATENATE('3 pr-2'!B152)</f>
        <v>R01-4407-270000-2314</v>
      </c>
      <c r="C152" s="1183" t="str">
        <f>CONCATENATE('ketv. 2'!B151)</f>
        <v>08.1.1-CPVA-R-407-11-0001</v>
      </c>
      <c r="D152" s="429" t="str">
        <f>CONCATENATE('3 pr-2'!D152)</f>
        <v>Socialinių paslaugų infrastruktūros plėtra Druskininkų savivaldybėje</v>
      </c>
      <c r="E152" s="429" t="str">
        <f>CONCATENATE('3 pr-2'!E152)</f>
        <v>Druskininkų savivaldybės administracija</v>
      </c>
      <c r="F152" s="429" t="str">
        <f>CONCATENATE('3 pr-2'!F152)</f>
        <v>Lietuvos Respublikos socialinės apsaugos ir darbo ministerija</v>
      </c>
      <c r="G152" s="429" t="str">
        <f>CONCATENATE('3 pr-2'!G152)</f>
        <v>Druskininkų sav.</v>
      </c>
      <c r="H152" s="429" t="str">
        <f>CONCATENATE('3 pr-2'!H152)</f>
        <v>08.1.2-CPVA-R-407</v>
      </c>
      <c r="I152" s="429" t="str">
        <f>CONCATENATE('3 pr-2'!I152)</f>
        <v>R</v>
      </c>
      <c r="J152" s="429" t="str">
        <f>CONCATENATE('3 pr-2'!J152)</f>
        <v>-</v>
      </c>
      <c r="K152" s="1432">
        <f>IF(X152&gt;0,'3 pr-2'!L152,0)</f>
        <v>151437</v>
      </c>
      <c r="L152" s="1432">
        <f>IF(X152&gt;0,'3 pr-2'!O152,0)</f>
        <v>22716</v>
      </c>
      <c r="M152" s="1432">
        <f>IF(X152&gt;0,'3 pr-2'!R152,0)</f>
        <v>0</v>
      </c>
      <c r="N152" s="1432">
        <f>IF(X152&gt;0,'3 pr-2'!U152,0)</f>
        <v>0</v>
      </c>
      <c r="O152" s="1432">
        <f>IF(X152&gt;0,'3 pr-2'!X152,0)</f>
        <v>0</v>
      </c>
      <c r="P152" s="1432">
        <f>IF(X152&gt;0,'3 pr-2'!AA152,0)</f>
        <v>128721</v>
      </c>
      <c r="Q152" s="1463">
        <f>IF(YEAR(X152)=2016,P152,0)</f>
        <v>0</v>
      </c>
      <c r="R152" s="1463">
        <f>IF(YEAR(X152)=2017,P152,0)</f>
        <v>128721</v>
      </c>
      <c r="S152" s="1463">
        <f>IF(YEAR(X152)=2018,P152,0)</f>
        <v>0</v>
      </c>
      <c r="T152" s="1463">
        <f>IF(YEAR(X152)=2019,P152,0)</f>
        <v>0</v>
      </c>
      <c r="U152" s="1463">
        <f>IF(YEAR(X152)=2020,P152,0)</f>
        <v>0</v>
      </c>
      <c r="V152" s="1435">
        <f>IF(X152&gt;0,'3 pr-2'!$AB$10,0)</f>
        <v>0</v>
      </c>
      <c r="W152" s="1413">
        <f>SUM('3 pr-2'!AI152)</f>
        <v>42855</v>
      </c>
      <c r="X152" s="1370">
        <f>SUMIF('sutarčių ataskaita'!$J$19:$J$600,C152,'sutarčių ataskaita'!$L$19:$L$600)</f>
        <v>42851</v>
      </c>
      <c r="Y152" s="430">
        <f t="shared" si="115"/>
        <v>0</v>
      </c>
      <c r="Z152" s="445" t="str">
        <f t="shared" si="116"/>
        <v>–</v>
      </c>
    </row>
    <row r="153" spans="1:26" ht="61.5" thickBot="1" x14ac:dyDescent="0.3">
      <c r="A153" s="429" t="str">
        <f>CONCATENATE('3 pr-2'!A153)</f>
        <v>2.1.3.1.5</v>
      </c>
      <c r="B153" s="240" t="str">
        <f>CONCATENATE('3 pr-2'!B153)</f>
        <v>R01-4407-270000-2315</v>
      </c>
      <c r="C153" s="1183" t="str">
        <f>CONCATENATE('ketv. 2'!B152)</f>
        <v>08.1.1-CPVA-R-407-11-0003</v>
      </c>
      <c r="D153" s="429" t="str">
        <f>CONCATENATE('3 pr-2'!D153)</f>
        <v>Socialinių paslaugų infrastruktūros modernizavimas ir plėtra VšĮ Kapčiamiesčio globos namuose</v>
      </c>
      <c r="E153" s="429" t="str">
        <f>CONCATENATE('3 pr-2'!E153)</f>
        <v>VšĮ Kapčiamiesčio globos namai</v>
      </c>
      <c r="F153" s="429" t="str">
        <f>CONCATENATE('3 pr-2'!F153)</f>
        <v>Lietuvos Respublikos socialinės apsaugos ir darbo ministerija</v>
      </c>
      <c r="G153" s="429" t="str">
        <f>CONCATENATE('3 pr-2'!G153)</f>
        <v>Lazdijų r. sav.</v>
      </c>
      <c r="H153" s="429" t="str">
        <f>CONCATENATE('3 pr-2'!H153)</f>
        <v>08.1.2-CPVA-R-407</v>
      </c>
      <c r="I153" s="429" t="str">
        <f>CONCATENATE('3 pr-2'!I153)</f>
        <v>R</v>
      </c>
      <c r="J153" s="429" t="str">
        <f>CONCATENATE('3 pr-2'!J153)</f>
        <v>-</v>
      </c>
      <c r="K153" s="1432">
        <f>IF(X153&gt;0,'3 pr-2'!L153,0)</f>
        <v>146319</v>
      </c>
      <c r="L153" s="1432">
        <f>IF(X153&gt;0,'3 pr-2'!O153,0)</f>
        <v>0</v>
      </c>
      <c r="M153" s="1432">
        <f>IF(X153&gt;0,'3 pr-2'!R153,0)</f>
        <v>21947.85</v>
      </c>
      <c r="N153" s="1432">
        <f>IF(X153&gt;0,'3 pr-2'!U153,0)</f>
        <v>0</v>
      </c>
      <c r="O153" s="1432">
        <f>IF(X153&gt;0,'3 pr-2'!X153,0)</f>
        <v>0</v>
      </c>
      <c r="P153" s="1432">
        <f>IF(X153&gt;0,'3 pr-2'!AA153,0)</f>
        <v>124371.15</v>
      </c>
      <c r="Q153" s="1463">
        <f>IF(YEAR(X153)=2016,P153,0)</f>
        <v>0</v>
      </c>
      <c r="R153" s="1463">
        <f>IF(YEAR(X153)=2017,P153,0)</f>
        <v>124371.15</v>
      </c>
      <c r="S153" s="1463">
        <f>IF(YEAR(X153)=2018,P153,0)</f>
        <v>0</v>
      </c>
      <c r="T153" s="1463">
        <f>IF(YEAR(X153)=2019,P153,0)</f>
        <v>0</v>
      </c>
      <c r="U153" s="1463">
        <f>IF(YEAR(X153)=2020,P153,0)</f>
        <v>0</v>
      </c>
      <c r="V153" s="1435">
        <f>IF(X153&gt;0,'3 pr-2'!$AB$10,0)</f>
        <v>0</v>
      </c>
      <c r="W153" s="1413">
        <f>SUM('3 pr-2'!AI153)</f>
        <v>42855</v>
      </c>
      <c r="X153" s="1370">
        <f>SUMIF('sutarčių ataskaita'!$J$19:$J$600,C153,'sutarčių ataskaita'!$L$19:$L$600)</f>
        <v>42825</v>
      </c>
      <c r="Y153" s="430">
        <f t="shared" si="115"/>
        <v>0</v>
      </c>
      <c r="Z153" s="445" t="str">
        <f t="shared" si="116"/>
        <v>–</v>
      </c>
    </row>
    <row r="154" spans="1:26" ht="39" customHeight="1" thickBot="1" x14ac:dyDescent="0.3">
      <c r="A154" s="326" t="str">
        <f>CONCATENATE('3 pr-2'!A154)</f>
        <v>2.1.3.2</v>
      </c>
      <c r="B154" s="2025" t="str">
        <f>CONCATENATE('3 pr-2'!B154)</f>
        <v>Priemonė:
Socialinio būsto fondo plėtra</v>
      </c>
      <c r="C154" s="2026"/>
      <c r="D154" s="2026"/>
      <c r="E154" s="2026"/>
      <c r="F154" s="2026"/>
      <c r="G154" s="2026"/>
      <c r="H154" s="2026"/>
      <c r="I154" s="2026"/>
      <c r="J154" s="2027"/>
      <c r="K154" s="1293">
        <f>SUM(K155:K159)</f>
        <v>2966201.12</v>
      </c>
      <c r="L154" s="1293">
        <f t="shared" ref="L154:P154" si="117">SUM(L155:L159)</f>
        <v>445227.13</v>
      </c>
      <c r="M154" s="1293">
        <f t="shared" si="117"/>
        <v>0</v>
      </c>
      <c r="N154" s="1293">
        <f t="shared" si="117"/>
        <v>0</v>
      </c>
      <c r="O154" s="1293">
        <f t="shared" si="117"/>
        <v>0</v>
      </c>
      <c r="P154" s="1293">
        <f t="shared" si="117"/>
        <v>2520973.9900000002</v>
      </c>
      <c r="Q154" s="1504">
        <f>SUM(Q155:Q159)</f>
        <v>2520973.9900000002</v>
      </c>
      <c r="R154" s="1505">
        <f t="shared" ref="R154:V154" si="118">SUM(R155:R159)</f>
        <v>0</v>
      </c>
      <c r="S154" s="1504">
        <f t="shared" si="118"/>
        <v>0</v>
      </c>
      <c r="T154" s="1505">
        <f t="shared" si="118"/>
        <v>0</v>
      </c>
      <c r="U154" s="1506">
        <f t="shared" si="118"/>
        <v>0</v>
      </c>
      <c r="V154" s="1293">
        <f t="shared" si="118"/>
        <v>0</v>
      </c>
      <c r="W154" s="1402"/>
      <c r="X154" s="1402"/>
      <c r="Y154" s="397"/>
      <c r="Z154" s="397"/>
    </row>
    <row r="155" spans="1:26" ht="60.75" x14ac:dyDescent="0.25">
      <c r="A155" s="366" t="str">
        <f>CONCATENATE('3 pr-2'!A155)</f>
        <v>2.1.3.2.1</v>
      </c>
      <c r="B155" s="240" t="str">
        <f>CONCATENATE('3 pr-2'!B155)</f>
        <v>R01-4408-260000-2321</v>
      </c>
      <c r="C155" s="1181" t="str">
        <f>CONCATENATE('ketv. 2'!B154)</f>
        <v>08.1.2-CPVA-R-408-11-0001</v>
      </c>
      <c r="D155" s="366" t="str">
        <f>CONCATENATE('3 pr-2'!D155)</f>
        <v>Socialinio būsto plėtra Varėnos rajone</v>
      </c>
      <c r="E155" s="366" t="str">
        <f>CONCATENATE('3 pr-2'!E155)</f>
        <v>Varėnos rajono savivaldybės administracija</v>
      </c>
      <c r="F155" s="366" t="str">
        <f>CONCATENATE('3 pr-2'!F155)</f>
        <v>Lietuvos Respublikos socialinės apsaugos ir darbo ministerija</v>
      </c>
      <c r="G155" s="366" t="str">
        <f>CONCATENATE('3 pr-2'!G155)</f>
        <v>Varėnos r. sav.</v>
      </c>
      <c r="H155" s="366" t="str">
        <f>CONCATENATE('3 pr-2'!H155)</f>
        <v>08.1.1-CPVA·R-408</v>
      </c>
      <c r="I155" s="366" t="str">
        <f>CONCATENATE('3 pr-2'!I155)</f>
        <v>R</v>
      </c>
      <c r="J155" s="366" t="str">
        <f>CONCATENATE('3 pr-2'!J155)</f>
        <v>-</v>
      </c>
      <c r="K155" s="1432">
        <f>IF(X155&gt;0,'3 pr-2'!L155,0)</f>
        <v>736499</v>
      </c>
      <c r="L155" s="1432">
        <f>IF(X155&gt;0,'3 pr-2'!O155,0)</f>
        <v>110475</v>
      </c>
      <c r="M155" s="1432">
        <f>IF(X155&gt;0,'3 pr-2'!R155,0)</f>
        <v>0</v>
      </c>
      <c r="N155" s="1432">
        <f>IF(X155&gt;0,'3 pr-2'!U155,0)</f>
        <v>0</v>
      </c>
      <c r="O155" s="1432">
        <f>IF(X155&gt;0,'3 pr-2'!X155,0)</f>
        <v>0</v>
      </c>
      <c r="P155" s="1432">
        <f>IF(X155&gt;0,'3 pr-2'!AA155,0)</f>
        <v>626024</v>
      </c>
      <c r="Q155" s="1432">
        <f>IF(YEAR(X155)=2016,P155,0)</f>
        <v>626024</v>
      </c>
      <c r="R155" s="1432">
        <f>IF(YEAR(X155)=2017,P155,0)</f>
        <v>0</v>
      </c>
      <c r="S155" s="1432">
        <f>IF(YEAR(X155)=2018,P155,0)</f>
        <v>0</v>
      </c>
      <c r="T155" s="1432">
        <f>IF(YEAR(X155)=2019,P155,0)</f>
        <v>0</v>
      </c>
      <c r="U155" s="1432">
        <f>IF(YEAR(X155)=2020,P155,0)</f>
        <v>0</v>
      </c>
      <c r="V155" s="1435">
        <f>IF(X155&gt;0,'3 pr-2'!$AB$10,0)</f>
        <v>0</v>
      </c>
      <c r="W155" s="1342">
        <f>SUM('3 pr-2'!AI155)</f>
        <v>42735</v>
      </c>
      <c r="X155" s="1370">
        <f>SUMIF('sutarčių ataskaita'!$J$19:$J$600,C155,'sutarčių ataskaita'!$L$19:$L$600)</f>
        <v>42605</v>
      </c>
      <c r="Y155" s="423">
        <f t="shared" ref="Y155:Y159" si="119">IF((YEAR(W155)-YEAR(X155))=0,0,YEAR(W155)-YEAR(X155))</f>
        <v>0</v>
      </c>
      <c r="Z155" s="445" t="str">
        <f t="shared" ref="Z155:Z159" si="120">IF(W155-X155&lt;0,(W155-X155)/30.4166666666667,"–")</f>
        <v>–</v>
      </c>
    </row>
    <row r="156" spans="1:26" ht="60.75" x14ac:dyDescent="0.25">
      <c r="A156" s="366" t="str">
        <f>CONCATENATE('3 pr-2'!A156)</f>
        <v>2.1.3.2.2</v>
      </c>
      <c r="B156" s="240" t="str">
        <f>CONCATENATE('3 pr-2'!B156)</f>
        <v>R01-4408-250000-2322</v>
      </c>
      <c r="C156" s="1181" t="str">
        <f>CONCATENATE('ketv. 2'!B155)</f>
        <v>08.1.2-CPVA-R-408-11-0005</v>
      </c>
      <c r="D156" s="366" t="str">
        <f>CONCATENATE('3 pr-2'!D156)</f>
        <v>Būsto prieinamumo pažeidžiamoms gyventojų grupėms didinimas Alytaus rajone</v>
      </c>
      <c r="E156" s="366" t="str">
        <f>CONCATENATE('3 pr-2'!E156)</f>
        <v>Alytaus rajono savivaldybės administracija</v>
      </c>
      <c r="F156" s="366" t="str">
        <f>CONCATENATE('3 pr-2'!F156)</f>
        <v>Lietuvos Respublikos socialinės apsaugos ir darbo ministerija</v>
      </c>
      <c r="G156" s="366" t="str">
        <f>CONCATENATE('3 pr-2'!G156)</f>
        <v>Alytaus r. sav.</v>
      </c>
      <c r="H156" s="366" t="str">
        <f>CONCATENATE('3 pr-2'!H156)</f>
        <v>08.1.1-CPVA·R-408</v>
      </c>
      <c r="I156" s="366" t="str">
        <f>CONCATENATE('3 pr-2'!I156)</f>
        <v>R</v>
      </c>
      <c r="J156" s="366" t="str">
        <f>CONCATENATE('3 pr-2'!J156)</f>
        <v>-</v>
      </c>
      <c r="K156" s="1432">
        <f>IF(X156&gt;0,'3 pr-2'!L156,0)</f>
        <v>241889</v>
      </c>
      <c r="L156" s="1432">
        <f>IF(X156&gt;0,'3 pr-2'!O156,0)</f>
        <v>36283</v>
      </c>
      <c r="M156" s="1432">
        <f>IF(X156&gt;0,'3 pr-2'!R156,0)</f>
        <v>0</v>
      </c>
      <c r="N156" s="1432">
        <f>IF(X156&gt;0,'3 pr-2'!U156,0)</f>
        <v>0</v>
      </c>
      <c r="O156" s="1432">
        <f>IF(X156&gt;0,'3 pr-2'!X156,0)</f>
        <v>0</v>
      </c>
      <c r="P156" s="1432">
        <f>IF(X156&gt;0,'3 pr-2'!AA156,0)</f>
        <v>205606</v>
      </c>
      <c r="Q156" s="1432">
        <f>IF(YEAR(X156)=2016,P156,0)</f>
        <v>205606</v>
      </c>
      <c r="R156" s="1432">
        <f>IF(YEAR(X156)=2017,P156,0)</f>
        <v>0</v>
      </c>
      <c r="S156" s="1432">
        <f>IF(YEAR(X156)=2018,P156,0)</f>
        <v>0</v>
      </c>
      <c r="T156" s="1432">
        <f>IF(YEAR(X156)=2019,P156,0)</f>
        <v>0</v>
      </c>
      <c r="U156" s="1432">
        <f>IF(YEAR(X156)=2020,P156,0)</f>
        <v>0</v>
      </c>
      <c r="V156" s="1435">
        <f>IF(X156&gt;0,'3 pr-2'!$AB$10,0)</f>
        <v>0</v>
      </c>
      <c r="W156" s="1342">
        <f>SUM('3 pr-2'!AI156)</f>
        <v>42735</v>
      </c>
      <c r="X156" s="1370">
        <f>SUMIF('sutarčių ataskaita'!$J$19:$J$600,C156,'sutarčių ataskaita'!$L$19:$L$600)</f>
        <v>42626</v>
      </c>
      <c r="Y156" s="423">
        <f t="shared" si="119"/>
        <v>0</v>
      </c>
      <c r="Z156" s="445" t="str">
        <f t="shared" si="120"/>
        <v>–</v>
      </c>
    </row>
    <row r="157" spans="1:26" ht="60.75" x14ac:dyDescent="0.25">
      <c r="A157" s="366" t="str">
        <f>CONCATENATE('3 pr-2'!A157)</f>
        <v>2.1.3.1.3</v>
      </c>
      <c r="B157" s="240" t="str">
        <f>CONCATENATE('3 pr-2'!B157)</f>
        <v>R01-4408-260000-2323</v>
      </c>
      <c r="C157" s="1181" t="str">
        <f>CONCATENATE('ketv. 2'!B156)</f>
        <v>08.1.2-CPVA-R-408-11-0002</v>
      </c>
      <c r="D157" s="366" t="str">
        <f>CONCATENATE('3 pr-2'!D157)</f>
        <v>Socialinio būsto plėtra Alytaus mieste</v>
      </c>
      <c r="E157" s="366" t="str">
        <f>CONCATENATE('3 pr-2'!E157)</f>
        <v>Alytaus miesto savivaldybės administracija</v>
      </c>
      <c r="F157" s="366" t="str">
        <f>CONCATENATE('3 pr-2'!F157)</f>
        <v>Lietuvos Respublikos socialinės apsaugos ir darbo ministerija</v>
      </c>
      <c r="G157" s="366" t="str">
        <f>CONCATENATE('3 pr-2'!G157)</f>
        <v>Alytaus m. sav.</v>
      </c>
      <c r="H157" s="366" t="str">
        <f>CONCATENATE('3 pr-2'!H157)</f>
        <v>08.1.1-CPVA·R-408</v>
      </c>
      <c r="I157" s="366" t="str">
        <f>CONCATENATE('3 pr-2'!I157)</f>
        <v>R</v>
      </c>
      <c r="J157" s="366" t="str">
        <f>CONCATENATE('3 pr-2'!J157)</f>
        <v>-</v>
      </c>
      <c r="K157" s="1432">
        <f>IF(X157&gt;0,'3 pr-2'!L157,0)</f>
        <v>891741.17999999993</v>
      </c>
      <c r="L157" s="1432">
        <f>IF(X157&gt;0,'3 pr-2'!O157,0)</f>
        <v>133761.18</v>
      </c>
      <c r="M157" s="1432">
        <f>IF(X157&gt;0,'3 pr-2'!R157,0)</f>
        <v>0</v>
      </c>
      <c r="N157" s="1432">
        <f>IF(X157&gt;0,'3 pr-2'!U157,0)</f>
        <v>0</v>
      </c>
      <c r="O157" s="1432">
        <f>IF(X157&gt;0,'3 pr-2'!X157,0)</f>
        <v>0</v>
      </c>
      <c r="P157" s="1432">
        <f>IF(X157&gt;0,'3 pr-2'!AA157,0)</f>
        <v>757980</v>
      </c>
      <c r="Q157" s="1432">
        <f>IF(YEAR(X157)=2016,P157,0)</f>
        <v>757980</v>
      </c>
      <c r="R157" s="1432">
        <f>IF(YEAR(X157)=2017,P157,0)</f>
        <v>0</v>
      </c>
      <c r="S157" s="1432">
        <f>IF(YEAR(X157)=2018,P157,0)</f>
        <v>0</v>
      </c>
      <c r="T157" s="1432">
        <f>IF(YEAR(X157)=2019,P157,0)</f>
        <v>0</v>
      </c>
      <c r="U157" s="1432">
        <f>IF(YEAR(X157)=2020,P157,0)</f>
        <v>0</v>
      </c>
      <c r="V157" s="1435">
        <f>IF(X157&gt;0,'3 pr-2'!$AB$10,0)</f>
        <v>0</v>
      </c>
      <c r="W157" s="1342">
        <f>SUM('3 pr-2'!AI157)</f>
        <v>42599</v>
      </c>
      <c r="X157" s="1370">
        <f>SUMIF('sutarčių ataskaita'!$J$19:$J$600,C157,'sutarčių ataskaita'!$L$19:$L$600)</f>
        <v>42599</v>
      </c>
      <c r="Y157" s="423">
        <f t="shared" si="119"/>
        <v>0</v>
      </c>
      <c r="Z157" s="445" t="str">
        <f t="shared" si="120"/>
        <v>–</v>
      </c>
    </row>
    <row r="158" spans="1:26" ht="60.75" x14ac:dyDescent="0.25">
      <c r="A158" s="366" t="str">
        <f>CONCATENATE('3 pr-2'!A158)</f>
        <v>2.1.3.2.4</v>
      </c>
      <c r="B158" s="240" t="str">
        <f>CONCATENATE('3 pr-2'!B158)</f>
        <v>R01-4408-260000-2324</v>
      </c>
      <c r="C158" s="1181" t="str">
        <f>CONCATENATE('ketv. 2'!B157)</f>
        <v>08.1.2-CPVA-R-408-11-0003</v>
      </c>
      <c r="D158" s="366" t="str">
        <f>CONCATENATE('3 pr-2'!D158)</f>
        <v>Socialinio būsto fondo plėtra Druskininkų savivaldybėje</v>
      </c>
      <c r="E158" s="366" t="str">
        <f>CONCATENATE('3 pr-2'!E158)</f>
        <v>Druskininkų savivaldybės administracija</v>
      </c>
      <c r="F158" s="366" t="str">
        <f>CONCATENATE('3 pr-2'!F158)</f>
        <v>Lietuvos Respublikos socialinės apsaugos ir darbo ministerija</v>
      </c>
      <c r="G158" s="366" t="str">
        <f>CONCATENATE('3 pr-2'!G158)</f>
        <v>Druskininkų sav.</v>
      </c>
      <c r="H158" s="366" t="str">
        <f>CONCATENATE('3 pr-2'!H158)</f>
        <v>08.1.1-CPVA·R-408</v>
      </c>
      <c r="I158" s="366" t="str">
        <f>CONCATENATE('3 pr-2'!I158)</f>
        <v>R</v>
      </c>
      <c r="J158" s="366" t="str">
        <f>CONCATENATE('3 pr-2'!J158)</f>
        <v>-</v>
      </c>
      <c r="K158" s="1432">
        <f>IF(X158&gt;0,'3 pr-2'!L158,0)</f>
        <v>727472.94</v>
      </c>
      <c r="L158" s="1432">
        <f>IF(X158&gt;0,'3 pr-2'!O158,0)</f>
        <v>109120.95</v>
      </c>
      <c r="M158" s="1432">
        <f>IF(X158&gt;0,'3 pr-2'!R158,0)</f>
        <v>0</v>
      </c>
      <c r="N158" s="1432">
        <f>IF(X158&gt;0,'3 pr-2'!U158,0)</f>
        <v>0</v>
      </c>
      <c r="O158" s="1432">
        <f>IF(X158&gt;0,'3 pr-2'!X158,0)</f>
        <v>0</v>
      </c>
      <c r="P158" s="1432">
        <f>IF(X158&gt;0,'3 pr-2'!AA158,0)</f>
        <v>618351.99</v>
      </c>
      <c r="Q158" s="1432">
        <f>IF(YEAR(X158)=2016,P158,0)</f>
        <v>618351.99</v>
      </c>
      <c r="R158" s="1432">
        <f>IF(YEAR(X158)=2017,P158,0)</f>
        <v>0</v>
      </c>
      <c r="S158" s="1432">
        <f>IF(YEAR(X158)=2018,P158,0)</f>
        <v>0</v>
      </c>
      <c r="T158" s="1432">
        <f>IF(YEAR(X158)=2019,P158,0)</f>
        <v>0</v>
      </c>
      <c r="U158" s="1432">
        <f>IF(YEAR(X158)=2020,P158,0)</f>
        <v>0</v>
      </c>
      <c r="V158" s="1435">
        <f>IF(X158&gt;0,'3 pr-2'!$AB$10,0)</f>
        <v>0</v>
      </c>
      <c r="W158" s="1342">
        <f>SUM('3 pr-2'!AI158)</f>
        <v>42735</v>
      </c>
      <c r="X158" s="1370">
        <f>SUMIF('sutarčių ataskaita'!$J$19:$J$600,C158,'sutarčių ataskaita'!$L$19:$L$600)</f>
        <v>42593</v>
      </c>
      <c r="Y158" s="423">
        <f t="shared" si="119"/>
        <v>0</v>
      </c>
      <c r="Z158" s="445" t="str">
        <f t="shared" si="120"/>
        <v>–</v>
      </c>
    </row>
    <row r="159" spans="1:26" ht="61.5" thickBot="1" x14ac:dyDescent="0.3">
      <c r="A159" s="432" t="str">
        <f>CONCATENATE('3 pr-2'!A159)</f>
        <v>2.1.3.2.5</v>
      </c>
      <c r="B159" s="240" t="str">
        <f>CONCATENATE('3 pr-2'!B159)</f>
        <v>R01-4408-252600-2325</v>
      </c>
      <c r="C159" s="1182" t="str">
        <f>CONCATENATE('ketv. 2'!B158)</f>
        <v>08.1.2-CPVA-R-408-11-0004</v>
      </c>
      <c r="D159" s="432" t="str">
        <f>CONCATENATE('3 pr-2'!D159)</f>
        <v>Socialinio būsto fondo plėtra Lazdijų rajono savivaldybėje</v>
      </c>
      <c r="E159" s="432" t="str">
        <f>CONCATENATE('3 pr-2'!E159)</f>
        <v>Lazdijų rajono savivaldybės administracija</v>
      </c>
      <c r="F159" s="432" t="str">
        <f>CONCATENATE('3 pr-2'!F159)</f>
        <v>Lietuvos Respublikos socialinės apsaugos ir darbo ministerija</v>
      </c>
      <c r="G159" s="432" t="str">
        <f>CONCATENATE('3 pr-2'!G159)</f>
        <v>Lazdijų r. sav.</v>
      </c>
      <c r="H159" s="432" t="str">
        <f>CONCATENATE('3 pr-2'!H159)</f>
        <v>08.1.1-CPVA·R-408</v>
      </c>
      <c r="I159" s="432" t="str">
        <f>CONCATENATE('3 pr-2'!I159)</f>
        <v>R</v>
      </c>
      <c r="J159" s="432" t="str">
        <f>CONCATENATE('3 pr-2'!J159)</f>
        <v>-</v>
      </c>
      <c r="K159" s="1473">
        <f>IF(X159&gt;0,'3 pr-2'!L159,0)</f>
        <v>368599</v>
      </c>
      <c r="L159" s="1473">
        <f>IF(X159&gt;0,'3 pr-2'!O159,0)</f>
        <v>55587</v>
      </c>
      <c r="M159" s="1473">
        <f>IF(X159&gt;0,'3 pr-2'!R159,0)</f>
        <v>0</v>
      </c>
      <c r="N159" s="1473">
        <f>IF(X159&gt;0,'3 pr-2'!U159,0)</f>
        <v>0</v>
      </c>
      <c r="O159" s="1473">
        <f>IF(X159&gt;0,'3 pr-2'!X159,0)</f>
        <v>0</v>
      </c>
      <c r="P159" s="1473">
        <f>IF(X159&gt;0,'3 pr-2'!AA159,0)</f>
        <v>313012</v>
      </c>
      <c r="Q159" s="1473">
        <f>IF(YEAR(X159)=2016,P159,0)</f>
        <v>313012</v>
      </c>
      <c r="R159" s="1473">
        <f>IF(YEAR(X159)=2017,P159,0)</f>
        <v>0</v>
      </c>
      <c r="S159" s="1473">
        <f>IF(YEAR(X159)=2018,P159,0)</f>
        <v>0</v>
      </c>
      <c r="T159" s="1473">
        <f>IF(YEAR(X159)=2019,P159,0)</f>
        <v>0</v>
      </c>
      <c r="U159" s="1473">
        <f>IF(YEAR(X159)=2020,P159,0)</f>
        <v>0</v>
      </c>
      <c r="V159" s="1435">
        <f>IF(X159&gt;0,'3 pr-2'!$AB$10,0)</f>
        <v>0</v>
      </c>
      <c r="W159" s="1350">
        <f>SUM('3 pr-2'!AI159)</f>
        <v>42735</v>
      </c>
      <c r="X159" s="1370">
        <f>SUMIF('sutarčių ataskaita'!$J$19:$J$600,C159,'sutarčių ataskaita'!$L$19:$L$600)</f>
        <v>42613</v>
      </c>
      <c r="Y159" s="433">
        <f t="shared" si="119"/>
        <v>0</v>
      </c>
      <c r="Z159" s="445" t="str">
        <f t="shared" si="120"/>
        <v>–</v>
      </c>
    </row>
    <row r="160" spans="1:26" ht="43.5" customHeight="1" thickBot="1" x14ac:dyDescent="0.3">
      <c r="A160" s="261" t="str">
        <f>CONCATENATE('3 pr-2'!A160)</f>
        <v>2.1.4.</v>
      </c>
      <c r="B160" s="2022" t="str">
        <f>CONCATENATE('3 pr-2'!B160)</f>
        <v>Uždavinys:
Visuomenei teikiamų paslaugų kokybės, didinant jų atitikimo visuomenės poreikiams pagerinimas</v>
      </c>
      <c r="C160" s="2023"/>
      <c r="D160" s="2023"/>
      <c r="E160" s="2023"/>
      <c r="F160" s="2023"/>
      <c r="G160" s="2023"/>
      <c r="H160" s="2023"/>
      <c r="I160" s="2023"/>
      <c r="J160" s="2024"/>
      <c r="K160" s="1420">
        <f>SUM(K161)</f>
        <v>906987.73</v>
      </c>
      <c r="L160" s="1420">
        <f t="shared" ref="L160:P160" si="121">SUM(L161)</f>
        <v>136179.88999999998</v>
      </c>
      <c r="M160" s="1420">
        <f t="shared" si="121"/>
        <v>0</v>
      </c>
      <c r="N160" s="1420">
        <f t="shared" si="121"/>
        <v>0</v>
      </c>
      <c r="O160" s="1420">
        <f t="shared" si="121"/>
        <v>0</v>
      </c>
      <c r="P160" s="1420">
        <f t="shared" si="121"/>
        <v>770807.84000000008</v>
      </c>
      <c r="Q160" s="1420"/>
      <c r="R160" s="1420"/>
      <c r="S160" s="1420"/>
      <c r="T160" s="1420"/>
      <c r="U160" s="1420"/>
      <c r="V160" s="1420">
        <f t="shared" ref="V160" si="122">SUM(V161)</f>
        <v>0</v>
      </c>
      <c r="W160" s="1339" t="s">
        <v>690</v>
      </c>
      <c r="X160" s="1411" t="s">
        <v>690</v>
      </c>
      <c r="Y160" s="434" t="s">
        <v>690</v>
      </c>
      <c r="Z160" s="409"/>
    </row>
    <row r="161" spans="1:26" ht="40.5" customHeight="1" thickBot="1" x14ac:dyDescent="0.3">
      <c r="A161" s="326" t="str">
        <f>CONCATENATE('3 pr-2'!A161)</f>
        <v>2.1.4.1</v>
      </c>
      <c r="B161" s="2025" t="str">
        <f>CONCATENATE('3 pr-2'!B161)</f>
        <v>Priemonė:
Paslaugų teikimo ir asmenų aptarnavimo kokybės gerinimas savivaldybėse</v>
      </c>
      <c r="C161" s="2026"/>
      <c r="D161" s="2026"/>
      <c r="E161" s="2026"/>
      <c r="F161" s="2026"/>
      <c r="G161" s="2026"/>
      <c r="H161" s="2026"/>
      <c r="I161" s="2026"/>
      <c r="J161" s="2027"/>
      <c r="K161" s="1293">
        <f>SUM(K162:K167)</f>
        <v>906987.73</v>
      </c>
      <c r="L161" s="1293">
        <f t="shared" ref="L161:P161" si="123">SUM(L162:L167)</f>
        <v>136179.88999999998</v>
      </c>
      <c r="M161" s="1293">
        <f t="shared" si="123"/>
        <v>0</v>
      </c>
      <c r="N161" s="1293">
        <f t="shared" si="123"/>
        <v>0</v>
      </c>
      <c r="O161" s="1293">
        <f t="shared" si="123"/>
        <v>0</v>
      </c>
      <c r="P161" s="1293">
        <f t="shared" si="123"/>
        <v>770807.84000000008</v>
      </c>
      <c r="Q161" s="1504">
        <f>SUM(Q162:Q166)</f>
        <v>0</v>
      </c>
      <c r="R161" s="1505">
        <f t="shared" ref="R161:U161" si="124">SUM(R162:R166)</f>
        <v>0</v>
      </c>
      <c r="S161" s="1504">
        <f t="shared" si="124"/>
        <v>770807.84000000008</v>
      </c>
      <c r="T161" s="1505">
        <f t="shared" si="124"/>
        <v>0</v>
      </c>
      <c r="U161" s="1506">
        <f t="shared" si="124"/>
        <v>0</v>
      </c>
      <c r="V161" s="1293">
        <f t="shared" ref="V161" si="125">SUM(V162:V167)</f>
        <v>0</v>
      </c>
      <c r="W161" s="1402"/>
      <c r="X161" s="1402"/>
      <c r="Y161" s="397"/>
      <c r="Z161" s="397"/>
    </row>
    <row r="162" spans="1:26" ht="48.75" x14ac:dyDescent="0.25">
      <c r="A162" s="182" t="str">
        <f>CONCATENATE('3 pr-2'!A162)</f>
        <v>2.1.4.1.1</v>
      </c>
      <c r="B162" s="240" t="str">
        <f>CONCATENATE('3 pr-2'!B162)</f>
        <v>R01-9920-490000-2411</v>
      </c>
      <c r="C162" s="309" t="str">
        <f>CONCATENATE('ketv. 2'!B161)</f>
        <v>10.1.3-ESFA-R-920-11-0001</v>
      </c>
      <c r="D162" s="182" t="str">
        <f>CONCATENATE('3 pr-2'!D162)</f>
        <v>Paslaugų teikimo ir asmenų aptarnavimo kokybės gerinimas Varėnos rajono savivaldybėje</v>
      </c>
      <c r="E162" s="182" t="str">
        <f>CONCATENATE('3 pr-2'!E162)</f>
        <v>Varėnos rajono savivaldybės administracija</v>
      </c>
      <c r="F162" s="182" t="str">
        <f>CONCATENATE('3 pr-2'!F162)</f>
        <v>Lietuvos Respublikos vidaus reikalų ministerija</v>
      </c>
      <c r="G162" s="182" t="str">
        <f>CONCATENATE('3 pr-2'!G162)</f>
        <v>Varėnos r. sav.</v>
      </c>
      <c r="H162" s="182" t="str">
        <f>CONCATENATE('3 pr-2'!H162)</f>
        <v>10.1.3-ESFA-R-920</v>
      </c>
      <c r="I162" s="182" t="str">
        <f>CONCATENATE('3 pr-2'!I162)</f>
        <v>R</v>
      </c>
      <c r="J162" s="182" t="str">
        <f>CONCATENATE('3 pr-2'!J162)</f>
        <v>-</v>
      </c>
      <c r="K162" s="1473">
        <f>IF(X162&gt;0,'3 pr-2'!L162,0)</f>
        <v>172733.52</v>
      </c>
      <c r="L162" s="1473">
        <f>IF(X162&gt;0,'3 pr-2'!O162,0)</f>
        <v>25910.03</v>
      </c>
      <c r="M162" s="1473">
        <f>IF(X162&gt;0,'3 pr-2'!R162,0)</f>
        <v>0</v>
      </c>
      <c r="N162" s="1473">
        <f>IF(X162&gt;0,'3 pr-2'!U162,0)</f>
        <v>0</v>
      </c>
      <c r="O162" s="1473">
        <f>IF(X162&gt;0,'3 pr-2'!X162,0)</f>
        <v>0</v>
      </c>
      <c r="P162" s="1473">
        <f>IF(X162&gt;0,'3 pr-2'!AA162,0)</f>
        <v>146823.49</v>
      </c>
      <c r="Q162" s="1296">
        <f t="shared" ref="Q162:Q167" si="126">IF(YEAR(X162)=2016,P162,0)</f>
        <v>0</v>
      </c>
      <c r="R162" s="1296">
        <f t="shared" ref="R162:R167" si="127">IF(YEAR(X162)=2017,P162,0)</f>
        <v>0</v>
      </c>
      <c r="S162" s="1296">
        <f t="shared" ref="S162:S167" si="128">IF(YEAR(X162)=2018,P162,0)</f>
        <v>146823.49</v>
      </c>
      <c r="T162" s="1296">
        <f t="shared" ref="T162:T167" si="129">IF(YEAR(X162)=2019,P162,0)</f>
        <v>0</v>
      </c>
      <c r="U162" s="1296">
        <f t="shared" ref="U162:U167" si="130">IF(YEAR(X162)=2020,P162,0)</f>
        <v>0</v>
      </c>
      <c r="V162" s="1435">
        <f>IF(X162&gt;0,'3 pr-2'!$AB$10,0)</f>
        <v>0</v>
      </c>
      <c r="W162" s="1336">
        <f>SUM('3 pr-2'!AI162)</f>
        <v>43137</v>
      </c>
      <c r="X162" s="1370">
        <f>SUMIF('sutarčių ataskaita'!$J$19:$J$600,C162,'sutarčių ataskaita'!$L$19:$L$600)</f>
        <v>43137</v>
      </c>
      <c r="Y162" s="182"/>
      <c r="Z162" s="445" t="str">
        <f t="shared" ref="Z162:Z167" si="131">IF(W162-X162&lt;0,(W162-X162)/30.4166666666667,"–")</f>
        <v>–</v>
      </c>
    </row>
    <row r="163" spans="1:26" ht="48.75" x14ac:dyDescent="0.25">
      <c r="A163" s="182" t="str">
        <f>CONCATENATE('3 pr-2'!A163)</f>
        <v>2.1.4.1.2</v>
      </c>
      <c r="B163" s="240" t="str">
        <f>CONCATENATE('3 pr-2'!B163)</f>
        <v>R01-9920-490000-2412</v>
      </c>
      <c r="C163" s="309" t="str">
        <f>CONCATENATE('ketv. 2'!B162)</f>
        <v>10.1.3-ESFA-R-920-11-0005</v>
      </c>
      <c r="D163" s="182" t="str">
        <f>CONCATENATE('3 pr-2'!D163)</f>
        <v>Paslaugų ir asmenų aptarnavimo kokybės gerinimas Alytaus rajono savivaldybėje</v>
      </c>
      <c r="E163" s="182" t="str">
        <f>CONCATENATE('3 pr-2'!E163)</f>
        <v>Alytaus rajono savivaldybės administracija</v>
      </c>
      <c r="F163" s="182" t="str">
        <f>CONCATENATE('3 pr-2'!F163)</f>
        <v>Lietuvos Respublikos vidaus reikalų ministerija</v>
      </c>
      <c r="G163" s="182" t="str">
        <f>CONCATENATE('3 pr-2'!G163)</f>
        <v>Alytaus r. sav.</v>
      </c>
      <c r="H163" s="182" t="str">
        <f>CONCATENATE('3 pr-2'!H163)</f>
        <v>10.1.3-ESFA-R-920</v>
      </c>
      <c r="I163" s="182" t="str">
        <f>CONCATENATE('3 pr-2'!I163)</f>
        <v>R</v>
      </c>
      <c r="J163" s="182" t="str">
        <f>CONCATENATE('3 pr-2'!J163)</f>
        <v>-</v>
      </c>
      <c r="K163" s="1473">
        <f>IF(X163&gt;0,'3 pr-2'!L163,0)</f>
        <v>192832.21</v>
      </c>
      <c r="L163" s="1473">
        <f>IF(X163&gt;0,'3 pr-2'!O163,0)</f>
        <v>28924.84</v>
      </c>
      <c r="M163" s="1473">
        <f>IF(X163&gt;0,'3 pr-2'!R163,0)</f>
        <v>0</v>
      </c>
      <c r="N163" s="1473">
        <f>IF(X163&gt;0,'3 pr-2'!U163,0)</f>
        <v>0</v>
      </c>
      <c r="O163" s="1473">
        <f>IF(X163&gt;0,'3 pr-2'!X163,0)</f>
        <v>0</v>
      </c>
      <c r="P163" s="1473">
        <f>IF(X163&gt;0,'3 pr-2'!AA163,0)</f>
        <v>163907.37</v>
      </c>
      <c r="Q163" s="1296">
        <f t="shared" si="126"/>
        <v>0</v>
      </c>
      <c r="R163" s="1296">
        <f t="shared" si="127"/>
        <v>0</v>
      </c>
      <c r="S163" s="1296">
        <f t="shared" si="128"/>
        <v>163907.37</v>
      </c>
      <c r="T163" s="1296">
        <f t="shared" si="129"/>
        <v>0</v>
      </c>
      <c r="U163" s="1296">
        <f t="shared" si="130"/>
        <v>0</v>
      </c>
      <c r="V163" s="1435">
        <f>IF(X163&gt;0,'3 pr-2'!$AB$10,0)</f>
        <v>0</v>
      </c>
      <c r="W163" s="1336">
        <f>SUM('3 pr-2'!AI163)</f>
        <v>43190</v>
      </c>
      <c r="X163" s="1370">
        <f>SUMIF('sutarčių ataskaita'!$J$19:$J$600,C163,'sutarčių ataskaita'!$L$19:$L$600)</f>
        <v>43220</v>
      </c>
      <c r="Y163" s="182"/>
      <c r="Z163" s="445">
        <f t="shared" si="131"/>
        <v>-0.98630136986301264</v>
      </c>
    </row>
    <row r="164" spans="1:26" ht="48.75" x14ac:dyDescent="0.25">
      <c r="A164" s="182" t="str">
        <f>CONCATENATE('3 pr-2'!A164)</f>
        <v>2.1.4.1.3</v>
      </c>
      <c r="B164" s="240" t="str">
        <f>CONCATENATE('3 pr-2'!B164)</f>
        <v>R01-9920-490000-2413</v>
      </c>
      <c r="C164" s="309" t="str">
        <f>CONCATENATE('ketv. 2'!B163)</f>
        <v>10.1.3-ESFA-R-920-11-0003</v>
      </c>
      <c r="D164" s="182" t="str">
        <f>CONCATENATE('3 pr-2'!D164)</f>
        <v>Lazdijų rajono savivaldybės administracijos ir jos viešojo valdymo institucijų teikiamų paslaugų procesų tobulinimas</v>
      </c>
      <c r="E164" s="182" t="str">
        <f>CONCATENATE('3 pr-2'!E164)</f>
        <v>Lazdijų rajono savivaldybės administracija</v>
      </c>
      <c r="F164" s="182" t="str">
        <f>CONCATENATE('3 pr-2'!F164)</f>
        <v>Lietuvos Respublikos vidaus reikalų ministerija</v>
      </c>
      <c r="G164" s="182" t="str">
        <f>CONCATENATE('3 pr-2'!G164)</f>
        <v>Lazdijų r. sav.</v>
      </c>
      <c r="H164" s="182" t="str">
        <f>CONCATENATE('3 pr-2'!H164)</f>
        <v>10.1.3-ESFA-R-920</v>
      </c>
      <c r="I164" s="182" t="str">
        <f>CONCATENATE('3 pr-2'!I164)</f>
        <v>R</v>
      </c>
      <c r="J164" s="182" t="str">
        <f>CONCATENATE('3 pr-2'!J164)</f>
        <v>-</v>
      </c>
      <c r="K164" s="1473">
        <f>IF(X164&gt;0,'3 pr-2'!L164,0)</f>
        <v>163986.88</v>
      </c>
      <c r="L164" s="1473">
        <f>IF(X164&gt;0,'3 pr-2'!O164,0)</f>
        <v>24598.880000000001</v>
      </c>
      <c r="M164" s="1473">
        <f>IF(X164&gt;0,'3 pr-2'!R164,0)</f>
        <v>0</v>
      </c>
      <c r="N164" s="1473">
        <f>IF(X164&gt;0,'3 pr-2'!U164,0)</f>
        <v>0</v>
      </c>
      <c r="O164" s="1473">
        <f>IF(X164&gt;0,'3 pr-2'!X164,0)</f>
        <v>0</v>
      </c>
      <c r="P164" s="1473">
        <f>IF(X164&gt;0,'3 pr-2'!AA164,0)</f>
        <v>139388</v>
      </c>
      <c r="Q164" s="1296">
        <f t="shared" si="126"/>
        <v>0</v>
      </c>
      <c r="R164" s="1296">
        <f t="shared" si="127"/>
        <v>0</v>
      </c>
      <c r="S164" s="1296">
        <f t="shared" si="128"/>
        <v>139388</v>
      </c>
      <c r="T164" s="1296">
        <f t="shared" si="129"/>
        <v>0</v>
      </c>
      <c r="U164" s="1296">
        <f t="shared" si="130"/>
        <v>0</v>
      </c>
      <c r="V164" s="1435">
        <f>IF(X164&gt;0,'3 pr-2'!$AB$10,0)</f>
        <v>0</v>
      </c>
      <c r="W164" s="1336">
        <f>SUM('3 pr-2'!AI164)</f>
        <v>43144</v>
      </c>
      <c r="X164" s="1370">
        <f>SUMIF('sutarčių ataskaita'!$J$19:$J$600,C164,'sutarčių ataskaita'!$L$19:$L$600)</f>
        <v>43144</v>
      </c>
      <c r="Y164" s="182"/>
      <c r="Z164" s="445" t="str">
        <f t="shared" si="131"/>
        <v>–</v>
      </c>
    </row>
    <row r="165" spans="1:26" ht="48.75" x14ac:dyDescent="0.25">
      <c r="A165" s="182" t="str">
        <f>CONCATENATE('3 pr-2'!A165)</f>
        <v>2.1.4.1.4</v>
      </c>
      <c r="B165" s="240" t="str">
        <f>CONCATENATE('3 pr-2'!B165)</f>
        <v>R01-9920-490000-2414</v>
      </c>
      <c r="C165" s="309" t="str">
        <f>CONCATENATE('ketv. 2'!B164)</f>
        <v>10.1.3-ESFA-R-920-11-0007</v>
      </c>
      <c r="D165" s="182" t="str">
        <f>CONCATENATE('3 pr-2'!D165)</f>
        <v>Teikiamų paslaugų procesų tobulinimas ir asmenų aptarnavimo kokybės gerinimas Alytaus m. sav. administracijoje ir jai pavaldžiose įstaigose. I etapas</v>
      </c>
      <c r="E165" s="182" t="str">
        <f>CONCATENATE('3 pr-2'!E165)</f>
        <v>Alytaus miesto savivaldybės administracija</v>
      </c>
      <c r="F165" s="182" t="str">
        <f>CONCATENATE('3 pr-2'!F165)</f>
        <v>Lietuvos Respublikos vidaus reikalų ministerija</v>
      </c>
      <c r="G165" s="182" t="str">
        <f>CONCATENATE('3 pr-2'!G165)</f>
        <v>Alytaus m. sav.</v>
      </c>
      <c r="H165" s="182" t="str">
        <f>CONCATENATE('3 pr-2'!H165)</f>
        <v>10.1.3-ESFA-R-920</v>
      </c>
      <c r="I165" s="182" t="str">
        <f>CONCATENATE('3 pr-2'!I165)</f>
        <v>R</v>
      </c>
      <c r="J165" s="182" t="str">
        <f>CONCATENATE('3 pr-2'!J165)</f>
        <v>-</v>
      </c>
      <c r="K165" s="1473">
        <f>IF(X165&gt;0,'3 pr-2'!L165,0)</f>
        <v>215693.16</v>
      </c>
      <c r="L165" s="1473">
        <f>IF(X165&gt;0,'3 pr-2'!O165,0)</f>
        <v>32353.98</v>
      </c>
      <c r="M165" s="1473">
        <f>IF(X165&gt;0,'3 pr-2'!R165,0)</f>
        <v>0</v>
      </c>
      <c r="N165" s="1473">
        <f>IF(X165&gt;0,'3 pr-2'!U165,0)</f>
        <v>0</v>
      </c>
      <c r="O165" s="1473">
        <f>IF(X165&gt;0,'3 pr-2'!X165,0)</f>
        <v>0</v>
      </c>
      <c r="P165" s="1473">
        <f>IF(X165&gt;0,'3 pr-2'!AA165,0)</f>
        <v>183339.18</v>
      </c>
      <c r="Q165" s="1296">
        <f t="shared" si="126"/>
        <v>0</v>
      </c>
      <c r="R165" s="1296">
        <f t="shared" si="127"/>
        <v>0</v>
      </c>
      <c r="S165" s="1296">
        <f t="shared" si="128"/>
        <v>183339.18</v>
      </c>
      <c r="T165" s="1296">
        <f t="shared" si="129"/>
        <v>0</v>
      </c>
      <c r="U165" s="1296">
        <f t="shared" si="130"/>
        <v>0</v>
      </c>
      <c r="V165" s="1435">
        <f>IF(X165&gt;0,'3 pr-2'!$AB$10,0)</f>
        <v>0</v>
      </c>
      <c r="W165" s="1336">
        <f>SUM('3 pr-2'!AI165)</f>
        <v>43220</v>
      </c>
      <c r="X165" s="1370">
        <f>SUMIF('sutarčių ataskaita'!$J$19:$J$600,C165,'sutarčių ataskaita'!$L$19:$L$600)</f>
        <v>43237</v>
      </c>
      <c r="Y165" s="182"/>
      <c r="Z165" s="445">
        <f t="shared" si="131"/>
        <v>-0.55890410958904047</v>
      </c>
    </row>
    <row r="166" spans="1:26" ht="48.75" x14ac:dyDescent="0.25">
      <c r="A166" s="182" t="str">
        <f>CONCATENATE('3 pr-2'!A166)</f>
        <v>2.1.4.1.5</v>
      </c>
      <c r="B166" s="240" t="str">
        <f>CONCATENATE('3 pr-2'!B166)</f>
        <v>R01-9920-490000-2415</v>
      </c>
      <c r="C166" s="309" t="str">
        <f>CONCATENATE('ketv. 2'!B165)</f>
        <v>10.1.3-ESFA-R-920-11-0006</v>
      </c>
      <c r="D166" s="182" t="str">
        <f>CONCATENATE('3 pr-2'!D166)</f>
        <v>Paslaugų teikimo ir asmenų aptarnavimo kokybės gerinimas Druskininkų savivaldybėje</v>
      </c>
      <c r="E166" s="182" t="str">
        <f>CONCATENATE('3 pr-2'!E166)</f>
        <v>Druskininkų savivaldybės administracija</v>
      </c>
      <c r="F166" s="182" t="str">
        <f>CONCATENATE('3 pr-2'!F166)</f>
        <v>Lietuvos Respublikos vidaus reikalų ministerija</v>
      </c>
      <c r="G166" s="182" t="str">
        <f>CONCATENATE('3 pr-2'!G166)</f>
        <v>Druskininkų sav.</v>
      </c>
      <c r="H166" s="182" t="str">
        <f>CONCATENATE('3 pr-2'!H166)</f>
        <v>10.1.3-ESFA-R-920</v>
      </c>
      <c r="I166" s="182" t="str">
        <f>CONCATENATE('3 pr-2'!I166)</f>
        <v>R</v>
      </c>
      <c r="J166" s="182" t="str">
        <f>CONCATENATE('3 pr-2'!J166)</f>
        <v>-</v>
      </c>
      <c r="K166" s="1473">
        <f>IF(X166&gt;0,'3 pr-2'!L166,0)</f>
        <v>161741.96</v>
      </c>
      <c r="L166" s="1473">
        <f>IF(X166&gt;0,'3 pr-2'!O166,0)</f>
        <v>24392.16</v>
      </c>
      <c r="M166" s="1473">
        <f>IF(X166&gt;0,'3 pr-2'!R166,0)</f>
        <v>0</v>
      </c>
      <c r="N166" s="1473">
        <f>IF(X166&gt;0,'3 pr-2'!U166,0)</f>
        <v>0</v>
      </c>
      <c r="O166" s="1473">
        <f>IF(X166&gt;0,'3 pr-2'!X166,0)</f>
        <v>0</v>
      </c>
      <c r="P166" s="1473">
        <f>IF(X166&gt;0,'3 pr-2'!AA166,0)</f>
        <v>137349.79999999999</v>
      </c>
      <c r="Q166" s="1296">
        <f t="shared" si="126"/>
        <v>0</v>
      </c>
      <c r="R166" s="1296">
        <f t="shared" si="127"/>
        <v>0</v>
      </c>
      <c r="S166" s="1296">
        <f t="shared" si="128"/>
        <v>137349.79999999999</v>
      </c>
      <c r="T166" s="1296">
        <f t="shared" si="129"/>
        <v>0</v>
      </c>
      <c r="U166" s="1296">
        <f t="shared" si="130"/>
        <v>0</v>
      </c>
      <c r="V166" s="1435">
        <f>IF(X166&gt;0,'3 pr-2'!$AB$10,0)</f>
        <v>0</v>
      </c>
      <c r="W166" s="1336">
        <f>SUM('3 pr-2'!AI166)</f>
        <v>43235</v>
      </c>
      <c r="X166" s="1370">
        <f>SUMIF('sutarčių ataskaita'!$J$19:$J$600,C166,'sutarčių ataskaita'!$L$19:$L$600)</f>
        <v>43238</v>
      </c>
      <c r="Y166" s="182"/>
      <c r="Z166" s="445">
        <f t="shared" si="131"/>
        <v>-9.8630136986301256E-2</v>
      </c>
    </row>
    <row r="167" spans="1:26" ht="49.5" thickBot="1" x14ac:dyDescent="0.3">
      <c r="A167" s="182" t="str">
        <f>CONCATENATE('3 pr-2'!A167)</f>
        <v>2.1.4.1.6</v>
      </c>
      <c r="B167" s="240" t="str">
        <f>CONCATENATE('3 pr-2'!B167)</f>
        <v>R01-9920-490000-2416</v>
      </c>
      <c r="C167" s="309" t="str">
        <f>CONCATENATE('ketv. 2'!B166)</f>
        <v/>
      </c>
      <c r="D167" s="182" t="str">
        <f>CONCATENATE('3 pr-2'!D167)</f>
        <v>Teikiamų paslaugų procesų tobulinimas ir asmenų aptarnavimo kokybės gerinimas Alytaus m. sav. administracijoje ir jai pavaldžiose įstaigose. II etapas</v>
      </c>
      <c r="E167" s="182" t="str">
        <f>CONCATENATE('3 pr-2'!E167)</f>
        <v>Alytaus miesto savivaldybės administracija</v>
      </c>
      <c r="F167" s="182" t="str">
        <f>CONCATENATE('3 pr-2'!F167)</f>
        <v>Lietuvos Respublikos vidaus reikalų ministerija</v>
      </c>
      <c r="G167" s="182" t="str">
        <f>CONCATENATE('3 pr-2'!G167)</f>
        <v>Alytaus m. sav.</v>
      </c>
      <c r="H167" s="182" t="str">
        <f>CONCATENATE('3 pr-2'!H167)</f>
        <v>10.1.3-ESFA-R-920</v>
      </c>
      <c r="I167" s="182" t="str">
        <f>CONCATENATE('3 pr-2'!I167)</f>
        <v>R</v>
      </c>
      <c r="J167" s="182" t="str">
        <f>CONCATENATE('3 pr-2'!J167)</f>
        <v>-</v>
      </c>
      <c r="K167" s="1473">
        <f>IF(X167&gt;0,'3 pr-2'!L167,0)</f>
        <v>0</v>
      </c>
      <c r="L167" s="1473">
        <f>IF(X167&gt;0,'3 pr-2'!O167,0)</f>
        <v>0</v>
      </c>
      <c r="M167" s="1473">
        <f>IF(X167&gt;0,'3 pr-2'!R167,0)</f>
        <v>0</v>
      </c>
      <c r="N167" s="1473">
        <f>IF(X167&gt;0,'3 pr-2'!U167,0)</f>
        <v>0</v>
      </c>
      <c r="O167" s="1473">
        <f>IF(X167&gt;0,'3 pr-2'!X167,0)</f>
        <v>0</v>
      </c>
      <c r="P167" s="1473">
        <f>IF(X167&gt;0,'3 pr-2'!AA167,0)</f>
        <v>0</v>
      </c>
      <c r="Q167" s="1296">
        <f t="shared" si="126"/>
        <v>0</v>
      </c>
      <c r="R167" s="1296">
        <f t="shared" si="127"/>
        <v>0</v>
      </c>
      <c r="S167" s="1296">
        <f t="shared" si="128"/>
        <v>0</v>
      </c>
      <c r="T167" s="1296">
        <f t="shared" si="129"/>
        <v>0</v>
      </c>
      <c r="U167" s="1296">
        <f t="shared" si="130"/>
        <v>0</v>
      </c>
      <c r="V167" s="1435">
        <f>IF(X167&gt;0,'3 pr-2'!$AB$10,0)</f>
        <v>0</v>
      </c>
      <c r="W167" s="1336">
        <f>SUM('3 pr-2'!AI167)</f>
        <v>43616</v>
      </c>
      <c r="X167" s="1370"/>
      <c r="Y167" s="182"/>
      <c r="Z167" s="445" t="str">
        <f t="shared" si="131"/>
        <v>–</v>
      </c>
    </row>
    <row r="168" spans="1:26" ht="47.25" customHeight="1" thickBot="1" x14ac:dyDescent="0.3">
      <c r="A168" s="412" t="str">
        <f>CONCATENATE('3 pr-2'!A168)</f>
        <v>3.1.</v>
      </c>
      <c r="B168" s="2028" t="str">
        <f>CONCATENATE('3 pr-2'!B168)</f>
        <v>Tikslas: 
DARNIAI TVARKYTI IR VYSTYTI REGIONO TERITORIJĄ</v>
      </c>
      <c r="C168" s="2023"/>
      <c r="D168" s="2023"/>
      <c r="E168" s="2023"/>
      <c r="F168" s="2023"/>
      <c r="G168" s="2023"/>
      <c r="H168" s="2023"/>
      <c r="I168" s="2023"/>
      <c r="J168" s="2024"/>
      <c r="K168" s="1514">
        <f>SUM(K169+K172)</f>
        <v>5845957.5370588228</v>
      </c>
      <c r="L168" s="1514">
        <f t="shared" ref="L168:P168" si="132">SUM(L169+L172)</f>
        <v>1035169.8870588234</v>
      </c>
      <c r="M168" s="1514">
        <f t="shared" si="132"/>
        <v>0</v>
      </c>
      <c r="N168" s="1514">
        <f t="shared" si="132"/>
        <v>0</v>
      </c>
      <c r="O168" s="1514">
        <f t="shared" si="132"/>
        <v>0</v>
      </c>
      <c r="P168" s="1514">
        <f t="shared" si="132"/>
        <v>4810787.6500000004</v>
      </c>
      <c r="Q168" s="1515"/>
      <c r="R168" s="1515"/>
      <c r="S168" s="1515"/>
      <c r="T168" s="1515"/>
      <c r="U168" s="1516"/>
      <c r="V168" s="1514">
        <f t="shared" ref="V168" si="133">SUM(V169+V172)</f>
        <v>0</v>
      </c>
      <c r="W168" s="1409" t="s">
        <v>690</v>
      </c>
      <c r="X168" s="1409" t="s">
        <v>690</v>
      </c>
      <c r="Y168" s="414" t="s">
        <v>690</v>
      </c>
      <c r="Z168" s="414"/>
    </row>
    <row r="169" spans="1:26" ht="37.5" customHeight="1" thickBot="1" x14ac:dyDescent="0.3">
      <c r="A169" s="155" t="str">
        <f>CONCATENATE('3 pr-2'!A169)</f>
        <v>3.1.1.</v>
      </c>
      <c r="B169" s="2022" t="str">
        <f>CONCATENATE('3 pr-2'!B169)</f>
        <v>Uždavinys:
Sumažinti sąvartynuose šalinamų komunalinių atliekų kiekį</v>
      </c>
      <c r="C169" s="2023"/>
      <c r="D169" s="2023"/>
      <c r="E169" s="2023"/>
      <c r="F169" s="2023"/>
      <c r="G169" s="2023"/>
      <c r="H169" s="2023"/>
      <c r="I169" s="2023"/>
      <c r="J169" s="2024"/>
      <c r="K169" s="1495">
        <f>SUM(K170)</f>
        <v>4130687.05</v>
      </c>
      <c r="L169" s="1495">
        <f t="shared" ref="L169:P169" si="134">SUM(L170)</f>
        <v>777879.2799999998</v>
      </c>
      <c r="M169" s="1495">
        <f t="shared" si="134"/>
        <v>0</v>
      </c>
      <c r="N169" s="1495">
        <f t="shared" si="134"/>
        <v>0</v>
      </c>
      <c r="O169" s="1495">
        <f t="shared" si="134"/>
        <v>0</v>
      </c>
      <c r="P169" s="1495">
        <f t="shared" si="134"/>
        <v>3352807.77</v>
      </c>
      <c r="Q169" s="1495"/>
      <c r="R169" s="1495"/>
      <c r="S169" s="1495"/>
      <c r="T169" s="1495"/>
      <c r="U169" s="1495"/>
      <c r="V169" s="1495">
        <f t="shared" ref="V169:V170" si="135">SUM(V170)</f>
        <v>0</v>
      </c>
      <c r="W169" s="1339" t="s">
        <v>690</v>
      </c>
      <c r="X169" s="1410" t="s">
        <v>690</v>
      </c>
      <c r="Y169" s="431" t="s">
        <v>690</v>
      </c>
      <c r="Z169" s="409"/>
    </row>
    <row r="170" spans="1:26" ht="41.25" customHeight="1" thickBot="1" x14ac:dyDescent="0.3">
      <c r="A170" s="326" t="str">
        <f>CONCATENATE('3 pr-2'!A170)</f>
        <v>3.1.1.1</v>
      </c>
      <c r="B170" s="2025" t="str">
        <f>CONCATENATE('3 pr-2'!B170)</f>
        <v>Priemonė:
Komunalinių atliekų tvarkymo infrastruktūros plėtra</v>
      </c>
      <c r="C170" s="2026"/>
      <c r="D170" s="2026"/>
      <c r="E170" s="2026"/>
      <c r="F170" s="2026"/>
      <c r="G170" s="2026"/>
      <c r="H170" s="2026"/>
      <c r="I170" s="2026"/>
      <c r="J170" s="2027"/>
      <c r="K170" s="1293">
        <f>SUM(K171)</f>
        <v>4130687.05</v>
      </c>
      <c r="L170" s="1293">
        <f t="shared" ref="L170:P170" si="136">SUM(L171)</f>
        <v>777879.2799999998</v>
      </c>
      <c r="M170" s="1293">
        <f t="shared" si="136"/>
        <v>0</v>
      </c>
      <c r="N170" s="1293">
        <f t="shared" si="136"/>
        <v>0</v>
      </c>
      <c r="O170" s="1293">
        <f t="shared" si="136"/>
        <v>0</v>
      </c>
      <c r="P170" s="1293">
        <f t="shared" si="136"/>
        <v>3352807.77</v>
      </c>
      <c r="Q170" s="1504">
        <f>SUM(Q171)</f>
        <v>0</v>
      </c>
      <c r="R170" s="1505">
        <f t="shared" ref="R170:U170" si="137">SUM(R171)</f>
        <v>3352807.77</v>
      </c>
      <c r="S170" s="1504">
        <f t="shared" si="137"/>
        <v>0</v>
      </c>
      <c r="T170" s="1505">
        <f t="shared" si="137"/>
        <v>0</v>
      </c>
      <c r="U170" s="1506">
        <f t="shared" si="137"/>
        <v>0</v>
      </c>
      <c r="V170" s="1293">
        <f t="shared" si="135"/>
        <v>0</v>
      </c>
      <c r="W170" s="1402"/>
      <c r="X170" s="1402"/>
      <c r="Y170" s="397"/>
      <c r="Z170" s="397"/>
    </row>
    <row r="171" spans="1:26" ht="49.5" thickBot="1" x14ac:dyDescent="0.3">
      <c r="A171" s="432" t="str">
        <f>CONCATENATE('3 pr-2'!A171)</f>
        <v>3.1.1.1.1</v>
      </c>
      <c r="B171" s="240" t="str">
        <f>CONCATENATE('3 pr-2'!B171)</f>
        <v>R01-0008-050000-3111</v>
      </c>
      <c r="C171" s="400" t="str">
        <f>CONCATENATE('ketv. 2'!B170)</f>
        <v>05.2.1-APVA-R-008-11-0001</v>
      </c>
      <c r="D171" s="432" t="str">
        <f>CONCATENATE('3 pr-2'!D171)</f>
        <v>Komunalinių atliekų tvarkymo sistemos plėtra Alytaus regione</v>
      </c>
      <c r="E171" s="432" t="str">
        <f>CONCATENATE('3 pr-2'!E171)</f>
        <v>Alytaus regiono atliekų tvarkymo centras</v>
      </c>
      <c r="F171" s="432" t="str">
        <f>CONCATENATE('3 pr-2'!F171)</f>
        <v>Lietuvos Respublikos aplinkos ministerija</v>
      </c>
      <c r="G171" s="432" t="str">
        <f>CONCATENATE('3 pr-2'!G171)</f>
        <v>Alytaus regionas</v>
      </c>
      <c r="H171" s="432" t="str">
        <f>CONCATENATE('3 pr-2'!H171)</f>
        <v>05.2.1-APVA-R-008</v>
      </c>
      <c r="I171" s="432" t="str">
        <f>CONCATENATE('3 pr-2'!I171)</f>
        <v>R</v>
      </c>
      <c r="J171" s="432" t="str">
        <f>CONCATENATE('3 pr-2'!J171)</f>
        <v>-</v>
      </c>
      <c r="K171" s="1473">
        <f>IF(X171&gt;0,'3 pr-2'!L171,0)</f>
        <v>4130687.05</v>
      </c>
      <c r="L171" s="1473">
        <f>IF(X171&gt;0,'3 pr-2'!O171,0)</f>
        <v>777879.2799999998</v>
      </c>
      <c r="M171" s="1473">
        <f>IF(X171&gt;0,'3 pr-2'!R171,0)</f>
        <v>0</v>
      </c>
      <c r="N171" s="1473">
        <f>IF(X171&gt;0,'3 pr-2'!U171,0)</f>
        <v>0</v>
      </c>
      <c r="O171" s="1473">
        <f>IF(X171&gt;0,'3 pr-2'!X171,0)</f>
        <v>0</v>
      </c>
      <c r="P171" s="1473">
        <f>IF(X171&gt;0,'3 pr-2'!AA171,0)</f>
        <v>3352807.77</v>
      </c>
      <c r="Q171" s="1473">
        <f>IF(YEAR(X171)=2016,P171,0)</f>
        <v>0</v>
      </c>
      <c r="R171" s="1473">
        <f>IF(YEAR(X171)=2017,P171,0)</f>
        <v>3352807.77</v>
      </c>
      <c r="S171" s="1473">
        <f>IF(YEAR(X171)=2018,P171,0)</f>
        <v>0</v>
      </c>
      <c r="T171" s="1473">
        <f>IF(YEAR(X171)=2019,P171,0)</f>
        <v>0</v>
      </c>
      <c r="U171" s="1473">
        <f>IF(YEAR(X171)=2020,P171,0)</f>
        <v>0</v>
      </c>
      <c r="V171" s="1435">
        <f>IF(X171&gt;0,'3 pr-2'!$AB$10,0)</f>
        <v>0</v>
      </c>
      <c r="W171" s="1350">
        <f>SUM('3 pr-2'!AI171)</f>
        <v>43008</v>
      </c>
      <c r="X171" s="1370">
        <f>SUMIF('sutarčių ataskaita'!$J$19:$J$600,C171,'sutarčių ataskaita'!$L$19:$L$600)</f>
        <v>42957</v>
      </c>
      <c r="Y171" s="433">
        <f t="shared" ref="Y171" si="138">IF((YEAR(W171)-YEAR(X171))=0,0,YEAR(W171)-YEAR(X171))</f>
        <v>0</v>
      </c>
      <c r="Z171" s="445" t="str">
        <f>IF(W171-X171&lt;0,(W171-X171)/30.4166666666667,"–")</f>
        <v>–</v>
      </c>
    </row>
    <row r="172" spans="1:26" ht="38.25" customHeight="1" thickBot="1" x14ac:dyDescent="0.3">
      <c r="A172" s="261" t="str">
        <f>CONCATENATE('3 pr-2'!A172)</f>
        <v>3.1.2.</v>
      </c>
      <c r="B172" s="2022" t="str">
        <f>CONCATENATE('3 pr-2'!B172)</f>
        <v>Uždavinys:
Kraštovaizdžio apsauga, planavimas ir tvarkymas</v>
      </c>
      <c r="C172" s="2023"/>
      <c r="D172" s="2023"/>
      <c r="E172" s="2023"/>
      <c r="F172" s="2023"/>
      <c r="G172" s="2023"/>
      <c r="H172" s="2023"/>
      <c r="I172" s="2023"/>
      <c r="J172" s="2024"/>
      <c r="K172" s="1420">
        <f>SUM(K173)</f>
        <v>1715270.4870588235</v>
      </c>
      <c r="L172" s="1420">
        <f t="shared" ref="L172:P172" si="139">SUM(L173)</f>
        <v>257290.60705882352</v>
      </c>
      <c r="M172" s="1420">
        <f t="shared" si="139"/>
        <v>0</v>
      </c>
      <c r="N172" s="1420">
        <f t="shared" si="139"/>
        <v>0</v>
      </c>
      <c r="O172" s="1420">
        <f t="shared" si="139"/>
        <v>0</v>
      </c>
      <c r="P172" s="1420">
        <f t="shared" si="139"/>
        <v>1457979.88</v>
      </c>
      <c r="Q172" s="1420"/>
      <c r="R172" s="1420"/>
      <c r="S172" s="1420"/>
      <c r="T172" s="1420"/>
      <c r="U172" s="1420"/>
      <c r="V172" s="1420">
        <f t="shared" ref="V172" si="140">SUM(V173)</f>
        <v>0</v>
      </c>
      <c r="W172" s="1339" t="s">
        <v>690</v>
      </c>
      <c r="X172" s="1411" t="s">
        <v>690</v>
      </c>
      <c r="Y172" s="434" t="s">
        <v>690</v>
      </c>
      <c r="Z172" s="409"/>
    </row>
    <row r="173" spans="1:26" ht="30.75" customHeight="1" thickBot="1" x14ac:dyDescent="0.3">
      <c r="A173" s="326" t="str">
        <f>CONCATENATE('3 pr-2'!A173)</f>
        <v>3.1.2.1</v>
      </c>
      <c r="B173" s="2025" t="str">
        <f>CONCATENATE('3 pr-2'!B173)</f>
        <v>Priemonė:
Kraštovaizdžio apsauga/plėtra</v>
      </c>
      <c r="C173" s="2026"/>
      <c r="D173" s="2026"/>
      <c r="E173" s="2026"/>
      <c r="F173" s="2026"/>
      <c r="G173" s="2026"/>
      <c r="H173" s="2026"/>
      <c r="I173" s="2026"/>
      <c r="J173" s="2027"/>
      <c r="K173" s="1293">
        <f>SUM(K174:K181)</f>
        <v>1715270.4870588235</v>
      </c>
      <c r="L173" s="1293">
        <f t="shared" ref="L173:P173" si="141">SUM(L174:L181)</f>
        <v>257290.60705882352</v>
      </c>
      <c r="M173" s="1293">
        <f t="shared" si="141"/>
        <v>0</v>
      </c>
      <c r="N173" s="1293">
        <f t="shared" si="141"/>
        <v>0</v>
      </c>
      <c r="O173" s="1293">
        <f t="shared" si="141"/>
        <v>0</v>
      </c>
      <c r="P173" s="1293">
        <f t="shared" si="141"/>
        <v>1457979.88</v>
      </c>
      <c r="Q173" s="1504">
        <f>SUM(Q174:Q181)</f>
        <v>0</v>
      </c>
      <c r="R173" s="1505">
        <f t="shared" ref="R173:V173" si="142">SUM(R174:R181)</f>
        <v>831922.88</v>
      </c>
      <c r="S173" s="1504">
        <f t="shared" si="142"/>
        <v>626057</v>
      </c>
      <c r="T173" s="1505">
        <f t="shared" si="142"/>
        <v>0</v>
      </c>
      <c r="U173" s="1506">
        <f t="shared" si="142"/>
        <v>0</v>
      </c>
      <c r="V173" s="1293">
        <f t="shared" si="142"/>
        <v>0</v>
      </c>
      <c r="W173" s="1402"/>
      <c r="X173" s="1402"/>
      <c r="Y173" s="397"/>
      <c r="Z173" s="397"/>
    </row>
    <row r="174" spans="1:26" ht="48.75" x14ac:dyDescent="0.25">
      <c r="A174" s="429" t="str">
        <f>CONCATENATE('3 pr-2'!A174)</f>
        <v>3.1.2.1.1</v>
      </c>
      <c r="B174" s="240" t="str">
        <f>CONCATENATE('3 pr-2'!B174)</f>
        <v>R01-0019-380000-3211</v>
      </c>
      <c r="C174" s="422" t="str">
        <f>CONCATENATE('ketv. 2'!B173)</f>
        <v>05.5.1-APVA-R-019-11-0002</v>
      </c>
      <c r="D174" s="429" t="str">
        <f>CONCATENATE('3 pr-2'!D174)</f>
        <v>Kraštovaizdžio formavimas ir tvarkymas Varėnos r. savivaldybėje (I etapas)</v>
      </c>
      <c r="E174" s="429" t="str">
        <f>CONCATENATE('3 pr-2'!E174)</f>
        <v>Varėnos rajono savivaldybės administracija</v>
      </c>
      <c r="F174" s="429" t="str">
        <f>CONCATENATE('3 pr-2'!F174)</f>
        <v>Lietuvos Respublikos aplinkos ministerija</v>
      </c>
      <c r="G174" s="429" t="str">
        <f>CONCATENATE('3 pr-2'!G174)</f>
        <v>Varėnos r. sav.</v>
      </c>
      <c r="H174" s="429" t="str">
        <f>CONCATENATE('3 pr-2'!H174)</f>
        <v>05.5.1-APVA-R-019</v>
      </c>
      <c r="I174" s="429" t="str">
        <f>CONCATENATE('3 pr-2'!I174)</f>
        <v>R</v>
      </c>
      <c r="J174" s="429" t="str">
        <f>CONCATENATE('3 pr-2'!J174)</f>
        <v>-</v>
      </c>
      <c r="K174" s="1473">
        <f>IF(X174&gt;0,'3 pr-2'!L174,0)</f>
        <v>309522</v>
      </c>
      <c r="L174" s="1473">
        <f>IF(X174&gt;0,'3 pr-2'!O174,0)</f>
        <v>46428.3</v>
      </c>
      <c r="M174" s="1473">
        <f>IF(X174&gt;0,'3 pr-2'!R174,0)</f>
        <v>0</v>
      </c>
      <c r="N174" s="1473">
        <f>IF(X174&gt;0,'3 pr-2'!U174,0)</f>
        <v>0</v>
      </c>
      <c r="O174" s="1473">
        <f>IF(X174&gt;0,'3 pr-2'!X174,0)</f>
        <v>0</v>
      </c>
      <c r="P174" s="1473">
        <f>IF(X174&gt;0,'3 pr-2'!AA174,0)</f>
        <v>263093.7</v>
      </c>
      <c r="Q174" s="1463">
        <f t="shared" ref="Q174:Q182" si="143">IF(YEAR(X174)=2016,P174,0)</f>
        <v>0</v>
      </c>
      <c r="R174" s="1463">
        <f t="shared" ref="R174:R182" si="144">IF(YEAR(X174)=2017,P174,0)</f>
        <v>263093.7</v>
      </c>
      <c r="S174" s="1463">
        <f t="shared" ref="S174:S182" si="145">IF(YEAR(X174)=2018,P174,0)</f>
        <v>0</v>
      </c>
      <c r="T174" s="1463">
        <f t="shared" ref="T174:T182" si="146">IF(YEAR(X174)=2019,P174,0)</f>
        <v>0</v>
      </c>
      <c r="U174" s="1463">
        <f t="shared" ref="U174:U182" si="147">IF(YEAR(X174)=2020,P174,0)</f>
        <v>0</v>
      </c>
      <c r="V174" s="1435">
        <f>IF(X174&gt;0,'3 pr-2'!$AB$10,0)</f>
        <v>0</v>
      </c>
      <c r="W174" s="1413">
        <f>SUM('3 pr-2'!AI174)</f>
        <v>42901</v>
      </c>
      <c r="X174" s="1370">
        <f>SUMIF('sutarčių ataskaita'!$J$19:$J$600,C174,'sutarčių ataskaita'!$L$19:$L$600)</f>
        <v>42901</v>
      </c>
      <c r="Y174" s="430">
        <f t="shared" ref="Y174" si="148">IF((YEAR(W174)-YEAR(X174))=0,0,YEAR(W174)-YEAR(X174))</f>
        <v>0</v>
      </c>
      <c r="Z174" s="445" t="str">
        <f t="shared" ref="Z174:Z181" si="149">IF(W174-X174&lt;0,(W174-X174)/30.4166666666667,"–")</f>
        <v>–</v>
      </c>
    </row>
    <row r="175" spans="1:26" ht="48.75" x14ac:dyDescent="0.25">
      <c r="A175" s="429" t="str">
        <f>CONCATENATE('3 pr-2'!A175)</f>
        <v>3.1.2.1.2</v>
      </c>
      <c r="B175" s="240" t="str">
        <f>CONCATENATE('3 pr-2'!B175)</f>
        <v>R01-0019-380000-3212</v>
      </c>
      <c r="C175" s="422" t="str">
        <f>CONCATENATE('ketv. 2'!B174)</f>
        <v/>
      </c>
      <c r="D175" s="429" t="str">
        <f>CONCATENATE('3 pr-2'!D175)</f>
        <v>Kraštovaizdžio formavimas ir tvarkymas Varėnos r. savivaldybėje (II etapas)</v>
      </c>
      <c r="E175" s="429" t="str">
        <f>CONCATENATE('3 pr-2'!E175)</f>
        <v>Varėnos rajono savivaldybės administracija</v>
      </c>
      <c r="F175" s="429" t="str">
        <f>CONCATENATE('3 pr-2'!F175)</f>
        <v>Lietuvos Respublikos aplinkos ministerija</v>
      </c>
      <c r="G175" s="429" t="str">
        <f>CONCATENATE('3 pr-2'!G175)</f>
        <v>Varėnos r. sav.</v>
      </c>
      <c r="H175" s="429" t="str">
        <f>CONCATENATE('3 pr-2'!H175)</f>
        <v>05.5.1-APVA-R-019</v>
      </c>
      <c r="I175" s="429" t="str">
        <f>CONCATENATE('3 pr-2'!I175)</f>
        <v>R</v>
      </c>
      <c r="J175" s="429" t="str">
        <f>CONCATENATE('3 pr-2'!J175)</f>
        <v>-</v>
      </c>
      <c r="K175" s="1473">
        <f>IF(X175&gt;0,'3 pr-2'!L175,0)</f>
        <v>0</v>
      </c>
      <c r="L175" s="1473">
        <f>IF(X175&gt;0,'3 pr-2'!O175,0)</f>
        <v>0</v>
      </c>
      <c r="M175" s="1473">
        <f>IF(X175&gt;0,'3 pr-2'!R175,0)</f>
        <v>0</v>
      </c>
      <c r="N175" s="1473">
        <f>IF(X175&gt;0,'3 pr-2'!U175,0)</f>
        <v>0</v>
      </c>
      <c r="O175" s="1473">
        <f>IF(X175&gt;0,'3 pr-2'!X175,0)</f>
        <v>0</v>
      </c>
      <c r="P175" s="1473">
        <f>IF(X175&gt;0,'3 pr-2'!AA175,0)</f>
        <v>0</v>
      </c>
      <c r="Q175" s="1463">
        <f t="shared" si="143"/>
        <v>0</v>
      </c>
      <c r="R175" s="1463">
        <f t="shared" si="144"/>
        <v>0</v>
      </c>
      <c r="S175" s="1463">
        <f t="shared" si="145"/>
        <v>0</v>
      </c>
      <c r="T175" s="1463">
        <f t="shared" si="146"/>
        <v>0</v>
      </c>
      <c r="U175" s="1463">
        <f t="shared" si="147"/>
        <v>0</v>
      </c>
      <c r="V175" s="1435">
        <f>IF(X175&gt;0,'3 pr-2'!$AB$10,0)</f>
        <v>0</v>
      </c>
      <c r="W175" s="1413">
        <f>SUM('3 pr-2'!AI175)</f>
        <v>43555</v>
      </c>
      <c r="X175" s="1370"/>
      <c r="Y175" s="430"/>
      <c r="Z175" s="445" t="str">
        <f t="shared" si="149"/>
        <v>–</v>
      </c>
    </row>
    <row r="176" spans="1:26" ht="48.75" x14ac:dyDescent="0.25">
      <c r="A176" s="429" t="str">
        <f>CONCATENATE('3 pr-2'!A176)</f>
        <v>3.1.2.1.3</v>
      </c>
      <c r="B176" s="240" t="str">
        <f>CONCATENATE('3 pr-2'!B176)</f>
        <v>R01-0019-380000-3213</v>
      </c>
      <c r="C176" s="422" t="str">
        <f>CONCATENATE('ketv. 2'!B175)</f>
        <v>05.5.1-APVA-R-019-11-0001</v>
      </c>
      <c r="D176" s="429" t="str">
        <f>CONCATENATE('3 pr-2'!D176)</f>
        <v>Bešeimininkių apleistų pastatų ir įrenginių tvarkymas Alytaus rajono savivaldybėje</v>
      </c>
      <c r="E176" s="429" t="str">
        <f>CONCATENATE('3 pr-2'!E176)</f>
        <v>Alytaus rajono savivaldybės administracija</v>
      </c>
      <c r="F176" s="429" t="str">
        <f>CONCATENATE('3 pr-2'!F176)</f>
        <v>Lietuvos Respublikos aplinkos ministerija</v>
      </c>
      <c r="G176" s="429" t="str">
        <f>CONCATENATE('3 pr-2'!G176)</f>
        <v>Alytaus r. sav.</v>
      </c>
      <c r="H176" s="429" t="str">
        <f>CONCATENATE('3 pr-2'!H176)</f>
        <v>05.5.1-APVA-R-019</v>
      </c>
      <c r="I176" s="429" t="str">
        <f>CONCATENATE('3 pr-2'!I176)</f>
        <v>R</v>
      </c>
      <c r="J176" s="429" t="str">
        <f>CONCATENATE('3 pr-2'!J176)</f>
        <v/>
      </c>
      <c r="K176" s="1473">
        <f>IF(X176&gt;0,'3 pr-2'!L176,0)</f>
        <v>101765.7</v>
      </c>
      <c r="L176" s="1473">
        <f>IF(X176&gt;0,'3 pr-2'!O176,0)</f>
        <v>15264.9</v>
      </c>
      <c r="M176" s="1473">
        <f>IF(X176&gt;0,'3 pr-2'!R176,0)</f>
        <v>0</v>
      </c>
      <c r="N176" s="1473">
        <f>IF(X176&gt;0,'3 pr-2'!U176,0)</f>
        <v>0</v>
      </c>
      <c r="O176" s="1473">
        <f>IF(X176&gt;0,'3 pr-2'!X176,0)</f>
        <v>0</v>
      </c>
      <c r="P176" s="1473">
        <f>IF(X176&gt;0,'3 pr-2'!AA176,0)</f>
        <v>86500.800000000003</v>
      </c>
      <c r="Q176" s="1463">
        <f t="shared" si="143"/>
        <v>0</v>
      </c>
      <c r="R176" s="1463">
        <f t="shared" si="144"/>
        <v>86500.800000000003</v>
      </c>
      <c r="S176" s="1463">
        <f t="shared" si="145"/>
        <v>0</v>
      </c>
      <c r="T176" s="1463">
        <f t="shared" si="146"/>
        <v>0</v>
      </c>
      <c r="U176" s="1463">
        <f t="shared" si="147"/>
        <v>0</v>
      </c>
      <c r="V176" s="1435">
        <f>IF(X176&gt;0,'3 pr-2'!$AB$10,0)</f>
        <v>0</v>
      </c>
      <c r="W176" s="1413">
        <f>SUM('3 pr-2'!AI176)</f>
        <v>42998</v>
      </c>
      <c r="X176" s="1370">
        <f>SUMIF('sutarčių ataskaita'!$J$19:$J$600,C176,'sutarčių ataskaita'!$L$19:$L$600)</f>
        <v>43003</v>
      </c>
      <c r="Y176" s="430">
        <f t="shared" ref="Y176" si="150">IF((YEAR(W176)-YEAR(X176))=0,0,YEAR(W176)-YEAR(X176))</f>
        <v>0</v>
      </c>
      <c r="Z176" s="445">
        <f t="shared" si="149"/>
        <v>-0.16438356164383544</v>
      </c>
    </row>
    <row r="177" spans="1:27" ht="48.75" x14ac:dyDescent="0.25">
      <c r="A177" s="429" t="str">
        <f>CONCATENATE('3 pr-2'!A177)</f>
        <v>3.1.2.1.4</v>
      </c>
      <c r="B177" s="240" t="str">
        <f>CONCATENATE('3 pr-2'!B177)</f>
        <v>R01-0019-380000-3214</v>
      </c>
      <c r="C177" s="422" t="str">
        <f>CONCATENATE('ketv. 2'!B176)</f>
        <v>05.5.1-APVA-R-019-11-0004</v>
      </c>
      <c r="D177" s="429" t="str">
        <f>CONCATENATE('3 pr-2'!D177)</f>
        <v>Alytaus miesto bendrojo plano korektūra zonuojant kraštovaizdžio struktūrą, nustatant reglamentus ir principus</v>
      </c>
      <c r="E177" s="429" t="str">
        <f>CONCATENATE('3 pr-2'!E177)</f>
        <v>Alytaus miesto savivaldybės administracija</v>
      </c>
      <c r="F177" s="429" t="str">
        <f>CONCATENATE('3 pr-2'!F177)</f>
        <v>Lietuvos Respublikos aplinkos ministerija</v>
      </c>
      <c r="G177" s="429" t="str">
        <f>CONCATENATE('3 pr-2'!G177)</f>
        <v>Alytaus m. sav.</v>
      </c>
      <c r="H177" s="429" t="str">
        <f>CONCATENATE('3 pr-2'!H177)</f>
        <v>05.5.1-APVA-R-019</v>
      </c>
      <c r="I177" s="429" t="str">
        <f>CONCATENATE('3 pr-2'!I177)</f>
        <v>R</v>
      </c>
      <c r="J177" s="429" t="str">
        <f>CONCATENATE('3 pr-2'!J177)</f>
        <v/>
      </c>
      <c r="K177" s="1473">
        <f>IF(X177&gt;0,'3 pr-2'!L177,0)</f>
        <v>3993</v>
      </c>
      <c r="L177" s="1473">
        <f>IF(X177&gt;0,'3 pr-2'!O177,0)</f>
        <v>598.95000000000005</v>
      </c>
      <c r="M177" s="1473">
        <f>IF(X177&gt;0,'3 pr-2'!R177,0)</f>
        <v>0</v>
      </c>
      <c r="N177" s="1473">
        <f>IF(X177&gt;0,'3 pr-2'!U177,0)</f>
        <v>0</v>
      </c>
      <c r="O177" s="1473">
        <f>IF(X177&gt;0,'3 pr-2'!X177,0)</f>
        <v>0</v>
      </c>
      <c r="P177" s="1473">
        <f>IF(X177&gt;0,'3 pr-2'!AA177,0)</f>
        <v>3394.05</v>
      </c>
      <c r="Q177" s="1463">
        <f t="shared" si="143"/>
        <v>0</v>
      </c>
      <c r="R177" s="1463">
        <f t="shared" si="144"/>
        <v>3394.05</v>
      </c>
      <c r="S177" s="1463">
        <f t="shared" si="145"/>
        <v>0</v>
      </c>
      <c r="T177" s="1463">
        <f t="shared" si="146"/>
        <v>0</v>
      </c>
      <c r="U177" s="1463">
        <f t="shared" si="147"/>
        <v>0</v>
      </c>
      <c r="V177" s="1435">
        <f>IF(X177&gt;0,'3 pr-2'!$AB$10,0)</f>
        <v>0</v>
      </c>
      <c r="W177" s="1413">
        <f>SUM('3 pr-2'!AI177)</f>
        <v>42965</v>
      </c>
      <c r="X177" s="1370">
        <f>SUMIF('sutarčių ataskaita'!$J$19:$J$600,C177,'sutarčių ataskaita'!$L$19:$L$600)</f>
        <v>42965</v>
      </c>
      <c r="Y177" s="430">
        <f t="shared" ref="Y177" si="151">IF((YEAR(W177)-YEAR(X177))=0,0,YEAR(W177)-YEAR(X177))</f>
        <v>0</v>
      </c>
      <c r="Z177" s="445" t="str">
        <f t="shared" si="149"/>
        <v>–</v>
      </c>
    </row>
    <row r="178" spans="1:27" ht="48.75" x14ac:dyDescent="0.25">
      <c r="A178" s="429" t="str">
        <f>CONCATENATE('3 pr-2'!A178)</f>
        <v>3.1.2.1.5</v>
      </c>
      <c r="B178" s="240" t="str">
        <f>CONCATENATE('3 pr-2'!B178)</f>
        <v>R01-0019-380000-3215</v>
      </c>
      <c r="C178" s="422" t="str">
        <f>CONCATENATE('ketv. 2'!B177)</f>
        <v>05.5.1-APVA-R-019-11-0005</v>
      </c>
      <c r="D178" s="429" t="str">
        <f>CONCATENATE('3 pr-2'!D178)</f>
        <v>Bešeimininkių apleistų pastatų Druskininkų savivaldybės teritorijoje likvidavimas</v>
      </c>
      <c r="E178" s="429" t="str">
        <f>CONCATENATE('3 pr-2'!E178)</f>
        <v>Druskininkų savivaldybės administracija</v>
      </c>
      <c r="F178" s="429" t="str">
        <f>CONCATENATE('3 pr-2'!F178)</f>
        <v>Lietuvos Respublikos aplinkos ministerija</v>
      </c>
      <c r="G178" s="429" t="str">
        <f>CONCATENATE('3 pr-2'!G178)</f>
        <v>Druskininkų sav.</v>
      </c>
      <c r="H178" s="429" t="str">
        <f>CONCATENATE('3 pr-2'!H178)</f>
        <v>05.5.1-APVA-R-019</v>
      </c>
      <c r="I178" s="429" t="str">
        <f>CONCATENATE('3 pr-2'!I178)</f>
        <v>R</v>
      </c>
      <c r="J178" s="429" t="str">
        <f>CONCATENATE('3 pr-2'!J178)</f>
        <v>-</v>
      </c>
      <c r="K178" s="1473">
        <f>IF(X178&gt;0,'3 pr-2'!L178,0)</f>
        <v>121153.55</v>
      </c>
      <c r="L178" s="1473">
        <f>IF(X178&gt;0,'3 pr-2'!O178,0)</f>
        <v>18173.03</v>
      </c>
      <c r="M178" s="1473">
        <f>IF(X178&gt;0,'3 pr-2'!R178,0)</f>
        <v>0</v>
      </c>
      <c r="N178" s="1473">
        <f>IF(X178&gt;0,'3 pr-2'!U178,0)</f>
        <v>0</v>
      </c>
      <c r="O178" s="1473">
        <f>IF(X178&gt;0,'3 pr-2'!X178,0)</f>
        <v>0</v>
      </c>
      <c r="P178" s="1473">
        <f>IF(X178&gt;0,'3 pr-2'!AA178,0)</f>
        <v>102980.52</v>
      </c>
      <c r="Q178" s="1463">
        <f t="shared" si="143"/>
        <v>0</v>
      </c>
      <c r="R178" s="1463">
        <f t="shared" si="144"/>
        <v>102980.52</v>
      </c>
      <c r="S178" s="1463">
        <f t="shared" si="145"/>
        <v>0</v>
      </c>
      <c r="T178" s="1463">
        <f t="shared" si="146"/>
        <v>0</v>
      </c>
      <c r="U178" s="1463">
        <f t="shared" si="147"/>
        <v>0</v>
      </c>
      <c r="V178" s="1435">
        <f>IF(X178&gt;0,'3 pr-2'!$AB$10,0)</f>
        <v>0</v>
      </c>
      <c r="W178" s="1413">
        <f>SUM('3 pr-2'!AI178)</f>
        <v>42978</v>
      </c>
      <c r="X178" s="1370">
        <f>SUMIF('sutarčių ataskaita'!$J$19:$J$600,C178,'sutarčių ataskaita'!$L$19:$L$600)</f>
        <v>42936</v>
      </c>
      <c r="Y178" s="430">
        <f t="shared" ref="Y178:Y179" si="152">IF((YEAR(W178)-YEAR(X178))=0,0,YEAR(W178)-YEAR(X178))</f>
        <v>0</v>
      </c>
      <c r="Z178" s="445" t="str">
        <f t="shared" si="149"/>
        <v>–</v>
      </c>
    </row>
    <row r="179" spans="1:27" ht="48.75" x14ac:dyDescent="0.25">
      <c r="A179" s="429" t="str">
        <f>CONCATENATE('3 pr-2'!A179)</f>
        <v>3.1.2.1.6</v>
      </c>
      <c r="B179" s="240" t="str">
        <f>CONCATENATE('3 pr-2'!B179)</f>
        <v>R01-0019-380000-3216</v>
      </c>
      <c r="C179" s="422" t="str">
        <f>CONCATENATE('ketv. 2'!B178)</f>
        <v>05.5.1-APVA-R-019-11-0003</v>
      </c>
      <c r="D179" s="429" t="str">
        <f>CONCATENATE('3 pr-2'!D179)</f>
        <v>Kraštovaizdžio formavimas Lazdijų rajono savivaldybėje</v>
      </c>
      <c r="E179" s="429" t="str">
        <f>CONCATENATE('3 pr-2'!E179)</f>
        <v>Lazdijų rajono savivaldybės administracija</v>
      </c>
      <c r="F179" s="429" t="str">
        <f>CONCATENATE('3 pr-2'!F179)</f>
        <v>Lietuvos Respublikos aplinkos ministerija</v>
      </c>
      <c r="G179" s="429" t="str">
        <f>CONCATENATE('3 pr-2'!G179)</f>
        <v>Lazdijų r. sav.</v>
      </c>
      <c r="H179" s="429" t="str">
        <f>CONCATENATE('3 pr-2'!H179)</f>
        <v>05.5.1-APVA-R-019</v>
      </c>
      <c r="I179" s="429" t="str">
        <f>CONCATENATE('3 pr-2'!I179)</f>
        <v>R</v>
      </c>
      <c r="J179" s="429" t="str">
        <f>CONCATENATE('3 pr-2'!J179)</f>
        <v>-</v>
      </c>
      <c r="K179" s="1473">
        <f>IF(X179&gt;0,'3 pr-2'!L179,0)</f>
        <v>442298.58999999997</v>
      </c>
      <c r="L179" s="1473">
        <f>IF(X179&gt;0,'3 pr-2'!O179,0)</f>
        <v>66344.78</v>
      </c>
      <c r="M179" s="1473">
        <f>IF(X179&gt;0,'3 pr-2'!R179,0)</f>
        <v>0</v>
      </c>
      <c r="N179" s="1473">
        <f>IF(X179&gt;0,'3 pr-2'!U179,0)</f>
        <v>0</v>
      </c>
      <c r="O179" s="1473">
        <f>IF(X179&gt;0,'3 pr-2'!X179,0)</f>
        <v>0</v>
      </c>
      <c r="P179" s="1473">
        <f>IF(X179&gt;0,'3 pr-2'!AA179,0)</f>
        <v>375953.81</v>
      </c>
      <c r="Q179" s="1463">
        <f t="shared" si="143"/>
        <v>0</v>
      </c>
      <c r="R179" s="1463">
        <f t="shared" si="144"/>
        <v>375953.81</v>
      </c>
      <c r="S179" s="1463">
        <f t="shared" si="145"/>
        <v>0</v>
      </c>
      <c r="T179" s="1463">
        <f t="shared" si="146"/>
        <v>0</v>
      </c>
      <c r="U179" s="1463">
        <f t="shared" si="147"/>
        <v>0</v>
      </c>
      <c r="V179" s="1435">
        <f>IF(X179&gt;0,'3 pr-2'!$AB$10,0)</f>
        <v>0</v>
      </c>
      <c r="W179" s="1413">
        <f>SUM('3 pr-2'!AI179)</f>
        <v>42935</v>
      </c>
      <c r="X179" s="1370">
        <f>SUMIF('sutarčių ataskaita'!$J$19:$J$600,C179,'sutarčių ataskaita'!$L$19:$L$600)</f>
        <v>42935</v>
      </c>
      <c r="Y179" s="430">
        <f t="shared" si="152"/>
        <v>0</v>
      </c>
      <c r="Z179" s="445" t="str">
        <f t="shared" si="149"/>
        <v>–</v>
      </c>
    </row>
    <row r="180" spans="1:27" ht="48.75" x14ac:dyDescent="0.25">
      <c r="A180" s="429" t="str">
        <f>CONCATENATE('3 pr-2'!A180)</f>
        <v>3.1.2.1.7</v>
      </c>
      <c r="B180" s="240" t="str">
        <f>CONCATENATE('3 pr-2'!B180)</f>
        <v>R01-0019-283800-3217</v>
      </c>
      <c r="C180" s="422" t="str">
        <f>CONCATENATE('ketv. 2'!B179)</f>
        <v/>
      </c>
      <c r="D180" s="429" t="str">
        <f>CONCATENATE('3 pr-2'!D180)</f>
        <v>Kraštovaizdžio formavimas Lazdijų rajono savivaldybėje (II etapas)</v>
      </c>
      <c r="E180" s="429" t="str">
        <f>CONCATENATE('3 pr-2'!E180)</f>
        <v>Lazdijų rajono savivaldybės administracija</v>
      </c>
      <c r="F180" s="429" t="str">
        <f>CONCATENATE('3 pr-2'!F180)</f>
        <v>Lietuvos Respublikos aplinkos ministerija</v>
      </c>
      <c r="G180" s="429" t="str">
        <f>CONCATENATE('3 pr-2'!G180)</f>
        <v>Lazdijų r. sav.</v>
      </c>
      <c r="H180" s="429" t="str">
        <f>CONCATENATE('3 pr-2'!H180)</f>
        <v>05.5.1-APVA-R-019</v>
      </c>
      <c r="I180" s="429" t="str">
        <f>CONCATENATE('3 pr-2'!I180)</f>
        <v>R</v>
      </c>
      <c r="J180" s="429" t="str">
        <f>CONCATENATE('3 pr-2'!J180)</f>
        <v>-</v>
      </c>
      <c r="K180" s="1473">
        <f>IF(X180&gt;0,'3 pr-2'!L180,0)</f>
        <v>0</v>
      </c>
      <c r="L180" s="1473">
        <f>IF(X180&gt;0,'3 pr-2'!O180,0)</f>
        <v>0</v>
      </c>
      <c r="M180" s="1473">
        <f>IF(X180&gt;0,'3 pr-2'!R180,0)</f>
        <v>0</v>
      </c>
      <c r="N180" s="1473">
        <f>IF(X180&gt;0,'3 pr-2'!U180,0)</f>
        <v>0</v>
      </c>
      <c r="O180" s="1473">
        <f>IF(X180&gt;0,'3 pr-2'!X180,0)</f>
        <v>0</v>
      </c>
      <c r="P180" s="1473">
        <f>IF(X180&gt;0,'3 pr-2'!AA180,0)</f>
        <v>0</v>
      </c>
      <c r="Q180" s="1463">
        <f t="shared" si="143"/>
        <v>0</v>
      </c>
      <c r="R180" s="1463">
        <f t="shared" si="144"/>
        <v>0</v>
      </c>
      <c r="S180" s="1463">
        <f t="shared" si="145"/>
        <v>0</v>
      </c>
      <c r="T180" s="1463">
        <f t="shared" si="146"/>
        <v>0</v>
      </c>
      <c r="U180" s="1463">
        <f t="shared" si="147"/>
        <v>0</v>
      </c>
      <c r="V180" s="1435">
        <f>IF(X180&gt;0,'3 pr-2'!$AB$10,0)</f>
        <v>0</v>
      </c>
      <c r="W180" s="1413">
        <f>SUM('3 pr-2'!AI180)</f>
        <v>43554</v>
      </c>
      <c r="X180" s="1370"/>
      <c r="Y180" s="430"/>
      <c r="Z180" s="445" t="str">
        <f t="shared" si="149"/>
        <v>–</v>
      </c>
    </row>
    <row r="181" spans="1:27" ht="48.75" x14ac:dyDescent="0.25">
      <c r="A181" s="429" t="str">
        <f>CONCATENATE('3 pr-2'!A181)</f>
        <v>3.1.2.1.8</v>
      </c>
      <c r="B181" s="240" t="str">
        <f>CONCATENATE('3 pr-2'!B181)</f>
        <v>R01-0019-380000-3218</v>
      </c>
      <c r="C181" s="422" t="str">
        <f>CONCATENATE('ketv. 2'!B180)</f>
        <v>05.5.1-APVA-R-019-11-0006</v>
      </c>
      <c r="D181" s="429" t="str">
        <f>CONCATENATE('3 pr-2'!D181)</f>
        <v>Bešeimininkių apleistų pastatų ir įrenginių tvarkymas Alytaus rajono savivaldybėje (II etapas)</v>
      </c>
      <c r="E181" s="429" t="str">
        <f>CONCATENATE('3 pr-2'!E181)</f>
        <v>Alytaus rajono savivaldybės administracija</v>
      </c>
      <c r="F181" s="429" t="str">
        <f>CONCATENATE('3 pr-2'!F181)</f>
        <v>Lietuvos Respublikos aplinkos ministerija</v>
      </c>
      <c r="G181" s="429" t="str">
        <f>CONCATENATE('3 pr-2'!G181)</f>
        <v>Alytaus r. sav.</v>
      </c>
      <c r="H181" s="429" t="str">
        <f>CONCATENATE('3 pr-2'!H181)</f>
        <v>05.5.1-APVA-R-019</v>
      </c>
      <c r="I181" s="429" t="str">
        <f>CONCATENATE('3 pr-2'!I181)</f>
        <v>R</v>
      </c>
      <c r="J181" s="429" t="str">
        <f>CONCATENATE('3 pr-2'!J181)</f>
        <v>-</v>
      </c>
      <c r="K181" s="1432">
        <f>IF(X181&gt;0,'3 pr-2'!L181,0)</f>
        <v>736537.6470588235</v>
      </c>
      <c r="L181" s="1432">
        <f>IF(X181&gt;0,'3 pr-2'!O181,0)</f>
        <v>110480.64705882352</v>
      </c>
      <c r="M181" s="1432">
        <f>IF(X181&gt;0,'3 pr-2'!R181,0)</f>
        <v>0</v>
      </c>
      <c r="N181" s="1432">
        <f>IF(X181&gt;0,'3 pr-2'!U181,0)</f>
        <v>0</v>
      </c>
      <c r="O181" s="1432">
        <f>IF(X181&gt;0,'3 pr-2'!X181,0)</f>
        <v>0</v>
      </c>
      <c r="P181" s="1432">
        <f>IF(X181&gt;0,'3 pr-2'!AA181,0)</f>
        <v>626057</v>
      </c>
      <c r="Q181" s="1463">
        <f t="shared" si="143"/>
        <v>0</v>
      </c>
      <c r="R181" s="1463">
        <f t="shared" si="144"/>
        <v>0</v>
      </c>
      <c r="S181" s="1463">
        <f t="shared" si="145"/>
        <v>626057</v>
      </c>
      <c r="T181" s="1463">
        <f t="shared" si="146"/>
        <v>0</v>
      </c>
      <c r="U181" s="1463">
        <f t="shared" si="147"/>
        <v>0</v>
      </c>
      <c r="V181" s="1435">
        <f>IF(X181&gt;0,'3 pr-2'!$AB$10,0)</f>
        <v>0</v>
      </c>
      <c r="W181" s="1413">
        <f>SUM('3 pr-2'!AI181)</f>
        <v>43342</v>
      </c>
      <c r="X181" s="1370">
        <f>SUMIF('sutarčių ataskaita'!$J$19:$J$600,C181,'sutarčių ataskaita'!$L$19:$L$600)</f>
        <v>43370</v>
      </c>
      <c r="Y181" s="430" t="s">
        <v>690</v>
      </c>
      <c r="Z181" s="445">
        <f t="shared" si="149"/>
        <v>-0.92054794520547845</v>
      </c>
    </row>
    <row r="182" spans="1:27" ht="48.75" x14ac:dyDescent="0.25">
      <c r="A182" s="429" t="str">
        <f>CONCATENATE('3 pr-2'!A182)</f>
        <v>3.1.2.1.9</v>
      </c>
      <c r="B182" s="240" t="str">
        <f>CONCATENATE('3 pr-2'!B182)</f>
        <v>R01-0019-380000-3219</v>
      </c>
      <c r="C182" s="422" t="str">
        <f>CONCATENATE('ketv. 2'!B181)</f>
        <v/>
      </c>
      <c r="D182" s="429" t="str">
        <f>CONCATENATE('3 pr-2'!D182)</f>
        <v>Etaloninio kraštovaizdžio formavimas Druskininkų savivaldybės pasienyje</v>
      </c>
      <c r="E182" s="429" t="str">
        <f>CONCATENATE('3 pr-2'!E182)</f>
        <v>Druskininkų savivaldybės administracija</v>
      </c>
      <c r="F182" s="429" t="str">
        <f>CONCATENATE('3 pr-2'!F182)</f>
        <v>Lietuvos Respublikos aplinkos ministerija</v>
      </c>
      <c r="G182" s="429" t="str">
        <f>CONCATENATE('3 pr-2'!G182)</f>
        <v>Druskininkų sav.</v>
      </c>
      <c r="H182" s="429" t="str">
        <f>CONCATENATE('3 pr-2'!H182)</f>
        <v>05.5.1-APVA-R-019</v>
      </c>
      <c r="I182" s="429" t="str">
        <f>CONCATENATE('3 pr-2'!I182)</f>
        <v>R</v>
      </c>
      <c r="J182" s="429" t="str">
        <f>CONCATENATE('3 pr-2'!J182)</f>
        <v>-</v>
      </c>
      <c r="K182" s="1432">
        <f>IF(X182&gt;0,'3 pr-2'!L182,0)</f>
        <v>0</v>
      </c>
      <c r="L182" s="1432">
        <f>IF(X182&gt;0,'3 pr-2'!O182,0)</f>
        <v>0</v>
      </c>
      <c r="M182" s="1432">
        <f>IF(X182&gt;0,'3 pr-2'!R182,0)</f>
        <v>0</v>
      </c>
      <c r="N182" s="1432">
        <f>IF(X182&gt;0,'3 pr-2'!U182,0)</f>
        <v>0</v>
      </c>
      <c r="O182" s="1432">
        <f>IF(X182&gt;0,'3 pr-2'!X182,0)</f>
        <v>0</v>
      </c>
      <c r="P182" s="1432">
        <f>IF(X182&gt;0,'3 pr-2'!AA182,0)</f>
        <v>0</v>
      </c>
      <c r="Q182" s="1463">
        <f t="shared" si="143"/>
        <v>0</v>
      </c>
      <c r="R182" s="1463">
        <f t="shared" si="144"/>
        <v>0</v>
      </c>
      <c r="S182" s="1463">
        <f t="shared" si="145"/>
        <v>0</v>
      </c>
      <c r="T182" s="1463">
        <f t="shared" si="146"/>
        <v>0</v>
      </c>
      <c r="U182" s="1463">
        <f t="shared" si="147"/>
        <v>0</v>
      </c>
      <c r="V182" s="1435">
        <f>IF(X182&gt;0,'3 pr-2'!$AB$10,0)</f>
        <v>0</v>
      </c>
      <c r="W182" s="1413">
        <f>SUM('3 pr-2'!AI182)</f>
        <v>43647</v>
      </c>
      <c r="X182" s="1370"/>
      <c r="Y182" s="430" t="s">
        <v>690</v>
      </c>
      <c r="Z182" s="445" t="str">
        <f t="shared" ref="Z182" si="153">IF(W182-X182&lt;0,(W182-X182)/30.4166666666667,"–")</f>
        <v>–</v>
      </c>
    </row>
    <row r="183" spans="1:27" hidden="1" x14ac:dyDescent="0.25">
      <c r="A183" s="1556"/>
      <c r="B183" s="1557"/>
      <c r="C183" s="1558"/>
      <c r="D183" s="1556"/>
      <c r="E183" s="1556"/>
      <c r="F183" s="1556"/>
      <c r="G183" s="1556"/>
      <c r="H183" s="1556"/>
      <c r="I183" s="1556"/>
      <c r="J183" s="1556"/>
      <c r="K183" s="1561">
        <f>SUM(K7+K100+K168)</f>
        <v>57136711.576470591</v>
      </c>
      <c r="L183" s="1561">
        <f t="shared" ref="L183:V183" si="154">SUM(L7+L100+L168)</f>
        <v>6675640.2464705873</v>
      </c>
      <c r="M183" s="1561">
        <f t="shared" si="154"/>
        <v>1404288.64</v>
      </c>
      <c r="N183" s="1561">
        <f t="shared" si="154"/>
        <v>8057947.0100000007</v>
      </c>
      <c r="O183" s="1561">
        <f t="shared" si="154"/>
        <v>415060.82</v>
      </c>
      <c r="P183" s="1561">
        <f t="shared" si="154"/>
        <v>40583774.859999999</v>
      </c>
      <c r="Q183" s="1559">
        <f t="shared" si="154"/>
        <v>0</v>
      </c>
      <c r="R183" s="1559">
        <f t="shared" si="154"/>
        <v>0</v>
      </c>
      <c r="S183" s="1559">
        <f t="shared" si="154"/>
        <v>0</v>
      </c>
      <c r="T183" s="1559">
        <f t="shared" si="154"/>
        <v>0</v>
      </c>
      <c r="U183" s="1559">
        <f t="shared" si="154"/>
        <v>0</v>
      </c>
      <c r="V183" s="1559">
        <f t="shared" si="154"/>
        <v>0</v>
      </c>
      <c r="W183" s="1560"/>
      <c r="X183" s="1560"/>
      <c r="Y183" s="356"/>
      <c r="Z183" s="706"/>
    </row>
    <row r="185" spans="1:27" ht="15.75" x14ac:dyDescent="0.25">
      <c r="B185" s="1398" t="s">
        <v>1815</v>
      </c>
      <c r="AA185"/>
    </row>
  </sheetData>
  <autoFilter ref="A1:Z182"/>
  <mergeCells count="44">
    <mergeCell ref="B170:J170"/>
    <mergeCell ref="B173:J173"/>
    <mergeCell ref="B169:J169"/>
    <mergeCell ref="B172:J172"/>
    <mergeCell ref="B33:J33"/>
    <mergeCell ref="B39:J39"/>
    <mergeCell ref="B46:J46"/>
    <mergeCell ref="B50:J50"/>
    <mergeCell ref="B56:J56"/>
    <mergeCell ref="B58:J58"/>
    <mergeCell ref="B62:J62"/>
    <mergeCell ref="B67:J67"/>
    <mergeCell ref="B74:J74"/>
    <mergeCell ref="B73:J73"/>
    <mergeCell ref="B79:J79"/>
    <mergeCell ref="B86:J86"/>
    <mergeCell ref="B102:J102"/>
    <mergeCell ref="B168:J168"/>
    <mergeCell ref="B101:J101"/>
    <mergeCell ref="B120:J120"/>
    <mergeCell ref="B147:J147"/>
    <mergeCell ref="B160:J160"/>
    <mergeCell ref="B108:J108"/>
    <mergeCell ref="B114:J114"/>
    <mergeCell ref="B121:J121"/>
    <mergeCell ref="B135:J135"/>
    <mergeCell ref="B141:J141"/>
    <mergeCell ref="B148:J148"/>
    <mergeCell ref="B154:J154"/>
    <mergeCell ref="B161:J161"/>
    <mergeCell ref="K3:P3"/>
    <mergeCell ref="W3:Z3"/>
    <mergeCell ref="Q3:U3"/>
    <mergeCell ref="A2:L2"/>
    <mergeCell ref="B100:J100"/>
    <mergeCell ref="A5:J5"/>
    <mergeCell ref="K5:P5"/>
    <mergeCell ref="Q5:T5"/>
    <mergeCell ref="U5:Z5"/>
    <mergeCell ref="A3:J3"/>
    <mergeCell ref="B7:J7"/>
    <mergeCell ref="B8:J8"/>
    <mergeCell ref="B9:J9"/>
    <mergeCell ref="B92:J92"/>
  </mergeCells>
  <pageMargins left="0.23622047244094491" right="0.23622047244094491" top="0.74803149606299213" bottom="0.74803149606299213" header="0.31496062992125984" footer="0.31496062992125984"/>
  <pageSetup paperSize="8" scale="7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83"/>
  <sheetViews>
    <sheetView topLeftCell="A2" workbookViewId="0">
      <pane ySplit="3315" topLeftCell="A73" activePane="bottomLeft"/>
      <selection activeCell="S176" sqref="S176"/>
      <selection pane="bottomLeft" activeCell="A65" sqref="A65:XFD65"/>
    </sheetView>
  </sheetViews>
  <sheetFormatPr defaultRowHeight="15" x14ac:dyDescent="0.25"/>
  <cols>
    <col min="1" max="1" width="7.85546875" customWidth="1"/>
    <col min="2" max="2" width="9.28515625" customWidth="1"/>
    <col min="3" max="3" width="13" hidden="1" customWidth="1"/>
    <col min="4" max="4" width="43" customWidth="1"/>
    <col min="5" max="5" width="18.7109375" customWidth="1"/>
    <col min="6" max="6" width="20.140625" customWidth="1"/>
    <col min="7" max="7" width="11.28515625" customWidth="1"/>
    <col min="8" max="8" width="16.5703125" customWidth="1"/>
    <col min="9" max="9" width="5.42578125" customWidth="1"/>
    <col min="10" max="10" width="5.5703125" customWidth="1"/>
    <col min="11" max="11" width="16.42578125" bestFit="1" customWidth="1"/>
    <col min="12" max="13" width="14.28515625" bestFit="1" customWidth="1"/>
    <col min="14" max="14" width="12.7109375" customWidth="1"/>
    <col min="16" max="16" width="16.42578125" bestFit="1" customWidth="1"/>
    <col min="17" max="17" width="12.5703125" customWidth="1"/>
    <col min="18" max="18" width="8.42578125" customWidth="1"/>
    <col min="19" max="19" width="9.85546875" customWidth="1"/>
    <col min="20" max="20" width="9.7109375" customWidth="1"/>
    <col min="21" max="23" width="9.7109375" hidden="1" customWidth="1"/>
  </cols>
  <sheetData>
    <row r="1" spans="1:23" ht="16.5" thickBot="1" x14ac:dyDescent="0.3">
      <c r="A1" s="2019" t="s">
        <v>707</v>
      </c>
      <c r="B1" s="2019"/>
      <c r="C1" s="2019"/>
      <c r="D1" s="2020"/>
      <c r="E1" s="2020"/>
      <c r="F1" s="2020"/>
      <c r="G1" s="2020"/>
      <c r="H1" s="2020"/>
      <c r="I1" s="2020"/>
      <c r="J1" s="2020"/>
      <c r="K1" s="2020"/>
      <c r="L1" s="2020"/>
    </row>
    <row r="2" spans="1:23" ht="47.25" customHeight="1" thickTop="1" thickBot="1" x14ac:dyDescent="0.3">
      <c r="A2" s="2052" t="s">
        <v>46</v>
      </c>
      <c r="B2" s="2053"/>
      <c r="C2" s="2053"/>
      <c r="D2" s="2053"/>
      <c r="E2" s="2053"/>
      <c r="F2" s="2053"/>
      <c r="G2" s="2053"/>
      <c r="H2" s="2053"/>
      <c r="I2" s="2053"/>
      <c r="J2" s="2053"/>
      <c r="K2" s="2041" t="s">
        <v>47</v>
      </c>
      <c r="L2" s="2042"/>
      <c r="M2" s="2042"/>
      <c r="N2" s="2042"/>
      <c r="O2" s="2042"/>
      <c r="P2" s="2042"/>
      <c r="Q2" s="2058"/>
      <c r="R2" s="2017" t="s">
        <v>708</v>
      </c>
      <c r="S2" s="2018"/>
      <c r="T2" s="2018"/>
      <c r="U2" s="1922"/>
      <c r="V2" s="1543"/>
      <c r="W2" s="1543"/>
    </row>
    <row r="3" spans="1:23" ht="25.5" x14ac:dyDescent="0.25">
      <c r="A3" s="2054" t="s">
        <v>7</v>
      </c>
      <c r="B3" s="2054" t="s">
        <v>1804</v>
      </c>
      <c r="C3" s="1384" t="s">
        <v>703</v>
      </c>
      <c r="D3" s="2056" t="s">
        <v>49</v>
      </c>
      <c r="E3" s="2056" t="s">
        <v>1797</v>
      </c>
      <c r="F3" s="2056" t="s">
        <v>51</v>
      </c>
      <c r="G3" s="2056" t="s">
        <v>52</v>
      </c>
      <c r="H3" s="2056" t="s">
        <v>687</v>
      </c>
      <c r="I3" s="2056" t="s">
        <v>1808</v>
      </c>
      <c r="J3" s="2050" t="s">
        <v>1809</v>
      </c>
      <c r="K3" s="2054" t="s">
        <v>57</v>
      </c>
      <c r="L3" s="2056" t="s">
        <v>58</v>
      </c>
      <c r="M3" s="2056" t="s">
        <v>59</v>
      </c>
      <c r="N3" s="2056" t="s">
        <v>60</v>
      </c>
      <c r="O3" s="2056" t="s">
        <v>61</v>
      </c>
      <c r="P3" s="2056" t="s">
        <v>10</v>
      </c>
      <c r="Q3" s="2050" t="s">
        <v>1806</v>
      </c>
      <c r="R3" s="2048" t="s">
        <v>1414</v>
      </c>
      <c r="S3" s="2048" t="s">
        <v>1415</v>
      </c>
      <c r="T3" s="2048" t="s">
        <v>1262</v>
      </c>
      <c r="U3" s="211" t="s">
        <v>699</v>
      </c>
      <c r="V3" s="2048" t="s">
        <v>1818</v>
      </c>
      <c r="W3" s="2048" t="s">
        <v>1818</v>
      </c>
    </row>
    <row r="4" spans="1:23" ht="58.5" customHeight="1" thickBot="1" x14ac:dyDescent="0.3">
      <c r="A4" s="2055"/>
      <c r="B4" s="2055"/>
      <c r="C4" s="1385"/>
      <c r="D4" s="2057"/>
      <c r="E4" s="2057"/>
      <c r="F4" s="2057"/>
      <c r="G4" s="2057"/>
      <c r="H4" s="2057"/>
      <c r="I4" s="2057"/>
      <c r="J4" s="2051"/>
      <c r="K4" s="2055"/>
      <c r="L4" s="2057"/>
      <c r="M4" s="2057"/>
      <c r="N4" s="2057"/>
      <c r="O4" s="2057"/>
      <c r="P4" s="2057"/>
      <c r="Q4" s="2051"/>
      <c r="R4" s="2049"/>
      <c r="S4" s="2049"/>
      <c r="T4" s="2049"/>
      <c r="U4" s="183" t="s">
        <v>700</v>
      </c>
      <c r="V4" s="2049"/>
      <c r="W4" s="2049"/>
    </row>
    <row r="5" spans="1:23" ht="16.5" thickBot="1" x14ac:dyDescent="0.3">
      <c r="A5" s="206"/>
      <c r="B5" s="1374"/>
      <c r="C5" s="244"/>
      <c r="D5" s="207"/>
      <c r="E5" s="207"/>
      <c r="F5" s="207"/>
      <c r="G5" s="207"/>
      <c r="H5" s="207"/>
      <c r="I5" s="207"/>
      <c r="J5" s="207"/>
      <c r="K5" s="291"/>
      <c r="L5" s="293"/>
      <c r="M5" s="293"/>
      <c r="N5" s="293"/>
      <c r="O5" s="293"/>
      <c r="P5" s="293"/>
      <c r="Q5" s="294"/>
      <c r="R5" s="197"/>
      <c r="S5" s="1386"/>
      <c r="T5" s="1387"/>
      <c r="U5" s="1382"/>
      <c r="V5" s="1387"/>
      <c r="W5" s="1387"/>
    </row>
    <row r="6" spans="1:23" ht="86.25" customHeight="1" thickBot="1" x14ac:dyDescent="0.3">
      <c r="A6" s="443" t="str">
        <f>CONCATENATE('3 pr-2'!A7)</f>
        <v>1.1.</v>
      </c>
      <c r="B6" s="2028" t="str">
        <f>CONCATENATE('3 pr-2'!B7)</f>
        <v>Tikslas: 
DIDINTI ŪKINĖS VEIKLOS ĮVAIROVĘ IR PAGERINTI SĄLYGAS INVESTICIJŲ PRITRAUKIMUI, MAŽINANT GEOGRAFINIŲ SĄLYGŲ IR DEMOGRAFINIŲ PROCESŲ SUKELIAMUS GYVENIMO KOKYBĖS NETOLYGUMUS</v>
      </c>
      <c r="C6" s="2023"/>
      <c r="D6" s="2023"/>
      <c r="E6" s="2023"/>
      <c r="F6" s="2023"/>
      <c r="G6" s="2023"/>
      <c r="H6" s="2023"/>
      <c r="I6" s="2023"/>
      <c r="J6" s="2024"/>
      <c r="K6" s="1491">
        <f>SUM(K7+K72)</f>
        <v>1310732.5699999998</v>
      </c>
      <c r="L6" s="1491">
        <f t="shared" ref="L6:P6" si="0">SUM(L7+L72)</f>
        <v>99579.95</v>
      </c>
      <c r="M6" s="1491">
        <f t="shared" si="0"/>
        <v>97029.94</v>
      </c>
      <c r="N6" s="1491">
        <f t="shared" si="0"/>
        <v>0</v>
      </c>
      <c r="O6" s="1491">
        <f t="shared" si="0"/>
        <v>0</v>
      </c>
      <c r="P6" s="1491">
        <f t="shared" si="0"/>
        <v>1114122.68</v>
      </c>
      <c r="Q6" s="1491"/>
      <c r="R6" s="449" t="s">
        <v>690</v>
      </c>
      <c r="S6" s="449" t="s">
        <v>690</v>
      </c>
      <c r="T6" s="449" t="s">
        <v>690</v>
      </c>
      <c r="U6" s="444"/>
      <c r="V6" s="449"/>
      <c r="W6" s="449"/>
    </row>
    <row r="7" spans="1:23" ht="57" customHeight="1" thickBot="1" x14ac:dyDescent="0.3">
      <c r="A7" s="261" t="s">
        <v>691</v>
      </c>
      <c r="B7" s="2022" t="str">
        <f>CONCATENATE('3 pr-2'!B8)</f>
        <v>Uždavinys: 
Sudaryti sąlygas darbo vietų kūrimui, kuriant ir atnaujinant viešąją ir ekoinžinerinę  infrastruktūrą,  gamtos, kultūros paveldo objektus ir kultūros įstaigas</v>
      </c>
      <c r="C7" s="2023"/>
      <c r="D7" s="2023"/>
      <c r="E7" s="2023"/>
      <c r="F7" s="2023"/>
      <c r="G7" s="2023"/>
      <c r="H7" s="2023"/>
      <c r="I7" s="2023"/>
      <c r="J7" s="2024"/>
      <c r="K7" s="1420">
        <f>SUM(K8+K32+K38+K45+K49+K55+K57+K61+K66)</f>
        <v>1293732.5699999998</v>
      </c>
      <c r="L7" s="1420">
        <f t="shared" ref="L7:P7" si="1">SUM(L8+L32+L38+L45+L49+L55+L57+L61+L66)</f>
        <v>97029.95</v>
      </c>
      <c r="M7" s="1420">
        <f t="shared" si="1"/>
        <v>97029.94</v>
      </c>
      <c r="N7" s="1420">
        <f t="shared" si="1"/>
        <v>0</v>
      </c>
      <c r="O7" s="1420">
        <f t="shared" si="1"/>
        <v>0</v>
      </c>
      <c r="P7" s="1420">
        <f t="shared" si="1"/>
        <v>1099672.68</v>
      </c>
      <c r="Q7" s="1420">
        <f t="shared" ref="Q7" si="2">SUM(Q8+Q32+Q38+Q45+Q49+Q55+Q57+Q61+Q66)</f>
        <v>0</v>
      </c>
      <c r="R7" s="228" t="s">
        <v>690</v>
      </c>
      <c r="S7" s="228" t="s">
        <v>690</v>
      </c>
      <c r="T7" s="228" t="s">
        <v>690</v>
      </c>
      <c r="U7" s="228"/>
      <c r="V7" s="228"/>
      <c r="W7" s="228"/>
    </row>
    <row r="8" spans="1:23" ht="33.75" customHeight="1" thickBot="1" x14ac:dyDescent="0.3">
      <c r="A8" s="326" t="s">
        <v>67</v>
      </c>
      <c r="B8" s="2025" t="str">
        <f>CONCATENATE('3 pr-2'!B9)</f>
        <v>Priemonė:
Kaimo gyvenamųjų vietovių (turinčių iki 1 tūkst. gyventojų) atnaujinimas</v>
      </c>
      <c r="C8" s="2026"/>
      <c r="D8" s="2026"/>
      <c r="E8" s="2026"/>
      <c r="F8" s="2026"/>
      <c r="G8" s="2026"/>
      <c r="H8" s="2026"/>
      <c r="I8" s="2026"/>
      <c r="J8" s="2027"/>
      <c r="K8" s="1293">
        <f>SUM(K9:K31)</f>
        <v>0</v>
      </c>
      <c r="L8" s="1293">
        <f t="shared" ref="L8:P8" si="3">SUM(L9:L31)</f>
        <v>0</v>
      </c>
      <c r="M8" s="1293">
        <f t="shared" si="3"/>
        <v>0</v>
      </c>
      <c r="N8" s="1293">
        <f t="shared" si="3"/>
        <v>0</v>
      </c>
      <c r="O8" s="1293">
        <f t="shared" si="3"/>
        <v>0</v>
      </c>
      <c r="P8" s="1293">
        <f t="shared" si="3"/>
        <v>0</v>
      </c>
      <c r="Q8" s="1293">
        <f t="shared" ref="Q8" si="4">SUM(Q9:Q31)</f>
        <v>0</v>
      </c>
      <c r="R8" s="397"/>
      <c r="S8" s="397"/>
      <c r="T8" s="397"/>
      <c r="U8" s="397"/>
      <c r="V8" s="397"/>
      <c r="W8" s="397"/>
    </row>
    <row r="9" spans="1:23" ht="36.75" x14ac:dyDescent="0.25">
      <c r="A9" s="240" t="str">
        <f>CONCATENATE('3 pr-2'!A10)</f>
        <v>1.1.1.1.1</v>
      </c>
      <c r="B9" s="240" t="str">
        <f>CONCATENATE('3 pr-2'!B10)</f>
        <v>R01-ZM72-120000-1101</v>
      </c>
      <c r="C9" s="309" t="str">
        <f>CONCATENATE('ketv. 2'!B9)</f>
        <v>20KI-KA-17-1-02616-PR001</v>
      </c>
      <c r="D9" s="240" t="str">
        <f>CONCATENATE('3 pr-2'!D10)</f>
        <v xml:space="preserve">Druskininkų savivaldybės Viečiūnų seniūnijos Ilgio ir Raigardo seniūnaitijų kelių būklės gerinimas  </v>
      </c>
      <c r="E9" s="240" t="str">
        <f>CONCATENATE('3 pr-2'!E10)</f>
        <v xml:space="preserve">Druskininkų savivaldybės administracija  </v>
      </c>
      <c r="F9" s="240" t="str">
        <f>CONCATENATE('3 pr-2'!F10)</f>
        <v>Lietuvos Respublikos žemės ūkio ministerija</v>
      </c>
      <c r="G9" s="240" t="str">
        <f>CONCATENATE('3 pr-2'!G10)</f>
        <v>Druskininkų sav.</v>
      </c>
      <c r="H9" s="240" t="str">
        <f>CONCATENATE('3 pr-2'!H10)</f>
        <v xml:space="preserve">Pagrindinės paslaugos ir kaimų atnaujinimas kaimo vietovėse </v>
      </c>
      <c r="I9" s="240" t="str">
        <f>CONCATENATE('3 pr-2'!I10)</f>
        <v>R</v>
      </c>
      <c r="J9" s="240" t="str">
        <f>CONCATENATE('3 pr-2'!J10)</f>
        <v>-</v>
      </c>
      <c r="K9" s="1296">
        <f>IF(S9&gt;0,'3 pr-2'!L10,0)</f>
        <v>0</v>
      </c>
      <c r="L9" s="1296">
        <f>IF(S9&gt;0,'3 pr-2'!O10,0)</f>
        <v>0</v>
      </c>
      <c r="M9" s="1296">
        <f>IF(S9&gt;0,'3 pr-2'!R10,0)</f>
        <v>0</v>
      </c>
      <c r="N9" s="1296">
        <f>IF(S9&gt;0,'3 pr-2'!U10,0)</f>
        <v>0</v>
      </c>
      <c r="O9" s="1296">
        <f>IF(S9&gt;0,'3 pr-2'!X10,0)</f>
        <v>0</v>
      </c>
      <c r="P9" s="1296">
        <f>IF(S9&gt;0,'3 pr-2'!AA10,0)</f>
        <v>0</v>
      </c>
      <c r="Q9" s="1435">
        <f>IF($Y$9&gt;0,'3 pr-2'!AB10,0)</f>
        <v>0</v>
      </c>
      <c r="R9" s="637">
        <f>SUM('3 pr-2'!AK10)</f>
        <v>43465</v>
      </c>
      <c r="S9" s="403"/>
      <c r="T9" s="216" t="str">
        <f t="shared" ref="T9:T31" si="5">IF(R9-S9&lt;0,(R9-S9)/365,"–")</f>
        <v>–</v>
      </c>
      <c r="U9" s="404">
        <f>IF(S9&gt;0,(R9-S9)/30.41667,0)</f>
        <v>0</v>
      </c>
      <c r="V9" s="1545">
        <f>IF(S9&gt;0,'IV-3'!K8,0)</f>
        <v>0</v>
      </c>
      <c r="W9" s="1544">
        <f>IF(S9&gt;0,1,0)</f>
        <v>0</v>
      </c>
    </row>
    <row r="10" spans="1:23" ht="36.75" x14ac:dyDescent="0.25">
      <c r="A10" s="182" t="str">
        <f>CONCATENATE('3 pr-2'!A11)</f>
        <v>1.1.1.1.2</v>
      </c>
      <c r="B10" s="182" t="str">
        <f>CONCATENATE('3 pr-2'!B11)</f>
        <v>R01-ZM72-120000-1102</v>
      </c>
      <c r="C10" s="309" t="str">
        <f>CONCATENATE('ketv. 2'!B10)</f>
        <v>20KI-KA-17-1-02617-PR001</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96">
        <f>IF(S10&gt;0,'3 pr-2'!L11,0)</f>
        <v>0</v>
      </c>
      <c r="L10" s="1296">
        <f>IF(S10&gt;0,'3 pr-2'!O11,0)</f>
        <v>0</v>
      </c>
      <c r="M10" s="1296">
        <f>IF(S10&gt;0,'3 pr-2'!R11,0)</f>
        <v>0</v>
      </c>
      <c r="N10" s="1296">
        <f>IF(S10&gt;0,'3 pr-2'!U11,0)</f>
        <v>0</v>
      </c>
      <c r="O10" s="1296">
        <f>IF(S10&gt;0,'3 pr-2'!X11,0)</f>
        <v>0</v>
      </c>
      <c r="P10" s="1296">
        <f>IF(S10&gt;0,'3 pr-2'!AA11,0)</f>
        <v>0</v>
      </c>
      <c r="Q10" s="1435">
        <f>IF($Y$9&gt;0,'3 pr-2'!AB11,0)</f>
        <v>0</v>
      </c>
      <c r="R10" s="637">
        <f>SUM('3 pr-2'!AK11)</f>
        <v>43465</v>
      </c>
      <c r="S10" s="215"/>
      <c r="T10" s="216" t="str">
        <f t="shared" si="5"/>
        <v>–</v>
      </c>
      <c r="U10" s="216"/>
      <c r="V10" s="1546">
        <f>IF(S10&gt;0,'IV-3'!K9,0)</f>
        <v>0</v>
      </c>
      <c r="W10" s="1544">
        <f t="shared" ref="W10:W73" si="6">IF(S10&gt;0,1,0)</f>
        <v>0</v>
      </c>
    </row>
    <row r="11" spans="1:23" ht="36.75" x14ac:dyDescent="0.25">
      <c r="A11" s="182" t="str">
        <f>CONCATENATE('3 pr-2'!A12)</f>
        <v>1.1.1.1.3</v>
      </c>
      <c r="B11" s="182" t="str">
        <f>CONCATENATE('3 pr-2'!B12)</f>
        <v>R01-ZM72-120000-1103</v>
      </c>
      <c r="C11" s="309" t="str">
        <f>CONCATENATE('ketv. 2'!B11)</f>
        <v>20KI-KA-17-1-02622-PR001</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96">
        <f>IF(S11&gt;0,'3 pr-2'!L12,0)</f>
        <v>0</v>
      </c>
      <c r="L11" s="1296">
        <f>IF(S11&gt;0,'3 pr-2'!O12,0)</f>
        <v>0</v>
      </c>
      <c r="M11" s="1296">
        <f>IF(S11&gt;0,'3 pr-2'!R12,0)</f>
        <v>0</v>
      </c>
      <c r="N11" s="1296">
        <f>IF(S11&gt;0,'3 pr-2'!U12,0)</f>
        <v>0</v>
      </c>
      <c r="O11" s="1296">
        <f>IF(S11&gt;0,'3 pr-2'!X12,0)</f>
        <v>0</v>
      </c>
      <c r="P11" s="1296">
        <f>IF(S11&gt;0,'3 pr-2'!AA12,0)</f>
        <v>0</v>
      </c>
      <c r="Q11" s="1435">
        <f>IF($Y$9&gt;0,'3 pr-2'!AB12,0)</f>
        <v>0</v>
      </c>
      <c r="R11" s="637">
        <f>SUM('3 pr-2'!AK12)</f>
        <v>43465</v>
      </c>
      <c r="S11" s="215"/>
      <c r="T11" s="216" t="str">
        <f t="shared" si="5"/>
        <v>–</v>
      </c>
      <c r="U11" s="216"/>
      <c r="V11" s="1546">
        <f>IF(S11&gt;0,'IV-3'!K10,0)</f>
        <v>0</v>
      </c>
      <c r="W11" s="1544">
        <f t="shared" si="6"/>
        <v>0</v>
      </c>
    </row>
    <row r="12" spans="1:23" ht="36.75" x14ac:dyDescent="0.25">
      <c r="A12" s="182" t="str">
        <f>CONCATENATE('3 pr-2'!A13)</f>
        <v>1.1.1.1.4</v>
      </c>
      <c r="B12" s="182" t="str">
        <f>CONCATENATE('3 pr-2'!B13)</f>
        <v>R01-ZM72-330200-1104</v>
      </c>
      <c r="C12" s="309" t="str">
        <f>CONCATENATE('ketv. 2'!B12)</f>
        <v>20KI-KA-17-1-02368-PR001</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96">
        <f>IF(S12&gt;0,'3 pr-2'!L13,0)</f>
        <v>0</v>
      </c>
      <c r="L12" s="1296">
        <f>IF(S12&gt;0,'3 pr-2'!O13,0)</f>
        <v>0</v>
      </c>
      <c r="M12" s="1296">
        <f>IF(S12&gt;0,'3 pr-2'!R13,0)</f>
        <v>0</v>
      </c>
      <c r="N12" s="1296">
        <f>IF(S12&gt;0,'3 pr-2'!U13,0)</f>
        <v>0</v>
      </c>
      <c r="O12" s="1296">
        <f>IF(S12&gt;0,'3 pr-2'!X13,0)</f>
        <v>0</v>
      </c>
      <c r="P12" s="1296">
        <f>IF(S12&gt;0,'3 pr-2'!AA13,0)</f>
        <v>0</v>
      </c>
      <c r="Q12" s="1435">
        <f>IF($Y$9&gt;0,'3 pr-2'!AB13,0)</f>
        <v>0</v>
      </c>
      <c r="R12" s="637">
        <f>SUM('3 pr-2'!AK13)</f>
        <v>43373</v>
      </c>
      <c r="S12" s="215"/>
      <c r="T12" s="216" t="str">
        <f t="shared" si="5"/>
        <v>–</v>
      </c>
      <c r="U12" s="216"/>
      <c r="V12" s="1546">
        <f>IF(S12&gt;0,'IV-3'!K11,0)</f>
        <v>0</v>
      </c>
      <c r="W12" s="1544">
        <f t="shared" si="6"/>
        <v>0</v>
      </c>
    </row>
    <row r="13" spans="1:23" ht="36.75" x14ac:dyDescent="0.25">
      <c r="A13" s="182" t="str">
        <f>CONCATENATE('3 pr-2'!A14)</f>
        <v>1.1.1.1.5</v>
      </c>
      <c r="B13" s="182" t="str">
        <f>CONCATENATE('3 pr-2'!B14)</f>
        <v>R01-ZM72-120000-1105</v>
      </c>
      <c r="C13" s="309" t="str">
        <f>CONCATENATE('ketv. 2'!B13)</f>
        <v>20KI-KA-17-1-02619-PR001</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96">
        <f>IF(S13&gt;0,'3 pr-2'!L14,0)</f>
        <v>0</v>
      </c>
      <c r="L13" s="1296">
        <f>IF(S13&gt;0,'3 pr-2'!O14,0)</f>
        <v>0</v>
      </c>
      <c r="M13" s="1296">
        <f>IF(S13&gt;0,'3 pr-2'!R14,0)</f>
        <v>0</v>
      </c>
      <c r="N13" s="1296">
        <f>IF(S13&gt;0,'3 pr-2'!U14,0)</f>
        <v>0</v>
      </c>
      <c r="O13" s="1296">
        <f>IF(S13&gt;0,'3 pr-2'!X14,0)</f>
        <v>0</v>
      </c>
      <c r="P13" s="1296">
        <f>IF(S13&gt;0,'3 pr-2'!AA14,0)</f>
        <v>0</v>
      </c>
      <c r="Q13" s="1435">
        <f>IF($Y$9&gt;0,'3 pr-2'!AB14,0)</f>
        <v>0</v>
      </c>
      <c r="R13" s="637">
        <f>SUM('3 pr-2'!AK14)</f>
        <v>43465</v>
      </c>
      <c r="S13" s="215"/>
      <c r="T13" s="216" t="str">
        <f t="shared" si="5"/>
        <v>–</v>
      </c>
      <c r="U13" s="216"/>
      <c r="V13" s="1546">
        <f>IF(S13&gt;0,'IV-3'!K12,0)</f>
        <v>0</v>
      </c>
      <c r="W13" s="1544">
        <f t="shared" si="6"/>
        <v>0</v>
      </c>
    </row>
    <row r="14" spans="1:23" ht="48.75" x14ac:dyDescent="0.25">
      <c r="A14" s="182" t="str">
        <f>CONCATENATE('3 pr-2'!A15)</f>
        <v>1.1.1.1.6</v>
      </c>
      <c r="B14" s="182" t="str">
        <f>CONCATENATE('3 pr-2'!B15)</f>
        <v>R01-ZM72-330200-1106</v>
      </c>
      <c r="C14" s="309" t="str">
        <f>CONCATENATE('ketv. 2'!B14)</f>
        <v>20KI-KA-17-1-02374-PR001</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96">
        <f>IF(S14&gt;0,'3 pr-2'!L15,0)</f>
        <v>0</v>
      </c>
      <c r="L14" s="1296">
        <f>IF(S14&gt;0,'3 pr-2'!O15,0)</f>
        <v>0</v>
      </c>
      <c r="M14" s="1296">
        <f>IF(S14&gt;0,'3 pr-2'!R15,0)</f>
        <v>0</v>
      </c>
      <c r="N14" s="1296">
        <f>IF(S14&gt;0,'3 pr-2'!U15,0)</f>
        <v>0</v>
      </c>
      <c r="O14" s="1296">
        <f>IF(S14&gt;0,'3 pr-2'!X15,0)</f>
        <v>0</v>
      </c>
      <c r="P14" s="1296">
        <f>IF(S14&gt;0,'3 pr-2'!AA15,0)</f>
        <v>0</v>
      </c>
      <c r="Q14" s="1435">
        <f>IF($Y$9&gt;0,'3 pr-2'!AB15,0)</f>
        <v>0</v>
      </c>
      <c r="R14" s="637">
        <f>SUM('3 pr-2'!AK15)</f>
        <v>43373</v>
      </c>
      <c r="S14" s="215"/>
      <c r="T14" s="216" t="str">
        <f t="shared" si="5"/>
        <v>–</v>
      </c>
      <c r="U14" s="216"/>
      <c r="V14" s="1546">
        <f>IF(S14&gt;0,'IV-3'!K13,0)</f>
        <v>0</v>
      </c>
      <c r="W14" s="1544">
        <f t="shared" si="6"/>
        <v>0</v>
      </c>
    </row>
    <row r="15" spans="1:23" ht="36.75" x14ac:dyDescent="0.25">
      <c r="A15" s="182" t="str">
        <f>CONCATENATE('3 pr-2'!A16)</f>
        <v>1.1.1.1.7</v>
      </c>
      <c r="B15" s="182" t="str">
        <f>CONCATENATE('3 pr-2'!B16)</f>
        <v>R01-ZM72-123200-1107</v>
      </c>
      <c r="C15" s="309" t="str">
        <f>CONCATENATE('ketv. 2'!B15)</f>
        <v>20KI-KA-17-1-02437-PR001</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96">
        <f>IF(S15&gt;0,'3 pr-2'!L16,0)</f>
        <v>0</v>
      </c>
      <c r="L15" s="1296">
        <f>IF(S15&gt;0,'3 pr-2'!O16,0)</f>
        <v>0</v>
      </c>
      <c r="M15" s="1296">
        <f>IF(S15&gt;0,'3 pr-2'!R16,0)</f>
        <v>0</v>
      </c>
      <c r="N15" s="1296">
        <f>IF(S15&gt;0,'3 pr-2'!U16,0)</f>
        <v>0</v>
      </c>
      <c r="O15" s="1296">
        <f>IF(S15&gt;0,'3 pr-2'!X16,0)</f>
        <v>0</v>
      </c>
      <c r="P15" s="1296">
        <f>IF(S15&gt;0,'3 pr-2'!AA16,0)</f>
        <v>0</v>
      </c>
      <c r="Q15" s="1435">
        <f>IF($Y$9&gt;0,'3 pr-2'!AB16,0)</f>
        <v>0</v>
      </c>
      <c r="R15" s="637">
        <f>SUM('3 pr-2'!AK16)</f>
        <v>43465</v>
      </c>
      <c r="S15" s="215"/>
      <c r="T15" s="216" t="str">
        <f t="shared" si="5"/>
        <v>–</v>
      </c>
      <c r="U15" s="216"/>
      <c r="V15" s="1546">
        <f>IF(S15&gt;0,'IV-3'!K14,0)</f>
        <v>0</v>
      </c>
      <c r="W15" s="1544">
        <f t="shared" si="6"/>
        <v>0</v>
      </c>
    </row>
    <row r="16" spans="1:23" ht="36.75" x14ac:dyDescent="0.25">
      <c r="A16" s="182" t="str">
        <f>CONCATENATE('3 pr-2'!A17)</f>
        <v>1.1.1.1.8</v>
      </c>
      <c r="B16" s="182" t="str">
        <f>CONCATENATE('3 pr-2'!B17)</f>
        <v>R01-ZM72-123200-1108</v>
      </c>
      <c r="C16" s="309" t="str">
        <f>CONCATENATE('ketv. 2'!B16)</f>
        <v>20KI-KA-17-1-02242-PR001</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96">
        <f>IF(S16&gt;0,'3 pr-2'!L17,0)</f>
        <v>0</v>
      </c>
      <c r="L16" s="1296">
        <f>IF(S16&gt;0,'3 pr-2'!O17,0)</f>
        <v>0</v>
      </c>
      <c r="M16" s="1296">
        <f>IF(S16&gt;0,'3 pr-2'!R17,0)</f>
        <v>0</v>
      </c>
      <c r="N16" s="1296">
        <f>IF(S16&gt;0,'3 pr-2'!U17,0)</f>
        <v>0</v>
      </c>
      <c r="O16" s="1296">
        <f>IF(S16&gt;0,'3 pr-2'!X17,0)</f>
        <v>0</v>
      </c>
      <c r="P16" s="1296">
        <f>IF(S16&gt;0,'3 pr-2'!AA17,0)</f>
        <v>0</v>
      </c>
      <c r="Q16" s="1435">
        <f>IF($Y$9&gt;0,'3 pr-2'!AB17,0)</f>
        <v>0</v>
      </c>
      <c r="R16" s="637">
        <f>SUM('3 pr-2'!AK17)</f>
        <v>43465</v>
      </c>
      <c r="S16" s="215"/>
      <c r="T16" s="216" t="str">
        <f t="shared" si="5"/>
        <v>–</v>
      </c>
      <c r="U16" s="216"/>
      <c r="V16" s="1546">
        <f>IF(S16&gt;0,'IV-3'!K15,0)</f>
        <v>0</v>
      </c>
      <c r="W16" s="1544">
        <f t="shared" si="6"/>
        <v>0</v>
      </c>
    </row>
    <row r="17" spans="1:23" ht="36.75" x14ac:dyDescent="0.25">
      <c r="A17" s="182" t="str">
        <f>CONCATENATE('3 pr-2'!A18)</f>
        <v>1.1.1.1.9</v>
      </c>
      <c r="B17" s="182" t="str">
        <f>CONCATENATE('3 pr-2'!B18)</f>
        <v>R01-ZM72-340000-1109</v>
      </c>
      <c r="C17" s="309" t="str">
        <f>CONCATENATE('ketv. 2'!B17)</f>
        <v>20KI-KA-17-1-02372-PR001</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96">
        <f>IF(S17&gt;0,'3 pr-2'!L18,0)</f>
        <v>0</v>
      </c>
      <c r="L17" s="1296">
        <f>IF(S17&gt;0,'3 pr-2'!O18,0)</f>
        <v>0</v>
      </c>
      <c r="M17" s="1296">
        <f>IF(S17&gt;0,'3 pr-2'!R18,0)</f>
        <v>0</v>
      </c>
      <c r="N17" s="1296">
        <f>IF(S17&gt;0,'3 pr-2'!U18,0)</f>
        <v>0</v>
      </c>
      <c r="O17" s="1296">
        <f>IF(S17&gt;0,'3 pr-2'!X18,0)</f>
        <v>0</v>
      </c>
      <c r="P17" s="1296">
        <f>IF(S17&gt;0,'3 pr-2'!AA18,0)</f>
        <v>0</v>
      </c>
      <c r="Q17" s="1435">
        <f>IF($Y$9&gt;0,'3 pr-2'!AB18,0)</f>
        <v>0</v>
      </c>
      <c r="R17" s="637">
        <f>SUM('3 pr-2'!AK18)</f>
        <v>43373</v>
      </c>
      <c r="S17" s="215"/>
      <c r="T17" s="216" t="str">
        <f t="shared" si="5"/>
        <v>–</v>
      </c>
      <c r="U17" s="216"/>
      <c r="V17" s="1546">
        <f>IF(S17&gt;0,'IV-3'!K16,0)</f>
        <v>0</v>
      </c>
      <c r="W17" s="1544">
        <f t="shared" si="6"/>
        <v>0</v>
      </c>
    </row>
    <row r="18" spans="1:23" ht="36.75" x14ac:dyDescent="0.25">
      <c r="A18" s="182" t="str">
        <f>CONCATENATE('3 pr-2'!A19)</f>
        <v>1.1.1.1.10</v>
      </c>
      <c r="B18" s="182" t="str">
        <f>CONCATENATE('3 pr-2'!B19)</f>
        <v>R01-ZM72-340200-1110</v>
      </c>
      <c r="C18" s="309" t="str">
        <f>CONCATENATE('ketv. 2'!B18)</f>
        <v>20KI-KA-17-1-02370-PR001</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96">
        <f>IF(S18&gt;0,'3 pr-2'!L19,0)</f>
        <v>0</v>
      </c>
      <c r="L18" s="1296">
        <f>IF(S18&gt;0,'3 pr-2'!O19,0)</f>
        <v>0</v>
      </c>
      <c r="M18" s="1296">
        <f>IF(S18&gt;0,'3 pr-2'!R19,0)</f>
        <v>0</v>
      </c>
      <c r="N18" s="1296">
        <f>IF(S18&gt;0,'3 pr-2'!U19,0)</f>
        <v>0</v>
      </c>
      <c r="O18" s="1296">
        <f>IF(S18&gt;0,'3 pr-2'!X19,0)</f>
        <v>0</v>
      </c>
      <c r="P18" s="1296">
        <f>IF(S18&gt;0,'3 pr-2'!AA19,0)</f>
        <v>0</v>
      </c>
      <c r="Q18" s="1435">
        <f>IF($Y$9&gt;0,'3 pr-2'!AB19,0)</f>
        <v>0</v>
      </c>
      <c r="R18" s="637">
        <f>SUM('3 pr-2'!AK19)</f>
        <v>43291</v>
      </c>
      <c r="S18" s="215"/>
      <c r="T18" s="216" t="str">
        <f t="shared" si="5"/>
        <v>–</v>
      </c>
      <c r="U18" s="216"/>
      <c r="V18" s="1546">
        <f>IF(S18&gt;0,'IV-3'!K17,0)</f>
        <v>0</v>
      </c>
      <c r="W18" s="1544">
        <f t="shared" si="6"/>
        <v>0</v>
      </c>
    </row>
    <row r="19" spans="1:23" ht="36.75" x14ac:dyDescent="0.25">
      <c r="A19" s="182" t="str">
        <f>CONCATENATE('3 pr-2'!A20)</f>
        <v>1.1.1.1.11</v>
      </c>
      <c r="B19" s="182" t="str">
        <f>CONCATENATE('3 pr-2'!B20)</f>
        <v>R01-ZM72-320000-1111</v>
      </c>
      <c r="C19" s="309" t="str">
        <f>CONCATENATE('ketv. 2'!B19)</f>
        <v>20KI-KA-17-1-02354-PR001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96">
        <f>IF(S19&gt;0,'3 pr-2'!L20,0)</f>
        <v>0</v>
      </c>
      <c r="L19" s="1296">
        <f>IF(S19&gt;0,'3 pr-2'!O20,0)</f>
        <v>0</v>
      </c>
      <c r="M19" s="1296">
        <f>IF(S19&gt;0,'3 pr-2'!R20,0)</f>
        <v>0</v>
      </c>
      <c r="N19" s="1296">
        <f>IF(S19&gt;0,'3 pr-2'!U20,0)</f>
        <v>0</v>
      </c>
      <c r="O19" s="1296">
        <f>IF(S19&gt;0,'3 pr-2'!X20,0)</f>
        <v>0</v>
      </c>
      <c r="P19" s="1296">
        <f>IF(S19&gt;0,'3 pr-2'!AA20,0)</f>
        <v>0</v>
      </c>
      <c r="Q19" s="1435">
        <f>IF($Y$9&gt;0,'3 pr-2'!AB20,0)</f>
        <v>0</v>
      </c>
      <c r="R19" s="637">
        <f>SUM('3 pr-2'!AK20)</f>
        <v>43292</v>
      </c>
      <c r="S19" s="215"/>
      <c r="T19" s="216" t="str">
        <f t="shared" si="5"/>
        <v>–</v>
      </c>
      <c r="U19" s="216"/>
      <c r="V19" s="1546">
        <f>IF(S19&gt;0,'IV-3'!K18,0)</f>
        <v>0</v>
      </c>
      <c r="W19" s="1544">
        <f t="shared" si="6"/>
        <v>0</v>
      </c>
    </row>
    <row r="20" spans="1:23" ht="36.75" x14ac:dyDescent="0.25">
      <c r="A20" s="182" t="str">
        <f>CONCATENATE('3 pr-2'!A21)</f>
        <v>1.1.1.1.12</v>
      </c>
      <c r="B20" s="182" t="str">
        <f>CONCATENATE('3 pr-2'!B21)</f>
        <v>R01-ZM72-120000-1112</v>
      </c>
      <c r="C20" s="309" t="str">
        <f>CONCATENATE('ketv. 2'!B20)</f>
        <v>20KI-KA-17-1-02470-PR001</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96">
        <f>IF(S20&gt;0,'3 pr-2'!L21,0)</f>
        <v>0</v>
      </c>
      <c r="L20" s="1296">
        <f>IF(S20&gt;0,'3 pr-2'!O21,0)</f>
        <v>0</v>
      </c>
      <c r="M20" s="1296">
        <f>IF(S20&gt;0,'3 pr-2'!R21,0)</f>
        <v>0</v>
      </c>
      <c r="N20" s="1296">
        <f>IF(S20&gt;0,'3 pr-2'!U21,0)</f>
        <v>0</v>
      </c>
      <c r="O20" s="1296">
        <f>IF(S20&gt;0,'3 pr-2'!X21,0)</f>
        <v>0</v>
      </c>
      <c r="P20" s="1296">
        <f>IF(S20&gt;0,'3 pr-2'!AA21,0)</f>
        <v>0</v>
      </c>
      <c r="Q20" s="1435">
        <f>IF($Y$9&gt;0,'3 pr-2'!AB21,0)</f>
        <v>0</v>
      </c>
      <c r="R20" s="637">
        <f>SUM('3 pr-2'!AK21)</f>
        <v>43465</v>
      </c>
      <c r="S20" s="215"/>
      <c r="T20" s="216" t="str">
        <f t="shared" si="5"/>
        <v>–</v>
      </c>
      <c r="U20" s="216"/>
      <c r="V20" s="1546">
        <f>IF(S20&gt;0,'IV-3'!K19,0)</f>
        <v>0</v>
      </c>
      <c r="W20" s="1544">
        <f t="shared" si="6"/>
        <v>0</v>
      </c>
    </row>
    <row r="21" spans="1:23" ht="36.75" x14ac:dyDescent="0.25">
      <c r="A21" s="182" t="str">
        <f>CONCATENATE('3 pr-2'!A22)</f>
        <v>1.1.1.1.13</v>
      </c>
      <c r="B21" s="182" t="str">
        <f>CONCATENATE('3 pr-2'!B22)</f>
        <v>R01-ZM72-123200-1113</v>
      </c>
      <c r="C21" s="309" t="str">
        <f>CONCATENATE('ketv. 2'!B21)</f>
        <v>20KI-KA-17-1-02438-PR001</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96">
        <f>IF(S21&gt;0,'3 pr-2'!L22,0)</f>
        <v>0</v>
      </c>
      <c r="L21" s="1296">
        <f>IF(S21&gt;0,'3 pr-2'!O22,0)</f>
        <v>0</v>
      </c>
      <c r="M21" s="1296">
        <f>IF(S21&gt;0,'3 pr-2'!R22,0)</f>
        <v>0</v>
      </c>
      <c r="N21" s="1296">
        <f>IF(S21&gt;0,'3 pr-2'!U22,0)</f>
        <v>0</v>
      </c>
      <c r="O21" s="1296">
        <f>IF(S21&gt;0,'3 pr-2'!X22,0)</f>
        <v>0</v>
      </c>
      <c r="P21" s="1296">
        <f>IF(S21&gt;0,'3 pr-2'!AA22,0)</f>
        <v>0</v>
      </c>
      <c r="Q21" s="1435">
        <f>IF($Y$9&gt;0,'3 pr-2'!AB22,0)</f>
        <v>0</v>
      </c>
      <c r="R21" s="637">
        <f>SUM('3 pr-2'!AK22)</f>
        <v>43465</v>
      </c>
      <c r="S21" s="215"/>
      <c r="T21" s="216" t="str">
        <f t="shared" si="5"/>
        <v>–</v>
      </c>
      <c r="U21" s="216"/>
      <c r="V21" s="1546">
        <f>IF(S21&gt;0,'IV-3'!K20,0)</f>
        <v>0</v>
      </c>
      <c r="W21" s="1544">
        <f t="shared" si="6"/>
        <v>0</v>
      </c>
    </row>
    <row r="22" spans="1:23" ht="36.75" x14ac:dyDescent="0.25">
      <c r="A22" s="182" t="str">
        <f>CONCATENATE('3 pr-2'!A23)</f>
        <v>1.1.1.1.14</v>
      </c>
      <c r="B22" s="182" t="str">
        <f>CONCATENATE('3 pr-2'!B23)</f>
        <v>R01-ZM72-122900-1114</v>
      </c>
      <c r="C22" s="309" t="str">
        <f>CONCATENATE('ketv. 2'!B22)</f>
        <v>20KI-KA-17-1-01647-PR001</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96">
        <f>IF(S22&gt;0,'3 pr-2'!L23,0)</f>
        <v>0</v>
      </c>
      <c r="L22" s="1296">
        <f>IF(S22&gt;0,'3 pr-2'!O23,0)</f>
        <v>0</v>
      </c>
      <c r="M22" s="1296">
        <f>IF(S22&gt;0,'3 pr-2'!R23,0)</f>
        <v>0</v>
      </c>
      <c r="N22" s="1296">
        <f>IF(S22&gt;0,'3 pr-2'!U23,0)</f>
        <v>0</v>
      </c>
      <c r="O22" s="1296">
        <f>IF(S22&gt;0,'3 pr-2'!X23,0)</f>
        <v>0</v>
      </c>
      <c r="P22" s="1296">
        <f>IF(S22&gt;0,'3 pr-2'!AA23,0)</f>
        <v>0</v>
      </c>
      <c r="Q22" s="1435">
        <f>IF($Y$9&gt;0,'3 pr-2'!AB23,0)</f>
        <v>0</v>
      </c>
      <c r="R22" s="637">
        <f>SUM('3 pr-2'!AK23)</f>
        <v>43830</v>
      </c>
      <c r="S22" s="215"/>
      <c r="T22" s="216" t="str">
        <f t="shared" si="5"/>
        <v>–</v>
      </c>
      <c r="U22" s="216"/>
      <c r="V22" s="1546">
        <f>IF(S22&gt;0,'IV-3'!K21,0)</f>
        <v>0</v>
      </c>
      <c r="W22" s="1544">
        <f t="shared" si="6"/>
        <v>0</v>
      </c>
    </row>
    <row r="23" spans="1:23" ht="36.75" x14ac:dyDescent="0.25">
      <c r="A23" s="182" t="str">
        <f>CONCATENATE('3 pr-2'!A24)</f>
        <v>1.1.1.1.15</v>
      </c>
      <c r="B23" s="182" t="str">
        <f>CONCATENATE('3 pr-2'!B24)</f>
        <v>R01-ZM72-123200-1115</v>
      </c>
      <c r="C23" s="309" t="str">
        <f>CONCATENATE('ketv. 2'!B23)</f>
        <v>20KI-KA-17-1-02469-PR001</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96">
        <f>IF(S23&gt;0,'3 pr-2'!L24,0)</f>
        <v>0</v>
      </c>
      <c r="L23" s="1296">
        <f>IF(S23&gt;0,'3 pr-2'!O24,0)</f>
        <v>0</v>
      </c>
      <c r="M23" s="1296">
        <f>IF(S23&gt;0,'3 pr-2'!R24,0)</f>
        <v>0</v>
      </c>
      <c r="N23" s="1296">
        <f>IF(S23&gt;0,'3 pr-2'!U24,0)</f>
        <v>0</v>
      </c>
      <c r="O23" s="1296">
        <f>IF(S23&gt;0,'3 pr-2'!X24,0)</f>
        <v>0</v>
      </c>
      <c r="P23" s="1296">
        <f>IF(S23&gt;0,'3 pr-2'!AA24,0)</f>
        <v>0</v>
      </c>
      <c r="Q23" s="1435">
        <f>IF($Y$9&gt;0,'3 pr-2'!AB24,0)</f>
        <v>0</v>
      </c>
      <c r="R23" s="637">
        <f>SUM('3 pr-2'!AK24)</f>
        <v>43465</v>
      </c>
      <c r="S23" s="215"/>
      <c r="T23" s="216" t="str">
        <f t="shared" si="5"/>
        <v>–</v>
      </c>
      <c r="U23" s="216"/>
      <c r="V23" s="1546">
        <f>IF(S23&gt;0,'IV-3'!K22,0)</f>
        <v>0</v>
      </c>
      <c r="W23" s="1544">
        <f t="shared" si="6"/>
        <v>0</v>
      </c>
    </row>
    <row r="24" spans="1:23" ht="36.75" x14ac:dyDescent="0.25">
      <c r="A24" s="182" t="str">
        <f>CONCATENATE('3 pr-2'!A25)</f>
        <v>1.1.1.1.16</v>
      </c>
      <c r="B24" s="182" t="str">
        <f>CONCATENATE('3 pr-2'!B25)</f>
        <v>R01-ZM72-123200-1116</v>
      </c>
      <c r="C24" s="309" t="str">
        <f>CONCATENATE('ketv. 2'!B24)</f>
        <v>20KI-KA-17-1-02240-PR001</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96">
        <f>IF(S24&gt;0,'3 pr-2'!L25,0)</f>
        <v>0</v>
      </c>
      <c r="L24" s="1296">
        <f>IF(S24&gt;0,'3 pr-2'!O25,0)</f>
        <v>0</v>
      </c>
      <c r="M24" s="1296">
        <f>IF(S24&gt;0,'3 pr-2'!R25,0)</f>
        <v>0</v>
      </c>
      <c r="N24" s="1296">
        <f>IF(S24&gt;0,'3 pr-2'!U25,0)</f>
        <v>0</v>
      </c>
      <c r="O24" s="1296">
        <f>IF(S24&gt;0,'3 pr-2'!X25,0)</f>
        <v>0</v>
      </c>
      <c r="P24" s="1296">
        <f>IF(S24&gt;0,'3 pr-2'!AA25,0)</f>
        <v>0</v>
      </c>
      <c r="Q24" s="1435">
        <f>IF($Y$9&gt;0,'3 pr-2'!AB25,0)</f>
        <v>0</v>
      </c>
      <c r="R24" s="637">
        <f>SUM('3 pr-2'!AK25)</f>
        <v>43465</v>
      </c>
      <c r="S24" s="215"/>
      <c r="T24" s="216" t="str">
        <f t="shared" si="5"/>
        <v>–</v>
      </c>
      <c r="U24" s="216"/>
      <c r="V24" s="1546">
        <f>IF(S24&gt;0,'IV-3'!K23,0)</f>
        <v>0</v>
      </c>
      <c r="W24" s="1544">
        <f t="shared" si="6"/>
        <v>0</v>
      </c>
    </row>
    <row r="25" spans="1:23" ht="36.75" x14ac:dyDescent="0.25">
      <c r="A25" s="182" t="str">
        <f>CONCATENATE('3 pr-2'!A26)</f>
        <v>1.1.1.1.17</v>
      </c>
      <c r="B25" s="182" t="str">
        <f>CONCATENATE('3 pr-2'!B26)</f>
        <v>R01-ZM72-120000-1117</v>
      </c>
      <c r="C25" s="309" t="str">
        <f>CONCATENATE('ketv. 2'!B25)</f>
        <v>20KI-KA-17-1-01639-PR001</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96">
        <f>IF(S25&gt;0,'3 pr-2'!L26,0)</f>
        <v>0</v>
      </c>
      <c r="L25" s="1296">
        <f>IF(S25&gt;0,'3 pr-2'!O26,0)</f>
        <v>0</v>
      </c>
      <c r="M25" s="1296">
        <f>IF(S25&gt;0,'3 pr-2'!R26,0)</f>
        <v>0</v>
      </c>
      <c r="N25" s="1296">
        <f>IF(S25&gt;0,'3 pr-2'!U26,0)</f>
        <v>0</v>
      </c>
      <c r="O25" s="1296">
        <f>IF(S25&gt;0,'3 pr-2'!X26,0)</f>
        <v>0</v>
      </c>
      <c r="P25" s="1296">
        <f>IF(S25&gt;0,'3 pr-2'!AA26,0)</f>
        <v>0</v>
      </c>
      <c r="Q25" s="1435">
        <f>IF($Y$9&gt;0,'3 pr-2'!AB26,0)</f>
        <v>0</v>
      </c>
      <c r="R25" s="637">
        <f>SUM('3 pr-2'!AK26)</f>
        <v>43830</v>
      </c>
      <c r="S25" s="215"/>
      <c r="T25" s="216" t="str">
        <f t="shared" si="5"/>
        <v>–</v>
      </c>
      <c r="U25" s="216"/>
      <c r="V25" s="1546">
        <f>IF(S25&gt;0,'IV-3'!K24,0)</f>
        <v>0</v>
      </c>
      <c r="W25" s="1544">
        <f t="shared" si="6"/>
        <v>0</v>
      </c>
    </row>
    <row r="26" spans="1:23" ht="36.75" x14ac:dyDescent="0.25">
      <c r="A26" s="182" t="str">
        <f>CONCATENATE('3 pr-2'!A27)</f>
        <v>1.1.1.1.18</v>
      </c>
      <c r="B26" s="182" t="str">
        <f>CONCATENATE('3 pr-2'!B27)</f>
        <v>R01-ZM72-340000-1118</v>
      </c>
      <c r="C26" s="309" t="str">
        <f>CONCATENATE('ketv. 2'!B26)</f>
        <v>20KI-KA-17-1-01666-PR001</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96">
        <f>IF(S26&gt;0,'3 pr-2'!L27,0)</f>
        <v>0</v>
      </c>
      <c r="L26" s="1296">
        <f>IF(S26&gt;0,'3 pr-2'!O27,0)</f>
        <v>0</v>
      </c>
      <c r="M26" s="1296">
        <f>IF(S26&gt;0,'3 pr-2'!R27,0)</f>
        <v>0</v>
      </c>
      <c r="N26" s="1296">
        <f>IF(S26&gt;0,'3 pr-2'!U27,0)</f>
        <v>0</v>
      </c>
      <c r="O26" s="1296">
        <f>IF(S26&gt;0,'3 pr-2'!X27,0)</f>
        <v>0</v>
      </c>
      <c r="P26" s="1296">
        <f>IF(S26&gt;0,'3 pr-2'!AA27,0)</f>
        <v>0</v>
      </c>
      <c r="Q26" s="1435">
        <f>IF($Y$9&gt;0,'3 pr-2'!AB27,0)</f>
        <v>0</v>
      </c>
      <c r="R26" s="637">
        <f>SUM('3 pr-2'!AK27)</f>
        <v>43830</v>
      </c>
      <c r="S26" s="215"/>
      <c r="T26" s="216" t="str">
        <f t="shared" si="5"/>
        <v>–</v>
      </c>
      <c r="U26" s="216"/>
      <c r="V26" s="1546">
        <f>IF(S26&gt;0,'IV-3'!K25,0)</f>
        <v>0</v>
      </c>
      <c r="W26" s="1544">
        <f t="shared" si="6"/>
        <v>0</v>
      </c>
    </row>
    <row r="27" spans="1:23" ht="36.75" x14ac:dyDescent="0.25">
      <c r="A27" s="182" t="str">
        <f>CONCATENATE('3 pr-2'!A28)</f>
        <v>1.1.1.1.19</v>
      </c>
      <c r="B27" s="182" t="str">
        <f>CONCATENATE('3 pr-2'!B28)</f>
        <v>R01-ZM72-120000-1119</v>
      </c>
      <c r="C27" s="309" t="str">
        <f>CONCATENATE('ketv. 2'!B27)</f>
        <v>20KI-KA-17-1-02648-PR001</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96">
        <f>IF(S27&gt;0,'3 pr-2'!L28,0)</f>
        <v>0</v>
      </c>
      <c r="L27" s="1296">
        <f>IF(S27&gt;0,'3 pr-2'!O28,0)</f>
        <v>0</v>
      </c>
      <c r="M27" s="1296">
        <f>IF(S27&gt;0,'3 pr-2'!R28,0)</f>
        <v>0</v>
      </c>
      <c r="N27" s="1296">
        <f>IF(S27&gt;0,'3 pr-2'!U28,0)</f>
        <v>0</v>
      </c>
      <c r="O27" s="1296">
        <f>IF(S27&gt;0,'3 pr-2'!X28,0)</f>
        <v>0</v>
      </c>
      <c r="P27" s="1296">
        <f>IF(S27&gt;0,'3 pr-2'!AA28,0)</f>
        <v>0</v>
      </c>
      <c r="Q27" s="1435">
        <f>IF($Y$9&gt;0,'3 pr-2'!AB28,0)</f>
        <v>0</v>
      </c>
      <c r="R27" s="637">
        <f>SUM('3 pr-2'!AK28)</f>
        <v>43465</v>
      </c>
      <c r="S27" s="215"/>
      <c r="T27" s="216" t="str">
        <f t="shared" si="5"/>
        <v>–</v>
      </c>
      <c r="U27" s="216"/>
      <c r="V27" s="1546">
        <f>IF(S27&gt;0,'IV-3'!K26,0)</f>
        <v>0</v>
      </c>
      <c r="W27" s="1544">
        <f t="shared" si="6"/>
        <v>0</v>
      </c>
    </row>
    <row r="28" spans="1:23" ht="36.75" x14ac:dyDescent="0.25">
      <c r="A28" s="182" t="str">
        <f>CONCATENATE('3 pr-2'!A29)</f>
        <v>1.1.1.1.20</v>
      </c>
      <c r="B28" s="182" t="str">
        <f>CONCATENATE('3 pr-2'!B29)</f>
        <v>R01-ZM72-340000-1120</v>
      </c>
      <c r="C28" s="309" t="str">
        <f>CONCATENATE('ketv. 2'!B28)</f>
        <v>20KI-KA-17-1-01736-PR001</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296">
        <f>IF(S28&gt;0,'3 pr-2'!L29,0)</f>
        <v>0</v>
      </c>
      <c r="L28" s="1296">
        <f>IF(S28&gt;0,'3 pr-2'!O29,0)</f>
        <v>0</v>
      </c>
      <c r="M28" s="1296">
        <f>IF(S28&gt;0,'3 pr-2'!R29,0)</f>
        <v>0</v>
      </c>
      <c r="N28" s="1296">
        <f>IF(S28&gt;0,'3 pr-2'!U29,0)</f>
        <v>0</v>
      </c>
      <c r="O28" s="1296">
        <f>IF(S28&gt;0,'3 pr-2'!X29,0)</f>
        <v>0</v>
      </c>
      <c r="P28" s="1296">
        <f>IF(S28&gt;0,'3 pr-2'!AA29,0)</f>
        <v>0</v>
      </c>
      <c r="Q28" s="1435">
        <f>IF($Y$9&gt;0,'3 pr-2'!AB29,0)</f>
        <v>0</v>
      </c>
      <c r="R28" s="637">
        <f>SUM('3 pr-2'!AK29)</f>
        <v>43830</v>
      </c>
      <c r="S28" s="215"/>
      <c r="T28" s="216" t="str">
        <f t="shared" si="5"/>
        <v>–</v>
      </c>
      <c r="U28" s="216"/>
      <c r="V28" s="1546">
        <f>IF(S28&gt;0,'IV-3'!K27,0)</f>
        <v>0</v>
      </c>
      <c r="W28" s="1544">
        <f t="shared" si="6"/>
        <v>0</v>
      </c>
    </row>
    <row r="29" spans="1:23" ht="36.75" x14ac:dyDescent="0.25">
      <c r="A29" s="182" t="str">
        <f>CONCATENATE('3 pr-2'!A30)</f>
        <v>1.1.1.1.21</v>
      </c>
      <c r="B29" s="182" t="str">
        <f>CONCATENATE('3 pr-2'!B30)</f>
        <v>R01-ZM72-120000-1121</v>
      </c>
      <c r="C29" s="309" t="str">
        <f>CONCATENATE('ketv. 2'!B29)</f>
        <v>20KI-KA-17-1-02364-PR001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296">
        <f>IF(S29&gt;0,'3 pr-2'!L30,0)</f>
        <v>0</v>
      </c>
      <c r="L29" s="1296">
        <f>IF(S29&gt;0,'3 pr-2'!O30,0)</f>
        <v>0</v>
      </c>
      <c r="M29" s="1296">
        <f>IF(S29&gt;0,'3 pr-2'!R30,0)</f>
        <v>0</v>
      </c>
      <c r="N29" s="1296">
        <f>IF(S29&gt;0,'3 pr-2'!U30,0)</f>
        <v>0</v>
      </c>
      <c r="O29" s="1296">
        <f>IF(S29&gt;0,'3 pr-2'!X30,0)</f>
        <v>0</v>
      </c>
      <c r="P29" s="1296">
        <f>IF(S29&gt;0,'3 pr-2'!AA30,0)</f>
        <v>0</v>
      </c>
      <c r="Q29" s="1435">
        <f>IF($Y$9&gt;0,'3 pr-2'!AB30,0)</f>
        <v>0</v>
      </c>
      <c r="R29" s="637">
        <f>SUM('3 pr-2'!AK30)</f>
        <v>43291</v>
      </c>
      <c r="S29" s="215"/>
      <c r="T29" s="216" t="str">
        <f t="shared" si="5"/>
        <v>–</v>
      </c>
      <c r="U29" s="216"/>
      <c r="V29" s="1546">
        <f>IF(S29&gt;0,'IV-3'!K28,0)</f>
        <v>0</v>
      </c>
      <c r="W29" s="1544">
        <f t="shared" si="6"/>
        <v>0</v>
      </c>
    </row>
    <row r="30" spans="1:23" ht="36.75" x14ac:dyDescent="0.25">
      <c r="A30" s="182" t="str">
        <f>CONCATENATE('3 pr-2'!A31)</f>
        <v>1.1.1.1.22</v>
      </c>
      <c r="B30" s="182" t="str">
        <f>CONCATENATE('3 pr-2'!B31)</f>
        <v>R01-ZM72-120000-1122</v>
      </c>
      <c r="C30" s="309" t="str">
        <f>CONCATENATE('ketv. 2'!B30)</f>
        <v>20KI-KA-17-1-02241-PR001</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96">
        <f>IF(S30&gt;0,'3 pr-2'!L31,0)</f>
        <v>0</v>
      </c>
      <c r="L30" s="1296">
        <f>IF(S30&gt;0,'3 pr-2'!O31,0)</f>
        <v>0</v>
      </c>
      <c r="M30" s="1296">
        <f>IF(S30&gt;0,'3 pr-2'!R31,0)</f>
        <v>0</v>
      </c>
      <c r="N30" s="1296">
        <f>IF(S30&gt;0,'3 pr-2'!U31,0)</f>
        <v>0</v>
      </c>
      <c r="O30" s="1296">
        <f>IF(S30&gt;0,'3 pr-2'!X31,0)</f>
        <v>0</v>
      </c>
      <c r="P30" s="1296">
        <f>IF(S30&gt;0,'3 pr-2'!AA31,0)</f>
        <v>0</v>
      </c>
      <c r="Q30" s="1435">
        <f>IF($Y$9&gt;0,'3 pr-2'!AB31,0)</f>
        <v>0</v>
      </c>
      <c r="R30" s="637">
        <f>SUM('3 pr-2'!AK31)</f>
        <v>43465</v>
      </c>
      <c r="S30" s="215"/>
      <c r="T30" s="216" t="str">
        <f t="shared" si="5"/>
        <v>–</v>
      </c>
      <c r="U30" s="216"/>
      <c r="V30" s="1546">
        <f>IF(S30&gt;0,'IV-3'!K29,0)</f>
        <v>0</v>
      </c>
      <c r="W30" s="1544">
        <f t="shared" si="6"/>
        <v>0</v>
      </c>
    </row>
    <row r="31" spans="1:23" ht="37.5" thickBot="1" x14ac:dyDescent="0.3">
      <c r="A31" s="182" t="str">
        <f>CONCATENATE('3 pr-2'!A32)</f>
        <v>1.1.1.1.23</v>
      </c>
      <c r="B31" s="182" t="str">
        <f>CONCATENATE('3 pr-2'!B32)</f>
        <v>R01-ZM72-120000-1123</v>
      </c>
      <c r="C31" s="309" t="str">
        <f>CONCATENATE('ketv. 2'!B31)</f>
        <v/>
      </c>
      <c r="D31" s="182"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96">
        <f>IF(S31&gt;0,'3 pr-2'!L32,0)</f>
        <v>0</v>
      </c>
      <c r="L31" s="1296">
        <f>IF(S31&gt;0,'3 pr-2'!O32,0)</f>
        <v>0</v>
      </c>
      <c r="M31" s="1296">
        <f>IF(S31&gt;0,'3 pr-2'!R32,0)</f>
        <v>0</v>
      </c>
      <c r="N31" s="1296">
        <f>IF(S31&gt;0,'3 pr-2'!U32,0)</f>
        <v>0</v>
      </c>
      <c r="O31" s="1296">
        <f>IF(S31&gt;0,'3 pr-2'!X32,0)</f>
        <v>0</v>
      </c>
      <c r="P31" s="1296">
        <f>IF(S31&gt;0,'3 pr-2'!AA32,0)</f>
        <v>0</v>
      </c>
      <c r="Q31" s="1435">
        <f>IF($Y$9&gt;0,'3 pr-2'!AB32,0)</f>
        <v>0</v>
      </c>
      <c r="R31" s="1185">
        <f>SUM('3 pr-2'!AK32)</f>
        <v>43830</v>
      </c>
      <c r="S31" s="215"/>
      <c r="T31" s="216" t="str">
        <f t="shared" si="5"/>
        <v>–</v>
      </c>
      <c r="U31" s="216"/>
      <c r="V31" s="1546">
        <f>IF(S31&gt;0,'IV-3'!K30,0)</f>
        <v>0</v>
      </c>
      <c r="W31" s="1544">
        <f t="shared" si="6"/>
        <v>0</v>
      </c>
    </row>
    <row r="32" spans="1:23" ht="28.5" customHeight="1" thickBot="1" x14ac:dyDescent="0.3">
      <c r="A32" s="326" t="str">
        <f>CONCATENATE('3 pr-2'!A33)</f>
        <v>1.1.1.2</v>
      </c>
      <c r="B32" s="2025" t="str">
        <f>CONCATENATE('3 pr-2'!B33)</f>
        <v>Priemonė:
Kaimo gyvenamųjų vietovių (turinčių 1-6 tūkst. gyventojų) atnaujinimas ir plėtra</v>
      </c>
      <c r="C32" s="2026"/>
      <c r="D32" s="2026"/>
      <c r="E32" s="2026"/>
      <c r="F32" s="2026"/>
      <c r="G32" s="2026"/>
      <c r="H32" s="2026"/>
      <c r="I32" s="2026"/>
      <c r="J32" s="2027"/>
      <c r="K32" s="1293">
        <f>SUM(K33:K37)</f>
        <v>0</v>
      </c>
      <c r="L32" s="1293">
        <f t="shared" ref="L32:Q32" si="7">SUM(L33:L37)</f>
        <v>0</v>
      </c>
      <c r="M32" s="1293">
        <f t="shared" si="7"/>
        <v>0</v>
      </c>
      <c r="N32" s="1293">
        <f t="shared" si="7"/>
        <v>0</v>
      </c>
      <c r="O32" s="1293">
        <f t="shared" si="7"/>
        <v>0</v>
      </c>
      <c r="P32" s="1293">
        <f t="shared" si="7"/>
        <v>0</v>
      </c>
      <c r="Q32" s="1293">
        <f t="shared" si="7"/>
        <v>0</v>
      </c>
      <c r="R32" s="1186" t="s">
        <v>690</v>
      </c>
      <c r="S32" s="397" t="s">
        <v>690</v>
      </c>
      <c r="T32" s="397" t="s">
        <v>690</v>
      </c>
      <c r="U32" s="397"/>
      <c r="V32" s="1544"/>
      <c r="W32" s="1544">
        <f t="shared" si="6"/>
        <v>1</v>
      </c>
    </row>
    <row r="33" spans="1:23" ht="36.75" x14ac:dyDescent="0.25">
      <c r="A33" s="182" t="str">
        <f>CONCATENATE('3 pr-2'!A34)</f>
        <v>1.1.1.2.1</v>
      </c>
      <c r="B33" s="182" t="str">
        <f>CONCATENATE('3 pr-2'!B34)</f>
        <v>R01-9908-293400-1121</v>
      </c>
      <c r="C33" s="309" t="str">
        <f>CONCATENATE('ketv. 2'!B33)</f>
        <v>08.2.1-CPVA-R-908-11-0002</v>
      </c>
      <c r="D33" s="182"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96">
        <f>IF(S33&gt;0,'3 pr-2'!L34,0)</f>
        <v>0</v>
      </c>
      <c r="L33" s="1296">
        <f>IF(S33&gt;0,'3 pr-2'!O34,0)</f>
        <v>0</v>
      </c>
      <c r="M33" s="1296">
        <f>IF(S33&gt;0,'3 pr-2'!R34,0)</f>
        <v>0</v>
      </c>
      <c r="N33" s="1296">
        <f>IF(S33&gt;0,'3 pr-2'!U34,0)</f>
        <v>0</v>
      </c>
      <c r="O33" s="1296">
        <f>IF(S33&gt;0,'3 pr-2'!X34,0)</f>
        <v>0</v>
      </c>
      <c r="P33" s="1296">
        <f>IF(S33&gt;0,'3 pr-2'!AA34,0)</f>
        <v>0</v>
      </c>
      <c r="Q33" s="1435">
        <f>IF($Y$9&gt;0,'3 pr-2'!AB34,0)</f>
        <v>0</v>
      </c>
      <c r="R33" s="637">
        <f>SUM('3 pr-2'!AK34)</f>
        <v>44196</v>
      </c>
      <c r="S33" s="215"/>
      <c r="T33" s="216" t="str">
        <f t="shared" ref="T33:T37" si="8">IF(R33-S33&lt;0,(R33-S33)/365,"–")</f>
        <v>–</v>
      </c>
      <c r="U33" s="216"/>
      <c r="V33" s="1546">
        <f>IF(S33&gt;0,'IV-3'!K32,0)</f>
        <v>0</v>
      </c>
      <c r="W33" s="1544">
        <f t="shared" si="6"/>
        <v>0</v>
      </c>
    </row>
    <row r="34" spans="1:23" ht="36.75" x14ac:dyDescent="0.25">
      <c r="A34" s="182" t="str">
        <f>CONCATENATE('3 pr-2'!A35)</f>
        <v>1.1.1.2.2</v>
      </c>
      <c r="B34" s="182" t="str">
        <f>CONCATENATE('3 pr-2'!B35)</f>
        <v>R01-9908-290000-1122</v>
      </c>
      <c r="C34" s="309" t="str">
        <f>CONCATENATE('ketv. 2'!B34)</f>
        <v>08.2.1-CPVA-R-908-11-0001</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96">
        <f>IF(S34&gt;0,'3 pr-2'!L35,0)</f>
        <v>0</v>
      </c>
      <c r="L34" s="1296">
        <f>IF(S34&gt;0,'3 pr-2'!O35,0)</f>
        <v>0</v>
      </c>
      <c r="M34" s="1296">
        <f>IF(S34&gt;0,'3 pr-2'!R35,0)</f>
        <v>0</v>
      </c>
      <c r="N34" s="1296">
        <f>IF(S34&gt;0,'3 pr-2'!U35,0)</f>
        <v>0</v>
      </c>
      <c r="O34" s="1296">
        <f>IF(S34&gt;0,'3 pr-2'!X35,0)</f>
        <v>0</v>
      </c>
      <c r="P34" s="1296">
        <f>IF(S34&gt;0,'3 pr-2'!AA35,0)</f>
        <v>0</v>
      </c>
      <c r="Q34" s="1435">
        <f>IF($Y$9&gt;0,'3 pr-2'!AB35,0)</f>
        <v>0</v>
      </c>
      <c r="R34" s="637">
        <f>SUM('3 pr-2'!AK35)</f>
        <v>44196</v>
      </c>
      <c r="S34" s="215"/>
      <c r="T34" s="216" t="str">
        <f t="shared" si="8"/>
        <v>–</v>
      </c>
      <c r="U34" s="216"/>
      <c r="V34" s="1546">
        <f>IF(S34&gt;0,'IV-3'!K33,0)</f>
        <v>0</v>
      </c>
      <c r="W34" s="1544">
        <f t="shared" si="6"/>
        <v>0</v>
      </c>
    </row>
    <row r="35" spans="1:23" ht="36.75" x14ac:dyDescent="0.25">
      <c r="A35" s="182" t="str">
        <f>CONCATENATE('3 pr-2'!A36)</f>
        <v>1.1.1.2.3</v>
      </c>
      <c r="B35" s="182" t="str">
        <f>CONCATENATE('3 pr-2'!B36)</f>
        <v>R01-9908-290000-1123</v>
      </c>
      <c r="C35" s="309" t="str">
        <f>CONCATENATE('ketv. 2'!B35)</f>
        <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96">
        <f>IF(S35&gt;0,'3 pr-2'!L36,0)</f>
        <v>0</v>
      </c>
      <c r="L35" s="1296">
        <f>IF(S35&gt;0,'3 pr-2'!O36,0)</f>
        <v>0</v>
      </c>
      <c r="M35" s="1296">
        <f>IF(S35&gt;0,'3 pr-2'!R36,0)</f>
        <v>0</v>
      </c>
      <c r="N35" s="1296">
        <f>IF(S35&gt;0,'3 pr-2'!U36,0)</f>
        <v>0</v>
      </c>
      <c r="O35" s="1296">
        <f>IF(S35&gt;0,'3 pr-2'!X36,0)</f>
        <v>0</v>
      </c>
      <c r="P35" s="1296">
        <f>IF(S35&gt;0,'3 pr-2'!AA36,0)</f>
        <v>0</v>
      </c>
      <c r="Q35" s="1435">
        <f>IF($Y$9&gt;0,'3 pr-2'!AB36,0)</f>
        <v>0</v>
      </c>
      <c r="R35" s="637">
        <f>SUM('3 pr-2'!AK36)</f>
        <v>44377</v>
      </c>
      <c r="S35" s="215"/>
      <c r="T35" s="216" t="str">
        <f t="shared" si="8"/>
        <v>–</v>
      </c>
      <c r="U35" s="216"/>
      <c r="V35" s="1546">
        <f>IF(S35&gt;0,'IV-3'!K34,0)</f>
        <v>0</v>
      </c>
      <c r="W35" s="1544">
        <f t="shared" si="6"/>
        <v>0</v>
      </c>
    </row>
    <row r="36" spans="1:23" ht="36.75" x14ac:dyDescent="0.25">
      <c r="A36" s="182" t="str">
        <f>CONCATENATE('3 pr-2'!A37)</f>
        <v>1.1.1.2.4</v>
      </c>
      <c r="B36" s="182" t="str">
        <f>CONCATENATE('3 pr-2'!B37)</f>
        <v>R01-9908-290000-1124</v>
      </c>
      <c r="C36" s="309" t="str">
        <f>CONCATENATE('ketv. 2'!B36)</f>
        <v>08.2.1-CPVA-R-908-11-0003</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96">
        <f>IF(S36&gt;0,'3 pr-2'!L37,0)</f>
        <v>0</v>
      </c>
      <c r="L36" s="1296">
        <f>IF(S36&gt;0,'3 pr-2'!O37,0)</f>
        <v>0</v>
      </c>
      <c r="M36" s="1296">
        <f>IF(S36&gt;0,'3 pr-2'!R37,0)</f>
        <v>0</v>
      </c>
      <c r="N36" s="1296">
        <f>IF(S36&gt;0,'3 pr-2'!U37,0)</f>
        <v>0</v>
      </c>
      <c r="O36" s="1296">
        <f>IF(S36&gt;0,'3 pr-2'!X37,0)</f>
        <v>0</v>
      </c>
      <c r="P36" s="1296">
        <f>IF(S36&gt;0,'3 pr-2'!AA37,0)</f>
        <v>0</v>
      </c>
      <c r="Q36" s="1435">
        <f>IF($Y$9&gt;0,'3 pr-2'!AB37,0)</f>
        <v>0</v>
      </c>
      <c r="R36" s="637">
        <f>SUM('3 pr-2'!AK37)</f>
        <v>43830</v>
      </c>
      <c r="S36" s="215"/>
      <c r="T36" s="216" t="str">
        <f t="shared" si="8"/>
        <v>–</v>
      </c>
      <c r="U36" s="216"/>
      <c r="V36" s="1546">
        <f>IF(S36&gt;0,'IV-3'!K35,0)</f>
        <v>0</v>
      </c>
      <c r="W36" s="1544">
        <f t="shared" si="6"/>
        <v>0</v>
      </c>
    </row>
    <row r="37" spans="1:23" ht="37.5" thickBot="1" x14ac:dyDescent="0.3">
      <c r="A37" s="182" t="str">
        <f>CONCATENATE('3 pr-2'!A38)</f>
        <v>1.1.1.2.5</v>
      </c>
      <c r="B37" s="182" t="str">
        <f>CONCATENATE('3 pr-2'!B38)</f>
        <v>R01-9908-290000-1125</v>
      </c>
      <c r="C37" s="309" t="str">
        <f>CONCATENATE('ketv. 2'!B37)</f>
        <v>08.2.1-CPVA-R-908-11-0004</v>
      </c>
      <c r="D37" s="182"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96">
        <f>IF(S37&gt;0,'3 pr-2'!L38,0)</f>
        <v>0</v>
      </c>
      <c r="L37" s="1296">
        <f>IF(S37&gt;0,'3 pr-2'!O38,0)</f>
        <v>0</v>
      </c>
      <c r="M37" s="1296">
        <f>IF(S37&gt;0,'3 pr-2'!R38,0)</f>
        <v>0</v>
      </c>
      <c r="N37" s="1296">
        <f>IF(S37&gt;0,'3 pr-2'!U38,0)</f>
        <v>0</v>
      </c>
      <c r="O37" s="1296">
        <f>IF(S37&gt;0,'3 pr-2'!X38,0)</f>
        <v>0</v>
      </c>
      <c r="P37" s="1296">
        <f>IF(S37&gt;0,'3 pr-2'!AA38,0)</f>
        <v>0</v>
      </c>
      <c r="Q37" s="1435">
        <f>IF($Y$9&gt;0,'3 pr-2'!AB38,0)</f>
        <v>0</v>
      </c>
      <c r="R37" s="637">
        <f>SUM('3 pr-2'!AK38)</f>
        <v>43830</v>
      </c>
      <c r="S37" s="215"/>
      <c r="T37" s="216" t="str">
        <f t="shared" si="8"/>
        <v>–</v>
      </c>
      <c r="U37" s="216"/>
      <c r="V37" s="1546">
        <f>IF(S37&gt;0,'IV-3'!K36,0)</f>
        <v>0</v>
      </c>
      <c r="W37" s="1544">
        <f t="shared" si="6"/>
        <v>0</v>
      </c>
    </row>
    <row r="38" spans="1:23" ht="30" customHeight="1" thickBot="1" x14ac:dyDescent="0.3">
      <c r="A38" s="326" t="str">
        <f>CONCATENATE('3 pr-2'!A39)</f>
        <v>1.1.1.3</v>
      </c>
      <c r="B38" s="2025" t="str">
        <f>CONCATENATE('3 pr-2'!B39)</f>
        <v>Priemonė:
Varėnos miesto kompleksinė plėtra</v>
      </c>
      <c r="C38" s="2026"/>
      <c r="D38" s="2026"/>
      <c r="E38" s="2026"/>
      <c r="F38" s="2026"/>
      <c r="G38" s="2026"/>
      <c r="H38" s="2026"/>
      <c r="I38" s="2026"/>
      <c r="J38" s="2027"/>
      <c r="K38" s="1293">
        <f>SUM(K39:K44)</f>
        <v>0</v>
      </c>
      <c r="L38" s="1293">
        <f t="shared" ref="L38:Q38" si="9">SUM(L39:L44)</f>
        <v>0</v>
      </c>
      <c r="M38" s="1293">
        <f t="shared" si="9"/>
        <v>0</v>
      </c>
      <c r="N38" s="1293">
        <f t="shared" si="9"/>
        <v>0</v>
      </c>
      <c r="O38" s="1293">
        <f t="shared" si="9"/>
        <v>0</v>
      </c>
      <c r="P38" s="1293">
        <f t="shared" si="9"/>
        <v>0</v>
      </c>
      <c r="Q38" s="1293">
        <f t="shared" si="9"/>
        <v>0</v>
      </c>
      <c r="R38" s="397" t="s">
        <v>690</v>
      </c>
      <c r="S38" s="397" t="s">
        <v>690</v>
      </c>
      <c r="T38" s="397" t="s">
        <v>690</v>
      </c>
      <c r="U38" s="397"/>
      <c r="V38" s="1544"/>
      <c r="W38" s="1544">
        <f t="shared" si="6"/>
        <v>1</v>
      </c>
    </row>
    <row r="39" spans="1:23" ht="36.75" x14ac:dyDescent="0.25">
      <c r="A39" s="182" t="str">
        <f>CONCATENATE('3 pr-2'!A40)</f>
        <v>1.1.1.3.1</v>
      </c>
      <c r="B39" s="182" t="str">
        <f>CONCATENATE('3 pr-2'!B40)</f>
        <v>R01-9905-290000-1131</v>
      </c>
      <c r="C39" s="309" t="str">
        <f>CONCATENATE('ketv. 2'!B39)</f>
        <v>07.1.1-CPVA-R-905-11-0001</v>
      </c>
      <c r="D39" s="182" t="str">
        <f>CONCATENATE('3 pr-2'!D40)</f>
        <v>Varėnos miesto centrinės dalies modernizavimas ir pritaikymas visuomenės poreikiams (I etapas)</v>
      </c>
      <c r="E39" s="182" t="str">
        <f>CONCATENATE('3 pr-2'!E40)</f>
        <v>Varėnos rajono savivaldybės administracija</v>
      </c>
      <c r="F39" s="182" t="str">
        <f>CONCATENATE('3 pr-2'!F40)</f>
        <v>Lietuvos Respublikos vidaus reikalų ministerija</v>
      </c>
      <c r="G39" s="182" t="str">
        <f>CONCATENATE('3 pr-2'!G40)</f>
        <v>Varėnos r. sav.</v>
      </c>
      <c r="H39" s="182" t="str">
        <f>CONCATENATE('3 pr-2'!H40)</f>
        <v xml:space="preserve">07.1.1-CPVA-R-905 </v>
      </c>
      <c r="I39" s="182" t="str">
        <f>CONCATENATE('3 pr-2'!I40)</f>
        <v>R</v>
      </c>
      <c r="J39" s="182" t="str">
        <f>CONCATENATE('3 pr-2'!J40)</f>
        <v>ITI</v>
      </c>
      <c r="K39" s="1296">
        <f>IF(S39&gt;0,'3 pr-2'!L40,0)</f>
        <v>0</v>
      </c>
      <c r="L39" s="1296">
        <f>IF(S39&gt;0,'3 pr-2'!O40,0)</f>
        <v>0</v>
      </c>
      <c r="M39" s="1296">
        <f>IF(S39&gt;0,'3 pr-2'!R40,0)</f>
        <v>0</v>
      </c>
      <c r="N39" s="1296">
        <f>IF(S39&gt;0,'3 pr-2'!U40,0)</f>
        <v>0</v>
      </c>
      <c r="O39" s="1296">
        <f>IF(S39&gt;0,'3 pr-2'!X40,0)</f>
        <v>0</v>
      </c>
      <c r="P39" s="1296">
        <f>IF(S39&gt;0,'3 pr-2'!AA40,0)</f>
        <v>0</v>
      </c>
      <c r="Q39" s="1435">
        <f>IF($Y$9&gt;0,'3 pr-2'!AB40,0)</f>
        <v>0</v>
      </c>
      <c r="R39" s="637">
        <f>SUM('3 pr-2'!AK40)</f>
        <v>43465</v>
      </c>
      <c r="S39" s="215"/>
      <c r="T39" s="216" t="str">
        <f t="shared" ref="T39:T44" si="10">IF(R39-S39&lt;0,(R39-S39)/365,"–")</f>
        <v>–</v>
      </c>
      <c r="U39" s="216"/>
      <c r="V39" s="1546">
        <f>IF(S39&gt;0,'IV-3'!K38,0)</f>
        <v>0</v>
      </c>
      <c r="W39" s="1544">
        <f t="shared" si="6"/>
        <v>0</v>
      </c>
    </row>
    <row r="40" spans="1:23" ht="36.75" x14ac:dyDescent="0.25">
      <c r="A40" s="182" t="str">
        <f>CONCATENATE('3 pr-2'!A41)</f>
        <v>1.1.1.3.2</v>
      </c>
      <c r="B40" s="182" t="str">
        <f>CONCATENATE('3 pr-2'!B41)</f>
        <v>R01-9905-282900-1132</v>
      </c>
      <c r="C40" s="309" t="str">
        <f>CONCATENATE('ketv. 2'!B40)</f>
        <v>07.1.1-CPVA-R-905-11-0002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82" t="str">
        <f>CONCATENATE('3 pr-2'!J41)</f>
        <v>ITI</v>
      </c>
      <c r="K40" s="1296">
        <f>IF(S40&gt;0,'3 pr-2'!L41,0)</f>
        <v>0</v>
      </c>
      <c r="L40" s="1296">
        <f>IF(S40&gt;0,'3 pr-2'!O41,0)</f>
        <v>0</v>
      </c>
      <c r="M40" s="1296">
        <f>IF(S40&gt;0,'3 pr-2'!R41,0)</f>
        <v>0</v>
      </c>
      <c r="N40" s="1296">
        <f>IF(S40&gt;0,'3 pr-2'!U41,0)</f>
        <v>0</v>
      </c>
      <c r="O40" s="1296">
        <f>IF(S40&gt;0,'3 pr-2'!X41,0)</f>
        <v>0</v>
      </c>
      <c r="P40" s="1296">
        <f>IF(S40&gt;0,'3 pr-2'!AA41,0)</f>
        <v>0</v>
      </c>
      <c r="Q40" s="1435">
        <f>IF($Y$9&gt;0,'3 pr-2'!AB41,0)</f>
        <v>0</v>
      </c>
      <c r="R40" s="637">
        <f>SUM('3 pr-2'!AK41)</f>
        <v>43830</v>
      </c>
      <c r="S40" s="215"/>
      <c r="T40" s="216" t="str">
        <f t="shared" si="10"/>
        <v>–</v>
      </c>
      <c r="U40" s="216"/>
      <c r="V40" s="1546">
        <f>IF(S40&gt;0,'IV-3'!K39,0)</f>
        <v>0</v>
      </c>
      <c r="W40" s="1544">
        <f t="shared" si="6"/>
        <v>0</v>
      </c>
    </row>
    <row r="41" spans="1:23" ht="36.75" x14ac:dyDescent="0.25">
      <c r="A41" s="182" t="str">
        <f>CONCATENATE('3 pr-2'!A42)</f>
        <v>1.1.1.3.3</v>
      </c>
      <c r="B41" s="182" t="str">
        <f>CONCATENATE('3 pr-2'!B42)</f>
        <v>R01-9905-292800-1133</v>
      </c>
      <c r="C41" s="309" t="str">
        <f>CONCATENATE('ketv. 2'!B41)</f>
        <v>07.1.1-CPVA-R-905-11-0004</v>
      </c>
      <c r="D41" s="182" t="str">
        <f>CONCATENATE('3 pr-2'!D42)</f>
        <v xml:space="preserve">Varėnos miesto Dainų slėnio infrastruktūros atnaujinimas ir pritaikymas visuomenės poreikiams </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82" t="str">
        <f>CONCATENATE('3 pr-2'!J42)</f>
        <v>ITI</v>
      </c>
      <c r="K41" s="1296">
        <f>IF(S41&gt;0,'3 pr-2'!L42,0)</f>
        <v>0</v>
      </c>
      <c r="L41" s="1296">
        <f>IF(S41&gt;0,'3 pr-2'!O42,0)</f>
        <v>0</v>
      </c>
      <c r="M41" s="1296">
        <f>IF(S41&gt;0,'3 pr-2'!R42,0)</f>
        <v>0</v>
      </c>
      <c r="N41" s="1296">
        <f>IF(S41&gt;0,'3 pr-2'!U42,0)</f>
        <v>0</v>
      </c>
      <c r="O41" s="1296">
        <f>IF(S41&gt;0,'3 pr-2'!X42,0)</f>
        <v>0</v>
      </c>
      <c r="P41" s="1296">
        <f>IF(S41&gt;0,'3 pr-2'!AA42,0)</f>
        <v>0</v>
      </c>
      <c r="Q41" s="1435">
        <f>IF($Y$9&gt;0,'3 pr-2'!AB42,0)</f>
        <v>0</v>
      </c>
      <c r="R41" s="637">
        <f>SUM('3 pr-2'!AK42)</f>
        <v>44196</v>
      </c>
      <c r="S41" s="216"/>
      <c r="T41" s="216" t="str">
        <f t="shared" si="10"/>
        <v>–</v>
      </c>
      <c r="U41" s="216"/>
      <c r="V41" s="1546">
        <f>IF(S41&gt;0,'IV-3'!K40,0)</f>
        <v>0</v>
      </c>
      <c r="W41" s="1544">
        <f t="shared" si="6"/>
        <v>0</v>
      </c>
    </row>
    <row r="42" spans="1:23" ht="36.75" x14ac:dyDescent="0.25">
      <c r="A42" s="182" t="str">
        <f>CONCATENATE('3 pr-2'!A43)</f>
        <v>1.1.1.3.4</v>
      </c>
      <c r="B42" s="182" t="str">
        <f>CONCATENATE('3 pr-2'!B43)</f>
        <v>R01-9905-280000-1134</v>
      </c>
      <c r="C42" s="309" t="str">
        <f>CONCATENATE('ketv. 2'!B42)</f>
        <v>07.1.1-CPVA-R-905-11-0003</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82" t="str">
        <f>CONCATENATE('3 pr-2'!J43)</f>
        <v>ITI</v>
      </c>
      <c r="K42" s="1296">
        <f>IF(S42&gt;0,'3 pr-2'!L43,0)</f>
        <v>0</v>
      </c>
      <c r="L42" s="1296">
        <f>IF(S42&gt;0,'3 pr-2'!O43,0)</f>
        <v>0</v>
      </c>
      <c r="M42" s="1296">
        <f>IF(S42&gt;0,'3 pr-2'!R43,0)</f>
        <v>0</v>
      </c>
      <c r="N42" s="1296">
        <f>IF(S42&gt;0,'3 pr-2'!U43,0)</f>
        <v>0</v>
      </c>
      <c r="O42" s="1296">
        <f>IF(S42&gt;0,'3 pr-2'!X43,0)</f>
        <v>0</v>
      </c>
      <c r="P42" s="1296">
        <f>IF(S42&gt;0,'3 pr-2'!AA43,0)</f>
        <v>0</v>
      </c>
      <c r="Q42" s="1435">
        <f>IF($Y$9&gt;0,'3 pr-2'!AB43,0)</f>
        <v>0</v>
      </c>
      <c r="R42" s="637">
        <f>SUM('3 pr-2'!AK43)</f>
        <v>43861</v>
      </c>
      <c r="S42" s="215"/>
      <c r="T42" s="216" t="str">
        <f t="shared" si="10"/>
        <v>–</v>
      </c>
      <c r="U42" s="216"/>
      <c r="V42" s="1546">
        <f>IF(S42&gt;0,'IV-3'!K41,0)</f>
        <v>0</v>
      </c>
      <c r="W42" s="1544">
        <f t="shared" si="6"/>
        <v>0</v>
      </c>
    </row>
    <row r="43" spans="1:23" ht="36.75" x14ac:dyDescent="0.25">
      <c r="A43" s="182" t="str">
        <f>CONCATENATE('3 pr-2'!A44)</f>
        <v>1.1.1.3.5</v>
      </c>
      <c r="B43" s="182" t="str">
        <f>CONCATENATE('3 pr-2'!B44)</f>
        <v>R01-9905-362900-1135</v>
      </c>
      <c r="C43" s="309" t="str">
        <f>CONCATENATE('ketv. 2'!B43)</f>
        <v>07.1.1-CPVA-R-905-11-0005</v>
      </c>
      <c r="D43" s="182" t="str">
        <f>CONCATENATE('3 pr-2'!D44)</f>
        <v xml:space="preserve">Nenaudojamų teritorijų Varėnos mieste sutvarkymas ir pritaikymas verslui </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82" t="str">
        <f>CONCATENATE('3 pr-2'!J44)</f>
        <v>ITI</v>
      </c>
      <c r="K43" s="1296">
        <f>IF(S43&gt;0,'3 pr-2'!L44,0)</f>
        <v>0</v>
      </c>
      <c r="L43" s="1296">
        <f>IF(S43&gt;0,'3 pr-2'!O44,0)</f>
        <v>0</v>
      </c>
      <c r="M43" s="1296">
        <f>IF(S43&gt;0,'3 pr-2'!R44,0)</f>
        <v>0</v>
      </c>
      <c r="N43" s="1296">
        <f>IF(S43&gt;0,'3 pr-2'!U44,0)</f>
        <v>0</v>
      </c>
      <c r="O43" s="1296">
        <f>IF(S43&gt;0,'3 pr-2'!X44,0)</f>
        <v>0</v>
      </c>
      <c r="P43" s="1296">
        <f>IF(S43&gt;0,'3 pr-2'!AA44,0)</f>
        <v>0</v>
      </c>
      <c r="Q43" s="1435">
        <f>IF($Y$9&gt;0,'3 pr-2'!AB44,0)</f>
        <v>0</v>
      </c>
      <c r="R43" s="637">
        <f>SUM('3 pr-2'!AK44)</f>
        <v>44165</v>
      </c>
      <c r="S43" s="216"/>
      <c r="T43" s="216" t="str">
        <f t="shared" si="10"/>
        <v>–</v>
      </c>
      <c r="U43" s="216"/>
      <c r="V43" s="1546">
        <f>IF(S43&gt;0,'IV-3'!K42,0)</f>
        <v>0</v>
      </c>
      <c r="W43" s="1544">
        <f t="shared" si="6"/>
        <v>0</v>
      </c>
    </row>
    <row r="44" spans="1:23" ht="37.5" thickBot="1" x14ac:dyDescent="0.3">
      <c r="A44" s="182" t="str">
        <f>CONCATENATE('3 pr-2'!A45)</f>
        <v>1.1.1.3.6</v>
      </c>
      <c r="B44" s="182" t="str">
        <f>CONCATENATE('3 pr-2'!B45)</f>
        <v>R01-9905-290000-1136</v>
      </c>
      <c r="C44" s="309" t="str">
        <f>CONCATENATE('ketv. 2'!B44)</f>
        <v>07.1.1-CPVA-R-905-11-0006</v>
      </c>
      <c r="D44" s="182" t="str">
        <f>CONCATENATE('3 pr-2'!D45)</f>
        <v xml:space="preserve">Teritorijų prie daugiabučių gyvenamųjų pastatų Varėnos mieste sutvarkymas ir pritaikymas visuomenės poreikiams  </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82" t="str">
        <f>CONCATENATE('3 pr-2'!J45)</f>
        <v>ITI</v>
      </c>
      <c r="K44" s="1296">
        <f>IF(S44&gt;0,'3 pr-2'!L45,0)</f>
        <v>0</v>
      </c>
      <c r="L44" s="1296">
        <f>IF(S44&gt;0,'3 pr-2'!O45,0)</f>
        <v>0</v>
      </c>
      <c r="M44" s="1296">
        <f>IF(S44&gt;0,'3 pr-2'!R45,0)</f>
        <v>0</v>
      </c>
      <c r="N44" s="1296">
        <f>IF(S44&gt;0,'3 pr-2'!U45,0)</f>
        <v>0</v>
      </c>
      <c r="O44" s="1296">
        <f>IF(S44&gt;0,'3 pr-2'!X45,0)</f>
        <v>0</v>
      </c>
      <c r="P44" s="1296">
        <f>IF(S44&gt;0,'3 pr-2'!AA45,0)</f>
        <v>0</v>
      </c>
      <c r="Q44" s="1435">
        <f>IF($Y$9&gt;0,'3 pr-2'!AB45,0)</f>
        <v>0</v>
      </c>
      <c r="R44" s="637">
        <f>SUM('3 pr-2'!AK45)</f>
        <v>44165</v>
      </c>
      <c r="S44" s="216"/>
      <c r="T44" s="216" t="str">
        <f t="shared" si="10"/>
        <v>–</v>
      </c>
      <c r="U44" s="216"/>
      <c r="V44" s="1546">
        <f>IF(S44&gt;0,'IV-3'!K43,0)</f>
        <v>0</v>
      </c>
      <c r="W44" s="1544">
        <f t="shared" si="6"/>
        <v>0</v>
      </c>
    </row>
    <row r="45" spans="1:23" ht="39" customHeight="1" thickBot="1" x14ac:dyDescent="0.3">
      <c r="A45" s="326" t="str">
        <f>CONCATENATE('3 pr-2'!A46)</f>
        <v>1.1.1.4</v>
      </c>
      <c r="B45" s="2025" t="str">
        <f>CONCATENATE('3 pr-2'!B46)</f>
        <v xml:space="preserve">Priemonė:
Alytaus, Druskininkų ir Lazdijų miestų kompleksinė plėtra
</v>
      </c>
      <c r="C45" s="2026"/>
      <c r="D45" s="2026"/>
      <c r="E45" s="2026"/>
      <c r="F45" s="2026"/>
      <c r="G45" s="2026"/>
      <c r="H45" s="2026"/>
      <c r="I45" s="2026"/>
      <c r="J45" s="2027"/>
      <c r="K45" s="1293">
        <f>SUM(K46:K48)</f>
        <v>1293732.5699999998</v>
      </c>
      <c r="L45" s="1293">
        <f t="shared" ref="L45:Q45" si="11">SUM(L46:L48)</f>
        <v>97029.95</v>
      </c>
      <c r="M45" s="1293">
        <f t="shared" si="11"/>
        <v>97029.94</v>
      </c>
      <c r="N45" s="1293">
        <f t="shared" si="11"/>
        <v>0</v>
      </c>
      <c r="O45" s="1293">
        <f t="shared" si="11"/>
        <v>0</v>
      </c>
      <c r="P45" s="1293">
        <f t="shared" si="11"/>
        <v>1099672.68</v>
      </c>
      <c r="Q45" s="1293">
        <f t="shared" si="11"/>
        <v>0</v>
      </c>
      <c r="R45" s="397" t="s">
        <v>690</v>
      </c>
      <c r="S45" s="397" t="s">
        <v>690</v>
      </c>
      <c r="T45" s="397" t="s">
        <v>690</v>
      </c>
      <c r="U45" s="397"/>
      <c r="V45" s="1544"/>
      <c r="W45" s="1544">
        <f t="shared" si="6"/>
        <v>1</v>
      </c>
    </row>
    <row r="46" spans="1:23" ht="36.75" x14ac:dyDescent="0.25">
      <c r="A46" s="181" t="str">
        <f>CONCATENATE('3 pr-2'!A47)</f>
        <v>1.1.1.4.1</v>
      </c>
      <c r="B46" s="1359" t="str">
        <f>CONCATENATE('3 pr-2'!B47)</f>
        <v>R01-9902-310000-1141</v>
      </c>
      <c r="C46" s="247" t="str">
        <f>CONCATENATE('ketv. 2'!B46)</f>
        <v>07.1.1-CPVA-V-902-01-0008</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92" t="str">
        <f>CONCATENATE('3 pr-2'!J47)</f>
        <v>ITI</v>
      </c>
      <c r="K46" s="1296">
        <f>IF(S46&gt;0,'3 pr-2'!L47,0)</f>
        <v>1293732.5699999998</v>
      </c>
      <c r="L46" s="1296">
        <f>IF(S46&gt;0,'3 pr-2'!O47,0)</f>
        <v>97029.95</v>
      </c>
      <c r="M46" s="1296">
        <f>IF(S46&gt;0,'3 pr-2'!R47,0)</f>
        <v>97029.94</v>
      </c>
      <c r="N46" s="1296">
        <f>IF(S46&gt;0,'3 pr-2'!U47,0)</f>
        <v>0</v>
      </c>
      <c r="O46" s="1296">
        <f>IF(S46&gt;0,'3 pr-2'!X47,0)</f>
        <v>0</v>
      </c>
      <c r="P46" s="1296">
        <f>IF(S46&gt;0,'3 pr-2'!AA47,0)</f>
        <v>1099672.68</v>
      </c>
      <c r="Q46" s="1435">
        <f>IF($Y$9&gt;0,'3 pr-2'!AB47,0)</f>
        <v>0</v>
      </c>
      <c r="R46" s="637">
        <f>SUM('3 pr-2'!AK47)</f>
        <v>43281</v>
      </c>
      <c r="S46" s="545">
        <v>43228</v>
      </c>
      <c r="T46" s="216" t="str">
        <f t="shared" ref="T46:T48" si="12">IF(R46-S46&lt;0,(R46-S46)/365,"–")</f>
        <v>–</v>
      </c>
      <c r="U46" s="191"/>
      <c r="V46" s="1546" t="str">
        <f>IF(S46&gt;0,'IV-3'!K45,0)</f>
        <v>31</v>
      </c>
      <c r="W46" s="1544">
        <f t="shared" si="6"/>
        <v>1</v>
      </c>
    </row>
    <row r="47" spans="1:23" ht="36.75" x14ac:dyDescent="0.25">
      <c r="A47" s="181" t="str">
        <f>CONCATENATE('3 pr-2'!A48)</f>
        <v>1.1.1.4.2</v>
      </c>
      <c r="B47" s="1359" t="str">
        <f>CONCATENATE('3 pr-2'!B48)</f>
        <v>R01-9903-290000-1142</v>
      </c>
      <c r="C47" s="247" t="str">
        <f>CONCATENATE('ketv. 2'!B47)</f>
        <v>07.1.1-CPVA-R-903-11-0001</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92" t="str">
        <f>CONCATENATE('3 pr-2'!J48)</f>
        <v>ITI</v>
      </c>
      <c r="K47" s="1296">
        <f>IF(S47&gt;0,'3 pr-2'!L48,0)</f>
        <v>0</v>
      </c>
      <c r="L47" s="1296">
        <f>IF(S47&gt;0,'3 pr-2'!O48,0)</f>
        <v>0</v>
      </c>
      <c r="M47" s="1296">
        <f>IF(S47&gt;0,'3 pr-2'!R48,0)</f>
        <v>0</v>
      </c>
      <c r="N47" s="1296">
        <f>IF(S47&gt;0,'3 pr-2'!U48,0)</f>
        <v>0</v>
      </c>
      <c r="O47" s="1296">
        <f>IF(S47&gt;0,'3 pr-2'!X48,0)</f>
        <v>0</v>
      </c>
      <c r="P47" s="1296">
        <f>IF(S47&gt;0,'3 pr-2'!AA48,0)</f>
        <v>0</v>
      </c>
      <c r="Q47" s="1435">
        <f>IF($Y$9&gt;0,'3 pr-2'!AB48,0)</f>
        <v>0</v>
      </c>
      <c r="R47" s="637">
        <f>SUM('3 pr-2'!AK48)</f>
        <v>43465</v>
      </c>
      <c r="S47" s="233"/>
      <c r="T47" s="216" t="str">
        <f t="shared" si="12"/>
        <v>–</v>
      </c>
      <c r="U47" s="191"/>
      <c r="V47" s="1546">
        <f>IF(S47&gt;0,'IV-3'!K46,0)</f>
        <v>0</v>
      </c>
      <c r="W47" s="1544">
        <f t="shared" si="6"/>
        <v>0</v>
      </c>
    </row>
    <row r="48" spans="1:23" ht="37.5" thickBot="1" x14ac:dyDescent="0.3">
      <c r="A48" s="181" t="str">
        <f>CONCATENATE('3 pr-2'!A49)</f>
        <v>1.1.1.4.3</v>
      </c>
      <c r="B48" s="1359" t="str">
        <f>CONCATENATE('3 pr-2'!B49)</f>
        <v>R01-9903-290000-1143</v>
      </c>
      <c r="C48" s="247" t="str">
        <f>CONCATENATE('ketv. 2'!B48)</f>
        <v>07.1.1-CPVA-R-903-11-0002</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92" t="str">
        <f>CONCATENATE('3 pr-2'!J49)</f>
        <v>ITI</v>
      </c>
      <c r="K48" s="1296">
        <f>IF(S48&gt;0,'3 pr-2'!L49,0)</f>
        <v>0</v>
      </c>
      <c r="L48" s="1296">
        <f>IF(S48&gt;0,'3 pr-2'!O49,0)</f>
        <v>0</v>
      </c>
      <c r="M48" s="1296">
        <f>IF(S48&gt;0,'3 pr-2'!R49,0)</f>
        <v>0</v>
      </c>
      <c r="N48" s="1296">
        <f>IF(S48&gt;0,'3 pr-2'!U49,0)</f>
        <v>0</v>
      </c>
      <c r="O48" s="1296">
        <f>IF(S48&gt;0,'3 pr-2'!X49,0)</f>
        <v>0</v>
      </c>
      <c r="P48" s="1296">
        <f>IF(S48&gt;0,'3 pr-2'!AA49,0)</f>
        <v>0</v>
      </c>
      <c r="Q48" s="1435">
        <f>IF($Y$9&gt;0,'3 pr-2'!AB49,0)</f>
        <v>0</v>
      </c>
      <c r="R48" s="637">
        <f>SUM('3 pr-2'!AK49)</f>
        <v>43465</v>
      </c>
      <c r="S48" s="233"/>
      <c r="T48" s="216" t="str">
        <f t="shared" si="12"/>
        <v>–</v>
      </c>
      <c r="U48" s="191"/>
      <c r="V48" s="1546">
        <f>IF(S48&gt;0,'IV-3'!K47,0)</f>
        <v>0</v>
      </c>
      <c r="W48" s="1544">
        <f t="shared" si="6"/>
        <v>0</v>
      </c>
    </row>
    <row r="49" spans="1:23" ht="36" customHeight="1" thickBot="1" x14ac:dyDescent="0.3">
      <c r="A49" s="326" t="str">
        <f>CONCATENATE('3 pr-2'!A50)</f>
        <v>1.1.1.5</v>
      </c>
      <c r="B49" s="2025" t="str">
        <f>CONCATENATE('3 pr-2'!B50)</f>
        <v xml:space="preserve">Priemonė:
Geriamojo vandens tiekimo ir nuotekų tvarkymo sistemų renovavimas ir plėtra, įmonių valdymo tobulinimas </v>
      </c>
      <c r="C49" s="2026"/>
      <c r="D49" s="2026"/>
      <c r="E49" s="2026"/>
      <c r="F49" s="2026"/>
      <c r="G49" s="2026"/>
      <c r="H49" s="2026"/>
      <c r="I49" s="2026"/>
      <c r="J49" s="2027"/>
      <c r="K49" s="1293">
        <f>SUM(K50:K54)</f>
        <v>0</v>
      </c>
      <c r="L49" s="1293">
        <f t="shared" ref="L49:Q49" si="13">SUM(L50:L54)</f>
        <v>0</v>
      </c>
      <c r="M49" s="1293">
        <f t="shared" si="13"/>
        <v>0</v>
      </c>
      <c r="N49" s="1293">
        <f t="shared" si="13"/>
        <v>0</v>
      </c>
      <c r="O49" s="1293">
        <f t="shared" si="13"/>
        <v>0</v>
      </c>
      <c r="P49" s="1293">
        <f t="shared" si="13"/>
        <v>0</v>
      </c>
      <c r="Q49" s="1293">
        <f t="shared" si="13"/>
        <v>0</v>
      </c>
      <c r="R49" s="397"/>
      <c r="S49" s="397"/>
      <c r="T49" s="397"/>
      <c r="U49" s="397"/>
      <c r="V49" s="1544"/>
      <c r="W49" s="1544">
        <f t="shared" si="6"/>
        <v>0</v>
      </c>
    </row>
    <row r="50" spans="1:23" ht="36.75" x14ac:dyDescent="0.25">
      <c r="A50" s="182" t="str">
        <f>CONCATENATE('3 pr-2'!A51)</f>
        <v>1.1.1.5.1</v>
      </c>
      <c r="B50" s="182" t="str">
        <f>CONCATENATE('3 pr-2'!B51)</f>
        <v>R01-0014-060700-1151</v>
      </c>
      <c r="C50" s="309" t="str">
        <f>CONCATENATE('ketv. 2'!B50)</f>
        <v>05.3.2-APVA-R-014-11-0001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82" t="str">
        <f>CONCATENATE('3 pr-2'!J51)</f>
        <v>ITI</v>
      </c>
      <c r="K50" s="1296">
        <f>IF(S50&gt;0,'3 pr-2'!L51,0)</f>
        <v>0</v>
      </c>
      <c r="L50" s="1296">
        <f>IF(S50&gt;0,'3 pr-2'!O51,0)</f>
        <v>0</v>
      </c>
      <c r="M50" s="1296">
        <f>IF(S50&gt;0,'3 pr-2'!R51,0)</f>
        <v>0</v>
      </c>
      <c r="N50" s="1296">
        <f>IF(S50&gt;0,'3 pr-2'!U51,0)</f>
        <v>0</v>
      </c>
      <c r="O50" s="1296">
        <f>IF(S50&gt;0,'3 pr-2'!X51,0)</f>
        <v>0</v>
      </c>
      <c r="P50" s="1296">
        <f>IF(S50&gt;0,'3 pr-2'!AA51,0)</f>
        <v>0</v>
      </c>
      <c r="Q50" s="1435">
        <f>IF($Y$9&gt;0,'3 pr-2'!AB51,0)</f>
        <v>0</v>
      </c>
      <c r="R50" s="637">
        <f>SUM('3 pr-2'!AK51)</f>
        <v>44012</v>
      </c>
      <c r="S50" s="233"/>
      <c r="T50" s="216" t="str">
        <f t="shared" ref="T50:T54" si="14">IF(R50-S50&lt;0,(R50-S50)/365,"–")</f>
        <v>–</v>
      </c>
      <c r="U50" s="216"/>
      <c r="V50" s="1546">
        <f>IF(S50&gt;0,'IV-3'!K49,0)</f>
        <v>0</v>
      </c>
      <c r="W50" s="1544">
        <f t="shared" si="6"/>
        <v>0</v>
      </c>
    </row>
    <row r="51" spans="1:23" ht="36.75" x14ac:dyDescent="0.25">
      <c r="A51" s="182" t="str">
        <f>CONCATENATE('3 pr-2'!A52)</f>
        <v>1.1.1.5.2.</v>
      </c>
      <c r="B51" s="182" t="str">
        <f>CONCATENATE('3 pr-2'!B52)</f>
        <v>R01-0014-060750-1152</v>
      </c>
      <c r="C51" s="309" t="str">
        <f>CONCATENATE('ketv. 2'!B51)</f>
        <v>05.3.2-APVA-R-014-11-0002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82" t="str">
        <f>CONCATENATE('3 pr-2'!J52)</f>
        <v>ITI</v>
      </c>
      <c r="K51" s="1296">
        <f>IF(S51&gt;0,'3 pr-2'!L52,0)</f>
        <v>0</v>
      </c>
      <c r="L51" s="1296">
        <f>IF(S51&gt;0,'3 pr-2'!O52,0)</f>
        <v>0</v>
      </c>
      <c r="M51" s="1296">
        <f>IF(S51&gt;0,'3 pr-2'!R52,0)</f>
        <v>0</v>
      </c>
      <c r="N51" s="1296">
        <f>IF(S51&gt;0,'3 pr-2'!U52,0)</f>
        <v>0</v>
      </c>
      <c r="O51" s="1296">
        <f>IF(S51&gt;0,'3 pr-2'!X52,0)</f>
        <v>0</v>
      </c>
      <c r="P51" s="1296">
        <f>IF(S51&gt;0,'3 pr-2'!AA52,0)</f>
        <v>0</v>
      </c>
      <c r="Q51" s="1435">
        <f>IF($Y$9&gt;0,'3 pr-2'!AB52,0)</f>
        <v>0</v>
      </c>
      <c r="R51" s="637">
        <f>SUM('3 pr-2'!AK52)</f>
        <v>44195</v>
      </c>
      <c r="S51" s="233"/>
      <c r="T51" s="216" t="str">
        <f t="shared" si="14"/>
        <v>–</v>
      </c>
      <c r="U51" s="216"/>
      <c r="V51" s="1546">
        <f>IF(S51&gt;0,'IV-3'!K50,0)</f>
        <v>0</v>
      </c>
      <c r="W51" s="1544">
        <f t="shared" si="6"/>
        <v>0</v>
      </c>
    </row>
    <row r="52" spans="1:23" ht="36.75" x14ac:dyDescent="0.25">
      <c r="A52" s="182" t="str">
        <f>CONCATENATE('3 pr-2'!A53)</f>
        <v>1.1.1.5.3</v>
      </c>
      <c r="B52" s="182" t="str">
        <f>CONCATENATE('3 pr-2'!B53)</f>
        <v>R01-0014-070650-1153</v>
      </c>
      <c r="C52" s="309" t="str">
        <f>CONCATENATE('ketv. 2'!B52)</f>
        <v>05.3.2-APVA-R-014-11-0004</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82" t="str">
        <f>CONCATENATE('3 pr-2'!J53)</f>
        <v>-</v>
      </c>
      <c r="K52" s="1296">
        <f>IF(S52&gt;0,'3 pr-2'!L53,0)</f>
        <v>0</v>
      </c>
      <c r="L52" s="1296">
        <f>IF(S52&gt;0,'3 pr-2'!O53,0)</f>
        <v>0</v>
      </c>
      <c r="M52" s="1296">
        <f>IF(S52&gt;0,'3 pr-2'!R53,0)</f>
        <v>0</v>
      </c>
      <c r="N52" s="1296">
        <f>IF(S52&gt;0,'3 pr-2'!U53,0)</f>
        <v>0</v>
      </c>
      <c r="O52" s="1296">
        <f>IF(S52&gt;0,'3 pr-2'!X53,0)</f>
        <v>0</v>
      </c>
      <c r="P52" s="1296">
        <f>IF(S52&gt;0,'3 pr-2'!AA53,0)</f>
        <v>0</v>
      </c>
      <c r="Q52" s="1435">
        <f>IF($Y$9&gt;0,'3 pr-2'!AB53,0)</f>
        <v>0</v>
      </c>
      <c r="R52" s="637">
        <f>SUM('3 pr-2'!AK53)</f>
        <v>43646</v>
      </c>
      <c r="S52" s="233"/>
      <c r="T52" s="216" t="str">
        <f t="shared" si="14"/>
        <v>–</v>
      </c>
      <c r="U52" s="216"/>
      <c r="V52" s="1546">
        <f>IF(S52&gt;0,'IV-3'!K51,0)</f>
        <v>0</v>
      </c>
      <c r="W52" s="1544">
        <f t="shared" si="6"/>
        <v>0</v>
      </c>
    </row>
    <row r="53" spans="1:23" ht="36.75" x14ac:dyDescent="0.25">
      <c r="A53" s="182" t="str">
        <f>CONCATENATE('3 pr-2'!A54)</f>
        <v>1.1.1.5.4.</v>
      </c>
      <c r="B53" s="182" t="str">
        <f>CONCATENATE('3 pr-2'!B54)</f>
        <v>R01-0014-060700-1154</v>
      </c>
      <c r="C53" s="309" t="str">
        <f>CONCATENATE('ketv. 2'!B53)</f>
        <v>05.3.2-APVA-R-014-11-0003</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82" t="str">
        <f>CONCATENATE('3 pr-2'!J54)</f>
        <v>-</v>
      </c>
      <c r="K53" s="1296">
        <f>IF(S53&gt;0,'3 pr-2'!L54,0)</f>
        <v>0</v>
      </c>
      <c r="L53" s="1296">
        <f>IF(S53&gt;0,'3 pr-2'!O54,0)</f>
        <v>0</v>
      </c>
      <c r="M53" s="1296">
        <f>IF(S53&gt;0,'3 pr-2'!R54,0)</f>
        <v>0</v>
      </c>
      <c r="N53" s="1296">
        <f>IF(S53&gt;0,'3 pr-2'!U54,0)</f>
        <v>0</v>
      </c>
      <c r="O53" s="1296">
        <f>IF(S53&gt;0,'3 pr-2'!X54,0)</f>
        <v>0</v>
      </c>
      <c r="P53" s="1296">
        <f>IF(S53&gt;0,'3 pr-2'!AA54,0)</f>
        <v>0</v>
      </c>
      <c r="Q53" s="1435">
        <f>IF($Y$9&gt;0,'3 pr-2'!AB54,0)</f>
        <v>0</v>
      </c>
      <c r="R53" s="637">
        <f>SUM('3 pr-2'!AK54)</f>
        <v>44440</v>
      </c>
      <c r="S53" s="233"/>
      <c r="T53" s="216" t="str">
        <f t="shared" si="14"/>
        <v>–</v>
      </c>
      <c r="U53" s="216"/>
      <c r="V53" s="1546">
        <f>IF(S53&gt;0,'IV-3'!K52,0)</f>
        <v>0</v>
      </c>
      <c r="W53" s="1544">
        <f t="shared" si="6"/>
        <v>0</v>
      </c>
    </row>
    <row r="54" spans="1:23" ht="37.5" thickBot="1" x14ac:dyDescent="0.3">
      <c r="A54" s="182" t="str">
        <f>CONCATENATE('3 pr-2'!A55)</f>
        <v>1.1.1.5.5.</v>
      </c>
      <c r="B54" s="182" t="str">
        <f>CONCATENATE('3 pr-2'!B55)</f>
        <v>R01-0014-060750-1155</v>
      </c>
      <c r="C54" s="309" t="str">
        <f>CONCATENATE('ketv. 2'!B54)</f>
        <v>05.3.2-APVA-R-014-11-0005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82" t="str">
        <f>CONCATENATE('3 pr-2'!J55)</f>
        <v>-</v>
      </c>
      <c r="K54" s="1296">
        <f>IF(S54&gt;0,'3 pr-2'!L55,0)</f>
        <v>0</v>
      </c>
      <c r="L54" s="1296">
        <f>IF(S54&gt;0,'3 pr-2'!O55,0)</f>
        <v>0</v>
      </c>
      <c r="M54" s="1296">
        <f>IF(S54&gt;0,'3 pr-2'!R55,0)</f>
        <v>0</v>
      </c>
      <c r="N54" s="1296">
        <f>IF(S54&gt;0,'3 pr-2'!U55,0)</f>
        <v>0</v>
      </c>
      <c r="O54" s="1296">
        <f>IF(S54&gt;0,'3 pr-2'!X55,0)</f>
        <v>0</v>
      </c>
      <c r="P54" s="1296">
        <f>IF(S54&gt;0,'3 pr-2'!AA55,0)</f>
        <v>0</v>
      </c>
      <c r="Q54" s="1435">
        <f>IF($Y$9&gt;0,'3 pr-2'!AB55,0)</f>
        <v>0</v>
      </c>
      <c r="R54" s="637">
        <f>SUM('3 pr-2'!AK55)</f>
        <v>44196</v>
      </c>
      <c r="S54" s="233"/>
      <c r="T54" s="216" t="str">
        <f t="shared" si="14"/>
        <v>–</v>
      </c>
      <c r="U54" s="216"/>
      <c r="V54" s="1546">
        <f>IF(S54&gt;0,'IV-3'!K53,0)</f>
        <v>0</v>
      </c>
      <c r="W54" s="1544">
        <f t="shared" si="6"/>
        <v>0</v>
      </c>
    </row>
    <row r="55" spans="1:23" ht="33.75" customHeight="1" thickBot="1" x14ac:dyDescent="0.3">
      <c r="A55" s="326" t="str">
        <f>CONCATENATE('3 pr-2'!A56)</f>
        <v>1.1.1.6</v>
      </c>
      <c r="B55" s="2025" t="str">
        <f>CONCATENATE('3 pr-2'!B56)</f>
        <v>Priemonė:
Paviršinių nuotekų sistemų tvarkymas</v>
      </c>
      <c r="C55" s="2026"/>
      <c r="D55" s="2026"/>
      <c r="E55" s="2026"/>
      <c r="F55" s="2026"/>
      <c r="G55" s="2026"/>
      <c r="H55" s="2026"/>
      <c r="I55" s="2026"/>
      <c r="J55" s="2027"/>
      <c r="K55" s="1293">
        <f>SUM(K56)</f>
        <v>0</v>
      </c>
      <c r="L55" s="1293">
        <f t="shared" ref="L55:Q55" si="15">SUM(L56)</f>
        <v>0</v>
      </c>
      <c r="M55" s="1293">
        <f t="shared" si="15"/>
        <v>0</v>
      </c>
      <c r="N55" s="1293">
        <f t="shared" si="15"/>
        <v>0</v>
      </c>
      <c r="O55" s="1293">
        <f t="shared" si="15"/>
        <v>0</v>
      </c>
      <c r="P55" s="1293">
        <f t="shared" si="15"/>
        <v>0</v>
      </c>
      <c r="Q55" s="1293">
        <f t="shared" si="15"/>
        <v>0</v>
      </c>
      <c r="R55" s="397"/>
      <c r="S55" s="397"/>
      <c r="T55" s="397"/>
      <c r="U55" s="397"/>
      <c r="V55" s="1544"/>
      <c r="W55" s="1544">
        <f t="shared" si="6"/>
        <v>0</v>
      </c>
    </row>
    <row r="56" spans="1:23" ht="37.5" thickBot="1" x14ac:dyDescent="0.3">
      <c r="A56" s="181" t="str">
        <f>CONCATENATE('3 pr-2'!A57)</f>
        <v>1.1.1.6.1</v>
      </c>
      <c r="B56" s="1359" t="str">
        <f>CONCATENATE('3 pr-2'!B57)</f>
        <v>R01-0007-080000-1161</v>
      </c>
      <c r="C56" s="247" t="str">
        <f>CONCATENATE('ketv. 2'!B56)</f>
        <v>05.1.1-APVA-R-007-11-0001</v>
      </c>
      <c r="D56" s="182" t="str">
        <f>CONCATENATE('3 pr-2'!D57)</f>
        <v>Paviršinių nuotekų sistemų tvarkymas Alytaus mieste</v>
      </c>
      <c r="E56" s="182" t="str">
        <f>CONCATENATE('3 pr-2'!E57)</f>
        <v>UAB “Dzūkijos vandenys“</v>
      </c>
      <c r="F56" s="182" t="str">
        <f>CONCATENATE('3 pr-2'!F57)</f>
        <v>Lietuvos Respublikos aplinkos ministerija</v>
      </c>
      <c r="G56" s="182" t="str">
        <f>CONCATENATE('3 pr-2'!G57)</f>
        <v>Alytaus m. sav.</v>
      </c>
      <c r="H56" s="182" t="str">
        <f>CONCATENATE('3 pr-2'!H57)</f>
        <v>05.1.1-APVA-R-007</v>
      </c>
      <c r="I56" s="182" t="str">
        <f>CONCATENATE('3 pr-2'!I57)</f>
        <v>R</v>
      </c>
      <c r="J56" s="192" t="str">
        <f>CONCATENATE('3 pr-2'!J57)</f>
        <v>-</v>
      </c>
      <c r="K56" s="1296">
        <f>IF(S56&gt;0,'3 pr-2'!L57,0)</f>
        <v>0</v>
      </c>
      <c r="L56" s="1296">
        <f>IF(S56&gt;0,'3 pr-2'!O57,0)</f>
        <v>0</v>
      </c>
      <c r="M56" s="1296">
        <f>IF(S56&gt;0,'3 pr-2'!R57,0)</f>
        <v>0</v>
      </c>
      <c r="N56" s="1296">
        <f>IF(S56&gt;0,'3 pr-2'!U57,0)</f>
        <v>0</v>
      </c>
      <c r="O56" s="1296">
        <f>IF(S56&gt;0,'3 pr-2'!X57,0)</f>
        <v>0</v>
      </c>
      <c r="P56" s="1296">
        <f>IF(S56&gt;0,'3 pr-2'!AA57,0)</f>
        <v>0</v>
      </c>
      <c r="Q56" s="1435">
        <f>IF($Y$9&gt;0,'3 pr-2'!AB57,0)</f>
        <v>0</v>
      </c>
      <c r="R56" s="637">
        <f>SUM('3 pr-2'!AK57)</f>
        <v>44196</v>
      </c>
      <c r="S56" s="215"/>
      <c r="T56" s="216" t="str">
        <f>IF(R56-S56&lt;0,(R56-S56)/365,"–")</f>
        <v>–</v>
      </c>
      <c r="U56" s="191"/>
      <c r="V56" s="1546">
        <f>IF(S56&gt;0,'IV-3'!K55,0)</f>
        <v>0</v>
      </c>
      <c r="W56" s="1544">
        <f t="shared" si="6"/>
        <v>0</v>
      </c>
    </row>
    <row r="57" spans="1:23" ht="35.25" customHeight="1" thickBot="1" x14ac:dyDescent="0.3">
      <c r="A57" s="326" t="str">
        <f>CONCATENATE('3 pr-2'!A58)</f>
        <v>1.1.1.7</v>
      </c>
      <c r="B57" s="2025" t="str">
        <f>CONCATENATE('3 pr-2'!B58)</f>
        <v>Priemonė:
Savivaldybes jungiančių turizmo trasų ir turizmo maršrutų informacinės infrastruktūros plėtra</v>
      </c>
      <c r="C57" s="2026"/>
      <c r="D57" s="2026"/>
      <c r="E57" s="2026"/>
      <c r="F57" s="2026"/>
      <c r="G57" s="2026"/>
      <c r="H57" s="2026"/>
      <c r="I57" s="2026"/>
      <c r="J57" s="2027"/>
      <c r="K57" s="1293">
        <f>SUM(K58:K60)</f>
        <v>0</v>
      </c>
      <c r="L57" s="1293">
        <f t="shared" ref="L57:Q57" si="16">SUM(L58:L60)</f>
        <v>0</v>
      </c>
      <c r="M57" s="1293">
        <f t="shared" si="16"/>
        <v>0</v>
      </c>
      <c r="N57" s="1293">
        <f t="shared" si="16"/>
        <v>0</v>
      </c>
      <c r="O57" s="1293">
        <f t="shared" si="16"/>
        <v>0</v>
      </c>
      <c r="P57" s="1293">
        <f t="shared" si="16"/>
        <v>0</v>
      </c>
      <c r="Q57" s="1293">
        <f t="shared" si="16"/>
        <v>0</v>
      </c>
      <c r="R57" s="397"/>
      <c r="S57" s="397"/>
      <c r="T57" s="397"/>
      <c r="U57" s="397"/>
      <c r="V57" s="1544"/>
      <c r="W57" s="1544">
        <f t="shared" si="6"/>
        <v>0</v>
      </c>
    </row>
    <row r="58" spans="1:23" ht="36.75" x14ac:dyDescent="0.25">
      <c r="A58" s="182" t="str">
        <f>CONCATENATE('3 pr-2'!A59)</f>
        <v>1.1.1.7.1</v>
      </c>
      <c r="B58" s="182" t="str">
        <f>CONCATENATE('3 pr-2'!B59)</f>
        <v>R01-8821-420000-1171</v>
      </c>
      <c r="C58" s="309" t="str">
        <f>CONCATENATE('ketv. 2'!B58)</f>
        <v>05.4.1-LVPA-R-821-11-0002</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82" t="str">
        <f>CONCATENATE('3 pr-2'!J59)</f>
        <v>-</v>
      </c>
      <c r="K58" s="1296">
        <f>IF(S58&gt;0,'3 pr-2'!L59,0)</f>
        <v>0</v>
      </c>
      <c r="L58" s="1296">
        <f>IF(S58&gt;0,'3 pr-2'!O59,0)</f>
        <v>0</v>
      </c>
      <c r="M58" s="1296">
        <f>IF(S58&gt;0,'3 pr-2'!R59,0)</f>
        <v>0</v>
      </c>
      <c r="N58" s="1296">
        <f>IF(S58&gt;0,'3 pr-2'!U59,0)</f>
        <v>0</v>
      </c>
      <c r="O58" s="1296">
        <f>IF(S58&gt;0,'3 pr-2'!X59,0)</f>
        <v>0</v>
      </c>
      <c r="P58" s="1296">
        <f>IF(S58&gt;0,'3 pr-2'!AA59,0)</f>
        <v>0</v>
      </c>
      <c r="Q58" s="1435">
        <f>IF($Y$9&gt;0,'3 pr-2'!AB59,0)</f>
        <v>0</v>
      </c>
      <c r="R58" s="637">
        <f>SUM('3 pr-2'!AK59)</f>
        <v>43465</v>
      </c>
      <c r="S58" s="215"/>
      <c r="T58" s="216" t="str">
        <f t="shared" ref="T58:T60" si="17">IF(R58-S58&lt;0,(R58-S58)/365,"–")</f>
        <v>–</v>
      </c>
      <c r="U58" s="216"/>
      <c r="V58" s="1546">
        <f>IF(S58&gt;0,'IV-3'!K57,0)</f>
        <v>0</v>
      </c>
      <c r="W58" s="1544">
        <f t="shared" si="6"/>
        <v>0</v>
      </c>
    </row>
    <row r="59" spans="1:23" ht="48.75" x14ac:dyDescent="0.25">
      <c r="A59" s="182" t="str">
        <f>CONCATENATE('3 pr-2'!A60)</f>
        <v>1.1.1.7.2</v>
      </c>
      <c r="B59" s="182" t="str">
        <f>CONCATENATE('3 pr-2'!B60)</f>
        <v>R01-8821-420000-1172</v>
      </c>
      <c r="C59" s="309" t="str">
        <f>CONCATENATE('ketv. 2'!B59)</f>
        <v>05.4.1-LVPA-R-821-11-0001</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82" t="str">
        <f>CONCATENATE('3 pr-2'!J60)</f>
        <v>-</v>
      </c>
      <c r="K59" s="1296">
        <f>IF(S59&gt;0,'3 pr-2'!L60,0)</f>
        <v>0</v>
      </c>
      <c r="L59" s="1296">
        <f>IF(S59&gt;0,'3 pr-2'!O60,0)</f>
        <v>0</v>
      </c>
      <c r="M59" s="1296">
        <f>IF(S59&gt;0,'3 pr-2'!R60,0)</f>
        <v>0</v>
      </c>
      <c r="N59" s="1296">
        <f>IF(S59&gt;0,'3 pr-2'!U60,0)</f>
        <v>0</v>
      </c>
      <c r="O59" s="1296">
        <f>IF(S59&gt;0,'3 pr-2'!X60,0)</f>
        <v>0</v>
      </c>
      <c r="P59" s="1296">
        <f>IF(S59&gt;0,'3 pr-2'!AA60,0)</f>
        <v>0</v>
      </c>
      <c r="Q59" s="1435">
        <f>IF($Y$9&gt;0,'3 pr-2'!AB60,0)</f>
        <v>0</v>
      </c>
      <c r="R59" s="637">
        <f>SUM('3 pr-2'!AK60)</f>
        <v>43585</v>
      </c>
      <c r="S59" s="215"/>
      <c r="T59" s="216" t="str">
        <f t="shared" si="17"/>
        <v>–</v>
      </c>
      <c r="U59" s="216"/>
      <c r="V59" s="1546">
        <f>IF(S59&gt;0,'IV-3'!K58,0)</f>
        <v>0</v>
      </c>
      <c r="W59" s="1544">
        <f t="shared" si="6"/>
        <v>0</v>
      </c>
    </row>
    <row r="60" spans="1:23" ht="49.5" thickBot="1" x14ac:dyDescent="0.3">
      <c r="A60" s="182" t="str">
        <f>CONCATENATE('3 pr-2'!A61)</f>
        <v>1.1.1.7.3</v>
      </c>
      <c r="B60" s="182" t="str">
        <f>CONCATENATE('3 pr-2'!B61)</f>
        <v>R01-8821-420000-1173</v>
      </c>
      <c r="C60" s="309" t="str">
        <f>CONCATENATE('ketv. 2'!B60)</f>
        <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82" t="str">
        <f>CONCATENATE('3 pr-2'!J61)</f>
        <v>-</v>
      </c>
      <c r="K60" s="1296">
        <f>IF(S60&gt;0,'3 pr-2'!L61,0)</f>
        <v>0</v>
      </c>
      <c r="L60" s="1296">
        <f>IF(S60&gt;0,'3 pr-2'!O61,0)</f>
        <v>0</v>
      </c>
      <c r="M60" s="1296">
        <f>IF(S60&gt;0,'3 pr-2'!R61,0)</f>
        <v>0</v>
      </c>
      <c r="N60" s="1296">
        <f>IF(S60&gt;0,'3 pr-2'!U61,0)</f>
        <v>0</v>
      </c>
      <c r="O60" s="1296">
        <f>IF(S60&gt;0,'3 pr-2'!X61,0)</f>
        <v>0</v>
      </c>
      <c r="P60" s="1296">
        <f>IF(S60&gt;0,'3 pr-2'!AA61,0)</f>
        <v>0</v>
      </c>
      <c r="Q60" s="1435">
        <f>IF($Y$9&gt;0,'3 pr-2'!AB61,0)</f>
        <v>0</v>
      </c>
      <c r="R60" s="637">
        <f>SUM('3 pr-2'!AK61)</f>
        <v>44376</v>
      </c>
      <c r="S60" s="216"/>
      <c r="T60" s="216" t="str">
        <f t="shared" si="17"/>
        <v>–</v>
      </c>
      <c r="U60" s="216"/>
      <c r="V60" s="1546">
        <f>IF(S60&gt;0,'IV-3'!K59,0)</f>
        <v>0</v>
      </c>
      <c r="W60" s="1544">
        <f t="shared" si="6"/>
        <v>0</v>
      </c>
    </row>
    <row r="61" spans="1:23" ht="29.25" customHeight="1" thickBot="1" x14ac:dyDescent="0.3">
      <c r="A61" s="326" t="str">
        <f>CONCATENATE('3 pr-2'!A62)</f>
        <v>1.1.1.8</v>
      </c>
      <c r="B61" s="2025" t="str">
        <f>CONCATENATE('3 pr-2'!B62)</f>
        <v>Priemonė:
Modernizuoti savivaldybių kultūros infrastruktūrą</v>
      </c>
      <c r="C61" s="2026"/>
      <c r="D61" s="2026"/>
      <c r="E61" s="2026"/>
      <c r="F61" s="2026"/>
      <c r="G61" s="2026"/>
      <c r="H61" s="2026"/>
      <c r="I61" s="2026"/>
      <c r="J61" s="2027"/>
      <c r="K61" s="1293">
        <f>SUM(K62:K65)</f>
        <v>0</v>
      </c>
      <c r="L61" s="1293">
        <f t="shared" ref="L61:Q61" si="18">SUM(L62:L65)</f>
        <v>0</v>
      </c>
      <c r="M61" s="1293">
        <f t="shared" si="18"/>
        <v>0</v>
      </c>
      <c r="N61" s="1293">
        <f t="shared" si="18"/>
        <v>0</v>
      </c>
      <c r="O61" s="1293">
        <f t="shared" si="18"/>
        <v>0</v>
      </c>
      <c r="P61" s="1293">
        <f t="shared" si="18"/>
        <v>0</v>
      </c>
      <c r="Q61" s="1293">
        <f t="shared" si="18"/>
        <v>0</v>
      </c>
      <c r="R61" s="397"/>
      <c r="S61" s="397"/>
      <c r="T61" s="397"/>
      <c r="U61" s="397"/>
      <c r="V61" s="1544"/>
      <c r="W61" s="1544">
        <f t="shared" si="6"/>
        <v>0</v>
      </c>
    </row>
    <row r="62" spans="1:23" ht="36.75" x14ac:dyDescent="0.25">
      <c r="A62" s="182" t="str">
        <f>CONCATENATE('3 pr-2'!A63)</f>
        <v>1.1.1.8.1</v>
      </c>
      <c r="B62" s="182" t="str">
        <f>CONCATENATE('3 pr-2'!B63)</f>
        <v>R01-3305-330000-1181</v>
      </c>
      <c r="C62" s="309" t="str">
        <f>CONCATENATE('ketv. 2'!B62)</f>
        <v>07.1.1-CPVA-R-305-11-0001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82" t="str">
        <f>CONCATENATE('3 pr-2'!J63)</f>
        <v>ITI</v>
      </c>
      <c r="K62" s="1296">
        <f>IF(S62&gt;0,'3 pr-2'!L63,0)</f>
        <v>0</v>
      </c>
      <c r="L62" s="1296">
        <f>IF(S62&gt;0,'3 pr-2'!O63,0)</f>
        <v>0</v>
      </c>
      <c r="M62" s="1296">
        <f>IF(S62&gt;0,'3 pr-2'!R63,0)</f>
        <v>0</v>
      </c>
      <c r="N62" s="1296">
        <f>IF(S62&gt;0,'3 pr-2'!U63,0)</f>
        <v>0</v>
      </c>
      <c r="O62" s="1296">
        <f>IF(S62&gt;0,'3 pr-2'!X63,0)</f>
        <v>0</v>
      </c>
      <c r="P62" s="1296">
        <f>IF(S62&gt;0,'3 pr-2'!AA63,0)</f>
        <v>0</v>
      </c>
      <c r="Q62" s="1435">
        <f>IF($Y$9&gt;0,'3 pr-2'!AB63,0)</f>
        <v>0</v>
      </c>
      <c r="R62" s="637">
        <f>SUM('3 pr-2'!AK63)</f>
        <v>43585</v>
      </c>
      <c r="S62" s="233"/>
      <c r="T62" s="216" t="str">
        <f t="shared" ref="T62:T65" si="19">IF(R62-S62&lt;0,(R62-S62)/365,"–")</f>
        <v>–</v>
      </c>
      <c r="U62" s="216"/>
      <c r="V62" s="1546">
        <f>IF(S62&gt;0,'IV-3'!K61,0)</f>
        <v>0</v>
      </c>
      <c r="W62" s="1544">
        <f t="shared" si="6"/>
        <v>0</v>
      </c>
    </row>
    <row r="63" spans="1:23" ht="36.75" x14ac:dyDescent="0.25">
      <c r="A63" s="182" t="str">
        <f>CONCATENATE('3 pr-2'!A64)</f>
        <v>1.1.1.8.2</v>
      </c>
      <c r="B63" s="182" t="str">
        <f>CONCATENATE('3 pr-2'!B64)</f>
        <v>R01-3305-330000-1182</v>
      </c>
      <c r="C63" s="309" t="str">
        <f>CONCATENATE('ketv. 2'!B63)</f>
        <v>07.1.1-CPVA-R-305-11-0002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82" t="str">
        <f>CONCATENATE('3 pr-2'!J64)</f>
        <v>ITI</v>
      </c>
      <c r="K63" s="1296">
        <f>IF(S63&gt;0,'3 pr-2'!L64,0)</f>
        <v>0</v>
      </c>
      <c r="L63" s="1296">
        <f>IF(S63&gt;0,'3 pr-2'!O64,0)</f>
        <v>0</v>
      </c>
      <c r="M63" s="1296">
        <f>IF(S63&gt;0,'3 pr-2'!R64,0)</f>
        <v>0</v>
      </c>
      <c r="N63" s="1296">
        <f>IF(S63&gt;0,'3 pr-2'!U64,0)</f>
        <v>0</v>
      </c>
      <c r="O63" s="1296">
        <f>IF(S63&gt;0,'3 pr-2'!X64,0)</f>
        <v>0</v>
      </c>
      <c r="P63" s="1296">
        <f>IF(S63&gt;0,'3 pr-2'!AA64,0)</f>
        <v>0</v>
      </c>
      <c r="Q63" s="1435">
        <f>IF($Y$9&gt;0,'3 pr-2'!AB64,0)</f>
        <v>0</v>
      </c>
      <c r="R63" s="637">
        <f>SUM('3 pr-2'!AK64)</f>
        <v>43465</v>
      </c>
      <c r="S63" s="233"/>
      <c r="T63" s="216" t="str">
        <f t="shared" si="19"/>
        <v>–</v>
      </c>
      <c r="U63" s="216"/>
      <c r="V63" s="1546">
        <f>IF(S63&gt;0,'IV-3'!K62,0)</f>
        <v>0</v>
      </c>
      <c r="W63" s="1544">
        <f t="shared" si="6"/>
        <v>0</v>
      </c>
    </row>
    <row r="64" spans="1:23" ht="36.75" x14ac:dyDescent="0.25">
      <c r="A64" s="182" t="str">
        <f>CONCATENATE('3 pr-2'!A65)</f>
        <v>1.1.1.8.3</v>
      </c>
      <c r="B64" s="182" t="str">
        <f>CONCATENATE('3 pr-2'!B65)</f>
        <v>R01-3305-330000-1183</v>
      </c>
      <c r="C64" s="309" t="str">
        <f>CONCATENATE('ketv. 2'!B64)</f>
        <v>07.1.1-CPVA-R-305-11-0003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82" t="str">
        <f>CONCATENATE('3 pr-2'!J65)</f>
        <v>ITI</v>
      </c>
      <c r="K64" s="1296">
        <f>IF(S64&gt;0,'3 pr-2'!L65,0)</f>
        <v>0</v>
      </c>
      <c r="L64" s="1296">
        <f>IF(S64&gt;0,'3 pr-2'!O65,0)</f>
        <v>0</v>
      </c>
      <c r="M64" s="1296">
        <f>IF(S64&gt;0,'3 pr-2'!R65,0)</f>
        <v>0</v>
      </c>
      <c r="N64" s="1296">
        <f>IF(S64&gt;0,'3 pr-2'!U65,0)</f>
        <v>0</v>
      </c>
      <c r="O64" s="1296">
        <f>IF(S64&gt;0,'3 pr-2'!X65,0)</f>
        <v>0</v>
      </c>
      <c r="P64" s="1296">
        <f>IF(S64&gt;0,'3 pr-2'!AA65,0)</f>
        <v>0</v>
      </c>
      <c r="Q64" s="1435">
        <f>IF($Y$9&gt;0,'3 pr-2'!AB65,0)</f>
        <v>0</v>
      </c>
      <c r="R64" s="637">
        <f>SUM('3 pr-2'!AK65)</f>
        <v>43830</v>
      </c>
      <c r="S64" s="233"/>
      <c r="T64" s="216" t="str">
        <f t="shared" si="19"/>
        <v>–</v>
      </c>
      <c r="U64" s="216"/>
      <c r="V64" s="1546">
        <f>IF(S64&gt;0,'IV-3'!K63,0)</f>
        <v>0</v>
      </c>
      <c r="W64" s="1544">
        <f t="shared" si="6"/>
        <v>0</v>
      </c>
    </row>
    <row r="65" spans="1:23" ht="37.5" thickBot="1" x14ac:dyDescent="0.3">
      <c r="A65" s="182" t="str">
        <f>CONCATENATE('3 pr-2'!A66)</f>
        <v>1.1.1.8.4</v>
      </c>
      <c r="B65" s="182" t="str">
        <f>CONCATENATE('3 pr-2'!B66)</f>
        <v>R01-3305-330200-1184</v>
      </c>
      <c r="C65" s="309" t="str">
        <f>CONCATENATE('ketv. 2'!B65)</f>
        <v>07.1.1-CPVA-R-305-11-0004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82" t="str">
        <f>CONCATENATE('3 pr-2'!J66)</f>
        <v>ITI</v>
      </c>
      <c r="K65" s="1296">
        <f>IF(S65&gt;0,'3 pr-2'!L66,0)</f>
        <v>0</v>
      </c>
      <c r="L65" s="1296">
        <f>IF(S65&gt;0,'3 pr-2'!O66,0)</f>
        <v>0</v>
      </c>
      <c r="M65" s="1296">
        <f>IF(S65&gt;0,'3 pr-2'!R66,0)</f>
        <v>0</v>
      </c>
      <c r="N65" s="1296">
        <f>IF(S65&gt;0,'3 pr-2'!U66,0)</f>
        <v>0</v>
      </c>
      <c r="O65" s="1296">
        <f>IF(S65&gt;0,'3 pr-2'!X66,0)</f>
        <v>0</v>
      </c>
      <c r="P65" s="1296">
        <f>IF(S65&gt;0,'3 pr-2'!AA66,0)</f>
        <v>0</v>
      </c>
      <c r="Q65" s="1435">
        <f>IF($Y$9&gt;0,'3 pr-2'!AB66,0)</f>
        <v>0</v>
      </c>
      <c r="R65" s="637">
        <f>SUM('3 pr-2'!AK66)</f>
        <v>43830</v>
      </c>
      <c r="S65" s="233"/>
      <c r="T65" s="216" t="str">
        <f t="shared" si="19"/>
        <v>–</v>
      </c>
      <c r="U65" s="216"/>
      <c r="V65" s="1546">
        <f>IF(S65&gt;0,'IV-3'!K64,0)</f>
        <v>0</v>
      </c>
      <c r="W65" s="1544">
        <f t="shared" si="6"/>
        <v>0</v>
      </c>
    </row>
    <row r="66" spans="1:23" ht="34.5" customHeight="1" thickBot="1" x14ac:dyDescent="0.3">
      <c r="A66" s="326" t="str">
        <f>CONCATENATE('3 pr-2'!A67)</f>
        <v>1.1.1.9</v>
      </c>
      <c r="B66" s="2025" t="str">
        <f>CONCATENATE('3 pr-2'!B67)</f>
        <v>Priemonė:
Aktualizuoti savivaldybių kultūros paveldo objektus</v>
      </c>
      <c r="C66" s="2026"/>
      <c r="D66" s="2026"/>
      <c r="E66" s="2026"/>
      <c r="F66" s="2026"/>
      <c r="G66" s="2026"/>
      <c r="H66" s="2026"/>
      <c r="I66" s="2026"/>
      <c r="J66" s="2027"/>
      <c r="K66" s="1293">
        <f>SUM(K67:K71)</f>
        <v>0</v>
      </c>
      <c r="L66" s="1293">
        <f t="shared" ref="L66:Q66" si="20">SUM(L67:L71)</f>
        <v>0</v>
      </c>
      <c r="M66" s="1293">
        <f t="shared" si="20"/>
        <v>0</v>
      </c>
      <c r="N66" s="1293">
        <f t="shared" si="20"/>
        <v>0</v>
      </c>
      <c r="O66" s="1293">
        <f t="shared" si="20"/>
        <v>0</v>
      </c>
      <c r="P66" s="1293">
        <f t="shared" si="20"/>
        <v>0</v>
      </c>
      <c r="Q66" s="1293">
        <f t="shared" si="20"/>
        <v>0</v>
      </c>
      <c r="R66" s="397"/>
      <c r="S66" s="397"/>
      <c r="T66" s="397"/>
      <c r="U66" s="397"/>
      <c r="V66" s="1544"/>
      <c r="W66" s="1544">
        <f t="shared" si="6"/>
        <v>0</v>
      </c>
    </row>
    <row r="67" spans="1:23" ht="36.75" x14ac:dyDescent="0.25">
      <c r="A67" s="182" t="str">
        <f>CONCATENATE('3 pr-2'!A68)</f>
        <v>1.1.1.9.1</v>
      </c>
      <c r="B67" s="182" t="str">
        <f>CONCATENATE('3 pr-2'!B68)</f>
        <v>R01-3302-440000-1191</v>
      </c>
      <c r="C67" s="309" t="str">
        <f>CONCATENATE('ketv. 2'!B67)</f>
        <v>05.4.1-CPVA-R-302-11-0003</v>
      </c>
      <c r="D67" s="182" t="str">
        <f>CONCATENATE('3 pr-2'!D68)</f>
        <v>Buvusios sinagogos pastato Kauno g. 9A Alytuje rekonstravimas ir aplinkinės teritorijos sutvarkymas</v>
      </c>
      <c r="E67" s="182" t="str">
        <f>CONCATENATE('3 pr-2'!E68)</f>
        <v>Alytaus miesto savivaldybės administracija</v>
      </c>
      <c r="F67" s="182" t="str">
        <f>CONCATENATE('3 pr-2'!F68)</f>
        <v>Lietuvos Respublikos kultūros ministerija</v>
      </c>
      <c r="G67" s="182" t="str">
        <f>CONCATENATE('3 pr-2'!G68)</f>
        <v>Alytaus m. sav.</v>
      </c>
      <c r="H67" s="182" t="str">
        <f>CONCATENATE('3 pr-2'!H68)</f>
        <v>05.4.1-CPVA-R-302</v>
      </c>
      <c r="I67" s="182" t="str">
        <f>CONCATENATE('3 pr-2'!I68)</f>
        <v>R</v>
      </c>
      <c r="J67" s="182" t="str">
        <f>CONCATENATE('3 pr-2'!J68)</f>
        <v>ITI</v>
      </c>
      <c r="K67" s="1296">
        <f>IF(S67&gt;0,'3 pr-2'!L68,0)</f>
        <v>0</v>
      </c>
      <c r="L67" s="1296">
        <f>IF(S67&gt;0,'3 pr-2'!O68,0)</f>
        <v>0</v>
      </c>
      <c r="M67" s="1296">
        <f>IF(S67&gt;0,'3 pr-2'!R68,0)</f>
        <v>0</v>
      </c>
      <c r="N67" s="1296">
        <f>IF(S67&gt;0,'3 pr-2'!U68,0)</f>
        <v>0</v>
      </c>
      <c r="O67" s="1296">
        <f>IF(S67&gt;0,'3 pr-2'!X68,0)</f>
        <v>0</v>
      </c>
      <c r="P67" s="1296">
        <f>IF(S67&gt;0,'3 pr-2'!AA68,0)</f>
        <v>0</v>
      </c>
      <c r="Q67" s="1435">
        <f>IF($Y$9&gt;0,'3 pr-2'!AB68,0)</f>
        <v>0</v>
      </c>
      <c r="R67" s="637">
        <f>SUM('3 pr-2'!AK68)</f>
        <v>44196</v>
      </c>
      <c r="S67" s="215"/>
      <c r="T67" s="216" t="str">
        <f t="shared" ref="T67:T71" si="21">IF(R67-S67&lt;0,(R67-S67)/365,"–")</f>
        <v>–</v>
      </c>
      <c r="U67" s="216"/>
      <c r="V67" s="1546">
        <f>IF(S67&gt;0,'IV-3'!K66,0)</f>
        <v>0</v>
      </c>
      <c r="W67" s="1544">
        <f t="shared" si="6"/>
        <v>0</v>
      </c>
    </row>
    <row r="68" spans="1:23" ht="36.75" x14ac:dyDescent="0.25">
      <c r="A68" s="182" t="str">
        <f>CONCATENATE('3 pr-2'!A69)</f>
        <v>1.1.1.9.2</v>
      </c>
      <c r="B68" s="182" t="str">
        <f>CONCATENATE('3 pr-2'!B69)</f>
        <v>R01-3302-440000-1192</v>
      </c>
      <c r="C68" s="309" t="str">
        <f>CONCATENATE('ketv. 2'!B68)</f>
        <v>05.4.1-CPVA-R-302-11-0002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96">
        <f>IF(S68&gt;0,'3 pr-2'!L69,0)</f>
        <v>0</v>
      </c>
      <c r="L68" s="1296">
        <f>IF(S68&gt;0,'3 pr-2'!O69,0)</f>
        <v>0</v>
      </c>
      <c r="M68" s="1296">
        <f>IF(S68&gt;0,'3 pr-2'!R69,0)</f>
        <v>0</v>
      </c>
      <c r="N68" s="1296">
        <f>IF(S68&gt;0,'3 pr-2'!U69,0)</f>
        <v>0</v>
      </c>
      <c r="O68" s="1296">
        <f>IF(S68&gt;0,'3 pr-2'!X69,0)</f>
        <v>0</v>
      </c>
      <c r="P68" s="1296">
        <f>IF(S68&gt;0,'3 pr-2'!AA69,0)</f>
        <v>0</v>
      </c>
      <c r="Q68" s="1435">
        <f>IF($Y$9&gt;0,'3 pr-2'!AB69,0)</f>
        <v>0</v>
      </c>
      <c r="R68" s="637">
        <f>SUM('3 pr-2'!AK69)</f>
        <v>43739</v>
      </c>
      <c r="S68" s="215"/>
      <c r="T68" s="216" t="str">
        <f t="shared" si="21"/>
        <v>–</v>
      </c>
      <c r="U68" s="216"/>
      <c r="V68" s="1546">
        <f>IF(S68&gt;0,'IV-3'!K67,0)</f>
        <v>0</v>
      </c>
      <c r="W68" s="1544">
        <f t="shared" si="6"/>
        <v>0</v>
      </c>
    </row>
    <row r="69" spans="1:23" ht="36.75" x14ac:dyDescent="0.25">
      <c r="A69" s="182" t="str">
        <f>CONCATENATE('3 pr-2'!A70)</f>
        <v>1.1.1.9.3</v>
      </c>
      <c r="B69" s="182" t="str">
        <f>CONCATENATE('3 pr-2'!B70)</f>
        <v>R01-3302-440200-1193</v>
      </c>
      <c r="C69" s="309" t="str">
        <f>CONCATENATE('ketv. 2'!B69)</f>
        <v>05.4.1-CPVA-R-302-11-0001</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96">
        <f>IF(S69&gt;0,'3 pr-2'!L70,0)</f>
        <v>0</v>
      </c>
      <c r="L69" s="1296">
        <f>IF(S69&gt;0,'3 pr-2'!O70,0)</f>
        <v>0</v>
      </c>
      <c r="M69" s="1296">
        <f>IF(S69&gt;0,'3 pr-2'!R70,0)</f>
        <v>0</v>
      </c>
      <c r="N69" s="1296">
        <f>IF(S69&gt;0,'3 pr-2'!U70,0)</f>
        <v>0</v>
      </c>
      <c r="O69" s="1296">
        <f>IF(S69&gt;0,'3 pr-2'!X70,0)</f>
        <v>0</v>
      </c>
      <c r="P69" s="1296">
        <f>IF(S69&gt;0,'3 pr-2'!AA70,0)</f>
        <v>0</v>
      </c>
      <c r="Q69" s="1435">
        <f>IF($Y$9&gt;0,'3 pr-2'!AB70,0)</f>
        <v>0</v>
      </c>
      <c r="R69" s="637">
        <f>SUM('3 pr-2'!AK70)</f>
        <v>43830</v>
      </c>
      <c r="S69" s="215"/>
      <c r="T69" s="216" t="str">
        <f t="shared" si="21"/>
        <v>–</v>
      </c>
      <c r="U69" s="216"/>
      <c r="V69" s="1546">
        <f>IF(S69&gt;0,'IV-3'!K68,0)</f>
        <v>0</v>
      </c>
      <c r="W69" s="1544">
        <f t="shared" si="6"/>
        <v>0</v>
      </c>
    </row>
    <row r="70" spans="1:23" ht="36.75" x14ac:dyDescent="0.25">
      <c r="A70" s="182" t="str">
        <f>CONCATENATE('3 pr-2'!A71)</f>
        <v>1.1.1.9.4</v>
      </c>
      <c r="B70" s="182" t="str">
        <f>CONCATENATE('3 pr-2'!B71)</f>
        <v>R01-3302-440000-1194</v>
      </c>
      <c r="C70" s="309" t="str">
        <f>CONCATENATE('ketv. 2'!B70)</f>
        <v>05.4.1-CPVA-R-302-11-0004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96">
        <f>IF(S70&gt;0,'3 pr-2'!L71,0)</f>
        <v>0</v>
      </c>
      <c r="L70" s="1296">
        <f>IF(S70&gt;0,'3 pr-2'!O71,0)</f>
        <v>0</v>
      </c>
      <c r="M70" s="1296">
        <f>IF(S70&gt;0,'3 pr-2'!R71,0)</f>
        <v>0</v>
      </c>
      <c r="N70" s="1296">
        <f>IF(S70&gt;0,'3 pr-2'!U71,0)</f>
        <v>0</v>
      </c>
      <c r="O70" s="1296">
        <f>IF(S70&gt;0,'3 pr-2'!X71,0)</f>
        <v>0</v>
      </c>
      <c r="P70" s="1296">
        <f>IF(S70&gt;0,'3 pr-2'!AA71,0)</f>
        <v>0</v>
      </c>
      <c r="Q70" s="1435">
        <f>IF($Y$9&gt;0,'3 pr-2'!AB71,0)</f>
        <v>0</v>
      </c>
      <c r="R70" s="637">
        <f>SUM('3 pr-2'!AK71)</f>
        <v>44196</v>
      </c>
      <c r="S70" s="215"/>
      <c r="T70" s="216" t="str">
        <f t="shared" si="21"/>
        <v>–</v>
      </c>
      <c r="U70" s="216"/>
      <c r="V70" s="1546">
        <f>IF(S70&gt;0,'IV-3'!K69,0)</f>
        <v>0</v>
      </c>
      <c r="W70" s="1544">
        <f t="shared" si="6"/>
        <v>0</v>
      </c>
    </row>
    <row r="71" spans="1:23" ht="37.5" thickBot="1" x14ac:dyDescent="0.3">
      <c r="A71" s="182" t="str">
        <f>CONCATENATE('3 pr-2'!A72)</f>
        <v>1.1.1.9.5</v>
      </c>
      <c r="B71" s="182" t="str">
        <f>CONCATENATE('3 pr-2'!B72)</f>
        <v>R01-3302-440000-1195</v>
      </c>
      <c r="C71" s="309" t="str">
        <f>CONCATENATE('ketv. 2'!B71)</f>
        <v>05.4.1-CPVA-R-302-11-0005</v>
      </c>
      <c r="D71" s="182" t="str">
        <f>CONCATENATE('3 pr-2'!D72)</f>
        <v>Vinco Krėvės-Mickevičiaus memorialinio muziejaus atnaujinimas</v>
      </c>
      <c r="E71" s="182" t="str">
        <f>CONCATENATE('3 pr-2'!E72)</f>
        <v>Varėnos rajono savivaldybės administracija</v>
      </c>
      <c r="F71" s="182" t="str">
        <f>CONCATENATE('3 pr-2'!F72)</f>
        <v>Lietuvos Respublikos kultūros ministerija</v>
      </c>
      <c r="G71" s="182" t="str">
        <f>CONCATENATE('3 pr-2'!G72)</f>
        <v>Varėnos r. sav.</v>
      </c>
      <c r="H71" s="182" t="str">
        <f>CONCATENATE('3 pr-2'!H72)</f>
        <v>05.4.1-CPVA-R-302</v>
      </c>
      <c r="I71" s="182" t="str">
        <f>CONCATENATE('3 pr-2'!I72)</f>
        <v>R</v>
      </c>
      <c r="J71" s="182" t="str">
        <f>CONCATENATE('3 pr-2'!J72)</f>
        <v>-</v>
      </c>
      <c r="K71" s="1296">
        <f>IF(S71&gt;0,'3 pr-2'!L72,0)</f>
        <v>0</v>
      </c>
      <c r="L71" s="1296">
        <f>IF(S71&gt;0,'3 pr-2'!O72,0)</f>
        <v>0</v>
      </c>
      <c r="M71" s="1296">
        <f>IF(S71&gt;0,'3 pr-2'!R72,0)</f>
        <v>0</v>
      </c>
      <c r="N71" s="1296">
        <f>IF(S71&gt;0,'3 pr-2'!U72,0)</f>
        <v>0</v>
      </c>
      <c r="O71" s="1296">
        <f>IF(S71&gt;0,'3 pr-2'!X72,0)</f>
        <v>0</v>
      </c>
      <c r="P71" s="1296">
        <f>IF(S71&gt;0,'3 pr-2'!AA72,0)</f>
        <v>0</v>
      </c>
      <c r="Q71" s="1435">
        <f>IF($Y$9&gt;0,'3 pr-2'!AB72,0)</f>
        <v>0</v>
      </c>
      <c r="R71" s="637">
        <f>SUM('3 pr-2'!AK72)</f>
        <v>44196</v>
      </c>
      <c r="S71" s="215"/>
      <c r="T71" s="216" t="str">
        <f t="shared" si="21"/>
        <v>–</v>
      </c>
      <c r="U71" s="216"/>
      <c r="V71" s="1546">
        <f>IF(S71&gt;0,'IV-3'!K70,0)</f>
        <v>0</v>
      </c>
      <c r="W71" s="1544">
        <f t="shared" si="6"/>
        <v>0</v>
      </c>
    </row>
    <row r="72" spans="1:23" ht="39.75" customHeight="1" thickBot="1" x14ac:dyDescent="0.3">
      <c r="A72" s="155" t="str">
        <f>CONCATENATE('3 pr-2'!A73)</f>
        <v>1.1.2.</v>
      </c>
      <c r="B72" s="2022" t="str">
        <f>CONCATENATE('3 pr-2'!B73)</f>
        <v>Uždavinys:
Pagerinti darbo jėgos judėjimo galimybes gerinant susisiekimo sistemas</v>
      </c>
      <c r="C72" s="2023"/>
      <c r="D72" s="2023"/>
      <c r="E72" s="2023"/>
      <c r="F72" s="2023"/>
      <c r="G72" s="2023"/>
      <c r="H72" s="2023"/>
      <c r="I72" s="2023"/>
      <c r="J72" s="2024"/>
      <c r="K72" s="1490">
        <f t="shared" ref="K72:Q72" si="22">SUM(K73+K78+K85+K91)</f>
        <v>17000</v>
      </c>
      <c r="L72" s="1490">
        <f t="shared" si="22"/>
        <v>2550</v>
      </c>
      <c r="M72" s="1490">
        <f t="shared" si="22"/>
        <v>0</v>
      </c>
      <c r="N72" s="1490">
        <f t="shared" si="22"/>
        <v>0</v>
      </c>
      <c r="O72" s="1490">
        <f t="shared" si="22"/>
        <v>0</v>
      </c>
      <c r="P72" s="1490">
        <f t="shared" si="22"/>
        <v>14450</v>
      </c>
      <c r="Q72" s="1490">
        <f t="shared" si="22"/>
        <v>0</v>
      </c>
      <c r="R72" s="424"/>
      <c r="S72" s="302"/>
      <c r="T72" s="303"/>
      <c r="U72" s="303"/>
      <c r="V72" s="1544"/>
      <c r="W72" s="1544">
        <f t="shared" si="6"/>
        <v>0</v>
      </c>
    </row>
    <row r="73" spans="1:23" ht="37.5" customHeight="1" thickBot="1" x14ac:dyDescent="0.3">
      <c r="A73" s="326" t="str">
        <f>CONCATENATE('3 pr-2'!A74)</f>
        <v>1.1.2.1</v>
      </c>
      <c r="B73" s="2025" t="str">
        <f>CONCATENATE('3 pr-2'!B74)</f>
        <v>Priemonė:
Vietinio susisiekimo viešojo transporto priemonių parko atnaujinimas</v>
      </c>
      <c r="C73" s="2026"/>
      <c r="D73" s="2026"/>
      <c r="E73" s="2026"/>
      <c r="F73" s="2026"/>
      <c r="G73" s="2026"/>
      <c r="H73" s="2026"/>
      <c r="I73" s="2026"/>
      <c r="J73" s="2027"/>
      <c r="K73" s="1293">
        <f>SUM(K74:K77)</f>
        <v>0</v>
      </c>
      <c r="L73" s="1293">
        <f t="shared" ref="L73:P73" si="23">SUM(L74:L77)</f>
        <v>0</v>
      </c>
      <c r="M73" s="1293">
        <f t="shared" si="23"/>
        <v>0</v>
      </c>
      <c r="N73" s="1293">
        <f t="shared" si="23"/>
        <v>0</v>
      </c>
      <c r="O73" s="1293">
        <f t="shared" si="23"/>
        <v>0</v>
      </c>
      <c r="P73" s="1293">
        <f t="shared" si="23"/>
        <v>0</v>
      </c>
      <c r="Q73" s="1293">
        <f t="shared" ref="Q73" si="24">SUM(Q74:Q77)</f>
        <v>0</v>
      </c>
      <c r="R73" s="397"/>
      <c r="S73" s="397"/>
      <c r="T73" s="397"/>
      <c r="U73" s="397"/>
      <c r="V73" s="1544"/>
      <c r="W73" s="1544">
        <f t="shared" si="6"/>
        <v>0</v>
      </c>
    </row>
    <row r="74" spans="1:23" ht="36.75" x14ac:dyDescent="0.25">
      <c r="A74" s="182" t="str">
        <f>CONCATENATE('3 pr-2'!A75)</f>
        <v>1.1.2.1.1</v>
      </c>
      <c r="B74" s="182" t="str">
        <f>CONCATENATE('3 pr-2'!B75)</f>
        <v>R01-5518-100000-1211</v>
      </c>
      <c r="C74" s="309" t="str">
        <f>CONCATENATE('ketv. 2'!B74)</f>
        <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96">
        <f>IF(S74&gt;0,'3 pr-2'!L76,0)</f>
        <v>0</v>
      </c>
      <c r="L74" s="1296">
        <f>IF(S74&gt;0,'3 pr-2'!O76,0)</f>
        <v>0</v>
      </c>
      <c r="M74" s="1296">
        <f>IF(S74&gt;0,'3 pr-2'!R76,0)</f>
        <v>0</v>
      </c>
      <c r="N74" s="1296">
        <f>IF(S74&gt;0,'3 pr-2'!U76,0)</f>
        <v>0</v>
      </c>
      <c r="O74" s="1296">
        <f>IF(S74&gt;0,'3 pr-2'!X76,0)</f>
        <v>0</v>
      </c>
      <c r="P74" s="1296">
        <f>IF(S74&gt;0,'3 pr-2'!AA76,0)</f>
        <v>0</v>
      </c>
      <c r="Q74" s="1435">
        <f>IF($Y$9&gt;0,'3 pr-2'!AB76,0)</f>
        <v>0</v>
      </c>
      <c r="R74" s="637">
        <f>SUM('3 pr-2'!AK75)</f>
        <v>44377</v>
      </c>
      <c r="S74" s="182"/>
      <c r="T74" s="216" t="str">
        <f t="shared" ref="T74:T77" si="25">IF(R74-S74&lt;0,(R74-S74)/365,"–")</f>
        <v>–</v>
      </c>
      <c r="U74" s="182"/>
      <c r="V74" s="1546">
        <f>IF(S74&gt;0,'IV-3'!K74,0)</f>
        <v>0</v>
      </c>
      <c r="W74" s="1544">
        <f t="shared" ref="W74:W136" si="26">IF(S74&gt;0,1,0)</f>
        <v>0</v>
      </c>
    </row>
    <row r="75" spans="1:23" ht="36.75" x14ac:dyDescent="0.25">
      <c r="A75" s="182" t="str">
        <f>CONCATENATE('3 pr-2'!A76)</f>
        <v>1.1.2.1.2</v>
      </c>
      <c r="B75" s="182" t="str">
        <f>CONCATENATE('3 pr-2'!B76)</f>
        <v>R01-5518-100000-1212</v>
      </c>
      <c r="C75" s="309" t="str">
        <f>CONCATENATE('ketv. 2'!B75)</f>
        <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96">
        <f>IF(S75&gt;0,'3 pr-2'!L77,0)</f>
        <v>0</v>
      </c>
      <c r="L75" s="1296">
        <f>IF(S75&gt;0,'3 pr-2'!O77,0)</f>
        <v>0</v>
      </c>
      <c r="M75" s="1296">
        <f>IF(S75&gt;0,'3 pr-2'!R77,0)</f>
        <v>0</v>
      </c>
      <c r="N75" s="1296">
        <f>IF(S75&gt;0,'3 pr-2'!U77,0)</f>
        <v>0</v>
      </c>
      <c r="O75" s="1296">
        <f>IF(S75&gt;0,'3 pr-2'!X77,0)</f>
        <v>0</v>
      </c>
      <c r="P75" s="1296">
        <f>IF(S75&gt;0,'3 pr-2'!AA77,0)</f>
        <v>0</v>
      </c>
      <c r="Q75" s="1435">
        <f>IF($Y$9&gt;0,'3 pr-2'!AB77,0)</f>
        <v>0</v>
      </c>
      <c r="R75" s="637">
        <f>SUM('3 pr-2'!AK76)</f>
        <v>43920</v>
      </c>
      <c r="S75" s="182"/>
      <c r="T75" s="216" t="str">
        <f t="shared" si="25"/>
        <v>–</v>
      </c>
      <c r="U75" s="182"/>
      <c r="V75" s="1546">
        <f>IF(S75&gt;0,'IV-3'!K75,0)</f>
        <v>0</v>
      </c>
      <c r="W75" s="1544">
        <f t="shared" si="26"/>
        <v>0</v>
      </c>
    </row>
    <row r="76" spans="1:23" ht="36.75" x14ac:dyDescent="0.25">
      <c r="A76" s="182" t="str">
        <f>CONCATENATE('3 pr-2'!A77)</f>
        <v>1.1.2.1.3</v>
      </c>
      <c r="B76" s="182" t="str">
        <f>CONCATENATE('3 pr-2'!B77)</f>
        <v>R01-5518-100000-1213</v>
      </c>
      <c r="C76" s="309" t="str">
        <f>CONCATENATE('ketv. 2'!B76)</f>
        <v>04.5.1-TID-R-518-11-0002</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96">
        <f>IF(S76&gt;0,'3 pr-2'!L78,0)</f>
        <v>0</v>
      </c>
      <c r="L76" s="1296">
        <f>IF(S76&gt;0,'3 pr-2'!O78,0)</f>
        <v>0</v>
      </c>
      <c r="M76" s="1296">
        <f>IF(S76&gt;0,'3 pr-2'!R78,0)</f>
        <v>0</v>
      </c>
      <c r="N76" s="1296">
        <f>IF(S76&gt;0,'3 pr-2'!U78,0)</f>
        <v>0</v>
      </c>
      <c r="O76" s="1296">
        <f>IF(S76&gt;0,'3 pr-2'!X78,0)</f>
        <v>0</v>
      </c>
      <c r="P76" s="1296">
        <f>IF(S76&gt;0,'3 pr-2'!AA78,0)</f>
        <v>0</v>
      </c>
      <c r="Q76" s="1435">
        <f>IF($Y$9&gt;0,'3 pr-2'!AB78,0)</f>
        <v>0</v>
      </c>
      <c r="R76" s="637">
        <f>SUM('3 pr-2'!AK77)</f>
        <v>43830</v>
      </c>
      <c r="S76" s="182"/>
      <c r="T76" s="216" t="str">
        <f t="shared" si="25"/>
        <v>–</v>
      </c>
      <c r="U76" s="182"/>
      <c r="V76" s="1546">
        <f>IF(S76&gt;0,'IV-3'!K76,0)</f>
        <v>0</v>
      </c>
      <c r="W76" s="1544">
        <f t="shared" si="26"/>
        <v>0</v>
      </c>
    </row>
    <row r="77" spans="1:23" ht="37.5" thickBot="1" x14ac:dyDescent="0.3">
      <c r="A77" s="182" t="str">
        <f>CONCATENATE('3 pr-2'!A78)</f>
        <v>1.1.2.1.4</v>
      </c>
      <c r="B77" s="182" t="str">
        <f>CONCATENATE('3 pr-2'!B78)</f>
        <v>R01-5518-100000-1214</v>
      </c>
      <c r="C77" s="309" t="str">
        <f>CONCATENATE('ketv. 2'!B77)</f>
        <v>04.5.1-TID-R-518-11-0001</v>
      </c>
      <c r="D77" s="182"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96">
        <f>IF(S77&gt;0,'3 pr-2'!L79,0)</f>
        <v>0</v>
      </c>
      <c r="L77" s="1296">
        <f>IF(S77&gt;0,'3 pr-2'!O79,0)</f>
        <v>0</v>
      </c>
      <c r="M77" s="1296">
        <f>IF(S77&gt;0,'3 pr-2'!R79,0)</f>
        <v>0</v>
      </c>
      <c r="N77" s="1296">
        <f>IF(S77&gt;0,'3 pr-2'!U79,0)</f>
        <v>0</v>
      </c>
      <c r="O77" s="1296">
        <f>IF(S77&gt;0,'3 pr-2'!X79,0)</f>
        <v>0</v>
      </c>
      <c r="P77" s="1296">
        <f>IF(S77&gt;0,'3 pr-2'!AA79,0)</f>
        <v>0</v>
      </c>
      <c r="Q77" s="1435">
        <f>IF($Y$9&gt;0,'3 pr-2'!AB79,0)</f>
        <v>0</v>
      </c>
      <c r="R77" s="637">
        <f>SUM('3 pr-2'!AK78)</f>
        <v>44165</v>
      </c>
      <c r="S77" s="182"/>
      <c r="T77" s="216" t="str">
        <f t="shared" si="25"/>
        <v>–</v>
      </c>
      <c r="U77" s="182"/>
      <c r="V77" s="1546">
        <f>IF(S77&gt;0,'IV-3'!K77,0)</f>
        <v>0</v>
      </c>
      <c r="W77" s="1544">
        <f t="shared" si="26"/>
        <v>0</v>
      </c>
    </row>
    <row r="78" spans="1:23" ht="36" customHeight="1" thickBot="1" x14ac:dyDescent="0.3">
      <c r="A78" s="326" t="str">
        <f>CONCATENATE('3 pr-2'!A79)</f>
        <v>1.1.2.2</v>
      </c>
      <c r="B78" s="2025" t="str">
        <f>CONCATENATE('3 pr-2'!B79)</f>
        <v>Priemonė:
Darnaus judumo priemonių diegimas</v>
      </c>
      <c r="C78" s="2026"/>
      <c r="D78" s="2026"/>
      <c r="E78" s="2026"/>
      <c r="F78" s="2026"/>
      <c r="G78" s="2026"/>
      <c r="H78" s="2026"/>
      <c r="I78" s="2026"/>
      <c r="J78" s="2027"/>
      <c r="K78" s="1293">
        <f t="shared" ref="K78:O78" si="27">SUM(K79:K84)</f>
        <v>17000</v>
      </c>
      <c r="L78" s="1293">
        <f t="shared" si="27"/>
        <v>2550</v>
      </c>
      <c r="M78" s="1293">
        <f t="shared" si="27"/>
        <v>0</v>
      </c>
      <c r="N78" s="1293">
        <f t="shared" si="27"/>
        <v>0</v>
      </c>
      <c r="O78" s="1293">
        <f t="shared" si="27"/>
        <v>0</v>
      </c>
      <c r="P78" s="1293">
        <f>SUM(P79:P84)</f>
        <v>14450</v>
      </c>
      <c r="Q78" s="1293">
        <f>SUM(Q79:Q84)</f>
        <v>0</v>
      </c>
      <c r="R78" s="397"/>
      <c r="S78" s="397"/>
      <c r="T78" s="397"/>
      <c r="U78" s="397"/>
      <c r="V78" s="1544"/>
      <c r="W78" s="1544">
        <f t="shared" si="26"/>
        <v>0</v>
      </c>
    </row>
    <row r="79" spans="1:23" ht="36.75" x14ac:dyDescent="0.25">
      <c r="A79" s="182" t="str">
        <f>CONCATENATE('3 pr-2'!A80)</f>
        <v>1.1.2.2.1</v>
      </c>
      <c r="B79" s="182" t="str">
        <f>CONCATENATE('3 pr-2'!B80)</f>
        <v>R01-5514-190000-1221</v>
      </c>
      <c r="C79" s="309" t="str">
        <f>CONCATENATE('ketv. 2'!B79)</f>
        <v/>
      </c>
      <c r="D79" s="182" t="str">
        <f>CONCATENATE('3 pr-2'!D80)</f>
        <v>Darnaus judumo priemonių diegimas Alytaus mieste</v>
      </c>
      <c r="E79" s="182" t="str">
        <f>CONCATENATE('3 pr-2'!E80)</f>
        <v>Alytaus miesto savivaldybės administracija</v>
      </c>
      <c r="F79" s="182" t="str">
        <f>CONCATENATE('3 pr-2'!F80)</f>
        <v>Lietuvos Respublikos susisiekimo ministerija</v>
      </c>
      <c r="G79" s="182" t="str">
        <f>CONCATENATE('3 pr-2'!G80)</f>
        <v>Alytaus m. sav.</v>
      </c>
      <c r="H79" s="182" t="str">
        <f>CONCATENATE('3 pr-2'!H80)</f>
        <v>04.5.1.-TID-R-514</v>
      </c>
      <c r="I79" s="182" t="str">
        <f>CONCATENATE('3 pr-2'!I80)</f>
        <v>R</v>
      </c>
      <c r="J79" s="182" t="str">
        <f>CONCATENATE('3 pr-2'!J80)</f>
        <v>ITI</v>
      </c>
      <c r="K79" s="1296">
        <f>IF(S79&gt;0,'3 pr-2'!L80,0)</f>
        <v>0</v>
      </c>
      <c r="L79" s="1296">
        <f>IF(S79&gt;0,'3 pr-2'!O80,0)</f>
        <v>0</v>
      </c>
      <c r="M79" s="1296">
        <f>IF(S79&gt;0,'3 pr-2'!R80,0)</f>
        <v>0</v>
      </c>
      <c r="N79" s="1296">
        <f>IF(S79&gt;0,'3 pr-2'!U80,0)</f>
        <v>0</v>
      </c>
      <c r="O79" s="1296">
        <f>IF(S79&gt;0,'3 pr-2'!X80,0)</f>
        <v>0</v>
      </c>
      <c r="P79" s="1296">
        <f>IF(S79&gt;0,'3 pr-2'!AA80,0)</f>
        <v>0</v>
      </c>
      <c r="Q79" s="1435">
        <f>IF($Y$9&gt;0,'3 pr-2'!AB80,0)</f>
        <v>0</v>
      </c>
      <c r="R79" s="637">
        <f>SUM('3 pr-2'!AK80)</f>
        <v>44346</v>
      </c>
      <c r="S79" s="232"/>
      <c r="T79" s="216" t="str">
        <f t="shared" ref="T79:T81" si="28">IF(R79-S79&lt;0,(R79-S79)/365,"–")</f>
        <v>–</v>
      </c>
      <c r="U79" s="232"/>
      <c r="V79" s="1546">
        <f>IF(S79&gt;0,'IV-3'!K79,0)</f>
        <v>0</v>
      </c>
      <c r="W79" s="1544">
        <f t="shared" si="26"/>
        <v>0</v>
      </c>
    </row>
    <row r="80" spans="1:23" ht="36.75" x14ac:dyDescent="0.25">
      <c r="A80" s="182" t="str">
        <f>CONCATENATE('3 pr-2'!A81)</f>
        <v>1.1.2.2.2</v>
      </c>
      <c r="B80" s="182" t="str">
        <f>CONCATENATE('3 pr-2'!B81)</f>
        <v>R01-5514-190000-1222</v>
      </c>
      <c r="C80" s="309" t="str">
        <f>CONCATENATE('ketv. 2'!B80)</f>
        <v>04.5.1-TID-V-513-01-0015</v>
      </c>
      <c r="D80" s="182" t="str">
        <f>CONCATENATE('3 pr-2'!D81)</f>
        <v>Alytaus miesto darnaus judumo plano parengimas</v>
      </c>
      <c r="E80" s="182" t="str">
        <f>CONCATENATE('3 pr-2'!E81)</f>
        <v>Alytaus miesto savivaldybės administracija</v>
      </c>
      <c r="F80" s="182" t="str">
        <f>CONCATENATE('3 pr-2'!F81)</f>
        <v>Lietuvos Respublikos susisiekimo ministerija</v>
      </c>
      <c r="G80" s="182" t="str">
        <f>CONCATENATE('3 pr-2'!G81)</f>
        <v>Alytaus m. sav.</v>
      </c>
      <c r="H80" s="182" t="str">
        <f>CONCATENATE('3 pr-2'!H81)</f>
        <v>04.5.1-TID-V-513</v>
      </c>
      <c r="I80" s="182" t="str">
        <f>CONCATENATE('3 pr-2'!I81)</f>
        <v>V</v>
      </c>
      <c r="J80" s="182" t="str">
        <f>CONCATENATE('3 pr-2'!J81)</f>
        <v>ITI</v>
      </c>
      <c r="K80" s="1296">
        <f>IF(S80&gt;0,'3 pr-2'!L81,0)</f>
        <v>0</v>
      </c>
      <c r="L80" s="1296">
        <f>IF(S80&gt;0,'3 pr-2'!O81,0)</f>
        <v>0</v>
      </c>
      <c r="M80" s="1296">
        <f>IF(S80&gt;0,'3 pr-2'!R81,0)</f>
        <v>0</v>
      </c>
      <c r="N80" s="1296">
        <f>IF(S80&gt;0,'3 pr-2'!U81,0)</f>
        <v>0</v>
      </c>
      <c r="O80" s="1296">
        <f>IF(S80&gt;0,'3 pr-2'!X81,0)</f>
        <v>0</v>
      </c>
      <c r="P80" s="1296">
        <f>IF(S80&gt;0,'3 pr-2'!AA81,0)</f>
        <v>0</v>
      </c>
      <c r="Q80" s="1435">
        <f>IF($Y$9&gt;0,'3 pr-2'!AB81,0)</f>
        <v>0</v>
      </c>
      <c r="R80" s="637">
        <f>SUM('3 pr-2'!AK81)</f>
        <v>43281</v>
      </c>
      <c r="S80" s="233"/>
      <c r="T80" s="216" t="str">
        <f t="shared" si="28"/>
        <v>–</v>
      </c>
      <c r="U80" s="216"/>
      <c r="V80" s="1546">
        <f>IF(S80&gt;0,'IV-3'!K80,0)</f>
        <v>0</v>
      </c>
      <c r="W80" s="1544">
        <f t="shared" si="26"/>
        <v>0</v>
      </c>
    </row>
    <row r="81" spans="1:23" ht="36.75" x14ac:dyDescent="0.25">
      <c r="A81" s="182" t="str">
        <f>CONCATENATE('3 pr-2'!A82)</f>
        <v>1.1.2.2.3</v>
      </c>
      <c r="B81" s="182" t="str">
        <f>CONCATENATE('3 pr-2'!B82)</f>
        <v>R01-5514-191800-1223</v>
      </c>
      <c r="C81" s="309" t="str">
        <f>CONCATENATE('ketv. 2'!B81)</f>
        <v/>
      </c>
      <c r="D81" s="182" t="str">
        <f>CONCATENATE('3 pr-2'!D82)</f>
        <v>Intelektinių transporto sistemų diegimas Druskininkuose</v>
      </c>
      <c r="E81" s="182" t="str">
        <f>CONCATENATE('3 pr-2'!E82)</f>
        <v>Druskininkų savivaldybės administracija</v>
      </c>
      <c r="F81" s="182" t="str">
        <f>CONCATENATE('3 pr-2'!F82)</f>
        <v>Lietuvos Respublikos susisiekimo ministerija</v>
      </c>
      <c r="G81" s="182" t="str">
        <f>CONCATENATE('3 pr-2'!G82)</f>
        <v>Druskininkų sav.</v>
      </c>
      <c r="H81" s="182" t="str">
        <f>CONCATENATE('3 pr-2'!H82)</f>
        <v>04.5.1.-TID-R-514</v>
      </c>
      <c r="I81" s="182" t="str">
        <f>CONCATENATE('3 pr-2'!I82)</f>
        <v>R</v>
      </c>
      <c r="J81" s="182" t="str">
        <f>CONCATENATE('3 pr-2'!J82)</f>
        <v>-</v>
      </c>
      <c r="K81" s="1296">
        <f>IF(S81&gt;0,'3 pr-2'!L82,0)</f>
        <v>0</v>
      </c>
      <c r="L81" s="1296">
        <f>IF(S81&gt;0,'3 pr-2'!O82,0)</f>
        <v>0</v>
      </c>
      <c r="M81" s="1296">
        <f>IF(S81&gt;0,'3 pr-2'!R82,0)</f>
        <v>0</v>
      </c>
      <c r="N81" s="1296">
        <f>IF(S81&gt;0,'3 pr-2'!U82,0)</f>
        <v>0</v>
      </c>
      <c r="O81" s="1296">
        <f>IF(S81&gt;0,'3 pr-2'!X82,0)</f>
        <v>0</v>
      </c>
      <c r="P81" s="1296">
        <f>IF(S81&gt;0,'3 pr-2'!AA82,0)</f>
        <v>0</v>
      </c>
      <c r="Q81" s="1435">
        <f>IF($Y$9&gt;0,'3 pr-2'!AB82,0)</f>
        <v>0</v>
      </c>
      <c r="R81" s="637">
        <f>SUM('3 pr-2'!AK82)</f>
        <v>44136</v>
      </c>
      <c r="S81" s="232"/>
      <c r="T81" s="216" t="str">
        <f t="shared" si="28"/>
        <v>–</v>
      </c>
      <c r="U81" s="232"/>
      <c r="V81" s="1546">
        <f>IF(S81&gt;0,'IV-3'!K81,0)</f>
        <v>0</v>
      </c>
      <c r="W81" s="1544">
        <f t="shared" si="26"/>
        <v>0</v>
      </c>
    </row>
    <row r="82" spans="1:23" ht="36.75" x14ac:dyDescent="0.25">
      <c r="A82" s="182" t="str">
        <f>CONCATENATE('3 pr-2'!A83)</f>
        <v>1.1.2.2.4</v>
      </c>
      <c r="B82" s="182" t="str">
        <f>CONCATENATE('3 pr-2'!B83)</f>
        <v>R01-5514-190000-1224</v>
      </c>
      <c r="C82" s="309" t="str">
        <f>CONCATENATE('ketv. 2'!B82)</f>
        <v>04.5.1-TID-V-513-01-0006</v>
      </c>
      <c r="D82" s="182" t="str">
        <f>CONCATENATE('3 pr-2'!D83)</f>
        <v>Darnaus judumo plano Druskininkuose parengimas</v>
      </c>
      <c r="E82" s="182" t="str">
        <f>CONCATENATE('3 pr-2'!E83)</f>
        <v>Druskininkų savivaldybės administracija</v>
      </c>
      <c r="F82" s="182" t="str">
        <f>CONCATENATE('3 pr-2'!F83)</f>
        <v>Lietuvos Respublikos susisiekimo ministerija</v>
      </c>
      <c r="G82" s="182" t="str">
        <f>CONCATENATE('3 pr-2'!G83)</f>
        <v>Druskininkų sav.</v>
      </c>
      <c r="H82" s="182" t="str">
        <f>CONCATENATE('3 pr-2'!H83)</f>
        <v>04.5.1-TID-V-513</v>
      </c>
      <c r="I82" s="182" t="str">
        <f>CONCATENATE('3 pr-2'!I83)</f>
        <v>V</v>
      </c>
      <c r="J82" s="182" t="str">
        <f>CONCATENATE('3 pr-2'!J83)</f>
        <v>ITI</v>
      </c>
      <c r="K82" s="1296">
        <f>IF(S82&gt;0,'3 pr-2'!L83,0)</f>
        <v>17000</v>
      </c>
      <c r="L82" s="1296">
        <f>IF(S82&gt;0,'3 pr-2'!O83,0)</f>
        <v>2550</v>
      </c>
      <c r="M82" s="1296">
        <f>IF(S82&gt;0,'3 pr-2'!R83,0)</f>
        <v>0</v>
      </c>
      <c r="N82" s="1296">
        <f>IF(S82&gt;0,'3 pr-2'!U83,0)</f>
        <v>0</v>
      </c>
      <c r="O82" s="1296">
        <f>IF(S82&gt;0,'3 pr-2'!X83,0)</f>
        <v>0</v>
      </c>
      <c r="P82" s="1296">
        <f>IF(S82&gt;0,'3 pr-2'!AA83,0)</f>
        <v>14450</v>
      </c>
      <c r="Q82" s="1435">
        <f>IF($Y$9&gt;0,'3 pr-2'!AB83,0)</f>
        <v>0</v>
      </c>
      <c r="R82" s="637">
        <f>SUM('3 pr-2'!AK83)</f>
        <v>43100</v>
      </c>
      <c r="S82" s="545">
        <v>43004</v>
      </c>
      <c r="T82" s="216" t="str">
        <f>IF(R82-S82&lt;0,(R82-S82)/365,"–")</f>
        <v>–</v>
      </c>
      <c r="U82" s="216"/>
      <c r="V82" s="1546" t="str">
        <f>IF(S82&gt;0,'IV-3'!K82,0)</f>
        <v>19</v>
      </c>
      <c r="W82" s="1544">
        <f t="shared" si="26"/>
        <v>1</v>
      </c>
    </row>
    <row r="83" spans="1:23" ht="36.75" x14ac:dyDescent="0.25">
      <c r="A83" s="182" t="str">
        <f>CONCATENATE('3 pr-2'!A84)</f>
        <v>1.1.2.2.5</v>
      </c>
      <c r="B83" s="182" t="str">
        <f>CONCATENATE('3 pr-2'!B84)</f>
        <v>R01-5514-190000-1225</v>
      </c>
      <c r="C83" s="309" t="str">
        <f>CONCATENATE('ketv. 2'!B83)</f>
        <v/>
      </c>
      <c r="D83" s="182" t="str">
        <f>CONCATENATE('3 pr-2'!D84)</f>
        <v>Viešojo transporto organizavimo tobulinimas rekonstruojant Druskininkų miesto gatvių infrastruktūrą</v>
      </c>
      <c r="E83" s="182" t="str">
        <f>CONCATENATE('3 pr-2'!E84)</f>
        <v>Druskininkų savivaldybės administracija</v>
      </c>
      <c r="F83" s="182" t="str">
        <f>CONCATENATE('3 pr-2'!F84)</f>
        <v>Lietuvos Respublikos susisiekimo ministerija</v>
      </c>
      <c r="G83" s="182" t="str">
        <f>CONCATENATE('3 pr-2'!G84)</f>
        <v>Druskininkų sav.</v>
      </c>
      <c r="H83" s="182" t="str">
        <f>CONCATENATE('3 pr-2'!H84)</f>
        <v>04.5.1.-TID-R-514</v>
      </c>
      <c r="I83" s="182" t="str">
        <f>CONCATENATE('3 pr-2'!I84)</f>
        <v>R</v>
      </c>
      <c r="J83" s="182" t="str">
        <f>CONCATENATE('3 pr-2'!J84)</f>
        <v>-</v>
      </c>
      <c r="K83" s="1296">
        <f>IF(S83&gt;0,'3 pr-2'!L84,0)</f>
        <v>0</v>
      </c>
      <c r="L83" s="1296">
        <f>IF(S83&gt;0,'3 pr-2'!O84,0)</f>
        <v>0</v>
      </c>
      <c r="M83" s="1296">
        <f>IF(S83&gt;0,'3 pr-2'!R84,0)</f>
        <v>0</v>
      </c>
      <c r="N83" s="1296">
        <f>IF(S83&gt;0,'3 pr-2'!U84,0)</f>
        <v>0</v>
      </c>
      <c r="O83" s="1296">
        <f>IF(S83&gt;0,'3 pr-2'!X84,0)</f>
        <v>0</v>
      </c>
      <c r="P83" s="1296">
        <f>IF(S83&gt;0,'3 pr-2'!AA84,0)</f>
        <v>0</v>
      </c>
      <c r="Q83" s="1435">
        <f>IF($Y$9&gt;0,'3 pr-2'!AB84,0)</f>
        <v>0</v>
      </c>
      <c r="R83" s="637">
        <f>SUM('3 pr-2'!AK84)</f>
        <v>43800</v>
      </c>
      <c r="S83" s="545"/>
      <c r="T83" s="216" t="str">
        <f t="shared" ref="T83:T84" si="29">IF(R83-S83&lt;0,(R83-S83)/365,"–")</f>
        <v>–</v>
      </c>
      <c r="U83" s="216"/>
      <c r="V83" s="1546">
        <f>IF(S83&gt;0,'IV-3'!K83,0)</f>
        <v>0</v>
      </c>
      <c r="W83" s="1544">
        <f t="shared" si="26"/>
        <v>0</v>
      </c>
    </row>
    <row r="84" spans="1:23" ht="37.5" thickBot="1" x14ac:dyDescent="0.3">
      <c r="A84" s="182" t="str">
        <f>CONCATENATE('3 pr-2'!A85)</f>
        <v>1.1.2.2.6</v>
      </c>
      <c r="B84" s="182" t="str">
        <f>CONCATENATE('3 pr-2'!B85)</f>
        <v>R01-5514-190000-1226</v>
      </c>
      <c r="C84" s="309" t="str">
        <f>CONCATENATE('ketv. 2'!B84)</f>
        <v/>
      </c>
      <c r="D84" s="182" t="str">
        <f>CONCATENATE('3 pr-2'!D85)</f>
        <v>Vandens transporto infrastruktūros įrengimas skatinant kitų rūšių transportą</v>
      </c>
      <c r="E84" s="182" t="str">
        <f>CONCATENATE('3 pr-2'!E85)</f>
        <v>Druskininkų savivaldybės administracija</v>
      </c>
      <c r="F84" s="182" t="str">
        <f>CONCATENATE('3 pr-2'!F85)</f>
        <v>Lietuvos Respublikos susisiekimo ministerija</v>
      </c>
      <c r="G84" s="182" t="str">
        <f>CONCATENATE('3 pr-2'!G85)</f>
        <v>Druskininkų sav.</v>
      </c>
      <c r="H84" s="182" t="str">
        <f>CONCATENATE('3 pr-2'!H85)</f>
        <v>04.5.1.-TID-R-514</v>
      </c>
      <c r="I84" s="182" t="str">
        <f>CONCATENATE('3 pr-2'!I85)</f>
        <v>R</v>
      </c>
      <c r="J84" s="182" t="str">
        <f>CONCATENATE('3 pr-2'!J85)</f>
        <v>-</v>
      </c>
      <c r="K84" s="1296">
        <f>IF(S84&gt;0,'3 pr-2'!L85,0)</f>
        <v>0</v>
      </c>
      <c r="L84" s="1296">
        <f>IF(S84&gt;0,'3 pr-2'!O85,0)</f>
        <v>0</v>
      </c>
      <c r="M84" s="1296">
        <f>IF(S84&gt;0,'3 pr-2'!R85,0)</f>
        <v>0</v>
      </c>
      <c r="N84" s="1296">
        <f>IF(S84&gt;0,'3 pr-2'!U85,0)</f>
        <v>0</v>
      </c>
      <c r="O84" s="1296">
        <f>IF(S84&gt;0,'3 pr-2'!X85,0)</f>
        <v>0</v>
      </c>
      <c r="P84" s="1296">
        <f>IF(S84&gt;0,'3 pr-2'!AA85,0)</f>
        <v>0</v>
      </c>
      <c r="Q84" s="1435">
        <f>IF($Y$9&gt;0,'3 pr-2'!AB85,0)</f>
        <v>0</v>
      </c>
      <c r="R84" s="637">
        <f>SUM('3 pr-2'!AK85)</f>
        <v>44501</v>
      </c>
      <c r="S84" s="545"/>
      <c r="T84" s="216" t="str">
        <f t="shared" si="29"/>
        <v>–</v>
      </c>
      <c r="U84" s="216"/>
      <c r="V84" s="1546">
        <f>IF(S84&gt;0,'IV-3'!K84,0)</f>
        <v>0</v>
      </c>
      <c r="W84" s="1544">
        <f t="shared" si="26"/>
        <v>0</v>
      </c>
    </row>
    <row r="85" spans="1:23" ht="36.75" customHeight="1" thickBot="1" x14ac:dyDescent="0.3">
      <c r="A85" s="326" t="str">
        <f>CONCATENATE('3 pr-2'!A86)</f>
        <v>1.1.2.3</v>
      </c>
      <c r="B85" s="2025" t="str">
        <f>CONCATENATE('3 pr-2'!B86)</f>
        <v>Priemonė:
Pėsčiųjų ir dviračių takų rekonstrukcija ir plėtra</v>
      </c>
      <c r="C85" s="2026"/>
      <c r="D85" s="2026"/>
      <c r="E85" s="2026"/>
      <c r="F85" s="2026"/>
      <c r="G85" s="2026"/>
      <c r="H85" s="2026"/>
      <c r="I85" s="2026"/>
      <c r="J85" s="2027"/>
      <c r="K85" s="1293">
        <f>SUM(K86:K90)</f>
        <v>0</v>
      </c>
      <c r="L85" s="1293">
        <f t="shared" ref="L85:Q85" si="30">SUM(L86:L90)</f>
        <v>0</v>
      </c>
      <c r="M85" s="1293">
        <f t="shared" si="30"/>
        <v>0</v>
      </c>
      <c r="N85" s="1293">
        <f t="shared" si="30"/>
        <v>0</v>
      </c>
      <c r="O85" s="1293">
        <f t="shared" si="30"/>
        <v>0</v>
      </c>
      <c r="P85" s="1293">
        <f t="shared" si="30"/>
        <v>0</v>
      </c>
      <c r="Q85" s="1293">
        <f t="shared" si="30"/>
        <v>0</v>
      </c>
      <c r="R85" s="397"/>
      <c r="S85" s="397"/>
      <c r="T85" s="397"/>
      <c r="U85" s="397"/>
      <c r="V85" s="1544"/>
      <c r="W85" s="1544">
        <f t="shared" si="26"/>
        <v>0</v>
      </c>
    </row>
    <row r="86" spans="1:23" ht="36.75" x14ac:dyDescent="0.25">
      <c r="A86" s="182" t="str">
        <f>CONCATENATE('3 pr-2'!A87)</f>
        <v>1.1.2.3.1</v>
      </c>
      <c r="B86" s="182" t="str">
        <f>CONCATENATE('3 pr-2'!B87)</f>
        <v>R01-5516-190000-1231</v>
      </c>
      <c r="C86" s="309" t="str">
        <f>CONCATENATE('ketv. 2'!B86)</f>
        <v>04.5.1-TID-R-516-11-0004</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96">
        <f>IF(S86&gt;0,'3 pr-2'!L87,0)</f>
        <v>0</v>
      </c>
      <c r="L86" s="1296">
        <f>IF(S86&gt;0,'3 pr-2'!O87,0)</f>
        <v>0</v>
      </c>
      <c r="M86" s="1296">
        <f>IF(S86&gt;0,'3 pr-2'!R87,0)</f>
        <v>0</v>
      </c>
      <c r="N86" s="1296">
        <f>IF(S86&gt;0,'3 pr-2'!U87,0)</f>
        <v>0</v>
      </c>
      <c r="O86" s="1296">
        <f>IF(S86&gt;0,'3 pr-2'!X87,0)</f>
        <v>0</v>
      </c>
      <c r="P86" s="1296">
        <f>IF(S86&gt;0,'3 pr-2'!AA87,0)</f>
        <v>0</v>
      </c>
      <c r="Q86" s="1435">
        <f>IF($Y$9&gt;0,'3 pr-2'!AB87,0)</f>
        <v>0</v>
      </c>
      <c r="R86" s="637">
        <f>SUM('3 pr-2'!AK87)</f>
        <v>43465</v>
      </c>
      <c r="S86" s="215"/>
      <c r="T86" s="216" t="str">
        <f t="shared" ref="T86:T90" si="31">IF(R86-S86&lt;0,(R86-S86)/365,"–")</f>
        <v>–</v>
      </c>
      <c r="U86" s="216"/>
      <c r="V86" s="1546">
        <f>IF(S86&gt;0,'IV-3'!K86,0)</f>
        <v>0</v>
      </c>
      <c r="W86" s="1544">
        <f t="shared" si="26"/>
        <v>0</v>
      </c>
    </row>
    <row r="87" spans="1:23" ht="36.75" x14ac:dyDescent="0.25">
      <c r="A87" s="182" t="str">
        <f>CONCATENATE('3 pr-2'!A88)</f>
        <v>1.1.2.3.2</v>
      </c>
      <c r="B87" s="182" t="str">
        <f>CONCATENATE('3 pr-2'!B88)</f>
        <v>R01-5516-190000-1232</v>
      </c>
      <c r="C87" s="309" t="str">
        <f>CONCATENATE('ketv. 2'!B87)</f>
        <v>04.5.1-TID-R-516-11-0001</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96">
        <f>IF(S87&gt;0,'3 pr-2'!L88,0)</f>
        <v>0</v>
      </c>
      <c r="L87" s="1296">
        <f>IF(S87&gt;0,'3 pr-2'!O88,0)</f>
        <v>0</v>
      </c>
      <c r="M87" s="1296">
        <f>IF(S87&gt;0,'3 pr-2'!R88,0)</f>
        <v>0</v>
      </c>
      <c r="N87" s="1296">
        <f>IF(S87&gt;0,'3 pr-2'!U88,0)</f>
        <v>0</v>
      </c>
      <c r="O87" s="1296">
        <f>IF(S87&gt;0,'3 pr-2'!X88,0)</f>
        <v>0</v>
      </c>
      <c r="P87" s="1296">
        <f>IF(S87&gt;0,'3 pr-2'!AA88,0)</f>
        <v>0</v>
      </c>
      <c r="Q87" s="1435">
        <f>IF($Y$9&gt;0,'3 pr-2'!AB88,0)</f>
        <v>0</v>
      </c>
      <c r="R87" s="637">
        <f>SUM('3 pr-2'!AK88)</f>
        <v>43465</v>
      </c>
      <c r="S87" s="215"/>
      <c r="T87" s="216" t="str">
        <f t="shared" si="31"/>
        <v>–</v>
      </c>
      <c r="U87" s="216"/>
      <c r="V87" s="1546">
        <f>IF(S87&gt;0,'IV-3'!K87,0)</f>
        <v>0</v>
      </c>
      <c r="W87" s="1544">
        <f t="shared" si="26"/>
        <v>0</v>
      </c>
    </row>
    <row r="88" spans="1:23" ht="36.75" x14ac:dyDescent="0.25">
      <c r="A88" s="182" t="str">
        <f>CONCATENATE('3 pr-2'!A89)</f>
        <v>1.1.2.3.3</v>
      </c>
      <c r="B88" s="182" t="str">
        <f>CONCATENATE('3 pr-2'!B89)</f>
        <v>R01-5516-190000-1233</v>
      </c>
      <c r="C88" s="309" t="str">
        <f>CONCATENATE('ketv. 2'!B88)</f>
        <v>04.5.1-TID-R-516-11-0002</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96">
        <f>IF(S88&gt;0,'3 pr-2'!L89,0)</f>
        <v>0</v>
      </c>
      <c r="L88" s="1296">
        <f>IF(S88&gt;0,'3 pr-2'!O89,0)</f>
        <v>0</v>
      </c>
      <c r="M88" s="1296">
        <f>IF(S88&gt;0,'3 pr-2'!R89,0)</f>
        <v>0</v>
      </c>
      <c r="N88" s="1296">
        <f>IF(S88&gt;0,'3 pr-2'!U89,0)</f>
        <v>0</v>
      </c>
      <c r="O88" s="1296">
        <f>IF(S88&gt;0,'3 pr-2'!X89,0)</f>
        <v>0</v>
      </c>
      <c r="P88" s="1296">
        <f>IF(S88&gt;0,'3 pr-2'!AA89,0)</f>
        <v>0</v>
      </c>
      <c r="Q88" s="1435">
        <f>IF($Y$9&gt;0,'3 pr-2'!AB89,0)</f>
        <v>0</v>
      </c>
      <c r="R88" s="637">
        <f>SUM('3 pr-2'!AK89)</f>
        <v>43830</v>
      </c>
      <c r="S88" s="215"/>
      <c r="T88" s="216" t="str">
        <f t="shared" si="31"/>
        <v>–</v>
      </c>
      <c r="U88" s="216"/>
      <c r="V88" s="1546">
        <f>IF(S88&gt;0,'IV-3'!K88,0)</f>
        <v>0</v>
      </c>
      <c r="W88" s="1544">
        <f t="shared" si="26"/>
        <v>0</v>
      </c>
    </row>
    <row r="89" spans="1:23" ht="36.75" x14ac:dyDescent="0.25">
      <c r="A89" s="182" t="str">
        <f>CONCATENATE('3 pr-2'!A90)</f>
        <v>1.1.2.3.4</v>
      </c>
      <c r="B89" s="182" t="str">
        <f>CONCATENATE('3 pr-2'!B90)</f>
        <v>R01-5516-190000-1234</v>
      </c>
      <c r="C89" s="309" t="str">
        <f>CONCATENATE('ketv. 2'!B89)</f>
        <v>04.5.1-TID-R-516-11-0005</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96">
        <f>IF(S89&gt;0,'3 pr-2'!L90,0)</f>
        <v>0</v>
      </c>
      <c r="L89" s="1296">
        <f>IF(S89&gt;0,'3 pr-2'!O90,0)</f>
        <v>0</v>
      </c>
      <c r="M89" s="1296">
        <f>IF(S89&gt;0,'3 pr-2'!R90,0)</f>
        <v>0</v>
      </c>
      <c r="N89" s="1296">
        <f>IF(S89&gt;0,'3 pr-2'!U90,0)</f>
        <v>0</v>
      </c>
      <c r="O89" s="1296">
        <f>IF(S89&gt;0,'3 pr-2'!X90,0)</f>
        <v>0</v>
      </c>
      <c r="P89" s="1296">
        <f>IF(S89&gt;0,'3 pr-2'!AA90,0)</f>
        <v>0</v>
      </c>
      <c r="Q89" s="1435">
        <f>IF($Y$9&gt;0,'3 pr-2'!AB90,0)</f>
        <v>0</v>
      </c>
      <c r="R89" s="637">
        <f>SUM('3 pr-2'!AK90)</f>
        <v>43830</v>
      </c>
      <c r="S89" s="215"/>
      <c r="T89" s="216" t="str">
        <f t="shared" si="31"/>
        <v>–</v>
      </c>
      <c r="U89" s="216"/>
      <c r="V89" s="1546">
        <f>IF(S89&gt;0,'IV-3'!K89,0)</f>
        <v>0</v>
      </c>
      <c r="W89" s="1544">
        <f t="shared" si="26"/>
        <v>0</v>
      </c>
    </row>
    <row r="90" spans="1:23" ht="37.5" thickBot="1" x14ac:dyDescent="0.3">
      <c r="A90" s="182" t="str">
        <f>CONCATENATE('3 pr-2'!A91)</f>
        <v>1.1.2.3.5</v>
      </c>
      <c r="B90" s="182" t="str">
        <f>CONCATENATE('3 pr-2'!B91)</f>
        <v>R01-5516-190000-1235</v>
      </c>
      <c r="C90" s="309" t="str">
        <f>CONCATENATE('ketv. 2'!B90)</f>
        <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96">
        <f>IF(S90&gt;0,'3 pr-2'!L91,0)</f>
        <v>0</v>
      </c>
      <c r="L90" s="1296">
        <f>IF(S90&gt;0,'3 pr-2'!O91,0)</f>
        <v>0</v>
      </c>
      <c r="M90" s="1296">
        <f>IF(S90&gt;0,'3 pr-2'!R91,0)</f>
        <v>0</v>
      </c>
      <c r="N90" s="1296">
        <f>IF(S90&gt;0,'3 pr-2'!U91,0)</f>
        <v>0</v>
      </c>
      <c r="O90" s="1296">
        <f>IF(S90&gt;0,'3 pr-2'!X91,0)</f>
        <v>0</v>
      </c>
      <c r="P90" s="1296">
        <f>IF(S90&gt;0,'3 pr-2'!AA91,0)</f>
        <v>0</v>
      </c>
      <c r="Q90" s="1435">
        <f>IF($Y$9&gt;0,'3 pr-2'!AB91,0)</f>
        <v>0</v>
      </c>
      <c r="R90" s="637">
        <f>SUM('3 pr-2'!AK91)</f>
        <v>43997</v>
      </c>
      <c r="S90" s="215"/>
      <c r="T90" s="216" t="str">
        <f t="shared" si="31"/>
        <v>–</v>
      </c>
      <c r="U90" s="216"/>
      <c r="V90" s="1546">
        <f>IF(S90&gt;0,'IV-3'!K90,0)</f>
        <v>0</v>
      </c>
      <c r="W90" s="1544">
        <f t="shared" si="26"/>
        <v>0</v>
      </c>
    </row>
    <row r="91" spans="1:23" ht="42.75" customHeight="1" thickBot="1" x14ac:dyDescent="0.3">
      <c r="A91" s="326" t="str">
        <f>CONCATENATE('3 pr-2'!A92)</f>
        <v>1.1.2.4</v>
      </c>
      <c r="B91" s="2025" t="str">
        <f>CONCATENATE('3 pr-2'!B92)</f>
        <v>Priemonė:
Vietinių kelių techninių parametrų ir eismo saugos gerinimas</v>
      </c>
      <c r="C91" s="2026"/>
      <c r="D91" s="2026"/>
      <c r="E91" s="2026"/>
      <c r="F91" s="2026"/>
      <c r="G91" s="2026"/>
      <c r="H91" s="2026"/>
      <c r="I91" s="2026"/>
      <c r="J91" s="2027"/>
      <c r="K91" s="1293">
        <f>SUM(K92:K98)</f>
        <v>0</v>
      </c>
      <c r="L91" s="1293">
        <f t="shared" ref="L91:Q91" si="32">SUM(L92:L98)</f>
        <v>0</v>
      </c>
      <c r="M91" s="1293">
        <f t="shared" si="32"/>
        <v>0</v>
      </c>
      <c r="N91" s="1293">
        <f t="shared" si="32"/>
        <v>0</v>
      </c>
      <c r="O91" s="1293">
        <f t="shared" si="32"/>
        <v>0</v>
      </c>
      <c r="P91" s="1293">
        <f t="shared" si="32"/>
        <v>0</v>
      </c>
      <c r="Q91" s="1293">
        <f t="shared" si="32"/>
        <v>0</v>
      </c>
      <c r="R91" s="397"/>
      <c r="S91" s="397"/>
      <c r="T91" s="397"/>
      <c r="U91" s="397"/>
      <c r="V91" s="1544"/>
      <c r="W91" s="1544">
        <f t="shared" si="26"/>
        <v>0</v>
      </c>
    </row>
    <row r="92" spans="1:23" ht="36.75" x14ac:dyDescent="0.25">
      <c r="A92" s="182" t="str">
        <f>CONCATENATE('3 pr-2'!A93)</f>
        <v>1.1.2.4.1</v>
      </c>
      <c r="B92" s="182" t="str">
        <f>CONCATENATE('3 pr-2'!B93)</f>
        <v>R01-5511-120000-1241</v>
      </c>
      <c r="C92" s="309" t="str">
        <f>CONCATENATE('ketv. 2'!B92)</f>
        <v>06.2.1-TID-R-511-11-0002</v>
      </c>
      <c r="D92" s="182" t="str">
        <f>CONCATENATE('3 pr-2'!D93)</f>
        <v>Varėnos miesto J. Basanavičiaus, Savanorių ir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96">
        <f>IF(S92&gt;0,'3 pr-2'!L93,0)</f>
        <v>0</v>
      </c>
      <c r="L92" s="1296">
        <f>IF(S92&gt;0,'3 pr-2'!O93,0)</f>
        <v>0</v>
      </c>
      <c r="M92" s="1296">
        <f>IF(S92&gt;0,'3 pr-2'!R93,0)</f>
        <v>0</v>
      </c>
      <c r="N92" s="1296">
        <f>IF(S92&gt;0,'3 pr-2'!U93,0)</f>
        <v>0</v>
      </c>
      <c r="O92" s="1296">
        <f>IF(S92&gt;0,'3 pr-2'!X93,0)</f>
        <v>0</v>
      </c>
      <c r="P92" s="1296">
        <f>IF(S92&gt;0,'3 pr-2'!AA93,0)</f>
        <v>0</v>
      </c>
      <c r="Q92" s="1435">
        <f>IF($Y$9&gt;0,'3 pr-2'!AB93,0)</f>
        <v>0</v>
      </c>
      <c r="R92" s="545">
        <f>SUM('3 pr-2'!AK93)</f>
        <v>44196</v>
      </c>
      <c r="S92" s="215"/>
      <c r="T92" s="216" t="str">
        <f t="shared" ref="T92:T97" si="33">IF(R92-S92&lt;0,(R92-S92)/365,"–")</f>
        <v>–</v>
      </c>
      <c r="U92" s="216"/>
      <c r="V92" s="1546">
        <f>IF(S92&gt;0,'IV-3'!K92,0)</f>
        <v>0</v>
      </c>
      <c r="W92" s="1544">
        <f t="shared" si="26"/>
        <v>0</v>
      </c>
    </row>
    <row r="93" spans="1:23" ht="36.75" x14ac:dyDescent="0.25">
      <c r="A93" s="182" t="str">
        <f>CONCATENATE('3 pr-2'!A94)</f>
        <v>1.1.2.4.2</v>
      </c>
      <c r="B93" s="182" t="str">
        <f>CONCATENATE('3 pr-2'!B94)</f>
        <v>R01-5511-110000-1242</v>
      </c>
      <c r="C93" s="309" t="str">
        <f>CONCATENATE('ketv. 2'!B93)</f>
        <v>06.2.1-TID-R-511-11-0001</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96">
        <f>IF(S93&gt;0,'3 pr-2'!L94,0)</f>
        <v>0</v>
      </c>
      <c r="L93" s="1296">
        <f>IF(S93&gt;0,'3 pr-2'!O94,0)</f>
        <v>0</v>
      </c>
      <c r="M93" s="1296">
        <f>IF(S93&gt;0,'3 pr-2'!R94,0)</f>
        <v>0</v>
      </c>
      <c r="N93" s="1296">
        <f>IF(S93&gt;0,'3 pr-2'!U94,0)</f>
        <v>0</v>
      </c>
      <c r="O93" s="1296">
        <f>IF(S93&gt;0,'3 pr-2'!X94,0)</f>
        <v>0</v>
      </c>
      <c r="P93" s="1296">
        <f>IF(S93&gt;0,'3 pr-2'!AA94,0)</f>
        <v>0</v>
      </c>
      <c r="Q93" s="1435">
        <f>IF($Y$9&gt;0,'3 pr-2'!AB94,0)</f>
        <v>0</v>
      </c>
      <c r="R93" s="545">
        <f>SUM('3 pr-2'!AK94)</f>
        <v>43465</v>
      </c>
      <c r="S93" s="215"/>
      <c r="T93" s="216" t="str">
        <f t="shared" si="33"/>
        <v>–</v>
      </c>
      <c r="U93" s="216"/>
      <c r="V93" s="1546">
        <f>IF(S93&gt;0,'IV-3'!K93,0)</f>
        <v>0</v>
      </c>
      <c r="W93" s="1544">
        <f t="shared" si="26"/>
        <v>0</v>
      </c>
    </row>
    <row r="94" spans="1:23" ht="36.75" x14ac:dyDescent="0.25">
      <c r="A94" s="182" t="str">
        <f>CONCATENATE('3 pr-2'!A95)</f>
        <v>1.1.2.4.3.</v>
      </c>
      <c r="B94" s="182" t="str">
        <f>CONCATENATE('3 pr-2'!B95)</f>
        <v>R01-5511-500000-1243</v>
      </c>
      <c r="C94" s="309" t="str">
        <f>CONCATENATE('ketv. 2'!B94)</f>
        <v>06.2.1-TID-R-511-11-0008</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96">
        <f>IF(S94&gt;0,'3 pr-2'!L95,0)</f>
        <v>0</v>
      </c>
      <c r="L94" s="1296">
        <f>IF(S94&gt;0,'3 pr-2'!O95,0)</f>
        <v>0</v>
      </c>
      <c r="M94" s="1296">
        <f>IF(S94&gt;0,'3 pr-2'!R95,0)</f>
        <v>0</v>
      </c>
      <c r="N94" s="1296">
        <f>IF(S94&gt;0,'3 pr-2'!U95,0)</f>
        <v>0</v>
      </c>
      <c r="O94" s="1296">
        <f>IF(S94&gt;0,'3 pr-2'!X95,0)</f>
        <v>0</v>
      </c>
      <c r="P94" s="1296">
        <f>IF(S94&gt;0,'3 pr-2'!AA95,0)</f>
        <v>0</v>
      </c>
      <c r="Q94" s="1435">
        <f>IF($Y$9&gt;0,'3 pr-2'!AB95,0)</f>
        <v>0</v>
      </c>
      <c r="R94" s="545">
        <f>SUM('3 pr-2'!AK95)</f>
        <v>43829</v>
      </c>
      <c r="S94" s="215"/>
      <c r="T94" s="216" t="str">
        <f t="shared" si="33"/>
        <v>–</v>
      </c>
      <c r="U94" s="216"/>
      <c r="V94" s="1546">
        <f>IF(S94&gt;0,'IV-3'!K94,0)</f>
        <v>0</v>
      </c>
      <c r="W94" s="1544">
        <f t="shared" si="26"/>
        <v>0</v>
      </c>
    </row>
    <row r="95" spans="1:23" ht="36.75" x14ac:dyDescent="0.25">
      <c r="A95" s="182" t="str">
        <f>CONCATENATE('3 pr-2'!A96)</f>
        <v>1.1.2.4.4</v>
      </c>
      <c r="B95" s="182" t="str">
        <f>CONCATENATE('3 pr-2'!B96)</f>
        <v>R01-5511-500000-1244</v>
      </c>
      <c r="C95" s="309" t="str">
        <f>CONCATENATE('ketv. 2'!B95)</f>
        <v>06.2.1-TID-R-511-11-0006</v>
      </c>
      <c r="D95" s="182" t="str">
        <f>CONCATENATE('3 pr-2'!D96)</f>
        <v>Eismo saugos priemonių diegimas Alytaus rajone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96">
        <f>IF(S95&gt;0,'3 pr-2'!L96,0)</f>
        <v>0</v>
      </c>
      <c r="L95" s="1296">
        <f>IF(S95&gt;0,'3 pr-2'!O96,0)</f>
        <v>0</v>
      </c>
      <c r="M95" s="1296">
        <f>IF(S95&gt;0,'3 pr-2'!R96,0)</f>
        <v>0</v>
      </c>
      <c r="N95" s="1296">
        <f>IF(S95&gt;0,'3 pr-2'!U96,0)</f>
        <v>0</v>
      </c>
      <c r="O95" s="1296">
        <f>IF(S95&gt;0,'3 pr-2'!X96,0)</f>
        <v>0</v>
      </c>
      <c r="P95" s="1296">
        <f>IF(S95&gt;0,'3 pr-2'!AA96,0)</f>
        <v>0</v>
      </c>
      <c r="Q95" s="1435">
        <f>IF($Y$9&gt;0,'3 pr-2'!AB96,0)</f>
        <v>0</v>
      </c>
      <c r="R95" s="545">
        <f>SUM('3 pr-2'!AK96)</f>
        <v>43738</v>
      </c>
      <c r="S95" s="215"/>
      <c r="T95" s="216" t="str">
        <f t="shared" si="33"/>
        <v>–</v>
      </c>
      <c r="U95" s="216"/>
      <c r="V95" s="1546">
        <f>IF(S95&gt;0,'IV-3'!K95,0)</f>
        <v>0</v>
      </c>
      <c r="W95" s="1544">
        <f t="shared" si="26"/>
        <v>0</v>
      </c>
    </row>
    <row r="96" spans="1:23" ht="36.75" x14ac:dyDescent="0.25">
      <c r="A96" s="182" t="str">
        <f>CONCATENATE('3 pr-2'!A97)</f>
        <v>1.1.2.4.5</v>
      </c>
      <c r="B96" s="182" t="str">
        <f>CONCATENATE('3 pr-2'!B97)</f>
        <v>R01-5511-120900-1245</v>
      </c>
      <c r="C96" s="309" t="str">
        <f>CONCATENATE('ketv. 2'!B96)</f>
        <v>06.2.1-TID-R-511-11-0007</v>
      </c>
      <c r="D96" s="182" t="str">
        <f>CONCATENATE('3 pr-2'!D97)</f>
        <v>M. 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96">
        <f>IF(S96&gt;0,'3 pr-2'!L97,0)</f>
        <v>0</v>
      </c>
      <c r="L96" s="1296">
        <f>IF(S96&gt;0,'3 pr-2'!O97,0)</f>
        <v>0</v>
      </c>
      <c r="M96" s="1296">
        <f>IF(S96&gt;0,'3 pr-2'!R97,0)</f>
        <v>0</v>
      </c>
      <c r="N96" s="1296">
        <f>IF(S96&gt;0,'3 pr-2'!U97,0)</f>
        <v>0</v>
      </c>
      <c r="O96" s="1296">
        <f>IF(S96&gt;0,'3 pr-2'!X97,0)</f>
        <v>0</v>
      </c>
      <c r="P96" s="1296">
        <f>IF(S96&gt;0,'3 pr-2'!AA97,0)</f>
        <v>0</v>
      </c>
      <c r="Q96" s="1435">
        <f>IF($Y$9&gt;0,'3 pr-2'!AB97,0)</f>
        <v>0</v>
      </c>
      <c r="R96" s="545">
        <f>SUM('3 pr-2'!AK97)</f>
        <v>43830</v>
      </c>
      <c r="S96" s="215"/>
      <c r="T96" s="216" t="str">
        <f t="shared" si="33"/>
        <v>–</v>
      </c>
      <c r="U96" s="216"/>
      <c r="V96" s="1546">
        <f>IF(S96&gt;0,'IV-3'!K96,0)</f>
        <v>0</v>
      </c>
      <c r="W96" s="1544">
        <f t="shared" si="26"/>
        <v>0</v>
      </c>
    </row>
    <row r="97" spans="1:23" ht="36.75" x14ac:dyDescent="0.25">
      <c r="A97" s="182" t="str">
        <f>CONCATENATE('3 pr-2'!A98)</f>
        <v>1.1.2.4.6</v>
      </c>
      <c r="B97" s="182" t="str">
        <f>CONCATENATE('3 pr-2'!B98)</f>
        <v>R01-5511-120000-1246</v>
      </c>
      <c r="C97" s="309" t="str">
        <f>CONCATENATE('ketv. 2'!B97)</f>
        <v>06.2.1-TID-R-511-11-0004</v>
      </c>
      <c r="D97" s="182" t="str">
        <f>CONCATENATE('3 pr-2'!D98)</f>
        <v>Lazdijų miesto Seinų ir Lazdijos gatvių bei vietinės reikšmės kelio nuo Janonio gatvės iki Lazdijų hipodromo rekonstravimas</v>
      </c>
      <c r="E97" s="182" t="str">
        <f>CONCATENATE('3 pr-2'!E98)</f>
        <v>Lazdijų rajono savivaldybės administracija</v>
      </c>
      <c r="F97" s="182" t="str">
        <f>CONCATENATE('3 pr-2'!F98)</f>
        <v>Lietuvos Respublikos susisiekimo ministerija</v>
      </c>
      <c r="G97" s="182" t="str">
        <f>CONCATENATE('3 pr-2'!G98)</f>
        <v>Lazdijų r. sav.</v>
      </c>
      <c r="H97" s="182" t="str">
        <f>CONCATENATE('3 pr-2'!H98)</f>
        <v>06.2.1-TID-R-511</v>
      </c>
      <c r="I97" s="182" t="str">
        <f>CONCATENATE('3 pr-2'!I98)</f>
        <v>R</v>
      </c>
      <c r="J97" s="182" t="str">
        <f>CONCATENATE('3 pr-2'!J98)</f>
        <v>ITI</v>
      </c>
      <c r="K97" s="1296">
        <f>IF(S97&gt;0,'3 pr-2'!L98,0)</f>
        <v>0</v>
      </c>
      <c r="L97" s="1296">
        <f>IF(S97&gt;0,'3 pr-2'!O98,0)</f>
        <v>0</v>
      </c>
      <c r="M97" s="1296">
        <f>IF(S97&gt;0,'3 pr-2'!R98,0)</f>
        <v>0</v>
      </c>
      <c r="N97" s="1296">
        <f>IF(S97&gt;0,'3 pr-2'!U98,0)</f>
        <v>0</v>
      </c>
      <c r="O97" s="1296">
        <f>IF(S97&gt;0,'3 pr-2'!X98,0)</f>
        <v>0</v>
      </c>
      <c r="P97" s="1296">
        <f>IF(S97&gt;0,'3 pr-2'!AA98,0)</f>
        <v>0</v>
      </c>
      <c r="Q97" s="1435">
        <f>IF($Y$9&gt;0,'3 pr-2'!AB98,0)</f>
        <v>0</v>
      </c>
      <c r="R97" s="545">
        <f>SUM('3 pr-2'!AK98)</f>
        <v>43830</v>
      </c>
      <c r="S97" s="215"/>
      <c r="T97" s="216" t="str">
        <f t="shared" si="33"/>
        <v>–</v>
      </c>
      <c r="U97" s="216"/>
      <c r="V97" s="1546">
        <f>IF(S97&gt;0,'IV-3'!K97,0)</f>
        <v>0</v>
      </c>
      <c r="W97" s="1544">
        <f t="shared" si="26"/>
        <v>0</v>
      </c>
    </row>
    <row r="98" spans="1:23" ht="37.5" thickBot="1" x14ac:dyDescent="0.3">
      <c r="A98" s="182" t="str">
        <f>CONCATENATE('3 pr-2'!A99)</f>
        <v>1.1.2.4.7</v>
      </c>
      <c r="B98" s="259" t="str">
        <f>CONCATENATE('3 pr-2'!B99)</f>
        <v>R01-5511-120000-1247</v>
      </c>
      <c r="C98" s="309" t="str">
        <f>CONCATENATE('ketv. 2'!B98)</f>
        <v/>
      </c>
      <c r="D98" s="182" t="str">
        <f>CONCATENATE('3 pr-2'!D99)</f>
        <v>Eismo saugumo priemonių diegimas Druskininkų savivaldybėje</v>
      </c>
      <c r="E98" s="182" t="str">
        <f>CONCATENATE('3 pr-2'!E99)</f>
        <v xml:space="preserve">Druskininkų savivaldybės administracija  </v>
      </c>
      <c r="F98" s="182" t="str">
        <f>CONCATENATE('3 pr-2'!F99)</f>
        <v>Lietuvos Respublikos susisiekimo ministerija</v>
      </c>
      <c r="G98" s="182" t="str">
        <f>CONCATENATE('3 pr-2'!G99)</f>
        <v>Druskininkų sav.</v>
      </c>
      <c r="H98" s="182" t="str">
        <f>CONCATENATE('3 pr-2'!H99)</f>
        <v>06.2.1-TID-R-511</v>
      </c>
      <c r="I98" s="182" t="str">
        <f>CONCATENATE('3 pr-2'!I99)</f>
        <v>R</v>
      </c>
      <c r="J98" s="182" t="str">
        <f>CONCATENATE('3 pr-2'!J99)</f>
        <v>-</v>
      </c>
      <c r="K98" s="1296">
        <f>IF(S98&gt;0,'3 pr-2'!L99,0)</f>
        <v>0</v>
      </c>
      <c r="L98" s="1296">
        <f>IF(S98&gt;0,'3 pr-2'!O99,0)</f>
        <v>0</v>
      </c>
      <c r="M98" s="1296">
        <f>IF(S98&gt;0,'3 pr-2'!R99,0)</f>
        <v>0</v>
      </c>
      <c r="N98" s="1296">
        <f>IF(S98&gt;0,'3 pr-2'!U99,0)</f>
        <v>0</v>
      </c>
      <c r="O98" s="1296">
        <f>IF(S98&gt;0,'3 pr-2'!X99,0)</f>
        <v>0</v>
      </c>
      <c r="P98" s="1296">
        <f>IF(S98&gt;0,'3 pr-2'!AA99,0)</f>
        <v>0</v>
      </c>
      <c r="Q98" s="1435">
        <f>IF($Y$9&gt;0,'3 pr-2'!AB99,0)</f>
        <v>0</v>
      </c>
      <c r="R98" s="545">
        <f>SUM('3 pr-2'!AK99)</f>
        <v>43830</v>
      </c>
      <c r="S98" s="215"/>
      <c r="T98" s="216" t="str">
        <f t="shared" ref="T98" si="34">IF(R98-S98&lt;0,(R98-S98)/365,"–")</f>
        <v>–</v>
      </c>
      <c r="U98" s="216"/>
      <c r="V98" s="1546">
        <f>IF(S98&gt;0,'IV-3'!K98,0)</f>
        <v>0</v>
      </c>
      <c r="W98" s="1544">
        <f t="shared" si="26"/>
        <v>0</v>
      </c>
    </row>
    <row r="99" spans="1:23" ht="48" customHeight="1" thickBot="1" x14ac:dyDescent="0.3">
      <c r="A99" s="156" t="str">
        <f>CONCATENATE('3 pr-2'!A100)</f>
        <v>2.1.</v>
      </c>
      <c r="B99" s="2028" t="str">
        <f>CONCATENATE('3 pr-2'!B100)</f>
        <v>Tikslas:
GERINTI VIEŠŲJŲ  PASLAUGŲ KOKYBĘ IR PRIEINAMUMĄ</v>
      </c>
      <c r="C99" s="2023"/>
      <c r="D99" s="2023"/>
      <c r="E99" s="2023"/>
      <c r="F99" s="2023"/>
      <c r="G99" s="2023"/>
      <c r="H99" s="2023"/>
      <c r="I99" s="2023"/>
      <c r="J99" s="2024"/>
      <c r="K99" s="1494">
        <f t="shared" ref="K99:P99" si="35">SUM(K100+K119+K146+K159)</f>
        <v>0</v>
      </c>
      <c r="L99" s="1494">
        <f t="shared" si="35"/>
        <v>0</v>
      </c>
      <c r="M99" s="1494">
        <f t="shared" si="35"/>
        <v>0</v>
      </c>
      <c r="N99" s="1494">
        <f t="shared" si="35"/>
        <v>0</v>
      </c>
      <c r="O99" s="1494">
        <f t="shared" si="35"/>
        <v>0</v>
      </c>
      <c r="P99" s="1494">
        <f t="shared" si="35"/>
        <v>0</v>
      </c>
      <c r="Q99" s="1494">
        <f t="shared" ref="Q99" si="36">SUM(Q100+Q119+Q146+Q159)</f>
        <v>0</v>
      </c>
      <c r="R99" s="204" t="s">
        <v>690</v>
      </c>
      <c r="S99" s="426" t="s">
        <v>690</v>
      </c>
      <c r="T99" s="405" t="s">
        <v>690</v>
      </c>
      <c r="U99" s="405"/>
      <c r="V99" s="1544"/>
      <c r="W99" s="1544">
        <f t="shared" si="26"/>
        <v>1</v>
      </c>
    </row>
    <row r="100" spans="1:23" ht="59.25" customHeight="1" thickBot="1" x14ac:dyDescent="0.3">
      <c r="A100" s="155" t="str">
        <f>CONCATENATE('3 pr-2'!A101)</f>
        <v>2.1.1.</v>
      </c>
      <c r="B100" s="2022" t="str">
        <f>CONCATENATE('3 pr-2'!B101)</f>
        <v xml:space="preserve">Uždavinys:
Bendrojo ugdymo ir neformaliojo švietimo įstaigų (ypač vykdančių ikimokyklinio ir priešmokyklinio ugdymo programas) tinklo veiklos efektyvumo didinimas </v>
      </c>
      <c r="C100" s="2023"/>
      <c r="D100" s="2023"/>
      <c r="E100" s="2023"/>
      <c r="F100" s="2023"/>
      <c r="G100" s="2023"/>
      <c r="H100" s="2023"/>
      <c r="I100" s="2023"/>
      <c r="J100" s="2024"/>
      <c r="K100" s="1495">
        <f>SUM(K101+K107+K113)</f>
        <v>0</v>
      </c>
      <c r="L100" s="1495">
        <f t="shared" ref="L100:P100" si="37">SUM(L101+L107+L113)</f>
        <v>0</v>
      </c>
      <c r="M100" s="1495">
        <f t="shared" si="37"/>
        <v>0</v>
      </c>
      <c r="N100" s="1495">
        <f t="shared" si="37"/>
        <v>0</v>
      </c>
      <c r="O100" s="1495">
        <f t="shared" si="37"/>
        <v>0</v>
      </c>
      <c r="P100" s="1495">
        <f t="shared" si="37"/>
        <v>0</v>
      </c>
      <c r="Q100" s="1495">
        <f t="shared" ref="Q100" si="38">SUM(Q101+Q107+Q113)</f>
        <v>0</v>
      </c>
      <c r="R100" s="205" t="s">
        <v>690</v>
      </c>
      <c r="S100" s="189" t="s">
        <v>690</v>
      </c>
      <c r="T100" s="190" t="s">
        <v>690</v>
      </c>
      <c r="U100" s="190"/>
      <c r="V100" s="1544"/>
      <c r="W100" s="1544">
        <f t="shared" si="26"/>
        <v>1</v>
      </c>
    </row>
    <row r="101" spans="1:23" ht="37.5" customHeight="1" thickBot="1" x14ac:dyDescent="0.3">
      <c r="A101" s="326" t="str">
        <f>CONCATENATE('3 pr-2'!A102)</f>
        <v>2.1.1.1</v>
      </c>
      <c r="B101" s="2025" t="str">
        <f>CONCATENATE('3 pr-2'!B102)</f>
        <v>Priemonė:
Mokyklų tinklo efektyvumo didinimas</v>
      </c>
      <c r="C101" s="2026"/>
      <c r="D101" s="2026"/>
      <c r="E101" s="2026"/>
      <c r="F101" s="2026"/>
      <c r="G101" s="2026"/>
      <c r="H101" s="2026"/>
      <c r="I101" s="2026"/>
      <c r="J101" s="2027"/>
      <c r="K101" s="1293">
        <f>SUM(K102:K106)</f>
        <v>0</v>
      </c>
      <c r="L101" s="1293">
        <f t="shared" ref="L101:P101" si="39">SUM(L102:L106)</f>
        <v>0</v>
      </c>
      <c r="M101" s="1293">
        <f t="shared" si="39"/>
        <v>0</v>
      </c>
      <c r="N101" s="1293">
        <f t="shared" si="39"/>
        <v>0</v>
      </c>
      <c r="O101" s="1293">
        <f t="shared" si="39"/>
        <v>0</v>
      </c>
      <c r="P101" s="1293">
        <f t="shared" si="39"/>
        <v>0</v>
      </c>
      <c r="Q101" s="1293">
        <f t="shared" ref="Q101" si="40">SUM(Q102:Q106)</f>
        <v>0</v>
      </c>
      <c r="R101" s="397"/>
      <c r="S101" s="397"/>
      <c r="T101" s="397"/>
      <c r="U101" s="397"/>
      <c r="V101" s="1544"/>
      <c r="W101" s="1544">
        <f t="shared" si="26"/>
        <v>0</v>
      </c>
    </row>
    <row r="102" spans="1:23" ht="36.75" x14ac:dyDescent="0.25">
      <c r="A102" s="182" t="str">
        <f>CONCATENATE('3 pr-2'!A103)</f>
        <v>2.1.1.1.1</v>
      </c>
      <c r="B102" s="259" t="str">
        <f>CONCATENATE('3 pr-2'!B103)</f>
        <v>R01-7724-220000-2111</v>
      </c>
      <c r="C102" s="309" t="str">
        <f>CONCATENATE('ketv. 2'!B102)</f>
        <v>09.1.3-CPVA-R-724-11-0003</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96">
        <f>IF(S102&gt;0,'3 pr-2'!L103,0)</f>
        <v>0</v>
      </c>
      <c r="L102" s="1296">
        <f>IF(S102&gt;0,'3 pr-2'!O103,0)</f>
        <v>0</v>
      </c>
      <c r="M102" s="1296">
        <f>IF(S102&gt;0,'3 pr-2'!R103,0)</f>
        <v>0</v>
      </c>
      <c r="N102" s="1296">
        <f>IF(S102&gt;0,'3 pr-2'!U103,0)</f>
        <v>0</v>
      </c>
      <c r="O102" s="1296">
        <f>IF(S102&gt;0,'3 pr-2'!X103,0)</f>
        <v>0</v>
      </c>
      <c r="P102" s="1296">
        <f>IF(S102&gt;0,'3 pr-2'!AA103,0)</f>
        <v>0</v>
      </c>
      <c r="Q102" s="1435">
        <f>IF($Y$9&gt;0,'3 pr-2'!AB103,0)</f>
        <v>0</v>
      </c>
      <c r="R102" s="545">
        <f>SUM('3 pr-2'!AK103)</f>
        <v>43830</v>
      </c>
      <c r="S102" s="233"/>
      <c r="T102" s="216" t="str">
        <f t="shared" ref="T102:T106" si="41">IF(R102-S102&lt;0,(R102-S102)/365,"–")</f>
        <v>–</v>
      </c>
      <c r="U102" s="216"/>
      <c r="V102" s="1546">
        <f>IF(S102&gt;0,'IV-3'!K102,0)</f>
        <v>0</v>
      </c>
      <c r="W102" s="1544">
        <f t="shared" si="26"/>
        <v>0</v>
      </c>
    </row>
    <row r="103" spans="1:23" ht="36.75" x14ac:dyDescent="0.25">
      <c r="A103" s="182" t="str">
        <f>CONCATENATE('3 pr-2'!A104)</f>
        <v>2.1.1.1.2</v>
      </c>
      <c r="B103" s="259" t="str">
        <f>CONCATENATE('3 pr-2'!B104)</f>
        <v>R01-7724-220000-2112</v>
      </c>
      <c r="C103" s="309" t="str">
        <f>CONCATENATE('ketv. 2'!B103)</f>
        <v>09.1.3-CPVA-R-724-11-0005</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96">
        <f>IF(S103&gt;0,'3 pr-2'!L104,0)</f>
        <v>0</v>
      </c>
      <c r="L103" s="1296">
        <f>IF(S103&gt;0,'3 pr-2'!O104,0)</f>
        <v>0</v>
      </c>
      <c r="M103" s="1296">
        <f>IF(S103&gt;0,'3 pr-2'!R104,0)</f>
        <v>0</v>
      </c>
      <c r="N103" s="1296">
        <f>IF(S103&gt;0,'3 pr-2'!U104,0)</f>
        <v>0</v>
      </c>
      <c r="O103" s="1296">
        <f>IF(S103&gt;0,'3 pr-2'!X104,0)</f>
        <v>0</v>
      </c>
      <c r="P103" s="1296">
        <f>IF(S103&gt;0,'3 pr-2'!AA104,0)</f>
        <v>0</v>
      </c>
      <c r="Q103" s="1435">
        <f>IF($Y$9&gt;0,'3 pr-2'!AB104,0)</f>
        <v>0</v>
      </c>
      <c r="R103" s="545">
        <f>SUM('3 pr-2'!AK104)</f>
        <v>43526</v>
      </c>
      <c r="S103" s="233"/>
      <c r="T103" s="216" t="str">
        <f t="shared" si="41"/>
        <v>–</v>
      </c>
      <c r="U103" s="216"/>
      <c r="V103" s="1546">
        <f>IF(S103&gt;0,'IV-3'!K103,0)</f>
        <v>0</v>
      </c>
      <c r="W103" s="1544">
        <f t="shared" si="26"/>
        <v>0</v>
      </c>
    </row>
    <row r="104" spans="1:23" ht="36.75" x14ac:dyDescent="0.25">
      <c r="A104" s="182" t="str">
        <f>CONCATENATE('3 pr-2'!A105)</f>
        <v>2.1.1.1.3</v>
      </c>
      <c r="B104" s="259" t="str">
        <f>CONCATENATE('3 pr-2'!B105)</f>
        <v>R01-7724-220000-2113</v>
      </c>
      <c r="C104" s="309" t="str">
        <f>CONCATENATE('ketv. 2'!B104)</f>
        <v>09.1.3-CPVA-R-724-11-0002</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96">
        <f>IF(S104&gt;0,'3 pr-2'!L105,0)</f>
        <v>0</v>
      </c>
      <c r="L104" s="1296">
        <f>IF(S104&gt;0,'3 pr-2'!O105,0)</f>
        <v>0</v>
      </c>
      <c r="M104" s="1296">
        <f>IF(S104&gt;0,'3 pr-2'!R105,0)</f>
        <v>0</v>
      </c>
      <c r="N104" s="1296">
        <f>IF(S104&gt;0,'3 pr-2'!U105,0)</f>
        <v>0</v>
      </c>
      <c r="O104" s="1296">
        <f>IF(S104&gt;0,'3 pr-2'!X105,0)</f>
        <v>0</v>
      </c>
      <c r="P104" s="1296">
        <f>IF(S104&gt;0,'3 pr-2'!AA105,0)</f>
        <v>0</v>
      </c>
      <c r="Q104" s="1435">
        <f>IF($Y$9&gt;0,'3 pr-2'!AB105,0)</f>
        <v>0</v>
      </c>
      <c r="R104" s="545">
        <f>SUM('3 pr-2'!AK105)</f>
        <v>43830</v>
      </c>
      <c r="S104" s="232"/>
      <c r="T104" s="216" t="str">
        <f t="shared" si="41"/>
        <v>–</v>
      </c>
      <c r="U104" s="232"/>
      <c r="V104" s="1546">
        <f>IF(S104&gt;0,'IV-3'!K104,0)</f>
        <v>0</v>
      </c>
      <c r="W104" s="1544">
        <f t="shared" si="26"/>
        <v>0</v>
      </c>
    </row>
    <row r="105" spans="1:23" ht="36.75" x14ac:dyDescent="0.25">
      <c r="A105" s="182" t="str">
        <f>CONCATENATE('3 pr-2'!A106)</f>
        <v>2.1.1.1.4</v>
      </c>
      <c r="B105" s="259" t="str">
        <f>CONCATENATE('3 pr-2'!B106)</f>
        <v>R01-7724-220000-2114</v>
      </c>
      <c r="C105" s="309" t="str">
        <f>CONCATENATE('ketv. 2'!B105)</f>
        <v>09.1.3-CPVA-R-724-11-0004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96">
        <f>IF(S105&gt;0,'3 pr-2'!L106,0)</f>
        <v>0</v>
      </c>
      <c r="L105" s="1296">
        <f>IF(S105&gt;0,'3 pr-2'!O106,0)</f>
        <v>0</v>
      </c>
      <c r="M105" s="1296">
        <f>IF(S105&gt;0,'3 pr-2'!R106,0)</f>
        <v>0</v>
      </c>
      <c r="N105" s="1296">
        <f>IF(S105&gt;0,'3 pr-2'!U106,0)</f>
        <v>0</v>
      </c>
      <c r="O105" s="1296">
        <f>IF(S105&gt;0,'3 pr-2'!X106,0)</f>
        <v>0</v>
      </c>
      <c r="P105" s="1296">
        <f>IF(S105&gt;0,'3 pr-2'!AA106,0)</f>
        <v>0</v>
      </c>
      <c r="Q105" s="1435">
        <f>IF($Y$9&gt;0,'3 pr-2'!AB106,0)</f>
        <v>0</v>
      </c>
      <c r="R105" s="545">
        <f>SUM('3 pr-2'!AK106)</f>
        <v>43830</v>
      </c>
      <c r="S105" s="233"/>
      <c r="T105" s="216" t="str">
        <f t="shared" si="41"/>
        <v>–</v>
      </c>
      <c r="U105" s="216"/>
      <c r="V105" s="1546">
        <f>IF(S105&gt;0,'IV-3'!K105,0)</f>
        <v>0</v>
      </c>
      <c r="W105" s="1544">
        <f t="shared" si="26"/>
        <v>0</v>
      </c>
    </row>
    <row r="106" spans="1:23" ht="37.5" thickBot="1" x14ac:dyDescent="0.3">
      <c r="A106" s="182" t="str">
        <f>CONCATENATE('3 pr-2'!A107)</f>
        <v>2.1.1.1.5</v>
      </c>
      <c r="B106" s="259" t="str">
        <f>CONCATENATE('3 pr-2'!B107)</f>
        <v>R01-7724-220000-2115</v>
      </c>
      <c r="C106" s="309" t="str">
        <f>CONCATENATE('ketv. 2'!B106)</f>
        <v>09.1.3-CPVA-R-724-11-0001</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96">
        <f>IF(S106&gt;0,'3 pr-2'!L107,0)</f>
        <v>0</v>
      </c>
      <c r="L106" s="1296">
        <f>IF(S106&gt;0,'3 pr-2'!O107,0)</f>
        <v>0</v>
      </c>
      <c r="M106" s="1296">
        <f>IF(S106&gt;0,'3 pr-2'!R107,0)</f>
        <v>0</v>
      </c>
      <c r="N106" s="1296">
        <f>IF(S106&gt;0,'3 pr-2'!U107,0)</f>
        <v>0</v>
      </c>
      <c r="O106" s="1296">
        <f>IF(S106&gt;0,'3 pr-2'!X107,0)</f>
        <v>0</v>
      </c>
      <c r="P106" s="1296">
        <f>IF(S106&gt;0,'3 pr-2'!AA107,0)</f>
        <v>0</v>
      </c>
      <c r="Q106" s="1435">
        <f>IF($Y$9&gt;0,'3 pr-2'!AB107,0)</f>
        <v>0</v>
      </c>
      <c r="R106" s="545">
        <f>SUM('3 pr-2'!AK107)</f>
        <v>43709</v>
      </c>
      <c r="S106" s="233"/>
      <c r="T106" s="216" t="str">
        <f t="shared" si="41"/>
        <v>–</v>
      </c>
      <c r="U106" s="216"/>
      <c r="V106" s="1546">
        <f>IF(S106&gt;0,'IV-3'!K106,0)</f>
        <v>0</v>
      </c>
      <c r="W106" s="1544">
        <f t="shared" si="26"/>
        <v>0</v>
      </c>
    </row>
    <row r="107" spans="1:23" ht="39.75" customHeight="1" thickBot="1" x14ac:dyDescent="0.3">
      <c r="A107" s="326" t="str">
        <f>CONCATENATE('3 pr-2'!A108)</f>
        <v>2.1.1.2</v>
      </c>
      <c r="B107" s="2025" t="str">
        <f>CONCATENATE('3 pr-2'!B108)</f>
        <v>Priemonė:
Neformaliojo švietimo infrastruktūros tobulinimas</v>
      </c>
      <c r="C107" s="2026"/>
      <c r="D107" s="2026"/>
      <c r="E107" s="2026"/>
      <c r="F107" s="2026"/>
      <c r="G107" s="2026"/>
      <c r="H107" s="2026"/>
      <c r="I107" s="2026"/>
      <c r="J107" s="2027"/>
      <c r="K107" s="1293">
        <f>SUM(K108:K112)</f>
        <v>0</v>
      </c>
      <c r="L107" s="1293">
        <f t="shared" ref="L107:Q107" si="42">SUM(L108:L112)</f>
        <v>0</v>
      </c>
      <c r="M107" s="1293">
        <f t="shared" si="42"/>
        <v>0</v>
      </c>
      <c r="N107" s="1293">
        <f t="shared" si="42"/>
        <v>0</v>
      </c>
      <c r="O107" s="1293">
        <f t="shared" si="42"/>
        <v>0</v>
      </c>
      <c r="P107" s="1293">
        <f t="shared" si="42"/>
        <v>0</v>
      </c>
      <c r="Q107" s="1293">
        <f t="shared" si="42"/>
        <v>0</v>
      </c>
      <c r="R107" s="397"/>
      <c r="S107" s="397"/>
      <c r="T107" s="397"/>
      <c r="U107" s="397"/>
      <c r="V107" s="1544"/>
      <c r="W107" s="1544">
        <f t="shared" si="26"/>
        <v>0</v>
      </c>
    </row>
    <row r="108" spans="1:23" ht="36.75" x14ac:dyDescent="0.25">
      <c r="A108" s="182" t="str">
        <f>CONCATENATE('3 pr-2'!A109)</f>
        <v>2.1.1.2.1</v>
      </c>
      <c r="B108" s="259" t="str">
        <f>CONCATENATE('3 pr-2'!B109)</f>
        <v>R01-7725-240000-2121</v>
      </c>
      <c r="C108" s="309" t="str">
        <f>CONCATENATE('ketv. 2'!B108)</f>
        <v>09.1.3-CPVA-R-725-11-0003</v>
      </c>
      <c r="D108" s="182" t="str">
        <f>CONCATENATE('3 pr-2'!D109)</f>
        <v>Varėnos moksleivių kūrybos centro pastato J. Basanavičiaus g. 38, Varėnoje, modernizavimas</v>
      </c>
      <c r="E108" s="182" t="str">
        <f>CONCATENATE('3 pr-2'!E109)</f>
        <v>Varėnos rajono savivaldybės administracija</v>
      </c>
      <c r="F108" s="182" t="str">
        <f>CONCATENATE('3 pr-2'!F109)</f>
        <v>Lietuvos Respublikos švietimo ir mokslo ministerija</v>
      </c>
      <c r="G108" s="182" t="str">
        <f>CONCATENATE('3 pr-2'!G109)</f>
        <v>Varėnos r. sav.</v>
      </c>
      <c r="H108" s="182" t="str">
        <f>CONCATENATE('3 pr-2'!H109)</f>
        <v>09.13.CPVA-R-725</v>
      </c>
      <c r="I108" s="182" t="str">
        <f>CONCATENATE('3 pr-2'!I109)</f>
        <v>R</v>
      </c>
      <c r="J108" s="182" t="str">
        <f>CONCATENATE('3 pr-2'!J109)</f>
        <v>-</v>
      </c>
      <c r="K108" s="1296">
        <f>IF(S108&gt;0,'3 pr-2'!L109,0)</f>
        <v>0</v>
      </c>
      <c r="L108" s="1296">
        <f>IF(S108&gt;0,'3 pr-2'!O109,0)</f>
        <v>0</v>
      </c>
      <c r="M108" s="1296">
        <f>IF(S108&gt;0,'3 pr-2'!R109,0)</f>
        <v>0</v>
      </c>
      <c r="N108" s="1296">
        <f>IF(S108&gt;0,'3 pr-2'!U109,0)</f>
        <v>0</v>
      </c>
      <c r="O108" s="1296">
        <f>IF(S108&gt;0,'3 pr-2'!X109,0)</f>
        <v>0</v>
      </c>
      <c r="P108" s="1296">
        <f>IF(S108&gt;0,'3 pr-2'!AA109,0)</f>
        <v>0</v>
      </c>
      <c r="Q108" s="1435">
        <f>IF($Y$9&gt;0,'3 pr-2'!AB109,0)</f>
        <v>0</v>
      </c>
      <c r="R108" s="545">
        <f>SUM('3 pr-2'!AK109)</f>
        <v>43830</v>
      </c>
      <c r="S108" s="233"/>
      <c r="T108" s="216" t="str">
        <f t="shared" ref="T108:T112" si="43">IF(R108-S108&lt;0,(R108-S108)/365,"–")</f>
        <v>–</v>
      </c>
      <c r="U108" s="216"/>
      <c r="V108" s="1546">
        <f>IF(S108&gt;0,'IV-3'!K108,0)</f>
        <v>0</v>
      </c>
      <c r="W108" s="1544">
        <f t="shared" si="26"/>
        <v>0</v>
      </c>
    </row>
    <row r="109" spans="1:23" ht="36.75" x14ac:dyDescent="0.25">
      <c r="A109" s="182" t="str">
        <f>CONCATENATE('3 pr-2'!A110)</f>
        <v>2.1.1.2.2</v>
      </c>
      <c r="B109" s="259" t="str">
        <f>CONCATENATE('3 pr-2'!B110)</f>
        <v>R01-7725-240000-2122</v>
      </c>
      <c r="C109" s="309" t="str">
        <f>CONCATENATE('ketv. 2'!B109)</f>
        <v>09.1.3-CPVA-R-725-11-0005</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96">
        <f>IF(S109&gt;0,'3 pr-2'!L110,0)</f>
        <v>0</v>
      </c>
      <c r="L109" s="1296">
        <f>IF(S109&gt;0,'3 pr-2'!O110,0)</f>
        <v>0</v>
      </c>
      <c r="M109" s="1296">
        <f>IF(S109&gt;0,'3 pr-2'!R110,0)</f>
        <v>0</v>
      </c>
      <c r="N109" s="1296">
        <f>IF(S109&gt;0,'3 pr-2'!U110,0)</f>
        <v>0</v>
      </c>
      <c r="O109" s="1296">
        <f>IF(S109&gt;0,'3 pr-2'!X110,0)</f>
        <v>0</v>
      </c>
      <c r="P109" s="1296">
        <f>IF(S109&gt;0,'3 pr-2'!AA110,0)</f>
        <v>0</v>
      </c>
      <c r="Q109" s="1435">
        <f>IF($Y$9&gt;0,'3 pr-2'!AB110,0)</f>
        <v>0</v>
      </c>
      <c r="R109" s="545">
        <f>SUM('3 pr-2'!AK110)</f>
        <v>43832</v>
      </c>
      <c r="S109" s="233"/>
      <c r="T109" s="216" t="str">
        <f t="shared" si="43"/>
        <v>–</v>
      </c>
      <c r="U109" s="216"/>
      <c r="V109" s="1546">
        <f>IF(S109&gt;0,'IV-3'!K109,0)</f>
        <v>0</v>
      </c>
      <c r="W109" s="1544">
        <f t="shared" si="26"/>
        <v>0</v>
      </c>
    </row>
    <row r="110" spans="1:23" ht="36.75" x14ac:dyDescent="0.25">
      <c r="A110" s="182" t="str">
        <f>CONCATENATE('3 pr-2'!A111)</f>
        <v>2.1.1.2.3</v>
      </c>
      <c r="B110" s="259" t="str">
        <f>CONCATENATE('3 pr-2'!B111)</f>
        <v>R01-7725-240000-2123</v>
      </c>
      <c r="C110" s="309" t="str">
        <f>CONCATENATE('ketv. 2'!B110)</f>
        <v>09.1.3-CPVA-R-725-11-0004</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96">
        <f>IF(S110&gt;0,'3 pr-2'!L111,0)</f>
        <v>0</v>
      </c>
      <c r="L110" s="1296">
        <f>IF(S110&gt;0,'3 pr-2'!O111,0)</f>
        <v>0</v>
      </c>
      <c r="M110" s="1296">
        <f>IF(S110&gt;0,'3 pr-2'!R111,0)</f>
        <v>0</v>
      </c>
      <c r="N110" s="1296">
        <f>IF(S110&gt;0,'3 pr-2'!U111,0)</f>
        <v>0</v>
      </c>
      <c r="O110" s="1296">
        <f>IF(S110&gt;0,'3 pr-2'!X111,0)</f>
        <v>0</v>
      </c>
      <c r="P110" s="1296">
        <f>IF(S110&gt;0,'3 pr-2'!AA111,0)</f>
        <v>0</v>
      </c>
      <c r="Q110" s="1435">
        <f>IF($Y$9&gt;0,'3 pr-2'!AB111,0)</f>
        <v>0</v>
      </c>
      <c r="R110" s="545">
        <f>SUM('3 pr-2'!AK111)</f>
        <v>43830</v>
      </c>
      <c r="S110" s="233"/>
      <c r="T110" s="216" t="str">
        <f t="shared" si="43"/>
        <v>–</v>
      </c>
      <c r="U110" s="216"/>
      <c r="V110" s="1546">
        <f>IF(S110&gt;0,'IV-3'!K110,0)</f>
        <v>0</v>
      </c>
      <c r="W110" s="1544">
        <f t="shared" si="26"/>
        <v>0</v>
      </c>
    </row>
    <row r="111" spans="1:23" ht="36.75" x14ac:dyDescent="0.25">
      <c r="A111" s="182" t="str">
        <f>CONCATENATE('3 pr-2'!A112)</f>
        <v>2.1.1.2.4</v>
      </c>
      <c r="B111" s="259" t="str">
        <f>CONCATENATE('3 pr-2'!B112)</f>
        <v>R01-7725-240000-2124</v>
      </c>
      <c r="C111" s="309" t="str">
        <f>CONCATENATE('ketv. 2'!B111)</f>
        <v>09.1.3-CPVA-R-725-11-0002</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96">
        <f>IF(S111&gt;0,'3 pr-2'!L112,0)</f>
        <v>0</v>
      </c>
      <c r="L111" s="1296">
        <f>IF(S111&gt;0,'3 pr-2'!O112,0)</f>
        <v>0</v>
      </c>
      <c r="M111" s="1296">
        <f>IF(S111&gt;0,'3 pr-2'!R112,0)</f>
        <v>0</v>
      </c>
      <c r="N111" s="1296">
        <f>IF(S111&gt;0,'3 pr-2'!U112,0)</f>
        <v>0</v>
      </c>
      <c r="O111" s="1296">
        <f>IF(S111&gt;0,'3 pr-2'!X112,0)</f>
        <v>0</v>
      </c>
      <c r="P111" s="1296">
        <f>IF(S111&gt;0,'3 pr-2'!AA112,0)</f>
        <v>0</v>
      </c>
      <c r="Q111" s="1435">
        <f>IF($Y$9&gt;0,'3 pr-2'!AB112,0)</f>
        <v>0</v>
      </c>
      <c r="R111" s="545">
        <f>SUM('3 pr-2'!AK112)</f>
        <v>43449</v>
      </c>
      <c r="S111" s="233"/>
      <c r="T111" s="216" t="str">
        <f t="shared" si="43"/>
        <v>–</v>
      </c>
      <c r="U111" s="216"/>
      <c r="V111" s="1546">
        <f>IF(S111&gt;0,'IV-3'!K111,0)</f>
        <v>0</v>
      </c>
      <c r="W111" s="1544">
        <f t="shared" si="26"/>
        <v>0</v>
      </c>
    </row>
    <row r="112" spans="1:23" ht="37.5" thickBot="1" x14ac:dyDescent="0.3">
      <c r="A112" s="182" t="str">
        <f>CONCATENATE('3 pr-2'!A113)</f>
        <v>2.1.1.2.5</v>
      </c>
      <c r="B112" s="259" t="str">
        <f>CONCATENATE('3 pr-2'!B113)</f>
        <v>R01-7725-240000-2125</v>
      </c>
      <c r="C112" s="309" t="str">
        <f>CONCATENATE('ketv. 2'!B112)</f>
        <v>09.1.3-CPVA-R-725-11-0001</v>
      </c>
      <c r="D112" s="182" t="str">
        <f>CONCATENATE('3 pr-2'!D113)</f>
        <v>Neformaliojo švietimo įstaigų Lazdijų rajono savivaldybėje infrastruktūros tobulinimas</v>
      </c>
      <c r="E112" s="182" t="str">
        <f>CONCATENATE('3 pr-2'!E113)</f>
        <v>VšĮ „Lazdijų sporto centras“</v>
      </c>
      <c r="F112" s="182" t="str">
        <f>CONCATENATE('3 pr-2'!F113)</f>
        <v>Lietuvos Respublikos švietimo ir mokslo ministerija</v>
      </c>
      <c r="G112" s="182" t="str">
        <f>CONCATENATE('3 pr-2'!G113)</f>
        <v>Lazdijų r. sav.</v>
      </c>
      <c r="H112" s="182" t="str">
        <f>CONCATENATE('3 pr-2'!H113)</f>
        <v>09.13.CPVA-R-725</v>
      </c>
      <c r="I112" s="182" t="str">
        <f>CONCATENATE('3 pr-2'!I113)</f>
        <v>R</v>
      </c>
      <c r="J112" s="182" t="str">
        <f>CONCATENATE('3 pr-2'!J113)</f>
        <v>-</v>
      </c>
      <c r="K112" s="1296">
        <f>IF(S112&gt;0,'3 pr-2'!L113,0)</f>
        <v>0</v>
      </c>
      <c r="L112" s="1296">
        <f>IF(S112&gt;0,'3 pr-2'!O113,0)</f>
        <v>0</v>
      </c>
      <c r="M112" s="1296">
        <f>IF(S112&gt;0,'3 pr-2'!R113,0)</f>
        <v>0</v>
      </c>
      <c r="N112" s="1296">
        <f>IF(S112&gt;0,'3 pr-2'!U113,0)</f>
        <v>0</v>
      </c>
      <c r="O112" s="1296">
        <f>IF(S112&gt;0,'3 pr-2'!X113,0)</f>
        <v>0</v>
      </c>
      <c r="P112" s="1296">
        <f>IF(S112&gt;0,'3 pr-2'!AA113,0)</f>
        <v>0</v>
      </c>
      <c r="Q112" s="1435">
        <f>IF($Y$9&gt;0,'3 pr-2'!AB113,0)</f>
        <v>0</v>
      </c>
      <c r="R112" s="545">
        <f>SUM('3 pr-2'!AK113)</f>
        <v>43739</v>
      </c>
      <c r="S112" s="233"/>
      <c r="T112" s="216" t="str">
        <f t="shared" si="43"/>
        <v>–</v>
      </c>
      <c r="U112" s="216"/>
      <c r="V112" s="1546">
        <f>IF(S112&gt;0,'IV-3'!K112,0)</f>
        <v>0</v>
      </c>
      <c r="W112" s="1544">
        <f t="shared" si="26"/>
        <v>0</v>
      </c>
    </row>
    <row r="113" spans="1:23" ht="37.5" customHeight="1" thickBot="1" x14ac:dyDescent="0.3">
      <c r="A113" s="326" t="str">
        <f>CONCATENATE('3 pr-2'!A114)</f>
        <v>2.1.1.3</v>
      </c>
      <c r="B113" s="2025" t="str">
        <f>CONCATENATE('3 pr-2'!B114)</f>
        <v>Priemonė:
Ikimokyklinio ir priešmokyklinio ugdymo prieinamumo didinimas</v>
      </c>
      <c r="C113" s="2026"/>
      <c r="D113" s="2026"/>
      <c r="E113" s="2026"/>
      <c r="F113" s="2026"/>
      <c r="G113" s="2026"/>
      <c r="H113" s="2026"/>
      <c r="I113" s="2026"/>
      <c r="J113" s="2027"/>
      <c r="K113" s="1293">
        <f>SUM(K114:K118)</f>
        <v>0</v>
      </c>
      <c r="L113" s="1293">
        <f t="shared" ref="L113:Q113" si="44">SUM(L114:L118)</f>
        <v>0</v>
      </c>
      <c r="M113" s="1293">
        <f t="shared" si="44"/>
        <v>0</v>
      </c>
      <c r="N113" s="1293">
        <f t="shared" si="44"/>
        <v>0</v>
      </c>
      <c r="O113" s="1293">
        <f t="shared" si="44"/>
        <v>0</v>
      </c>
      <c r="P113" s="1293">
        <f t="shared" si="44"/>
        <v>0</v>
      </c>
      <c r="Q113" s="1293">
        <f t="shared" si="44"/>
        <v>0</v>
      </c>
      <c r="R113" s="397"/>
      <c r="S113" s="397"/>
      <c r="T113" s="397"/>
      <c r="U113" s="397"/>
      <c r="V113" s="1544"/>
      <c r="W113" s="1544">
        <f t="shared" si="26"/>
        <v>0</v>
      </c>
    </row>
    <row r="114" spans="1:23" ht="36.75" x14ac:dyDescent="0.25">
      <c r="A114" s="182" t="str">
        <f>CONCATENATE('3 pr-2'!A115)</f>
        <v>2.1.1.3.1</v>
      </c>
      <c r="B114" s="259" t="str">
        <f>CONCATENATE('3 pr-2'!B115)</f>
        <v>R01-7705-230000-2131</v>
      </c>
      <c r="C114" s="309" t="str">
        <f>CONCATENATE('ketv. 2'!B114)</f>
        <v>09.1.3-CPVA-R-705-11-0003</v>
      </c>
      <c r="D114" s="182" t="str">
        <f>CONCATENATE('3 pr-2'!D115)</f>
        <v>Varėnos "Pasakos" vaikų lopšelio-darželio pastato modernizavimas</v>
      </c>
      <c r="E114" s="182" t="str">
        <f>CONCATENATE('3 pr-2'!E115)</f>
        <v>Varėnos rajono savivaldybės administracija</v>
      </c>
      <c r="F114" s="182" t="str">
        <f>CONCATENATE('3 pr-2'!F115)</f>
        <v>Lietuvos Respublikos švietimo ir mokslo ministerija</v>
      </c>
      <c r="G114" s="182" t="str">
        <f>CONCATENATE('3 pr-2'!G115)</f>
        <v>Varėnos r. sav.</v>
      </c>
      <c r="H114" s="182" t="str">
        <f>CONCATENATE('3 pr-2'!H115)</f>
        <v>09.1.3-CPVA-R-705</v>
      </c>
      <c r="I114" s="182" t="str">
        <f>CONCATENATE('3 pr-2'!I115)</f>
        <v>R</v>
      </c>
      <c r="J114" s="182" t="str">
        <f>CONCATENATE('3 pr-2'!J115)</f>
        <v>-</v>
      </c>
      <c r="K114" s="1296">
        <f>IF(S114&gt;0,'3 pr-2'!L115,0)</f>
        <v>0</v>
      </c>
      <c r="L114" s="1296">
        <f>IF(S114&gt;0,'3 pr-2'!O115,0)</f>
        <v>0</v>
      </c>
      <c r="M114" s="1296">
        <f>IF(S114&gt;0,'3 pr-2'!R115,0)</f>
        <v>0</v>
      </c>
      <c r="N114" s="1296">
        <f>IF(S114&gt;0,'3 pr-2'!U115,0)</f>
        <v>0</v>
      </c>
      <c r="O114" s="1296">
        <f>IF(S114&gt;0,'3 pr-2'!X115,0)</f>
        <v>0</v>
      </c>
      <c r="P114" s="1296">
        <f>IF(S114&gt;0,'3 pr-2'!AA115,0)</f>
        <v>0</v>
      </c>
      <c r="Q114" s="1435">
        <f>IF($Y$9&gt;0,'3 pr-2'!AB115,0)</f>
        <v>0</v>
      </c>
      <c r="R114" s="545">
        <f>SUM('3 pr-2'!AK115)</f>
        <v>43679</v>
      </c>
      <c r="S114" s="182"/>
      <c r="T114" s="216" t="str">
        <f t="shared" ref="T114:T118" si="45">IF(R114-S114&lt;0,(R114-S114)/365,"–")</f>
        <v>–</v>
      </c>
      <c r="U114" s="182"/>
      <c r="V114" s="1546">
        <f>IF(S114&gt;0,'IV-3'!K114,0)</f>
        <v>0</v>
      </c>
      <c r="W114" s="1544">
        <f t="shared" si="26"/>
        <v>0</v>
      </c>
    </row>
    <row r="115" spans="1:23" ht="36.75" x14ac:dyDescent="0.25">
      <c r="A115" s="182" t="str">
        <f>CONCATENATE('3 pr-2'!A116)</f>
        <v>2.1.1.3.2</v>
      </c>
      <c r="B115" s="259" t="str">
        <f>CONCATENATE('3 pr-2'!B116)</f>
        <v>R01-7705-230000-2132</v>
      </c>
      <c r="C115" s="309" t="str">
        <f>CONCATENATE('ketv. 2'!B115)</f>
        <v>09.1.3-CPVA-R-705-11-0004</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96">
        <f>IF(S115&gt;0,'3 pr-2'!L116,0)</f>
        <v>0</v>
      </c>
      <c r="L115" s="1296">
        <f>IF(S115&gt;0,'3 pr-2'!O116,0)</f>
        <v>0</v>
      </c>
      <c r="M115" s="1296">
        <f>IF(S115&gt;0,'3 pr-2'!R116,0)</f>
        <v>0</v>
      </c>
      <c r="N115" s="1296">
        <f>IF(S115&gt;0,'3 pr-2'!U116,0)</f>
        <v>0</v>
      </c>
      <c r="O115" s="1296">
        <f>IF(S115&gt;0,'3 pr-2'!X116,0)</f>
        <v>0</v>
      </c>
      <c r="P115" s="1296">
        <f>IF(S115&gt;0,'3 pr-2'!AA116,0)</f>
        <v>0</v>
      </c>
      <c r="Q115" s="1435">
        <f>IF($Y$9&gt;0,'3 pr-2'!AB116,0)</f>
        <v>0</v>
      </c>
      <c r="R115" s="545">
        <f>SUM('3 pr-2'!AK116)</f>
        <v>43845</v>
      </c>
      <c r="S115" s="182"/>
      <c r="T115" s="216" t="str">
        <f t="shared" si="45"/>
        <v>–</v>
      </c>
      <c r="U115" s="182"/>
      <c r="V115" s="1546">
        <f>IF(S115&gt;0,'IV-3'!K115,0)</f>
        <v>0</v>
      </c>
      <c r="W115" s="1544">
        <f t="shared" si="26"/>
        <v>0</v>
      </c>
    </row>
    <row r="116" spans="1:23" ht="36.75" x14ac:dyDescent="0.25">
      <c r="A116" s="182" t="str">
        <f>CONCATENATE('3 pr-2'!A117)</f>
        <v>2.1.1.3.3</v>
      </c>
      <c r="B116" s="259" t="str">
        <f>CONCATENATE('3 pr-2'!B117)</f>
        <v>R01-7705-230000-2133</v>
      </c>
      <c r="C116" s="309" t="str">
        <f>CONCATENATE('ketv. 2'!B116)</f>
        <v>09.1.3-CPVA-R-705-11-0001</v>
      </c>
      <c r="D116" s="182" t="str">
        <f>CONCATENATE('3 pr-2'!D117)</f>
        <v>Alytaus lopšelio-darželio "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96">
        <f>IF(S116&gt;0,'3 pr-2'!L117,0)</f>
        <v>0</v>
      </c>
      <c r="L116" s="1296">
        <f>IF(S116&gt;0,'3 pr-2'!O117,0)</f>
        <v>0</v>
      </c>
      <c r="M116" s="1296">
        <f>IF(S116&gt;0,'3 pr-2'!R117,0)</f>
        <v>0</v>
      </c>
      <c r="N116" s="1296">
        <f>IF(S116&gt;0,'3 pr-2'!U117,0)</f>
        <v>0</v>
      </c>
      <c r="O116" s="1296">
        <f>IF(S116&gt;0,'3 pr-2'!X117,0)</f>
        <v>0</v>
      </c>
      <c r="P116" s="1296">
        <f>IF(S116&gt;0,'3 pr-2'!AA117,0)</f>
        <v>0</v>
      </c>
      <c r="Q116" s="1435">
        <f>IF($Y$9&gt;0,'3 pr-2'!AB117,0)</f>
        <v>0</v>
      </c>
      <c r="R116" s="545">
        <f>SUM('3 pr-2'!AK117)</f>
        <v>43739.5</v>
      </c>
      <c r="S116" s="182"/>
      <c r="T116" s="216" t="str">
        <f t="shared" si="45"/>
        <v>–</v>
      </c>
      <c r="U116" s="182"/>
      <c r="V116" s="1546">
        <f>IF(S116&gt;0,'IV-3'!K116,0)</f>
        <v>0</v>
      </c>
      <c r="W116" s="1544">
        <f t="shared" si="26"/>
        <v>0</v>
      </c>
    </row>
    <row r="117" spans="1:23" ht="36.75" x14ac:dyDescent="0.25">
      <c r="A117" s="182" t="str">
        <f>CONCATENATE('3 pr-2'!A118)</f>
        <v>2.1.1.3.4</v>
      </c>
      <c r="B117" s="259" t="str">
        <f>CONCATENATE('3 pr-2'!B118)</f>
        <v>R01-7705-230000-2134</v>
      </c>
      <c r="C117" s="309" t="str">
        <f>CONCATENATE('ketv. 2'!B117)</f>
        <v>09.1.3-CPVA-R-705-11-0006</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96">
        <f>IF(S117&gt;0,'3 pr-2'!L118,0)</f>
        <v>0</v>
      </c>
      <c r="L117" s="1296">
        <f>IF(S117&gt;0,'3 pr-2'!O118,0)</f>
        <v>0</v>
      </c>
      <c r="M117" s="1296">
        <f>IF(S117&gt;0,'3 pr-2'!R118,0)</f>
        <v>0</v>
      </c>
      <c r="N117" s="1296">
        <f>IF(S117&gt;0,'3 pr-2'!U118,0)</f>
        <v>0</v>
      </c>
      <c r="O117" s="1296">
        <f>IF(S117&gt;0,'3 pr-2'!X118,0)</f>
        <v>0</v>
      </c>
      <c r="P117" s="1296">
        <f>IF(S117&gt;0,'3 pr-2'!AA118,0)</f>
        <v>0</v>
      </c>
      <c r="Q117" s="1435">
        <f>IF($Y$9&gt;0,'3 pr-2'!AB118,0)</f>
        <v>0</v>
      </c>
      <c r="R117" s="545">
        <f>SUM('3 pr-2'!AK118)</f>
        <v>43707</v>
      </c>
      <c r="S117" s="182"/>
      <c r="T117" s="216" t="str">
        <f t="shared" si="45"/>
        <v>–</v>
      </c>
      <c r="U117" s="182"/>
      <c r="V117" s="1546">
        <f>IF(S117&gt;0,'IV-3'!K117,0)</f>
        <v>0</v>
      </c>
      <c r="W117" s="1544">
        <f t="shared" si="26"/>
        <v>0</v>
      </c>
    </row>
    <row r="118" spans="1:23" ht="37.5" thickBot="1" x14ac:dyDescent="0.3">
      <c r="A118" s="182" t="str">
        <f>CONCATENATE('3 pr-2'!A119)</f>
        <v>2.1.1.3.5</v>
      </c>
      <c r="B118" s="259" t="str">
        <f>CONCATENATE('3 pr-2'!B119)</f>
        <v>R01-7705-230000-2135</v>
      </c>
      <c r="C118" s="309" t="str">
        <f>CONCATENATE('ketv. 2'!B118)</f>
        <v>09.1.3-CPVA-R-705-11-0002</v>
      </c>
      <c r="D118" s="182" t="str">
        <f>CONCATENATE('3 pr-2'!D119)</f>
        <v>Ikimokyklinio ir priešmokyklinio ugdymo įstaigų Lazdijų rajono savivaldybėje modernizavimas</v>
      </c>
      <c r="E118" s="182" t="str">
        <f>CONCATENATE('3 pr-2'!E119)</f>
        <v>Lazdijų rajono savivaldybės administracija</v>
      </c>
      <c r="F118" s="182" t="str">
        <f>CONCATENATE('3 pr-2'!F119)</f>
        <v>Lietuvos Respublikos švietimo ir mokslo ministerija</v>
      </c>
      <c r="G118" s="182" t="str">
        <f>CONCATENATE('3 pr-2'!G119)</f>
        <v>Lazdijų r. sav.</v>
      </c>
      <c r="H118" s="182" t="str">
        <f>CONCATENATE('3 pr-2'!H119)</f>
        <v>09.1.3-CPVA-R-705</v>
      </c>
      <c r="I118" s="182" t="str">
        <f>CONCATENATE('3 pr-2'!I119)</f>
        <v>R</v>
      </c>
      <c r="J118" s="182" t="str">
        <f>CONCATENATE('3 pr-2'!J119)</f>
        <v>-</v>
      </c>
      <c r="K118" s="1296">
        <f>IF(S118&gt;0,'3 pr-2'!L119,0)</f>
        <v>0</v>
      </c>
      <c r="L118" s="1296">
        <f>IF(S118&gt;0,'3 pr-2'!O119,0)</f>
        <v>0</v>
      </c>
      <c r="M118" s="1296">
        <f>IF(S118&gt;0,'3 pr-2'!R119,0)</f>
        <v>0</v>
      </c>
      <c r="N118" s="1296">
        <f>IF(S118&gt;0,'3 pr-2'!U119,0)</f>
        <v>0</v>
      </c>
      <c r="O118" s="1296">
        <f>IF(S118&gt;0,'3 pr-2'!X119,0)</f>
        <v>0</v>
      </c>
      <c r="P118" s="1296">
        <f>IF(S118&gt;0,'3 pr-2'!AA119,0)</f>
        <v>0</v>
      </c>
      <c r="Q118" s="1435">
        <f>IF($Y$9&gt;0,'3 pr-2'!AB119,0)</f>
        <v>0</v>
      </c>
      <c r="R118" s="545">
        <f>SUM('3 pr-2'!AK119)</f>
        <v>43739</v>
      </c>
      <c r="S118" s="182"/>
      <c r="T118" s="216" t="str">
        <f t="shared" si="45"/>
        <v>–</v>
      </c>
      <c r="U118" s="182"/>
      <c r="V118" s="1546">
        <f>IF(S118&gt;0,'IV-3'!K118,0)</f>
        <v>0</v>
      </c>
      <c r="W118" s="1544">
        <f t="shared" si="26"/>
        <v>0</v>
      </c>
    </row>
    <row r="119" spans="1:23" ht="53.25" customHeight="1" thickBot="1" x14ac:dyDescent="0.3">
      <c r="A119" s="155" t="str">
        <f>CONCATENATE('3 pr-2'!A120)</f>
        <v>2.1.2.</v>
      </c>
      <c r="B119" s="2022" t="str">
        <f>CONCATENATE('3 pr-2'!B120)</f>
        <v>Uždavinys:
Sveikatos netolygumų sumažinimas, gerinant sveikatos priežiūros kokybę ir prieinamumą tikslinėms gyventojų grupėms ir sveiko senėjimo skatinimas</v>
      </c>
      <c r="C119" s="2023"/>
      <c r="D119" s="2023"/>
      <c r="E119" s="2023"/>
      <c r="F119" s="2023"/>
      <c r="G119" s="2023"/>
      <c r="H119" s="2023"/>
      <c r="I119" s="2023"/>
      <c r="J119" s="2024"/>
      <c r="K119" s="1496">
        <f t="shared" ref="K119:P119" si="46">SUM(K120+K134+K140)</f>
        <v>0</v>
      </c>
      <c r="L119" s="1496">
        <f t="shared" si="46"/>
        <v>0</v>
      </c>
      <c r="M119" s="1496">
        <f t="shared" si="46"/>
        <v>0</v>
      </c>
      <c r="N119" s="1496">
        <f t="shared" si="46"/>
        <v>0</v>
      </c>
      <c r="O119" s="1496">
        <f t="shared" si="46"/>
        <v>0</v>
      </c>
      <c r="P119" s="1496">
        <f t="shared" si="46"/>
        <v>0</v>
      </c>
      <c r="Q119" s="1496">
        <f t="shared" ref="Q119" si="47">SUM(Q120+Q134+Q140)</f>
        <v>0</v>
      </c>
      <c r="R119" s="301"/>
      <c r="S119" s="302"/>
      <c r="T119" s="303"/>
      <c r="U119" s="303"/>
      <c r="V119" s="1544"/>
      <c r="W119" s="1544">
        <f t="shared" si="26"/>
        <v>0</v>
      </c>
    </row>
    <row r="120" spans="1:23" ht="30" customHeight="1" thickBot="1" x14ac:dyDescent="0.3">
      <c r="A120" s="326" t="str">
        <f>CONCATENATE('3 pr-2'!A121)</f>
        <v>2.1.2.1</v>
      </c>
      <c r="B120" s="2025" t="str">
        <f>CONCATENATE('3 pr-2'!B121)</f>
        <v>Priemonė:
Pirminės asmens ir visuomenės sveikatos priežiūros veiklos efektyvumo didinimas gerinant jų infrastruktūrą</v>
      </c>
      <c r="C120" s="2026"/>
      <c r="D120" s="2026"/>
      <c r="E120" s="2026"/>
      <c r="F120" s="2026"/>
      <c r="G120" s="2026"/>
      <c r="H120" s="2026"/>
      <c r="I120" s="2026"/>
      <c r="J120" s="2027"/>
      <c r="K120" s="1293">
        <f>SUM(K121:K128)</f>
        <v>0</v>
      </c>
      <c r="L120" s="1293">
        <f t="shared" ref="L120:P120" si="48">SUM(L121:L128)</f>
        <v>0</v>
      </c>
      <c r="M120" s="1293">
        <f t="shared" si="48"/>
        <v>0</v>
      </c>
      <c r="N120" s="1293">
        <f t="shared" si="48"/>
        <v>0</v>
      </c>
      <c r="O120" s="1293">
        <f t="shared" si="48"/>
        <v>0</v>
      </c>
      <c r="P120" s="1293">
        <f t="shared" si="48"/>
        <v>0</v>
      </c>
      <c r="Q120" s="1293">
        <f t="shared" ref="Q120" si="49">SUM(Q121:Q128)</f>
        <v>0</v>
      </c>
      <c r="R120" s="397">
        <f>SUM('3 pr-2'!AK121)</f>
        <v>0</v>
      </c>
      <c r="S120" s="397"/>
      <c r="T120" s="397"/>
      <c r="U120" s="397"/>
      <c r="V120" s="1544"/>
      <c r="W120" s="1544">
        <f t="shared" si="26"/>
        <v>0</v>
      </c>
    </row>
    <row r="121" spans="1:23" ht="36.75" x14ac:dyDescent="0.25">
      <c r="A121" s="182" t="str">
        <f>CONCATENATE('3 pr-2'!A122)</f>
        <v>2.1.2.1.1</v>
      </c>
      <c r="B121" s="259" t="str">
        <f>CONCATENATE('3 pr-2'!B122)</f>
        <v>R01-6609-274710-2211</v>
      </c>
      <c r="C121" s="309" t="str">
        <f>CONCATENATE('ketv. 2'!B121)</f>
        <v>08.1.3-CPVA-R-609-11-0002</v>
      </c>
      <c r="D121" s="182" t="str">
        <f>CONCATENATE('3 pr-2'!D122)</f>
        <v xml:space="preserve">Alytaus poliklinikos teikiamų pirminės sveikatos priežiūros paslaugų prieinamumo didinimas ir kokybės gerinimas </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296">
        <f>IF(S121&gt;0,'3 pr-2'!L122,0)</f>
        <v>0</v>
      </c>
      <c r="L121" s="1296">
        <f>IF(S121&gt;0,'3 pr-2'!O122,0)</f>
        <v>0</v>
      </c>
      <c r="M121" s="1296">
        <f>IF(S121&gt;0,'3 pr-2'!R122,0)</f>
        <v>0</v>
      </c>
      <c r="N121" s="1296">
        <f>IF(S121&gt;0,'3 pr-2'!U122,0)</f>
        <v>0</v>
      </c>
      <c r="O121" s="1296">
        <f>IF(S121&gt;0,'3 pr-2'!X122,0)</f>
        <v>0</v>
      </c>
      <c r="P121" s="1296">
        <f>IF(S121&gt;0,'3 pr-2'!AA122,0)</f>
        <v>0</v>
      </c>
      <c r="Q121" s="1435">
        <f>IF($Y$9&gt;0,'3 pr-2'!AB122,0)</f>
        <v>0</v>
      </c>
      <c r="R121" s="545">
        <f>SUM('3 pr-2'!AK122)</f>
        <v>44367</v>
      </c>
      <c r="S121" s="214"/>
      <c r="T121" s="216" t="str">
        <f t="shared" ref="T121:T145" si="50">IF(R121-S121&lt;0,(R121-S121)/365,"–")</f>
        <v>–</v>
      </c>
      <c r="U121" s="216"/>
      <c r="V121" s="1546">
        <f>IF(S121&gt;0,'IV-3'!K121,0)</f>
        <v>0</v>
      </c>
      <c r="W121" s="1544">
        <f t="shared" si="26"/>
        <v>0</v>
      </c>
    </row>
    <row r="122" spans="1:23" ht="48.75" x14ac:dyDescent="0.25">
      <c r="A122" s="182" t="str">
        <f>CONCATENATE('3 pr-2'!A123)</f>
        <v>2.1.2.1.2</v>
      </c>
      <c r="B122" s="259" t="str">
        <f>CONCATENATE('3 pr-2'!B123)</f>
        <v>R01-6609-274710-2212</v>
      </c>
      <c r="C122" s="309" t="str">
        <f>CONCATENATE('ketv. 2'!B122)</f>
        <v>08.1.3-CPVA-R-609-11-0004</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96">
        <f>IF(S122&gt;0,'3 pr-2'!L123,0)</f>
        <v>0</v>
      </c>
      <c r="L122" s="1296">
        <f>IF(S122&gt;0,'3 pr-2'!O123,0)</f>
        <v>0</v>
      </c>
      <c r="M122" s="1296">
        <f>IF(S122&gt;0,'3 pr-2'!R123,0)</f>
        <v>0</v>
      </c>
      <c r="N122" s="1296">
        <f>IF(S122&gt;0,'3 pr-2'!U123,0)</f>
        <v>0</v>
      </c>
      <c r="O122" s="1296">
        <f>IF(S122&gt;0,'3 pr-2'!X123,0)</f>
        <v>0</v>
      </c>
      <c r="P122" s="1296">
        <f>IF(S122&gt;0,'3 pr-2'!AA123,0)</f>
        <v>0</v>
      </c>
      <c r="Q122" s="1435">
        <f>IF($Y$9&gt;0,'3 pr-2'!AB123,0)</f>
        <v>0</v>
      </c>
      <c r="R122" s="545">
        <f>SUM('3 pr-2'!AK123)</f>
        <v>44196</v>
      </c>
      <c r="S122" s="214"/>
      <c r="T122" s="216" t="str">
        <f t="shared" si="50"/>
        <v>–</v>
      </c>
      <c r="U122" s="216"/>
      <c r="V122" s="1546">
        <f>IF(S122&gt;0,'IV-3'!K122,0)</f>
        <v>0</v>
      </c>
      <c r="W122" s="1544">
        <f t="shared" si="26"/>
        <v>0</v>
      </c>
    </row>
    <row r="123" spans="1:23" ht="36.75" x14ac:dyDescent="0.25">
      <c r="A123" s="182" t="str">
        <f>CONCATENATE('3 pr-2'!A124)</f>
        <v>2.1.2.1.3</v>
      </c>
      <c r="B123" s="259" t="str">
        <f>CONCATENATE('3 pr-2'!B124)</f>
        <v>R01-6609-274700-2213</v>
      </c>
      <c r="C123" s="309" t="str">
        <f>CONCATENATE('ketv. 2'!B123)</f>
        <v>08.1.3-CPVA-R-609-11-0003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96">
        <f>IF(S123&gt;0,'3 pr-2'!L124,0)</f>
        <v>0</v>
      </c>
      <c r="L123" s="1296">
        <f>IF(S123&gt;0,'3 pr-2'!O124,0)</f>
        <v>0</v>
      </c>
      <c r="M123" s="1296">
        <f>IF(S123&gt;0,'3 pr-2'!R124,0)</f>
        <v>0</v>
      </c>
      <c r="N123" s="1296">
        <f>IF(S123&gt;0,'3 pr-2'!U124,0)</f>
        <v>0</v>
      </c>
      <c r="O123" s="1296">
        <f>IF(S123&gt;0,'3 pr-2'!X124,0)</f>
        <v>0</v>
      </c>
      <c r="P123" s="1296">
        <f>IF(S123&gt;0,'3 pr-2'!AA124,0)</f>
        <v>0</v>
      </c>
      <c r="Q123" s="1435">
        <f>IF($Y$9&gt;0,'3 pr-2'!AB124,0)</f>
        <v>0</v>
      </c>
      <c r="R123" s="545">
        <f>SUM('3 pr-2'!AK124)</f>
        <v>44196</v>
      </c>
      <c r="S123" s="214"/>
      <c r="T123" s="216" t="str">
        <f t="shared" si="50"/>
        <v>–</v>
      </c>
      <c r="U123" s="216"/>
      <c r="V123" s="1546">
        <f>IF(S123&gt;0,'IV-3'!K123,0)</f>
        <v>0</v>
      </c>
      <c r="W123" s="1544">
        <f t="shared" si="26"/>
        <v>0</v>
      </c>
    </row>
    <row r="124" spans="1:23" ht="36.75" x14ac:dyDescent="0.25">
      <c r="A124" s="182" t="str">
        <f>CONCATENATE('3 pr-2'!A125)</f>
        <v>2.1.2.1.4</v>
      </c>
      <c r="B124" s="259" t="str">
        <f>CONCATENATE('3 pr-2'!B125)</f>
        <v>R01-6609-274710-2214</v>
      </c>
      <c r="C124" s="309" t="str">
        <f>CONCATENATE('ketv. 2'!B124)</f>
        <v>08.1.3-CPVA-R-609-11-0005</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96">
        <f>IF(S124&gt;0,'3 pr-2'!L125,0)</f>
        <v>0</v>
      </c>
      <c r="L124" s="1296">
        <f>IF(S124&gt;0,'3 pr-2'!O125,0)</f>
        <v>0</v>
      </c>
      <c r="M124" s="1296">
        <f>IF(S124&gt;0,'3 pr-2'!R125,0)</f>
        <v>0</v>
      </c>
      <c r="N124" s="1296">
        <f>IF(S124&gt;0,'3 pr-2'!U125,0)</f>
        <v>0</v>
      </c>
      <c r="O124" s="1296">
        <f>IF(S124&gt;0,'3 pr-2'!X125,0)</f>
        <v>0</v>
      </c>
      <c r="P124" s="1296">
        <f>IF(S124&gt;0,'3 pr-2'!AA125,0)</f>
        <v>0</v>
      </c>
      <c r="Q124" s="1435">
        <f>IF($Y$9&gt;0,'3 pr-2'!AB125,0)</f>
        <v>0</v>
      </c>
      <c r="R124" s="545">
        <f>SUM('3 pr-2'!AK125)</f>
        <v>44561</v>
      </c>
      <c r="S124" s="214"/>
      <c r="T124" s="216" t="str">
        <f t="shared" si="50"/>
        <v>–</v>
      </c>
      <c r="U124" s="216"/>
      <c r="V124" s="1546">
        <f>IF(S124&gt;0,'IV-3'!K124,0)</f>
        <v>0</v>
      </c>
      <c r="W124" s="1544">
        <f t="shared" si="26"/>
        <v>0</v>
      </c>
    </row>
    <row r="125" spans="1:23" ht="48.75" x14ac:dyDescent="0.25">
      <c r="A125" s="182" t="str">
        <f>CONCATENATE('3 pr-2'!A126)</f>
        <v>2.1.2.1.5</v>
      </c>
      <c r="B125" s="259" t="str">
        <f>CONCATENATE('3 pr-2'!B126)</f>
        <v>R01-6609-274710-2215</v>
      </c>
      <c r="C125" s="309" t="str">
        <f>CONCATENATE('ketv. 2'!B125)</f>
        <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96">
        <f>IF(S125&gt;0,'3 pr-2'!L126,0)</f>
        <v>0</v>
      </c>
      <c r="L125" s="1296">
        <f>IF(S125&gt;0,'3 pr-2'!O126,0)</f>
        <v>0</v>
      </c>
      <c r="M125" s="1296">
        <f>IF(S125&gt;0,'3 pr-2'!R126,0)</f>
        <v>0</v>
      </c>
      <c r="N125" s="1296">
        <f>IF(S125&gt;0,'3 pr-2'!U126,0)</f>
        <v>0</v>
      </c>
      <c r="O125" s="1296">
        <f>IF(S125&gt;0,'3 pr-2'!X126,0)</f>
        <v>0</v>
      </c>
      <c r="P125" s="1296">
        <f>IF(S125&gt;0,'3 pr-2'!AA126,0)</f>
        <v>0</v>
      </c>
      <c r="Q125" s="1435">
        <f>IF($Y$9&gt;0,'3 pr-2'!AB126,0)</f>
        <v>0</v>
      </c>
      <c r="R125" s="545">
        <f>SUM('3 pr-2'!AK126)</f>
        <v>44134</v>
      </c>
      <c r="S125" s="214"/>
      <c r="T125" s="216" t="str">
        <f t="shared" si="50"/>
        <v>–</v>
      </c>
      <c r="U125" s="216"/>
      <c r="V125" s="1546">
        <f>IF(S125&gt;0,'IV-3'!K125,0)</f>
        <v>0</v>
      </c>
      <c r="W125" s="1544">
        <f t="shared" si="26"/>
        <v>0</v>
      </c>
    </row>
    <row r="126" spans="1:23" ht="36.75" x14ac:dyDescent="0.25">
      <c r="A126" s="182" t="str">
        <f>CONCATENATE('3 pr-2'!A127)</f>
        <v>2.1.2.1.6</v>
      </c>
      <c r="B126" s="259" t="str">
        <f>CONCATENATE('3 pr-2'!B127)</f>
        <v>R01-6609-471000-2216</v>
      </c>
      <c r="C126" s="309" t="str">
        <f>CONCATENATE('ketv. 2'!B126)</f>
        <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96">
        <f>IF(S126&gt;0,'3 pr-2'!L127,0)</f>
        <v>0</v>
      </c>
      <c r="L126" s="1296">
        <f>IF(S126&gt;0,'3 pr-2'!O127,0)</f>
        <v>0</v>
      </c>
      <c r="M126" s="1296">
        <f>IF(S126&gt;0,'3 pr-2'!R127,0)</f>
        <v>0</v>
      </c>
      <c r="N126" s="1296">
        <f>IF(S126&gt;0,'3 pr-2'!U127,0)</f>
        <v>0</v>
      </c>
      <c r="O126" s="1296">
        <f>IF(S126&gt;0,'3 pr-2'!X127,0)</f>
        <v>0</v>
      </c>
      <c r="P126" s="1296">
        <f>IF(S126&gt;0,'3 pr-2'!AA127,0)</f>
        <v>0</v>
      </c>
      <c r="Q126" s="1435">
        <f>IF($Y$9&gt;0,'3 pr-2'!AB127,0)</f>
        <v>0</v>
      </c>
      <c r="R126" s="545">
        <f>SUM('3 pr-2'!AK127)</f>
        <v>43830</v>
      </c>
      <c r="S126" s="214"/>
      <c r="T126" s="216" t="str">
        <f t="shared" si="50"/>
        <v>–</v>
      </c>
      <c r="U126" s="216"/>
      <c r="V126" s="1546">
        <f>IF(S126&gt;0,'IV-3'!K126,0)</f>
        <v>0</v>
      </c>
      <c r="W126" s="1544">
        <f t="shared" si="26"/>
        <v>0</v>
      </c>
    </row>
    <row r="127" spans="1:23" ht="36.75" x14ac:dyDescent="0.25">
      <c r="A127" s="182" t="str">
        <f>CONCATENATE('3 pr-2'!A128)</f>
        <v>2.1.2.1.7</v>
      </c>
      <c r="B127" s="259" t="str">
        <f>CONCATENATE('3 pr-2'!B128)</f>
        <v>R01-6609-274710-2217</v>
      </c>
      <c r="C127" s="309" t="str">
        <f>CONCATENATE('ketv. 2'!B127)</f>
        <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96">
        <f>IF(S127&gt;0,'3 pr-2'!L128,0)</f>
        <v>0</v>
      </c>
      <c r="L127" s="1296">
        <f>IF(S127&gt;0,'3 pr-2'!O128,0)</f>
        <v>0</v>
      </c>
      <c r="M127" s="1296">
        <f>IF(S127&gt;0,'3 pr-2'!R128,0)</f>
        <v>0</v>
      </c>
      <c r="N127" s="1296">
        <f>IF(S127&gt;0,'3 pr-2'!U128,0)</f>
        <v>0</v>
      </c>
      <c r="O127" s="1296">
        <f>IF(S127&gt;0,'3 pr-2'!X128,0)</f>
        <v>0</v>
      </c>
      <c r="P127" s="1296">
        <f>IF(S127&gt;0,'3 pr-2'!AA128,0)</f>
        <v>0</v>
      </c>
      <c r="Q127" s="1435">
        <f>IF($Y$9&gt;0,'3 pr-2'!AB128,0)</f>
        <v>0</v>
      </c>
      <c r="R127" s="545">
        <f>SUM('3 pr-2'!AK128)</f>
        <v>44196</v>
      </c>
      <c r="S127" s="214"/>
      <c r="T127" s="216" t="str">
        <f t="shared" si="50"/>
        <v>–</v>
      </c>
      <c r="U127" s="216"/>
      <c r="V127" s="1546">
        <f>IF(S127&gt;0,'IV-3'!K127,0)</f>
        <v>0</v>
      </c>
      <c r="W127" s="1544">
        <f t="shared" si="26"/>
        <v>0</v>
      </c>
    </row>
    <row r="128" spans="1:23" ht="36.75" x14ac:dyDescent="0.25">
      <c r="A128" s="182" t="str">
        <f>CONCATENATE('3 pr-2'!A129)</f>
        <v>2.1.2.1.8</v>
      </c>
      <c r="B128" s="259" t="str">
        <f>CONCATENATE('3 pr-2'!B129)</f>
        <v>R01-6609-104700-2218</v>
      </c>
      <c r="C128" s="309" t="str">
        <f>CONCATENATE('ketv. 2'!B128)</f>
        <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96">
        <f>IF(S128&gt;0,'3 pr-2'!L129,0)</f>
        <v>0</v>
      </c>
      <c r="L128" s="1296">
        <f>IF(S128&gt;0,'3 pr-2'!O129,0)</f>
        <v>0</v>
      </c>
      <c r="M128" s="1296">
        <f>IF(S128&gt;0,'3 pr-2'!R129,0)</f>
        <v>0</v>
      </c>
      <c r="N128" s="1296">
        <f>IF(S128&gt;0,'3 pr-2'!U129,0)</f>
        <v>0</v>
      </c>
      <c r="O128" s="1296">
        <f>IF(S128&gt;0,'3 pr-2'!X129,0)</f>
        <v>0</v>
      </c>
      <c r="P128" s="1296">
        <f>IF(S128&gt;0,'3 pr-2'!AA129,0)</f>
        <v>0</v>
      </c>
      <c r="Q128" s="1435">
        <f>IF($Y$9&gt;0,'3 pr-2'!AB129,0)</f>
        <v>0</v>
      </c>
      <c r="R128" s="545">
        <f>SUM('3 pr-2'!AK129)</f>
        <v>43922</v>
      </c>
      <c r="S128" s="214"/>
      <c r="T128" s="216" t="str">
        <f t="shared" si="50"/>
        <v>–</v>
      </c>
      <c r="U128" s="216"/>
      <c r="V128" s="1546">
        <f>IF(S128&gt;0,'IV-3'!K128,0)</f>
        <v>0</v>
      </c>
      <c r="W128" s="1544">
        <f t="shared" si="26"/>
        <v>0</v>
      </c>
    </row>
    <row r="129" spans="1:23" ht="36.75" x14ac:dyDescent="0.25">
      <c r="A129" s="182" t="str">
        <f>CONCATENATE('3 pr-2'!A130)</f>
        <v>2.1.2.1.9</v>
      </c>
      <c r="B129" s="259" t="str">
        <f>CONCATENATE('3 pr-2'!B130)</f>
        <v>R01-6609-274710-2219</v>
      </c>
      <c r="C129" s="309" t="str">
        <f>CONCATENATE('ketv. 2'!B129)</f>
        <v>08.1.3-CPVA-R-609-11-0001</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96">
        <f>IF(S129&gt;0,'3 pr-2'!L130,0)</f>
        <v>0</v>
      </c>
      <c r="L129" s="1296">
        <f>IF(S129&gt;0,'3 pr-2'!O130,0)</f>
        <v>0</v>
      </c>
      <c r="M129" s="1296">
        <f>IF(S129&gt;0,'3 pr-2'!R130,0)</f>
        <v>0</v>
      </c>
      <c r="N129" s="1296">
        <f>IF(S129&gt;0,'3 pr-2'!U130,0)</f>
        <v>0</v>
      </c>
      <c r="O129" s="1296">
        <f>IF(S129&gt;0,'3 pr-2'!X130,0)</f>
        <v>0</v>
      </c>
      <c r="P129" s="1296">
        <f>IF(S129&gt;0,'3 pr-2'!AA130,0)</f>
        <v>0</v>
      </c>
      <c r="Q129" s="1435">
        <f>IF($Y$9&gt;0,'3 pr-2'!AB130,0)</f>
        <v>0</v>
      </c>
      <c r="R129" s="545">
        <f>SUM('3 pr-2'!AK130)</f>
        <v>43830</v>
      </c>
      <c r="S129" s="214"/>
      <c r="T129" s="216" t="str">
        <f t="shared" ref="T129:T132" si="51">IF(R129-S129&lt;0,(R129-S129)/365,"–")</f>
        <v>–</v>
      </c>
      <c r="U129" s="216"/>
      <c r="V129" s="1546">
        <f>IF(S129&gt;0,'IV-3'!K129,0)</f>
        <v>0</v>
      </c>
      <c r="W129" s="1544">
        <f t="shared" si="26"/>
        <v>0</v>
      </c>
    </row>
    <row r="130" spans="1:23" ht="36.75" x14ac:dyDescent="0.25">
      <c r="A130" s="182" t="str">
        <f>CONCATENATE('3 pr-2'!A131)</f>
        <v>2.1.2.1.10</v>
      </c>
      <c r="B130" s="259" t="str">
        <f>CONCATENATE('3 pr-2'!B131)</f>
        <v>R01-6609-274710-2220</v>
      </c>
      <c r="C130" s="309" t="str">
        <f>CONCATENATE('ketv. 2'!B130)</f>
        <v/>
      </c>
      <c r="D130" s="182" t="str">
        <f>CONCATENATE('3 pr-2'!D131)</f>
        <v>Pirminės ambulatorinės asmens sveikatos priežiūros efektyvumo didinimas R.Ambrazaitienės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96">
        <f>IF(S130&gt;0,'3 pr-2'!L131,0)</f>
        <v>0</v>
      </c>
      <c r="L130" s="1296">
        <f>IF(S130&gt;0,'3 pr-2'!O131,0)</f>
        <v>0</v>
      </c>
      <c r="M130" s="1296">
        <f>IF(S130&gt;0,'3 pr-2'!R131,0)</f>
        <v>0</v>
      </c>
      <c r="N130" s="1296">
        <f>IF(S130&gt;0,'3 pr-2'!U131,0)</f>
        <v>0</v>
      </c>
      <c r="O130" s="1296">
        <f>IF(S130&gt;0,'3 pr-2'!X131,0)</f>
        <v>0</v>
      </c>
      <c r="P130" s="1296">
        <f>IF(S130&gt;0,'3 pr-2'!AA131,0)</f>
        <v>0</v>
      </c>
      <c r="Q130" s="1435">
        <f>IF($Y$9&gt;0,'3 pr-2'!AB131,0)</f>
        <v>0</v>
      </c>
      <c r="R130" s="545">
        <f>SUM('3 pr-2'!AK131)</f>
        <v>44196</v>
      </c>
      <c r="S130" s="214"/>
      <c r="T130" s="216" t="str">
        <f t="shared" si="51"/>
        <v>–</v>
      </c>
      <c r="U130" s="216"/>
      <c r="V130" s="1546">
        <f>IF(S130&gt;0,'IV-3'!K130,0)</f>
        <v>0</v>
      </c>
      <c r="W130" s="1544">
        <f t="shared" si="26"/>
        <v>0</v>
      </c>
    </row>
    <row r="131" spans="1:23" ht="36.75" x14ac:dyDescent="0.25">
      <c r="A131" s="182" t="str">
        <f>CONCATENATE('3 pr-2'!A132)</f>
        <v>2.1.2.1.11</v>
      </c>
      <c r="B131" s="259" t="str">
        <f>CONCATENATE('3 pr-2'!B132)</f>
        <v>R01-6609-274700-2221</v>
      </c>
      <c r="C131" s="309" t="str">
        <f>CONCATENATE('ketv. 2'!B131)</f>
        <v/>
      </c>
      <c r="D131" s="182" t="str">
        <f>CONCATENATE('3 pr-2'!D132)</f>
        <v xml:space="preserve">Pirminės asmens sveikatos priežiūros veiklos efektyvumo didinimas Lazdijų rajono savivaldybėje </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96">
        <f>IF(S131&gt;0,'3 pr-2'!L132,0)</f>
        <v>0</v>
      </c>
      <c r="L131" s="1296">
        <f>IF(S131&gt;0,'3 pr-2'!O132,0)</f>
        <v>0</v>
      </c>
      <c r="M131" s="1296">
        <f>IF(S131&gt;0,'3 pr-2'!R132,0)</f>
        <v>0</v>
      </c>
      <c r="N131" s="1296">
        <f>IF(S131&gt;0,'3 pr-2'!U132,0)</f>
        <v>0</v>
      </c>
      <c r="O131" s="1296">
        <f>IF(S131&gt;0,'3 pr-2'!X132,0)</f>
        <v>0</v>
      </c>
      <c r="P131" s="1296">
        <f>IF(S131&gt;0,'3 pr-2'!AA132,0)</f>
        <v>0</v>
      </c>
      <c r="Q131" s="1435">
        <f>IF($Y$9&gt;0,'3 pr-2'!AB132,0)</f>
        <v>0</v>
      </c>
      <c r="R131" s="545">
        <f>SUM('3 pr-2'!AK132)</f>
        <v>44531</v>
      </c>
      <c r="S131" s="214"/>
      <c r="T131" s="216" t="str">
        <f t="shared" si="51"/>
        <v>–</v>
      </c>
      <c r="U131" s="216"/>
      <c r="V131" s="1546">
        <f>IF(S131&gt;0,'IV-3'!K131,0)</f>
        <v>0</v>
      </c>
      <c r="W131" s="1544">
        <f t="shared" si="26"/>
        <v>0</v>
      </c>
    </row>
    <row r="132" spans="1:23" ht="36.75" x14ac:dyDescent="0.25">
      <c r="A132" s="182" t="str">
        <f>CONCATENATE('3 pr-2'!A133)</f>
        <v>2.1.2.1.12</v>
      </c>
      <c r="B132" s="259" t="str">
        <f>CONCATENATE('3 pr-2'!B133)</f>
        <v>R01-6609-274710-2222</v>
      </c>
      <c r="C132" s="309" t="str">
        <f>CONCATENATE('ketv. 2'!B132)</f>
        <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96">
        <f>IF(S132&gt;0,'3 pr-2'!L133,0)</f>
        <v>0</v>
      </c>
      <c r="L132" s="1296">
        <f>IF(S132&gt;0,'3 pr-2'!O133,0)</f>
        <v>0</v>
      </c>
      <c r="M132" s="1296">
        <f>IF(S132&gt;0,'3 pr-2'!R133,0)</f>
        <v>0</v>
      </c>
      <c r="N132" s="1296">
        <f>IF(S132&gt;0,'3 pr-2'!U133,0)</f>
        <v>0</v>
      </c>
      <c r="O132" s="1296">
        <f>IF(S132&gt;0,'3 pr-2'!X133,0)</f>
        <v>0</v>
      </c>
      <c r="P132" s="1296">
        <f>IF(S132&gt;0,'3 pr-2'!AA133,0)</f>
        <v>0</v>
      </c>
      <c r="Q132" s="1435">
        <f>IF($Y$9&gt;0,'3 pr-2'!AB133,0)</f>
        <v>0</v>
      </c>
      <c r="R132" s="545">
        <f>SUM('3 pr-2'!AK133)</f>
        <v>44227</v>
      </c>
      <c r="S132" s="214"/>
      <c r="T132" s="216" t="str">
        <f t="shared" si="51"/>
        <v>–</v>
      </c>
      <c r="U132" s="216"/>
      <c r="V132" s="1546">
        <f>IF(S132&gt;0,'IV-3'!K132,0)</f>
        <v>0</v>
      </c>
      <c r="W132" s="1544">
        <f t="shared" si="26"/>
        <v>0</v>
      </c>
    </row>
    <row r="133" spans="1:23" ht="37.5" thickBot="1" x14ac:dyDescent="0.3">
      <c r="A133" s="182" t="str">
        <f>CONCATENATE('3 pr-2'!A134)</f>
        <v>2.1.2.1.13</v>
      </c>
      <c r="B133" s="259" t="str">
        <f>CONCATENATE('3 pr-2'!B134)</f>
        <v>R01-6609-470000-2223</v>
      </c>
      <c r="C133" s="309" t="str">
        <f>CONCATENATE('ketv. 2'!B133)</f>
        <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96">
        <f>IF(S133&gt;0,'3 pr-2'!L134,0)</f>
        <v>0</v>
      </c>
      <c r="L133" s="1296">
        <f>IF(S133&gt;0,'3 pr-2'!O134,0)</f>
        <v>0</v>
      </c>
      <c r="M133" s="1296">
        <f>IF(S133&gt;0,'3 pr-2'!R134,0)</f>
        <v>0</v>
      </c>
      <c r="N133" s="1296">
        <f>IF(S133&gt;0,'3 pr-2'!U134,0)</f>
        <v>0</v>
      </c>
      <c r="O133" s="1296">
        <f>IF(S133&gt;0,'3 pr-2'!X134,0)</f>
        <v>0</v>
      </c>
      <c r="P133" s="1296">
        <f>IF(S133&gt;0,'3 pr-2'!AA134,0)</f>
        <v>0</v>
      </c>
      <c r="Q133" s="1435">
        <f>IF($Y$9&gt;0,'3 pr-2'!AB134,0)</f>
        <v>0</v>
      </c>
      <c r="R133" s="545">
        <f>SUM('3 pr-2'!AK134)</f>
        <v>43830</v>
      </c>
      <c r="S133" s="214"/>
      <c r="T133" s="216" t="str">
        <f t="shared" ref="T133" si="52">IF(R133-S133&lt;0,(R133-S133)/365,"–")</f>
        <v>–</v>
      </c>
      <c r="U133" s="1184"/>
      <c r="V133" s="1546">
        <f>IF(S133&gt;0,'IV-3'!K133,0)</f>
        <v>0</v>
      </c>
      <c r="W133" s="1544">
        <f t="shared" si="26"/>
        <v>0</v>
      </c>
    </row>
    <row r="134" spans="1:23" ht="41.25" customHeight="1" thickBot="1" x14ac:dyDescent="0.3">
      <c r="A134" s="326" t="str">
        <f>CONCATENATE('3 pr-2'!A135)</f>
        <v>2.1.2.2</v>
      </c>
      <c r="B134" s="2025" t="str">
        <f>CONCATENATE('3 pr-2'!B135)</f>
        <v>Priemonė:
Sveikos gyvensenos skatinimas regioniniu lygiu</v>
      </c>
      <c r="C134" s="2026"/>
      <c r="D134" s="2026"/>
      <c r="E134" s="2026"/>
      <c r="F134" s="2026"/>
      <c r="G134" s="2026"/>
      <c r="H134" s="2026"/>
      <c r="I134" s="2026"/>
      <c r="J134" s="2027"/>
      <c r="K134" s="1455">
        <f t="shared" ref="K134:Q134" si="53">SUM(K135:K139)</f>
        <v>0</v>
      </c>
      <c r="L134" s="1455">
        <f t="shared" si="53"/>
        <v>0</v>
      </c>
      <c r="M134" s="1455">
        <f t="shared" si="53"/>
        <v>0</v>
      </c>
      <c r="N134" s="1455">
        <f t="shared" si="53"/>
        <v>0</v>
      </c>
      <c r="O134" s="1455">
        <f t="shared" si="53"/>
        <v>0</v>
      </c>
      <c r="P134" s="1455">
        <f t="shared" si="53"/>
        <v>0</v>
      </c>
      <c r="Q134" s="1455">
        <f t="shared" si="53"/>
        <v>0</v>
      </c>
      <c r="R134" s="639"/>
      <c r="S134" s="639"/>
      <c r="T134" s="216" t="str">
        <f t="shared" si="50"/>
        <v>–</v>
      </c>
      <c r="U134" s="397"/>
      <c r="V134" s="1544"/>
      <c r="W134" s="1544">
        <f t="shared" si="26"/>
        <v>0</v>
      </c>
    </row>
    <row r="135" spans="1:23" ht="36.75" x14ac:dyDescent="0.25">
      <c r="A135" s="644" t="str">
        <f>CONCATENATE('3 pr-2'!A136)</f>
        <v>2.1.2.2.1</v>
      </c>
      <c r="B135" s="259" t="str">
        <f>CONCATENATE('3 pr-2'!B136)</f>
        <v>R01-6630-475000-2221</v>
      </c>
      <c r="C135" s="422" t="str">
        <f>CONCATENATE('ketv. 2'!B135)</f>
        <v>08.4.2-ESFA-R-630-11-0004</v>
      </c>
      <c r="D135" s="644" t="str">
        <f>CONCATENATE('3 pr-2'!D136)</f>
        <v>Sveikos gyvensenos skatinimas Alytaus rajone</v>
      </c>
      <c r="E135" s="644" t="str">
        <f>CONCATENATE('3 pr-2'!E136)</f>
        <v>Alytaus rajono savivaldybės visuomenės sveikatos biuras</v>
      </c>
      <c r="F135" s="644" t="str">
        <f>CONCATENATE('3 pr-2'!F136)</f>
        <v>Lietuvos Respublikos Sveikatos apsaugos ministerija</v>
      </c>
      <c r="G135" s="644" t="str">
        <f>CONCATENATE('3 pr-2'!G136)</f>
        <v>Alytaus r. sav.</v>
      </c>
      <c r="H135" s="644" t="str">
        <f>CONCATENATE('3 pr-2'!H136)</f>
        <v>08.4.2-ESFA-R-630</v>
      </c>
      <c r="I135" s="644" t="str">
        <f>CONCATENATE('3 pr-2'!I136)</f>
        <v>R</v>
      </c>
      <c r="J135" s="644" t="str">
        <f>CONCATENATE('3 pr-2'!J136)</f>
        <v>-</v>
      </c>
      <c r="K135" s="1296">
        <f>IF(S135&gt;0,'3 pr-2'!L136,0)</f>
        <v>0</v>
      </c>
      <c r="L135" s="1296">
        <f>IF(S135&gt;0,'3 pr-2'!O136,0)</f>
        <v>0</v>
      </c>
      <c r="M135" s="1296">
        <f>IF(S135&gt;0,'3 pr-2'!R136,0)</f>
        <v>0</v>
      </c>
      <c r="N135" s="1296">
        <f>IF(S135&gt;0,'3 pr-2'!U136,0)</f>
        <v>0</v>
      </c>
      <c r="O135" s="1296">
        <f>IF(S135&gt;0,'3 pr-2'!X136,0)</f>
        <v>0</v>
      </c>
      <c r="P135" s="1296">
        <f>IF(S135&gt;0,'3 pr-2'!AA136,0)</f>
        <v>0</v>
      </c>
      <c r="Q135" s="1435">
        <f>IF($Y$9&gt;0,'3 pr-2'!AB136,0)</f>
        <v>0</v>
      </c>
      <c r="R135" s="649">
        <f>SUM('3 pr-2'!AK136)</f>
        <v>44380</v>
      </c>
      <c r="S135" s="644"/>
      <c r="T135" s="216" t="str">
        <f t="shared" si="50"/>
        <v>–</v>
      </c>
      <c r="U135" s="182"/>
      <c r="V135" s="1546">
        <f>IF(S135&gt;0,'IV-3'!K135,0)</f>
        <v>0</v>
      </c>
      <c r="W135" s="1544">
        <f t="shared" si="26"/>
        <v>0</v>
      </c>
    </row>
    <row r="136" spans="1:23" ht="36.75" x14ac:dyDescent="0.25">
      <c r="A136" s="644" t="str">
        <f>CONCATENATE('3 pr-2'!A137)</f>
        <v>2.1.2.2.2</v>
      </c>
      <c r="B136" s="259" t="str">
        <f>CONCATENATE('3 pr-2'!B137)</f>
        <v>R01-6630-470000-2222</v>
      </c>
      <c r="C136" s="422" t="str">
        <f>CONCATENATE('ketv. 2'!B136)</f>
        <v>08.4.2-ESFA-R-630-11-0001</v>
      </c>
      <c r="D136" s="644" t="str">
        <f>CONCATENATE('3 pr-2'!D137)</f>
        <v>Mažais žingsneliais – sveikos gyvensenos link</v>
      </c>
      <c r="E136" s="644" t="str">
        <f>CONCATENATE('3 pr-2'!E137)</f>
        <v>Alytaus miesto savivaldybės administracija</v>
      </c>
      <c r="F136" s="644" t="str">
        <f>CONCATENATE('3 pr-2'!F137)</f>
        <v>Lietuvos Respublikos Sveikatos apsaugos ministerija</v>
      </c>
      <c r="G136" s="644" t="str">
        <f>CONCATENATE('3 pr-2'!G137)</f>
        <v>Alytaus m. sav.</v>
      </c>
      <c r="H136" s="644" t="str">
        <f>CONCATENATE('3 pr-2'!H137)</f>
        <v>08.4.2-ESFA-R-630</v>
      </c>
      <c r="I136" s="644" t="str">
        <f>CONCATENATE('3 pr-2'!I137)</f>
        <v>R</v>
      </c>
      <c r="J136" s="644" t="str">
        <f>CONCATENATE('3 pr-2'!J137)</f>
        <v>-</v>
      </c>
      <c r="K136" s="1296">
        <f>IF(S136&gt;0,'3 pr-2'!L137,0)</f>
        <v>0</v>
      </c>
      <c r="L136" s="1296">
        <f>IF(S136&gt;0,'3 pr-2'!O137,0)</f>
        <v>0</v>
      </c>
      <c r="M136" s="1296">
        <f>IF(S136&gt;0,'3 pr-2'!R137,0)</f>
        <v>0</v>
      </c>
      <c r="N136" s="1296">
        <f>IF(S136&gt;0,'3 pr-2'!U137,0)</f>
        <v>0</v>
      </c>
      <c r="O136" s="1296">
        <f>IF(S136&gt;0,'3 pr-2'!X137,0)</f>
        <v>0</v>
      </c>
      <c r="P136" s="1296">
        <f>IF(S136&gt;0,'3 pr-2'!AA137,0)</f>
        <v>0</v>
      </c>
      <c r="Q136" s="1435">
        <f>IF($Y$9&gt;0,'3 pr-2'!AB137,0)</f>
        <v>0</v>
      </c>
      <c r="R136" s="649">
        <f>SUM('3 pr-2'!AK137)</f>
        <v>44380</v>
      </c>
      <c r="S136" s="644"/>
      <c r="T136" s="216" t="str">
        <f t="shared" si="50"/>
        <v>–</v>
      </c>
      <c r="U136" s="182"/>
      <c r="V136" s="1546">
        <f>IF(S136&gt;0,'IV-3'!K136,0)</f>
        <v>0</v>
      </c>
      <c r="W136" s="1544">
        <f t="shared" si="26"/>
        <v>0</v>
      </c>
    </row>
    <row r="137" spans="1:23" ht="36.75" x14ac:dyDescent="0.25">
      <c r="A137" s="644" t="str">
        <f>CONCATENATE('3 pr-2'!A138)</f>
        <v>2.1.2.2.3</v>
      </c>
      <c r="B137" s="259" t="str">
        <f>CONCATENATE('3 pr-2'!B138)</f>
        <v>R01-6630-470000-2223</v>
      </c>
      <c r="C137" s="422" t="str">
        <f>CONCATENATE('ketv. 2'!B137)</f>
        <v>08.4.2-ESFA-R-630-11-0005</v>
      </c>
      <c r="D137" s="644" t="str">
        <f>CONCATENATE('3 pr-2'!D138)</f>
        <v>Sveikos gyvensenos skatinimas Varėnos rajono savivaldybėje</v>
      </c>
      <c r="E137" s="644" t="str">
        <f>CONCATENATE('3 pr-2'!E138)</f>
        <v>Varėnos rajono savivaldybės visuomenės sveikatos biuras</v>
      </c>
      <c r="F137" s="644" t="str">
        <f>CONCATENATE('3 pr-2'!F138)</f>
        <v>Lietuvos Respublikos Sveikatos apsaugos ministerija</v>
      </c>
      <c r="G137" s="644" t="str">
        <f>CONCATENATE('3 pr-2'!G138)</f>
        <v>Varėnos r. sav.</v>
      </c>
      <c r="H137" s="644" t="str">
        <f>CONCATENATE('3 pr-2'!H138)</f>
        <v>08.4.2-ESFA-R-630</v>
      </c>
      <c r="I137" s="644" t="str">
        <f>CONCATENATE('3 pr-2'!I138)</f>
        <v>R</v>
      </c>
      <c r="J137" s="644" t="str">
        <f>CONCATENATE('3 pr-2'!J138)</f>
        <v>-</v>
      </c>
      <c r="K137" s="1296">
        <f>IF(S137&gt;0,'3 pr-2'!L138,0)</f>
        <v>0</v>
      </c>
      <c r="L137" s="1296">
        <f>IF(S137&gt;0,'3 pr-2'!O138,0)</f>
        <v>0</v>
      </c>
      <c r="M137" s="1296">
        <f>IF(S137&gt;0,'3 pr-2'!R138,0)</f>
        <v>0</v>
      </c>
      <c r="N137" s="1296">
        <f>IF(S137&gt;0,'3 pr-2'!U138,0)</f>
        <v>0</v>
      </c>
      <c r="O137" s="1296">
        <f>IF(S137&gt;0,'3 pr-2'!X138,0)</f>
        <v>0</v>
      </c>
      <c r="P137" s="1296">
        <f>IF(S137&gt;0,'3 pr-2'!AA138,0)</f>
        <v>0</v>
      </c>
      <c r="Q137" s="1435">
        <f>IF($Y$9&gt;0,'3 pr-2'!AB138,0)</f>
        <v>0</v>
      </c>
      <c r="R137" s="649">
        <f>SUM('3 pr-2'!AK138)</f>
        <v>44561</v>
      </c>
      <c r="S137" s="644"/>
      <c r="T137" s="216" t="str">
        <f t="shared" si="50"/>
        <v>–</v>
      </c>
      <c r="U137" s="182"/>
      <c r="V137" s="1546">
        <f>IF(S137&gt;0,'IV-3'!K137,0)</f>
        <v>0</v>
      </c>
      <c r="W137" s="1544">
        <f t="shared" ref="W137:W181" si="54">IF(S137&gt;0,1,0)</f>
        <v>0</v>
      </c>
    </row>
    <row r="138" spans="1:23" ht="36.75" x14ac:dyDescent="0.25">
      <c r="A138" s="644" t="str">
        <f>CONCATENATE('3 pr-2'!A139)</f>
        <v>2.1.2.2.4.</v>
      </c>
      <c r="B138" s="259" t="str">
        <f>CONCATENATE('3 pr-2'!B139)</f>
        <v>R01-6630-470000-2224</v>
      </c>
      <c r="C138" s="422" t="str">
        <f>CONCATENATE('ketv. 2'!B138)</f>
        <v>08.4.2-ESFA-R-630-11-0003</v>
      </c>
      <c r="D138" s="644" t="str">
        <f>CONCATENATE('3 pr-2'!D139)</f>
        <v>Sveika bendruomenė – stipri visuomenė</v>
      </c>
      <c r="E138" s="644" t="str">
        <f>CONCATENATE('3 pr-2'!E139)</f>
        <v>Druskininkų savivaldybės visuomenės sveikatos biuras</v>
      </c>
      <c r="F138" s="644" t="str">
        <f>CONCATENATE('3 pr-2'!F139)</f>
        <v>Lietuvos Respublikos Sveikatos apsaugos ministerija</v>
      </c>
      <c r="G138" s="644" t="str">
        <f>CONCATENATE('3 pr-2'!G139)</f>
        <v>Druskininkų sav.</v>
      </c>
      <c r="H138" s="644" t="str">
        <f>CONCATENATE('3 pr-2'!H139)</f>
        <v>08.4.2-ESFA-R-630</v>
      </c>
      <c r="I138" s="644" t="str">
        <f>CONCATENATE('3 pr-2'!I139)</f>
        <v>R</v>
      </c>
      <c r="J138" s="644" t="str">
        <f>CONCATENATE('3 pr-2'!J139)</f>
        <v>-</v>
      </c>
      <c r="K138" s="1296">
        <f>IF(S138&gt;0,'3 pr-2'!L139,0)</f>
        <v>0</v>
      </c>
      <c r="L138" s="1296">
        <f>IF(S138&gt;0,'3 pr-2'!O139,0)</f>
        <v>0</v>
      </c>
      <c r="M138" s="1296">
        <f>IF(S138&gt;0,'3 pr-2'!R139,0)</f>
        <v>0</v>
      </c>
      <c r="N138" s="1296">
        <f>IF(S138&gt;0,'3 pr-2'!U139,0)</f>
        <v>0</v>
      </c>
      <c r="O138" s="1296">
        <f>IF(S138&gt;0,'3 pr-2'!X139,0)</f>
        <v>0</v>
      </c>
      <c r="P138" s="1296">
        <f>IF(S138&gt;0,'3 pr-2'!AA139,0)</f>
        <v>0</v>
      </c>
      <c r="Q138" s="1435">
        <f>IF($Y$9&gt;0,'3 pr-2'!AB139,0)</f>
        <v>0</v>
      </c>
      <c r="R138" s="649">
        <f>SUM('3 pr-2'!AK139)</f>
        <v>44561</v>
      </c>
      <c r="S138" s="644"/>
      <c r="T138" s="216" t="str">
        <f t="shared" si="50"/>
        <v>–</v>
      </c>
      <c r="U138" s="182"/>
      <c r="V138" s="1546">
        <f>IF(S138&gt;0,'IV-3'!K138,0)</f>
        <v>0</v>
      </c>
      <c r="W138" s="1544">
        <f t="shared" si="54"/>
        <v>0</v>
      </c>
    </row>
    <row r="139" spans="1:23" ht="37.5" thickBot="1" x14ac:dyDescent="0.3">
      <c r="A139" s="644" t="str">
        <f>CONCATENATE('3 pr-2'!A140)</f>
        <v>2.1.2.2.5</v>
      </c>
      <c r="B139" s="259" t="str">
        <f>CONCATENATE('3 pr-2'!B140)</f>
        <v>R01-6630-470000-2225</v>
      </c>
      <c r="C139" s="422" t="str">
        <f>CONCATENATE('ketv. 2'!B139)</f>
        <v>08.4.2-ESFA-R-630-11-0002</v>
      </c>
      <c r="D139" s="644" t="str">
        <f>CONCATENATE('3 pr-2'!D140)</f>
        <v>Sveikos gyvensenos skatinimas Lazdijų rajono savivaldybėje</v>
      </c>
      <c r="E139" s="644" t="str">
        <f>CONCATENATE('3 pr-2'!E140)</f>
        <v>Lazdijų rajono savivaldybės visuomenės sveikatos biuras</v>
      </c>
      <c r="F139" s="644" t="str">
        <f>CONCATENATE('3 pr-2'!F140)</f>
        <v>Lietuvos Respublikos Sveikatos apsaugos ministerija</v>
      </c>
      <c r="G139" s="644" t="str">
        <f>CONCATENATE('3 pr-2'!G140)</f>
        <v>Lazdijų r. sav.</v>
      </c>
      <c r="H139" s="644" t="str">
        <f>CONCATENATE('3 pr-2'!H140)</f>
        <v>08.4.2-ESFA-R-630</v>
      </c>
      <c r="I139" s="644" t="str">
        <f>CONCATENATE('3 pr-2'!I140)</f>
        <v>R</v>
      </c>
      <c r="J139" s="644" t="str">
        <f>CONCATENATE('3 pr-2'!J140)</f>
        <v>-</v>
      </c>
      <c r="K139" s="1296">
        <f>IF(S139&gt;0,'3 pr-2'!L140,0)</f>
        <v>0</v>
      </c>
      <c r="L139" s="1296">
        <f>IF(S139&gt;0,'3 pr-2'!O140,0)</f>
        <v>0</v>
      </c>
      <c r="M139" s="1296">
        <f>IF(S139&gt;0,'3 pr-2'!R140,0)</f>
        <v>0</v>
      </c>
      <c r="N139" s="1296">
        <f>IF(S139&gt;0,'3 pr-2'!U140,0)</f>
        <v>0</v>
      </c>
      <c r="O139" s="1296">
        <f>IF(S139&gt;0,'3 pr-2'!X140,0)</f>
        <v>0</v>
      </c>
      <c r="P139" s="1296">
        <f>IF(S139&gt;0,'3 pr-2'!AA140,0)</f>
        <v>0</v>
      </c>
      <c r="Q139" s="1435">
        <f>IF($Y$9&gt;0,'3 pr-2'!AB140,0)</f>
        <v>0</v>
      </c>
      <c r="R139" s="649">
        <f>SUM('3 pr-2'!AK140)</f>
        <v>44561</v>
      </c>
      <c r="S139" s="644"/>
      <c r="T139" s="216" t="str">
        <f t="shared" si="50"/>
        <v>–</v>
      </c>
      <c r="U139" s="182"/>
      <c r="V139" s="1546">
        <f>IF(S139&gt;0,'IV-3'!K139,0)</f>
        <v>0</v>
      </c>
      <c r="W139" s="1544">
        <f t="shared" si="54"/>
        <v>0</v>
      </c>
    </row>
    <row r="140" spans="1:23" ht="41.25" customHeight="1" thickBot="1" x14ac:dyDescent="0.3">
      <c r="A140" s="326" t="str">
        <f>CONCATENATE('3 pr-2'!A141)</f>
        <v>2.1.2.3</v>
      </c>
      <c r="B140" s="2025" t="str">
        <f>CONCATENATE('3 pr-2'!B141)</f>
        <v>Priemonė:
Priemonių, gerinančių ambulatorinių sveikatos priežiūros paslaugų prieinamumą tuberkulioze sergantiems pacientams, įgyvendinimas</v>
      </c>
      <c r="C140" s="2026"/>
      <c r="D140" s="2026"/>
      <c r="E140" s="2026"/>
      <c r="F140" s="2026"/>
      <c r="G140" s="2026"/>
      <c r="H140" s="2026"/>
      <c r="I140" s="2026"/>
      <c r="J140" s="2027"/>
      <c r="K140" s="1455">
        <f>SUM(K141:K145)</f>
        <v>0</v>
      </c>
      <c r="L140" s="1455">
        <f t="shared" ref="L140:Q140" si="55">SUM(L141:L145)</f>
        <v>0</v>
      </c>
      <c r="M140" s="1455">
        <f t="shared" si="55"/>
        <v>0</v>
      </c>
      <c r="N140" s="1455">
        <f t="shared" si="55"/>
        <v>0</v>
      </c>
      <c r="O140" s="1455">
        <f t="shared" si="55"/>
        <v>0</v>
      </c>
      <c r="P140" s="1455">
        <f t="shared" si="55"/>
        <v>0</v>
      </c>
      <c r="Q140" s="1455">
        <f t="shared" si="55"/>
        <v>0</v>
      </c>
      <c r="R140" s="639"/>
      <c r="S140" s="639"/>
      <c r="T140" s="216" t="str">
        <f t="shared" si="50"/>
        <v>–</v>
      </c>
      <c r="U140" s="397"/>
      <c r="V140" s="1544"/>
      <c r="W140" s="1544">
        <f t="shared" si="54"/>
        <v>0</v>
      </c>
    </row>
    <row r="141" spans="1:23" ht="48.75" x14ac:dyDescent="0.25">
      <c r="A141" s="644" t="str">
        <f>CONCATENATE('3 pr-2'!A142)</f>
        <v>2.1.2.3.1</v>
      </c>
      <c r="B141" s="259" t="str">
        <f>CONCATENATE('3 pr-2'!B142)</f>
        <v>R01-6615-475000-2231</v>
      </c>
      <c r="C141" s="422" t="str">
        <f>CONCATENATE('ketv. 2'!B141)</f>
        <v>08.4.2-ESFA-R-615-11-0004</v>
      </c>
      <c r="D141" s="644" t="str">
        <f>CONCATENATE('3 pr-2'!D142)</f>
        <v>Priemonių gerinančių ambulatorinių sveikatos priežiūros paslaugų prieinamumą tuberkulioze sergantiems asmenims, Alytaus rajone įgyvendinimas</v>
      </c>
      <c r="E141" s="644" t="str">
        <f>CONCATENATE('3 pr-2'!E142)</f>
        <v>VšĮ Alytaus rajono savivaldybės pirminės sveikatos priežiūros centras</v>
      </c>
      <c r="F141" s="644" t="str">
        <f>CONCATENATE('3 pr-2'!F142)</f>
        <v>Lietuvos Respublikos Sveikatos apsaugos ministerija</v>
      </c>
      <c r="G141" s="644" t="str">
        <f>CONCATENATE('3 pr-2'!G142)</f>
        <v>Alytaus r. sav.</v>
      </c>
      <c r="H141" s="648" t="str">
        <f>CONCATENATE('3 pr-2'!H142)</f>
        <v>08.4.2-ESFA-R-615</v>
      </c>
      <c r="I141" s="648" t="str">
        <f>CONCATENATE('3 pr-2'!I142)</f>
        <v>R</v>
      </c>
      <c r="J141" s="648" t="str">
        <f>CONCATENATE('3 pr-2'!J142)</f>
        <v>-</v>
      </c>
      <c r="K141" s="1296">
        <f>IF(S141&gt;0,'3 pr-2'!L142,0)</f>
        <v>0</v>
      </c>
      <c r="L141" s="1296">
        <f>IF(S141&gt;0,'3 pr-2'!O142,0)</f>
        <v>0</v>
      </c>
      <c r="M141" s="1296">
        <f>IF(S141&gt;0,'3 pr-2'!R142,0)</f>
        <v>0</v>
      </c>
      <c r="N141" s="1296">
        <f>IF(S141&gt;0,'3 pr-2'!U142,0)</f>
        <v>0</v>
      </c>
      <c r="O141" s="1296">
        <f>IF(S141&gt;0,'3 pr-2'!X142,0)</f>
        <v>0</v>
      </c>
      <c r="P141" s="1296">
        <f>IF(S141&gt;0,'3 pr-2'!AA142,0)</f>
        <v>0</v>
      </c>
      <c r="Q141" s="1435">
        <f>IF($Y$9&gt;0,'3 pr-2'!AB142,0)</f>
        <v>0</v>
      </c>
      <c r="R141" s="649">
        <f>SUM('3 pr-2'!AK142)</f>
        <v>44686</v>
      </c>
      <c r="S141" s="644"/>
      <c r="T141" s="216" t="str">
        <f t="shared" si="50"/>
        <v>–</v>
      </c>
      <c r="U141" s="182"/>
      <c r="V141" s="1546">
        <f>IF(S141&gt;0,'IV-3'!K141,0)</f>
        <v>0</v>
      </c>
      <c r="W141" s="1544">
        <f t="shared" si="54"/>
        <v>0</v>
      </c>
    </row>
    <row r="142" spans="1:23" ht="36.75" x14ac:dyDescent="0.25">
      <c r="A142" s="644" t="str">
        <f>CONCATENATE('3 pr-2'!A143)</f>
        <v>2.1.2.3.2</v>
      </c>
      <c r="B142" s="259" t="str">
        <f>CONCATENATE('3 pr-2'!B143)</f>
        <v>R01-6615-470000-2232</v>
      </c>
      <c r="C142" s="422" t="str">
        <f>CONCATENATE('ketv. 2'!B142)</f>
        <v>08.4.2-ESFA-R-615-11-0005</v>
      </c>
      <c r="D142" s="644" t="str">
        <f>CONCATENATE('3 pr-2'!D143)</f>
        <v>Ambulatorinių sveikatos priežiūros paslaugų gerinimas tuberkulioze sergantiems asmenims</v>
      </c>
      <c r="E142" s="644" t="str">
        <f>CONCATENATE('3 pr-2'!E143)</f>
        <v>Alytaus miesto savivaldybės administracija</v>
      </c>
      <c r="F142" s="644" t="str">
        <f>CONCATENATE('3 pr-2'!F143)</f>
        <v>Lietuvos Respublikos Sveikatos apsaugos ministerija</v>
      </c>
      <c r="G142" s="644" t="str">
        <f>CONCATENATE('3 pr-2'!G143)</f>
        <v>Alytaus m. sav.</v>
      </c>
      <c r="H142" s="648" t="str">
        <f>CONCATENATE('3 pr-2'!H143)</f>
        <v>08.4.2-ESFA-R-615</v>
      </c>
      <c r="I142" s="648" t="str">
        <f>CONCATENATE('3 pr-2'!I143)</f>
        <v>R</v>
      </c>
      <c r="J142" s="648" t="str">
        <f>CONCATENATE('3 pr-2'!J143)</f>
        <v>-</v>
      </c>
      <c r="K142" s="1296">
        <f>IF(S142&gt;0,'3 pr-2'!L143,0)</f>
        <v>0</v>
      </c>
      <c r="L142" s="1296">
        <f>IF(S142&gt;0,'3 pr-2'!O143,0)</f>
        <v>0</v>
      </c>
      <c r="M142" s="1296">
        <f>IF(S142&gt;0,'3 pr-2'!R143,0)</f>
        <v>0</v>
      </c>
      <c r="N142" s="1296">
        <f>IF(S142&gt;0,'3 pr-2'!U143,0)</f>
        <v>0</v>
      </c>
      <c r="O142" s="1296">
        <f>IF(S142&gt;0,'3 pr-2'!X143,0)</f>
        <v>0</v>
      </c>
      <c r="P142" s="1296">
        <f>IF(S142&gt;0,'3 pr-2'!AA143,0)</f>
        <v>0</v>
      </c>
      <c r="Q142" s="1435">
        <f>IF($Y$9&gt;0,'3 pr-2'!AB143,0)</f>
        <v>0</v>
      </c>
      <c r="R142" s="649">
        <f>SUM('3 pr-2'!AK143)</f>
        <v>44449</v>
      </c>
      <c r="S142" s="644"/>
      <c r="T142" s="216" t="str">
        <f t="shared" si="50"/>
        <v>–</v>
      </c>
      <c r="U142" s="182"/>
      <c r="V142" s="1546">
        <f>IF(S142&gt;0,'IV-3'!K142,0)</f>
        <v>0</v>
      </c>
      <c r="W142" s="1544">
        <f t="shared" si="54"/>
        <v>0</v>
      </c>
    </row>
    <row r="143" spans="1:23" ht="36.75" x14ac:dyDescent="0.25">
      <c r="A143" s="644" t="str">
        <f>CONCATENATE('3 pr-2'!A144)</f>
        <v>2.1.2.3.3</v>
      </c>
      <c r="B143" s="259" t="str">
        <f>CONCATENATE('3 pr-2'!B144)</f>
        <v>R01-6615-470000-2233</v>
      </c>
      <c r="C143" s="422" t="str">
        <f>CONCATENATE('ketv. 2'!B143)</f>
        <v>08.4.2-ESFA-R-615-11-0001</v>
      </c>
      <c r="D143" s="644" t="str">
        <f>CONCATENATE('3 pr-2'!D144)</f>
        <v xml:space="preserve">Paslaugų tuberkulioze sergantiems asmenims gerinimas Lazdijų rajono savivaldybėje </v>
      </c>
      <c r="E143" s="644" t="str">
        <f>CONCATENATE('3 pr-2'!E144)</f>
        <v>Lazdijų rajono savivaldybės administracija</v>
      </c>
      <c r="F143" s="644" t="str">
        <f>CONCATENATE('3 pr-2'!F144)</f>
        <v>Lietuvos Respublikos Sveikatos apsaugos ministerija</v>
      </c>
      <c r="G143" s="644" t="str">
        <f>CONCATENATE('3 pr-2'!G144)</f>
        <v>Lazdijų r. sav.</v>
      </c>
      <c r="H143" s="648" t="str">
        <f>CONCATENATE('3 pr-2'!H144)</f>
        <v>08.4.2-ESFA-R-615</v>
      </c>
      <c r="I143" s="648" t="str">
        <f>CONCATENATE('3 pr-2'!I144)</f>
        <v>R</v>
      </c>
      <c r="J143" s="648" t="str">
        <f>CONCATENATE('3 pr-2'!J144)</f>
        <v>-</v>
      </c>
      <c r="K143" s="1296">
        <f>IF(S143&gt;0,'3 pr-2'!L144,0)</f>
        <v>0</v>
      </c>
      <c r="L143" s="1296">
        <f>IF(S143&gt;0,'3 pr-2'!O144,0)</f>
        <v>0</v>
      </c>
      <c r="M143" s="1296">
        <f>IF(S143&gt;0,'3 pr-2'!R144,0)</f>
        <v>0</v>
      </c>
      <c r="N143" s="1296">
        <f>IF(S143&gt;0,'3 pr-2'!U144,0)</f>
        <v>0</v>
      </c>
      <c r="O143" s="1296">
        <f>IF(S143&gt;0,'3 pr-2'!X144,0)</f>
        <v>0</v>
      </c>
      <c r="P143" s="1296">
        <f>IF(S143&gt;0,'3 pr-2'!AA144,0)</f>
        <v>0</v>
      </c>
      <c r="Q143" s="1435">
        <f>IF($Y$9&gt;0,'3 pr-2'!AB144,0)</f>
        <v>0</v>
      </c>
      <c r="R143" s="649">
        <f>SUM('3 pr-2'!AK144)</f>
        <v>44561</v>
      </c>
      <c r="S143" s="644"/>
      <c r="T143" s="216" t="str">
        <f t="shared" si="50"/>
        <v>–</v>
      </c>
      <c r="U143" s="182"/>
      <c r="V143" s="1546">
        <f>IF(S143&gt;0,'IV-3'!K143,0)</f>
        <v>0</v>
      </c>
      <c r="W143" s="1544">
        <f t="shared" si="54"/>
        <v>0</v>
      </c>
    </row>
    <row r="144" spans="1:23" ht="36.75" x14ac:dyDescent="0.25">
      <c r="A144" s="644" t="str">
        <f>CONCATENATE('3 pr-2'!A145)</f>
        <v>2.1.2.3.4</v>
      </c>
      <c r="B144" s="259" t="str">
        <f>CONCATENATE('3 pr-2'!B145)</f>
        <v>R01-6615-470000-2234</v>
      </c>
      <c r="C144" s="422" t="str">
        <f>CONCATENATE('ketv. 2'!B144)</f>
        <v>08.4.2-ESFA-R-615-11-0002</v>
      </c>
      <c r="D144" s="644" t="str">
        <f>CONCATENATE('3 pr-2'!D145)</f>
        <v>Ambulatorinių sveikatos priežiūros paslaugų tuberkulioze sergantiems asmenims prieinamumo gerinimas Druskininkų savivaldybėje</v>
      </c>
      <c r="E144" s="644" t="str">
        <f>CONCATENATE('3 pr-2'!E145)</f>
        <v>Druskininkų pirminės sveikatos priežiūros centras</v>
      </c>
      <c r="F144" s="644" t="str">
        <f>CONCATENATE('3 pr-2'!F145)</f>
        <v>Lietuvos Respublikos Sveikatos apsaugos ministerija</v>
      </c>
      <c r="G144" s="644" t="str">
        <f>CONCATENATE('3 pr-2'!G145)</f>
        <v>Druskininkų sav.</v>
      </c>
      <c r="H144" s="648" t="str">
        <f>CONCATENATE('3 pr-2'!H145)</f>
        <v>08.4.2-ESFA-R-615</v>
      </c>
      <c r="I144" s="648" t="str">
        <f>CONCATENATE('3 pr-2'!I145)</f>
        <v>R</v>
      </c>
      <c r="J144" s="648" t="str">
        <f>CONCATENATE('3 pr-2'!J145)</f>
        <v>-</v>
      </c>
      <c r="K144" s="1296">
        <f>IF(S144&gt;0,'3 pr-2'!L145,0)</f>
        <v>0</v>
      </c>
      <c r="L144" s="1296">
        <f>IF(S144&gt;0,'3 pr-2'!O145,0)</f>
        <v>0</v>
      </c>
      <c r="M144" s="1296">
        <f>IF(S144&gt;0,'3 pr-2'!R145,0)</f>
        <v>0</v>
      </c>
      <c r="N144" s="1296">
        <f>IF(S144&gt;0,'3 pr-2'!U145,0)</f>
        <v>0</v>
      </c>
      <c r="O144" s="1296">
        <f>IF(S144&gt;0,'3 pr-2'!X145,0)</f>
        <v>0</v>
      </c>
      <c r="P144" s="1296">
        <f>IF(S144&gt;0,'3 pr-2'!AA145,0)</f>
        <v>0</v>
      </c>
      <c r="Q144" s="1435">
        <f>IF($Y$9&gt;0,'3 pr-2'!AB145,0)</f>
        <v>0</v>
      </c>
      <c r="R144" s="649">
        <f>SUM('3 pr-2'!AK145)</f>
        <v>44440</v>
      </c>
      <c r="S144" s="644"/>
      <c r="T144" s="216" t="str">
        <f t="shared" si="50"/>
        <v>–</v>
      </c>
      <c r="U144" s="182"/>
      <c r="V144" s="1546">
        <f>IF(S144&gt;0,'IV-3'!K144,0)</f>
        <v>0</v>
      </c>
      <c r="W144" s="1544">
        <f t="shared" si="54"/>
        <v>0</v>
      </c>
    </row>
    <row r="145" spans="1:23" ht="37.5" thickBot="1" x14ac:dyDescent="0.3">
      <c r="A145" s="644" t="str">
        <f>CONCATENATE('3 pr-2'!A146)</f>
        <v>2.1.2.3.5</v>
      </c>
      <c r="B145" s="259" t="str">
        <f>CONCATENATE('3 pr-2'!B146)</f>
        <v>R01-6615-470000-2235</v>
      </c>
      <c r="C145" s="422" t="str">
        <f>CONCATENATE('ketv. 2'!B145)</f>
        <v>08.4.2-ESFA-R-615-11-0003</v>
      </c>
      <c r="D145" s="644" t="str">
        <f>CONCATENATE('3 pr-2'!D146)</f>
        <v>Ambulatorinių sveikatos priežiūros paslaugų prieinamumo gerinimas tuberkulioze sergantiems asmenims Varėnos rajono savivaldybėje</v>
      </c>
      <c r="E145" s="644" t="str">
        <f>CONCATENATE('3 pr-2'!E146)</f>
        <v>Varėnos rajono savivaldybės administracija</v>
      </c>
      <c r="F145" s="644" t="str">
        <f>CONCATENATE('3 pr-2'!F146)</f>
        <v>Lietuvos Respublikos Sveikatos apsaugos ministerija</v>
      </c>
      <c r="G145" s="644" t="str">
        <f>CONCATENATE('3 pr-2'!G146)</f>
        <v>Varėnos r. sav.</v>
      </c>
      <c r="H145" s="648" t="str">
        <f>CONCATENATE('3 pr-2'!H146)</f>
        <v>08.4.2-ESFA-R-615</v>
      </c>
      <c r="I145" s="648" t="str">
        <f>CONCATENATE('3 pr-2'!I146)</f>
        <v>R</v>
      </c>
      <c r="J145" s="648" t="str">
        <f>CONCATENATE('3 pr-2'!J146)</f>
        <v>-</v>
      </c>
      <c r="K145" s="1296">
        <f>IF(S145&gt;0,'3 pr-2'!L146,0)</f>
        <v>0</v>
      </c>
      <c r="L145" s="1296">
        <f>IF(S145&gt;0,'3 pr-2'!O146,0)</f>
        <v>0</v>
      </c>
      <c r="M145" s="1296">
        <f>IF(S145&gt;0,'3 pr-2'!R146,0)</f>
        <v>0</v>
      </c>
      <c r="N145" s="1296">
        <f>IF(S145&gt;0,'3 pr-2'!U146,0)</f>
        <v>0</v>
      </c>
      <c r="O145" s="1296">
        <f>IF(S145&gt;0,'3 pr-2'!X146,0)</f>
        <v>0</v>
      </c>
      <c r="P145" s="1296">
        <f>IF(S145&gt;0,'3 pr-2'!AA146,0)</f>
        <v>0</v>
      </c>
      <c r="Q145" s="1435">
        <f>IF($Y$9&gt;0,'3 pr-2'!AB146,0)</f>
        <v>0</v>
      </c>
      <c r="R145" s="649">
        <f>SUM('3 pr-2'!AK146)</f>
        <v>44561</v>
      </c>
      <c r="S145" s="644"/>
      <c r="T145" s="216" t="str">
        <f t="shared" si="50"/>
        <v>–</v>
      </c>
      <c r="U145" s="182"/>
      <c r="V145" s="1546">
        <f>IF(S145&gt;0,'IV-3'!K145,0)</f>
        <v>0</v>
      </c>
      <c r="W145" s="1544">
        <f t="shared" si="54"/>
        <v>0</v>
      </c>
    </row>
    <row r="146" spans="1:23" ht="44.25" customHeight="1" thickBot="1" x14ac:dyDescent="0.3">
      <c r="A146" s="155" t="str">
        <f>CONCATENATE('3 pr-2'!A147)</f>
        <v>2.1.3.</v>
      </c>
      <c r="B146" s="2022" t="str">
        <f>CONCATENATE('3 pr-2'!B147)</f>
        <v>Uždavinys:
Socialinio būsto ir socialinių paslaugų prieinamumo pažeidžiamiausioms gyventojų grupėms padidinimas</v>
      </c>
      <c r="C146" s="2023"/>
      <c r="D146" s="2023"/>
      <c r="E146" s="2023"/>
      <c r="F146" s="2023"/>
      <c r="G146" s="2023"/>
      <c r="H146" s="2023"/>
      <c r="I146" s="2023"/>
      <c r="J146" s="2024"/>
      <c r="K146" s="1496">
        <f>SUM(K147+K153)</f>
        <v>0</v>
      </c>
      <c r="L146" s="1496">
        <f t="shared" ref="L146:P146" si="56">SUM(L147+L153)</f>
        <v>0</v>
      </c>
      <c r="M146" s="1496">
        <f t="shared" si="56"/>
        <v>0</v>
      </c>
      <c r="N146" s="1496">
        <f t="shared" si="56"/>
        <v>0</v>
      </c>
      <c r="O146" s="1496">
        <f t="shared" si="56"/>
        <v>0</v>
      </c>
      <c r="P146" s="1496">
        <f t="shared" si="56"/>
        <v>0</v>
      </c>
      <c r="Q146" s="1496">
        <f t="shared" ref="Q146" si="57">SUM(Q147+Q153)</f>
        <v>0</v>
      </c>
      <c r="R146" s="301" t="s">
        <v>690</v>
      </c>
      <c r="S146" s="302" t="s">
        <v>690</v>
      </c>
      <c r="T146" s="303" t="s">
        <v>690</v>
      </c>
      <c r="U146" s="303"/>
      <c r="V146" s="1544"/>
      <c r="W146" s="1544">
        <f t="shared" si="54"/>
        <v>1</v>
      </c>
    </row>
    <row r="147" spans="1:23" ht="42.75" customHeight="1" thickBot="1" x14ac:dyDescent="0.3">
      <c r="A147" s="326" t="str">
        <f>CONCATENATE('3 pr-2'!A148)</f>
        <v>2.1.3.1</v>
      </c>
      <c r="B147" s="2025" t="str">
        <f>CONCATENATE('3 pr-2'!B148)</f>
        <v>Priemonė:
Socialinių paslaugų infrastruktūros plėtra</v>
      </c>
      <c r="C147" s="2026"/>
      <c r="D147" s="2026"/>
      <c r="E147" s="2026"/>
      <c r="F147" s="2026"/>
      <c r="G147" s="2026"/>
      <c r="H147" s="2026"/>
      <c r="I147" s="2026"/>
      <c r="J147" s="2027"/>
      <c r="K147" s="1293">
        <f>SUM(K148:K152)</f>
        <v>0</v>
      </c>
      <c r="L147" s="1293">
        <f t="shared" ref="L147:P147" si="58">SUM(L148:L152)</f>
        <v>0</v>
      </c>
      <c r="M147" s="1293">
        <f t="shared" si="58"/>
        <v>0</v>
      </c>
      <c r="N147" s="1293">
        <f t="shared" si="58"/>
        <v>0</v>
      </c>
      <c r="O147" s="1293">
        <f t="shared" si="58"/>
        <v>0</v>
      </c>
      <c r="P147" s="1293">
        <f t="shared" si="58"/>
        <v>0</v>
      </c>
      <c r="Q147" s="1293">
        <f t="shared" ref="Q147" si="59">SUM(Q148:Q152)</f>
        <v>0</v>
      </c>
      <c r="R147" s="397"/>
      <c r="S147" s="397"/>
      <c r="T147" s="397"/>
      <c r="U147" s="397"/>
      <c r="V147" s="1544"/>
      <c r="W147" s="1544">
        <f t="shared" si="54"/>
        <v>0</v>
      </c>
    </row>
    <row r="148" spans="1:23" ht="36.75" x14ac:dyDescent="0.25">
      <c r="A148" s="182" t="str">
        <f>CONCATENATE('3 pr-2'!A149)</f>
        <v>2.1.3.1.1</v>
      </c>
      <c r="B148" s="259" t="str">
        <f>CONCATENATE('3 pr-2'!B149)</f>
        <v>R01-4407-270000-2311</v>
      </c>
      <c r="C148" s="309" t="str">
        <f>CONCATENATE('ketv. 2'!B148)</f>
        <v>08.1.1-CPVA-R-407-11-0002</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96">
        <f>IF(S148&gt;0,'3 pr-2'!L149,0)</f>
        <v>0</v>
      </c>
      <c r="L148" s="1296">
        <f>IF(S148&gt;0,'3 pr-2'!O149,0)</f>
        <v>0</v>
      </c>
      <c r="M148" s="1296">
        <f>IF(S148&gt;0,'3 pr-2'!R149,0)</f>
        <v>0</v>
      </c>
      <c r="N148" s="1296">
        <f>IF(S148&gt;0,'3 pr-2'!U149,0)</f>
        <v>0</v>
      </c>
      <c r="O148" s="1296">
        <f>IF(S148&gt;0,'3 pr-2'!X149,0)</f>
        <v>0</v>
      </c>
      <c r="P148" s="1296">
        <f>IF(S148&gt;0,'3 pr-2'!AA149,0)</f>
        <v>0</v>
      </c>
      <c r="Q148" s="1435">
        <f>IF($Y$9&gt;0,'3 pr-2'!AB149,0)</f>
        <v>0</v>
      </c>
      <c r="R148" s="545">
        <f>SUM('3 pr-2'!AK149)</f>
        <v>43465</v>
      </c>
      <c r="S148" s="215"/>
      <c r="T148" s="216" t="str">
        <f t="shared" ref="T148:T152" si="60">IF(R148-S148&lt;0,(R148-S148)/365,"–")</f>
        <v>–</v>
      </c>
      <c r="U148" s="216"/>
      <c r="V148" s="1546">
        <f>IF(S148&gt;0,'IV-3'!K148,0)</f>
        <v>0</v>
      </c>
      <c r="W148" s="1544">
        <f t="shared" si="54"/>
        <v>0</v>
      </c>
    </row>
    <row r="149" spans="1:23" ht="36.75" x14ac:dyDescent="0.25">
      <c r="A149" s="182" t="str">
        <f>CONCATENATE('3 pr-2'!A150)</f>
        <v>2.1.3.1.2</v>
      </c>
      <c r="B149" s="259" t="str">
        <f>CONCATENATE('3 pr-2'!B150)</f>
        <v>R01-4407-274800-2312</v>
      </c>
      <c r="C149" s="309" t="str">
        <f>CONCATENATE('ketv. 2'!B149)</f>
        <v>08.1.1-CPVA-R-407-11-0004</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96">
        <f>IF(S149&gt;0,'3 pr-2'!L150,0)</f>
        <v>0</v>
      </c>
      <c r="L149" s="1296">
        <f>IF(S149&gt;0,'3 pr-2'!O150,0)</f>
        <v>0</v>
      </c>
      <c r="M149" s="1296">
        <f>IF(S149&gt;0,'3 pr-2'!R150,0)</f>
        <v>0</v>
      </c>
      <c r="N149" s="1296">
        <f>IF(S149&gt;0,'3 pr-2'!U150,0)</f>
        <v>0</v>
      </c>
      <c r="O149" s="1296">
        <f>IF(S149&gt;0,'3 pr-2'!X150,0)</f>
        <v>0</v>
      </c>
      <c r="P149" s="1296">
        <f>IF(S149&gt;0,'3 pr-2'!AA150,0)</f>
        <v>0</v>
      </c>
      <c r="Q149" s="1435">
        <f>IF($Y$9&gt;0,'3 pr-2'!AB150,0)</f>
        <v>0</v>
      </c>
      <c r="R149" s="545">
        <f>SUM('3 pr-2'!AK150)</f>
        <v>43646</v>
      </c>
      <c r="S149" s="215"/>
      <c r="T149" s="216" t="str">
        <f t="shared" si="60"/>
        <v>–</v>
      </c>
      <c r="U149" s="216"/>
      <c r="V149" s="1546">
        <f>IF(S149&gt;0,'IV-3'!K149,0)</f>
        <v>0</v>
      </c>
      <c r="W149" s="1544">
        <f t="shared" si="54"/>
        <v>0</v>
      </c>
    </row>
    <row r="150" spans="1:23" ht="36.75" x14ac:dyDescent="0.25">
      <c r="A150" s="182" t="str">
        <f>CONCATENATE('3 pr-2'!A151)</f>
        <v>2.1.3.1.3</v>
      </c>
      <c r="B150" s="259" t="str">
        <f>CONCATENATE('3 pr-2'!B151)</f>
        <v>R01-4407-270000-2313</v>
      </c>
      <c r="C150" s="309" t="str">
        <f>CONCATENATE('ketv. 2'!B150)</f>
        <v>08.1.1-CPVA-R-407-11-0005</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96">
        <f>IF(S150&gt;0,'3 pr-2'!L151,0)</f>
        <v>0</v>
      </c>
      <c r="L150" s="1296">
        <f>IF(S150&gt;0,'3 pr-2'!O151,0)</f>
        <v>0</v>
      </c>
      <c r="M150" s="1296">
        <f>IF(S150&gt;0,'3 pr-2'!R151,0)</f>
        <v>0</v>
      </c>
      <c r="N150" s="1296">
        <f>IF(S150&gt;0,'3 pr-2'!U151,0)</f>
        <v>0</v>
      </c>
      <c r="O150" s="1296">
        <f>IF(S150&gt;0,'3 pr-2'!X151,0)</f>
        <v>0</v>
      </c>
      <c r="P150" s="1296">
        <f>IF(S150&gt;0,'3 pr-2'!AA151,0)</f>
        <v>0</v>
      </c>
      <c r="Q150" s="1435">
        <f>IF($Y$9&gt;0,'3 pr-2'!AB151,0)</f>
        <v>0</v>
      </c>
      <c r="R150" s="545">
        <f>SUM('3 pr-2'!AK151)</f>
        <v>43646</v>
      </c>
      <c r="S150" s="215"/>
      <c r="T150" s="216" t="str">
        <f t="shared" si="60"/>
        <v>–</v>
      </c>
      <c r="U150" s="216"/>
      <c r="V150" s="1546">
        <f>IF(S150&gt;0,'IV-3'!K150,0)</f>
        <v>0</v>
      </c>
      <c r="W150" s="1544">
        <f t="shared" si="54"/>
        <v>0</v>
      </c>
    </row>
    <row r="151" spans="1:23" ht="36.75" x14ac:dyDescent="0.25">
      <c r="A151" s="182" t="str">
        <f>CONCATENATE('3 pr-2'!A152)</f>
        <v>2.1.3.1.4</v>
      </c>
      <c r="B151" s="259" t="str">
        <f>CONCATENATE('3 pr-2'!B152)</f>
        <v>R01-4407-270000-2314</v>
      </c>
      <c r="C151" s="309" t="str">
        <f>CONCATENATE('ketv. 2'!B151)</f>
        <v>08.1.1-CPVA-R-407-11-0001</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96">
        <f>IF(S151&gt;0,'3 pr-2'!L152,0)</f>
        <v>0</v>
      </c>
      <c r="L151" s="1296">
        <f>IF(S151&gt;0,'3 pr-2'!O152,0)</f>
        <v>0</v>
      </c>
      <c r="M151" s="1296">
        <f>IF(S151&gt;0,'3 pr-2'!R152,0)</f>
        <v>0</v>
      </c>
      <c r="N151" s="1296">
        <f>IF(S151&gt;0,'3 pr-2'!U152,0)</f>
        <v>0</v>
      </c>
      <c r="O151" s="1296">
        <f>IF(S151&gt;0,'3 pr-2'!X152,0)</f>
        <v>0</v>
      </c>
      <c r="P151" s="1296">
        <f>IF(S151&gt;0,'3 pr-2'!AA152,0)</f>
        <v>0</v>
      </c>
      <c r="Q151" s="1435">
        <f>IF($Y$9&gt;0,'3 pr-2'!AB152,0)</f>
        <v>0</v>
      </c>
      <c r="R151" s="545">
        <f>SUM('3 pr-2'!AK152)</f>
        <v>43738</v>
      </c>
      <c r="S151" s="215"/>
      <c r="T151" s="216" t="str">
        <f t="shared" si="60"/>
        <v>–</v>
      </c>
      <c r="U151" s="216"/>
      <c r="V151" s="1546">
        <f>IF(S151&gt;0,'IV-3'!K151,0)</f>
        <v>0</v>
      </c>
      <c r="W151" s="1544">
        <f t="shared" si="54"/>
        <v>0</v>
      </c>
    </row>
    <row r="152" spans="1:23" ht="37.5" thickBot="1" x14ac:dyDescent="0.3">
      <c r="A152" s="182" t="str">
        <f>CONCATENATE('3 pr-2'!A153)</f>
        <v>2.1.3.1.5</v>
      </c>
      <c r="B152" s="259" t="str">
        <f>CONCATENATE('3 pr-2'!B153)</f>
        <v>R01-4407-270000-2315</v>
      </c>
      <c r="C152" s="309" t="str">
        <f>CONCATENATE('ketv. 2'!B152)</f>
        <v>08.1.1-CPVA-R-407-11-0003</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96">
        <f>IF(S152&gt;0,'3 pr-2'!L153,0)</f>
        <v>0</v>
      </c>
      <c r="L152" s="1296">
        <f>IF(S152&gt;0,'3 pr-2'!O153,0)</f>
        <v>0</v>
      </c>
      <c r="M152" s="1296">
        <f>IF(S152&gt;0,'3 pr-2'!R153,0)</f>
        <v>0</v>
      </c>
      <c r="N152" s="1296">
        <f>IF(S152&gt;0,'3 pr-2'!U153,0)</f>
        <v>0</v>
      </c>
      <c r="O152" s="1296">
        <f>IF(S152&gt;0,'3 pr-2'!X153,0)</f>
        <v>0</v>
      </c>
      <c r="P152" s="1296">
        <f>IF(S152&gt;0,'3 pr-2'!AA153,0)</f>
        <v>0</v>
      </c>
      <c r="Q152" s="1435">
        <f>IF($Y$9&gt;0,'3 pr-2'!AB153,0)</f>
        <v>0</v>
      </c>
      <c r="R152" s="545">
        <f>SUM('3 pr-2'!AK153)</f>
        <v>43615</v>
      </c>
      <c r="S152" s="215"/>
      <c r="T152" s="216" t="str">
        <f t="shared" si="60"/>
        <v>–</v>
      </c>
      <c r="U152" s="216"/>
      <c r="V152" s="1546">
        <f>IF(S152&gt;0,'IV-3'!K152,0)</f>
        <v>0</v>
      </c>
      <c r="W152" s="1544">
        <f t="shared" si="54"/>
        <v>0</v>
      </c>
    </row>
    <row r="153" spans="1:23" ht="42" customHeight="1" thickBot="1" x14ac:dyDescent="0.3">
      <c r="A153" s="326" t="str">
        <f>CONCATENATE('3 pr-2'!A154)</f>
        <v>2.1.3.2</v>
      </c>
      <c r="B153" s="2025" t="str">
        <f>CONCATENATE('3 pr-2'!B154)</f>
        <v>Priemonė:
Socialinio būsto fondo plėtra</v>
      </c>
      <c r="C153" s="2026"/>
      <c r="D153" s="2026"/>
      <c r="E153" s="2026"/>
      <c r="F153" s="2026"/>
      <c r="G153" s="2026"/>
      <c r="H153" s="2026"/>
      <c r="I153" s="2026"/>
      <c r="J153" s="2027"/>
      <c r="K153" s="1293">
        <f>SUM(K154:K158)</f>
        <v>0</v>
      </c>
      <c r="L153" s="1293">
        <f t="shared" ref="L153:Q153" si="61">SUM(L154:L158)</f>
        <v>0</v>
      </c>
      <c r="M153" s="1293">
        <f t="shared" si="61"/>
        <v>0</v>
      </c>
      <c r="N153" s="1293">
        <f t="shared" si="61"/>
        <v>0</v>
      </c>
      <c r="O153" s="1293">
        <f t="shared" si="61"/>
        <v>0</v>
      </c>
      <c r="P153" s="1293">
        <f t="shared" si="61"/>
        <v>0</v>
      </c>
      <c r="Q153" s="1293">
        <f t="shared" si="61"/>
        <v>0</v>
      </c>
      <c r="R153" s="397"/>
      <c r="S153" s="397"/>
      <c r="T153" s="397"/>
      <c r="U153" s="397"/>
      <c r="V153" s="1544"/>
      <c r="W153" s="1544">
        <f t="shared" si="54"/>
        <v>0</v>
      </c>
    </row>
    <row r="154" spans="1:23" ht="36.75" x14ac:dyDescent="0.25">
      <c r="A154" s="182" t="str">
        <f>CONCATENATE('3 pr-2'!A155)</f>
        <v>2.1.3.2.1</v>
      </c>
      <c r="B154" s="259" t="str">
        <f>CONCATENATE('3 pr-2'!B155)</f>
        <v>R01-4408-260000-2321</v>
      </c>
      <c r="C154" s="309" t="str">
        <f>CONCATENATE('ketv. 2'!B154)</f>
        <v>08.1.2-CPVA-R-408-11-0001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96">
        <f>IF(S154&gt;0,'3 pr-2'!L155,0)</f>
        <v>0</v>
      </c>
      <c r="L154" s="1296">
        <f>IF(S154&gt;0,'3 pr-2'!O155,0)</f>
        <v>0</v>
      </c>
      <c r="M154" s="1296">
        <f>IF(S154&gt;0,'3 pr-2'!R155,0)</f>
        <v>0</v>
      </c>
      <c r="N154" s="1296">
        <f>IF(S154&gt;0,'3 pr-2'!U155,0)</f>
        <v>0</v>
      </c>
      <c r="O154" s="1296">
        <f>IF(S154&gt;0,'3 pr-2'!X155,0)</f>
        <v>0</v>
      </c>
      <c r="P154" s="1296">
        <f>IF(S154&gt;0,'3 pr-2'!AA155,0)</f>
        <v>0</v>
      </c>
      <c r="Q154" s="1435">
        <f>IF($Y$9&gt;0,'3 pr-2'!AB155,0)</f>
        <v>0</v>
      </c>
      <c r="R154" s="545">
        <f>SUM('3 pr-2'!AK155)</f>
        <v>43738</v>
      </c>
      <c r="S154" s="233"/>
      <c r="T154" s="216" t="str">
        <f t="shared" ref="T154:T158" si="62">IF(R154-S154&lt;0,(R154-S154)/365,"–")</f>
        <v>–</v>
      </c>
      <c r="U154" s="216"/>
      <c r="V154" s="1546">
        <f>IF(S154&gt;0,'IV-3'!K154,0)</f>
        <v>0</v>
      </c>
      <c r="W154" s="1544">
        <f t="shared" si="54"/>
        <v>0</v>
      </c>
    </row>
    <row r="155" spans="1:23" ht="36.75" x14ac:dyDescent="0.25">
      <c r="A155" s="182" t="str">
        <f>CONCATENATE('3 pr-2'!A156)</f>
        <v>2.1.3.2.2</v>
      </c>
      <c r="B155" s="259" t="str">
        <f>CONCATENATE('3 pr-2'!B156)</f>
        <v>R01-4408-250000-2322</v>
      </c>
      <c r="C155" s="309" t="str">
        <f>CONCATENATE('ketv. 2'!B155)</f>
        <v>08.1.2-CPVA-R-408-11-0005</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96">
        <f>IF(S155&gt;0,'3 pr-2'!L156,0)</f>
        <v>0</v>
      </c>
      <c r="L155" s="1296">
        <f>IF(S155&gt;0,'3 pr-2'!O156,0)</f>
        <v>0</v>
      </c>
      <c r="M155" s="1296">
        <f>IF(S155&gt;0,'3 pr-2'!R156,0)</f>
        <v>0</v>
      </c>
      <c r="N155" s="1296">
        <f>IF(S155&gt;0,'3 pr-2'!U156,0)</f>
        <v>0</v>
      </c>
      <c r="O155" s="1296">
        <f>IF(S155&gt;0,'3 pr-2'!X156,0)</f>
        <v>0</v>
      </c>
      <c r="P155" s="1296">
        <f>IF(S155&gt;0,'3 pr-2'!AA156,0)</f>
        <v>0</v>
      </c>
      <c r="Q155" s="1435">
        <f>IF($Y$9&gt;0,'3 pr-2'!AB156,0)</f>
        <v>0</v>
      </c>
      <c r="R155" s="545">
        <f>SUM('3 pr-2'!AK156)</f>
        <v>43373</v>
      </c>
      <c r="S155" s="233"/>
      <c r="T155" s="216" t="str">
        <f t="shared" si="62"/>
        <v>–</v>
      </c>
      <c r="U155" s="216"/>
      <c r="V155" s="1546">
        <f>IF(S155&gt;0,'IV-3'!K155,0)</f>
        <v>0</v>
      </c>
      <c r="W155" s="1544">
        <f t="shared" si="54"/>
        <v>0</v>
      </c>
    </row>
    <row r="156" spans="1:23" ht="36.75" x14ac:dyDescent="0.25">
      <c r="A156" s="182" t="str">
        <f>CONCATENATE('3 pr-2'!A157)</f>
        <v>2.1.3.1.3</v>
      </c>
      <c r="B156" s="259" t="str">
        <f>CONCATENATE('3 pr-2'!B157)</f>
        <v>R01-4408-260000-2323</v>
      </c>
      <c r="C156" s="309" t="str">
        <f>CONCATENATE('ketv. 2'!B156)</f>
        <v>08.1.2-CPVA-R-408-11-0002</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96">
        <f>IF(S156&gt;0,'3 pr-2'!L157,0)</f>
        <v>0</v>
      </c>
      <c r="L156" s="1296">
        <f>IF(S156&gt;0,'3 pr-2'!O157,0)</f>
        <v>0</v>
      </c>
      <c r="M156" s="1296">
        <f>IF(S156&gt;0,'3 pr-2'!R157,0)</f>
        <v>0</v>
      </c>
      <c r="N156" s="1296">
        <f>IF(S156&gt;0,'3 pr-2'!U157,0)</f>
        <v>0</v>
      </c>
      <c r="O156" s="1296">
        <f>IF(S156&gt;0,'3 pr-2'!X157,0)</f>
        <v>0</v>
      </c>
      <c r="P156" s="1296">
        <f>IF(S156&gt;0,'3 pr-2'!AA157,0)</f>
        <v>0</v>
      </c>
      <c r="Q156" s="1435">
        <f>IF($Y$9&gt;0,'3 pr-2'!AB157,0)</f>
        <v>0</v>
      </c>
      <c r="R156" s="545">
        <f>SUM('3 pr-2'!AK157)</f>
        <v>43707</v>
      </c>
      <c r="S156" s="233"/>
      <c r="T156" s="216" t="str">
        <f t="shared" si="62"/>
        <v>–</v>
      </c>
      <c r="U156" s="216"/>
      <c r="V156" s="1546">
        <f>IF(S156&gt;0,'IV-3'!K156,0)</f>
        <v>0</v>
      </c>
      <c r="W156" s="1544">
        <f t="shared" si="54"/>
        <v>0</v>
      </c>
    </row>
    <row r="157" spans="1:23" ht="36.75" x14ac:dyDescent="0.25">
      <c r="A157" s="182" t="str">
        <f>CONCATENATE('3 pr-2'!A158)</f>
        <v>2.1.3.2.4</v>
      </c>
      <c r="B157" s="259" t="str">
        <f>CONCATENATE('3 pr-2'!B158)</f>
        <v>R01-4408-260000-2324</v>
      </c>
      <c r="C157" s="309" t="str">
        <f>CONCATENATE('ketv. 2'!B157)</f>
        <v>08.1.2-CPVA-R-408-11-0003</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96">
        <f>IF(S157&gt;0,'3 pr-2'!L158,0)</f>
        <v>0</v>
      </c>
      <c r="L157" s="1296">
        <f>IF(S157&gt;0,'3 pr-2'!O158,0)</f>
        <v>0</v>
      </c>
      <c r="M157" s="1296">
        <f>IF(S157&gt;0,'3 pr-2'!R158,0)</f>
        <v>0</v>
      </c>
      <c r="N157" s="1296">
        <f>IF(S157&gt;0,'3 pr-2'!U158,0)</f>
        <v>0</v>
      </c>
      <c r="O157" s="1296">
        <f>IF(S157&gt;0,'3 pr-2'!X158,0)</f>
        <v>0</v>
      </c>
      <c r="P157" s="1296">
        <f>IF(S157&gt;0,'3 pr-2'!AA158,0)</f>
        <v>0</v>
      </c>
      <c r="Q157" s="1435">
        <f>IF($Y$9&gt;0,'3 pr-2'!AB158,0)</f>
        <v>0</v>
      </c>
      <c r="R157" s="545">
        <f>SUM('3 pr-2'!AK158)</f>
        <v>43585</v>
      </c>
      <c r="S157" s="233"/>
      <c r="T157" s="216" t="str">
        <f t="shared" si="62"/>
        <v>–</v>
      </c>
      <c r="U157" s="216"/>
      <c r="V157" s="1546">
        <f>IF(S157&gt;0,'IV-3'!K157,0)</f>
        <v>0</v>
      </c>
      <c r="W157" s="1544">
        <f t="shared" si="54"/>
        <v>0</v>
      </c>
    </row>
    <row r="158" spans="1:23" ht="37.5" thickBot="1" x14ac:dyDescent="0.3">
      <c r="A158" s="182" t="str">
        <f>CONCATENATE('3 pr-2'!A159)</f>
        <v>2.1.3.2.5</v>
      </c>
      <c r="B158" s="259" t="str">
        <f>CONCATENATE('3 pr-2'!B159)</f>
        <v>R01-4408-252600-2325</v>
      </c>
      <c r="C158" s="309" t="str">
        <f>CONCATENATE('ketv. 2'!B158)</f>
        <v>08.1.2-CPVA-R-408-11-0004</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296">
        <f>IF(S158&gt;0,'3 pr-2'!L159,0)</f>
        <v>0</v>
      </c>
      <c r="L158" s="1296">
        <f>IF(S158&gt;0,'3 pr-2'!O159,0)</f>
        <v>0</v>
      </c>
      <c r="M158" s="1296">
        <f>IF(S158&gt;0,'3 pr-2'!R159,0)</f>
        <v>0</v>
      </c>
      <c r="N158" s="1296">
        <f>IF(S158&gt;0,'3 pr-2'!U159,0)</f>
        <v>0</v>
      </c>
      <c r="O158" s="1296">
        <f>IF(S158&gt;0,'3 pr-2'!X159,0)</f>
        <v>0</v>
      </c>
      <c r="P158" s="1296">
        <f>IF(S158&gt;0,'3 pr-2'!AA159,0)</f>
        <v>0</v>
      </c>
      <c r="Q158" s="1435">
        <f>IF($Y$9&gt;0,'3 pr-2'!AB159,0)</f>
        <v>0</v>
      </c>
      <c r="R158" s="545">
        <f>SUM('3 pr-2'!AK159)</f>
        <v>43554</v>
      </c>
      <c r="S158" s="233"/>
      <c r="T158" s="216" t="str">
        <f t="shared" si="62"/>
        <v>–</v>
      </c>
      <c r="U158" s="216"/>
      <c r="V158" s="1546">
        <f>IF(S158&gt;0,'IV-3'!K158,0)</f>
        <v>0</v>
      </c>
      <c r="W158" s="1544">
        <f t="shared" si="54"/>
        <v>0</v>
      </c>
    </row>
    <row r="159" spans="1:23" ht="40.5" customHeight="1" thickBot="1" x14ac:dyDescent="0.3">
      <c r="A159" s="155" t="str">
        <f>CONCATENATE('3 pr-2'!A160)</f>
        <v>2.1.4.</v>
      </c>
      <c r="B159" s="2022" t="str">
        <f>CONCATENATE('3 pr-2'!B160)</f>
        <v>Uždavinys:
Visuomenei teikiamų paslaugų kokybės, didinant jų atitikimo visuomenės poreikiams pagerinimas</v>
      </c>
      <c r="C159" s="2023"/>
      <c r="D159" s="2023"/>
      <c r="E159" s="2023"/>
      <c r="F159" s="2023"/>
      <c r="G159" s="2023"/>
      <c r="H159" s="2023"/>
      <c r="I159" s="2023"/>
      <c r="J159" s="2024"/>
      <c r="K159" s="1490">
        <f>SUM(K160)</f>
        <v>0</v>
      </c>
      <c r="L159" s="1490">
        <f t="shared" ref="L159:Q159" si="63">SUM(L160)</f>
        <v>0</v>
      </c>
      <c r="M159" s="1490">
        <f t="shared" si="63"/>
        <v>0</v>
      </c>
      <c r="N159" s="1490">
        <f t="shared" si="63"/>
        <v>0</v>
      </c>
      <c r="O159" s="1490">
        <f t="shared" si="63"/>
        <v>0</v>
      </c>
      <c r="P159" s="1490">
        <f t="shared" si="63"/>
        <v>0</v>
      </c>
      <c r="Q159" s="1490">
        <f t="shared" si="63"/>
        <v>0</v>
      </c>
      <c r="R159" s="410" t="s">
        <v>690</v>
      </c>
      <c r="S159" s="427" t="s">
        <v>690</v>
      </c>
      <c r="T159" s="428" t="s">
        <v>690</v>
      </c>
      <c r="U159" s="411"/>
      <c r="V159" s="1544"/>
      <c r="W159" s="1544">
        <f t="shared" si="54"/>
        <v>1</v>
      </c>
    </row>
    <row r="160" spans="1:23" ht="38.25" customHeight="1" thickBot="1" x14ac:dyDescent="0.3">
      <c r="A160" s="326" t="str">
        <f>CONCATENATE('3 pr-2'!A161)</f>
        <v>2.1.4.1</v>
      </c>
      <c r="B160" s="2025" t="str">
        <f>CONCATENATE('3 pr-2'!B161)</f>
        <v>Priemonė:
Paslaugų teikimo ir asmenų aptarnavimo kokybės gerinimas savivaldybėse</v>
      </c>
      <c r="C160" s="2026"/>
      <c r="D160" s="2026"/>
      <c r="E160" s="2026"/>
      <c r="F160" s="2026"/>
      <c r="G160" s="2026"/>
      <c r="H160" s="2026"/>
      <c r="I160" s="2026"/>
      <c r="J160" s="2027"/>
      <c r="K160" s="1293">
        <f>SUM(K161:K166)</f>
        <v>0</v>
      </c>
      <c r="L160" s="1293">
        <f t="shared" ref="L160:P160" si="64">SUM(L161:L166)</f>
        <v>0</v>
      </c>
      <c r="M160" s="1293">
        <f t="shared" si="64"/>
        <v>0</v>
      </c>
      <c r="N160" s="1293">
        <f t="shared" si="64"/>
        <v>0</v>
      </c>
      <c r="O160" s="1293">
        <f t="shared" si="64"/>
        <v>0</v>
      </c>
      <c r="P160" s="1293">
        <f t="shared" si="64"/>
        <v>0</v>
      </c>
      <c r="Q160" s="1293">
        <f t="shared" ref="Q160" si="65">SUM(Q161:Q166)</f>
        <v>0</v>
      </c>
      <c r="R160" s="397"/>
      <c r="S160" s="397"/>
      <c r="T160" s="397"/>
      <c r="U160" s="397"/>
      <c r="V160" s="1544"/>
      <c r="W160" s="1544">
        <f t="shared" si="54"/>
        <v>0</v>
      </c>
    </row>
    <row r="161" spans="1:23" ht="36.75" x14ac:dyDescent="0.25">
      <c r="A161" s="182" t="str">
        <f>CONCATENATE('3 pr-2'!A162)</f>
        <v>2.1.4.1.1</v>
      </c>
      <c r="B161" s="259" t="str">
        <f>CONCATENATE('3 pr-2'!B162)</f>
        <v>R01-9920-490000-2411</v>
      </c>
      <c r="C161" s="309" t="str">
        <f>CONCATENATE('ketv. 2'!B161)</f>
        <v>10.1.3-ESFA-R-920-11-0001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96">
        <f>IF(S161&gt;0,'3 pr-2'!L162,0)</f>
        <v>0</v>
      </c>
      <c r="L161" s="1296">
        <f>IF(S161&gt;0,'3 pr-2'!O162,0)</f>
        <v>0</v>
      </c>
      <c r="M161" s="1296">
        <f>IF(S161&gt;0,'3 pr-2'!R162,0)</f>
        <v>0</v>
      </c>
      <c r="N161" s="1296">
        <f>IF(S161&gt;0,'3 pr-2'!U162,0)</f>
        <v>0</v>
      </c>
      <c r="O161" s="1296">
        <f>IF(S161&gt;0,'3 pr-2'!X162,0)</f>
        <v>0</v>
      </c>
      <c r="P161" s="1296">
        <f>IF(S161&gt;0,'3 pr-2'!AA162,0)</f>
        <v>0</v>
      </c>
      <c r="Q161" s="1435">
        <f>IF($Y$9&gt;0,'3 pr-2'!AB162,0)</f>
        <v>0</v>
      </c>
      <c r="R161" s="637">
        <f>SUM('3 pr-2'!AK162)</f>
        <v>43830</v>
      </c>
      <c r="S161" s="182"/>
      <c r="T161" s="216" t="str">
        <f t="shared" ref="T161:T166" si="66">IF(R161-S161&lt;0,(R161-S161)/365,"–")</f>
        <v>–</v>
      </c>
      <c r="U161" s="182"/>
      <c r="V161" s="1546">
        <f>IF(S161&gt;0,'IV-3'!K161,0)</f>
        <v>0</v>
      </c>
      <c r="W161" s="1544">
        <f t="shared" si="54"/>
        <v>0</v>
      </c>
    </row>
    <row r="162" spans="1:23" ht="36.75" x14ac:dyDescent="0.25">
      <c r="A162" s="182" t="str">
        <f>CONCATENATE('3 pr-2'!A163)</f>
        <v>2.1.4.1.2</v>
      </c>
      <c r="B162" s="259" t="str">
        <f>CONCATENATE('3 pr-2'!B163)</f>
        <v>R01-9920-490000-2412</v>
      </c>
      <c r="C162" s="309" t="str">
        <f>CONCATENATE('ketv. 2'!B162)</f>
        <v>10.1.3-ESFA-R-920-11-0005</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96">
        <f>IF(S162&gt;0,'3 pr-2'!L163,0)</f>
        <v>0</v>
      </c>
      <c r="L162" s="1296">
        <f>IF(S162&gt;0,'3 pr-2'!O163,0)</f>
        <v>0</v>
      </c>
      <c r="M162" s="1296">
        <f>IF(S162&gt;0,'3 pr-2'!R163,0)</f>
        <v>0</v>
      </c>
      <c r="N162" s="1296">
        <f>IF(S162&gt;0,'3 pr-2'!U163,0)</f>
        <v>0</v>
      </c>
      <c r="O162" s="1296">
        <f>IF(S162&gt;0,'3 pr-2'!X163,0)</f>
        <v>0</v>
      </c>
      <c r="P162" s="1296">
        <f>IF(S162&gt;0,'3 pr-2'!AA163,0)</f>
        <v>0</v>
      </c>
      <c r="Q162" s="1435">
        <f>IF($Y$9&gt;0,'3 pr-2'!AB163,0)</f>
        <v>0</v>
      </c>
      <c r="R162" s="637">
        <f>SUM('3 pr-2'!AK163)</f>
        <v>44196</v>
      </c>
      <c r="S162" s="182"/>
      <c r="T162" s="216" t="str">
        <f t="shared" si="66"/>
        <v>–</v>
      </c>
      <c r="U162" s="182"/>
      <c r="V162" s="1546">
        <f>IF(S162&gt;0,'IV-3'!K162,0)</f>
        <v>0</v>
      </c>
      <c r="W162" s="1544">
        <f t="shared" si="54"/>
        <v>0</v>
      </c>
    </row>
    <row r="163" spans="1:23" ht="36.75" x14ac:dyDescent="0.25">
      <c r="A163" s="182" t="str">
        <f>CONCATENATE('3 pr-2'!A164)</f>
        <v>2.1.4.1.3</v>
      </c>
      <c r="B163" s="259" t="str">
        <f>CONCATENATE('3 pr-2'!B164)</f>
        <v>R01-9920-490000-2413</v>
      </c>
      <c r="C163" s="309" t="str">
        <f>CONCATENATE('ketv. 2'!B163)</f>
        <v>10.1.3-ESFA-R-920-11-0003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96">
        <f>IF(S163&gt;0,'3 pr-2'!L164,0)</f>
        <v>0</v>
      </c>
      <c r="L163" s="1296">
        <f>IF(S163&gt;0,'3 pr-2'!O164,0)</f>
        <v>0</v>
      </c>
      <c r="M163" s="1296">
        <f>IF(S163&gt;0,'3 pr-2'!R164,0)</f>
        <v>0</v>
      </c>
      <c r="N163" s="1296">
        <f>IF(S163&gt;0,'3 pr-2'!U164,0)</f>
        <v>0</v>
      </c>
      <c r="O163" s="1296">
        <f>IF(S163&gt;0,'3 pr-2'!X164,0)</f>
        <v>0</v>
      </c>
      <c r="P163" s="1296">
        <f>IF(S163&gt;0,'3 pr-2'!AA164,0)</f>
        <v>0</v>
      </c>
      <c r="Q163" s="1435">
        <f>IF($Y$9&gt;0,'3 pr-2'!AB164,0)</f>
        <v>0</v>
      </c>
      <c r="R163" s="637">
        <f>SUM('3 pr-2'!AK164)</f>
        <v>44196</v>
      </c>
      <c r="S163" s="182"/>
      <c r="T163" s="216" t="str">
        <f t="shared" si="66"/>
        <v>–</v>
      </c>
      <c r="U163" s="182"/>
      <c r="V163" s="1546">
        <f>IF(S163&gt;0,'IV-3'!K163,0)</f>
        <v>0</v>
      </c>
      <c r="W163" s="1544">
        <f t="shared" si="54"/>
        <v>0</v>
      </c>
    </row>
    <row r="164" spans="1:23" ht="36.75" x14ac:dyDescent="0.25">
      <c r="A164" s="182" t="str">
        <f>CONCATENATE('3 pr-2'!A165)</f>
        <v>2.1.4.1.4</v>
      </c>
      <c r="B164" s="259" t="str">
        <f>CONCATENATE('3 pr-2'!B165)</f>
        <v>R01-9920-490000-2414</v>
      </c>
      <c r="C164" s="309" t="str">
        <f>CONCATENATE('ketv. 2'!B164)</f>
        <v>10.1.3-ESFA-R-920-11-0007</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96">
        <f>IF(S164&gt;0,'3 pr-2'!L165,0)</f>
        <v>0</v>
      </c>
      <c r="L164" s="1296">
        <f>IF(S164&gt;0,'3 pr-2'!O165,0)</f>
        <v>0</v>
      </c>
      <c r="M164" s="1296">
        <f>IF(S164&gt;0,'3 pr-2'!R165,0)</f>
        <v>0</v>
      </c>
      <c r="N164" s="1296">
        <f>IF(S164&gt;0,'3 pr-2'!U165,0)</f>
        <v>0</v>
      </c>
      <c r="O164" s="1296">
        <f>IF(S164&gt;0,'3 pr-2'!X165,0)</f>
        <v>0</v>
      </c>
      <c r="P164" s="1296">
        <f>IF(S164&gt;0,'3 pr-2'!AA165,0)</f>
        <v>0</v>
      </c>
      <c r="Q164" s="1435">
        <f>IF($Y$9&gt;0,'3 pr-2'!AB165,0)</f>
        <v>0</v>
      </c>
      <c r="R164" s="637">
        <f>SUM('3 pr-2'!AK165)</f>
        <v>44152</v>
      </c>
      <c r="S164" s="182"/>
      <c r="T164" s="216" t="str">
        <f t="shared" si="66"/>
        <v>–</v>
      </c>
      <c r="U164" s="182"/>
      <c r="V164" s="1546">
        <f>IF(S164&gt;0,'IV-3'!K164,0)</f>
        <v>0</v>
      </c>
      <c r="W164" s="1544">
        <f t="shared" si="54"/>
        <v>0</v>
      </c>
    </row>
    <row r="165" spans="1:23" ht="36.75" x14ac:dyDescent="0.25">
      <c r="A165" s="182" t="str">
        <f>CONCATENATE('3 pr-2'!A166)</f>
        <v>2.1.4.1.5</v>
      </c>
      <c r="B165" s="259" t="str">
        <f>CONCATENATE('3 pr-2'!B166)</f>
        <v>R01-9920-490000-2415</v>
      </c>
      <c r="C165" s="309" t="str">
        <f>CONCATENATE('ketv. 2'!B165)</f>
        <v>10.1.3-ESFA-R-920-11-0006</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96">
        <f>IF(S165&gt;0,'3 pr-2'!L166,0)</f>
        <v>0</v>
      </c>
      <c r="L165" s="1296">
        <f>IF(S165&gt;0,'3 pr-2'!O166,0)</f>
        <v>0</v>
      </c>
      <c r="M165" s="1296">
        <f>IF(S165&gt;0,'3 pr-2'!R166,0)</f>
        <v>0</v>
      </c>
      <c r="N165" s="1296">
        <f>IF(S165&gt;0,'3 pr-2'!U166,0)</f>
        <v>0</v>
      </c>
      <c r="O165" s="1296">
        <f>IF(S165&gt;0,'3 pr-2'!X166,0)</f>
        <v>0</v>
      </c>
      <c r="P165" s="1296">
        <f>IF(S165&gt;0,'3 pr-2'!AA166,0)</f>
        <v>0</v>
      </c>
      <c r="Q165" s="1435">
        <f>IF($Y$9&gt;0,'3 pr-2'!AB166,0)</f>
        <v>0</v>
      </c>
      <c r="R165" s="637">
        <f>SUM('3 pr-2'!AK166)</f>
        <v>44103.5</v>
      </c>
      <c r="S165" s="182"/>
      <c r="T165" s="216" t="str">
        <f t="shared" si="66"/>
        <v>–</v>
      </c>
      <c r="U165" s="182"/>
      <c r="V165" s="1546">
        <f>IF(S165&gt;0,'IV-3'!K165,0)</f>
        <v>0</v>
      </c>
      <c r="W165" s="1544">
        <f t="shared" si="54"/>
        <v>0</v>
      </c>
    </row>
    <row r="166" spans="1:23" ht="37.5" thickBot="1" x14ac:dyDescent="0.3">
      <c r="A166" s="182" t="str">
        <f>CONCATENATE('3 pr-2'!A167)</f>
        <v>2.1.4.1.6</v>
      </c>
      <c r="B166" s="259" t="str">
        <f>CONCATENATE('3 pr-2'!B167)</f>
        <v>R01-9920-490000-2416</v>
      </c>
      <c r="C166" s="309" t="str">
        <f>CONCATENATE('ketv. 2'!B166)</f>
        <v/>
      </c>
      <c r="D166" s="182"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82" t="str">
        <f>CONCATENATE('3 pr-2'!J167)</f>
        <v>-</v>
      </c>
      <c r="K166" s="1296">
        <f>IF(S166&gt;0,'3 pr-2'!L167,0)</f>
        <v>0</v>
      </c>
      <c r="L166" s="1296">
        <f>IF(S166&gt;0,'3 pr-2'!O167,0)</f>
        <v>0</v>
      </c>
      <c r="M166" s="1296">
        <f>IF(S166&gt;0,'3 pr-2'!R167,0)</f>
        <v>0</v>
      </c>
      <c r="N166" s="1296">
        <f>IF(S166&gt;0,'3 pr-2'!U167,0)</f>
        <v>0</v>
      </c>
      <c r="O166" s="1296">
        <f>IF(S166&gt;0,'3 pr-2'!X167,0)</f>
        <v>0</v>
      </c>
      <c r="P166" s="1296">
        <f>IF(S166&gt;0,'3 pr-2'!AA167,0)</f>
        <v>0</v>
      </c>
      <c r="Q166" s="1435">
        <f>IF($Y$9&gt;0,'3 pr-2'!AB167,0)</f>
        <v>0</v>
      </c>
      <c r="R166" s="637">
        <f>SUM('3 pr-2'!AK167)</f>
        <v>44196</v>
      </c>
      <c r="S166" s="182"/>
      <c r="T166" s="216" t="str">
        <f t="shared" si="66"/>
        <v>–</v>
      </c>
      <c r="U166" s="182"/>
      <c r="V166" s="1546">
        <f>IF(S166&gt;0,'IV-3'!K166,0)</f>
        <v>0</v>
      </c>
      <c r="W166" s="1544">
        <f t="shared" si="54"/>
        <v>0</v>
      </c>
    </row>
    <row r="167" spans="1:23" ht="42" customHeight="1" thickBot="1" x14ac:dyDescent="0.3">
      <c r="A167" s="156" t="str">
        <f>CONCATENATE('3 pr-2'!A168)</f>
        <v>3.1.</v>
      </c>
      <c r="B167" s="2028" t="str">
        <f>CONCATENATE('3 pr-2'!B168)</f>
        <v>Tikslas: 
DARNIAI TVARKYTI IR VYSTYTI REGIONO TERITORIJĄ</v>
      </c>
      <c r="C167" s="2023"/>
      <c r="D167" s="2023"/>
      <c r="E167" s="2023"/>
      <c r="F167" s="2023"/>
      <c r="G167" s="2023"/>
      <c r="H167" s="2023"/>
      <c r="I167" s="2023"/>
      <c r="J167" s="2024"/>
      <c r="K167" s="1494">
        <f>SUM(K168+K171)</f>
        <v>121153.55</v>
      </c>
      <c r="L167" s="1494">
        <f t="shared" ref="L167:P167" si="67">SUM(L168+L171)</f>
        <v>18173.03</v>
      </c>
      <c r="M167" s="1494">
        <f t="shared" si="67"/>
        <v>0</v>
      </c>
      <c r="N167" s="1494">
        <f t="shared" si="67"/>
        <v>0</v>
      </c>
      <c r="O167" s="1494">
        <f t="shared" si="67"/>
        <v>0</v>
      </c>
      <c r="P167" s="1494">
        <f t="shared" si="67"/>
        <v>102980.52</v>
      </c>
      <c r="Q167" s="1494">
        <f t="shared" ref="Q167" si="68">SUM(Q168+Q171)</f>
        <v>0</v>
      </c>
      <c r="R167" s="204" t="s">
        <v>690</v>
      </c>
      <c r="S167" s="426" t="s">
        <v>690</v>
      </c>
      <c r="T167" s="405" t="s">
        <v>690</v>
      </c>
      <c r="U167" s="405"/>
      <c r="V167" s="1544"/>
      <c r="W167" s="1544">
        <f t="shared" si="54"/>
        <v>1</v>
      </c>
    </row>
    <row r="168" spans="1:23" ht="32.25" customHeight="1" thickBot="1" x14ac:dyDescent="0.3">
      <c r="A168" s="155" t="str">
        <f>CONCATENATE('3 pr-2'!A169)</f>
        <v>3.1.1.</v>
      </c>
      <c r="B168" s="2022" t="str">
        <f>CONCATENATE('3 pr-2'!B169)</f>
        <v>Uždavinys:
Sumažinti sąvartynuose šalinamų komunalinių atliekų kiekį</v>
      </c>
      <c r="C168" s="2023"/>
      <c r="D168" s="2023"/>
      <c r="E168" s="2023"/>
      <c r="F168" s="2023"/>
      <c r="G168" s="2023"/>
      <c r="H168" s="2023"/>
      <c r="I168" s="2023"/>
      <c r="J168" s="2024"/>
      <c r="K168" s="1495">
        <f>SUM(K169)</f>
        <v>0</v>
      </c>
      <c r="L168" s="1495">
        <f t="shared" ref="L168:Q168" si="69">SUM(L169)</f>
        <v>0</v>
      </c>
      <c r="M168" s="1495">
        <f t="shared" si="69"/>
        <v>0</v>
      </c>
      <c r="N168" s="1495">
        <f t="shared" si="69"/>
        <v>0</v>
      </c>
      <c r="O168" s="1495">
        <f t="shared" si="69"/>
        <v>0</v>
      </c>
      <c r="P168" s="1495">
        <f t="shared" si="69"/>
        <v>0</v>
      </c>
      <c r="Q168" s="1495">
        <f t="shared" si="69"/>
        <v>0</v>
      </c>
      <c r="R168" s="205" t="s">
        <v>690</v>
      </c>
      <c r="S168" s="189" t="s">
        <v>690</v>
      </c>
      <c r="T168" s="190" t="s">
        <v>690</v>
      </c>
      <c r="U168" s="190"/>
      <c r="V168" s="1544"/>
      <c r="W168" s="1544">
        <f t="shared" si="54"/>
        <v>1</v>
      </c>
    </row>
    <row r="169" spans="1:23" ht="33.75" customHeight="1" thickBot="1" x14ac:dyDescent="0.3">
      <c r="A169" s="326" t="str">
        <f>CONCATENATE('3 pr-2'!A170)</f>
        <v>3.1.1.1</v>
      </c>
      <c r="B169" s="2025" t="str">
        <f>CONCATENATE('3 pr-2'!B170)</f>
        <v>Priemonė:
Komunalinių atliekų tvarkymo infrastruktūros plėtra</v>
      </c>
      <c r="C169" s="2026"/>
      <c r="D169" s="2026"/>
      <c r="E169" s="2026"/>
      <c r="F169" s="2026"/>
      <c r="G169" s="2026"/>
      <c r="H169" s="2026"/>
      <c r="I169" s="2026"/>
      <c r="J169" s="2027"/>
      <c r="K169" s="1293">
        <f>SUM(K170)</f>
        <v>0</v>
      </c>
      <c r="L169" s="1293">
        <f t="shared" ref="L169:Q169" si="70">SUM(L170)</f>
        <v>0</v>
      </c>
      <c r="M169" s="1293">
        <f t="shared" si="70"/>
        <v>0</v>
      </c>
      <c r="N169" s="1293">
        <f t="shared" si="70"/>
        <v>0</v>
      </c>
      <c r="O169" s="1293">
        <f t="shared" si="70"/>
        <v>0</v>
      </c>
      <c r="P169" s="1293">
        <f t="shared" si="70"/>
        <v>0</v>
      </c>
      <c r="Q169" s="1293">
        <f t="shared" si="70"/>
        <v>0</v>
      </c>
      <c r="R169" s="397"/>
      <c r="S169" s="397"/>
      <c r="T169" s="397"/>
      <c r="U169" s="397"/>
      <c r="V169" s="1544"/>
      <c r="W169" s="1544">
        <f t="shared" si="54"/>
        <v>0</v>
      </c>
    </row>
    <row r="170" spans="1:23" ht="37.5" thickBot="1" x14ac:dyDescent="0.3">
      <c r="A170" s="182" t="str">
        <f>CONCATENATE('3 pr-2'!A171)</f>
        <v>3.1.1.1.1</v>
      </c>
      <c r="B170" s="259" t="str">
        <f>CONCATENATE('3 pr-2'!B171)</f>
        <v>R01-0008-050000-3111</v>
      </c>
      <c r="C170" s="309" t="str">
        <f>CONCATENATE('ketv. 2'!B170)</f>
        <v>05.2.1-APVA-R-008-11-0001</v>
      </c>
      <c r="D170" s="182" t="str">
        <f>CONCATENATE('3 pr-2'!D171)</f>
        <v>Komunalinių atliekų tvarkymo sistemos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296">
        <f>IF(S170&gt;0,'3 pr-2'!L171,0)</f>
        <v>0</v>
      </c>
      <c r="L170" s="1296">
        <f>IF(S170&gt;0,'3 pr-2'!O171,0)</f>
        <v>0</v>
      </c>
      <c r="M170" s="1296">
        <f>IF(S170&gt;0,'3 pr-2'!R171,0)</f>
        <v>0</v>
      </c>
      <c r="N170" s="1296">
        <f>IF(S170&gt;0,'3 pr-2'!U171,0)</f>
        <v>0</v>
      </c>
      <c r="O170" s="1296">
        <f>IF(S170&gt;0,'3 pr-2'!X171,0)</f>
        <v>0</v>
      </c>
      <c r="P170" s="1296">
        <f>IF(S170&gt;0,'3 pr-2'!AA171,0)</f>
        <v>0</v>
      </c>
      <c r="Q170" s="1435">
        <f>IF($Y$9&gt;0,'3 pr-2'!AB171,0)</f>
        <v>0</v>
      </c>
      <c r="R170" s="637">
        <f>SUM('3 pr-2'!AK171)</f>
        <v>43830</v>
      </c>
      <c r="S170" s="215"/>
      <c r="T170" s="216" t="str">
        <f>IF(R170-S170&lt;0,(R170-S170)/365,"–")</f>
        <v>–</v>
      </c>
      <c r="U170" s="216"/>
      <c r="V170" s="1546">
        <f>IF(S170&gt;0,'IV-3'!K170,0)</f>
        <v>0</v>
      </c>
      <c r="W170" s="1544">
        <f t="shared" si="54"/>
        <v>0</v>
      </c>
    </row>
    <row r="171" spans="1:23" ht="39.75" customHeight="1" thickBot="1" x14ac:dyDescent="0.3">
      <c r="A171" s="155" t="str">
        <f>CONCATENATE('3 pr-2'!A172)</f>
        <v>3.1.2.</v>
      </c>
      <c r="B171" s="2022" t="str">
        <f>CONCATENATE('3 pr-2'!B172)</f>
        <v>Uždavinys:
Kraštovaizdžio apsauga, planavimas ir tvarkymas</v>
      </c>
      <c r="C171" s="2023"/>
      <c r="D171" s="2023"/>
      <c r="E171" s="2023"/>
      <c r="F171" s="2023"/>
      <c r="G171" s="2023"/>
      <c r="H171" s="2023"/>
      <c r="I171" s="2023"/>
      <c r="J171" s="2024"/>
      <c r="K171" s="1496">
        <f>SUM(K172)</f>
        <v>121153.55</v>
      </c>
      <c r="L171" s="1496">
        <f t="shared" ref="L171:Q171" si="71">SUM(L172)</f>
        <v>18173.03</v>
      </c>
      <c r="M171" s="1496">
        <f t="shared" si="71"/>
        <v>0</v>
      </c>
      <c r="N171" s="1496">
        <f t="shared" si="71"/>
        <v>0</v>
      </c>
      <c r="O171" s="1496">
        <f t="shared" si="71"/>
        <v>0</v>
      </c>
      <c r="P171" s="1496">
        <f t="shared" si="71"/>
        <v>102980.52</v>
      </c>
      <c r="Q171" s="1496">
        <f t="shared" si="71"/>
        <v>0</v>
      </c>
      <c r="R171" s="301" t="s">
        <v>690</v>
      </c>
      <c r="S171" s="302" t="s">
        <v>690</v>
      </c>
      <c r="T171" s="303" t="s">
        <v>690</v>
      </c>
      <c r="U171" s="303"/>
      <c r="V171" s="1544"/>
      <c r="W171" s="1544">
        <f t="shared" si="54"/>
        <v>1</v>
      </c>
    </row>
    <row r="172" spans="1:23" ht="33.75" customHeight="1" thickBot="1" x14ac:dyDescent="0.3">
      <c r="A172" s="326" t="str">
        <f>CONCATENATE('3 pr-2'!A173)</f>
        <v>3.1.2.1</v>
      </c>
      <c r="B172" s="2025" t="str">
        <f>CONCATENATE('3 pr-2'!B173)</f>
        <v>Priemonė:
Kraštovaizdžio apsauga/plėtra</v>
      </c>
      <c r="C172" s="2026"/>
      <c r="D172" s="2026"/>
      <c r="E172" s="2026"/>
      <c r="F172" s="2026"/>
      <c r="G172" s="2026"/>
      <c r="H172" s="2026"/>
      <c r="I172" s="2026"/>
      <c r="J172" s="2027"/>
      <c r="K172" s="1293">
        <f>SUM(K173:K180)</f>
        <v>121153.55</v>
      </c>
      <c r="L172" s="1293">
        <f t="shared" ref="L172:P172" si="72">SUM(L173:L180)</f>
        <v>18173.03</v>
      </c>
      <c r="M172" s="1293">
        <f t="shared" si="72"/>
        <v>0</v>
      </c>
      <c r="N172" s="1293">
        <f t="shared" si="72"/>
        <v>0</v>
      </c>
      <c r="O172" s="1293">
        <f t="shared" si="72"/>
        <v>0</v>
      </c>
      <c r="P172" s="1293">
        <f t="shared" si="72"/>
        <v>102980.52</v>
      </c>
      <c r="Q172" s="1293">
        <f t="shared" ref="Q172" si="73">SUM(Q173:Q180)</f>
        <v>0</v>
      </c>
      <c r="R172" s="397"/>
      <c r="S172" s="397"/>
      <c r="T172" s="397"/>
      <c r="U172" s="397"/>
      <c r="V172" s="1544"/>
      <c r="W172" s="1544">
        <f t="shared" si="54"/>
        <v>0</v>
      </c>
    </row>
    <row r="173" spans="1:23" ht="36.75" x14ac:dyDescent="0.25">
      <c r="A173" s="182" t="str">
        <f>CONCATENATE('3 pr-2'!A174)</f>
        <v>3.1.2.1.1</v>
      </c>
      <c r="B173" s="259" t="str">
        <f>CONCATENATE('3 pr-2'!B174)</f>
        <v>R01-0019-380000-3211</v>
      </c>
      <c r="C173" s="309" t="str">
        <f>CONCATENATE('ketv. 2'!B173)</f>
        <v>05.5.1-APVA-R-019-11-0002</v>
      </c>
      <c r="D173" s="182"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96">
        <f>IF(S173&gt;0,'3 pr-2'!L174,0)</f>
        <v>0</v>
      </c>
      <c r="L173" s="1296">
        <f>IF(S173&gt;0,'3 pr-2'!O174,0)</f>
        <v>0</v>
      </c>
      <c r="M173" s="1296">
        <f>IF(S173&gt;0,'3 pr-2'!R174,0)</f>
        <v>0</v>
      </c>
      <c r="N173" s="1296">
        <f>IF(S173&gt;0,'3 pr-2'!U174,0)</f>
        <v>0</v>
      </c>
      <c r="O173" s="1296">
        <f>IF(S173&gt;0,'3 pr-2'!X174,0)</f>
        <v>0</v>
      </c>
      <c r="P173" s="1296">
        <f>IF(S173&gt;0,'3 pr-2'!AA174,0)</f>
        <v>0</v>
      </c>
      <c r="Q173" s="1435">
        <f>IF($Y$9&gt;0,'3 pr-2'!AB174,0)</f>
        <v>0</v>
      </c>
      <c r="R173" s="637">
        <f>SUM('3 pr-2'!AK174)</f>
        <v>43465</v>
      </c>
      <c r="S173" s="545"/>
      <c r="T173" s="216" t="str">
        <f t="shared" ref="T173:T180" si="74">IF(R173-S173&lt;0,(R173-S173)/365,"–")</f>
        <v>–</v>
      </c>
      <c r="U173" s="216"/>
      <c r="V173" s="1546">
        <f>IF(S173&gt;0,'IV-3'!K173,0)</f>
        <v>0</v>
      </c>
      <c r="W173" s="1544">
        <f t="shared" si="54"/>
        <v>0</v>
      </c>
    </row>
    <row r="174" spans="1:23" ht="36.75" x14ac:dyDescent="0.25">
      <c r="A174" s="182" t="str">
        <f>CONCATENATE('3 pr-2'!A175)</f>
        <v>3.1.2.1.2</v>
      </c>
      <c r="B174" s="259" t="str">
        <f>CONCATENATE('3 pr-2'!B175)</f>
        <v>R01-0019-380000-3212</v>
      </c>
      <c r="C174" s="309" t="str">
        <f>CONCATENATE('ketv. 2'!B174)</f>
        <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96">
        <f>IF(S174&gt;0,'3 pr-2'!L175,0)</f>
        <v>0</v>
      </c>
      <c r="L174" s="1296">
        <f>IF(S174&gt;0,'3 pr-2'!O175,0)</f>
        <v>0</v>
      </c>
      <c r="M174" s="1296">
        <f>IF(S174&gt;0,'3 pr-2'!R175,0)</f>
        <v>0</v>
      </c>
      <c r="N174" s="1296">
        <f>IF(S174&gt;0,'3 pr-2'!U175,0)</f>
        <v>0</v>
      </c>
      <c r="O174" s="1296">
        <f>IF(S174&gt;0,'3 pr-2'!X175,0)</f>
        <v>0</v>
      </c>
      <c r="P174" s="1296">
        <f>IF(S174&gt;0,'3 pr-2'!AA175,0)</f>
        <v>0</v>
      </c>
      <c r="Q174" s="1435">
        <f>IF($Y$9&gt;0,'3 pr-2'!AB175,0)</f>
        <v>0</v>
      </c>
      <c r="R174" s="637">
        <f>SUM('3 pr-2'!AK175)</f>
        <v>44651</v>
      </c>
      <c r="S174" s="545"/>
      <c r="T174" s="216" t="str">
        <f t="shared" si="74"/>
        <v>–</v>
      </c>
      <c r="U174" s="216"/>
      <c r="V174" s="1546">
        <f>IF(S174&gt;0,'IV-3'!K174,0)</f>
        <v>0</v>
      </c>
      <c r="W174" s="1544">
        <f t="shared" si="54"/>
        <v>0</v>
      </c>
    </row>
    <row r="175" spans="1:23" ht="36.75" x14ac:dyDescent="0.25">
      <c r="A175" s="182" t="str">
        <f>CONCATENATE('3 pr-2'!A176)</f>
        <v>3.1.2.1.3</v>
      </c>
      <c r="B175" s="259" t="str">
        <f>CONCATENATE('3 pr-2'!B176)</f>
        <v>R01-0019-380000-3213</v>
      </c>
      <c r="C175" s="309" t="str">
        <f>CONCATENATE('ketv. 2'!B175)</f>
        <v>05.5.1-APVA-R-019-11-0001</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96">
        <f>IF(S175&gt;0,'3 pr-2'!L176,0)</f>
        <v>0</v>
      </c>
      <c r="L175" s="1296">
        <f>IF(S175&gt;0,'3 pr-2'!O176,0)</f>
        <v>0</v>
      </c>
      <c r="M175" s="1296">
        <f>IF(S175&gt;0,'3 pr-2'!R176,0)</f>
        <v>0</v>
      </c>
      <c r="N175" s="1296">
        <f>IF(S175&gt;0,'3 pr-2'!U176,0)</f>
        <v>0</v>
      </c>
      <c r="O175" s="1296">
        <f>IF(S175&gt;0,'3 pr-2'!X176,0)</f>
        <v>0</v>
      </c>
      <c r="P175" s="1296">
        <f>IF(S175&gt;0,'3 pr-2'!AA176,0)</f>
        <v>0</v>
      </c>
      <c r="Q175" s="1435">
        <f>IF($Y$9&gt;0,'3 pr-2'!AB176,0)</f>
        <v>0</v>
      </c>
      <c r="R175" s="637">
        <f>SUM('3 pr-2'!AK176)</f>
        <v>43465</v>
      </c>
      <c r="S175" s="545"/>
      <c r="T175" s="216" t="str">
        <f t="shared" si="74"/>
        <v>–</v>
      </c>
      <c r="U175" s="216"/>
      <c r="V175" s="1546">
        <f>IF(S175&gt;0,'IV-3'!K175,0)</f>
        <v>0</v>
      </c>
      <c r="W175" s="1544">
        <f t="shared" si="54"/>
        <v>0</v>
      </c>
    </row>
    <row r="176" spans="1:23" ht="36.75" x14ac:dyDescent="0.25">
      <c r="A176" s="182" t="str">
        <f>CONCATENATE('3 pr-2'!A177)</f>
        <v>3.1.2.1.4</v>
      </c>
      <c r="B176" s="259" t="str">
        <f>CONCATENATE('3 pr-2'!B177)</f>
        <v>R01-0019-380000-3214</v>
      </c>
      <c r="C176" s="309" t="str">
        <f>CONCATENATE('ketv. 2'!B176)</f>
        <v>05.5.1-APVA-R-019-11-0004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96">
        <f>IF(S176&gt;0,'3 pr-2'!L177,0)</f>
        <v>0</v>
      </c>
      <c r="L176" s="1296">
        <f>IF(S176&gt;0,'3 pr-2'!O177,0)</f>
        <v>0</v>
      </c>
      <c r="M176" s="1296">
        <f>IF(S176&gt;0,'3 pr-2'!R177,0)</f>
        <v>0</v>
      </c>
      <c r="N176" s="1296">
        <f>IF(S176&gt;0,'3 pr-2'!U177,0)</f>
        <v>0</v>
      </c>
      <c r="O176" s="1296">
        <f>IF(S176&gt;0,'3 pr-2'!X177,0)</f>
        <v>0</v>
      </c>
      <c r="P176" s="1296">
        <f>IF(S176&gt;0,'3 pr-2'!AA177,0)</f>
        <v>0</v>
      </c>
      <c r="Q176" s="1435">
        <f>IF($Y$9&gt;0,'3 pr-2'!AB177,0)</f>
        <v>0</v>
      </c>
      <c r="R176" s="637">
        <f>SUM('3 pr-2'!AK177)</f>
        <v>43465</v>
      </c>
      <c r="S176" s="545"/>
      <c r="T176" s="216" t="str">
        <f t="shared" si="74"/>
        <v>–</v>
      </c>
      <c r="U176" s="216"/>
      <c r="V176" s="1546">
        <f>IF(S176&gt;0,'IV-3'!K176,0)</f>
        <v>0</v>
      </c>
      <c r="W176" s="1544">
        <f t="shared" si="54"/>
        <v>0</v>
      </c>
    </row>
    <row r="177" spans="1:23" ht="36.75" x14ac:dyDescent="0.25">
      <c r="A177" s="182" t="str">
        <f>CONCATENATE('3 pr-2'!A178)</f>
        <v>3.1.2.1.5</v>
      </c>
      <c r="B177" s="259" t="str">
        <f>CONCATENATE('3 pr-2'!B178)</f>
        <v>R01-0019-380000-3215</v>
      </c>
      <c r="C177" s="309" t="str">
        <f>CONCATENATE('ketv. 2'!B177)</f>
        <v>05.5.1-APVA-R-019-11-0005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96">
        <f>IF(S177&gt;0,'3 pr-2'!L178,0)</f>
        <v>121153.55</v>
      </c>
      <c r="L177" s="1296">
        <f>IF(S177&gt;0,'3 pr-2'!O178,0)</f>
        <v>18173.03</v>
      </c>
      <c r="M177" s="1296">
        <f>IF(S177&gt;0,'3 pr-2'!R178,0)</f>
        <v>0</v>
      </c>
      <c r="N177" s="1296">
        <f>IF(S177&gt;0,'3 pr-2'!U178,0)</f>
        <v>0</v>
      </c>
      <c r="O177" s="1296">
        <f>IF(S177&gt;0,'3 pr-2'!X178,0)</f>
        <v>0</v>
      </c>
      <c r="P177" s="1296">
        <f>IF(S177&gt;0,'3 pr-2'!AA178,0)</f>
        <v>102980.52</v>
      </c>
      <c r="Q177" s="1435">
        <f>IF($Y$9&gt;0,'3 pr-2'!AB178,0)</f>
        <v>0</v>
      </c>
      <c r="R177" s="637">
        <f>SUM('3 pr-2'!AK178)</f>
        <v>43465</v>
      </c>
      <c r="S177" s="545">
        <v>43355</v>
      </c>
      <c r="T177" s="216" t="str">
        <f t="shared" si="74"/>
        <v>–</v>
      </c>
      <c r="U177" s="216"/>
      <c r="V177" s="1546" t="str">
        <f>IF(S177&gt;0,'IV-3'!K177,0)</f>
        <v>38</v>
      </c>
      <c r="W177" s="1544">
        <f t="shared" si="54"/>
        <v>1</v>
      </c>
    </row>
    <row r="178" spans="1:23" ht="36.75" x14ac:dyDescent="0.25">
      <c r="A178" s="182" t="str">
        <f>CONCATENATE('3 pr-2'!A179)</f>
        <v>3.1.2.1.6</v>
      </c>
      <c r="B178" s="259" t="str">
        <f>CONCATENATE('3 pr-2'!B179)</f>
        <v>R01-0019-380000-3216</v>
      </c>
      <c r="C178" s="309" t="str">
        <f>CONCATENATE('ketv. 2'!B178)</f>
        <v>05.5.1-APVA-R-019-11-0003</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96">
        <f>IF(S178&gt;0,'3 pr-2'!L179,0)</f>
        <v>0</v>
      </c>
      <c r="L178" s="1296">
        <f>IF(S178&gt;0,'3 pr-2'!O179,0)</f>
        <v>0</v>
      </c>
      <c r="M178" s="1296">
        <f>IF(S178&gt;0,'3 pr-2'!R179,0)</f>
        <v>0</v>
      </c>
      <c r="N178" s="1296">
        <f>IF(S178&gt;0,'3 pr-2'!U179,0)</f>
        <v>0</v>
      </c>
      <c r="O178" s="1296">
        <f>IF(S178&gt;0,'3 pr-2'!X179,0)</f>
        <v>0</v>
      </c>
      <c r="P178" s="1296">
        <f>IF(S178&gt;0,'3 pr-2'!AA179,0)</f>
        <v>0</v>
      </c>
      <c r="Q178" s="1435">
        <f>IF($Y$9&gt;0,'3 pr-2'!AB179,0)</f>
        <v>0</v>
      </c>
      <c r="R178" s="637">
        <f>SUM('3 pr-2'!AK179)</f>
        <v>43465</v>
      </c>
      <c r="S178" s="545"/>
      <c r="T178" s="216" t="str">
        <f t="shared" si="74"/>
        <v>–</v>
      </c>
      <c r="U178" s="216"/>
      <c r="V178" s="1546">
        <f>IF(S178&gt;0,'IV-3'!K178,0)</f>
        <v>0</v>
      </c>
      <c r="W178" s="1544">
        <f t="shared" si="54"/>
        <v>0</v>
      </c>
    </row>
    <row r="179" spans="1:23" ht="36.75" x14ac:dyDescent="0.25">
      <c r="A179" s="182" t="str">
        <f>CONCATENATE('3 pr-2'!A180)</f>
        <v>3.1.2.1.7</v>
      </c>
      <c r="B179" s="259" t="str">
        <f>CONCATENATE('3 pr-2'!B180)</f>
        <v>R01-0019-283800-3217</v>
      </c>
      <c r="C179" s="309" t="str">
        <f>CONCATENATE('ketv. 2'!B179)</f>
        <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96">
        <f>IF(S179&gt;0,'3 pr-2'!L180,0)</f>
        <v>0</v>
      </c>
      <c r="L179" s="1296">
        <f>IF(S179&gt;0,'3 pr-2'!O180,0)</f>
        <v>0</v>
      </c>
      <c r="M179" s="1296">
        <f>IF(S179&gt;0,'3 pr-2'!R180,0)</f>
        <v>0</v>
      </c>
      <c r="N179" s="1296">
        <f>IF(S179&gt;0,'3 pr-2'!U180,0)</f>
        <v>0</v>
      </c>
      <c r="O179" s="1296">
        <f>IF(S179&gt;0,'3 pr-2'!X180,0)</f>
        <v>0</v>
      </c>
      <c r="P179" s="1296">
        <f>IF(S179&gt;0,'3 pr-2'!AA180,0)</f>
        <v>0</v>
      </c>
      <c r="Q179" s="1435">
        <f>IF($Y$9&gt;0,'3 pr-2'!AB180,0)</f>
        <v>0</v>
      </c>
      <c r="R179" s="637">
        <f>SUM('3 pr-2'!AK180)</f>
        <v>44469</v>
      </c>
      <c r="S179" s="545"/>
      <c r="T179" s="216" t="str">
        <f t="shared" si="74"/>
        <v>–</v>
      </c>
      <c r="U179" s="216"/>
      <c r="V179" s="1546">
        <f>IF(S179&gt;0,'IV-3'!K179,0)</f>
        <v>0</v>
      </c>
      <c r="W179" s="1544">
        <f t="shared" si="54"/>
        <v>0</v>
      </c>
    </row>
    <row r="180" spans="1:23" ht="36.75" x14ac:dyDescent="0.25">
      <c r="A180" s="182" t="str">
        <f>CONCATENATE('3 pr-2'!A181)</f>
        <v>3.1.2.1.8</v>
      </c>
      <c r="B180" s="259" t="str">
        <f>CONCATENATE('3 pr-2'!B181)</f>
        <v>R01-0019-380000-3218</v>
      </c>
      <c r="C180" s="309" t="str">
        <f>CONCATENATE('ketv. 2'!B180)</f>
        <v>05.5.1-APVA-R-019-11-0006</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96">
        <f>IF(S180&gt;0,'3 pr-2'!L181,0)</f>
        <v>0</v>
      </c>
      <c r="L180" s="1296">
        <f>IF(S180&gt;0,'3 pr-2'!O181,0)</f>
        <v>0</v>
      </c>
      <c r="M180" s="1296">
        <f>IF(S180&gt;0,'3 pr-2'!R181,0)</f>
        <v>0</v>
      </c>
      <c r="N180" s="1296">
        <f>IF(S180&gt;0,'3 pr-2'!U181,0)</f>
        <v>0</v>
      </c>
      <c r="O180" s="1296">
        <f>IF(S180&gt;0,'3 pr-2'!X181,0)</f>
        <v>0</v>
      </c>
      <c r="P180" s="1296">
        <f>IF(S180&gt;0,'3 pr-2'!AA181,0)</f>
        <v>0</v>
      </c>
      <c r="Q180" s="1435">
        <f>IF($Y$9&gt;0,'3 pr-2'!AB181,0)</f>
        <v>0</v>
      </c>
      <c r="R180" s="637">
        <f>SUM('3 pr-2'!AK181)</f>
        <v>43830</v>
      </c>
      <c r="S180" s="545"/>
      <c r="T180" s="216" t="str">
        <f t="shared" si="74"/>
        <v>–</v>
      </c>
      <c r="U180" s="216"/>
      <c r="V180" s="1546">
        <f>IF(S180&gt;0,'IV-3'!K180,0)</f>
        <v>0</v>
      </c>
      <c r="W180" s="1544">
        <f t="shared" si="54"/>
        <v>0</v>
      </c>
    </row>
    <row r="181" spans="1:23" ht="36.75" x14ac:dyDescent="0.25">
      <c r="A181" s="182" t="str">
        <f>CONCATENATE('3 pr-2'!A182)</f>
        <v>3.1.2.1.9</v>
      </c>
      <c r="B181" s="182" t="str">
        <f>CONCATENATE('3 pr-2'!B182)</f>
        <v>R01-0019-380000-3219</v>
      </c>
      <c r="C181" s="309" t="str">
        <f>CONCATENATE('ketv. 2'!B181)</f>
        <v/>
      </c>
      <c r="D181" s="182"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96">
        <f>IF(S181&gt;0,'3 pr-2'!L182,0)</f>
        <v>0</v>
      </c>
      <c r="L181" s="1296">
        <f>IF(S181&gt;0,'3 pr-2'!O182,0)</f>
        <v>0</v>
      </c>
      <c r="M181" s="1296">
        <f>IF(S181&gt;0,'3 pr-2'!R182,0)</f>
        <v>0</v>
      </c>
      <c r="N181" s="1296">
        <f>IF(S181&gt;0,'3 pr-2'!U182,0)</f>
        <v>0</v>
      </c>
      <c r="O181" s="1296">
        <f>IF(S181&gt;0,'3 pr-2'!X182,0)</f>
        <v>0</v>
      </c>
      <c r="P181" s="1296">
        <f>IF(S181&gt;0,'3 pr-2'!AA182,0)</f>
        <v>0</v>
      </c>
      <c r="Q181" s="1435">
        <f>IF($Y$9&gt;0,'3 pr-2'!AB182,0)</f>
        <v>0</v>
      </c>
      <c r="R181" s="637">
        <f>SUM('3 pr-2'!AK182)</f>
        <v>44196</v>
      </c>
      <c r="S181" s="545"/>
      <c r="T181" s="216" t="str">
        <f t="shared" ref="T181" si="75">IF(R181-S181&lt;0,(R181-S181)/365,"–")</f>
        <v>–</v>
      </c>
      <c r="U181" s="216"/>
      <c r="V181" s="1546">
        <f>IF(S181&gt;0,'IV-3'!K181,0)</f>
        <v>0</v>
      </c>
      <c r="W181" s="1544">
        <f t="shared" si="54"/>
        <v>0</v>
      </c>
    </row>
    <row r="183" spans="1:23" x14ac:dyDescent="0.25">
      <c r="D183" s="1383" t="s">
        <v>1807</v>
      </c>
    </row>
  </sheetData>
  <autoFilter ref="A1:U181">
    <filterColumn colId="0" showButton="0"/>
    <filterColumn colId="1" hiddenButton="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60">
    <mergeCell ref="B160:J160"/>
    <mergeCell ref="B169:J169"/>
    <mergeCell ref="B159:J159"/>
    <mergeCell ref="B32:J32"/>
    <mergeCell ref="B38:J38"/>
    <mergeCell ref="B45:J45"/>
    <mergeCell ref="B49:J49"/>
    <mergeCell ref="B55:J55"/>
    <mergeCell ref="B57:J57"/>
    <mergeCell ref="B61:J61"/>
    <mergeCell ref="B66:J66"/>
    <mergeCell ref="B73:J73"/>
    <mergeCell ref="B78:J78"/>
    <mergeCell ref="B85:J85"/>
    <mergeCell ref="B140:J140"/>
    <mergeCell ref="B147:J147"/>
    <mergeCell ref="B8:J8"/>
    <mergeCell ref="B72:J72"/>
    <mergeCell ref="B100:J100"/>
    <mergeCell ref="B119:J119"/>
    <mergeCell ref="B146:J146"/>
    <mergeCell ref="B134:J134"/>
    <mergeCell ref="B168:J168"/>
    <mergeCell ref="B171:J171"/>
    <mergeCell ref="B172:J172"/>
    <mergeCell ref="K2:Q2"/>
    <mergeCell ref="E3:E4"/>
    <mergeCell ref="D3:D4"/>
    <mergeCell ref="B91:J91"/>
    <mergeCell ref="B101:J101"/>
    <mergeCell ref="B107:J107"/>
    <mergeCell ref="B113:J113"/>
    <mergeCell ref="B120:J120"/>
    <mergeCell ref="B6:J6"/>
    <mergeCell ref="B99:J99"/>
    <mergeCell ref="B167:J167"/>
    <mergeCell ref="B7:J7"/>
    <mergeCell ref="B153:J153"/>
    <mergeCell ref="A1:L1"/>
    <mergeCell ref="A2:J2"/>
    <mergeCell ref="A3:A4"/>
    <mergeCell ref="B3:B4"/>
    <mergeCell ref="R2:U2"/>
    <mergeCell ref="K3:K4"/>
    <mergeCell ref="L3:L4"/>
    <mergeCell ref="M3:M4"/>
    <mergeCell ref="N3:N4"/>
    <mergeCell ref="O3:O4"/>
    <mergeCell ref="P3:P4"/>
    <mergeCell ref="J3:J4"/>
    <mergeCell ref="I3:I4"/>
    <mergeCell ref="H3:H4"/>
    <mergeCell ref="G3:G4"/>
    <mergeCell ref="F3:F4"/>
    <mergeCell ref="V3:V4"/>
    <mergeCell ref="W3:W4"/>
    <mergeCell ref="Q3:Q4"/>
    <mergeCell ref="R3:R4"/>
    <mergeCell ref="S3:S4"/>
    <mergeCell ref="T3:T4"/>
  </mergeCells>
  <pageMargins left="0.23622047244094491" right="0.23622047244094491" top="0.74803149606299213" bottom="0.74803149606299213" header="0.31496062992125984" footer="0.31496062992125984"/>
  <pageSetup paperSize="8" scale="7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P185"/>
  <sheetViews>
    <sheetView topLeftCell="F3" workbookViewId="0">
      <pane ySplit="2385" topLeftCell="A53"/>
      <selection activeCell="M5" sqref="M1:N1048576"/>
      <selection pane="bottomLeft" activeCell="N48" sqref="N48"/>
    </sheetView>
  </sheetViews>
  <sheetFormatPr defaultRowHeight="15" x14ac:dyDescent="0.25"/>
  <cols>
    <col min="1" max="1" width="7.85546875" customWidth="1"/>
    <col min="2" max="2" width="9.28515625" customWidth="1"/>
    <col min="3" max="3" width="15" hidden="1" customWidth="1"/>
    <col min="4" max="4" width="36.140625" style="1" customWidth="1"/>
    <col min="5" max="5" width="15.140625" customWidth="1"/>
    <col min="6" max="6" width="16.7109375" customWidth="1"/>
    <col min="7" max="7" width="13.140625" customWidth="1"/>
    <col min="8" max="8" width="16.28515625" customWidth="1"/>
    <col min="9" max="9" width="4.5703125" bestFit="1" customWidth="1"/>
    <col min="10" max="10" width="5" bestFit="1" customWidth="1"/>
    <col min="11" max="11" width="14.28515625" bestFit="1" customWidth="1"/>
    <col min="12" max="12" width="14.5703125" customWidth="1"/>
    <col min="13" max="13" width="17.28515625" style="255" hidden="1" customWidth="1"/>
    <col min="14" max="14" width="16.42578125" hidden="1" customWidth="1"/>
    <col min="15" max="16" width="13.140625" bestFit="1" customWidth="1"/>
    <col min="17" max="17" width="12.7109375" style="255" hidden="1" customWidth="1"/>
    <col min="18" max="18" width="12.42578125" hidden="1" customWidth="1"/>
    <col min="19" max="20" width="13.140625" bestFit="1" customWidth="1"/>
    <col min="21" max="21" width="14.28515625" style="255" hidden="1" customWidth="1"/>
    <col min="22" max="22" width="12.42578125" hidden="1" customWidth="1"/>
    <col min="23" max="24" width="13.140625" bestFit="1" customWidth="1"/>
    <col min="25" max="25" width="12.7109375" style="255" hidden="1" customWidth="1"/>
    <col min="26" max="26" width="12.42578125" hidden="1" customWidth="1"/>
    <col min="27" max="27" width="10.140625" bestFit="1" customWidth="1"/>
    <col min="28" max="28" width="11.28515625" bestFit="1" customWidth="1"/>
    <col min="29" max="29" width="9.140625" style="255" hidden="1" customWidth="1"/>
    <col min="30" max="30" width="12.42578125" hidden="1" customWidth="1"/>
    <col min="31" max="31" width="16" customWidth="1"/>
    <col min="32" max="32" width="14.28515625" bestFit="1" customWidth="1"/>
    <col min="33" max="33" width="14.28515625" style="255" hidden="1" customWidth="1"/>
    <col min="34" max="34" width="12.42578125" hidden="1" customWidth="1"/>
    <col min="35" max="35" width="8.85546875" customWidth="1"/>
    <col min="36" max="36" width="9.28515625" customWidth="1"/>
    <col min="37" max="37" width="11.42578125" hidden="1" customWidth="1"/>
    <col min="38" max="38" width="10.5703125" hidden="1" customWidth="1"/>
    <col min="39" max="39" width="11.5703125" hidden="1" customWidth="1"/>
    <col min="40" max="40" width="0" hidden="1" customWidth="1"/>
    <col min="41" max="41" width="11.5703125" hidden="1" customWidth="1"/>
    <col min="42" max="42" width="0" hidden="1" customWidth="1"/>
  </cols>
  <sheetData>
    <row r="2" spans="1:42" ht="16.5" thickBot="1" x14ac:dyDescent="0.3">
      <c r="A2" s="98" t="s">
        <v>709</v>
      </c>
      <c r="B2" s="98"/>
      <c r="C2" s="250"/>
      <c r="F2" s="250"/>
    </row>
    <row r="3" spans="1:42" ht="15.75" thickBot="1" x14ac:dyDescent="0.3">
      <c r="A3" s="2063" t="s">
        <v>46</v>
      </c>
      <c r="B3" s="2064"/>
      <c r="C3" s="2064"/>
      <c r="D3" s="2064"/>
      <c r="E3" s="2064"/>
      <c r="F3" s="2064"/>
      <c r="G3" s="2064"/>
      <c r="H3" s="2064"/>
      <c r="I3" s="2064"/>
      <c r="J3" s="2069"/>
      <c r="K3" s="2063" t="s">
        <v>47</v>
      </c>
      <c r="L3" s="2064"/>
      <c r="M3" s="2064"/>
      <c r="N3" s="2064"/>
      <c r="O3" s="2064"/>
      <c r="P3" s="2064"/>
      <c r="Q3" s="2064"/>
      <c r="R3" s="2064"/>
      <c r="S3" s="2064"/>
      <c r="T3" s="2064"/>
      <c r="U3" s="2064"/>
      <c r="V3" s="2064"/>
      <c r="W3" s="2064"/>
      <c r="X3" s="2064"/>
      <c r="Y3" s="2064"/>
      <c r="Z3" s="2064"/>
      <c r="AA3" s="2064"/>
      <c r="AB3" s="2064"/>
      <c r="AC3" s="2064"/>
      <c r="AD3" s="2064"/>
      <c r="AE3" s="2064"/>
      <c r="AF3" s="2064"/>
      <c r="AG3" s="2064"/>
      <c r="AH3" s="2065"/>
      <c r="AI3" s="2065"/>
      <c r="AJ3" s="2066"/>
    </row>
    <row r="4" spans="1:42" ht="57.75" customHeight="1" thickBot="1" x14ac:dyDescent="0.3">
      <c r="A4" s="658" t="s">
        <v>7</v>
      </c>
      <c r="B4" s="659" t="s">
        <v>1804</v>
      </c>
      <c r="C4" s="659" t="s">
        <v>703</v>
      </c>
      <c r="D4" s="660" t="s">
        <v>49</v>
      </c>
      <c r="E4" s="661" t="s">
        <v>1797</v>
      </c>
      <c r="F4" s="661" t="s">
        <v>51</v>
      </c>
      <c r="G4" s="661" t="s">
        <v>52</v>
      </c>
      <c r="H4" s="661" t="s">
        <v>687</v>
      </c>
      <c r="I4" s="661" t="s">
        <v>1808</v>
      </c>
      <c r="J4" s="662" t="s">
        <v>1809</v>
      </c>
      <c r="K4" s="2061" t="s">
        <v>57</v>
      </c>
      <c r="L4" s="2067"/>
      <c r="M4" s="2067"/>
      <c r="N4" s="2068"/>
      <c r="O4" s="2061" t="s">
        <v>58</v>
      </c>
      <c r="P4" s="2067"/>
      <c r="Q4" s="2067"/>
      <c r="R4" s="2068"/>
      <c r="S4" s="2061" t="s">
        <v>59</v>
      </c>
      <c r="T4" s="2067"/>
      <c r="U4" s="2067"/>
      <c r="V4" s="2068"/>
      <c r="W4" s="2061" t="s">
        <v>60</v>
      </c>
      <c r="X4" s="2067"/>
      <c r="Y4" s="2067"/>
      <c r="Z4" s="2068"/>
      <c r="AA4" s="2061" t="s">
        <v>61</v>
      </c>
      <c r="AB4" s="2067"/>
      <c r="AC4" s="2067"/>
      <c r="AD4" s="2068"/>
      <c r="AE4" s="2061" t="s">
        <v>10</v>
      </c>
      <c r="AF4" s="2067"/>
      <c r="AG4" s="2067"/>
      <c r="AH4" s="2066"/>
      <c r="AI4" s="2061" t="s">
        <v>1806</v>
      </c>
      <c r="AJ4" s="2062"/>
    </row>
    <row r="5" spans="1:42" ht="23.25" customHeight="1" thickBot="1" x14ac:dyDescent="0.3">
      <c r="A5" s="251"/>
      <c r="B5" s="252"/>
      <c r="C5" s="252"/>
      <c r="D5" s="654"/>
      <c r="E5" s="186"/>
      <c r="F5" s="186"/>
      <c r="G5" s="186"/>
      <c r="H5" s="186"/>
      <c r="I5" s="186"/>
      <c r="J5" s="196"/>
      <c r="K5" s="1549" t="s">
        <v>710</v>
      </c>
      <c r="L5" s="1550" t="s">
        <v>711</v>
      </c>
      <c r="M5" s="1551" t="s">
        <v>377</v>
      </c>
      <c r="N5" s="1552" t="s">
        <v>799</v>
      </c>
      <c r="O5" s="1553" t="s">
        <v>710</v>
      </c>
      <c r="P5" s="1554" t="s">
        <v>711</v>
      </c>
      <c r="Q5" s="1551" t="s">
        <v>377</v>
      </c>
      <c r="R5" s="1552" t="s">
        <v>799</v>
      </c>
      <c r="S5" s="1553" t="s">
        <v>710</v>
      </c>
      <c r="T5" s="1554" t="s">
        <v>711</v>
      </c>
      <c r="U5" s="1551" t="s">
        <v>377</v>
      </c>
      <c r="V5" s="1552" t="s">
        <v>799</v>
      </c>
      <c r="W5" s="1553" t="s">
        <v>710</v>
      </c>
      <c r="X5" s="1554" t="s">
        <v>711</v>
      </c>
      <c r="Y5" s="1551" t="s">
        <v>377</v>
      </c>
      <c r="Z5" s="1552" t="s">
        <v>799</v>
      </c>
      <c r="AA5" s="1553" t="s">
        <v>710</v>
      </c>
      <c r="AB5" s="1554" t="s">
        <v>711</v>
      </c>
      <c r="AC5" s="1551" t="s">
        <v>377</v>
      </c>
      <c r="AD5" s="1552" t="s">
        <v>799</v>
      </c>
      <c r="AE5" s="1553" t="s">
        <v>710</v>
      </c>
      <c r="AF5" s="1554" t="s">
        <v>711</v>
      </c>
      <c r="AG5" s="1555" t="s">
        <v>800</v>
      </c>
      <c r="AH5" s="1552" t="s">
        <v>799</v>
      </c>
      <c r="AI5" s="1553" t="s">
        <v>710</v>
      </c>
      <c r="AJ5" s="1554" t="s">
        <v>711</v>
      </c>
    </row>
    <row r="6" spans="1:42" ht="71.25" customHeight="1" thickBot="1" x14ac:dyDescent="0.35">
      <c r="A6" s="443" t="str">
        <f>CONCATENATE('3 pr-2'!A7)</f>
        <v>1.1.</v>
      </c>
      <c r="B6" s="2071" t="str">
        <f>CONCATENATE('3 pr-2'!B7)</f>
        <v>Tikslas: 
DIDINTI ŪKINĖS VEIKLOS ĮVAIROVĘ IR PAGERINTI SĄLYGAS INVESTICIJŲ PRITRAUKIMUI, MAŽINANT GEOGRAFINIŲ SĄLYGŲ IR DEMOGRAFINIŲ PROCESŲ SUKELIAMUS GYVENIMO KOKYBĖS NETOLYGUMUS</v>
      </c>
      <c r="C6" s="2030"/>
      <c r="D6" s="2030"/>
      <c r="E6" s="2030"/>
      <c r="F6" s="2030"/>
      <c r="G6" s="2030"/>
      <c r="H6" s="2030"/>
      <c r="I6" s="2030"/>
      <c r="J6" s="2070"/>
      <c r="K6" s="1414">
        <f>SUM('3 pr-2'!L7)</f>
        <v>48154576.687058821</v>
      </c>
      <c r="L6" s="1415">
        <f ca="1">SUM(L7+L72)</f>
        <v>36200113.454711184</v>
      </c>
      <c r="M6" s="1416">
        <f ca="1">SUM(M7+M72)</f>
        <v>11518738.232347641</v>
      </c>
      <c r="N6" s="1417">
        <f ca="1">SUM(N7+N72)</f>
        <v>4210278.0347005827</v>
      </c>
      <c r="O6" s="1414">
        <f>SUM('3 pr-2'!O7)</f>
        <v>5510780.6070588231</v>
      </c>
      <c r="P6" s="1414">
        <f ca="1">SUM(P7+P72)</f>
        <v>3806482.811768048</v>
      </c>
      <c r="Q6" s="1414">
        <f ca="1">SUM(Q7+Q72)</f>
        <v>1659406.7952907754</v>
      </c>
      <c r="R6" s="1414">
        <f ca="1">SUM(R7+R72)</f>
        <v>-55319.652356283506</v>
      </c>
      <c r="S6" s="1414">
        <f>SUM('3 pr-2'!R7)</f>
        <v>1255396.17</v>
      </c>
      <c r="T6" s="1414">
        <f ca="1">SUM(T7+T72)</f>
        <v>1090452.5</v>
      </c>
      <c r="U6" s="1414" t="e">
        <f ca="1">SUM(U7+U72)</f>
        <v>#REF!</v>
      </c>
      <c r="V6" s="1414" t="e">
        <f ca="1">SUM(V7+V72)</f>
        <v>#REF!</v>
      </c>
      <c r="W6" s="1414">
        <f>SUM('3 pr-2'!U7)</f>
        <v>8480639.0100000016</v>
      </c>
      <c r="X6" s="1414">
        <f ca="1">SUM(X7+X72)</f>
        <v>6624263.0899999999</v>
      </c>
      <c r="Y6" s="1414">
        <f ca="1">SUM(Y7+Y72)</f>
        <v>1856375.92</v>
      </c>
      <c r="Z6" s="1414">
        <f ca="1">SUM(Z7+Z72)</f>
        <v>1433683.92</v>
      </c>
      <c r="AA6" s="1414">
        <f>SUM('3 pr-2'!X7)</f>
        <v>415060.82</v>
      </c>
      <c r="AB6" s="1414">
        <f ca="1">SUM(AB7+AB72)</f>
        <v>415060.82</v>
      </c>
      <c r="AC6" s="1414">
        <f ca="1">SUM(AC7+AC72)</f>
        <v>0</v>
      </c>
      <c r="AD6" s="1414">
        <f ca="1">SUM(AD7+AD72)</f>
        <v>0</v>
      </c>
      <c r="AE6" s="1414">
        <f>SUM('3 pr-2'!AA7)</f>
        <v>32492700.080000002</v>
      </c>
      <c r="AF6" s="1414">
        <f ca="1">SUM(AF7+AF72)</f>
        <v>24256089.689999998</v>
      </c>
      <c r="AG6" s="1418">
        <f ca="1">SUM(AG7+AG72)</f>
        <v>7409304.3899999987</v>
      </c>
      <c r="AH6" s="1419">
        <f ca="1">SUM(AH7+AH72)</f>
        <v>2726645.6899999995</v>
      </c>
      <c r="AI6" s="1414">
        <f>SUM('3 pr-2'!AE7)</f>
        <v>0</v>
      </c>
      <c r="AJ6" s="1414">
        <f>SUM(AJ7+AJ72)</f>
        <v>0</v>
      </c>
    </row>
    <row r="7" spans="1:42" ht="57.75" customHeight="1" thickBot="1" x14ac:dyDescent="0.3">
      <c r="A7" s="261" t="str">
        <f>CONCATENATE('3 pr-2'!A8)</f>
        <v>1.1.1.</v>
      </c>
      <c r="B7" s="1902" t="str">
        <f>CONCATENATE('3 pr-2'!B8)</f>
        <v>Uždavinys: 
Sudaryti sąlygas darbo vietų kūrimui, kuriant ir atnaujinant viešąją ir ekoinžinerinę  infrastruktūrą,  gamtos, kultūros paveldo objektus ir kultūros įstaigas</v>
      </c>
      <c r="C7" s="2030"/>
      <c r="D7" s="2030"/>
      <c r="E7" s="2030"/>
      <c r="F7" s="2030"/>
      <c r="G7" s="2030"/>
      <c r="H7" s="2030"/>
      <c r="I7" s="2030"/>
      <c r="J7" s="2070"/>
      <c r="K7" s="1420">
        <f>SUM('3 pr-2'!L8)</f>
        <v>38952825.067058824</v>
      </c>
      <c r="L7" s="1420">
        <f ca="1">SUM(L8+L32+L38+L45+L49+L55+L57+L61+L66)</f>
        <v>32977694.364711184</v>
      </c>
      <c r="M7" s="1418">
        <f ca="1">SUM(M8+M32+M38+M45+M49+M55+M57+M61+M66)</f>
        <v>5674757.7023476427</v>
      </c>
      <c r="N7" s="1419">
        <f ca="1">SUM(N8+N32+N38+N45+N49+N55+N57+N61+N66)</f>
        <v>3690660.5847005825</v>
      </c>
      <c r="O7" s="1420">
        <f>SUM('3 pr-2'!O8)</f>
        <v>3133869.217058823</v>
      </c>
      <c r="P7" s="1420">
        <f ca="1">SUM(P8+P32+P38+P45+P49+P55+P57+P61+P66)</f>
        <v>3346673.7117680479</v>
      </c>
      <c r="Q7" s="1420">
        <f ca="1">SUM(Q8+Q32+Q38+Q45+Q49+Q55+Q57+Q61+Q66)</f>
        <v>-235332.49470922459</v>
      </c>
      <c r="R7" s="1420">
        <f ca="1">SUM(R8+R32+R38+R45+R49+R55+R57+R61+R66)</f>
        <v>-570890.66235628352</v>
      </c>
      <c r="S7" s="1420">
        <f>SUM('3 pr-2'!R8)</f>
        <v>1255396.17</v>
      </c>
      <c r="T7" s="1420">
        <f ca="1">SUM(T8+T32+T38+T45+T49+T55+T57+T61+T66)</f>
        <v>1090452.5</v>
      </c>
      <c r="U7" s="1420" t="e">
        <f ca="1">SUM(U8+U32+U38+U45+U49+U55+U57+U61+U66)</f>
        <v>#REF!</v>
      </c>
      <c r="V7" s="1420" t="e">
        <f ca="1">SUM(V8+V32+V38+V45+V49+V55+V57+V61+V66)</f>
        <v>#REF!</v>
      </c>
      <c r="W7" s="1420">
        <f>SUM('3 pr-2'!U8)</f>
        <v>8057947.0100000007</v>
      </c>
      <c r="X7" s="1420">
        <f ca="1">SUM(X8+X32+X38+X45+X49+X55+X57+X61+X66)</f>
        <v>6624263.0899999999</v>
      </c>
      <c r="Y7" s="1420">
        <f ca="1">SUM(Y8+Y32+Y38+Y45+Y49+Y55+Y57+Y61+Y66)</f>
        <v>1433683.92</v>
      </c>
      <c r="Z7" s="1420">
        <f ca="1">SUM(Z8+Z32+Z38+Z45+Z49+Z55+Z57+Z61+Z66)</f>
        <v>1433683.92</v>
      </c>
      <c r="AA7" s="1420">
        <f>SUM('3 pr-2'!X8)</f>
        <v>352400.82</v>
      </c>
      <c r="AB7" s="1420">
        <f ca="1">SUM(AB8+AB32+AB38+AB45+AB49+AB55+AB57+AB61+AB66)</f>
        <v>352400.82</v>
      </c>
      <c r="AC7" s="1420">
        <f ca="1">SUM(AC8+AC32+AC38+AC45+AC49+AC55+AC57+AC61+AC66)</f>
        <v>0</v>
      </c>
      <c r="AD7" s="1420">
        <f ca="1">SUM(AD8+AD32+AD38+AD45+AD49+AD55+AD57+AD61+AD66)</f>
        <v>0</v>
      </c>
      <c r="AE7" s="1420">
        <f>SUM('3 pr-2'!AA8)</f>
        <v>26153211.850000001</v>
      </c>
      <c r="AF7" s="1420">
        <f ca="1">SUM(AF8+AF32+AF38+AF45+AF49+AF55+AF57+AF61+AF66)</f>
        <v>21556139.699999999</v>
      </c>
      <c r="AG7" s="1418">
        <f ca="1">SUM(AG8+AG32+AG38+AG45+AG49+AG55+AG57+AG61+AG66)</f>
        <v>4341755.1499999994</v>
      </c>
      <c r="AH7" s="1419">
        <f ca="1">SUM(AH8+AH32+AH38+AH45+AH49+AH55+AH57+AH61+AH66)</f>
        <v>2722599.2499999995</v>
      </c>
      <c r="AI7" s="1420">
        <f>SUM('3 pr-2'!AE8)</f>
        <v>0</v>
      </c>
      <c r="AJ7" s="1420">
        <f>SUM(AJ8+AJ32+AJ38+AJ45+AJ49+AJ55+AJ57+AJ61+AJ66)</f>
        <v>0</v>
      </c>
      <c r="AL7" s="1549" t="s">
        <v>3557</v>
      </c>
      <c r="AM7" s="1549" t="s">
        <v>3558</v>
      </c>
      <c r="AN7" s="1549" t="s">
        <v>3560</v>
      </c>
      <c r="AO7" s="1549" t="s">
        <v>3559</v>
      </c>
      <c r="AP7" s="1549" t="s">
        <v>3561</v>
      </c>
    </row>
    <row r="8" spans="1:42" s="253" customFormat="1" ht="36" customHeight="1" thickBot="1" x14ac:dyDescent="0.25">
      <c r="A8" s="326" t="str">
        <f>CONCATENATE('3 pr-2'!A9)</f>
        <v>1.1.1.1</v>
      </c>
      <c r="B8" s="1890" t="str">
        <f>CONCATENATE('3 pr-2'!B9)</f>
        <v>Priemonė:
Kaimo gyvenamųjų vietovių (turinčių iki 1 tūkst. gyventojų) atnaujinimas</v>
      </c>
      <c r="C8" s="2032"/>
      <c r="D8" s="2032"/>
      <c r="E8" s="2032"/>
      <c r="F8" s="2032"/>
      <c r="G8" s="2032"/>
      <c r="H8" s="2032"/>
      <c r="I8" s="2032"/>
      <c r="J8" s="2072"/>
      <c r="K8" s="1293">
        <f>SUM('3 pr-2'!L9)</f>
        <v>4207747</v>
      </c>
      <c r="L8" s="1293">
        <f>SUM(L9:L31)</f>
        <v>4288526.3147111814</v>
      </c>
      <c r="M8" s="1422">
        <f>SUM(M9:M31)</f>
        <v>-80779.314711181796</v>
      </c>
      <c r="N8" s="1423">
        <f>SUM(N9:N31)</f>
        <v>-388299.3147111818</v>
      </c>
      <c r="O8" s="1293">
        <f>SUM('3 pr-2'!O9)</f>
        <v>908274</v>
      </c>
      <c r="P8" s="1293">
        <f>SUM(P9:P31)</f>
        <v>1257450.7717680482</v>
      </c>
      <c r="Q8" s="1293">
        <f>SUM(Q9:Q31)</f>
        <v>-349176.77176804817</v>
      </c>
      <c r="R8" s="1293">
        <f>SUM(R9:R31)</f>
        <v>-410680.77176804817</v>
      </c>
      <c r="S8" s="1293">
        <f>SUM('3 pr-2'!R9)</f>
        <v>494922</v>
      </c>
      <c r="T8" s="1293">
        <f>SUM(T9:T31)</f>
        <v>453496.64999999991</v>
      </c>
      <c r="U8" s="1293" t="e">
        <f>SUM(U9:U31)</f>
        <v>#REF!</v>
      </c>
      <c r="V8" s="1293" t="e">
        <f>SUM(V9:V31)</f>
        <v>#REF!</v>
      </c>
      <c r="W8" s="1293">
        <f>SUM('3 pr-2'!AA9)</f>
        <v>2804551</v>
      </c>
      <c r="X8" s="1293">
        <f>SUM(X9:X31)</f>
        <v>0</v>
      </c>
      <c r="Y8" s="1293">
        <f>SUM(Y9:Y31)</f>
        <v>0</v>
      </c>
      <c r="Z8" s="1293">
        <f>SUM(Z9:Z31)</f>
        <v>0</v>
      </c>
      <c r="AA8" s="1293">
        <f>SUM('3 pr-2'!X9)</f>
        <v>0</v>
      </c>
      <c r="AB8" s="1293">
        <f>SUM(AB9:AB31)</f>
        <v>0</v>
      </c>
      <c r="AC8" s="1293">
        <f>SUM(AC9:AC31)</f>
        <v>0</v>
      </c>
      <c r="AD8" s="1293">
        <f>SUM(AD9:AD31)</f>
        <v>0</v>
      </c>
      <c r="AE8" s="1293">
        <f>SUM('3 pr-2'!AA9)</f>
        <v>2804551</v>
      </c>
      <c r="AF8" s="1293">
        <f>SUM(AF9:AF31)</f>
        <v>2569814.3499999996</v>
      </c>
      <c r="AG8" s="1424">
        <f>SUM(AG9:AG31)</f>
        <v>234736.65000000002</v>
      </c>
      <c r="AH8" s="1425">
        <f>SUM(AH9:AH31)</f>
        <v>25623.650000000023</v>
      </c>
      <c r="AI8" s="1293">
        <f>SUM('3 pr-2'!AB9)</f>
        <v>0</v>
      </c>
      <c r="AJ8" s="1293">
        <f>SUM(AJ9:AJ31)</f>
        <v>0</v>
      </c>
      <c r="AL8" s="1750"/>
      <c r="AM8" s="1750">
        <v>100</v>
      </c>
      <c r="AN8" s="1750">
        <v>15</v>
      </c>
      <c r="AO8" s="1750">
        <v>85</v>
      </c>
      <c r="AP8" s="1750"/>
    </row>
    <row r="9" spans="1:42" ht="36.75" x14ac:dyDescent="0.25">
      <c r="A9" s="182" t="str">
        <f>CONCATENATE('3 pr-2'!A10)</f>
        <v>1.1.1.1.1</v>
      </c>
      <c r="B9" s="182" t="str">
        <f>CONCATENATE('3 pr-2'!B10)</f>
        <v>R01-ZM72-120000-1101</v>
      </c>
      <c r="C9" s="652" t="str">
        <f>IF('ketv. 4 '!X10&gt;0,'ketv. 4 '!C10,"-")</f>
        <v>20KI-KA-17-1-02616-PR001</v>
      </c>
      <c r="D9" s="366"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82" t="str">
        <f>CONCATENATE('3 pr-2'!J10)</f>
        <v>-</v>
      </c>
      <c r="K9" s="1296">
        <f>SUM('3 pr-2'!L10)</f>
        <v>198893</v>
      </c>
      <c r="L9" s="1426">
        <v>198894.10294313368</v>
      </c>
      <c r="M9" s="1427">
        <f t="shared" ref="M9:M71" si="0">SUM(K9-L9)</f>
        <v>-1.1029431336792186</v>
      </c>
      <c r="N9" s="1428">
        <f t="shared" ref="N9:N31" si="1">IF(L9&gt;0,K9-L9,0)</f>
        <v>-1.1029431336792186</v>
      </c>
      <c r="O9" s="1296">
        <f>SUM('3 pr-2'!O10)</f>
        <v>39779</v>
      </c>
      <c r="P9" s="1426">
        <v>32014.560000000001</v>
      </c>
      <c r="Q9" s="1427">
        <f t="shared" ref="Q9:Q71" si="2">SUM(O9-P9)</f>
        <v>7764.4399999999987</v>
      </c>
      <c r="R9" s="1428">
        <f t="shared" ref="R9:R31" si="3">IF(P9&gt;0,O9-P9,0)</f>
        <v>7764.4399999999987</v>
      </c>
      <c r="S9" s="1296">
        <f>SUM('3 pr-2'!R10)</f>
        <v>23867</v>
      </c>
      <c r="T9" s="1426">
        <f>SUM(AN9)</f>
        <v>23867.25</v>
      </c>
      <c r="U9" s="1427">
        <f t="shared" ref="U9:U31" si="4">SUM(S9-T9)</f>
        <v>-0.25</v>
      </c>
      <c r="V9" s="1428">
        <f t="shared" ref="V9:V31" si="5">IF(T9&gt;0,S9-T9,0)</f>
        <v>-0.25</v>
      </c>
      <c r="W9" s="1296">
        <f>SUM('3 pr-2'!U10)</f>
        <v>0</v>
      </c>
      <c r="X9" s="1296">
        <v>0</v>
      </c>
      <c r="Y9" s="1427">
        <f t="shared" ref="Y9" si="6">SUM(W9-X9)</f>
        <v>0</v>
      </c>
      <c r="Z9" s="1428">
        <f t="shared" ref="Z9:Z31" si="7">IF(X9&gt;0,W9-X9,0)</f>
        <v>0</v>
      </c>
      <c r="AA9" s="1296">
        <f>SUM('3 pr-2'!X10)</f>
        <v>0</v>
      </c>
      <c r="AB9" s="1296">
        <v>0</v>
      </c>
      <c r="AC9" s="1427">
        <f t="shared" ref="AC9:AC31" si="8">SUM(AA9-AB9)</f>
        <v>0</v>
      </c>
      <c r="AD9" s="1428">
        <f t="shared" ref="AD9:AD31" si="9">IF(AB9&gt;0,AA9-AB9,0)</f>
        <v>0</v>
      </c>
      <c r="AE9" s="1296">
        <f>SUM('3 pr-2'!AA10)</f>
        <v>135247</v>
      </c>
      <c r="AF9" s="1426">
        <f>SUM(AO9)</f>
        <v>135247.75</v>
      </c>
      <c r="AG9" s="1429">
        <f t="shared" ref="AG9:AG31" si="10">SUM(AE9-AF9)</f>
        <v>-0.75</v>
      </c>
      <c r="AH9" s="1430">
        <f t="shared" ref="AH9:AH31" si="11">IF(AF9&gt;0,AE9-AF9,0)</f>
        <v>-0.75</v>
      </c>
      <c r="AI9" s="1296">
        <f>SUM('3 pr-2'!AB10)</f>
        <v>0</v>
      </c>
      <c r="AJ9" s="1426">
        <v>0</v>
      </c>
      <c r="AL9" s="1751">
        <f t="shared" ref="AL9:AL19" si="12">SUM(S9+AE9)</f>
        <v>159114</v>
      </c>
      <c r="AM9" s="1752">
        <v>159115</v>
      </c>
      <c r="AN9" s="1752">
        <f t="shared" ref="AN9:AN22" si="13">SUM(AM9*$AN$8/$AM$8)</f>
        <v>23867.25</v>
      </c>
      <c r="AO9" s="1752">
        <f t="shared" ref="AO9:AO22" si="14">SUM(AM9*$AO$8/$AM$8)</f>
        <v>135247.75</v>
      </c>
      <c r="AP9" s="1752">
        <f t="shared" ref="AP9:AP22" si="15">SUM(K9*AF9/AE9)</f>
        <v>198894.10294313368</v>
      </c>
    </row>
    <row r="10" spans="1:42" ht="36.75" x14ac:dyDescent="0.25">
      <c r="A10" s="182" t="str">
        <f>CONCATENATE('3 pr-2'!A11)</f>
        <v>1.1.1.1.2</v>
      </c>
      <c r="B10" s="182" t="str">
        <f>CONCATENATE('3 pr-2'!B11)</f>
        <v>R01-ZM72-120000-1102</v>
      </c>
      <c r="C10" s="652" t="str">
        <f>IF('ketv. 4 '!X11&gt;0,'ketv. 4 '!C11,"-")</f>
        <v>20KI-KA-17-1-02617-PR001</v>
      </c>
      <c r="D10" s="366"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96">
        <f>SUM('3 pr-2'!L11)</f>
        <v>151340</v>
      </c>
      <c r="L10" s="1426">
        <f t="shared" ref="L10:L31" si="16">SUM(P10+T10+X10+AB10+AF10+AJ10)</f>
        <v>161570</v>
      </c>
      <c r="M10" s="1427">
        <f t="shared" si="0"/>
        <v>-10230</v>
      </c>
      <c r="N10" s="1428">
        <f t="shared" si="1"/>
        <v>-10230</v>
      </c>
      <c r="O10" s="1296">
        <f>SUM('3 pr-2'!O11)</f>
        <v>30268</v>
      </c>
      <c r="P10" s="1426">
        <v>40499</v>
      </c>
      <c r="Q10" s="1427">
        <f t="shared" si="2"/>
        <v>-10231</v>
      </c>
      <c r="R10" s="1428">
        <f t="shared" si="3"/>
        <v>-10231</v>
      </c>
      <c r="S10" s="1296">
        <f>SUM('3 pr-2'!R11)</f>
        <v>18161</v>
      </c>
      <c r="T10" s="1426">
        <f t="shared" ref="T10:T31" si="17">SUM(AN10)</f>
        <v>18160.650000000001</v>
      </c>
      <c r="U10" s="1427">
        <f t="shared" si="4"/>
        <v>0.34999999999854481</v>
      </c>
      <c r="V10" s="1428">
        <f t="shared" si="5"/>
        <v>0.34999999999854481</v>
      </c>
      <c r="W10" s="1296">
        <f>SUM('3 pr-2'!U11)</f>
        <v>0</v>
      </c>
      <c r="X10" s="1296">
        <v>0</v>
      </c>
      <c r="Y10" s="1427">
        <f t="shared" ref="Y10:Y31" si="18">SUM(W10-X10)</f>
        <v>0</v>
      </c>
      <c r="Z10" s="1428">
        <f t="shared" si="7"/>
        <v>0</v>
      </c>
      <c r="AA10" s="1296">
        <f>SUM('3 pr-2'!X11)</f>
        <v>0</v>
      </c>
      <c r="AB10" s="1296">
        <v>0</v>
      </c>
      <c r="AC10" s="1427">
        <f t="shared" si="8"/>
        <v>0</v>
      </c>
      <c r="AD10" s="1428">
        <f t="shared" si="9"/>
        <v>0</v>
      </c>
      <c r="AE10" s="1296">
        <f>SUM('3 pr-2'!AA11)</f>
        <v>102911</v>
      </c>
      <c r="AF10" s="1426">
        <f t="shared" ref="AF10:AF22" si="19">SUM(AO10)</f>
        <v>102910.35</v>
      </c>
      <c r="AG10" s="1429">
        <f t="shared" si="10"/>
        <v>0.64999999999417923</v>
      </c>
      <c r="AH10" s="1430">
        <f t="shared" si="11"/>
        <v>0.64999999999417923</v>
      </c>
      <c r="AI10" s="1296">
        <f>SUM('3 pr-2'!AB11)</f>
        <v>0</v>
      </c>
      <c r="AJ10" s="1426">
        <v>0</v>
      </c>
      <c r="AL10" s="1751">
        <f t="shared" si="12"/>
        <v>121072</v>
      </c>
      <c r="AM10" s="1752">
        <v>121071</v>
      </c>
      <c r="AN10" s="1752">
        <f t="shared" si="13"/>
        <v>18160.650000000001</v>
      </c>
      <c r="AO10" s="1752">
        <f t="shared" si="14"/>
        <v>102910.35</v>
      </c>
      <c r="AP10" s="1752">
        <f t="shared" si="15"/>
        <v>151339.04411578938</v>
      </c>
    </row>
    <row r="11" spans="1:42" ht="36.75" x14ac:dyDescent="0.25">
      <c r="A11" s="182" t="str">
        <f>CONCATENATE('3 pr-2'!A12)</f>
        <v>1.1.1.1.3</v>
      </c>
      <c r="B11" s="182" t="str">
        <f>CONCATENATE('3 pr-2'!B12)</f>
        <v>R01-ZM72-120000-1103</v>
      </c>
      <c r="C11" s="652" t="str">
        <f>IF('ketv. 4 '!X12&gt;0,'ketv. 4 '!C12,"-")</f>
        <v>20KI-KA-17-1-02622-PR001</v>
      </c>
      <c r="D11" s="366"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96">
        <f>SUM('3 pr-2'!L12)</f>
        <v>193059</v>
      </c>
      <c r="L11" s="1426">
        <f t="shared" si="16"/>
        <v>189886.66</v>
      </c>
      <c r="M11" s="1427">
        <f t="shared" si="0"/>
        <v>3172.3399999999965</v>
      </c>
      <c r="N11" s="1428">
        <f t="shared" si="1"/>
        <v>3172.3399999999965</v>
      </c>
      <c r="O11" s="1296">
        <f>SUM('3 pr-2'!O12)</f>
        <v>38612</v>
      </c>
      <c r="P11" s="1426">
        <v>35440.660000000003</v>
      </c>
      <c r="Q11" s="1427">
        <f t="shared" si="2"/>
        <v>3171.3399999999965</v>
      </c>
      <c r="R11" s="1428">
        <f t="shared" si="3"/>
        <v>3171.3399999999965</v>
      </c>
      <c r="S11" s="1296">
        <f>SUM('3 pr-2'!R12)</f>
        <v>23167</v>
      </c>
      <c r="T11" s="1426">
        <f t="shared" si="17"/>
        <v>23166.9</v>
      </c>
      <c r="U11" s="1427">
        <f t="shared" si="4"/>
        <v>9.9999999998544808E-2</v>
      </c>
      <c r="V11" s="1428">
        <f t="shared" si="5"/>
        <v>9.9999999998544808E-2</v>
      </c>
      <c r="W11" s="1296">
        <f>SUM('3 pr-2'!U12)</f>
        <v>0</v>
      </c>
      <c r="X11" s="1296">
        <v>0</v>
      </c>
      <c r="Y11" s="1427">
        <f t="shared" si="18"/>
        <v>0</v>
      </c>
      <c r="Z11" s="1428">
        <f t="shared" si="7"/>
        <v>0</v>
      </c>
      <c r="AA11" s="1296">
        <f>SUM('3 pr-2'!X12)</f>
        <v>0</v>
      </c>
      <c r="AB11" s="1296">
        <v>0</v>
      </c>
      <c r="AC11" s="1427">
        <f t="shared" si="8"/>
        <v>0</v>
      </c>
      <c r="AD11" s="1428">
        <f t="shared" si="9"/>
        <v>0</v>
      </c>
      <c r="AE11" s="1296">
        <f>SUM('3 pr-2'!AA12)</f>
        <v>131280</v>
      </c>
      <c r="AF11" s="1426">
        <f t="shared" si="19"/>
        <v>131279.1</v>
      </c>
      <c r="AG11" s="1429">
        <f t="shared" si="10"/>
        <v>0.89999999999417923</v>
      </c>
      <c r="AH11" s="1430">
        <f t="shared" si="11"/>
        <v>0.89999999999417923</v>
      </c>
      <c r="AI11" s="1296">
        <f>SUM('3 pr-2'!AB12)</f>
        <v>0</v>
      </c>
      <c r="AJ11" s="1426">
        <v>0</v>
      </c>
      <c r="AL11" s="1751">
        <f t="shared" si="12"/>
        <v>154447</v>
      </c>
      <c r="AM11" s="1752">
        <v>154446</v>
      </c>
      <c r="AN11" s="1752">
        <f t="shared" si="13"/>
        <v>23166.9</v>
      </c>
      <c r="AO11" s="1752">
        <f t="shared" si="14"/>
        <v>131279.1</v>
      </c>
      <c r="AP11" s="1752">
        <f t="shared" si="15"/>
        <v>193057.67646937844</v>
      </c>
    </row>
    <row r="12" spans="1:42" ht="36.75" x14ac:dyDescent="0.25">
      <c r="A12" s="182" t="str">
        <f>CONCATENATE('3 pr-2'!A13)</f>
        <v>1.1.1.1.4</v>
      </c>
      <c r="B12" s="182" t="str">
        <f>CONCATENATE('3 pr-2'!B13)</f>
        <v>R01-ZM72-330200-1104</v>
      </c>
      <c r="C12" s="652" t="str">
        <f>IF('ketv. 4 '!X13&gt;0,'ketv. 4 '!C13,"-")</f>
        <v>20KI-KA-17-1-02368-PR001</v>
      </c>
      <c r="D12" s="366"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96">
        <f>SUM('3 pr-2'!L13)</f>
        <v>125000</v>
      </c>
      <c r="L12" s="1426">
        <f t="shared" si="16"/>
        <v>123160</v>
      </c>
      <c r="M12" s="1427">
        <f t="shared" si="0"/>
        <v>1840</v>
      </c>
      <c r="N12" s="1428">
        <f t="shared" si="1"/>
        <v>1840</v>
      </c>
      <c r="O12" s="1296">
        <f>SUM('3 pr-2'!O13)</f>
        <v>25000</v>
      </c>
      <c r="P12" s="1426">
        <v>24632</v>
      </c>
      <c r="Q12" s="1427">
        <f t="shared" si="2"/>
        <v>368</v>
      </c>
      <c r="R12" s="1428">
        <f t="shared" si="3"/>
        <v>368</v>
      </c>
      <c r="S12" s="1296">
        <f>SUM('3 pr-2'!R13)</f>
        <v>15000</v>
      </c>
      <c r="T12" s="1426">
        <f t="shared" si="17"/>
        <v>14779.2</v>
      </c>
      <c r="U12" s="1427">
        <f t="shared" si="4"/>
        <v>220.79999999999927</v>
      </c>
      <c r="V12" s="1428">
        <f t="shared" si="5"/>
        <v>220.79999999999927</v>
      </c>
      <c r="W12" s="1296">
        <f>SUM('3 pr-2'!U13)</f>
        <v>0</v>
      </c>
      <c r="X12" s="1296">
        <v>0</v>
      </c>
      <c r="Y12" s="1427">
        <f t="shared" si="18"/>
        <v>0</v>
      </c>
      <c r="Z12" s="1428">
        <f t="shared" si="7"/>
        <v>0</v>
      </c>
      <c r="AA12" s="1296">
        <f>SUM('3 pr-2'!X13)</f>
        <v>0</v>
      </c>
      <c r="AB12" s="1296">
        <v>0</v>
      </c>
      <c r="AC12" s="1427">
        <f t="shared" si="8"/>
        <v>0</v>
      </c>
      <c r="AD12" s="1428">
        <f t="shared" si="9"/>
        <v>0</v>
      </c>
      <c r="AE12" s="1296">
        <f>SUM('3 pr-2'!AA13)</f>
        <v>85000</v>
      </c>
      <c r="AF12" s="1426">
        <f t="shared" si="19"/>
        <v>83748.800000000003</v>
      </c>
      <c r="AG12" s="1429">
        <f t="shared" si="10"/>
        <v>1251.1999999999971</v>
      </c>
      <c r="AH12" s="1430">
        <f t="shared" si="11"/>
        <v>1251.1999999999971</v>
      </c>
      <c r="AI12" s="1296">
        <f>SUM('3 pr-2'!AB13)</f>
        <v>0</v>
      </c>
      <c r="AJ12" s="1426">
        <v>0</v>
      </c>
      <c r="AL12" s="1751">
        <f t="shared" si="12"/>
        <v>100000</v>
      </c>
      <c r="AM12" s="1753">
        <v>98528</v>
      </c>
      <c r="AN12" s="1752">
        <f t="shared" si="13"/>
        <v>14779.2</v>
      </c>
      <c r="AO12" s="1752">
        <f t="shared" si="14"/>
        <v>83748.800000000003</v>
      </c>
      <c r="AP12" s="1752">
        <f t="shared" si="15"/>
        <v>123160</v>
      </c>
    </row>
    <row r="13" spans="1:42" ht="36.75" x14ac:dyDescent="0.25">
      <c r="A13" s="182" t="str">
        <f>CONCATENATE('3 pr-2'!A14)</f>
        <v>1.1.1.1.5</v>
      </c>
      <c r="B13" s="182" t="str">
        <f>CONCATENATE('3 pr-2'!B14)</f>
        <v>R01-ZM72-120000-1105</v>
      </c>
      <c r="C13" s="652" t="str">
        <f>IF('ketv. 4 '!X14&gt;0,'ketv. 4 '!C14,"-")</f>
        <v>20KI-KA-17-1-02619-PR001</v>
      </c>
      <c r="D13" s="366"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96">
        <f>SUM('3 pr-2'!L14)</f>
        <v>240940</v>
      </c>
      <c r="L13" s="1426">
        <f t="shared" si="16"/>
        <v>207509.88999999998</v>
      </c>
      <c r="M13" s="1427">
        <f t="shared" si="0"/>
        <v>33430.110000000015</v>
      </c>
      <c r="N13" s="1428">
        <f t="shared" si="1"/>
        <v>33430.110000000015</v>
      </c>
      <c r="O13" s="1296">
        <f>SUM('3 pr-2'!O14)</f>
        <v>112896</v>
      </c>
      <c r="P13" s="1426">
        <v>79465.89</v>
      </c>
      <c r="Q13" s="1427">
        <f t="shared" si="2"/>
        <v>33430.11</v>
      </c>
      <c r="R13" s="1428">
        <f t="shared" si="3"/>
        <v>33430.11</v>
      </c>
      <c r="S13" s="1296">
        <f>SUM('3 pr-2'!R14)</f>
        <v>19207</v>
      </c>
      <c r="T13" s="1426">
        <f t="shared" si="17"/>
        <v>19206.599999999999</v>
      </c>
      <c r="U13" s="1427">
        <f t="shared" si="4"/>
        <v>0.40000000000145519</v>
      </c>
      <c r="V13" s="1428">
        <f t="shared" si="5"/>
        <v>0.40000000000145519</v>
      </c>
      <c r="W13" s="1296">
        <f>SUM('3 pr-2'!U14)</f>
        <v>0</v>
      </c>
      <c r="X13" s="1296">
        <v>0</v>
      </c>
      <c r="Y13" s="1427">
        <f t="shared" si="18"/>
        <v>0</v>
      </c>
      <c r="Z13" s="1428">
        <f t="shared" si="7"/>
        <v>0</v>
      </c>
      <c r="AA13" s="1296">
        <f>SUM('3 pr-2'!X14)</f>
        <v>0</v>
      </c>
      <c r="AB13" s="1296">
        <v>0</v>
      </c>
      <c r="AC13" s="1427">
        <f t="shared" si="8"/>
        <v>0</v>
      </c>
      <c r="AD13" s="1428">
        <f t="shared" si="9"/>
        <v>0</v>
      </c>
      <c r="AE13" s="1296">
        <f>SUM('3 pr-2'!AA14)</f>
        <v>108837</v>
      </c>
      <c r="AF13" s="1426">
        <f t="shared" si="19"/>
        <v>108837.4</v>
      </c>
      <c r="AG13" s="1429">
        <f t="shared" si="10"/>
        <v>-0.39999999999417923</v>
      </c>
      <c r="AH13" s="1430">
        <f t="shared" si="11"/>
        <v>-0.39999999999417923</v>
      </c>
      <c r="AI13" s="1296">
        <f>SUM('3 pr-2'!AB14)</f>
        <v>0</v>
      </c>
      <c r="AJ13" s="1426">
        <v>0</v>
      </c>
      <c r="AL13" s="1751">
        <f t="shared" si="12"/>
        <v>128044</v>
      </c>
      <c r="AM13" s="1753">
        <v>128044</v>
      </c>
      <c r="AN13" s="1752">
        <f t="shared" si="13"/>
        <v>19206.599999999999</v>
      </c>
      <c r="AO13" s="1752">
        <f t="shared" si="14"/>
        <v>108837.4</v>
      </c>
      <c r="AP13" s="1752">
        <f t="shared" si="15"/>
        <v>240940.8855076858</v>
      </c>
    </row>
    <row r="14" spans="1:42" ht="48.75" x14ac:dyDescent="0.25">
      <c r="A14" s="182" t="str">
        <f>CONCATENATE('3 pr-2'!A15)</f>
        <v>1.1.1.1.6</v>
      </c>
      <c r="B14" s="182" t="str">
        <f>CONCATENATE('3 pr-2'!B15)</f>
        <v>R01-ZM72-330200-1106</v>
      </c>
      <c r="C14" s="652" t="str">
        <f>IF('ketv. 4 '!X15&gt;0,'ketv. 4 '!C15,"-")</f>
        <v>20KI-KA-17-1-02374-PR001</v>
      </c>
      <c r="D14" s="366"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96">
        <f>SUM('3 pr-2'!L15)</f>
        <v>201000</v>
      </c>
      <c r="L14" s="1426">
        <f t="shared" si="16"/>
        <v>200999</v>
      </c>
      <c r="M14" s="1427">
        <f t="shared" si="0"/>
        <v>1</v>
      </c>
      <c r="N14" s="1428">
        <f t="shared" si="1"/>
        <v>1</v>
      </c>
      <c r="O14" s="1296">
        <f>SUM('3 pr-2'!O15)</f>
        <v>40200</v>
      </c>
      <c r="P14" s="1426">
        <v>41071</v>
      </c>
      <c r="Q14" s="1427">
        <f t="shared" si="2"/>
        <v>-871</v>
      </c>
      <c r="R14" s="1428">
        <f t="shared" si="3"/>
        <v>-871</v>
      </c>
      <c r="S14" s="1296">
        <f>SUM('3 pr-2'!R15)</f>
        <v>24120</v>
      </c>
      <c r="T14" s="1426">
        <f t="shared" si="17"/>
        <v>23989.200000000001</v>
      </c>
      <c r="U14" s="1427">
        <f t="shared" si="4"/>
        <v>130.79999999999927</v>
      </c>
      <c r="V14" s="1428">
        <f t="shared" si="5"/>
        <v>130.79999999999927</v>
      </c>
      <c r="W14" s="1296">
        <f>SUM('3 pr-2'!U15)</f>
        <v>0</v>
      </c>
      <c r="X14" s="1296">
        <v>0</v>
      </c>
      <c r="Y14" s="1427">
        <f t="shared" si="18"/>
        <v>0</v>
      </c>
      <c r="Z14" s="1428">
        <f t="shared" si="7"/>
        <v>0</v>
      </c>
      <c r="AA14" s="1296">
        <f>SUM('3 pr-2'!X15)</f>
        <v>0</v>
      </c>
      <c r="AB14" s="1296">
        <v>0</v>
      </c>
      <c r="AC14" s="1427">
        <f t="shared" si="8"/>
        <v>0</v>
      </c>
      <c r="AD14" s="1428">
        <f t="shared" si="9"/>
        <v>0</v>
      </c>
      <c r="AE14" s="1296">
        <f>SUM('3 pr-2'!AA15)</f>
        <v>136680</v>
      </c>
      <c r="AF14" s="1426">
        <f t="shared" si="19"/>
        <v>135938.79999999999</v>
      </c>
      <c r="AG14" s="1429">
        <f t="shared" si="10"/>
        <v>741.20000000001164</v>
      </c>
      <c r="AH14" s="1430">
        <f t="shared" si="11"/>
        <v>741.20000000001164</v>
      </c>
      <c r="AI14" s="1296">
        <f>SUM('3 pr-2'!AB15)</f>
        <v>0</v>
      </c>
      <c r="AJ14" s="1426">
        <v>0</v>
      </c>
      <c r="AL14" s="1751">
        <f t="shared" si="12"/>
        <v>160800</v>
      </c>
      <c r="AM14" s="1752">
        <v>159928</v>
      </c>
      <c r="AN14" s="1752">
        <f t="shared" si="13"/>
        <v>23989.200000000001</v>
      </c>
      <c r="AO14" s="1752">
        <f t="shared" si="14"/>
        <v>135938.79999999999</v>
      </c>
      <c r="AP14" s="1752">
        <f t="shared" si="15"/>
        <v>199909.99999999997</v>
      </c>
    </row>
    <row r="15" spans="1:42" ht="36.75" x14ac:dyDescent="0.25">
      <c r="A15" s="182" t="str">
        <f>CONCATENATE('3 pr-2'!A16)</f>
        <v>1.1.1.1.7</v>
      </c>
      <c r="B15" s="182" t="str">
        <f>CONCATENATE('3 pr-2'!B16)</f>
        <v>R01-ZM72-123200-1107</v>
      </c>
      <c r="C15" s="652" t="str">
        <f>IF('ketv. 4 '!X16&gt;0,'ketv. 4 '!C16,"-")</f>
        <v>20KI-KA-17-1-02437-PR001</v>
      </c>
      <c r="D15" s="366"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96">
        <f>SUM('3 pr-2'!L16)</f>
        <v>252212</v>
      </c>
      <c r="L15" s="1426">
        <f t="shared" si="16"/>
        <v>252212</v>
      </c>
      <c r="M15" s="1427">
        <f t="shared" si="0"/>
        <v>0</v>
      </c>
      <c r="N15" s="1428">
        <f t="shared" si="1"/>
        <v>0</v>
      </c>
      <c r="O15" s="1296">
        <f>SUM('3 pr-2'!O16)</f>
        <v>52212</v>
      </c>
      <c r="P15" s="1426">
        <v>52212</v>
      </c>
      <c r="Q15" s="1427">
        <f t="shared" si="2"/>
        <v>0</v>
      </c>
      <c r="R15" s="1428">
        <f t="shared" si="3"/>
        <v>0</v>
      </c>
      <c r="S15" s="1296">
        <f>SUM('3 pr-2'!R16)</f>
        <v>30000</v>
      </c>
      <c r="T15" s="1426">
        <f t="shared" si="17"/>
        <v>30000</v>
      </c>
      <c r="U15" s="1427" t="e">
        <f>SUM(S15-#REF!)</f>
        <v>#REF!</v>
      </c>
      <c r="V15" s="1428" t="e">
        <f>IF(#REF!&gt;0,S15-#REF!,0)</f>
        <v>#REF!</v>
      </c>
      <c r="W15" s="1296">
        <f>SUM('3 pr-2'!U16)</f>
        <v>0</v>
      </c>
      <c r="X15" s="1296">
        <v>0</v>
      </c>
      <c r="Y15" s="1427">
        <f t="shared" si="18"/>
        <v>0</v>
      </c>
      <c r="Z15" s="1428">
        <f t="shared" si="7"/>
        <v>0</v>
      </c>
      <c r="AA15" s="1296">
        <f>SUM('3 pr-2'!X16)</f>
        <v>0</v>
      </c>
      <c r="AB15" s="1296">
        <v>0</v>
      </c>
      <c r="AC15" s="1427">
        <f t="shared" si="8"/>
        <v>0</v>
      </c>
      <c r="AD15" s="1428">
        <f t="shared" si="9"/>
        <v>0</v>
      </c>
      <c r="AE15" s="1296">
        <f>SUM('3 pr-2'!AA16)</f>
        <v>170000</v>
      </c>
      <c r="AF15" s="1426">
        <f t="shared" si="19"/>
        <v>170000</v>
      </c>
      <c r="AG15" s="1429">
        <f t="shared" si="10"/>
        <v>0</v>
      </c>
      <c r="AH15" s="1430">
        <f t="shared" si="11"/>
        <v>0</v>
      </c>
      <c r="AI15" s="1296">
        <f>SUM('3 pr-2'!AB16)</f>
        <v>0</v>
      </c>
      <c r="AJ15" s="1426">
        <v>0</v>
      </c>
      <c r="AL15" s="1751">
        <f t="shared" si="12"/>
        <v>200000</v>
      </c>
      <c r="AM15" s="1752">
        <v>200000</v>
      </c>
      <c r="AN15" s="1752">
        <f t="shared" si="13"/>
        <v>30000</v>
      </c>
      <c r="AO15" s="1752">
        <f t="shared" si="14"/>
        <v>170000</v>
      </c>
      <c r="AP15" s="1752">
        <f t="shared" si="15"/>
        <v>252212</v>
      </c>
    </row>
    <row r="16" spans="1:42" ht="36.75" x14ac:dyDescent="0.25">
      <c r="A16" s="182" t="str">
        <f>CONCATENATE('3 pr-2'!A17)</f>
        <v>1.1.1.1.8</v>
      </c>
      <c r="B16" s="182" t="str">
        <f>CONCATENATE('3 pr-2'!B17)</f>
        <v>R01-ZM72-123200-1108</v>
      </c>
      <c r="C16" s="652" t="str">
        <f>IF('ketv. 4 '!X17&gt;0,'ketv. 4 '!C17,"-")</f>
        <v>20KI-KA-17-1-02242-PR001</v>
      </c>
      <c r="D16" s="366"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96">
        <f>SUM('3 pr-2'!L17)</f>
        <v>250309</v>
      </c>
      <c r="L16" s="1426">
        <f t="shared" si="16"/>
        <v>250000</v>
      </c>
      <c r="M16" s="1427">
        <f t="shared" si="0"/>
        <v>309</v>
      </c>
      <c r="N16" s="1428">
        <f t="shared" si="1"/>
        <v>309</v>
      </c>
      <c r="O16" s="1296">
        <f>SUM('3 pr-2'!O17)</f>
        <v>50309</v>
      </c>
      <c r="P16" s="1426">
        <v>50000</v>
      </c>
      <c r="Q16" s="1427">
        <f t="shared" si="2"/>
        <v>309</v>
      </c>
      <c r="R16" s="1428">
        <f t="shared" si="3"/>
        <v>309</v>
      </c>
      <c r="S16" s="1296">
        <f>SUM('3 pr-2'!R17)</f>
        <v>30000</v>
      </c>
      <c r="T16" s="1426">
        <f t="shared" si="17"/>
        <v>30000</v>
      </c>
      <c r="U16" s="1427">
        <f t="shared" si="4"/>
        <v>0</v>
      </c>
      <c r="V16" s="1428">
        <f t="shared" si="5"/>
        <v>0</v>
      </c>
      <c r="W16" s="1296">
        <f>SUM('3 pr-2'!U17)</f>
        <v>0</v>
      </c>
      <c r="X16" s="1296">
        <v>0</v>
      </c>
      <c r="Y16" s="1427">
        <f t="shared" si="18"/>
        <v>0</v>
      </c>
      <c r="Z16" s="1428">
        <f t="shared" si="7"/>
        <v>0</v>
      </c>
      <c r="AA16" s="1296">
        <f>SUM('3 pr-2'!X17)</f>
        <v>0</v>
      </c>
      <c r="AB16" s="1296">
        <v>0</v>
      </c>
      <c r="AC16" s="1427">
        <f t="shared" si="8"/>
        <v>0</v>
      </c>
      <c r="AD16" s="1428">
        <f t="shared" si="9"/>
        <v>0</v>
      </c>
      <c r="AE16" s="1296">
        <f>SUM('3 pr-2'!AA17)</f>
        <v>170000</v>
      </c>
      <c r="AF16" s="1426">
        <f t="shared" si="19"/>
        <v>170000</v>
      </c>
      <c r="AG16" s="1429">
        <f t="shared" si="10"/>
        <v>0</v>
      </c>
      <c r="AH16" s="1430">
        <f t="shared" si="11"/>
        <v>0</v>
      </c>
      <c r="AI16" s="1296">
        <f>SUM('3 pr-2'!AB17)</f>
        <v>0</v>
      </c>
      <c r="AJ16" s="1426">
        <v>0</v>
      </c>
      <c r="AL16" s="1751">
        <f t="shared" si="12"/>
        <v>200000</v>
      </c>
      <c r="AM16" s="1752">
        <v>200000</v>
      </c>
      <c r="AN16" s="1752">
        <f t="shared" si="13"/>
        <v>30000</v>
      </c>
      <c r="AO16" s="1752">
        <f t="shared" si="14"/>
        <v>170000</v>
      </c>
      <c r="AP16" s="1752">
        <f t="shared" si="15"/>
        <v>250309</v>
      </c>
    </row>
    <row r="17" spans="1:42" ht="36.75" x14ac:dyDescent="0.25">
      <c r="A17" s="182" t="str">
        <f>CONCATENATE('3 pr-2'!A18)</f>
        <v>1.1.1.1.9</v>
      </c>
      <c r="B17" s="182" t="str">
        <f>CONCATENATE('3 pr-2'!B18)</f>
        <v>R01-ZM72-340000-1109</v>
      </c>
      <c r="C17" s="652" t="str">
        <f>IF('ketv. 4 '!X18&gt;0,'ketv. 4 '!C18,"-")</f>
        <v>20KI-KA-17-1-02372-PR001</v>
      </c>
      <c r="D17" s="366"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96">
        <f>SUM('3 pr-2'!L18)</f>
        <v>250000</v>
      </c>
      <c r="L17" s="1426">
        <f t="shared" si="16"/>
        <v>250000</v>
      </c>
      <c r="M17" s="1427">
        <f t="shared" si="0"/>
        <v>0</v>
      </c>
      <c r="N17" s="1428">
        <f t="shared" si="1"/>
        <v>0</v>
      </c>
      <c r="O17" s="1296">
        <f>SUM('3 pr-2'!O18)</f>
        <v>50000</v>
      </c>
      <c r="P17" s="1426">
        <v>50000</v>
      </c>
      <c r="Q17" s="1427">
        <f t="shared" si="2"/>
        <v>0</v>
      </c>
      <c r="R17" s="1428">
        <f t="shared" si="3"/>
        <v>0</v>
      </c>
      <c r="S17" s="1296">
        <f>SUM('3 pr-2'!R18)</f>
        <v>30000</v>
      </c>
      <c r="T17" s="1426">
        <f t="shared" si="17"/>
        <v>30000</v>
      </c>
      <c r="U17" s="1427">
        <f t="shared" si="4"/>
        <v>0</v>
      </c>
      <c r="V17" s="1428">
        <f t="shared" si="5"/>
        <v>0</v>
      </c>
      <c r="W17" s="1296">
        <f>SUM('3 pr-2'!U18)</f>
        <v>0</v>
      </c>
      <c r="X17" s="1296">
        <v>0</v>
      </c>
      <c r="Y17" s="1427">
        <f t="shared" si="18"/>
        <v>0</v>
      </c>
      <c r="Z17" s="1428">
        <f t="shared" si="7"/>
        <v>0</v>
      </c>
      <c r="AA17" s="1296">
        <f>SUM('3 pr-2'!X18)</f>
        <v>0</v>
      </c>
      <c r="AB17" s="1296">
        <v>0</v>
      </c>
      <c r="AC17" s="1427">
        <f t="shared" si="8"/>
        <v>0</v>
      </c>
      <c r="AD17" s="1428">
        <f t="shared" si="9"/>
        <v>0</v>
      </c>
      <c r="AE17" s="1296">
        <f>SUM('3 pr-2'!AA18)</f>
        <v>170000</v>
      </c>
      <c r="AF17" s="1426">
        <f t="shared" si="19"/>
        <v>170000</v>
      </c>
      <c r="AG17" s="1429">
        <f t="shared" si="10"/>
        <v>0</v>
      </c>
      <c r="AH17" s="1430">
        <f t="shared" si="11"/>
        <v>0</v>
      </c>
      <c r="AI17" s="1296">
        <f>SUM('3 pr-2'!AB18)</f>
        <v>0</v>
      </c>
      <c r="AJ17" s="1426">
        <v>0</v>
      </c>
      <c r="AL17" s="1751">
        <f t="shared" si="12"/>
        <v>200000</v>
      </c>
      <c r="AM17" s="1752">
        <v>200000</v>
      </c>
      <c r="AN17" s="1752">
        <f t="shared" si="13"/>
        <v>30000</v>
      </c>
      <c r="AO17" s="1752">
        <f t="shared" si="14"/>
        <v>170000</v>
      </c>
      <c r="AP17" s="1752">
        <f t="shared" si="15"/>
        <v>250000</v>
      </c>
    </row>
    <row r="18" spans="1:42" ht="36.75" x14ac:dyDescent="0.25">
      <c r="A18" s="182" t="str">
        <f>CONCATENATE('3 pr-2'!A19)</f>
        <v>1.1.1.1.10</v>
      </c>
      <c r="B18" s="182" t="str">
        <f>CONCATENATE('3 pr-2'!B19)</f>
        <v>R01-ZM72-340200-1110</v>
      </c>
      <c r="C18" s="652" t="str">
        <f>IF('ketv. 4 '!X19&gt;0,'ketv. 4 '!C19,"-")</f>
        <v>20KI-KA-17-1-02370-PR001</v>
      </c>
      <c r="D18" s="366"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96">
        <f>SUM('3 pr-2'!L19)</f>
        <v>250000</v>
      </c>
      <c r="L18" s="1426">
        <f t="shared" si="16"/>
        <v>250000</v>
      </c>
      <c r="M18" s="1427">
        <f t="shared" si="0"/>
        <v>0</v>
      </c>
      <c r="N18" s="1428">
        <f t="shared" si="1"/>
        <v>0</v>
      </c>
      <c r="O18" s="1296">
        <f>SUM('3 pr-2'!O19)</f>
        <v>50000</v>
      </c>
      <c r="P18" s="1426">
        <v>62460</v>
      </c>
      <c r="Q18" s="1427">
        <f t="shared" si="2"/>
        <v>-12460</v>
      </c>
      <c r="R18" s="1428">
        <f t="shared" si="3"/>
        <v>-12460</v>
      </c>
      <c r="S18" s="1296">
        <f>SUM('3 pr-2'!R19)</f>
        <v>30000</v>
      </c>
      <c r="T18" s="1426">
        <f t="shared" si="17"/>
        <v>28131</v>
      </c>
      <c r="U18" s="1427">
        <f t="shared" si="4"/>
        <v>1869</v>
      </c>
      <c r="V18" s="1428">
        <f t="shared" si="5"/>
        <v>1869</v>
      </c>
      <c r="W18" s="1296">
        <f>SUM('3 pr-2'!U19)</f>
        <v>0</v>
      </c>
      <c r="X18" s="1296">
        <v>0</v>
      </c>
      <c r="Y18" s="1427">
        <f t="shared" si="18"/>
        <v>0</v>
      </c>
      <c r="Z18" s="1428">
        <f t="shared" si="7"/>
        <v>0</v>
      </c>
      <c r="AA18" s="1296">
        <f>SUM('3 pr-2'!X19)</f>
        <v>0</v>
      </c>
      <c r="AB18" s="1296">
        <v>0</v>
      </c>
      <c r="AC18" s="1427">
        <f t="shared" si="8"/>
        <v>0</v>
      </c>
      <c r="AD18" s="1428">
        <f t="shared" si="9"/>
        <v>0</v>
      </c>
      <c r="AE18" s="1296">
        <f>SUM('3 pr-2'!AA19)</f>
        <v>170000</v>
      </c>
      <c r="AF18" s="1426">
        <f t="shared" si="19"/>
        <v>159409</v>
      </c>
      <c r="AG18" s="1429">
        <f t="shared" si="10"/>
        <v>10591</v>
      </c>
      <c r="AH18" s="1430">
        <f t="shared" si="11"/>
        <v>10591</v>
      </c>
      <c r="AI18" s="1296">
        <f>SUM('3 pr-2'!AB19)</f>
        <v>0</v>
      </c>
      <c r="AJ18" s="1426">
        <v>0</v>
      </c>
      <c r="AL18" s="1751">
        <f t="shared" si="12"/>
        <v>200000</v>
      </c>
      <c r="AM18" s="1752">
        <v>187540</v>
      </c>
      <c r="AN18" s="1752">
        <f t="shared" si="13"/>
        <v>28131</v>
      </c>
      <c r="AO18" s="1752">
        <f t="shared" si="14"/>
        <v>159409</v>
      </c>
      <c r="AP18" s="1752">
        <f t="shared" si="15"/>
        <v>234425</v>
      </c>
    </row>
    <row r="19" spans="1:42" ht="36.75" x14ac:dyDescent="0.25">
      <c r="A19" s="182" t="str">
        <f>CONCATENATE('3 pr-2'!A20)</f>
        <v>1.1.1.1.11</v>
      </c>
      <c r="B19" s="182" t="str">
        <f>CONCATENATE('3 pr-2'!B20)</f>
        <v>R01-ZM72-320000-1111</v>
      </c>
      <c r="C19" s="652" t="str">
        <f>IF('ketv. 4 '!X20&gt;0,'ketv. 4 '!C20,"-")</f>
        <v>20KI-KA-17-1-02354-PR001</v>
      </c>
      <c r="D19" s="366"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96">
        <f>SUM('3 pr-2'!L20)</f>
        <v>125000</v>
      </c>
      <c r="L19" s="1426">
        <f t="shared" si="16"/>
        <v>128689</v>
      </c>
      <c r="M19" s="1427">
        <f t="shared" si="0"/>
        <v>-3689</v>
      </c>
      <c r="N19" s="1428">
        <f t="shared" si="1"/>
        <v>-3689</v>
      </c>
      <c r="O19" s="1296">
        <f>SUM('3 pr-2'!O20)</f>
        <v>25000</v>
      </c>
      <c r="P19" s="1426">
        <v>28689</v>
      </c>
      <c r="Q19" s="1427">
        <f t="shared" si="2"/>
        <v>-3689</v>
      </c>
      <c r="R19" s="1428">
        <f t="shared" si="3"/>
        <v>-3689</v>
      </c>
      <c r="S19" s="1296">
        <f>SUM('3 pr-2'!R20)</f>
        <v>15000</v>
      </c>
      <c r="T19" s="1426">
        <f t="shared" si="17"/>
        <v>15000</v>
      </c>
      <c r="U19" s="1427">
        <f t="shared" si="4"/>
        <v>0</v>
      </c>
      <c r="V19" s="1428">
        <f t="shared" si="5"/>
        <v>0</v>
      </c>
      <c r="W19" s="1296">
        <f>SUM('3 pr-2'!U20)</f>
        <v>0</v>
      </c>
      <c r="X19" s="1296">
        <v>0</v>
      </c>
      <c r="Y19" s="1427">
        <f t="shared" si="18"/>
        <v>0</v>
      </c>
      <c r="Z19" s="1428">
        <f t="shared" si="7"/>
        <v>0</v>
      </c>
      <c r="AA19" s="1296">
        <f>SUM('3 pr-2'!X20)</f>
        <v>0</v>
      </c>
      <c r="AB19" s="1296">
        <v>0</v>
      </c>
      <c r="AC19" s="1427">
        <f t="shared" si="8"/>
        <v>0</v>
      </c>
      <c r="AD19" s="1428">
        <f t="shared" si="9"/>
        <v>0</v>
      </c>
      <c r="AE19" s="1296">
        <f>SUM('3 pr-2'!AA20)</f>
        <v>85000</v>
      </c>
      <c r="AF19" s="1426">
        <f t="shared" si="19"/>
        <v>85000</v>
      </c>
      <c r="AG19" s="1429">
        <f t="shared" si="10"/>
        <v>0</v>
      </c>
      <c r="AH19" s="1430">
        <f t="shared" si="11"/>
        <v>0</v>
      </c>
      <c r="AI19" s="1296">
        <f>SUM('3 pr-2'!AB20)</f>
        <v>0</v>
      </c>
      <c r="AJ19" s="1426">
        <v>0</v>
      </c>
      <c r="AL19" s="1751">
        <f t="shared" si="12"/>
        <v>100000</v>
      </c>
      <c r="AM19" s="1752">
        <v>100000</v>
      </c>
      <c r="AN19" s="1752">
        <f t="shared" si="13"/>
        <v>15000</v>
      </c>
      <c r="AO19" s="1752">
        <f t="shared" si="14"/>
        <v>85000</v>
      </c>
      <c r="AP19" s="1752">
        <f t="shared" si="15"/>
        <v>125000</v>
      </c>
    </row>
    <row r="20" spans="1:42" ht="36.75" x14ac:dyDescent="0.25">
      <c r="A20" s="182" t="str">
        <f>CONCATENATE('3 pr-2'!A21)</f>
        <v>1.1.1.1.12</v>
      </c>
      <c r="B20" s="182" t="str">
        <f>CONCATENATE('3 pr-2'!B21)</f>
        <v>R01-ZM72-120000-1112</v>
      </c>
      <c r="C20" s="652" t="str">
        <f>IF('ketv. 4 '!X21&gt;0,'ketv. 4 '!C21,"-")</f>
        <v>20KI-KA-17-1-02470-PR001</v>
      </c>
      <c r="D20" s="366"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96">
        <f>SUM('3 pr-2'!L21)</f>
        <v>153566</v>
      </c>
      <c r="L20" s="1426">
        <f t="shared" si="16"/>
        <v>153564.76470768492</v>
      </c>
      <c r="M20" s="1427">
        <f t="shared" si="0"/>
        <v>1.2352923150756396</v>
      </c>
      <c r="N20" s="1428">
        <f t="shared" si="1"/>
        <v>1.2352923150756396</v>
      </c>
      <c r="O20" s="1296">
        <f>SUM('3 pr-2'!O21)</f>
        <v>30713</v>
      </c>
      <c r="P20" s="1426">
        <v>30712.764707684939</v>
      </c>
      <c r="Q20" s="1427">
        <f t="shared" si="2"/>
        <v>0.23529231506108772</v>
      </c>
      <c r="R20" s="1428">
        <f t="shared" si="3"/>
        <v>0.23529231506108772</v>
      </c>
      <c r="S20" s="1296">
        <f>SUM('3 pr-2'!R21)</f>
        <v>18428</v>
      </c>
      <c r="T20" s="1426">
        <f t="shared" si="17"/>
        <v>18427.8</v>
      </c>
      <c r="U20" s="1427">
        <f t="shared" si="4"/>
        <v>0.2000000000007276</v>
      </c>
      <c r="V20" s="1428">
        <f t="shared" si="5"/>
        <v>0.2000000000007276</v>
      </c>
      <c r="W20" s="1296">
        <f>SUM('3 pr-2'!U21)</f>
        <v>0</v>
      </c>
      <c r="X20" s="1296">
        <v>0</v>
      </c>
      <c r="Y20" s="1427">
        <f t="shared" si="18"/>
        <v>0</v>
      </c>
      <c r="Z20" s="1428">
        <f t="shared" si="7"/>
        <v>0</v>
      </c>
      <c r="AA20" s="1296">
        <f>SUM('3 pr-2'!X21)</f>
        <v>0</v>
      </c>
      <c r="AB20" s="1296">
        <v>0</v>
      </c>
      <c r="AC20" s="1427">
        <f t="shared" si="8"/>
        <v>0</v>
      </c>
      <c r="AD20" s="1428">
        <f t="shared" si="9"/>
        <v>0</v>
      </c>
      <c r="AE20" s="1296">
        <f>SUM('3 pr-2'!AA21)</f>
        <v>104425</v>
      </c>
      <c r="AF20" s="1426">
        <f t="shared" si="19"/>
        <v>104424.2</v>
      </c>
      <c r="AG20" s="1429">
        <f t="shared" si="10"/>
        <v>0.80000000000291038</v>
      </c>
      <c r="AH20" s="1430">
        <f t="shared" si="11"/>
        <v>0.80000000000291038</v>
      </c>
      <c r="AI20" s="1296">
        <f>SUM('3 pr-2'!AB21)</f>
        <v>0</v>
      </c>
      <c r="AJ20" s="1426">
        <v>0</v>
      </c>
      <c r="AL20" s="1751">
        <f>SUM(T20+AF20)</f>
        <v>122852</v>
      </c>
      <c r="AM20" s="1752">
        <v>122852</v>
      </c>
      <c r="AN20" s="1752">
        <f t="shared" si="13"/>
        <v>18427.8</v>
      </c>
      <c r="AO20" s="1752">
        <f t="shared" si="14"/>
        <v>104424.2</v>
      </c>
      <c r="AP20" s="1752">
        <f t="shared" si="15"/>
        <v>153564.82353076371</v>
      </c>
    </row>
    <row r="21" spans="1:42" ht="36.75" x14ac:dyDescent="0.25">
      <c r="A21" s="182" t="str">
        <f>CONCATENATE('3 pr-2'!A22)</f>
        <v>1.1.1.1.13</v>
      </c>
      <c r="B21" s="182" t="str">
        <f>CONCATENATE('3 pr-2'!B22)</f>
        <v>R01-ZM72-123200-1113</v>
      </c>
      <c r="C21" s="652" t="str">
        <f>IF('ketv. 4 '!X22&gt;0,'ketv. 4 '!C22,"-")</f>
        <v>20KI-KA-17-1-02438-PR001</v>
      </c>
      <c r="D21" s="366"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96">
        <f>SUM('3 pr-2'!L22)</f>
        <v>250000</v>
      </c>
      <c r="L21" s="1431">
        <f t="shared" si="16"/>
        <v>422018</v>
      </c>
      <c r="M21" s="1427">
        <f t="shared" si="0"/>
        <v>-172018</v>
      </c>
      <c r="N21" s="1428">
        <f t="shared" si="1"/>
        <v>-172018</v>
      </c>
      <c r="O21" s="1296">
        <f>SUM('3 pr-2'!O22)</f>
        <v>50000</v>
      </c>
      <c r="P21" s="1426">
        <v>222018</v>
      </c>
      <c r="Q21" s="1427">
        <f t="shared" si="2"/>
        <v>-172018</v>
      </c>
      <c r="R21" s="1428">
        <f t="shared" si="3"/>
        <v>-172018</v>
      </c>
      <c r="S21" s="1296">
        <f>SUM('3 pr-2'!R22)</f>
        <v>30000</v>
      </c>
      <c r="T21" s="1426">
        <f t="shared" si="17"/>
        <v>30000</v>
      </c>
      <c r="U21" s="1427">
        <f t="shared" si="4"/>
        <v>0</v>
      </c>
      <c r="V21" s="1428">
        <f t="shared" si="5"/>
        <v>0</v>
      </c>
      <c r="W21" s="1296">
        <f>SUM('3 pr-2'!U22)</f>
        <v>0</v>
      </c>
      <c r="X21" s="1296">
        <v>0</v>
      </c>
      <c r="Y21" s="1427">
        <f t="shared" si="18"/>
        <v>0</v>
      </c>
      <c r="Z21" s="1428">
        <f t="shared" si="7"/>
        <v>0</v>
      </c>
      <c r="AA21" s="1296">
        <f>SUM('3 pr-2'!X22)</f>
        <v>0</v>
      </c>
      <c r="AB21" s="1296">
        <v>0</v>
      </c>
      <c r="AC21" s="1427">
        <f t="shared" si="8"/>
        <v>0</v>
      </c>
      <c r="AD21" s="1428">
        <f t="shared" si="9"/>
        <v>0</v>
      </c>
      <c r="AE21" s="1296">
        <f>SUM('3 pr-2'!AA22)</f>
        <v>170000</v>
      </c>
      <c r="AF21" s="1426">
        <f t="shared" si="19"/>
        <v>170000</v>
      </c>
      <c r="AG21" s="1429">
        <f t="shared" si="10"/>
        <v>0</v>
      </c>
      <c r="AH21" s="1430">
        <f t="shared" si="11"/>
        <v>0</v>
      </c>
      <c r="AI21" s="1296">
        <f>SUM('3 pr-2'!AB22)</f>
        <v>0</v>
      </c>
      <c r="AJ21" s="1426">
        <v>0</v>
      </c>
      <c r="AL21" s="1751">
        <f>SUM(T21+AF21)</f>
        <v>200000</v>
      </c>
      <c r="AM21" s="1752">
        <v>200000</v>
      </c>
      <c r="AN21" s="1752">
        <f t="shared" si="13"/>
        <v>30000</v>
      </c>
      <c r="AO21" s="1752">
        <f t="shared" si="14"/>
        <v>170000</v>
      </c>
      <c r="AP21" s="1752">
        <f t="shared" si="15"/>
        <v>250000</v>
      </c>
    </row>
    <row r="22" spans="1:42" ht="36.75" x14ac:dyDescent="0.25">
      <c r="A22" s="182" t="str">
        <f>CONCATENATE('3 pr-2'!A23)</f>
        <v>1.1.1.1.14</v>
      </c>
      <c r="B22" s="182" t="str">
        <f>CONCATENATE('3 pr-2'!B23)</f>
        <v>R01-ZM72-122900-1114</v>
      </c>
      <c r="C22" s="652" t="str">
        <f>IF('ketv. 4 '!X23&gt;0,'ketv. 4 '!C23,"-")</f>
        <v>20KI-KA-17-1-01647-PR001</v>
      </c>
      <c r="D22" s="366"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96">
        <f>SUM('3 pr-2'!L23)</f>
        <v>215626</v>
      </c>
      <c r="L22" s="1431">
        <f t="shared" si="16"/>
        <v>215626</v>
      </c>
      <c r="M22" s="1427">
        <f t="shared" si="0"/>
        <v>0</v>
      </c>
      <c r="N22" s="1428">
        <f t="shared" si="1"/>
        <v>0</v>
      </c>
      <c r="O22" s="1296">
        <f>SUM('3 pr-2'!O23)</f>
        <v>43125</v>
      </c>
      <c r="P22" s="1426">
        <v>43126</v>
      </c>
      <c r="Q22" s="1427">
        <f t="shared" si="2"/>
        <v>-1</v>
      </c>
      <c r="R22" s="1428">
        <f t="shared" si="3"/>
        <v>-1</v>
      </c>
      <c r="S22" s="1296">
        <f>SUM('3 pr-2'!R23)</f>
        <v>25875</v>
      </c>
      <c r="T22" s="1426">
        <f t="shared" si="17"/>
        <v>25875</v>
      </c>
      <c r="U22" s="1427">
        <f t="shared" si="4"/>
        <v>0</v>
      </c>
      <c r="V22" s="1428">
        <f t="shared" si="5"/>
        <v>0</v>
      </c>
      <c r="W22" s="1296">
        <f>SUM('3 pr-2'!U23)</f>
        <v>0</v>
      </c>
      <c r="X22" s="1296">
        <v>0</v>
      </c>
      <c r="Y22" s="1427">
        <f t="shared" si="18"/>
        <v>0</v>
      </c>
      <c r="Z22" s="1428">
        <f t="shared" si="7"/>
        <v>0</v>
      </c>
      <c r="AA22" s="1296">
        <f>SUM('3 pr-2'!X23)</f>
        <v>0</v>
      </c>
      <c r="AB22" s="1296">
        <v>0</v>
      </c>
      <c r="AC22" s="1427">
        <f t="shared" si="8"/>
        <v>0</v>
      </c>
      <c r="AD22" s="1428">
        <f t="shared" si="9"/>
        <v>0</v>
      </c>
      <c r="AE22" s="1296">
        <f>SUM('3 pr-2'!AA23)</f>
        <v>146626</v>
      </c>
      <c r="AF22" s="1426">
        <f t="shared" si="19"/>
        <v>146625</v>
      </c>
      <c r="AG22" s="1429">
        <f t="shared" si="10"/>
        <v>1</v>
      </c>
      <c r="AH22" s="1430">
        <f t="shared" si="11"/>
        <v>1</v>
      </c>
      <c r="AI22" s="1296">
        <f>SUM('3 pr-2'!AB23)</f>
        <v>0</v>
      </c>
      <c r="AJ22" s="1426">
        <v>0</v>
      </c>
      <c r="AL22" s="1751">
        <f t="shared" ref="AL22:AL23" si="20">SUM(S22+AE22)</f>
        <v>172501</v>
      </c>
      <c r="AM22" s="1753">
        <v>172500</v>
      </c>
      <c r="AN22" s="1752">
        <f t="shared" si="13"/>
        <v>25875</v>
      </c>
      <c r="AO22" s="1752">
        <f t="shared" si="14"/>
        <v>146625</v>
      </c>
      <c r="AP22" s="1752">
        <f t="shared" si="15"/>
        <v>215624.52941497415</v>
      </c>
    </row>
    <row r="23" spans="1:42" ht="36.75" x14ac:dyDescent="0.25">
      <c r="A23" s="182" t="str">
        <f>CONCATENATE('3 pr-2'!A24)</f>
        <v>1.1.1.1.15</v>
      </c>
      <c r="B23" s="182" t="str">
        <f>CONCATENATE('3 pr-2'!B24)</f>
        <v>R01-ZM72-123200-1115</v>
      </c>
      <c r="C23" s="652" t="str">
        <f>IF('ketv. 4 '!X24&gt;0,'ketv. 4 '!C24,"-")</f>
        <v>-</v>
      </c>
      <c r="D23" s="366"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96">
        <f>SUM('3 pr-2'!L24)</f>
        <v>76480</v>
      </c>
      <c r="L23" s="1296">
        <f t="shared" si="16"/>
        <v>0</v>
      </c>
      <c r="M23" s="1427">
        <f t="shared" si="0"/>
        <v>76480</v>
      </c>
      <c r="N23" s="1428">
        <f t="shared" si="1"/>
        <v>0</v>
      </c>
      <c r="O23" s="1296">
        <f>SUM('3 pr-2'!O24)</f>
        <v>15296</v>
      </c>
      <c r="P23" s="1296">
        <v>0</v>
      </c>
      <c r="Q23" s="1427">
        <f t="shared" si="2"/>
        <v>15296</v>
      </c>
      <c r="R23" s="1428">
        <f t="shared" si="3"/>
        <v>0</v>
      </c>
      <c r="S23" s="1296">
        <f>SUM('3 pr-2'!R24)</f>
        <v>9178</v>
      </c>
      <c r="T23" s="1296">
        <f t="shared" si="17"/>
        <v>0</v>
      </c>
      <c r="U23" s="1427">
        <f t="shared" si="4"/>
        <v>9178</v>
      </c>
      <c r="V23" s="1428">
        <f t="shared" si="5"/>
        <v>0</v>
      </c>
      <c r="W23" s="1296">
        <f>SUM('3 pr-2'!U24)</f>
        <v>0</v>
      </c>
      <c r="X23" s="1296">
        <v>0</v>
      </c>
      <c r="Y23" s="1427">
        <f t="shared" si="18"/>
        <v>0</v>
      </c>
      <c r="Z23" s="1428">
        <f t="shared" si="7"/>
        <v>0</v>
      </c>
      <c r="AA23" s="1296">
        <f>SUM('3 pr-2'!X24)</f>
        <v>0</v>
      </c>
      <c r="AB23" s="1296">
        <v>0</v>
      </c>
      <c r="AC23" s="1427">
        <f t="shared" si="8"/>
        <v>0</v>
      </c>
      <c r="AD23" s="1428">
        <f t="shared" si="9"/>
        <v>0</v>
      </c>
      <c r="AE23" s="1296">
        <f>SUM('3 pr-2'!AA24)</f>
        <v>52006</v>
      </c>
      <c r="AF23" s="1296">
        <f>SUM(AO23)</f>
        <v>0</v>
      </c>
      <c r="AG23" s="1429">
        <f t="shared" si="10"/>
        <v>52006</v>
      </c>
      <c r="AH23" s="1430">
        <f t="shared" si="11"/>
        <v>0</v>
      </c>
      <c r="AI23" s="1296">
        <f>SUM('3 pr-2'!AB24)</f>
        <v>0</v>
      </c>
      <c r="AJ23" s="1296"/>
      <c r="AL23" s="1751">
        <f t="shared" si="20"/>
        <v>61184</v>
      </c>
      <c r="AM23" s="1752"/>
      <c r="AN23" s="1752"/>
      <c r="AO23" s="1752"/>
      <c r="AP23" s="1752"/>
    </row>
    <row r="24" spans="1:42" ht="36.75" x14ac:dyDescent="0.25">
      <c r="A24" s="182" t="str">
        <f>CONCATENATE('3 pr-2'!A25)</f>
        <v>1.1.1.1.16</v>
      </c>
      <c r="B24" s="182" t="str">
        <f>CONCATENATE('3 pr-2'!B25)</f>
        <v>R01-ZM72-123200-1116</v>
      </c>
      <c r="C24" s="652" t="str">
        <f>IF('ketv. 4 '!X25&gt;0,'ketv. 4 '!C25,"-")</f>
        <v>20KI-KA-17-1-02240-PR001</v>
      </c>
      <c r="D24" s="366"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96">
        <f>SUM('3 pr-2'!L25)</f>
        <v>139472</v>
      </c>
      <c r="L24" s="1431">
        <f t="shared" si="16"/>
        <v>141312</v>
      </c>
      <c r="M24" s="1427">
        <f t="shared" si="0"/>
        <v>-1840</v>
      </c>
      <c r="N24" s="1428">
        <f t="shared" si="1"/>
        <v>-1840</v>
      </c>
      <c r="O24" s="1296">
        <f>SUM('3 pr-2'!O25)</f>
        <v>27894</v>
      </c>
      <c r="P24" s="1426">
        <v>44913</v>
      </c>
      <c r="Q24" s="1427">
        <f t="shared" si="2"/>
        <v>-17019</v>
      </c>
      <c r="R24" s="1428">
        <f t="shared" si="3"/>
        <v>-17019</v>
      </c>
      <c r="S24" s="1296">
        <f>SUM('3 pr-2'!R25)</f>
        <v>16737</v>
      </c>
      <c r="T24" s="1426">
        <f t="shared" si="17"/>
        <v>14459.85</v>
      </c>
      <c r="U24" s="1427">
        <f t="shared" si="4"/>
        <v>2277.1499999999996</v>
      </c>
      <c r="V24" s="1428">
        <f t="shared" si="5"/>
        <v>2277.1499999999996</v>
      </c>
      <c r="W24" s="1296">
        <f>SUM('3 pr-2'!U25)</f>
        <v>0</v>
      </c>
      <c r="X24" s="1296">
        <v>0</v>
      </c>
      <c r="Y24" s="1427">
        <f t="shared" si="18"/>
        <v>0</v>
      </c>
      <c r="Z24" s="1428">
        <f t="shared" si="7"/>
        <v>0</v>
      </c>
      <c r="AA24" s="1296">
        <f>SUM('3 pr-2'!X25)</f>
        <v>0</v>
      </c>
      <c r="AB24" s="1296">
        <v>0</v>
      </c>
      <c r="AC24" s="1427">
        <f t="shared" si="8"/>
        <v>0</v>
      </c>
      <c r="AD24" s="1428">
        <f t="shared" si="9"/>
        <v>0</v>
      </c>
      <c r="AE24" s="1296">
        <f>SUM('3 pr-2'!AA25)</f>
        <v>94841</v>
      </c>
      <c r="AF24" s="1426">
        <f t="shared" ref="AF24:AF31" si="21">SUM(AO24)</f>
        <v>81939.149999999994</v>
      </c>
      <c r="AG24" s="1429">
        <f t="shared" si="10"/>
        <v>12901.850000000006</v>
      </c>
      <c r="AH24" s="1430">
        <f t="shared" si="11"/>
        <v>12901.850000000006</v>
      </c>
      <c r="AI24" s="1296">
        <f>SUM('3 pr-2'!AB25)</f>
        <v>0</v>
      </c>
      <c r="AJ24" s="1426">
        <v>0</v>
      </c>
      <c r="AL24" s="1751">
        <f>SUM(T24+AF24)</f>
        <v>96399</v>
      </c>
      <c r="AM24" s="1752">
        <v>96399</v>
      </c>
      <c r="AN24" s="1752">
        <f t="shared" ref="AN24:AN29" si="22">SUM(AM24*$AN$8/$AM$8)</f>
        <v>14459.85</v>
      </c>
      <c r="AO24" s="1752">
        <f t="shared" ref="AO24:AO29" si="23">SUM(AM24*$AO$8/$AM$8)</f>
        <v>81939.149999999994</v>
      </c>
      <c r="AP24" s="1752">
        <f t="shared" ref="AP24:AP29" si="24">SUM(K24*AF24/AE24)</f>
        <v>120498.69917862528</v>
      </c>
    </row>
    <row r="25" spans="1:42" ht="36.75" x14ac:dyDescent="0.25">
      <c r="A25" s="182" t="str">
        <f>CONCATENATE('3 pr-2'!A26)</f>
        <v>1.1.1.1.17</v>
      </c>
      <c r="B25" s="182" t="str">
        <f>CONCATENATE('3 pr-2'!B26)</f>
        <v>R01-ZM72-120000-1117</v>
      </c>
      <c r="C25" s="652" t="str">
        <f>IF('ketv. 4 '!X26&gt;0,'ketv. 4 '!C26,"-")</f>
        <v>20KI-KA-17-1-01639-PR001</v>
      </c>
      <c r="D25" s="366"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96">
        <f>SUM('3 pr-2'!L26)</f>
        <v>115824</v>
      </c>
      <c r="L25" s="1431">
        <f t="shared" si="16"/>
        <v>115624</v>
      </c>
      <c r="M25" s="1427">
        <f t="shared" si="0"/>
        <v>200</v>
      </c>
      <c r="N25" s="1428">
        <f t="shared" si="1"/>
        <v>200</v>
      </c>
      <c r="O25" s="1296">
        <f>SUM('3 pr-2'!O26)</f>
        <v>23165</v>
      </c>
      <c r="P25" s="1426">
        <v>23125</v>
      </c>
      <c r="Q25" s="1427">
        <f t="shared" si="2"/>
        <v>40</v>
      </c>
      <c r="R25" s="1428">
        <f t="shared" si="3"/>
        <v>40</v>
      </c>
      <c r="S25" s="1296">
        <f>SUM('3 pr-2'!R26)</f>
        <v>13899</v>
      </c>
      <c r="T25" s="1426">
        <f t="shared" si="17"/>
        <v>13874.85</v>
      </c>
      <c r="U25" s="1427">
        <f t="shared" si="4"/>
        <v>24.149999999999636</v>
      </c>
      <c r="V25" s="1428">
        <f t="shared" si="5"/>
        <v>24.149999999999636</v>
      </c>
      <c r="W25" s="1296">
        <f>SUM('3 pr-2'!U26)</f>
        <v>0</v>
      </c>
      <c r="X25" s="1432">
        <v>0</v>
      </c>
      <c r="Y25" s="1427">
        <f t="shared" si="18"/>
        <v>0</v>
      </c>
      <c r="Z25" s="1428">
        <f t="shared" si="7"/>
        <v>0</v>
      </c>
      <c r="AA25" s="1296">
        <f>SUM('3 pr-2'!X26)</f>
        <v>0</v>
      </c>
      <c r="AB25" s="1432">
        <v>0</v>
      </c>
      <c r="AC25" s="1427">
        <f t="shared" si="8"/>
        <v>0</v>
      </c>
      <c r="AD25" s="1428">
        <f t="shared" si="9"/>
        <v>0</v>
      </c>
      <c r="AE25" s="1296">
        <f>SUM('3 pr-2'!AA26)</f>
        <v>78760</v>
      </c>
      <c r="AF25" s="1426">
        <f t="shared" si="21"/>
        <v>78624.149999999994</v>
      </c>
      <c r="AG25" s="1429">
        <f t="shared" si="10"/>
        <v>135.85000000000582</v>
      </c>
      <c r="AH25" s="1430">
        <f t="shared" si="11"/>
        <v>135.85000000000582</v>
      </c>
      <c r="AI25" s="1296">
        <f>SUM('3 pr-2'!AB26)</f>
        <v>0</v>
      </c>
      <c r="AJ25" s="1426">
        <v>0</v>
      </c>
      <c r="AL25" s="1751">
        <f t="shared" ref="AL25:AL26" si="25">SUM(S25+AE25)</f>
        <v>92659</v>
      </c>
      <c r="AM25" s="1752">
        <v>92499</v>
      </c>
      <c r="AN25" s="1752">
        <f t="shared" si="22"/>
        <v>13874.85</v>
      </c>
      <c r="AO25" s="1752">
        <f t="shared" si="23"/>
        <v>78624.149999999994</v>
      </c>
      <c r="AP25" s="1752">
        <f t="shared" si="24"/>
        <v>115624.21977653629</v>
      </c>
    </row>
    <row r="26" spans="1:42" ht="36.75" x14ac:dyDescent="0.25">
      <c r="A26" s="182" t="str">
        <f>CONCATENATE('3 pr-2'!A27)</f>
        <v>1.1.1.1.18</v>
      </c>
      <c r="B26" s="182" t="str">
        <f>CONCATENATE('3 pr-2'!B27)</f>
        <v>R01-ZM72-340000-1118</v>
      </c>
      <c r="C26" s="652" t="str">
        <f>IF('ketv. 4 '!X27&gt;0,'ketv. 4 '!C27,"-")</f>
        <v>20KI-KA-17-1-01666-PR001</v>
      </c>
      <c r="D26" s="366"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96">
        <f>SUM('3 pr-2'!L27)</f>
        <v>250000</v>
      </c>
      <c r="L26" s="1431">
        <f t="shared" si="16"/>
        <v>250000</v>
      </c>
      <c r="M26" s="1427">
        <f t="shared" si="0"/>
        <v>0</v>
      </c>
      <c r="N26" s="1428">
        <f t="shared" si="1"/>
        <v>0</v>
      </c>
      <c r="O26" s="1296">
        <f>SUM('3 pr-2'!O27)</f>
        <v>50000</v>
      </c>
      <c r="P26" s="1426">
        <v>50000</v>
      </c>
      <c r="Q26" s="1427">
        <f t="shared" si="2"/>
        <v>0</v>
      </c>
      <c r="R26" s="1428">
        <f t="shared" si="3"/>
        <v>0</v>
      </c>
      <c r="S26" s="1296">
        <f>SUM('3 pr-2'!R27)</f>
        <v>30000</v>
      </c>
      <c r="T26" s="1426">
        <f t="shared" si="17"/>
        <v>30000</v>
      </c>
      <c r="U26" s="1427">
        <f t="shared" si="4"/>
        <v>0</v>
      </c>
      <c r="V26" s="1428">
        <f t="shared" si="5"/>
        <v>0</v>
      </c>
      <c r="W26" s="1296">
        <f>SUM('3 pr-2'!U27)</f>
        <v>0</v>
      </c>
      <c r="X26" s="1296">
        <v>0</v>
      </c>
      <c r="Y26" s="1427">
        <f t="shared" si="18"/>
        <v>0</v>
      </c>
      <c r="Z26" s="1428">
        <f t="shared" si="7"/>
        <v>0</v>
      </c>
      <c r="AA26" s="1296">
        <f>SUM('3 pr-2'!X27)</f>
        <v>0</v>
      </c>
      <c r="AB26" s="1296">
        <v>0</v>
      </c>
      <c r="AC26" s="1427">
        <f t="shared" si="8"/>
        <v>0</v>
      </c>
      <c r="AD26" s="1428">
        <f t="shared" si="9"/>
        <v>0</v>
      </c>
      <c r="AE26" s="1296">
        <f>SUM('3 pr-2'!AA27)</f>
        <v>170000</v>
      </c>
      <c r="AF26" s="1426">
        <f t="shared" si="21"/>
        <v>170000</v>
      </c>
      <c r="AG26" s="1429">
        <f t="shared" si="10"/>
        <v>0</v>
      </c>
      <c r="AH26" s="1430">
        <f t="shared" si="11"/>
        <v>0</v>
      </c>
      <c r="AI26" s="1296">
        <f>SUM('3 pr-2'!AB27)</f>
        <v>0</v>
      </c>
      <c r="AJ26" s="1426">
        <v>0</v>
      </c>
      <c r="AL26" s="1751">
        <f t="shared" si="25"/>
        <v>200000</v>
      </c>
      <c r="AM26" s="1752">
        <v>200000</v>
      </c>
      <c r="AN26" s="1752">
        <f t="shared" si="22"/>
        <v>30000</v>
      </c>
      <c r="AO26" s="1752">
        <f t="shared" si="23"/>
        <v>170000</v>
      </c>
      <c r="AP26" s="1752">
        <f t="shared" si="24"/>
        <v>250000</v>
      </c>
    </row>
    <row r="27" spans="1:42" ht="36.75" x14ac:dyDescent="0.25">
      <c r="A27" s="182" t="str">
        <f>CONCATENATE('3 pr-2'!A28)</f>
        <v>1.1.1.1.19</v>
      </c>
      <c r="B27" s="182" t="str">
        <f>CONCATENATE('3 pr-2'!B28)</f>
        <v>R01-ZM72-120000-1119</v>
      </c>
      <c r="C27" s="652" t="str">
        <f>IF('ketv. 4 '!X28&gt;0,'ketv. 4 '!C28,"-")</f>
        <v>20KI-KA-17-1-02648-PR001</v>
      </c>
      <c r="D27" s="366"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96">
        <f>SUM('3 pr-2'!L28)</f>
        <v>117986</v>
      </c>
      <c r="L27" s="1470">
        <f t="shared" si="16"/>
        <v>117985.8970603632</v>
      </c>
      <c r="M27" s="1427">
        <f t="shared" si="0"/>
        <v>0.10293963679578155</v>
      </c>
      <c r="N27" s="1428">
        <f t="shared" si="1"/>
        <v>0.10293963679578155</v>
      </c>
      <c r="O27" s="1296">
        <f>SUM('3 pr-2'!O28)</f>
        <v>23597</v>
      </c>
      <c r="P27" s="1426">
        <v>23596.897060363201</v>
      </c>
      <c r="Q27" s="1427">
        <f t="shared" si="2"/>
        <v>0.10293963679941953</v>
      </c>
      <c r="R27" s="1428">
        <f t="shared" si="3"/>
        <v>0.10293963679941953</v>
      </c>
      <c r="S27" s="1296">
        <f>SUM('3 pr-2'!R28)</f>
        <v>14158</v>
      </c>
      <c r="T27" s="1426">
        <f t="shared" si="17"/>
        <v>14158.35</v>
      </c>
      <c r="U27" s="1427">
        <f t="shared" si="4"/>
        <v>-0.3500000000003638</v>
      </c>
      <c r="V27" s="1428">
        <f t="shared" si="5"/>
        <v>-0.3500000000003638</v>
      </c>
      <c r="W27" s="1296">
        <f>SUM('3 pr-2'!U28)</f>
        <v>0</v>
      </c>
      <c r="X27" s="1296">
        <v>0</v>
      </c>
      <c r="Y27" s="1427">
        <f t="shared" si="18"/>
        <v>0</v>
      </c>
      <c r="Z27" s="1428">
        <f t="shared" si="7"/>
        <v>0</v>
      </c>
      <c r="AA27" s="1296">
        <f>SUM('3 pr-2'!X28)</f>
        <v>0</v>
      </c>
      <c r="AB27" s="1296">
        <v>0</v>
      </c>
      <c r="AC27" s="1427">
        <f t="shared" si="8"/>
        <v>0</v>
      </c>
      <c r="AD27" s="1428">
        <f t="shared" si="9"/>
        <v>0</v>
      </c>
      <c r="AE27" s="1296">
        <f>SUM('3 pr-2'!AA28)</f>
        <v>80231</v>
      </c>
      <c r="AF27" s="1426">
        <f t="shared" si="21"/>
        <v>80230.649999999994</v>
      </c>
      <c r="AG27" s="1429">
        <f t="shared" si="10"/>
        <v>0.35000000000582077</v>
      </c>
      <c r="AH27" s="1430">
        <f t="shared" si="11"/>
        <v>0.35000000000582077</v>
      </c>
      <c r="AI27" s="1296">
        <f>SUM('3 pr-2'!AB28)</f>
        <v>0</v>
      </c>
      <c r="AJ27" s="1426">
        <v>0</v>
      </c>
      <c r="AL27" s="1751">
        <f>SUM(T27+AF27)</f>
        <v>94389</v>
      </c>
      <c r="AM27" s="1752">
        <v>94389</v>
      </c>
      <c r="AN27" s="1752">
        <f t="shared" si="22"/>
        <v>14158.35</v>
      </c>
      <c r="AO27" s="1752">
        <f t="shared" si="23"/>
        <v>80230.649999999994</v>
      </c>
      <c r="AP27" s="1752">
        <f t="shared" si="24"/>
        <v>117985.4852974536</v>
      </c>
    </row>
    <row r="28" spans="1:42" ht="36.75" x14ac:dyDescent="0.25">
      <c r="A28" s="182" t="str">
        <f>CONCATENATE('3 pr-2'!A29)</f>
        <v>1.1.1.1.20</v>
      </c>
      <c r="B28" s="182" t="str">
        <f>CONCATENATE('3 pr-2'!B29)</f>
        <v>R01-ZM72-340000-1120</v>
      </c>
      <c r="C28" s="652" t="str">
        <f>IF('ketv. 4 '!X29&gt;0,'ketv. 4 '!C29,"-")</f>
        <v>20KI-KA-17-1-01736-PR001</v>
      </c>
      <c r="D28" s="366"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434">
        <f>SUM('3 pr-2'!L29)</f>
        <v>250000</v>
      </c>
      <c r="L28" s="1431">
        <f t="shared" si="16"/>
        <v>489475</v>
      </c>
      <c r="M28" s="1429">
        <f t="shared" si="0"/>
        <v>-239475</v>
      </c>
      <c r="N28" s="1428">
        <f t="shared" si="1"/>
        <v>-239475</v>
      </c>
      <c r="O28" s="1296">
        <f>SUM('3 pr-2'!O29)</f>
        <v>50000</v>
      </c>
      <c r="P28" s="1426">
        <v>289475</v>
      </c>
      <c r="Q28" s="1427">
        <f t="shared" si="2"/>
        <v>-239475</v>
      </c>
      <c r="R28" s="1428">
        <f t="shared" si="3"/>
        <v>-239475</v>
      </c>
      <c r="S28" s="1296">
        <f>SUM('3 pr-2'!R29)</f>
        <v>30000</v>
      </c>
      <c r="T28" s="1426">
        <f t="shared" si="17"/>
        <v>30000</v>
      </c>
      <c r="U28" s="1427">
        <f t="shared" si="4"/>
        <v>0</v>
      </c>
      <c r="V28" s="1428">
        <f t="shared" si="5"/>
        <v>0</v>
      </c>
      <c r="W28" s="1296">
        <f>SUM('3 pr-2'!U29)</f>
        <v>0</v>
      </c>
      <c r="X28" s="1296">
        <v>0</v>
      </c>
      <c r="Y28" s="1427">
        <f t="shared" si="18"/>
        <v>0</v>
      </c>
      <c r="Z28" s="1428">
        <f t="shared" si="7"/>
        <v>0</v>
      </c>
      <c r="AA28" s="1296">
        <f>SUM('3 pr-2'!X29)</f>
        <v>0</v>
      </c>
      <c r="AB28" s="1296">
        <v>0</v>
      </c>
      <c r="AC28" s="1427">
        <f t="shared" si="8"/>
        <v>0</v>
      </c>
      <c r="AD28" s="1428">
        <f t="shared" si="9"/>
        <v>0</v>
      </c>
      <c r="AE28" s="1296">
        <f>SUM('3 pr-2'!AA29)</f>
        <v>170000</v>
      </c>
      <c r="AF28" s="1426">
        <f t="shared" si="21"/>
        <v>170000</v>
      </c>
      <c r="AG28" s="1429">
        <f t="shared" si="10"/>
        <v>0</v>
      </c>
      <c r="AH28" s="1430">
        <f t="shared" si="11"/>
        <v>0</v>
      </c>
      <c r="AI28" s="1296">
        <f>SUM('3 pr-2'!AB29)</f>
        <v>0</v>
      </c>
      <c r="AJ28" s="1426">
        <v>0</v>
      </c>
      <c r="AL28" s="1751">
        <f>SUM(S28+AE28)</f>
        <v>200000</v>
      </c>
      <c r="AM28" s="1752">
        <v>200000</v>
      </c>
      <c r="AN28" s="1752">
        <f t="shared" si="22"/>
        <v>30000</v>
      </c>
      <c r="AO28" s="1752">
        <f t="shared" si="23"/>
        <v>170000</v>
      </c>
      <c r="AP28" s="1752">
        <f t="shared" si="24"/>
        <v>250000</v>
      </c>
    </row>
    <row r="29" spans="1:42" ht="36.75" x14ac:dyDescent="0.25">
      <c r="A29" s="182" t="str">
        <f>CONCATENATE('3 pr-2'!A30)</f>
        <v>1.1.1.1.21</v>
      </c>
      <c r="B29" s="182" t="str">
        <f>CONCATENATE('3 pr-2'!B30)</f>
        <v>R01-ZM72-120000-1121</v>
      </c>
      <c r="C29" s="652" t="str">
        <f>IF('ketv. 4 '!X30&gt;0,'ketv. 4 '!C30,"-")</f>
        <v>20KI-KA-17-1-02364-PR001</v>
      </c>
      <c r="D29" s="366"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434">
        <f>SUM('3 pr-2'!L30)</f>
        <v>170000</v>
      </c>
      <c r="L29" s="1426">
        <f t="shared" si="16"/>
        <v>170000</v>
      </c>
      <c r="M29" s="1429">
        <f t="shared" si="0"/>
        <v>0</v>
      </c>
      <c r="N29" s="1428">
        <f t="shared" si="1"/>
        <v>0</v>
      </c>
      <c r="O29" s="1296">
        <f>SUM('3 pr-2'!O30)</f>
        <v>34000</v>
      </c>
      <c r="P29" s="1426">
        <v>34000</v>
      </c>
      <c r="Q29" s="1427">
        <f t="shared" si="2"/>
        <v>0</v>
      </c>
      <c r="R29" s="1428">
        <f t="shared" si="3"/>
        <v>0</v>
      </c>
      <c r="S29" s="1296">
        <f>SUM('3 pr-2'!R30)</f>
        <v>20400</v>
      </c>
      <c r="T29" s="1426">
        <f t="shared" si="17"/>
        <v>20400</v>
      </c>
      <c r="U29" s="1427">
        <f t="shared" si="4"/>
        <v>0</v>
      </c>
      <c r="V29" s="1428">
        <f t="shared" si="5"/>
        <v>0</v>
      </c>
      <c r="W29" s="1296">
        <f>SUM('3 pr-2'!U30)</f>
        <v>0</v>
      </c>
      <c r="X29" s="1432">
        <v>0</v>
      </c>
      <c r="Y29" s="1427">
        <f t="shared" si="18"/>
        <v>0</v>
      </c>
      <c r="Z29" s="1428">
        <f t="shared" si="7"/>
        <v>0</v>
      </c>
      <c r="AA29" s="1296">
        <f>SUM('3 pr-2'!X30)</f>
        <v>0</v>
      </c>
      <c r="AB29" s="1432">
        <v>0</v>
      </c>
      <c r="AC29" s="1427">
        <f t="shared" si="8"/>
        <v>0</v>
      </c>
      <c r="AD29" s="1428">
        <f t="shared" si="9"/>
        <v>0</v>
      </c>
      <c r="AE29" s="1296">
        <f>SUM('3 pr-2'!AA30)</f>
        <v>115600</v>
      </c>
      <c r="AF29" s="1426">
        <f t="shared" si="21"/>
        <v>115600</v>
      </c>
      <c r="AG29" s="1429">
        <f t="shared" si="10"/>
        <v>0</v>
      </c>
      <c r="AH29" s="1430">
        <f t="shared" si="11"/>
        <v>0</v>
      </c>
      <c r="AI29" s="1296">
        <f>SUM('3 pr-2'!AB30)</f>
        <v>0</v>
      </c>
      <c r="AJ29" s="1426">
        <v>0</v>
      </c>
      <c r="AL29" s="1751">
        <f>SUM(T29+AF29)</f>
        <v>136000</v>
      </c>
      <c r="AM29" s="1752">
        <v>136000</v>
      </c>
      <c r="AN29" s="1752">
        <f t="shared" si="22"/>
        <v>20400</v>
      </c>
      <c r="AO29" s="1752">
        <f t="shared" si="23"/>
        <v>115600</v>
      </c>
      <c r="AP29" s="1752">
        <f t="shared" si="24"/>
        <v>170000</v>
      </c>
    </row>
    <row r="30" spans="1:42" ht="36.75" x14ac:dyDescent="0.25">
      <c r="A30" s="182" t="str">
        <f>CONCATENATE('3 pr-2'!A31)</f>
        <v>1.1.1.1.22</v>
      </c>
      <c r="B30" s="182" t="str">
        <f>CONCATENATE('3 pr-2'!B31)</f>
        <v>R01-ZM72-120000-1122</v>
      </c>
      <c r="C30" s="652" t="str">
        <f>IF('ketv. 4 '!X31&gt;0,'ketv. 4 '!C31,"-")</f>
        <v>-</v>
      </c>
      <c r="D30" s="366"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96">
        <f>SUM('3 pr-2'!L31)</f>
        <v>70991</v>
      </c>
      <c r="L30" s="1435">
        <f t="shared" si="16"/>
        <v>0</v>
      </c>
      <c r="M30" s="1427">
        <f t="shared" si="0"/>
        <v>70991</v>
      </c>
      <c r="N30" s="1428">
        <f t="shared" si="1"/>
        <v>0</v>
      </c>
      <c r="O30" s="1432">
        <f>SUM('3 pr-2'!O31)</f>
        <v>14198</v>
      </c>
      <c r="P30" s="1296">
        <v>0</v>
      </c>
      <c r="Q30" s="1427">
        <f t="shared" si="2"/>
        <v>14198</v>
      </c>
      <c r="R30" s="1428">
        <f t="shared" si="3"/>
        <v>0</v>
      </c>
      <c r="S30" s="1432">
        <f>SUM('3 pr-2'!R31)</f>
        <v>8519</v>
      </c>
      <c r="T30" s="1296">
        <f t="shared" si="17"/>
        <v>0</v>
      </c>
      <c r="U30" s="1427">
        <f t="shared" si="4"/>
        <v>8519</v>
      </c>
      <c r="V30" s="1428">
        <f t="shared" si="5"/>
        <v>0</v>
      </c>
      <c r="W30" s="1296">
        <f>SUM('3 pr-2'!U31)</f>
        <v>0</v>
      </c>
      <c r="X30" s="1296">
        <v>0</v>
      </c>
      <c r="Y30" s="1427">
        <f t="shared" si="18"/>
        <v>0</v>
      </c>
      <c r="Z30" s="1428">
        <f t="shared" si="7"/>
        <v>0</v>
      </c>
      <c r="AA30" s="1432">
        <f>SUM('3 pr-2'!X31)</f>
        <v>0</v>
      </c>
      <c r="AB30" s="1296">
        <v>0</v>
      </c>
      <c r="AC30" s="1427">
        <f t="shared" si="8"/>
        <v>0</v>
      </c>
      <c r="AD30" s="1428">
        <f t="shared" si="9"/>
        <v>0</v>
      </c>
      <c r="AE30" s="1432">
        <f>SUM('3 pr-2'!AA31)</f>
        <v>48274</v>
      </c>
      <c r="AF30" s="1296">
        <f t="shared" si="21"/>
        <v>0</v>
      </c>
      <c r="AG30" s="1429">
        <f t="shared" si="10"/>
        <v>48274</v>
      </c>
      <c r="AH30" s="1430">
        <f t="shared" si="11"/>
        <v>0</v>
      </c>
      <c r="AI30" s="1296">
        <f>SUM('3 pr-2'!AB31)</f>
        <v>0</v>
      </c>
      <c r="AJ30" s="1296"/>
      <c r="AL30" s="1751">
        <f>SUM(S30+AE30)</f>
        <v>56793</v>
      </c>
      <c r="AM30" s="1752"/>
      <c r="AN30" s="1752"/>
      <c r="AO30" s="1752"/>
      <c r="AP30" s="1752"/>
    </row>
    <row r="31" spans="1:42" ht="37.5" thickBot="1" x14ac:dyDescent="0.3">
      <c r="A31" s="182" t="str">
        <f>CONCATENATE('3 pr-2'!A32)</f>
        <v>1.1.1.1.23</v>
      </c>
      <c r="B31" s="182" t="str">
        <f>CONCATENATE('3 pr-2'!B32)</f>
        <v>R01-ZM72-120000-1123</v>
      </c>
      <c r="C31" s="652" t="str">
        <f>IF('ketv. 4 '!X32&gt;0,'ketv. 4 '!C32,"-")</f>
        <v>-</v>
      </c>
      <c r="D31" s="366"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96">
        <f>SUM('3 pr-2'!L32)</f>
        <v>160049</v>
      </c>
      <c r="L31" s="1296">
        <f t="shared" si="16"/>
        <v>0</v>
      </c>
      <c r="M31" s="1427">
        <f t="shared" si="0"/>
        <v>160049</v>
      </c>
      <c r="N31" s="1428">
        <f t="shared" si="1"/>
        <v>0</v>
      </c>
      <c r="O31" s="1432">
        <f>SUM('3 pr-2'!O32)</f>
        <v>32010</v>
      </c>
      <c r="P31" s="1296">
        <v>0</v>
      </c>
      <c r="Q31" s="1427">
        <f t="shared" si="2"/>
        <v>32010</v>
      </c>
      <c r="R31" s="1428">
        <f t="shared" si="3"/>
        <v>0</v>
      </c>
      <c r="S31" s="1432">
        <f>SUM('3 pr-2'!R32)</f>
        <v>19206</v>
      </c>
      <c r="T31" s="1296">
        <f t="shared" si="17"/>
        <v>0</v>
      </c>
      <c r="U31" s="1427">
        <f t="shared" si="4"/>
        <v>19206</v>
      </c>
      <c r="V31" s="1428">
        <f t="shared" si="5"/>
        <v>0</v>
      </c>
      <c r="W31" s="1296">
        <f>SUM('3 pr-2'!U32)</f>
        <v>0</v>
      </c>
      <c r="X31" s="1296">
        <v>0</v>
      </c>
      <c r="Y31" s="1427">
        <f t="shared" si="18"/>
        <v>0</v>
      </c>
      <c r="Z31" s="1428">
        <f t="shared" si="7"/>
        <v>0</v>
      </c>
      <c r="AA31" s="1432">
        <f>SUM('3 pr-2'!X32)</f>
        <v>0</v>
      </c>
      <c r="AB31" s="1296">
        <v>0</v>
      </c>
      <c r="AC31" s="1427">
        <f t="shared" si="8"/>
        <v>0</v>
      </c>
      <c r="AD31" s="1428">
        <f t="shared" si="9"/>
        <v>0</v>
      </c>
      <c r="AE31" s="1432">
        <f>SUM('3 pr-2'!AA32)</f>
        <v>108833</v>
      </c>
      <c r="AF31" s="1296">
        <f t="shared" si="21"/>
        <v>0</v>
      </c>
      <c r="AG31" s="1429">
        <f t="shared" si="10"/>
        <v>108833</v>
      </c>
      <c r="AH31" s="1430">
        <f t="shared" si="11"/>
        <v>0</v>
      </c>
      <c r="AI31" s="1296">
        <f>SUM('3 pr-2'!AB32)</f>
        <v>0</v>
      </c>
      <c r="AJ31" s="1296"/>
      <c r="AL31" s="1752"/>
      <c r="AM31" s="1752"/>
      <c r="AN31" s="1752"/>
      <c r="AO31" s="1752"/>
      <c r="AP31" s="1752"/>
    </row>
    <row r="32" spans="1:42" ht="40.5" customHeight="1" thickBot="1" x14ac:dyDescent="0.3">
      <c r="A32" s="326" t="str">
        <f>CONCATENATE('3 pr-2'!A33)</f>
        <v>1.1.1.2</v>
      </c>
      <c r="B32" s="2025" t="str">
        <f>CONCATENATE('3 pr-2'!B33)</f>
        <v>Priemonė:
Kaimo gyvenamųjų vietovių (turinčių 1-6 tūkst. gyventojų) atnaujinimas ir plėtra</v>
      </c>
      <c r="C32" s="2026"/>
      <c r="D32" s="2026"/>
      <c r="E32" s="2026"/>
      <c r="F32" s="2026"/>
      <c r="G32" s="2026"/>
      <c r="H32" s="2026"/>
      <c r="I32" s="2026"/>
      <c r="J32" s="2027"/>
      <c r="K32" s="1293">
        <f>SUM('3 pr-2'!L33)</f>
        <v>3717325.8</v>
      </c>
      <c r="L32" s="1293">
        <f ca="1">SUM(L33:L37)</f>
        <v>2673858.7999999998</v>
      </c>
      <c r="M32" s="1422">
        <f ca="1">SUM(M33:M37)</f>
        <v>1043467</v>
      </c>
      <c r="N32" s="1423">
        <f ca="1">SUM(N33:N37)</f>
        <v>0</v>
      </c>
      <c r="O32" s="1293">
        <f>SUM('3 pr-2'!O33)</f>
        <v>652363.41999999993</v>
      </c>
      <c r="P32" s="1293">
        <f ca="1">SUM(P33:P37)</f>
        <v>574103.41999999993</v>
      </c>
      <c r="Q32" s="1293">
        <f ca="1">SUM(Q33:Q37)</f>
        <v>78260</v>
      </c>
      <c r="R32" s="1293">
        <f ca="1">SUM(R33:R37)</f>
        <v>0</v>
      </c>
      <c r="S32" s="1293">
        <f>SUM('3 pr-2'!R33)</f>
        <v>248510.74</v>
      </c>
      <c r="T32" s="1293">
        <f ca="1">SUM(T33:T37)</f>
        <v>170250.74</v>
      </c>
      <c r="U32" s="1293">
        <f ca="1">SUM(U33:U37)</f>
        <v>78260</v>
      </c>
      <c r="V32" s="1293">
        <f ca="1">SUM(V33:V37)</f>
        <v>0</v>
      </c>
      <c r="W32" s="1293">
        <f>SUM('3 pr-2'!U33)</f>
        <v>0</v>
      </c>
      <c r="X32" s="1293">
        <f ca="1">SUM(X33:X37)</f>
        <v>0</v>
      </c>
      <c r="Y32" s="1293">
        <f ca="1">SUM(Y33:Y37)</f>
        <v>0</v>
      </c>
      <c r="Z32" s="1293">
        <f ca="1">SUM(Z33:Z37)</f>
        <v>0</v>
      </c>
      <c r="AA32" s="1293">
        <f>SUM('3 pr-2'!X33)</f>
        <v>0</v>
      </c>
      <c r="AB32" s="1293">
        <f ca="1">SUM(AB33:AB37)</f>
        <v>0</v>
      </c>
      <c r="AC32" s="1293">
        <f ca="1">SUM(AC33:AC37)</f>
        <v>0</v>
      </c>
      <c r="AD32" s="1293">
        <f ca="1">SUM(AD33:AD37)</f>
        <v>0</v>
      </c>
      <c r="AE32" s="1293">
        <f>SUM('3 pr-2'!AA33)</f>
        <v>2816451.64</v>
      </c>
      <c r="AF32" s="1293">
        <f ca="1">SUM(AF33:AF37)</f>
        <v>1929504.6400000001</v>
      </c>
      <c r="AG32" s="1436">
        <f ca="1">SUM(AG33:AG37)</f>
        <v>886947</v>
      </c>
      <c r="AH32" s="1437">
        <f ca="1">SUM(AH33:AH37)</f>
        <v>0</v>
      </c>
      <c r="AI32" s="1293">
        <f>SUM(AI33:AI37)</f>
        <v>0</v>
      </c>
      <c r="AJ32" s="1293">
        <f>SUM(AJ33:AJ37)</f>
        <v>0</v>
      </c>
    </row>
    <row r="33" spans="1:37" ht="36.75" x14ac:dyDescent="0.25">
      <c r="A33" s="182" t="str">
        <f>CONCATENATE('3 pr-2'!A34)</f>
        <v>1.1.1.2.1</v>
      </c>
      <c r="B33" s="182" t="str">
        <f>CONCATENATE('3 pr-2'!B34)</f>
        <v>R01-9908-293400-1121</v>
      </c>
      <c r="C33" s="652" t="str">
        <f>IF('ketv. 4 '!X34&gt;0,'ketv. 4 '!C34,"-")</f>
        <v>08.2.1-CPVA-R-908-11-0002</v>
      </c>
      <c r="D33" s="366"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96">
        <f>SUM('3 pr-2'!L34)</f>
        <v>815537.61</v>
      </c>
      <c r="L33" s="1426">
        <f t="shared" ref="L33:L37" ca="1" si="26">SUM(P33+T33+X33+AB33+AF33+AJ33)</f>
        <v>815537.61</v>
      </c>
      <c r="M33" s="1427">
        <f t="shared" ca="1" si="0"/>
        <v>0</v>
      </c>
      <c r="N33" s="1428">
        <f t="shared" ref="N33:N37" ca="1" si="27">IF(L33&gt;0,K33-L33,0)</f>
        <v>0</v>
      </c>
      <c r="O33" s="1432">
        <f>SUM('3 pr-2'!O34)</f>
        <v>285195.61</v>
      </c>
      <c r="P33" s="1426">
        <f ca="1">SUMIF('sutarčių ataskaita'!$J$19:$J$2600,C33,'sutarčių ataskaita'!$DK$19:$DK$600)</f>
        <v>285195.61</v>
      </c>
      <c r="Q33" s="1427">
        <f t="shared" ca="1" si="2"/>
        <v>0</v>
      </c>
      <c r="R33" s="1428">
        <f t="shared" ref="R33:R37" ca="1" si="28">IF(P33&gt;0,O33-P33,0)</f>
        <v>0</v>
      </c>
      <c r="S33" s="1432">
        <f>SUM('3 pr-2'!R34)</f>
        <v>43001</v>
      </c>
      <c r="T33" s="1426">
        <f ca="1">SUMIF('sutarčių ataskaita'!$J$19:$J$2600,C33,'sutarčių ataskaita'!$DG$19:$DG$600)</f>
        <v>43001</v>
      </c>
      <c r="U33" s="1427">
        <f t="shared" ref="U33:U37" ca="1" si="29">SUM(S33-T33)</f>
        <v>0</v>
      </c>
      <c r="V33" s="1428">
        <f t="shared" ref="V33:V37" ca="1" si="30">IF(T33&gt;0,S33-T33,0)</f>
        <v>0</v>
      </c>
      <c r="W33" s="1432">
        <f>SUM('3 pr-2'!U34)</f>
        <v>0</v>
      </c>
      <c r="X33" s="1296">
        <f ca="1">SUMIF('sutarčių ataskaita'!$J$19:$J$2600,C33,'sutarčių ataskaita'!$DM$19:$DM$600)</f>
        <v>0</v>
      </c>
      <c r="Y33" s="1427">
        <f t="shared" ref="Y33:Y37" ca="1" si="31">SUM(W33-X33)</f>
        <v>0</v>
      </c>
      <c r="Z33" s="1428">
        <f t="shared" ref="Z33:Z37" ca="1" si="32">IF(X33&gt;0,W33-X33,0)</f>
        <v>0</v>
      </c>
      <c r="AA33" s="1432">
        <f>SUM('3 pr-2'!X34)</f>
        <v>0</v>
      </c>
      <c r="AB33" s="1296">
        <f ca="1">SUMIF('sutarčių ataskaita'!$J$19:$J$2600,C33,'sutarčių ataskaita'!$DL$19:$DL$600)+SUMIF('sutarčių ataskaita'!$J$19:$J$2600,C33,'sutarčių ataskaita'!$DJ$19:$DJ$600)</f>
        <v>0</v>
      </c>
      <c r="AC33" s="1427">
        <f ca="1">SUM(AA33-AB33)</f>
        <v>0</v>
      </c>
      <c r="AD33" s="1428">
        <f t="shared" ref="AD33:AD37" ca="1" si="33">IF(AB33&gt;0,AA33-AB33,0)</f>
        <v>0</v>
      </c>
      <c r="AE33" s="1432">
        <f>SUM('3 pr-2'!AA34)</f>
        <v>487341</v>
      </c>
      <c r="AF33" s="1426">
        <f ca="1">SUMIF('sutarčių ataskaita'!$J$19:$J$2600,C33,'sutarčių ataskaita'!$DF$19:$DF$600)</f>
        <v>487341</v>
      </c>
      <c r="AG33" s="1429">
        <f t="shared" ref="AG33:AG37" ca="1" si="34">SUM(AE33-AF33)</f>
        <v>0</v>
      </c>
      <c r="AH33" s="1430">
        <f t="shared" ref="AH33:AH37" ca="1" si="35">IF(AF33&gt;0,AE33-AF33,0)</f>
        <v>0</v>
      </c>
      <c r="AI33" s="1296">
        <f>SUM('3 pr-2'!AB34)</f>
        <v>0</v>
      </c>
      <c r="AJ33" s="1426">
        <v>0</v>
      </c>
      <c r="AK33" s="256">
        <f ca="1">SUM(T33+AF33)</f>
        <v>530342</v>
      </c>
    </row>
    <row r="34" spans="1:37" ht="36.75" x14ac:dyDescent="0.25">
      <c r="A34" s="182" t="str">
        <f>CONCATENATE('3 pr-2'!A35)</f>
        <v>1.1.1.2.2</v>
      </c>
      <c r="B34" s="182" t="str">
        <f>CONCATENATE('3 pr-2'!B35)</f>
        <v>R01-9908-290000-1122</v>
      </c>
      <c r="C34" s="652" t="str">
        <f>IF('ketv. 4 '!X35&gt;0,'ketv. 4 '!C35,"-")</f>
        <v>08.2.1-CPVA-R-908-11-0001</v>
      </c>
      <c r="D34" s="366"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96">
        <f>SUM('3 pr-2'!L35)</f>
        <v>605024.19999999995</v>
      </c>
      <c r="L34" s="1426">
        <f t="shared" ca="1" si="26"/>
        <v>605024.19999999995</v>
      </c>
      <c r="M34" s="1427">
        <f ca="1">SUM(K34-L34)</f>
        <v>0</v>
      </c>
      <c r="N34" s="1428">
        <f ca="1">IF(L34&gt;0,K34-L34,0)</f>
        <v>0</v>
      </c>
      <c r="O34" s="1432">
        <f>SUM('3 pr-2'!O35)</f>
        <v>45376.82</v>
      </c>
      <c r="P34" s="1426">
        <f ca="1">SUMIF('sutarčių ataskaita'!$J$19:$J$2600,C34,'sutarčių ataskaita'!$DK$19:$DK$600)</f>
        <v>45376.82</v>
      </c>
      <c r="Q34" s="1427">
        <f t="shared" ca="1" si="2"/>
        <v>0</v>
      </c>
      <c r="R34" s="1428">
        <f t="shared" ca="1" si="28"/>
        <v>0</v>
      </c>
      <c r="S34" s="1432">
        <f>SUM('3 pr-2'!R35)</f>
        <v>45376.81</v>
      </c>
      <c r="T34" s="1426">
        <f ca="1">SUMIF('sutarčių ataskaita'!$J$19:$J$2600,C34,'sutarčių ataskaita'!$DG$19:$DG$600)</f>
        <v>45376.81</v>
      </c>
      <c r="U34" s="1427">
        <f t="shared" ca="1" si="29"/>
        <v>0</v>
      </c>
      <c r="V34" s="1428">
        <f t="shared" ca="1" si="30"/>
        <v>0</v>
      </c>
      <c r="W34" s="1432">
        <f>SUM('3 pr-2'!U35)</f>
        <v>0</v>
      </c>
      <c r="X34" s="1296">
        <f ca="1">SUMIF('sutarčių ataskaita'!$J$19:$J$2600,C34,'sutarčių ataskaita'!$DM$19:$DM$600)</f>
        <v>0</v>
      </c>
      <c r="Y34" s="1427">
        <f t="shared" ca="1" si="31"/>
        <v>0</v>
      </c>
      <c r="Z34" s="1428">
        <f t="shared" ca="1" si="32"/>
        <v>0</v>
      </c>
      <c r="AA34" s="1432">
        <f>SUM('3 pr-2'!X35)</f>
        <v>0</v>
      </c>
      <c r="AB34" s="1296">
        <f ca="1">SUMIF('sutarčių ataskaita'!$J$19:$J$2600,C34,'sutarčių ataskaita'!$DL$19:$DL$600)+SUMIF('sutarčių ataskaita'!$J$19:$J$2600,C34,'sutarčių ataskaita'!$DJ$19:$DJ$600)</f>
        <v>0</v>
      </c>
      <c r="AC34" s="1427">
        <f ca="1">SUM(AA34-AB34)</f>
        <v>0</v>
      </c>
      <c r="AD34" s="1428">
        <f t="shared" ca="1" si="33"/>
        <v>0</v>
      </c>
      <c r="AE34" s="1432">
        <f>SUM('3 pr-2'!AA35)</f>
        <v>514270.57</v>
      </c>
      <c r="AF34" s="1426">
        <f ca="1">SUMIF('sutarčių ataskaita'!$J$19:$J$2600,C34,'sutarčių ataskaita'!$DF$19:$DF$600)</f>
        <v>514270.57</v>
      </c>
      <c r="AG34" s="1429">
        <f t="shared" ca="1" si="34"/>
        <v>0</v>
      </c>
      <c r="AH34" s="1430">
        <f t="shared" ca="1" si="35"/>
        <v>0</v>
      </c>
      <c r="AI34" s="1296">
        <f>SUM('3 pr-2'!AB35)</f>
        <v>0</v>
      </c>
      <c r="AJ34" s="1426">
        <v>0</v>
      </c>
      <c r="AK34" s="256">
        <f ca="1">SUM(T34+AF34)</f>
        <v>559647.38</v>
      </c>
    </row>
    <row r="35" spans="1:37" ht="36.75" x14ac:dyDescent="0.25">
      <c r="A35" s="182" t="str">
        <f>CONCATENATE('3 pr-2'!A36)</f>
        <v>1.1.1.2.3</v>
      </c>
      <c r="B35" s="182" t="str">
        <f>CONCATENATE('3 pr-2'!B36)</f>
        <v>R01-9908-290000-1123</v>
      </c>
      <c r="C35" s="652" t="str">
        <f>IF('ketv. 4 '!X36&gt;0,'ketv. 4 '!C36,"-")</f>
        <v>-</v>
      </c>
      <c r="D35" s="366"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96">
        <f>SUM('3 pr-2'!L36)</f>
        <v>1043467</v>
      </c>
      <c r="L35" s="1296">
        <f t="shared" ca="1" si="26"/>
        <v>0</v>
      </c>
      <c r="M35" s="1427">
        <f t="shared" ca="1" si="0"/>
        <v>1043467</v>
      </c>
      <c r="N35" s="1428">
        <f t="shared" ca="1" si="27"/>
        <v>0</v>
      </c>
      <c r="O35" s="1432">
        <f>SUM('3 pr-2'!O36)</f>
        <v>78260</v>
      </c>
      <c r="P35" s="1296">
        <f ca="1">SUMIF('sutarčių ataskaita'!$J$19:$J$2600,C35,'sutarčių ataskaita'!$DK$19:$DK$600)</f>
        <v>0</v>
      </c>
      <c r="Q35" s="1427">
        <f t="shared" ca="1" si="2"/>
        <v>78260</v>
      </c>
      <c r="R35" s="1428">
        <f t="shared" ca="1" si="28"/>
        <v>0</v>
      </c>
      <c r="S35" s="1432">
        <f>SUM('3 pr-2'!R36)</f>
        <v>78260</v>
      </c>
      <c r="T35" s="1296">
        <f ca="1">SUMIF('sutarčių ataskaita'!$J$19:$J$2600,C35,'sutarčių ataskaita'!$DG$19:$DG$600)</f>
        <v>0</v>
      </c>
      <c r="U35" s="1427">
        <f t="shared" ca="1" si="29"/>
        <v>78260</v>
      </c>
      <c r="V35" s="1428">
        <f t="shared" ca="1" si="30"/>
        <v>0</v>
      </c>
      <c r="W35" s="1432">
        <f>SUM('3 pr-2'!U36)</f>
        <v>0</v>
      </c>
      <c r="X35" s="1296">
        <f ca="1">SUMIF('sutarčių ataskaita'!$J$19:$J$2600,C35,'sutarčių ataskaita'!$DM$19:$DM$600)</f>
        <v>0</v>
      </c>
      <c r="Y35" s="1427">
        <f t="shared" ca="1" si="31"/>
        <v>0</v>
      </c>
      <c r="Z35" s="1428">
        <f t="shared" ca="1" si="32"/>
        <v>0</v>
      </c>
      <c r="AA35" s="1432">
        <f>SUM('3 pr-2'!X36)</f>
        <v>0</v>
      </c>
      <c r="AB35" s="1296">
        <f ca="1">SUMIF('sutarčių ataskaita'!$J$19:$J$2600,C35,'sutarčių ataskaita'!$DL$19:$DL$600)+SUMIF('sutarčių ataskaita'!$J$19:$J$2600,C35,'sutarčių ataskaita'!$DJ$19:$DJ$600)</f>
        <v>0</v>
      </c>
      <c r="AC35" s="1427">
        <f ca="1">SUM(AA35-AB35)</f>
        <v>0</v>
      </c>
      <c r="AD35" s="1428">
        <f t="shared" ca="1" si="33"/>
        <v>0</v>
      </c>
      <c r="AE35" s="1432">
        <f>SUM('3 pr-2'!AA36)</f>
        <v>886947</v>
      </c>
      <c r="AF35" s="1296">
        <f ca="1">SUMIF('sutarčių ataskaita'!$J$19:$J$2600,C35,'sutarčių ataskaita'!$DF$19:$DF$600)</f>
        <v>0</v>
      </c>
      <c r="AG35" s="1429">
        <f t="shared" ca="1" si="34"/>
        <v>886947</v>
      </c>
      <c r="AH35" s="1430">
        <f t="shared" ca="1" si="35"/>
        <v>0</v>
      </c>
      <c r="AI35" s="1296">
        <f>SUM('3 pr-2'!AB36)</f>
        <v>0</v>
      </c>
      <c r="AJ35" s="1296"/>
      <c r="AK35" s="256"/>
    </row>
    <row r="36" spans="1:37" ht="36.75" x14ac:dyDescent="0.25">
      <c r="A36" s="182" t="str">
        <f>CONCATENATE('3 pr-2'!A37)</f>
        <v>1.1.1.2.4</v>
      </c>
      <c r="B36" s="182" t="str">
        <f>CONCATENATE('3 pr-2'!B37)</f>
        <v>R01-9908-290000-1124</v>
      </c>
      <c r="C36" s="652" t="str">
        <f>IF('ketv. 4 '!X37&gt;0,'ketv. 4 '!C37,"-")</f>
        <v>08.2.1-CPVA-R-908-11-0003</v>
      </c>
      <c r="D36" s="366"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96">
        <f>SUM('3 pr-2'!L37)</f>
        <v>579418.99</v>
      </c>
      <c r="L36" s="1426">
        <f t="shared" ca="1" si="26"/>
        <v>579418.99</v>
      </c>
      <c r="M36" s="1427">
        <f ca="1">SUM(K36-L36)</f>
        <v>0</v>
      </c>
      <c r="N36" s="1428">
        <f ca="1">IF(L36&gt;0,K36-L36,0)</f>
        <v>0</v>
      </c>
      <c r="O36" s="1432">
        <f>SUM('3 pr-2'!O37)</f>
        <v>192989.99</v>
      </c>
      <c r="P36" s="1426">
        <f ca="1">SUMIF('sutarčių ataskaita'!$J$19:$J$2600,C36,'sutarčių ataskaita'!$DK$19:$DK$600)</f>
        <v>192989.99</v>
      </c>
      <c r="Q36" s="1427">
        <f t="shared" ca="1" si="2"/>
        <v>0</v>
      </c>
      <c r="R36" s="1428">
        <f t="shared" ca="1" si="28"/>
        <v>0</v>
      </c>
      <c r="S36" s="1432">
        <f>SUM('3 pr-2'!R37)</f>
        <v>31332.09</v>
      </c>
      <c r="T36" s="1426">
        <f ca="1">SUMIF('sutarčių ataskaita'!$J$19:$J$2600,C36,'sutarčių ataskaita'!$DG$19:$DG$600)</f>
        <v>31332.09</v>
      </c>
      <c r="U36" s="1427">
        <f t="shared" ca="1" si="29"/>
        <v>0</v>
      </c>
      <c r="V36" s="1428">
        <f t="shared" ca="1" si="30"/>
        <v>0</v>
      </c>
      <c r="W36" s="1432">
        <f>SUM('3 pr-2'!U37)</f>
        <v>0</v>
      </c>
      <c r="X36" s="1296">
        <f ca="1">SUMIF('sutarčių ataskaita'!$J$19:$J$2600,C36,'sutarčių ataskaita'!$DM$19:$DM$600)</f>
        <v>0</v>
      </c>
      <c r="Y36" s="1427">
        <f t="shared" ca="1" si="31"/>
        <v>0</v>
      </c>
      <c r="Z36" s="1428">
        <f t="shared" ca="1" si="32"/>
        <v>0</v>
      </c>
      <c r="AA36" s="1432">
        <f>SUM('3 pr-2'!X37)</f>
        <v>0</v>
      </c>
      <c r="AB36" s="1296">
        <f ca="1">SUMIF('sutarčių ataskaita'!$J$19:$J$2600,C36,'sutarčių ataskaita'!$DL$19:$DL$600)+SUMIF('sutarčių ataskaita'!$J$19:$J$2600,C36,'sutarčių ataskaita'!$DJ$19:$DJ$600)</f>
        <v>0</v>
      </c>
      <c r="AC36" s="1427">
        <f ca="1">SUM(AA36-AB36)</f>
        <v>0</v>
      </c>
      <c r="AD36" s="1428">
        <f t="shared" ca="1" si="33"/>
        <v>0</v>
      </c>
      <c r="AE36" s="1432">
        <f>SUM('3 pr-2'!AA37)</f>
        <v>355096.91</v>
      </c>
      <c r="AF36" s="1426">
        <f ca="1">SUMIF('sutarčių ataskaita'!$J$19:$J$2600,C36,'sutarčių ataskaita'!$DF$19:$DF$600)</f>
        <v>355096.91</v>
      </c>
      <c r="AG36" s="1429">
        <f t="shared" ca="1" si="34"/>
        <v>0</v>
      </c>
      <c r="AH36" s="1430">
        <f t="shared" ca="1" si="35"/>
        <v>0</v>
      </c>
      <c r="AI36" s="1296">
        <f>SUM('3 pr-2'!AB37)</f>
        <v>0</v>
      </c>
      <c r="AJ36" s="1426">
        <v>0</v>
      </c>
      <c r="AK36" s="256">
        <f ca="1">SUM(T36+AF36)</f>
        <v>386429</v>
      </c>
    </row>
    <row r="37" spans="1:37" ht="37.5" thickBot="1" x14ac:dyDescent="0.3">
      <c r="A37" s="182" t="str">
        <f>CONCATENATE('3 pr-2'!A38)</f>
        <v>1.1.1.2.5</v>
      </c>
      <c r="B37" s="182" t="str">
        <f>CONCATENATE('3 pr-2'!B38)</f>
        <v>R01-9908-290000-1125</v>
      </c>
      <c r="C37" s="652" t="str">
        <f>IF('ketv. 4 '!X38&gt;0,'ketv. 4 '!C38,"-")</f>
        <v>08.2.1-CPVA-R-908-11-0004</v>
      </c>
      <c r="D37" s="366"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96">
        <f>SUM('3 pr-2'!L38)</f>
        <v>673878</v>
      </c>
      <c r="L37" s="1426">
        <f t="shared" ca="1" si="26"/>
        <v>673878</v>
      </c>
      <c r="M37" s="1427">
        <f t="shared" ca="1" si="0"/>
        <v>0</v>
      </c>
      <c r="N37" s="1428">
        <f t="shared" ca="1" si="27"/>
        <v>0</v>
      </c>
      <c r="O37" s="1432">
        <f>SUM('3 pr-2'!O38)</f>
        <v>50541</v>
      </c>
      <c r="P37" s="1426">
        <f ca="1">SUMIF('sutarčių ataskaita'!$J$19:$J$2600,C37,'sutarčių ataskaita'!$DK$19:$DK$600)</f>
        <v>50541</v>
      </c>
      <c r="Q37" s="1427">
        <f t="shared" ca="1" si="2"/>
        <v>0</v>
      </c>
      <c r="R37" s="1428">
        <f t="shared" ca="1" si="28"/>
        <v>0</v>
      </c>
      <c r="S37" s="1432">
        <f>SUM('3 pr-2'!R38)</f>
        <v>50540.84</v>
      </c>
      <c r="T37" s="1426">
        <f ca="1">SUMIF('sutarčių ataskaita'!$J$19:$J$2600,C37,'sutarčių ataskaita'!$DG$19:$DG$600)</f>
        <v>50540.84</v>
      </c>
      <c r="U37" s="1427">
        <f t="shared" ca="1" si="29"/>
        <v>0</v>
      </c>
      <c r="V37" s="1428">
        <f t="shared" ca="1" si="30"/>
        <v>0</v>
      </c>
      <c r="W37" s="1432">
        <f>SUM('3 pr-2'!U38)</f>
        <v>0</v>
      </c>
      <c r="X37" s="1296">
        <f ca="1">SUMIF('sutarčių ataskaita'!$J$19:$J$2600,C37,'sutarčių ataskaita'!$DM$19:$DM$600)</f>
        <v>0</v>
      </c>
      <c r="Y37" s="1427">
        <f t="shared" ca="1" si="31"/>
        <v>0</v>
      </c>
      <c r="Z37" s="1428">
        <f t="shared" ca="1" si="32"/>
        <v>0</v>
      </c>
      <c r="AA37" s="1432">
        <f>SUM('3 pr-2'!X38)</f>
        <v>0</v>
      </c>
      <c r="AB37" s="1296">
        <f ca="1">SUMIF('sutarčių ataskaita'!$J$19:$J$2600,C37,'sutarčių ataskaita'!$DL$19:$DL$600)+SUMIF('sutarčių ataskaita'!$J$19:$J$2600,C37,'sutarčių ataskaita'!$DJ$19:$DJ$600)</f>
        <v>0</v>
      </c>
      <c r="AC37" s="1427">
        <f ca="1">SUM(AA37-AB37)</f>
        <v>0</v>
      </c>
      <c r="AD37" s="1428">
        <f t="shared" ca="1" si="33"/>
        <v>0</v>
      </c>
      <c r="AE37" s="1432">
        <f>SUM('3 pr-2'!AA38)</f>
        <v>572796.16000000003</v>
      </c>
      <c r="AF37" s="1426">
        <f ca="1">SUMIF('sutarčių ataskaita'!$J$19:$J$2600,C37,'sutarčių ataskaita'!$DF$19:$DF$600)</f>
        <v>572796.16000000003</v>
      </c>
      <c r="AG37" s="1429">
        <f t="shared" ca="1" si="34"/>
        <v>0</v>
      </c>
      <c r="AH37" s="1430">
        <f t="shared" ca="1" si="35"/>
        <v>0</v>
      </c>
      <c r="AI37" s="1296">
        <f>SUM('3 pr-2'!AB38)</f>
        <v>0</v>
      </c>
      <c r="AJ37" s="1426">
        <v>0</v>
      </c>
      <c r="AK37" s="256">
        <f ca="1">SUM(T37+AF37)</f>
        <v>623337</v>
      </c>
    </row>
    <row r="38" spans="1:37" ht="36.75" customHeight="1" thickBot="1" x14ac:dyDescent="0.3">
      <c r="A38" s="326" t="str">
        <f>CONCATENATE('3 pr-2'!A39)</f>
        <v>1.1.1.3</v>
      </c>
      <c r="B38" s="2025" t="str">
        <f>CONCATENATE('3 pr-2'!B39)</f>
        <v>Priemonė:
Varėnos miesto kompleksinė plėtra</v>
      </c>
      <c r="C38" s="2026"/>
      <c r="D38" s="2026"/>
      <c r="E38" s="2026"/>
      <c r="F38" s="2026"/>
      <c r="G38" s="2026"/>
      <c r="H38" s="2026"/>
      <c r="I38" s="2026"/>
      <c r="J38" s="2027"/>
      <c r="K38" s="1293">
        <f>SUM('3 pr-2'!L39)</f>
        <v>4358551.91</v>
      </c>
      <c r="L38" s="1293">
        <f ca="1">SUM(L39:L43)</f>
        <v>3932465.29</v>
      </c>
      <c r="M38" s="1422">
        <f ca="1">SUM(M39:M43)</f>
        <v>125713.61999999988</v>
      </c>
      <c r="N38" s="1423">
        <f ca="1">SUM(N39:N43)</f>
        <v>-24286.380000000121</v>
      </c>
      <c r="O38" s="1293">
        <f>SUM('3 pr-2'!O39)</f>
        <v>297094.61</v>
      </c>
      <c r="P38" s="1293">
        <f ca="1">SUM(P39:P43)</f>
        <v>429198.66000000003</v>
      </c>
      <c r="Q38" s="1293">
        <f ca="1">SUM(Q39:Q43)</f>
        <v>-154632.04999999999</v>
      </c>
      <c r="R38" s="1293">
        <f ca="1">SUM(R39:R43)</f>
        <v>-165882.04999999999</v>
      </c>
      <c r="S38" s="1293">
        <f>SUM('3 pr-2'!R39)</f>
        <v>364155.41000000003</v>
      </c>
      <c r="T38" s="1293">
        <f ca="1">SUM(T39:T43)</f>
        <v>318897.09000000003</v>
      </c>
      <c r="U38" s="1293">
        <f ca="1">SUM(U39:U43)</f>
        <v>22730.32</v>
      </c>
      <c r="V38" s="1293">
        <f ca="1">SUM(V39:V43)</f>
        <v>11480.32</v>
      </c>
      <c r="W38" s="1293">
        <f>SUM('3 pr-2'!U39)</f>
        <v>0</v>
      </c>
      <c r="X38" s="1293">
        <f ca="1">SUM(X39:X43)</f>
        <v>0</v>
      </c>
      <c r="Y38" s="1293">
        <f ca="1">SUM(Y39:Y43)</f>
        <v>0</v>
      </c>
      <c r="Z38" s="1293">
        <f ca="1">SUM(Z39:Z43)</f>
        <v>0</v>
      </c>
      <c r="AA38" s="1293">
        <f>SUM('3 pr-2'!X39)</f>
        <v>0</v>
      </c>
      <c r="AB38" s="1293">
        <f ca="1">SUM(AB39:AB43)</f>
        <v>0</v>
      </c>
      <c r="AC38" s="1293">
        <f ca="1">SUM(AC39:AC43)</f>
        <v>0</v>
      </c>
      <c r="AD38" s="1293">
        <f ca="1">SUM(AD39:AD43)</f>
        <v>0</v>
      </c>
      <c r="AE38" s="1293">
        <f>SUM('3 pr-2'!AA39)</f>
        <v>3697301.8899999997</v>
      </c>
      <c r="AF38" s="1293">
        <f ca="1">SUM(AF39:AF43)</f>
        <v>3184369.5399999996</v>
      </c>
      <c r="AG38" s="1436">
        <f ca="1">SUM(AG39:AG43)</f>
        <v>257615.34999999998</v>
      </c>
      <c r="AH38" s="1437">
        <f ca="1">SUM(AH39:AH43)</f>
        <v>130115.34999999998</v>
      </c>
      <c r="AI38" s="1293">
        <f>SUM(AI39:AI43)</f>
        <v>0</v>
      </c>
      <c r="AJ38" s="1293">
        <f>SUM(AJ39:AJ43)</f>
        <v>0</v>
      </c>
    </row>
    <row r="39" spans="1:37" ht="36.75" x14ac:dyDescent="0.25">
      <c r="A39" s="366" t="str">
        <f>CONCATENATE('3 pr-2'!A40)</f>
        <v>1.1.1.3.1</v>
      </c>
      <c r="B39" s="182" t="str">
        <f>CONCATENATE('3 pr-2'!B40)</f>
        <v>R01-9905-290000-1131</v>
      </c>
      <c r="C39" s="652" t="str">
        <f>IF('ketv. 4 '!X40&gt;0,'ketv. 4 '!C40,"-")</f>
        <v>07.1.1-CPVA-R-905-11-0001</v>
      </c>
      <c r="D39" s="366" t="str">
        <f>CONCATENATE('3 pr-2'!D40)</f>
        <v>Varėnos miesto centrinės dalies modernizavimas ir pritaikymas visuomenės poreikiams (I etapas)</v>
      </c>
      <c r="E39" s="366" t="str">
        <f>CONCATENATE('3 pr-2'!E40)</f>
        <v>Varėnos rajono savivaldybės administracija</v>
      </c>
      <c r="F39" s="366" t="str">
        <f>CONCATENATE('3 pr-2'!F40)</f>
        <v>Lietuvos Respublikos vidaus reikalų ministerija</v>
      </c>
      <c r="G39" s="366" t="str">
        <f>CONCATENATE('3 pr-2'!G40)</f>
        <v>Varėnos r. sav.</v>
      </c>
      <c r="H39" s="366" t="str">
        <f>CONCATENATE('3 pr-2'!H40)</f>
        <v xml:space="preserve">07.1.1-CPVA-R-905 </v>
      </c>
      <c r="I39" s="366" t="str">
        <f>CONCATENATE('3 pr-2'!I40)</f>
        <v>R</v>
      </c>
      <c r="J39" s="366" t="str">
        <f>CONCATENATE('3 pr-2'!J40)</f>
        <v>ITI</v>
      </c>
      <c r="K39" s="1432">
        <f>SUM('3 pr-2'!L40)</f>
        <v>1516932.01</v>
      </c>
      <c r="L39" s="1426">
        <f t="shared" ref="L39:L44" ca="1" si="36">SUM(P39+T39+X39+AB39+AF39+AJ39)</f>
        <v>1516932.01</v>
      </c>
      <c r="M39" s="1432">
        <f t="shared" ca="1" si="0"/>
        <v>0</v>
      </c>
      <c r="N39" s="1432">
        <f t="shared" ref="N39:N43" ca="1" si="37">IF(L39&gt;0,K39-L39,0)</f>
        <v>0</v>
      </c>
      <c r="O39" s="1432">
        <f>SUM('3 pr-2'!O40)</f>
        <v>75846.61</v>
      </c>
      <c r="P39" s="1426">
        <f ca="1">SUMIF('sutarčių ataskaita'!$J$19:$J$2600,C39,'sutarčių ataskaita'!$DK$19:$DK$600)</f>
        <v>75846.61</v>
      </c>
      <c r="Q39" s="1432">
        <f t="shared" ca="1" si="2"/>
        <v>0</v>
      </c>
      <c r="R39" s="1432">
        <f t="shared" ref="R39:R43" ca="1" si="38">IF(P39&gt;0,O39-P39,0)</f>
        <v>0</v>
      </c>
      <c r="S39" s="1432">
        <f>SUM('3 pr-2'!R40)</f>
        <v>151693.20000000001</v>
      </c>
      <c r="T39" s="1426">
        <f ca="1">SUMIF('sutarčių ataskaita'!$J$19:$J$2600,C39,'sutarčių ataskaita'!$DG$19:$DG$600)</f>
        <v>151693.20000000001</v>
      </c>
      <c r="U39" s="1432">
        <f t="shared" ref="U39:U48" ca="1" si="39">SUM(S39-T39)</f>
        <v>0</v>
      </c>
      <c r="V39" s="1432">
        <f t="shared" ref="V39:V43" ca="1" si="40">IF(T39&gt;0,S39-T39,0)</f>
        <v>0</v>
      </c>
      <c r="W39" s="1432">
        <f>SUM('3 pr-2'!U40)</f>
        <v>0</v>
      </c>
      <c r="X39" s="1296">
        <f ca="1">SUMIF('sutarčių ataskaita'!$J$19:$J$2600,C39,'sutarčių ataskaita'!$DM$19:$DM$600)</f>
        <v>0</v>
      </c>
      <c r="Y39" s="1432">
        <f t="shared" ref="Y39:Y54" ca="1" si="41">SUM(W39-X39)</f>
        <v>0</v>
      </c>
      <c r="Z39" s="1432">
        <f t="shared" ref="Z39:Z43" ca="1" si="42">IF(X39&gt;0,W39-X39,0)</f>
        <v>0</v>
      </c>
      <c r="AA39" s="1432">
        <f>SUM('3 pr-2'!X40)</f>
        <v>0</v>
      </c>
      <c r="AB39" s="1432">
        <f ca="1">SUMIF('sutarčių ataskaita'!$J$19:$J$2600,C39,'sutarčių ataskaita'!$DL$19:$DL$600)+SUMIF('sutarčių ataskaita'!$J$19:$J$2600,C39,'sutarčių ataskaita'!$DJ$19:$DJ$600)</f>
        <v>0</v>
      </c>
      <c r="AC39" s="1432">
        <f t="shared" ref="AC39:AC44" ca="1" si="43">SUM(AA39-AB39)</f>
        <v>0</v>
      </c>
      <c r="AD39" s="1432">
        <f t="shared" ref="AD39:AD43" ca="1" si="44">IF(AB39&gt;0,AA39-AB39,0)</f>
        <v>0</v>
      </c>
      <c r="AE39" s="1432">
        <f>SUM('3 pr-2'!AA40)</f>
        <v>1289392.2</v>
      </c>
      <c r="AF39" s="1426">
        <f ca="1">SUMIF('sutarčių ataskaita'!$J$19:$J$2600,C39,'sutarčių ataskaita'!$DF$19:$DF$600)</f>
        <v>1289392.2</v>
      </c>
      <c r="AG39" s="1429">
        <f t="shared" ref="AG39:AG54" ca="1" si="45">SUM(AE39-AF39)</f>
        <v>0</v>
      </c>
      <c r="AH39" s="1430">
        <f t="shared" ref="AH39:AH40" ca="1" si="46">IF(AF39&gt;0,AE39-AF39,0)</f>
        <v>0</v>
      </c>
      <c r="AI39" s="1296">
        <f>SUM('3 pr-2'!AB40)</f>
        <v>0</v>
      </c>
      <c r="AJ39" s="1426">
        <v>0</v>
      </c>
      <c r="AK39" s="256">
        <f t="shared" ref="AK39:AK42" ca="1" si="47">SUM(T39+AF39)</f>
        <v>1441085.4</v>
      </c>
    </row>
    <row r="40" spans="1:37" ht="36.75" x14ac:dyDescent="0.25">
      <c r="A40" s="366" t="str">
        <f>CONCATENATE('3 pr-2'!A41)</f>
        <v>1.1.1.3.2</v>
      </c>
      <c r="B40" s="182" t="str">
        <f>CONCATENATE('3 pr-2'!B41)</f>
        <v>R01-9905-282900-1132</v>
      </c>
      <c r="C40" s="652" t="str">
        <f>IF('ketv. 4 '!X41&gt;0,'ketv. 4 '!C41,"-")</f>
        <v>07.1.1-CPVA-R-905-11-0002</v>
      </c>
      <c r="D40" s="366" t="str">
        <f>CONCATENATE('3 pr-2'!D41)</f>
        <v>Varėnos miesto centrinės dalies modernizavimas ir pritaikymas visuomenės poreikiams (II etapas)</v>
      </c>
      <c r="E40" s="366" t="str">
        <f>CONCATENATE('3 pr-2'!E41)</f>
        <v>Varėnos rajono savivaldybės administracija</v>
      </c>
      <c r="F40" s="366" t="str">
        <f>CONCATENATE('3 pr-2'!F41)</f>
        <v>Lietuvos Respublikos vidaus reikalų ministerija</v>
      </c>
      <c r="G40" s="366" t="str">
        <f>CONCATENATE('3 pr-2'!G41)</f>
        <v>Varėnos r. sav.</v>
      </c>
      <c r="H40" s="366" t="str">
        <f>CONCATENATE('3 pr-2'!H41)</f>
        <v xml:space="preserve">07.1.1-CPVA-R-905 </v>
      </c>
      <c r="I40" s="366" t="str">
        <f>CONCATENATE('3 pr-2'!I41)</f>
        <v>R</v>
      </c>
      <c r="J40" s="366" t="str">
        <f>CONCATENATE('3 pr-2'!J41)</f>
        <v>ITI</v>
      </c>
      <c r="K40" s="1432">
        <f>SUM('3 pr-2'!L41)</f>
        <v>1004000.8999999999</v>
      </c>
      <c r="L40" s="1426">
        <f t="shared" ca="1" si="36"/>
        <v>995216.11</v>
      </c>
      <c r="M40" s="1432">
        <f t="shared" ca="1" si="0"/>
        <v>8784.7899999999208</v>
      </c>
      <c r="N40" s="1432">
        <f t="shared" ca="1" si="37"/>
        <v>8784.7899999999208</v>
      </c>
      <c r="O40" s="1432">
        <f>SUM('3 pr-2'!O41)</f>
        <v>83426</v>
      </c>
      <c r="P40" s="1426">
        <f ca="1">SUMIF('sutarčių ataskaita'!$J$19:$J$2600,C40,'sutarčių ataskaita'!$DK$19:$DK$600)</f>
        <v>74641.210000000006</v>
      </c>
      <c r="Q40" s="1432">
        <f t="shared" ca="1" si="2"/>
        <v>8784.7899999999936</v>
      </c>
      <c r="R40" s="1432">
        <f t="shared" ca="1" si="38"/>
        <v>8784.7899999999936</v>
      </c>
      <c r="S40" s="1432">
        <f>SUM('3 pr-2'!R41)</f>
        <v>74641.210000000006</v>
      </c>
      <c r="T40" s="1426">
        <f ca="1">SUMIF('sutarčių ataskaita'!$J$19:$J$2600,C40,'sutarčių ataskaita'!$DG$19:$DG$600)</f>
        <v>74641.210000000006</v>
      </c>
      <c r="U40" s="1432">
        <f t="shared" ca="1" si="39"/>
        <v>0</v>
      </c>
      <c r="V40" s="1432">
        <f t="shared" ca="1" si="40"/>
        <v>0</v>
      </c>
      <c r="W40" s="1432">
        <f>SUM('3 pr-2'!U41)</f>
        <v>0</v>
      </c>
      <c r="X40" s="1296">
        <f ca="1">SUMIF('sutarčių ataskaita'!$J$19:$J$2600,C40,'sutarčių ataskaita'!$DM$19:$DM$600)</f>
        <v>0</v>
      </c>
      <c r="Y40" s="1432">
        <f t="shared" ca="1" si="41"/>
        <v>0</v>
      </c>
      <c r="Z40" s="1432">
        <f t="shared" ca="1" si="42"/>
        <v>0</v>
      </c>
      <c r="AA40" s="1432">
        <f>SUM('3 pr-2'!X41)</f>
        <v>0</v>
      </c>
      <c r="AB40" s="1432">
        <f ca="1">SUMIF('sutarčių ataskaita'!$J$19:$J$2600,C40,'sutarčių ataskaita'!$DL$19:$DL$600)+SUMIF('sutarčių ataskaita'!$J$19:$J$2600,C40,'sutarčių ataskaita'!$DJ$19:$DJ$600)</f>
        <v>0</v>
      </c>
      <c r="AC40" s="1432">
        <f t="shared" ca="1" si="43"/>
        <v>0</v>
      </c>
      <c r="AD40" s="1432">
        <f t="shared" ca="1" si="44"/>
        <v>0</v>
      </c>
      <c r="AE40" s="1432">
        <f>SUM('3 pr-2'!AA41)</f>
        <v>845933.69</v>
      </c>
      <c r="AF40" s="1426">
        <f ca="1">SUMIF('sutarčių ataskaita'!$J$19:$J$2600,C40,'sutarčių ataskaita'!$DF$19:$DF$600)</f>
        <v>845933.69</v>
      </c>
      <c r="AG40" s="1429">
        <f t="shared" ca="1" si="45"/>
        <v>0</v>
      </c>
      <c r="AH40" s="1430">
        <f t="shared" ca="1" si="46"/>
        <v>0</v>
      </c>
      <c r="AI40" s="1296">
        <f>SUM('3 pr-2'!AB41)</f>
        <v>0</v>
      </c>
      <c r="AJ40" s="1426">
        <v>0</v>
      </c>
      <c r="AK40" s="256">
        <f t="shared" ca="1" si="47"/>
        <v>920574.89999999991</v>
      </c>
    </row>
    <row r="41" spans="1:37" ht="36.75" x14ac:dyDescent="0.25">
      <c r="A41" s="366" t="str">
        <f>CONCATENATE('3 pr-2'!A42)</f>
        <v>1.1.1.3.3</v>
      </c>
      <c r="B41" s="182" t="str">
        <f>CONCATENATE('3 pr-2'!B42)</f>
        <v>R01-9905-292800-1133</v>
      </c>
      <c r="C41" s="652" t="str">
        <f>IF('ketv. 4 '!X42&gt;0,'ketv. 4 '!C42,"-")</f>
        <v>07.1.1-CPVA-R-905-11-0004</v>
      </c>
      <c r="D41" s="366" t="str">
        <f>CONCATENATE('3 pr-2'!D42)</f>
        <v xml:space="preserve">Varėnos miesto Dainų slėnio infrastruktūros atnaujinimas ir pritaikymas visuomenės poreikiams </v>
      </c>
      <c r="E41" s="366" t="str">
        <f>CONCATENATE('3 pr-2'!E42)</f>
        <v>Varėnos rajono savivaldybės administracija</v>
      </c>
      <c r="F41" s="366" t="str">
        <f>CONCATENATE('3 pr-2'!F42)</f>
        <v>Lietuvos Respublikos vidaus reikalų ministerija</v>
      </c>
      <c r="G41" s="366" t="str">
        <f>CONCATENATE('3 pr-2'!G42)</f>
        <v>Varėnos r. sav.</v>
      </c>
      <c r="H41" s="366" t="str">
        <f>CONCATENATE('3 pr-2'!H42)</f>
        <v xml:space="preserve">07.1.1-CPVA-R-905 </v>
      </c>
      <c r="I41" s="366" t="str">
        <f>CONCATENATE('3 pr-2'!I42)</f>
        <v>R</v>
      </c>
      <c r="J41" s="366" t="str">
        <f>CONCATENATE('3 pr-2'!J42)</f>
        <v>ITI</v>
      </c>
      <c r="K41" s="1432">
        <f>SUM('3 pr-2'!L42)</f>
        <v>630000</v>
      </c>
      <c r="L41" s="1426">
        <f t="shared" ca="1" si="36"/>
        <v>663071.16</v>
      </c>
      <c r="M41" s="1432">
        <f t="shared" ca="1" si="0"/>
        <v>-33071.160000000033</v>
      </c>
      <c r="N41" s="1432">
        <f t="shared" ca="1" si="37"/>
        <v>-33071.160000000033</v>
      </c>
      <c r="O41" s="1432">
        <f>SUM('3 pr-2'!O42)</f>
        <v>47250</v>
      </c>
      <c r="P41" s="1426">
        <f ca="1">SUMIF('sutarčių ataskaita'!$J$19:$J$2600,C41,'sutarčių ataskaita'!$DK$19:$DK$600)</f>
        <v>80321.16</v>
      </c>
      <c r="Q41" s="1432">
        <f t="shared" ca="1" si="2"/>
        <v>-33071.160000000003</v>
      </c>
      <c r="R41" s="1432">
        <f t="shared" ca="1" si="38"/>
        <v>-33071.160000000003</v>
      </c>
      <c r="S41" s="1432">
        <f>SUM('3 pr-2'!R42)</f>
        <v>47250</v>
      </c>
      <c r="T41" s="1426">
        <f ca="1">SUMIF('sutarčių ataskaita'!$J$19:$J$2600,C41,'sutarčių ataskaita'!$DG$19:$DG$600)</f>
        <v>47250</v>
      </c>
      <c r="U41" s="1432">
        <f t="shared" ca="1" si="39"/>
        <v>0</v>
      </c>
      <c r="V41" s="1432">
        <f t="shared" ca="1" si="40"/>
        <v>0</v>
      </c>
      <c r="W41" s="1432">
        <f>SUM('3 pr-2'!U42)</f>
        <v>0</v>
      </c>
      <c r="X41" s="1296">
        <f ca="1">SUMIF('sutarčių ataskaita'!$J$19:$J$2600,C41,'sutarčių ataskaita'!$DM$19:$DM$600)</f>
        <v>0</v>
      </c>
      <c r="Y41" s="1432">
        <f t="shared" ca="1" si="41"/>
        <v>0</v>
      </c>
      <c r="Z41" s="1432">
        <f t="shared" ca="1" si="42"/>
        <v>0</v>
      </c>
      <c r="AA41" s="1432">
        <f>SUM('3 pr-2'!X42)</f>
        <v>0</v>
      </c>
      <c r="AB41" s="1432">
        <f ca="1">SUMIF('sutarčių ataskaita'!$J$19:$J$2600,C41,'sutarčių ataskaita'!$DL$19:$DL$600)+SUMIF('sutarčių ataskaita'!$J$19:$J$2600,C41,'sutarčių ataskaita'!$DJ$19:$DJ$600)</f>
        <v>0</v>
      </c>
      <c r="AC41" s="1432">
        <f t="shared" ca="1" si="43"/>
        <v>0</v>
      </c>
      <c r="AD41" s="1432">
        <f t="shared" ca="1" si="44"/>
        <v>0</v>
      </c>
      <c r="AE41" s="1432">
        <f>SUM('3 pr-2'!AA42)</f>
        <v>535500</v>
      </c>
      <c r="AF41" s="1426">
        <f ca="1">SUMIF('sutarčių ataskaita'!$J$19:$J$2600,C41,'sutarčių ataskaita'!$DF$19:$DF$600)</f>
        <v>535500</v>
      </c>
      <c r="AG41" s="1429">
        <f t="shared" ca="1" si="45"/>
        <v>0</v>
      </c>
      <c r="AH41" s="1430">
        <f t="shared" ref="AH41:AH43" ca="1" si="48">IF(AF41&gt;0,AE41-AF41,0)</f>
        <v>0</v>
      </c>
      <c r="AI41" s="1296">
        <f>SUM('3 pr-2'!AB42)</f>
        <v>0</v>
      </c>
      <c r="AJ41" s="1426">
        <v>0</v>
      </c>
      <c r="AK41" s="256">
        <f t="shared" ca="1" si="47"/>
        <v>582750</v>
      </c>
    </row>
    <row r="42" spans="1:37" ht="36.75" x14ac:dyDescent="0.25">
      <c r="A42" s="366" t="str">
        <f>CONCATENATE('3 pr-2'!A43)</f>
        <v>1.1.1.3.4</v>
      </c>
      <c r="B42" s="182" t="str">
        <f>CONCATENATE('3 pr-2'!B43)</f>
        <v>R01-9905-280000-1134</v>
      </c>
      <c r="C42" s="652" t="str">
        <f>IF('ketv. 4 '!X43&gt;0,'ketv. 4 '!C43,"-")</f>
        <v>07.1.1-CPVA-R-905-11-0003</v>
      </c>
      <c r="D42" s="366" t="str">
        <f>CONCATENATE('3 pr-2'!D43)</f>
        <v>Karloniškės ežero ir jo prieigų sutvarkymas ir pritaikymas aktyviam poilsiui</v>
      </c>
      <c r="E42" s="366" t="str">
        <f>CONCATENATE('3 pr-2'!E43)</f>
        <v>Varėnos rajono savivaldybės administracija</v>
      </c>
      <c r="F42" s="366" t="str">
        <f>CONCATENATE('3 pr-2'!F43)</f>
        <v>Lietuvos Respublikos vidaus reikalų ministerija</v>
      </c>
      <c r="G42" s="366" t="str">
        <f>CONCATENATE('3 pr-2'!G43)</f>
        <v>Varėnos r. sav.</v>
      </c>
      <c r="H42" s="366" t="str">
        <f>CONCATENATE('3 pr-2'!H43)</f>
        <v xml:space="preserve">07.1.1-CPVA-R-905 </v>
      </c>
      <c r="I42" s="366" t="str">
        <f>CONCATENATE('3 pr-2'!I43)</f>
        <v>R</v>
      </c>
      <c r="J42" s="366" t="str">
        <f>CONCATENATE('3 pr-2'!J43)</f>
        <v>ITI</v>
      </c>
      <c r="K42" s="1432">
        <f>SUM('3 pr-2'!L43)</f>
        <v>757246</v>
      </c>
      <c r="L42" s="1426">
        <f t="shared" ca="1" si="36"/>
        <v>757246.01</v>
      </c>
      <c r="M42" s="1432">
        <f t="shared" ca="1" si="0"/>
        <v>-1.0000000009313226E-2</v>
      </c>
      <c r="N42" s="1432">
        <f t="shared" ca="1" si="37"/>
        <v>-1.0000000009313226E-2</v>
      </c>
      <c r="O42" s="1432">
        <f>SUM('3 pr-2'!O43)</f>
        <v>56794</v>
      </c>
      <c r="P42" s="1426">
        <f ca="1">SUMIF('sutarčių ataskaita'!$J$19:$J$2600,C42,'sutarčių ataskaita'!$DK$19:$DK$600)</f>
        <v>198389.68</v>
      </c>
      <c r="Q42" s="1432">
        <f t="shared" ca="1" si="2"/>
        <v>-141595.68</v>
      </c>
      <c r="R42" s="1432">
        <f t="shared" ca="1" si="38"/>
        <v>-141595.68</v>
      </c>
      <c r="S42" s="1432">
        <f>SUM('3 pr-2'!R43)</f>
        <v>56793</v>
      </c>
      <c r="T42" s="1426">
        <f ca="1">SUMIF('sutarčių ataskaita'!$J$19:$J$2600,C42,'sutarčių ataskaita'!$DG$19:$DG$600)</f>
        <v>45312.68</v>
      </c>
      <c r="U42" s="1432">
        <f t="shared" ca="1" si="39"/>
        <v>11480.32</v>
      </c>
      <c r="V42" s="1432">
        <f t="shared" ca="1" si="40"/>
        <v>11480.32</v>
      </c>
      <c r="W42" s="1432">
        <f>SUM('3 pr-2'!U43)</f>
        <v>0</v>
      </c>
      <c r="X42" s="1296">
        <f ca="1">SUMIF('sutarčių ataskaita'!$J$19:$J$2600,C42,'sutarčių ataskaita'!$DM$19:$DM$600)</f>
        <v>0</v>
      </c>
      <c r="Y42" s="1432">
        <f t="shared" ca="1" si="41"/>
        <v>0</v>
      </c>
      <c r="Z42" s="1432">
        <f t="shared" ca="1" si="42"/>
        <v>0</v>
      </c>
      <c r="AA42" s="1432">
        <f>SUM('3 pr-2'!X43)</f>
        <v>0</v>
      </c>
      <c r="AB42" s="1432">
        <f ca="1">SUMIF('sutarčių ataskaita'!$J$19:$J$2600,C42,'sutarčių ataskaita'!$DL$19:$DL$600)+SUMIF('sutarčių ataskaita'!$J$19:$J$2600,C42,'sutarčių ataskaita'!$DJ$19:$DJ$600)</f>
        <v>0</v>
      </c>
      <c r="AC42" s="1432">
        <f t="shared" ca="1" si="43"/>
        <v>0</v>
      </c>
      <c r="AD42" s="1432">
        <f t="shared" ca="1" si="44"/>
        <v>0</v>
      </c>
      <c r="AE42" s="1432">
        <f>SUM('3 pr-2'!AA43)</f>
        <v>643659</v>
      </c>
      <c r="AF42" s="1426">
        <f ca="1">SUMIF('sutarčių ataskaita'!$J$19:$J$2600,C42,'sutarčių ataskaita'!$DF$19:$DF$600)</f>
        <v>513543.65</v>
      </c>
      <c r="AG42" s="1429">
        <f t="shared" ca="1" si="45"/>
        <v>130115.34999999998</v>
      </c>
      <c r="AH42" s="1430">
        <f t="shared" ca="1" si="48"/>
        <v>130115.34999999998</v>
      </c>
      <c r="AI42" s="1296">
        <f>SUM('3 pr-2'!AB43)</f>
        <v>0</v>
      </c>
      <c r="AJ42" s="1426">
        <v>0</v>
      </c>
      <c r="AK42" s="256">
        <f t="shared" ca="1" si="47"/>
        <v>558856.33000000007</v>
      </c>
    </row>
    <row r="43" spans="1:37" ht="36.75" x14ac:dyDescent="0.25">
      <c r="A43" s="366" t="str">
        <f>CONCATENATE('3 pr-2'!A44)</f>
        <v>1.1.1.3.5</v>
      </c>
      <c r="B43" s="182" t="str">
        <f>CONCATENATE('3 pr-2'!B44)</f>
        <v>R01-9905-362900-1135</v>
      </c>
      <c r="C43" s="652" t="str">
        <f>IF('ketv. 4 '!X44&gt;0,'ketv. 4 '!C44,"-")</f>
        <v>-</v>
      </c>
      <c r="D43" s="366" t="str">
        <f>CONCATENATE('3 pr-2'!D44)</f>
        <v xml:space="preserve">Nenaudojamų teritorijų Varėnos mieste sutvarkymas ir pritaikymas verslui </v>
      </c>
      <c r="E43" s="366" t="str">
        <f>CONCATENATE('3 pr-2'!E44)</f>
        <v>Varėnos rajono savivaldybės administracija</v>
      </c>
      <c r="F43" s="366" t="str">
        <f>CONCATENATE('3 pr-2'!F44)</f>
        <v>Lietuvos Respublikos vidaus reikalų ministerija</v>
      </c>
      <c r="G43" s="366" t="str">
        <f>CONCATENATE('3 pr-2'!G44)</f>
        <v>Varėnos r. sav.</v>
      </c>
      <c r="H43" s="366" t="str">
        <f>CONCATENATE('3 pr-2'!H44)</f>
        <v xml:space="preserve">07.1.1-CPVA-R-905 </v>
      </c>
      <c r="I43" s="366" t="str">
        <f>CONCATENATE('3 pr-2'!I44)</f>
        <v>R</v>
      </c>
      <c r="J43" s="366" t="str">
        <f>CONCATENATE('3 pr-2'!J44)</f>
        <v>ITI</v>
      </c>
      <c r="K43" s="1432">
        <f>SUM('3 pr-2'!L44)</f>
        <v>150000</v>
      </c>
      <c r="L43" s="1432">
        <f t="shared" ca="1" si="36"/>
        <v>0</v>
      </c>
      <c r="M43" s="1432">
        <f t="shared" ca="1" si="0"/>
        <v>150000</v>
      </c>
      <c r="N43" s="1432">
        <f t="shared" ca="1" si="37"/>
        <v>0</v>
      </c>
      <c r="O43" s="1432">
        <f>SUM('3 pr-2'!O44)</f>
        <v>11250</v>
      </c>
      <c r="P43" s="1432">
        <f ca="1">SUMIF('sutarčių ataskaita'!$J$19:$J$2600,C43,'sutarčių ataskaita'!$DK$19:$DK$600)</f>
        <v>0</v>
      </c>
      <c r="Q43" s="1432">
        <f t="shared" ca="1" si="2"/>
        <v>11250</v>
      </c>
      <c r="R43" s="1432">
        <f t="shared" ca="1" si="38"/>
        <v>0</v>
      </c>
      <c r="S43" s="1432">
        <f>SUM('3 pr-2'!R44)</f>
        <v>11250</v>
      </c>
      <c r="T43" s="1432">
        <f ca="1">SUMIF('sutarčių ataskaita'!$J$19:$J$2600,C43,'sutarčių ataskaita'!$DG$19:$DG$600)</f>
        <v>0</v>
      </c>
      <c r="U43" s="1432">
        <f t="shared" ca="1" si="39"/>
        <v>11250</v>
      </c>
      <c r="V43" s="1432">
        <f t="shared" ca="1" si="40"/>
        <v>0</v>
      </c>
      <c r="W43" s="1432">
        <f>SUM('3 pr-2'!U44)</f>
        <v>0</v>
      </c>
      <c r="X43" s="1296">
        <f ca="1">SUMIF('sutarčių ataskaita'!$J$19:$J$2600,C43,'sutarčių ataskaita'!$DM$19:$DM$600)</f>
        <v>0</v>
      </c>
      <c r="Y43" s="1432">
        <f t="shared" ca="1" si="41"/>
        <v>0</v>
      </c>
      <c r="Z43" s="1432">
        <f t="shared" ca="1" si="42"/>
        <v>0</v>
      </c>
      <c r="AA43" s="1432">
        <f>SUM('3 pr-2'!X44)</f>
        <v>0</v>
      </c>
      <c r="AB43" s="1432">
        <f ca="1">SUMIF('sutarčių ataskaita'!$J$19:$J$2600,C43,'sutarčių ataskaita'!$DL$19:$DL$600)+SUMIF('sutarčių ataskaita'!$J$19:$J$2600,C43,'sutarčių ataskaita'!$DJ$19:$DJ$600)</f>
        <v>0</v>
      </c>
      <c r="AC43" s="1432">
        <f t="shared" ca="1" si="43"/>
        <v>0</v>
      </c>
      <c r="AD43" s="1432">
        <f t="shared" ca="1" si="44"/>
        <v>0</v>
      </c>
      <c r="AE43" s="1432">
        <f>SUM('3 pr-2'!AA44)</f>
        <v>127500</v>
      </c>
      <c r="AF43" s="1432">
        <f ca="1">SUMIF('sutarčių ataskaita'!$J$19:$J$2600,C43,'sutarčių ataskaita'!$DF$19:$DF$600)</f>
        <v>0</v>
      </c>
      <c r="AG43" s="1429">
        <f t="shared" ca="1" si="45"/>
        <v>127500</v>
      </c>
      <c r="AH43" s="1430">
        <f t="shared" ca="1" si="48"/>
        <v>0</v>
      </c>
      <c r="AI43" s="1296">
        <f>SUM('3 pr-2'!AB44)</f>
        <v>0</v>
      </c>
      <c r="AJ43" s="1432"/>
    </row>
    <row r="44" spans="1:37" ht="37.5" thickBot="1" x14ac:dyDescent="0.3">
      <c r="A44" s="366" t="str">
        <f>CONCATENATE('3 pr-2'!A45)</f>
        <v>1.1.1.3.6</v>
      </c>
      <c r="B44" s="182" t="str">
        <f>CONCATENATE('3 pr-2'!B45)</f>
        <v>R01-9905-290000-1136</v>
      </c>
      <c r="C44" s="652" t="str">
        <f>IF('ketv. 4 '!X45&gt;0,'ketv. 4 '!C45,"-")</f>
        <v>-</v>
      </c>
      <c r="D44" s="366" t="str">
        <f>CONCATENATE('3 pr-2'!D45)</f>
        <v xml:space="preserve">Teritorijų prie daugiabučių gyvenamųjų pastatų Varėnos mieste sutvarkymas ir pritaikymas visuomenės poreikiams  </v>
      </c>
      <c r="E44" s="366" t="str">
        <f>CONCATENATE('3 pr-2'!E45)</f>
        <v>Varėnos rajono savivaldybės administracija</v>
      </c>
      <c r="F44" s="366" t="str">
        <f>CONCATENATE('3 pr-2'!F45)</f>
        <v>Lietuvos Respublikos vidaus reikalų ministerija</v>
      </c>
      <c r="G44" s="366" t="str">
        <f>CONCATENATE('3 pr-2'!G45)</f>
        <v>Varėnos r. sav.</v>
      </c>
      <c r="H44" s="366" t="str">
        <f>CONCATENATE('3 pr-2'!H45)</f>
        <v xml:space="preserve">07.1.1-CPVA-R-905 </v>
      </c>
      <c r="I44" s="366" t="str">
        <f>CONCATENATE('3 pr-2'!I45)</f>
        <v>R</v>
      </c>
      <c r="J44" s="366" t="str">
        <f>CONCATENATE('3 pr-2'!J45)</f>
        <v>ITI</v>
      </c>
      <c r="K44" s="1432">
        <f>SUM('3 pr-2'!L45)</f>
        <v>300373</v>
      </c>
      <c r="L44" s="1432">
        <f t="shared" ca="1" si="36"/>
        <v>0</v>
      </c>
      <c r="M44" s="1432">
        <f t="shared" ref="M44" ca="1" si="49">SUM(K44-L44)</f>
        <v>300373</v>
      </c>
      <c r="N44" s="1432">
        <f t="shared" ref="N44" ca="1" si="50">IF(L44&gt;0,K44-L44,0)</f>
        <v>0</v>
      </c>
      <c r="O44" s="1432">
        <f>SUM('3 pr-2'!O45)</f>
        <v>22528</v>
      </c>
      <c r="P44" s="1432">
        <f ca="1">SUMIF('sutarčių ataskaita'!$J$19:$J$2600,C44,'sutarčių ataskaita'!$DK$19:$DK$600)</f>
        <v>0</v>
      </c>
      <c r="Q44" s="1432">
        <f t="shared" ref="Q44" ca="1" si="51">SUM(O44-P44)</f>
        <v>22528</v>
      </c>
      <c r="R44" s="1432">
        <f t="shared" ref="R44" ca="1" si="52">IF(P44&gt;0,O44-P44,0)</f>
        <v>0</v>
      </c>
      <c r="S44" s="1432">
        <f>SUM('3 pr-2'!R45)</f>
        <v>22528</v>
      </c>
      <c r="T44" s="1432">
        <f ca="1">SUMIF('sutarčių ataskaita'!$J$19:$J$2600,C44,'sutarčių ataskaita'!$DG$19:$DG$600)</f>
        <v>0</v>
      </c>
      <c r="U44" s="1432">
        <f t="shared" ref="U44" ca="1" si="53">SUM(S44-T44)</f>
        <v>22528</v>
      </c>
      <c r="V44" s="1432">
        <f t="shared" ref="V44" ca="1" si="54">IF(T44&gt;0,S44-T44,0)</f>
        <v>0</v>
      </c>
      <c r="W44" s="1432">
        <f>SUM('3 pr-2'!U45)</f>
        <v>0</v>
      </c>
      <c r="X44" s="1296">
        <f ca="1">SUMIF('sutarčių ataskaita'!$J$19:$J$2600,C44,'sutarčių ataskaita'!$DM$19:$DM$600)</f>
        <v>0</v>
      </c>
      <c r="Y44" s="1432">
        <f t="shared" ref="Y44" ca="1" si="55">SUM(W44-X44)</f>
        <v>0</v>
      </c>
      <c r="Z44" s="1432">
        <f t="shared" ref="Z44" ca="1" si="56">IF(X44&gt;0,W44-X44,0)</f>
        <v>0</v>
      </c>
      <c r="AA44" s="1432">
        <f>SUM('3 pr-2'!X45)</f>
        <v>0</v>
      </c>
      <c r="AB44" s="1432">
        <f ca="1">SUMIF('sutarčių ataskaita'!$J$19:$J$2600,C44,'sutarčių ataskaita'!$DL$19:$DL$600)+SUMIF('sutarčių ataskaita'!$J$19:$J$2600,C44,'sutarčių ataskaita'!$DJ$19:$DJ$600)</f>
        <v>0</v>
      </c>
      <c r="AC44" s="1432">
        <f t="shared" ca="1" si="43"/>
        <v>0</v>
      </c>
      <c r="AD44" s="1432">
        <f t="shared" ref="AD44" ca="1" si="57">IF(AB44&gt;0,AA44-AB44,0)</f>
        <v>0</v>
      </c>
      <c r="AE44" s="1432">
        <f>SUM('3 pr-2'!AA45)</f>
        <v>255317</v>
      </c>
      <c r="AF44" s="1432">
        <f ca="1">SUMIF('sutarčių ataskaita'!$J$19:$J$2600,C44,'sutarčių ataskaita'!$DF$19:$DF$600)</f>
        <v>0</v>
      </c>
      <c r="AG44" s="1429"/>
      <c r="AH44" s="1430"/>
      <c r="AI44" s="1296">
        <f>SUM('3 pr-2'!AB45)</f>
        <v>0</v>
      </c>
      <c r="AJ44" s="1432"/>
    </row>
    <row r="45" spans="1:37" ht="36.75" customHeight="1" thickBot="1" x14ac:dyDescent="0.3">
      <c r="A45" s="326" t="str">
        <f>CONCATENATE('3 pr-2'!A46)</f>
        <v>1.1.1.4</v>
      </c>
      <c r="B45" s="2025" t="str">
        <f>CONCATENATE('3 pr-2'!B46)</f>
        <v xml:space="preserve">Priemonė:
Alytaus, Druskininkų ir Lazdijų miestų kompleksinė plėtra
</v>
      </c>
      <c r="C45" s="2026"/>
      <c r="D45" s="2026"/>
      <c r="E45" s="2026"/>
      <c r="F45" s="2026"/>
      <c r="G45" s="2026"/>
      <c r="H45" s="2026"/>
      <c r="I45" s="2026"/>
      <c r="J45" s="2027"/>
      <c r="K45" s="1293">
        <f>SUM('3 pr-2'!L46)</f>
        <v>2112023.5699999998</v>
      </c>
      <c r="L45" s="1293">
        <f ca="1">SUM(L46:L48)</f>
        <v>2014993.6199999999</v>
      </c>
      <c r="M45" s="1422">
        <f ca="1">SUM(M46:M48)</f>
        <v>97029.949999999953</v>
      </c>
      <c r="N45" s="1423">
        <f ca="1">SUM(N46:N48)</f>
        <v>97029.949999999953</v>
      </c>
      <c r="O45" s="1293">
        <f>SUM('3 pr-2'!O46)</f>
        <v>289057.98</v>
      </c>
      <c r="P45" s="1293">
        <f ca="1">SUM(P46:P48)</f>
        <v>192028.03</v>
      </c>
      <c r="Q45" s="1293">
        <f ca="1">SUM(Q46:Q48)</f>
        <v>97029.95</v>
      </c>
      <c r="R45" s="1293">
        <f ca="1">SUM(R46:R48)</f>
        <v>0</v>
      </c>
      <c r="S45" s="1293">
        <f>SUM('3 pr-2'!R46)</f>
        <v>147808.01999999999</v>
      </c>
      <c r="T45" s="1293">
        <f ca="1">SUM(T46:T48)</f>
        <v>147808.01999999999</v>
      </c>
      <c r="U45" s="1293">
        <f ca="1">SUM(U46:U48)</f>
        <v>0</v>
      </c>
      <c r="V45" s="1293">
        <f ca="1">SUM(V46:V48)</f>
        <v>0</v>
      </c>
      <c r="W45" s="1293">
        <f>SUM('3 pr-2'!U46)</f>
        <v>0</v>
      </c>
      <c r="X45" s="1293"/>
      <c r="Y45" s="1293">
        <f ca="1">SUM(Y46:Y48)</f>
        <v>0</v>
      </c>
      <c r="Z45" s="1293">
        <f ca="1">SUM(Z46:Z48)</f>
        <v>0</v>
      </c>
      <c r="AA45" s="1293">
        <f>SUM('3 pr-2'!X46)</f>
        <v>0</v>
      </c>
      <c r="AB45" s="1293"/>
      <c r="AC45" s="1293">
        <f ca="1">SUM(AC46:AC48)</f>
        <v>0</v>
      </c>
      <c r="AD45" s="1293">
        <f ca="1">SUM(AD46:AD48)</f>
        <v>0</v>
      </c>
      <c r="AE45" s="1293">
        <f>SUM('3 pr-2'!AA46)</f>
        <v>1675157.5699999998</v>
      </c>
      <c r="AF45" s="1293">
        <f ca="1">SUM(AF46:AF48)</f>
        <v>1675157.5699999998</v>
      </c>
      <c r="AG45" s="1436">
        <f ca="1">SUM(AG46:AG48)</f>
        <v>0</v>
      </c>
      <c r="AH45" s="1437">
        <f ca="1">SUM(AH46:AH48)</f>
        <v>0</v>
      </c>
      <c r="AI45" s="1293">
        <f>SUM(AI46:AI48)</f>
        <v>0</v>
      </c>
      <c r="AJ45" s="1293">
        <f>SUM(AJ46:AJ48)</f>
        <v>0</v>
      </c>
    </row>
    <row r="46" spans="1:37" ht="36.75" x14ac:dyDescent="0.25">
      <c r="A46" s="366" t="str">
        <f>CONCATENATE('3 pr-2'!A47)</f>
        <v>1.1.1.4.1</v>
      </c>
      <c r="B46" s="182" t="str">
        <f>CONCATENATE('3 pr-2'!B47)</f>
        <v>R01-9902-310000-1141</v>
      </c>
      <c r="C46" s="652" t="str">
        <f>IF('ketv. 4 '!X47&gt;0,'ketv. 4 '!C47,"-")</f>
        <v>07.1.1-CPVA-V-902-01-0008</v>
      </c>
      <c r="D46" s="366" t="str">
        <f>CONCATENATE('3 pr-2'!D47)</f>
        <v>Buvusios pramoninės teritorijos Pramonės g. 1 Alytuje, pritaikymas verslo vystymui ir plėtrai.</v>
      </c>
      <c r="E46" s="366" t="str">
        <f>CONCATENATE('3 pr-2'!E47)</f>
        <v>Alytaus miesto savivaldybės administracija</v>
      </c>
      <c r="F46" s="366" t="str">
        <f>CONCATENATE('3 pr-2'!F47)</f>
        <v>Lietuvos Respublikos vidaus reikalų ministerija</v>
      </c>
      <c r="G46" s="366" t="str">
        <f>CONCATENATE('3 pr-2'!G47)</f>
        <v>Alytaus m. sav.</v>
      </c>
      <c r="H46" s="366" t="str">
        <f>CONCATENATE('3 pr-2'!H47)</f>
        <v>07.1.1-CPVA-V-902</v>
      </c>
      <c r="I46" s="366" t="str">
        <f>CONCATENATE('3 pr-2'!I47)</f>
        <v>V</v>
      </c>
      <c r="J46" s="366" t="str">
        <f>CONCATENATE('3 pr-2'!J47)</f>
        <v>ITI</v>
      </c>
      <c r="K46" s="1432">
        <f>SUM('3 pr-2'!L47)</f>
        <v>1293732.5699999998</v>
      </c>
      <c r="L46" s="1426">
        <f t="shared" ref="L46:L48" ca="1" si="58">SUM(P46+T46+X46+AB46+AF46+AJ46)</f>
        <v>1196702.6199999999</v>
      </c>
      <c r="M46" s="1432">
        <f t="shared" ca="1" si="0"/>
        <v>97029.949999999953</v>
      </c>
      <c r="N46" s="1432">
        <f t="shared" ref="N46:N48" ca="1" si="59">IF(L46&gt;0,K46-L46,0)</f>
        <v>97029.949999999953</v>
      </c>
      <c r="O46" s="1432">
        <f>SUM('3 pr-2'!O47)</f>
        <v>97029.95</v>
      </c>
      <c r="P46" s="1426">
        <f ca="1">SUMIF('sutarčių ataskaita'!$J$19:$J$2600,C46,'sutarčių ataskaita'!$DK$19:$DK$600)</f>
        <v>0</v>
      </c>
      <c r="Q46" s="1432">
        <f t="shared" ca="1" si="2"/>
        <v>97029.95</v>
      </c>
      <c r="R46" s="1432">
        <f t="shared" ref="R46:R48" ca="1" si="60">IF(P46&gt;0,O46-P46,0)</f>
        <v>0</v>
      </c>
      <c r="S46" s="1432">
        <f>SUM('3 pr-2'!R47)</f>
        <v>97029.94</v>
      </c>
      <c r="T46" s="1426">
        <v>97029.94</v>
      </c>
      <c r="U46" s="1432">
        <f t="shared" si="39"/>
        <v>0</v>
      </c>
      <c r="V46" s="1432">
        <f t="shared" ref="V46:V48" si="61">IF(T46&gt;0,S46-T46,0)</f>
        <v>0</v>
      </c>
      <c r="W46" s="1432">
        <f>SUM('3 pr-2'!U47)</f>
        <v>0</v>
      </c>
      <c r="X46" s="1296">
        <f ca="1">SUMIF('sutarčių ataskaita'!$J$19:$J$2600,C46,'sutarčių ataskaita'!$DM$19:$DM$600)</f>
        <v>0</v>
      </c>
      <c r="Y46" s="1432">
        <f t="shared" ca="1" si="41"/>
        <v>0</v>
      </c>
      <c r="Z46" s="1432">
        <f t="shared" ref="Z46:Z48" ca="1" si="62">IF(X46&gt;0,W46-X46,0)</f>
        <v>0</v>
      </c>
      <c r="AA46" s="1432">
        <f>SUM('3 pr-2'!X47)</f>
        <v>0</v>
      </c>
      <c r="AB46" s="1432">
        <f ca="1">SUMIF('sutarčių ataskaita'!$J$19:$J$2600,C46,'sutarčių ataskaita'!$DL$19:$DL$600)+SUMIF('sutarčių ataskaita'!$J$19:$J$2600,C46,'sutarčių ataskaita'!$DJ$19:$DJ$600)</f>
        <v>0</v>
      </c>
      <c r="AC46" s="1432">
        <f ca="1">SUM(AA46-AB46)</f>
        <v>0</v>
      </c>
      <c r="AD46" s="1432">
        <f t="shared" ref="AD46:AD48" ca="1" si="63">IF(AB46&gt;0,AA46-AB46,0)</f>
        <v>0</v>
      </c>
      <c r="AE46" s="1432">
        <f>SUM('3 pr-2'!AA47)</f>
        <v>1099672.68</v>
      </c>
      <c r="AF46" s="1426">
        <v>1099672.68</v>
      </c>
      <c r="AG46" s="1429">
        <f t="shared" si="45"/>
        <v>0</v>
      </c>
      <c r="AH46" s="1430">
        <f t="shared" ref="AH46:AH48" si="64">IF(AF46&gt;0,AE46-AF46,0)</f>
        <v>0</v>
      </c>
      <c r="AI46" s="1296">
        <f>SUM('3 pr-2'!AB47)</f>
        <v>0</v>
      </c>
      <c r="AJ46" s="1426">
        <v>0</v>
      </c>
    </row>
    <row r="47" spans="1:37" ht="36.75" customHeight="1" x14ac:dyDescent="0.25">
      <c r="A47" s="366" t="str">
        <f>CONCATENATE('3 pr-2'!A48)</f>
        <v>1.1.1.4.2</v>
      </c>
      <c r="B47" s="182" t="str">
        <f>CONCATENATE('3 pr-2'!B48)</f>
        <v>R01-9903-290000-1142</v>
      </c>
      <c r="C47" s="652" t="str">
        <f>IF('ketv. 4 '!X48&gt;0,'ketv. 4 '!C48,"-")</f>
        <v>07.1.1-CPVA-R-903-11-0001</v>
      </c>
      <c r="D47" s="366" t="str">
        <f>CONCATENATE('3 pr-2'!D48)</f>
        <v>Amatų centro „Menų kalvė“ Druskininkuose įkūrimas</v>
      </c>
      <c r="E47" s="366" t="str">
        <f>CONCATENATE('3 pr-2'!E48)</f>
        <v xml:space="preserve">Druskininkų savivaldybės administracija  </v>
      </c>
      <c r="F47" s="366" t="str">
        <f>CONCATENATE('3 pr-2'!F48)</f>
        <v>Lietuvos Respublikos vidaus reikalų ministerija</v>
      </c>
      <c r="G47" s="366" t="str">
        <f>CONCATENATE('3 pr-2'!G48)</f>
        <v>Druskininkų sav.</v>
      </c>
      <c r="H47" s="446" t="str">
        <f>CONCATENATE('3 pr-2'!H48)</f>
        <v>07.1.1-CPVA-R-903</v>
      </c>
      <c r="I47" s="366" t="str">
        <f>CONCATENATE('3 pr-2'!I48)</f>
        <v>R</v>
      </c>
      <c r="J47" s="366" t="str">
        <f>CONCATENATE('3 pr-2'!J48)</f>
        <v>ITI</v>
      </c>
      <c r="K47" s="1432">
        <f>SUM('3 pr-2'!L48)</f>
        <v>474784</v>
      </c>
      <c r="L47" s="1426">
        <f t="shared" ca="1" si="58"/>
        <v>474784</v>
      </c>
      <c r="M47" s="1432">
        <f t="shared" ca="1" si="0"/>
        <v>0</v>
      </c>
      <c r="N47" s="1432">
        <f t="shared" ca="1" si="59"/>
        <v>0</v>
      </c>
      <c r="O47" s="1432">
        <f>SUM('3 pr-2'!O48)</f>
        <v>166265</v>
      </c>
      <c r="P47" s="1426">
        <f ca="1">SUMIF('sutarčių ataskaita'!$J$19:$J$2600,C47,'sutarčių ataskaita'!$DK$19:$DK$600)</f>
        <v>166265</v>
      </c>
      <c r="Q47" s="1432">
        <f t="shared" ca="1" si="2"/>
        <v>0</v>
      </c>
      <c r="R47" s="1432">
        <f t="shared" ca="1" si="60"/>
        <v>0</v>
      </c>
      <c r="S47" s="1432">
        <f>SUM('3 pr-2'!R48)</f>
        <v>25015.06</v>
      </c>
      <c r="T47" s="1426">
        <f ca="1">SUMIF('sutarčių ataskaita'!$J$19:$J$2600,C47,'sutarčių ataskaita'!$DG$19:$DG$600)</f>
        <v>25015.06</v>
      </c>
      <c r="U47" s="1432">
        <f t="shared" ca="1" si="39"/>
        <v>0</v>
      </c>
      <c r="V47" s="1432">
        <f t="shared" ca="1" si="61"/>
        <v>0</v>
      </c>
      <c r="W47" s="1432">
        <f>SUM('3 pr-2'!U48)</f>
        <v>0</v>
      </c>
      <c r="X47" s="1296">
        <f ca="1">SUMIF('sutarčių ataskaita'!$J$19:$J$2600,C47,'sutarčių ataskaita'!$DM$19:$DM$600)</f>
        <v>0</v>
      </c>
      <c r="Y47" s="1432"/>
      <c r="Z47" s="1432">
        <f t="shared" ca="1" si="62"/>
        <v>0</v>
      </c>
      <c r="AA47" s="1432">
        <f>SUM('3 pr-2'!X48)</f>
        <v>0</v>
      </c>
      <c r="AB47" s="1432">
        <f ca="1">SUMIF('sutarčių ataskaita'!$J$19:$J$2600,C47,'sutarčių ataskaita'!$DL$19:$DL$600)+SUMIF('sutarčių ataskaita'!$J$19:$J$2600,C47,'sutarčių ataskaita'!$DJ$19:$DJ$600)</f>
        <v>0</v>
      </c>
      <c r="AC47" s="1432"/>
      <c r="AD47" s="1432">
        <f t="shared" ca="1" si="63"/>
        <v>0</v>
      </c>
      <c r="AE47" s="1432">
        <f>SUM('3 pr-2'!AA48)</f>
        <v>283503.94</v>
      </c>
      <c r="AF47" s="1426">
        <f ca="1">SUMIF('sutarčių ataskaita'!$J$19:$J$2600,C47,'sutarčių ataskaita'!$DF$19:$DF$600)</f>
        <v>283503.94</v>
      </c>
      <c r="AG47" s="1429">
        <f t="shared" ca="1" si="45"/>
        <v>0</v>
      </c>
      <c r="AH47" s="1430">
        <f t="shared" ca="1" si="64"/>
        <v>0</v>
      </c>
      <c r="AI47" s="1296">
        <f>SUM('3 pr-2'!AB48)</f>
        <v>0</v>
      </c>
      <c r="AJ47" s="1426">
        <v>0</v>
      </c>
    </row>
    <row r="48" spans="1:37" ht="37.5" customHeight="1" thickBot="1" x14ac:dyDescent="0.3">
      <c r="A48" s="366" t="str">
        <f>CONCATENATE('3 pr-2'!A49)</f>
        <v>1.1.1.4.3</v>
      </c>
      <c r="B48" s="182" t="str">
        <f>CONCATENATE('3 pr-2'!B49)</f>
        <v>R01-9903-290000-1143</v>
      </c>
      <c r="C48" s="652" t="str">
        <f>IF('ketv. 4 '!X49&gt;0,'ketv. 4 '!C49,"-")</f>
        <v>07.1.1-CPVA-R-903-11-0002</v>
      </c>
      <c r="D48" s="366" t="str">
        <f>CONCATENATE('3 pr-2'!D49)</f>
        <v>Lazdijų miesto kompleksinė infrastruktūros plėtra, III etapas</v>
      </c>
      <c r="E48" s="366" t="str">
        <f>CONCATENATE('3 pr-2'!E49)</f>
        <v>Lazdijų rajono savivaldybės administracija</v>
      </c>
      <c r="F48" s="366" t="str">
        <f>CONCATENATE('3 pr-2'!F49)</f>
        <v>Lietuvos Respublikos vidaus reikalų ministerija</v>
      </c>
      <c r="G48" s="366" t="str">
        <f>CONCATENATE('3 pr-2'!G49)</f>
        <v>Lazdijų r. sav.</v>
      </c>
      <c r="H48" s="446" t="str">
        <f>CONCATENATE('3 pr-2'!H49)</f>
        <v>07.1.1-CPVA-R-903</v>
      </c>
      <c r="I48" s="366" t="str">
        <f>CONCATENATE('3 pr-2'!I49)</f>
        <v>R</v>
      </c>
      <c r="J48" s="366" t="str">
        <f>CONCATENATE('3 pr-2'!J49)</f>
        <v>ITI</v>
      </c>
      <c r="K48" s="1432">
        <f>SUM('3 pr-2'!L49)</f>
        <v>343507</v>
      </c>
      <c r="L48" s="1426">
        <f t="shared" ca="1" si="58"/>
        <v>343507</v>
      </c>
      <c r="M48" s="1432">
        <f t="shared" ca="1" si="0"/>
        <v>0</v>
      </c>
      <c r="N48" s="1432">
        <f t="shared" ca="1" si="59"/>
        <v>0</v>
      </c>
      <c r="O48" s="1432">
        <f>SUM('3 pr-2'!O49)</f>
        <v>25763.03</v>
      </c>
      <c r="P48" s="1426">
        <f ca="1">SUMIF('sutarčių ataskaita'!$J$19:$J$2600,C48,'sutarčių ataskaita'!$DK$19:$DK$600)</f>
        <v>25763.03</v>
      </c>
      <c r="Q48" s="1432">
        <f t="shared" ca="1" si="2"/>
        <v>0</v>
      </c>
      <c r="R48" s="1432">
        <f t="shared" ca="1" si="60"/>
        <v>0</v>
      </c>
      <c r="S48" s="1432">
        <f>SUM('3 pr-2'!R49)</f>
        <v>25763.02</v>
      </c>
      <c r="T48" s="1426">
        <f ca="1">SUMIF('sutarčių ataskaita'!$J$19:$J$2600,C48,'sutarčių ataskaita'!$DG$19:$DG$600)</f>
        <v>25763.02</v>
      </c>
      <c r="U48" s="1432">
        <f t="shared" ca="1" si="39"/>
        <v>0</v>
      </c>
      <c r="V48" s="1432">
        <f t="shared" ca="1" si="61"/>
        <v>0</v>
      </c>
      <c r="W48" s="1432">
        <f>SUM('3 pr-2'!U49)</f>
        <v>0</v>
      </c>
      <c r="X48" s="1296">
        <f ca="1">SUMIF('sutarčių ataskaita'!$J$19:$J$2600,C48,'sutarčių ataskaita'!$DM$19:$DM$600)</f>
        <v>0</v>
      </c>
      <c r="Y48" s="1432"/>
      <c r="Z48" s="1432">
        <f t="shared" ca="1" si="62"/>
        <v>0</v>
      </c>
      <c r="AA48" s="1432">
        <f>SUM('3 pr-2'!X49)</f>
        <v>0</v>
      </c>
      <c r="AB48" s="1432">
        <f ca="1">SUMIF('sutarčių ataskaita'!$J$19:$J$2600,C48,'sutarčių ataskaita'!$DL$19:$DL$600)+SUMIF('sutarčių ataskaita'!$J$19:$J$2600,C48,'sutarčių ataskaita'!$DJ$19:$DJ$600)</f>
        <v>0</v>
      </c>
      <c r="AC48" s="1432"/>
      <c r="AD48" s="1432">
        <f t="shared" ca="1" si="63"/>
        <v>0</v>
      </c>
      <c r="AE48" s="1432">
        <f>SUM('3 pr-2'!AA49)</f>
        <v>291980.95</v>
      </c>
      <c r="AF48" s="1426">
        <f ca="1">SUMIF('sutarčių ataskaita'!$J$19:$J$2600,C48,'sutarčių ataskaita'!$DF$19:$DF$600)</f>
        <v>291980.95</v>
      </c>
      <c r="AG48" s="1429">
        <f t="shared" ca="1" si="45"/>
        <v>0</v>
      </c>
      <c r="AH48" s="1430">
        <f t="shared" ca="1" si="64"/>
        <v>0</v>
      </c>
      <c r="AI48" s="1296">
        <f>SUM('3 pr-2'!AB49)</f>
        <v>0</v>
      </c>
      <c r="AJ48" s="1426">
        <v>0</v>
      </c>
    </row>
    <row r="49" spans="1:36" ht="38.25" customHeight="1" thickBot="1" x14ac:dyDescent="0.3">
      <c r="A49" s="326" t="str">
        <f>CONCATENATE('3 pr-2'!A50)</f>
        <v>1.1.1.5</v>
      </c>
      <c r="B49" s="2025" t="str">
        <f>CONCATENATE('3 pr-2'!B50)</f>
        <v xml:space="preserve">Priemonė:
Geriamojo vandens tiekimo ir nuotekų tvarkymo sistemų renovavimas ir plėtra, įmonių valdymo tobulinimas </v>
      </c>
      <c r="C49" s="2026"/>
      <c r="D49" s="2026"/>
      <c r="E49" s="2026"/>
      <c r="F49" s="2026"/>
      <c r="G49" s="2026"/>
      <c r="H49" s="2026"/>
      <c r="I49" s="2026"/>
      <c r="J49" s="2027"/>
      <c r="K49" s="1293">
        <f>SUM('3 pr-2'!L50)</f>
        <v>16378428.970000001</v>
      </c>
      <c r="L49" s="1293">
        <f ca="1">SUM(L50:L54)</f>
        <v>13600026.08</v>
      </c>
      <c r="M49" s="1422">
        <f ca="1">SUM(M50:M54)</f>
        <v>2778402.89</v>
      </c>
      <c r="N49" s="1423">
        <f ca="1">SUM(N50:N54)</f>
        <v>2778402.89</v>
      </c>
      <c r="O49" s="1293">
        <f>SUM('3 pr-2'!O50)</f>
        <v>0</v>
      </c>
      <c r="P49" s="1293">
        <f ca="1">SUM(P50:P54)</f>
        <v>0</v>
      </c>
      <c r="Q49" s="1293">
        <f ca="1">SUM(Q50:Q54)</f>
        <v>0</v>
      </c>
      <c r="R49" s="1293">
        <f ca="1">SUM(R50:R54)</f>
        <v>0</v>
      </c>
      <c r="S49" s="1293">
        <f>SUM('3 pr-2'!R50)</f>
        <v>0</v>
      </c>
      <c r="T49" s="1293">
        <f ca="1">SUM(T50:T54)</f>
        <v>0</v>
      </c>
      <c r="U49" s="1293">
        <f ca="1">SUM(U50:U54)</f>
        <v>0</v>
      </c>
      <c r="V49" s="1293">
        <f ca="1">SUM(V50:V54)</f>
        <v>0</v>
      </c>
      <c r="W49" s="1293">
        <f>SUM('3 pr-2'!U50)</f>
        <v>7458036.4000000004</v>
      </c>
      <c r="X49" s="1293">
        <f ca="1">SUM(X50:X54)</f>
        <v>6202852.4799999995</v>
      </c>
      <c r="Y49" s="1293">
        <f ca="1">SUM(Y50:Y54)</f>
        <v>1255183.92</v>
      </c>
      <c r="Z49" s="1293">
        <f ca="1">SUM(Z50:Z54)</f>
        <v>1255183.92</v>
      </c>
      <c r="AA49" s="1293">
        <f>SUM('3 pr-2'!X50)</f>
        <v>0</v>
      </c>
      <c r="AB49" s="1293">
        <f ca="1">SUM(AB50:AB54)</f>
        <v>0</v>
      </c>
      <c r="AC49" s="1293"/>
      <c r="AD49" s="1293">
        <f ca="1">SUM(AD50:AD54)</f>
        <v>0</v>
      </c>
      <c r="AE49" s="1293">
        <f>SUM('3 pr-2'!AA50)</f>
        <v>8920392.5700000003</v>
      </c>
      <c r="AF49" s="1293">
        <f ca="1">SUM(AF50:AF54)</f>
        <v>7397173.5999999996</v>
      </c>
      <c r="AG49" s="1436">
        <f ca="1">SUM(AG50:AG54)</f>
        <v>1523218.97</v>
      </c>
      <c r="AH49" s="1437">
        <f ca="1">SUM(AH50:AH54)</f>
        <v>1523218.97</v>
      </c>
      <c r="AI49" s="1293">
        <f>SUM(AI50:AI54)</f>
        <v>0</v>
      </c>
      <c r="AJ49" s="1293">
        <f>SUM(AJ50:AJ54)</f>
        <v>0</v>
      </c>
    </row>
    <row r="50" spans="1:36" ht="36.75" x14ac:dyDescent="0.25">
      <c r="A50" s="366" t="str">
        <f>CONCATENATE('3 pr-2'!A51)</f>
        <v>1.1.1.5.1</v>
      </c>
      <c r="B50" s="182" t="str">
        <f>CONCATENATE('3 pr-2'!B51)</f>
        <v>R01-0014-060700-1151</v>
      </c>
      <c r="C50" s="652" t="str">
        <f>IF('ketv. 4 '!X51&gt;0,'ketv. 4 '!C51,"-")</f>
        <v>05.3.2-APVA-R-014-11-0001</v>
      </c>
      <c r="D50" s="366" t="str">
        <f>CONCATENATE('3 pr-2'!D51)</f>
        <v>Geriamojo vandens tiekimo ir nuotekų tvarkymo sistemų renovavimas ir plėtra Varėnos rajone</v>
      </c>
      <c r="E50" s="366" t="str">
        <f>CONCATENATE('3 pr-2'!E51)</f>
        <v>UAB „Varėnos vandenys“</v>
      </c>
      <c r="F50" s="366" t="str">
        <f>CONCATENATE('3 pr-2'!F51)</f>
        <v>Lietuvos Respublikos aplinkos ministerija</v>
      </c>
      <c r="G50" s="366" t="str">
        <f>CONCATENATE('3 pr-2'!G51)</f>
        <v>Varėnos r. sav.</v>
      </c>
      <c r="H50" s="366" t="str">
        <f>CONCATENATE('3 pr-2'!H51)</f>
        <v>05.3.2-APVA-R-014</v>
      </c>
      <c r="I50" s="366" t="str">
        <f>CONCATENATE('3 pr-2'!I51)</f>
        <v>R</v>
      </c>
      <c r="J50" s="366" t="str">
        <f>CONCATENATE('3 pr-2'!J51)</f>
        <v>ITI</v>
      </c>
      <c r="K50" s="1432">
        <f>SUM('3 pr-2'!L51)</f>
        <v>2477103.23</v>
      </c>
      <c r="L50" s="1426">
        <f t="shared" ref="L50:L54" ca="1" si="65">SUM(P50+T50+X50+AB50+AF50+AJ50)</f>
        <v>2477103.23</v>
      </c>
      <c r="M50" s="1432">
        <f t="shared" ca="1" si="0"/>
        <v>0</v>
      </c>
      <c r="N50" s="1432">
        <f t="shared" ref="N50:N54" ca="1" si="66">IF(L50&gt;0,K50-L50,0)</f>
        <v>0</v>
      </c>
      <c r="O50" s="1432">
        <f>SUM('3 pr-2'!O51)</f>
        <v>0</v>
      </c>
      <c r="P50" s="1432">
        <f ca="1">SUMIF('sutarčių ataskaita'!$J$19:$J$2600,C50,'sutarčių ataskaita'!$DK$19:$DK$600)</f>
        <v>0</v>
      </c>
      <c r="Q50" s="1432">
        <f t="shared" ca="1" si="2"/>
        <v>0</v>
      </c>
      <c r="R50" s="1432">
        <f t="shared" ref="R50:R54" ca="1" si="67">IF(P50&gt;0,O50-P50,0)</f>
        <v>0</v>
      </c>
      <c r="S50" s="1432">
        <f>SUM('3 pr-2'!R51)</f>
        <v>0</v>
      </c>
      <c r="T50" s="1432">
        <f ca="1">SUMIF('sutarčių ataskaita'!$J$19:$J$2600,C50,'sutarčių ataskaita'!$DG$19:$DG$600)</f>
        <v>0</v>
      </c>
      <c r="U50" s="1432">
        <f t="shared" ref="U50:U54" ca="1" si="68">SUM(S50-T50)</f>
        <v>0</v>
      </c>
      <c r="V50" s="1432">
        <f t="shared" ref="V50:V54" ca="1" si="69">IF(T50&gt;0,S50-T50,0)</f>
        <v>0</v>
      </c>
      <c r="W50" s="1432">
        <f>SUM('3 pr-2'!U51)</f>
        <v>862874.97</v>
      </c>
      <c r="X50" s="1426">
        <f ca="1">SUMIF('sutarčių ataskaita'!$J$19:$J$2600,C50,'sutarčių ataskaita'!$DM$19:$DM$600)</f>
        <v>862874.97</v>
      </c>
      <c r="Y50" s="1432">
        <f t="shared" ca="1" si="41"/>
        <v>0</v>
      </c>
      <c r="Z50" s="1432">
        <f t="shared" ref="Z50:Z54" ca="1" si="70">IF(X50&gt;0,W50-X50,0)</f>
        <v>0</v>
      </c>
      <c r="AA50" s="1432">
        <f>SUM('3 pr-2'!X51)</f>
        <v>0</v>
      </c>
      <c r="AB50" s="1432">
        <f ca="1">SUMIF('sutarčių ataskaita'!$J$19:$J$2600,C50,'sutarčių ataskaita'!$DL$19:$DL$600)+SUMIF('sutarčių ataskaita'!$J$19:$J$2600,C50,'sutarčių ataskaita'!$DJ$19:$DJ$600)</f>
        <v>0</v>
      </c>
      <c r="AC50" s="1432"/>
      <c r="AD50" s="1432">
        <f t="shared" ref="AD50:AD54" ca="1" si="71">IF(AB50&gt;0,AA50-AB50,0)</f>
        <v>0</v>
      </c>
      <c r="AE50" s="1432">
        <f>SUM('3 pr-2'!AA51)</f>
        <v>1614228.26</v>
      </c>
      <c r="AF50" s="1426">
        <f ca="1">SUMIF('sutarčių ataskaita'!$J$19:$J$2600,C50,'sutarčių ataskaita'!$DF$19:$DF$600)</f>
        <v>1614228.26</v>
      </c>
      <c r="AG50" s="1429">
        <f t="shared" ca="1" si="45"/>
        <v>0</v>
      </c>
      <c r="AH50" s="1438">
        <f t="shared" ref="AH50:AH54" ca="1" si="72">IF(AF50&gt;0,AE50-AF50,0)</f>
        <v>0</v>
      </c>
      <c r="AI50" s="1296">
        <f>SUM('3 pr-2'!AB51)</f>
        <v>0</v>
      </c>
      <c r="AJ50" s="1426">
        <v>0</v>
      </c>
    </row>
    <row r="51" spans="1:36" ht="36.75" x14ac:dyDescent="0.25">
      <c r="A51" s="366" t="str">
        <f>CONCATENATE('3 pr-2'!A52)</f>
        <v>1.1.1.5.2.</v>
      </c>
      <c r="B51" s="182" t="str">
        <f>CONCATENATE('3 pr-2'!B52)</f>
        <v>R01-0014-060750-1152</v>
      </c>
      <c r="C51" s="652" t="str">
        <f>IF('ketv. 4 '!X52&gt;0,'ketv. 4 '!C52,"-")</f>
        <v>05.3.2-APVA-R-014-11-0002</v>
      </c>
      <c r="D51" s="366" t="str">
        <f>CONCATENATE('3 pr-2'!D52)</f>
        <v>Geriamojo vandens ir nuotekų tvarkymo sistemų renovavimas Alytaus mieste</v>
      </c>
      <c r="E51" s="366" t="str">
        <f>CONCATENATE('3 pr-2'!E52)</f>
        <v>UAB “Dzūkijos vandenys“</v>
      </c>
      <c r="F51" s="366" t="str">
        <f>CONCATENATE('3 pr-2'!F52)</f>
        <v>Lietuvos Respublikos aplinkos ministerija</v>
      </c>
      <c r="G51" s="366" t="str">
        <f>CONCATENATE('3 pr-2'!G52)</f>
        <v>Alytaus m. sav.</v>
      </c>
      <c r="H51" s="366" t="str">
        <f>CONCATENATE('3 pr-2'!H52)</f>
        <v>05.3.2-APVA-R-014</v>
      </c>
      <c r="I51" s="366" t="str">
        <f>CONCATENATE('3 pr-2'!I52)</f>
        <v>R</v>
      </c>
      <c r="J51" s="366" t="str">
        <f>CONCATENATE('3 pr-2'!J52)</f>
        <v>ITI</v>
      </c>
      <c r="K51" s="1432">
        <f>SUM('3 pr-2'!L52)</f>
        <v>5706088</v>
      </c>
      <c r="L51" s="1426">
        <f t="shared" ca="1" si="65"/>
        <v>5993883</v>
      </c>
      <c r="M51" s="1432">
        <f t="shared" ca="1" si="0"/>
        <v>-287795</v>
      </c>
      <c r="N51" s="1432">
        <f t="shared" ca="1" si="66"/>
        <v>-287795</v>
      </c>
      <c r="O51" s="1432">
        <f>SUM('3 pr-2'!O52)</f>
        <v>0</v>
      </c>
      <c r="P51" s="1432">
        <f ca="1">SUMIF('sutarčių ataskaita'!$J$19:$J$2600,C51,'sutarčių ataskaita'!$DK$19:$DK$600)</f>
        <v>0</v>
      </c>
      <c r="Q51" s="1432">
        <f t="shared" ca="1" si="2"/>
        <v>0</v>
      </c>
      <c r="R51" s="1432">
        <f t="shared" ca="1" si="67"/>
        <v>0</v>
      </c>
      <c r="S51" s="1432">
        <f>SUM('3 pr-2'!R52)</f>
        <v>0</v>
      </c>
      <c r="T51" s="1432">
        <f ca="1">SUMIF('sutarčių ataskaita'!$J$19:$J$2600,C51,'sutarčių ataskaita'!$DG$19:$DG$600)</f>
        <v>0</v>
      </c>
      <c r="U51" s="1432">
        <f t="shared" ca="1" si="68"/>
        <v>0</v>
      </c>
      <c r="V51" s="1432">
        <f t="shared" ca="1" si="69"/>
        <v>0</v>
      </c>
      <c r="W51" s="1432">
        <f>SUM('3 pr-2'!U52)</f>
        <v>3009103.69</v>
      </c>
      <c r="X51" s="1426">
        <f ca="1">SUMIF('sutarčių ataskaita'!$J$19:$J$2600,C51,'sutarčių ataskaita'!$DM$19:$DM$600)</f>
        <v>3347886.75</v>
      </c>
      <c r="Y51" s="1432">
        <f t="shared" ca="1" si="41"/>
        <v>-338783.06000000006</v>
      </c>
      <c r="Z51" s="1432">
        <f t="shared" ca="1" si="70"/>
        <v>-338783.06000000006</v>
      </c>
      <c r="AA51" s="1432">
        <f>SUM('3 pr-2'!X52)</f>
        <v>0</v>
      </c>
      <c r="AB51" s="1432">
        <f ca="1">SUMIF('sutarčių ataskaita'!$J$19:$J$2600,C51,'sutarčių ataskaita'!$DL$19:$DL$600)+SUMIF('sutarčių ataskaita'!$J$19:$J$2600,C51,'sutarčių ataskaita'!$DJ$19:$DJ$600)</f>
        <v>0</v>
      </c>
      <c r="AC51" s="1432"/>
      <c r="AD51" s="1432">
        <f t="shared" ca="1" si="71"/>
        <v>0</v>
      </c>
      <c r="AE51" s="1432">
        <f>SUM('3 pr-2'!AA52)</f>
        <v>2696984.31</v>
      </c>
      <c r="AF51" s="1426">
        <f ca="1">SUMIF('sutarčių ataskaita'!$J$19:$J$2600,C51,'sutarčių ataskaita'!$DF$19:$DF$600)</f>
        <v>2645996.25</v>
      </c>
      <c r="AG51" s="1429">
        <f t="shared" ca="1" si="45"/>
        <v>50988.060000000056</v>
      </c>
      <c r="AH51" s="1430">
        <f t="shared" ca="1" si="72"/>
        <v>50988.060000000056</v>
      </c>
      <c r="AI51" s="1296">
        <f>SUM('3 pr-2'!AB52)</f>
        <v>0</v>
      </c>
      <c r="AJ51" s="1426">
        <v>0</v>
      </c>
    </row>
    <row r="52" spans="1:36" ht="36.75" x14ac:dyDescent="0.25">
      <c r="A52" s="366" t="str">
        <f>CONCATENATE('3 pr-2'!A53)</f>
        <v>1.1.1.5.3</v>
      </c>
      <c r="B52" s="182" t="str">
        <f>CONCATENATE('3 pr-2'!B53)</f>
        <v>R01-0014-070650-1153</v>
      </c>
      <c r="C52" s="652" t="str">
        <f>IF('ketv. 4 '!X53&gt;0,'ketv. 4 '!C53,"-")</f>
        <v>05.3.2-APVA-R-014-11-0004</v>
      </c>
      <c r="D52" s="366" t="str">
        <f>CONCATENATE('3 pr-2'!D53)</f>
        <v>Geriamojo vandens tiekimo ir nuotekų tvarkymo sistemų renovavimas ir plėtra Lazdijų rajono savivaldybėje</v>
      </c>
      <c r="E52" s="366" t="str">
        <f>CONCATENATE('3 pr-2'!E53)</f>
        <v>UAB „Lazdijų vanduo“</v>
      </c>
      <c r="F52" s="366" t="str">
        <f>CONCATENATE('3 pr-2'!F53)</f>
        <v>Lietuvos Respublikos aplinkos ministerija</v>
      </c>
      <c r="G52" s="366" t="str">
        <f>CONCATENATE('3 pr-2'!G53)</f>
        <v>Lazdijų r. sav.</v>
      </c>
      <c r="H52" s="366" t="str">
        <f>CONCATENATE('3 pr-2'!H53)</f>
        <v>05.3.2-APVA-R-014</v>
      </c>
      <c r="I52" s="366" t="str">
        <f>CONCATENATE('3 pr-2'!I53)</f>
        <v>R</v>
      </c>
      <c r="J52" s="366" t="str">
        <f>CONCATENATE('3 pr-2'!J53)</f>
        <v>-</v>
      </c>
      <c r="K52" s="1432">
        <f>SUM('3 pr-2'!L53)</f>
        <v>1437425.74</v>
      </c>
      <c r="L52" s="1426">
        <f t="shared" ca="1" si="65"/>
        <v>1288228.01</v>
      </c>
      <c r="M52" s="1432">
        <f t="shared" ca="1" si="0"/>
        <v>149197.72999999998</v>
      </c>
      <c r="N52" s="1432">
        <f t="shared" ca="1" si="66"/>
        <v>149197.72999999998</v>
      </c>
      <c r="O52" s="1432">
        <f>SUM('3 pr-2'!O53)</f>
        <v>0</v>
      </c>
      <c r="P52" s="1432">
        <f ca="1">SUMIF('sutarčių ataskaita'!$J$19:$J$2600,C52,'sutarčių ataskaita'!$DK$19:$DK$600)</f>
        <v>0</v>
      </c>
      <c r="Q52" s="1432">
        <f t="shared" ca="1" si="2"/>
        <v>0</v>
      </c>
      <c r="R52" s="1432">
        <f t="shared" ca="1" si="67"/>
        <v>0</v>
      </c>
      <c r="S52" s="1432">
        <f>SUM('3 pr-2'!R53)</f>
        <v>0</v>
      </c>
      <c r="T52" s="1432">
        <f ca="1">SUMIF('sutarčių ataskaita'!$J$19:$J$2600,C52,'sutarčių ataskaita'!$DG$19:$DG$600)</f>
        <v>0</v>
      </c>
      <c r="U52" s="1432">
        <f t="shared" ca="1" si="68"/>
        <v>0</v>
      </c>
      <c r="V52" s="1432">
        <f t="shared" ca="1" si="69"/>
        <v>0</v>
      </c>
      <c r="W52" s="1432">
        <f>SUM('3 pr-2'!U53)</f>
        <v>641323.74</v>
      </c>
      <c r="X52" s="1426">
        <f ca="1">SUMIF('sutarčių ataskaita'!$J$19:$J$2600,C52,'sutarčių ataskaita'!$DM$19:$DM$600)</f>
        <v>498126.01</v>
      </c>
      <c r="Y52" s="1432">
        <f t="shared" ca="1" si="41"/>
        <v>143197.72999999998</v>
      </c>
      <c r="Z52" s="1432">
        <f t="shared" ca="1" si="70"/>
        <v>143197.72999999998</v>
      </c>
      <c r="AA52" s="1432">
        <f>SUM('3 pr-2'!X53)</f>
        <v>0</v>
      </c>
      <c r="AB52" s="1432">
        <f ca="1">SUMIF('sutarčių ataskaita'!$J$19:$J$2600,C52,'sutarčių ataskaita'!$DL$19:$DL$600)+SUMIF('sutarčių ataskaita'!$J$19:$J$2600,C52,'sutarčių ataskaita'!$DJ$19:$DJ$600)</f>
        <v>0</v>
      </c>
      <c r="AC52" s="1432"/>
      <c r="AD52" s="1432">
        <f t="shared" ca="1" si="71"/>
        <v>0</v>
      </c>
      <c r="AE52" s="1432">
        <f>SUM('3 pr-2'!AA53)</f>
        <v>796102</v>
      </c>
      <c r="AF52" s="1426">
        <f ca="1">SUMIF('sutarčių ataskaita'!$J$19:$J$2600,C52,'sutarčių ataskaita'!$DF$19:$DF$600)</f>
        <v>790102</v>
      </c>
      <c r="AG52" s="1429">
        <f t="shared" ca="1" si="45"/>
        <v>6000</v>
      </c>
      <c r="AH52" s="1430">
        <f t="shared" ca="1" si="72"/>
        <v>6000</v>
      </c>
      <c r="AI52" s="1296">
        <f>SUM('3 pr-2'!AB53)</f>
        <v>0</v>
      </c>
      <c r="AJ52" s="1426">
        <v>0</v>
      </c>
    </row>
    <row r="53" spans="1:36" ht="36.75" x14ac:dyDescent="0.25">
      <c r="A53" s="366" t="str">
        <f>CONCATENATE('3 pr-2'!A54)</f>
        <v>1.1.1.5.4.</v>
      </c>
      <c r="B53" s="182" t="str">
        <f>CONCATENATE('3 pr-2'!B54)</f>
        <v>R01-0014-060700-1154</v>
      </c>
      <c r="C53" s="652" t="str">
        <f>IF('ketv. 4 '!X54&gt;0,'ketv. 4 '!C54,"-")</f>
        <v>05.3.2-APVA-R-014-11-0003</v>
      </c>
      <c r="D53" s="366" t="str">
        <f>CONCATENATE('3 pr-2'!D54)</f>
        <v>Vandens tiekimo ir nuotekų šalinimo infrastruktūros renovavimas ir plėtra Druskininkų savivaldybėje</v>
      </c>
      <c r="E53" s="366" t="str">
        <f>CONCATENATE('3 pr-2'!E54)</f>
        <v>UAB "Druskininkų vandenys"</v>
      </c>
      <c r="F53" s="366" t="str">
        <f>CONCATENATE('3 pr-2'!F54)</f>
        <v>Lietuvos Respublikos aplinkos ministerija</v>
      </c>
      <c r="G53" s="366" t="str">
        <f>CONCATENATE('3 pr-2'!G54)</f>
        <v>Druskininkų sav.</v>
      </c>
      <c r="H53" s="366" t="str">
        <f>CONCATENATE('3 pr-2'!H54)</f>
        <v>05.3.2-APVA-R-014</v>
      </c>
      <c r="I53" s="366" t="str">
        <f>CONCATENATE('3 pr-2'!I54)</f>
        <v>R</v>
      </c>
      <c r="J53" s="366" t="str">
        <f>CONCATENATE('3 pr-2'!J54)</f>
        <v>-</v>
      </c>
      <c r="K53" s="1432">
        <f>SUM('3 pr-2'!L54)</f>
        <v>5186812</v>
      </c>
      <c r="L53" s="1426">
        <f t="shared" ca="1" si="65"/>
        <v>2359811.84</v>
      </c>
      <c r="M53" s="1432">
        <f t="shared" ca="1" si="0"/>
        <v>2827000.16</v>
      </c>
      <c r="N53" s="1432">
        <f t="shared" ca="1" si="66"/>
        <v>2827000.16</v>
      </c>
      <c r="O53" s="1432">
        <f>SUM('3 pr-2'!O54)</f>
        <v>0</v>
      </c>
      <c r="P53" s="1432">
        <f ca="1">SUMIF('sutarčių ataskaita'!$J$19:$J$2600,C53,'sutarčių ataskaita'!$DK$19:$DK$600)</f>
        <v>0</v>
      </c>
      <c r="Q53" s="1432">
        <f t="shared" ca="1" si="2"/>
        <v>0</v>
      </c>
      <c r="R53" s="1432">
        <f t="shared" ca="1" si="67"/>
        <v>0</v>
      </c>
      <c r="S53" s="1432">
        <f>SUM('3 pr-2'!R54)</f>
        <v>0</v>
      </c>
      <c r="T53" s="1432">
        <f ca="1">SUMIF('sutarčių ataskaita'!$J$19:$J$2600,C53,'sutarčių ataskaita'!$DG$19:$DG$600)</f>
        <v>0</v>
      </c>
      <c r="U53" s="1432">
        <f t="shared" ca="1" si="68"/>
        <v>0</v>
      </c>
      <c r="V53" s="1432">
        <f t="shared" ca="1" si="69"/>
        <v>0</v>
      </c>
      <c r="W53" s="1432">
        <f>SUM('3 pr-2'!U54)</f>
        <v>2294209</v>
      </c>
      <c r="X53" s="1426">
        <f ca="1">SUMIF('sutarčių ataskaita'!$J$19:$J$2600,C53,'sutarčių ataskaita'!$DM$19:$DM$600)</f>
        <v>880708.75</v>
      </c>
      <c r="Y53" s="1432">
        <f t="shared" ca="1" si="41"/>
        <v>1413500.25</v>
      </c>
      <c r="Z53" s="1432">
        <f t="shared" ca="1" si="70"/>
        <v>1413500.25</v>
      </c>
      <c r="AA53" s="1432">
        <f>SUM('3 pr-2'!X54)</f>
        <v>0</v>
      </c>
      <c r="AB53" s="1432">
        <f ca="1">SUMIF('sutarčių ataskaita'!$J$19:$J$2600,C53,'sutarčių ataskaita'!$DL$19:$DL$600)+SUMIF('sutarčių ataskaita'!$J$19:$J$2600,C53,'sutarčių ataskaita'!$DJ$19:$DJ$600)</f>
        <v>0</v>
      </c>
      <c r="AC53" s="1432"/>
      <c r="AD53" s="1432">
        <f t="shared" ca="1" si="71"/>
        <v>0</v>
      </c>
      <c r="AE53" s="1432">
        <f>SUM('3 pr-2'!AA54)</f>
        <v>2892603</v>
      </c>
      <c r="AF53" s="1426">
        <f ca="1">SUMIF('sutarčių ataskaita'!$J$19:$J$2600,C53,'sutarčių ataskaita'!$DF$19:$DF$600)</f>
        <v>1479103.09</v>
      </c>
      <c r="AG53" s="1429">
        <f t="shared" ca="1" si="45"/>
        <v>1413499.91</v>
      </c>
      <c r="AH53" s="1430">
        <f t="shared" ca="1" si="72"/>
        <v>1413499.91</v>
      </c>
      <c r="AI53" s="1296">
        <f>SUM('3 pr-2'!AB54)</f>
        <v>0</v>
      </c>
      <c r="AJ53" s="1426">
        <v>0</v>
      </c>
    </row>
    <row r="54" spans="1:36" ht="37.5" thickBot="1" x14ac:dyDescent="0.3">
      <c r="A54" s="366" t="str">
        <f>CONCATENATE('3 pr-2'!A55)</f>
        <v>1.1.1.5.5.</v>
      </c>
      <c r="B54" s="182" t="str">
        <f>CONCATENATE('3 pr-2'!B55)</f>
        <v>R01-0014-060750-1155</v>
      </c>
      <c r="C54" s="652" t="str">
        <f>IF('ketv. 4 '!X55&gt;0,'ketv. 4 '!C55,"-")</f>
        <v>05.3.2-APVA-R-014-11-0005</v>
      </c>
      <c r="D54" s="366" t="str">
        <f>CONCATENATE('3 pr-2'!D55)</f>
        <v>Vandens tiekimo ir nuotekų tvarkymo infrastruktūros plėtra Alytaus rajone (Krokialaukyje)</v>
      </c>
      <c r="E54" s="366" t="str">
        <f>CONCATENATE('3 pr-2'!E55)</f>
        <v>SĮ „Simno komunalininkas“</v>
      </c>
      <c r="F54" s="366" t="str">
        <f>CONCATENATE('3 pr-2'!F55)</f>
        <v>Lietuvos Respublikos aplinkos ministerija</v>
      </c>
      <c r="G54" s="366" t="str">
        <f>CONCATENATE('3 pr-2'!G55)</f>
        <v>Alytaus r. sav.</v>
      </c>
      <c r="H54" s="366" t="str">
        <f>CONCATENATE('3 pr-2'!H55)</f>
        <v>05.3.2-APVA-R-014</v>
      </c>
      <c r="I54" s="366" t="str">
        <f>CONCATENATE('3 pr-2'!I55)</f>
        <v>R</v>
      </c>
      <c r="J54" s="366" t="str">
        <f>CONCATENATE('3 pr-2'!J55)</f>
        <v>-</v>
      </c>
      <c r="K54" s="1432">
        <f>SUM('3 pr-2'!L55)</f>
        <v>1571000</v>
      </c>
      <c r="L54" s="1426">
        <f t="shared" ca="1" si="65"/>
        <v>1481000</v>
      </c>
      <c r="M54" s="1432">
        <f t="shared" ca="1" si="0"/>
        <v>90000</v>
      </c>
      <c r="N54" s="1432">
        <f t="shared" ca="1" si="66"/>
        <v>90000</v>
      </c>
      <c r="O54" s="1432">
        <f>SUM('3 pr-2'!O55)</f>
        <v>0</v>
      </c>
      <c r="P54" s="1432">
        <f ca="1">SUMIF('sutarčių ataskaita'!$J$19:$J$2600,C54,'sutarčių ataskaita'!$DK$19:$DK$600)</f>
        <v>0</v>
      </c>
      <c r="Q54" s="1432">
        <f t="shared" ca="1" si="2"/>
        <v>0</v>
      </c>
      <c r="R54" s="1432">
        <f t="shared" ca="1" si="67"/>
        <v>0</v>
      </c>
      <c r="S54" s="1432">
        <f>SUM('3 pr-2'!R55)</f>
        <v>0</v>
      </c>
      <c r="T54" s="1432">
        <f ca="1">SUMIF('sutarčių ataskaita'!$J$19:$J$2600,C54,'sutarčių ataskaita'!$DG$19:$DG$600)</f>
        <v>0</v>
      </c>
      <c r="U54" s="1432">
        <f t="shared" ca="1" si="68"/>
        <v>0</v>
      </c>
      <c r="V54" s="1432">
        <f t="shared" ca="1" si="69"/>
        <v>0</v>
      </c>
      <c r="W54" s="1432">
        <f>SUM('3 pr-2'!U55)</f>
        <v>650525</v>
      </c>
      <c r="X54" s="1426">
        <f ca="1">SUMIF('sutarčių ataskaita'!$J$19:$J$2600,C54,'sutarčių ataskaita'!$DM$19:$DM$600)</f>
        <v>613256</v>
      </c>
      <c r="Y54" s="1432">
        <f t="shared" ca="1" si="41"/>
        <v>37269</v>
      </c>
      <c r="Z54" s="1432">
        <f t="shared" ca="1" si="70"/>
        <v>37269</v>
      </c>
      <c r="AA54" s="1432">
        <f>SUM('3 pr-2'!X55)</f>
        <v>0</v>
      </c>
      <c r="AB54" s="1432">
        <f ca="1">SUMIF('sutarčių ataskaita'!$J$19:$J$2600,C54,'sutarčių ataskaita'!$DL$19:$DL$600)+SUMIF('sutarčių ataskaita'!$J$19:$J$2600,C54,'sutarčių ataskaita'!$DJ$19:$DJ$600)</f>
        <v>0</v>
      </c>
      <c r="AC54" s="1432"/>
      <c r="AD54" s="1432">
        <f t="shared" ca="1" si="71"/>
        <v>0</v>
      </c>
      <c r="AE54" s="1432">
        <f>SUM('3 pr-2'!AA55)</f>
        <v>920475</v>
      </c>
      <c r="AF54" s="1426">
        <f ca="1">SUMIF('sutarčių ataskaita'!$J$19:$J$2600,C54,'sutarčių ataskaita'!$DF$19:$DF$600)</f>
        <v>867744</v>
      </c>
      <c r="AG54" s="1429">
        <f t="shared" ca="1" si="45"/>
        <v>52731</v>
      </c>
      <c r="AH54" s="1430">
        <f t="shared" ca="1" si="72"/>
        <v>52731</v>
      </c>
      <c r="AI54" s="1296">
        <f>SUM('3 pr-2'!AB55)</f>
        <v>0</v>
      </c>
      <c r="AJ54" s="1426">
        <v>0</v>
      </c>
    </row>
    <row r="55" spans="1:36" ht="39" customHeight="1" thickBot="1" x14ac:dyDescent="0.3">
      <c r="A55" s="326" t="str">
        <f>CONCATENATE('3 pr-2'!A56)</f>
        <v>1.1.1.6</v>
      </c>
      <c r="B55" s="2025" t="str">
        <f>CONCATENATE('3 pr-2'!B56)</f>
        <v>Priemonė:
Paviršinių nuotekų sistemų tvarkymas</v>
      </c>
      <c r="C55" s="2026"/>
      <c r="D55" s="2026"/>
      <c r="E55" s="2026"/>
      <c r="F55" s="2026"/>
      <c r="G55" s="2026"/>
      <c r="H55" s="2026"/>
      <c r="I55" s="2026"/>
      <c r="J55" s="2027"/>
      <c r="K55" s="1293">
        <f>SUM('3 pr-2'!L56)</f>
        <v>3999404.09</v>
      </c>
      <c r="L55" s="1293">
        <f ca="1">SUM(L56)</f>
        <v>2809404.09</v>
      </c>
      <c r="M55" s="1422">
        <f ca="1">SUM(M56)</f>
        <v>1190000</v>
      </c>
      <c r="N55" s="1423">
        <f ca="1">SUM(N56)</f>
        <v>1190000</v>
      </c>
      <c r="O55" s="1293">
        <f>SUM('3 pr-2'!O56)</f>
        <v>0</v>
      </c>
      <c r="P55" s="1293">
        <f ca="1">SUM(P56)</f>
        <v>0</v>
      </c>
      <c r="Q55" s="1293">
        <f ca="1">SUM(Q56)</f>
        <v>0</v>
      </c>
      <c r="R55" s="1293">
        <f ca="1">SUM(R56)</f>
        <v>0</v>
      </c>
      <c r="S55" s="1293">
        <f>SUM('3 pr-2'!R56)</f>
        <v>0</v>
      </c>
      <c r="T55" s="1293">
        <f ca="1">SUM(T56)</f>
        <v>0</v>
      </c>
      <c r="U55" s="1293">
        <f ca="1">SUM(U56)</f>
        <v>0</v>
      </c>
      <c r="V55" s="1293">
        <f ca="1">SUM(V56)</f>
        <v>0</v>
      </c>
      <c r="W55" s="1293">
        <f>SUM('3 pr-2'!U56)</f>
        <v>599910.61</v>
      </c>
      <c r="X55" s="1293">
        <f ca="1">SUM(X56)</f>
        <v>421410.61</v>
      </c>
      <c r="Y55" s="1293">
        <f ca="1">SUM(Y56)</f>
        <v>178500</v>
      </c>
      <c r="Z55" s="1293">
        <f ca="1">SUM(Z56)</f>
        <v>178500</v>
      </c>
      <c r="AA55" s="1293">
        <f>SUM('3 pr-2'!X56)</f>
        <v>0</v>
      </c>
      <c r="AB55" s="1293">
        <f ca="1">SUM(AB56)</f>
        <v>0</v>
      </c>
      <c r="AC55" s="1293">
        <f ca="1">SUM(AC56)</f>
        <v>0</v>
      </c>
      <c r="AD55" s="1293">
        <f ca="1">SUM(AD56)</f>
        <v>0</v>
      </c>
      <c r="AE55" s="1293">
        <f>SUM('3 pr-2'!AA56)</f>
        <v>3399493.48</v>
      </c>
      <c r="AF55" s="1293">
        <f ca="1">SUM(AF56)</f>
        <v>2387993.48</v>
      </c>
      <c r="AG55" s="1439">
        <f ca="1">SUM(AG56)</f>
        <v>1011500</v>
      </c>
      <c r="AH55" s="1440">
        <f ca="1">SUM(AH56)</f>
        <v>1011500</v>
      </c>
      <c r="AI55" s="1293">
        <f>SUM(AI56)</f>
        <v>0</v>
      </c>
      <c r="AJ55" s="1293">
        <f>SUM(AJ56)</f>
        <v>0</v>
      </c>
    </row>
    <row r="56" spans="1:36" ht="37.5" thickBot="1" x14ac:dyDescent="0.3">
      <c r="A56" s="366" t="str">
        <f>CONCATENATE('3 pr-2'!A57)</f>
        <v>1.1.1.6.1</v>
      </c>
      <c r="B56" s="182" t="str">
        <f>CONCATENATE('3 pr-2'!B57)</f>
        <v>R01-0007-080000-1161</v>
      </c>
      <c r="C56" s="652" t="str">
        <f>IF('ketv. 4 '!X57&gt;0,'ketv. 4 '!C57,"-")</f>
        <v>05.1.1-APVA-R-007-11-0001</v>
      </c>
      <c r="D56" s="366" t="str">
        <f>CONCATENATE('3 pr-2'!D57)</f>
        <v>Paviršinių nuotekų sistemų tvarkymas Alytaus mieste</v>
      </c>
      <c r="E56" s="366" t="str">
        <f>CONCATENATE('3 pr-2'!E57)</f>
        <v>UAB “Dzūkijos vandenys“</v>
      </c>
      <c r="F56" s="366" t="str">
        <f>CONCATENATE('3 pr-2'!F57)</f>
        <v>Lietuvos Respublikos aplinkos ministerija</v>
      </c>
      <c r="G56" s="366" t="str">
        <f>CONCATENATE('3 pr-2'!G57)</f>
        <v>Alytaus m. sav.</v>
      </c>
      <c r="H56" s="366" t="str">
        <f>CONCATENATE('3 pr-2'!H57)</f>
        <v>05.1.1-APVA-R-007</v>
      </c>
      <c r="I56" s="366" t="str">
        <f>CONCATENATE('3 pr-2'!I57)</f>
        <v>R</v>
      </c>
      <c r="J56" s="366" t="str">
        <f>CONCATENATE('3 pr-2'!J57)</f>
        <v>-</v>
      </c>
      <c r="K56" s="1432">
        <f>SUM('3 pr-2'!L57)</f>
        <v>3999404.09</v>
      </c>
      <c r="L56" s="1432">
        <f ca="1">SUM(P56+T56+X56+AB56+AF56+AJ56)</f>
        <v>2809404.09</v>
      </c>
      <c r="M56" s="1432">
        <f t="shared" ca="1" si="0"/>
        <v>1190000</v>
      </c>
      <c r="N56" s="1432">
        <f ca="1">IF(L56&gt;0,K56-L56,0)</f>
        <v>1190000</v>
      </c>
      <c r="O56" s="1432">
        <f>SUM('3 pr-2'!O57)</f>
        <v>0</v>
      </c>
      <c r="P56" s="1432">
        <f ca="1">SUMIF('sutarčių ataskaita'!$J$19:$J$2600,C56,'sutarčių ataskaita'!$DK$19:$DK$600)</f>
        <v>0</v>
      </c>
      <c r="Q56" s="1432">
        <f t="shared" ca="1" si="2"/>
        <v>0</v>
      </c>
      <c r="R56" s="1432">
        <f ca="1">IF(P56&gt;0,O56-P56,0)</f>
        <v>0</v>
      </c>
      <c r="S56" s="1432">
        <f>SUM('3 pr-2'!R57)</f>
        <v>0</v>
      </c>
      <c r="T56" s="1432">
        <f ca="1">SUMIF('sutarčių ataskaita'!$J$19:$J$2600,C56,'sutarčių ataskaita'!$DG$19:$DG$600)</f>
        <v>0</v>
      </c>
      <c r="U56" s="1432">
        <f t="shared" ref="U56" ca="1" si="73">SUM(S56-T56)</f>
        <v>0</v>
      </c>
      <c r="V56" s="1432">
        <f ca="1">IF(T56&gt;0,S56-T56,0)</f>
        <v>0</v>
      </c>
      <c r="W56" s="1432">
        <f>SUM('3 pr-2'!U57)</f>
        <v>599910.61</v>
      </c>
      <c r="X56" s="1432">
        <f ca="1">SUMIF('sutarčių ataskaita'!$J$19:$J$2600,C56,'sutarčių ataskaita'!$DM$19:$DM$600)</f>
        <v>421410.61</v>
      </c>
      <c r="Y56" s="1432">
        <f t="shared" ref="Y56" ca="1" si="74">SUM(W56-X56)</f>
        <v>178500</v>
      </c>
      <c r="Z56" s="1432">
        <f ca="1">IF(X56&gt;0,W56-X56,0)</f>
        <v>178500</v>
      </c>
      <c r="AA56" s="1432">
        <f>SUM('3 pr-2'!X57)</f>
        <v>0</v>
      </c>
      <c r="AB56" s="1432">
        <f ca="1">SUMIF('sutarčių ataskaita'!$J$19:$J$2600,C56,'sutarčių ataskaita'!$DL$19:$DL$600)+SUMIF('sutarčių ataskaita'!$J$19:$J$2600,C56,'sutarčių ataskaita'!$DJ$19:$DJ$600)</f>
        <v>0</v>
      </c>
      <c r="AC56" s="1432">
        <f ca="1">SUM(AA56-AB56)</f>
        <v>0</v>
      </c>
      <c r="AD56" s="1432">
        <f ca="1">IF(AB56&gt;0,AA56-AB56,0)</f>
        <v>0</v>
      </c>
      <c r="AE56" s="1432">
        <f>SUM('3 pr-2'!AA57)</f>
        <v>3399493.48</v>
      </c>
      <c r="AF56" s="1426">
        <f ca="1">SUMIF('sutarčių ataskaita'!$J$19:$J$2600,C56,'sutarčių ataskaita'!$DF$19:$DF$600)</f>
        <v>2387993.48</v>
      </c>
      <c r="AG56" s="1441">
        <f t="shared" ref="AG56" ca="1" si="75">SUM(AE56-AF56)</f>
        <v>1011500</v>
      </c>
      <c r="AH56" s="1430">
        <f ca="1">IF(AF56&gt;0,AE56-AF56,0)</f>
        <v>1011500</v>
      </c>
      <c r="AI56" s="1296">
        <f>SUM('3 pr-2'!AB57)</f>
        <v>0</v>
      </c>
      <c r="AJ56" s="1426">
        <v>0</v>
      </c>
    </row>
    <row r="57" spans="1:36" ht="38.25" customHeight="1" thickBot="1" x14ac:dyDescent="0.3">
      <c r="A57" s="326" t="str">
        <f>CONCATENATE('3 pr-2'!A58)</f>
        <v>1.1.1.7</v>
      </c>
      <c r="B57" s="2025" t="str">
        <f>CONCATENATE('3 pr-2'!B58)</f>
        <v>Priemonė:
Savivaldybes jungiančių turizmo trasų ir turizmo maršrutų informacinės infrastruktūros plėtra</v>
      </c>
      <c r="C57" s="2026"/>
      <c r="D57" s="2026"/>
      <c r="E57" s="2026"/>
      <c r="F57" s="2026"/>
      <c r="G57" s="2026"/>
      <c r="H57" s="2026"/>
      <c r="I57" s="2026"/>
      <c r="J57" s="2027"/>
      <c r="K57" s="1293">
        <f>SUM('3 pr-2'!L58)</f>
        <v>719317.64705882361</v>
      </c>
      <c r="L57" s="1293">
        <f ca="1">SUM(L58:L60)</f>
        <v>496329.53</v>
      </c>
      <c r="M57" s="1422">
        <f ca="1">SUM(M58:M60)</f>
        <v>222988.11705882358</v>
      </c>
      <c r="N57" s="1423">
        <f ca="1">SUM(N58:N60)</f>
        <v>-5.8823527069762349E-4</v>
      </c>
      <c r="O57" s="1293">
        <f>SUM('3 pr-2'!O58)</f>
        <v>107897.64705882352</v>
      </c>
      <c r="P57" s="1293">
        <f ca="1">SUM(P58:P60)</f>
        <v>74449.429999999993</v>
      </c>
      <c r="Q57" s="1293">
        <f ca="1">SUM(Q58:Q60)</f>
        <v>33448.217058823531</v>
      </c>
      <c r="R57" s="1293">
        <f ca="1">SUM(R58:R60)</f>
        <v>-5.8823529252549633E-4</v>
      </c>
      <c r="S57" s="1293">
        <f>SUM('3 pr-2'!R58)</f>
        <v>0</v>
      </c>
      <c r="T57" s="1293">
        <f ca="1">SUM(T58:T60)</f>
        <v>0</v>
      </c>
      <c r="U57" s="1293">
        <f t="shared" ref="U57" ca="1" si="76">SUM(U58:U60)</f>
        <v>0</v>
      </c>
      <c r="V57" s="1293">
        <f ca="1">SUM(V58:V60)</f>
        <v>0</v>
      </c>
      <c r="W57" s="1293">
        <f>SUM('3 pr-2'!U58)</f>
        <v>0</v>
      </c>
      <c r="X57" s="1293">
        <f ca="1">SUM(X58:X60)</f>
        <v>0</v>
      </c>
      <c r="Y57" s="1293">
        <f ca="1">SUM(Y58:Y60)</f>
        <v>0</v>
      </c>
      <c r="Z57" s="1293">
        <f ca="1">SUM(Z58:Z60)</f>
        <v>0</v>
      </c>
      <c r="AA57" s="1293">
        <f>SUM('3 pr-2'!X58)</f>
        <v>0</v>
      </c>
      <c r="AB57" s="1293">
        <f ca="1">SUM(AB58:AB60)</f>
        <v>0</v>
      </c>
      <c r="AC57" s="1293"/>
      <c r="AD57" s="1293">
        <f ca="1">SUM(AD58:AD60)</f>
        <v>0</v>
      </c>
      <c r="AE57" s="1293">
        <f>SUM('3 pr-2'!AA58)</f>
        <v>611420</v>
      </c>
      <c r="AF57" s="1293">
        <f ca="1">SUM(AF58:AF60)</f>
        <v>421880.1</v>
      </c>
      <c r="AG57" s="1439">
        <f ca="1">SUM(AG58:AG60)</f>
        <v>189539.9</v>
      </c>
      <c r="AH57" s="1440">
        <f ca="1">SUM(AH58:AH60)</f>
        <v>0</v>
      </c>
      <c r="AI57" s="1293">
        <f t="shared" ref="AI57:AJ57" si="77">SUM(AI58:AI60)</f>
        <v>0</v>
      </c>
      <c r="AJ57" s="1293">
        <f t="shared" si="77"/>
        <v>0</v>
      </c>
    </row>
    <row r="58" spans="1:36" ht="36.75" x14ac:dyDescent="0.25">
      <c r="A58" s="366" t="str">
        <f>CONCATENATE('3 pr-2'!A59)</f>
        <v>1.1.1.7.1</v>
      </c>
      <c r="B58" s="182" t="str">
        <f>CONCATENATE('3 pr-2'!B59)</f>
        <v>R01-8821-420000-1171</v>
      </c>
      <c r="C58" s="652" t="str">
        <f>IF('ketv. 4 '!X59&gt;0,'ketv. 4 '!C59,"-")</f>
        <v>05.4.1-LVPA-R-821-11-0002</v>
      </c>
      <c r="D58" s="366" t="str">
        <f>CONCATENATE('3 pr-2'!D59)</f>
        <v>Alytaus regiono turizmo informacinės infrastruktūros plėtra</v>
      </c>
      <c r="E58" s="366" t="str">
        <f>CONCATENATE('3 pr-2'!E59)</f>
        <v>Alytaus miesto savivaldybės administracija</v>
      </c>
      <c r="F58" s="366" t="str">
        <f>CONCATENATE('3 pr-2'!F59)</f>
        <v>Lietuvos Respublikos ūkio ministerija</v>
      </c>
      <c r="G58" s="366" t="str">
        <f>CONCATENATE('3 pr-2'!G59)</f>
        <v>Alytaus m. sav.</v>
      </c>
      <c r="H58" s="366" t="str">
        <f>CONCATENATE('3 pr-2'!H59)</f>
        <v>05.4.1-LVPA-R-821</v>
      </c>
      <c r="I58" s="366" t="str">
        <f>CONCATENATE('3 pr-2'!I59)</f>
        <v>R</v>
      </c>
      <c r="J58" s="366" t="str">
        <f>CONCATENATE('3 pr-2'!J59)</f>
        <v>-</v>
      </c>
      <c r="K58" s="1432">
        <f>SUM('3 pr-2'!L59)</f>
        <v>208223.52941176473</v>
      </c>
      <c r="L58" s="1426">
        <f t="shared" ref="L58:L60" ca="1" si="78">SUM(P58+T58+X58+AB58+AF58+AJ58)</f>
        <v>208223.53</v>
      </c>
      <c r="M58" s="1432">
        <f t="shared" ca="1" si="0"/>
        <v>-5.8823527069762349E-4</v>
      </c>
      <c r="N58" s="1432">
        <f t="shared" ref="N58:N60" ca="1" si="79">IF(L58&gt;0,K58-L58,0)</f>
        <v>-5.8823527069762349E-4</v>
      </c>
      <c r="O58" s="1432">
        <f>SUM('3 pr-2'!O59)</f>
        <v>31233.529411764706</v>
      </c>
      <c r="P58" s="1426">
        <f ca="1">SUMIF('sutarčių ataskaita'!$J$19:$J$2600,C58,'sutarčių ataskaita'!$DK$19:$DK$600)</f>
        <v>31233.53</v>
      </c>
      <c r="Q58" s="1432">
        <f t="shared" ca="1" si="2"/>
        <v>-5.8823529252549633E-4</v>
      </c>
      <c r="R58" s="1432">
        <f t="shared" ref="R58:R60" ca="1" si="80">IF(P58&gt;0,O58-P58,0)</f>
        <v>-5.8823529252549633E-4</v>
      </c>
      <c r="S58" s="1432">
        <f>SUM('3 pr-2'!R59)</f>
        <v>0</v>
      </c>
      <c r="T58" s="1432">
        <f ca="1">SUMIF('sutarčių ataskaita'!$J$19:$J$2600,C58,'sutarčių ataskaita'!$DG$19:$DG$600)</f>
        <v>0</v>
      </c>
      <c r="U58" s="1432">
        <f t="shared" ref="U58:U60" ca="1" si="81">SUM(S58-T58)</f>
        <v>0</v>
      </c>
      <c r="V58" s="1432">
        <f t="shared" ref="V58:V60" ca="1" si="82">IF(T58&gt;0,S58-T58,0)</f>
        <v>0</v>
      </c>
      <c r="W58" s="1432">
        <f>SUM('3 pr-2'!U59)</f>
        <v>0</v>
      </c>
      <c r="X58" s="1432">
        <f ca="1">SUMIF('sutarčių ataskaita'!$J$19:$J$2600,C58,'sutarčių ataskaita'!$DM$19:$DM$600)</f>
        <v>0</v>
      </c>
      <c r="Y58" s="1432">
        <f t="shared" ref="Y58:Y60" ca="1" si="83">SUM(W58-X58)</f>
        <v>0</v>
      </c>
      <c r="Z58" s="1432">
        <f t="shared" ref="Z58:Z60" ca="1" si="84">IF(X58&gt;0,W58-X58,0)</f>
        <v>0</v>
      </c>
      <c r="AA58" s="1432">
        <f>SUM('3 pr-2'!X59)</f>
        <v>0</v>
      </c>
      <c r="AB58" s="1432">
        <f ca="1">SUMIF('sutarčių ataskaita'!$J$19:$J$2600,C58,'sutarčių ataskaita'!$DL$19:$DL$600)+SUMIF('sutarčių ataskaita'!$J$19:$J$2600,C58,'sutarčių ataskaita'!$DJ$19:$DJ$600)</f>
        <v>0</v>
      </c>
      <c r="AC58" s="1432">
        <f ca="1">SUM(AA58-AB58)</f>
        <v>0</v>
      </c>
      <c r="AD58" s="1432">
        <f t="shared" ref="AD58:AD60" ca="1" si="85">IF(AB58&gt;0,AA58-AB58,0)</f>
        <v>0</v>
      </c>
      <c r="AE58" s="1432">
        <f>SUM('3 pr-2'!AA59)</f>
        <v>176990</v>
      </c>
      <c r="AF58" s="1426">
        <f ca="1">SUMIF('sutarčių ataskaita'!$J$19:$J$2600,C58,'sutarčių ataskaita'!$DF$19:$DF$600)</f>
        <v>176990</v>
      </c>
      <c r="AG58" s="1429">
        <f t="shared" ref="AG58:AG60" ca="1" si="86">SUM(AE58-AF58)</f>
        <v>0</v>
      </c>
      <c r="AH58" s="1430">
        <f t="shared" ref="AH58:AH60" ca="1" si="87">IF(AF58&gt;0,AE58-AF58,0)</f>
        <v>0</v>
      </c>
      <c r="AI58" s="1296">
        <f>SUM('3 pr-2'!AB59)</f>
        <v>0</v>
      </c>
      <c r="AJ58" s="1426">
        <v>0</v>
      </c>
    </row>
    <row r="59" spans="1:36" ht="48.75" x14ac:dyDescent="0.25">
      <c r="A59" s="366" t="str">
        <f>CONCATENATE('3 pr-2'!A60)</f>
        <v>1.1.1.7.2</v>
      </c>
      <c r="B59" s="182" t="str">
        <f>CONCATENATE('3 pr-2'!B60)</f>
        <v>R01-8821-420000-1172</v>
      </c>
      <c r="C59" s="652" t="str">
        <f>IF('ketv. 4 '!X60&gt;0,'ketv. 4 '!C60,"-")</f>
        <v>05.4.1-LVPA-R-821-11-0001</v>
      </c>
      <c r="D59" s="366" t="str">
        <f>CONCATENATE('3 pr-2'!D60)</f>
        <v>„Turizmo trasų ir maršrutų informacinės infrastruktūros plėtra  Lazdijų, Varėnos rajonų ir Druskininkų savivaldybėse“</v>
      </c>
      <c r="E59" s="366" t="str">
        <f>CONCATENATE('3 pr-2'!E60)</f>
        <v>Lazdijų rajono savivaldybės administracija</v>
      </c>
      <c r="F59" s="366" t="str">
        <f>CONCATENATE('3 pr-2'!F60)</f>
        <v>Lietuvos Respublikos ūkio ministerija</v>
      </c>
      <c r="G59" s="366" t="str">
        <f>CONCATENATE('3 pr-2'!G60)</f>
        <v xml:space="preserve">Lazdijų, Varėnos rajonų ir Druskininkų savivaldybės </v>
      </c>
      <c r="H59" s="366" t="str">
        <f>CONCATENATE('3 pr-2'!H60)</f>
        <v>05.4.1-LVPA-R-821</v>
      </c>
      <c r="I59" s="366" t="str">
        <f>CONCATENATE('3 pr-2'!I60)</f>
        <v>R</v>
      </c>
      <c r="J59" s="366" t="str">
        <f>CONCATENATE('3 pr-2'!J60)</f>
        <v>-</v>
      </c>
      <c r="K59" s="1432">
        <f>SUM('3 pr-2'!L60)</f>
        <v>288106</v>
      </c>
      <c r="L59" s="1426">
        <f t="shared" ca="1" si="78"/>
        <v>288106</v>
      </c>
      <c r="M59" s="1432">
        <f t="shared" ca="1" si="0"/>
        <v>0</v>
      </c>
      <c r="N59" s="1432">
        <f t="shared" ca="1" si="79"/>
        <v>0</v>
      </c>
      <c r="O59" s="1432">
        <f>SUM('3 pr-2'!O60)</f>
        <v>43215.9</v>
      </c>
      <c r="P59" s="1426">
        <f ca="1">SUMIF('sutarčių ataskaita'!$J$19:$J$2600,C59,'sutarčių ataskaita'!$DK$19:$DK$600)</f>
        <v>43215.9</v>
      </c>
      <c r="Q59" s="1432">
        <f t="shared" ca="1" si="2"/>
        <v>0</v>
      </c>
      <c r="R59" s="1432">
        <f t="shared" ca="1" si="80"/>
        <v>0</v>
      </c>
      <c r="S59" s="1432">
        <f>SUM('3 pr-2'!R60)</f>
        <v>0</v>
      </c>
      <c r="T59" s="1432">
        <f ca="1">SUMIF('sutarčių ataskaita'!$J$19:$J$2600,C59,'sutarčių ataskaita'!$DG$19:$DG$600)</f>
        <v>0</v>
      </c>
      <c r="U59" s="1432">
        <f t="shared" ca="1" si="81"/>
        <v>0</v>
      </c>
      <c r="V59" s="1432">
        <f t="shared" ca="1" si="82"/>
        <v>0</v>
      </c>
      <c r="W59" s="1432">
        <f>SUM('3 pr-2'!U60)</f>
        <v>0</v>
      </c>
      <c r="X59" s="1432">
        <f ca="1">SUMIF('sutarčių ataskaita'!$J$19:$J$2600,C59,'sutarčių ataskaita'!$DM$19:$DM$600)</f>
        <v>0</v>
      </c>
      <c r="Y59" s="1432">
        <f t="shared" ca="1" si="83"/>
        <v>0</v>
      </c>
      <c r="Z59" s="1432">
        <f t="shared" ca="1" si="84"/>
        <v>0</v>
      </c>
      <c r="AA59" s="1432">
        <f>SUM('3 pr-2'!X60)</f>
        <v>0</v>
      </c>
      <c r="AB59" s="1432">
        <f ca="1">SUMIF('sutarčių ataskaita'!$J$19:$J$2600,C59,'sutarčių ataskaita'!$DL$19:$DL$600)+SUMIF('sutarčių ataskaita'!$J$19:$J$2600,C59,'sutarčių ataskaita'!$DJ$19:$DJ$600)</f>
        <v>0</v>
      </c>
      <c r="AC59" s="1432">
        <f ca="1">SUM(AA59-AB59)</f>
        <v>0</v>
      </c>
      <c r="AD59" s="1432">
        <f t="shared" ca="1" si="85"/>
        <v>0</v>
      </c>
      <c r="AE59" s="1432">
        <f>SUM('3 pr-2'!AA60)</f>
        <v>244890.1</v>
      </c>
      <c r="AF59" s="1426">
        <f ca="1">SUMIF('sutarčių ataskaita'!$J$19:$J$2600,C59,'sutarčių ataskaita'!$DF$19:$DF$600)</f>
        <v>244890.1</v>
      </c>
      <c r="AG59" s="1429">
        <f t="shared" ca="1" si="86"/>
        <v>0</v>
      </c>
      <c r="AH59" s="1430">
        <f t="shared" ca="1" si="87"/>
        <v>0</v>
      </c>
      <c r="AI59" s="1296">
        <f>SUM('3 pr-2'!AB60)</f>
        <v>0</v>
      </c>
      <c r="AJ59" s="1426">
        <v>0</v>
      </c>
    </row>
    <row r="60" spans="1:36" ht="49.5" thickBot="1" x14ac:dyDescent="0.3">
      <c r="A60" s="366" t="str">
        <f>CONCATENATE('3 pr-2'!A61)</f>
        <v>1.1.1.7.3</v>
      </c>
      <c r="B60" s="182" t="str">
        <f>CONCATENATE('3 pr-2'!B61)</f>
        <v>R01-8821-420000-1173</v>
      </c>
      <c r="C60" s="652" t="str">
        <f>IF('ketv. 4 '!X61&gt;0,'ketv. 4 '!C61,"-")</f>
        <v>-</v>
      </c>
      <c r="D60" s="366" t="str">
        <f>CONCATENATE('3 pr-2'!D61)</f>
        <v>„Turizmo trasų ir maršrutų informacinės infrastruktūros plėtra  Lazdijų, Varėnos rajonų ir Druskininkų savivaldybėse II etapas“</v>
      </c>
      <c r="E60" s="366" t="str">
        <f>CONCATENATE('3 pr-2'!E61)</f>
        <v>Lazdijų rajono savivaldybės administracija</v>
      </c>
      <c r="F60" s="366" t="str">
        <f>CONCATENATE('3 pr-2'!F61)</f>
        <v>Lietuvos Respublikos ūkio ministerija</v>
      </c>
      <c r="G60" s="366" t="str">
        <f>CONCATENATE('3 pr-2'!G61)</f>
        <v xml:space="preserve">Lazdijų, Varėnos rajonų ir Druskininkų savivaldybės </v>
      </c>
      <c r="H60" s="366" t="str">
        <f>CONCATENATE('3 pr-2'!H61)</f>
        <v>05.4.1-LVPA-R-821</v>
      </c>
      <c r="I60" s="366" t="str">
        <f>CONCATENATE('3 pr-2'!I61)</f>
        <v>R</v>
      </c>
      <c r="J60" s="366" t="str">
        <f>CONCATENATE('3 pr-2'!J61)</f>
        <v>-</v>
      </c>
      <c r="K60" s="1432">
        <f>SUM('3 pr-2'!L61)</f>
        <v>222988.11764705885</v>
      </c>
      <c r="L60" s="1432">
        <f t="shared" ca="1" si="78"/>
        <v>0</v>
      </c>
      <c r="M60" s="1432">
        <f t="shared" ca="1" si="0"/>
        <v>222988.11764705885</v>
      </c>
      <c r="N60" s="1432">
        <f t="shared" ca="1" si="79"/>
        <v>0</v>
      </c>
      <c r="O60" s="1432">
        <f>SUM('3 pr-2'!O61)</f>
        <v>33448.217647058824</v>
      </c>
      <c r="P60" s="1432">
        <f ca="1">SUMIF('sutarčių ataskaita'!$J$19:$J$2600,C60,'sutarčių ataskaita'!$DK$19:$DK$600)</f>
        <v>0</v>
      </c>
      <c r="Q60" s="1432">
        <f t="shared" ca="1" si="2"/>
        <v>33448.217647058824</v>
      </c>
      <c r="R60" s="1432">
        <f t="shared" ca="1" si="80"/>
        <v>0</v>
      </c>
      <c r="S60" s="1432">
        <f>SUM('3 pr-2'!R61)</f>
        <v>0</v>
      </c>
      <c r="T60" s="1432">
        <f ca="1">SUMIF('sutarčių ataskaita'!$J$19:$J$2600,C60,'sutarčių ataskaita'!$DG$19:$DG$600)</f>
        <v>0</v>
      </c>
      <c r="U60" s="1432">
        <f t="shared" ca="1" si="81"/>
        <v>0</v>
      </c>
      <c r="V60" s="1432">
        <f t="shared" ca="1" si="82"/>
        <v>0</v>
      </c>
      <c r="W60" s="1432">
        <f>SUM('3 pr-2'!U61)</f>
        <v>0</v>
      </c>
      <c r="X60" s="1432">
        <f ca="1">SUMIF('sutarčių ataskaita'!$J$19:$J$2600,C60,'sutarčių ataskaita'!$DM$19:$DM$600)</f>
        <v>0</v>
      </c>
      <c r="Y60" s="1432">
        <f t="shared" ca="1" si="83"/>
        <v>0</v>
      </c>
      <c r="Z60" s="1432">
        <f t="shared" ca="1" si="84"/>
        <v>0</v>
      </c>
      <c r="AA60" s="1432">
        <f>SUM('3 pr-2'!X61)</f>
        <v>0</v>
      </c>
      <c r="AB60" s="1432">
        <f ca="1">SUMIF('sutarčių ataskaita'!$J$19:$J$2600,C60,'sutarčių ataskaita'!$DL$19:$DL$600)+SUMIF('sutarčių ataskaita'!$J$19:$J$2600,C60,'sutarčių ataskaita'!$DJ$19:$DJ$600)</f>
        <v>0</v>
      </c>
      <c r="AC60" s="1432">
        <f ca="1">SUM(AA60-AB60)</f>
        <v>0</v>
      </c>
      <c r="AD60" s="1432">
        <f t="shared" ca="1" si="85"/>
        <v>0</v>
      </c>
      <c r="AE60" s="1432">
        <f>SUM('3 pr-2'!AA61)</f>
        <v>189539.9</v>
      </c>
      <c r="AF60" s="1432">
        <f ca="1">SUMIF('sutarčių ataskaita'!$J$19:$J$2600,C60,'sutarčių ataskaita'!$DF$19:$DF$600)</f>
        <v>0</v>
      </c>
      <c r="AG60" s="1429">
        <f t="shared" ca="1" si="86"/>
        <v>189539.9</v>
      </c>
      <c r="AH60" s="1430">
        <f t="shared" ca="1" si="87"/>
        <v>0</v>
      </c>
      <c r="AI60" s="1296">
        <f>SUM('3 pr-2'!AB61)</f>
        <v>0</v>
      </c>
      <c r="AJ60" s="1432"/>
    </row>
    <row r="61" spans="1:36" ht="41.25" customHeight="1" thickBot="1" x14ac:dyDescent="0.3">
      <c r="A61" s="326" t="str">
        <f>CONCATENATE('3 pr-2'!A62)</f>
        <v>1.1.1.8</v>
      </c>
      <c r="B61" s="2025" t="str">
        <f>CONCATENATE('3 pr-2'!B62)</f>
        <v>Priemonė:
Modernizuoti savivaldybių kultūros infrastruktūrą</v>
      </c>
      <c r="C61" s="2026"/>
      <c r="D61" s="2026"/>
      <c r="E61" s="2026"/>
      <c r="F61" s="2026"/>
      <c r="G61" s="2026"/>
      <c r="H61" s="2026"/>
      <c r="I61" s="2026"/>
      <c r="J61" s="2027"/>
      <c r="K61" s="1293">
        <f>SUM('3 pr-2'!L62)</f>
        <v>1972835.5100000002</v>
      </c>
      <c r="L61" s="1293">
        <f ca="1">SUM(L62:L65)</f>
        <v>1972835.5100000002</v>
      </c>
      <c r="M61" s="1422">
        <f ca="1">SUM(M62:M65)</f>
        <v>0</v>
      </c>
      <c r="N61" s="1423">
        <f ca="1">SUM(N62:N65)</f>
        <v>0</v>
      </c>
      <c r="O61" s="1293">
        <f>SUM('3 pr-2'!O62)</f>
        <v>422270.99</v>
      </c>
      <c r="P61" s="1293">
        <f ca="1">SUM(P62:P65)</f>
        <v>422270.99</v>
      </c>
      <c r="Q61" s="1293">
        <f ca="1">SUM(Q62:Q65)</f>
        <v>0</v>
      </c>
      <c r="R61" s="1293">
        <f ca="1">SUM(R62:R65)</f>
        <v>0</v>
      </c>
      <c r="S61" s="1293">
        <f>SUM('3 pr-2'!R62)</f>
        <v>0</v>
      </c>
      <c r="T61" s="1293">
        <f ca="1">SUM(T62:T65)</f>
        <v>0</v>
      </c>
      <c r="U61" s="1293">
        <f ca="1">SUM(U62:U65)</f>
        <v>0</v>
      </c>
      <c r="V61" s="1293">
        <f ca="1">SUM(V62:V65)</f>
        <v>0</v>
      </c>
      <c r="W61" s="1293">
        <f>SUM('3 pr-2'!U62)</f>
        <v>0</v>
      </c>
      <c r="X61" s="1293">
        <f ca="1">SUM(X62:X65)</f>
        <v>0</v>
      </c>
      <c r="Y61" s="1293">
        <f ca="1">SUM(Y62:Y65)</f>
        <v>0</v>
      </c>
      <c r="Z61" s="1293">
        <f ca="1">SUM(Z62:Z65)</f>
        <v>0</v>
      </c>
      <c r="AA61" s="1293">
        <f>SUM('3 pr-2'!X62)</f>
        <v>352400.82</v>
      </c>
      <c r="AB61" s="1293">
        <f ca="1">SUM(AB62:AB65)</f>
        <v>352400.82</v>
      </c>
      <c r="AC61" s="1293">
        <f ca="1">SUM(AC62:AC65)</f>
        <v>0</v>
      </c>
      <c r="AD61" s="1293">
        <f ca="1">SUM(AD62:AD65)</f>
        <v>0</v>
      </c>
      <c r="AE61" s="1293">
        <f>SUM('3 pr-2'!AA62)</f>
        <v>1198163.7</v>
      </c>
      <c r="AF61" s="1293">
        <f ca="1">SUM(AF62:AF65)</f>
        <v>1198163.7</v>
      </c>
      <c r="AG61" s="1439">
        <f ca="1">SUM(AG62:AG65)</f>
        <v>0</v>
      </c>
      <c r="AH61" s="1440">
        <f ca="1">SUM(AH62:AH65)</f>
        <v>0</v>
      </c>
      <c r="AI61" s="1293">
        <f t="shared" ref="AI61:AJ61" si="88">SUM(AI62:AI65)</f>
        <v>0</v>
      </c>
      <c r="AJ61" s="1293">
        <f t="shared" si="88"/>
        <v>0</v>
      </c>
    </row>
    <row r="62" spans="1:36" ht="36.75" x14ac:dyDescent="0.25">
      <c r="A62" s="366" t="str">
        <f>CONCATENATE('3 pr-2'!A63)</f>
        <v>1.1.1.8.1</v>
      </c>
      <c r="B62" s="182" t="str">
        <f>CONCATENATE('3 pr-2'!B63)</f>
        <v>R01-3305-330000-1181</v>
      </c>
      <c r="C62" s="652" t="str">
        <f>IF('ketv. 4 '!X63&gt;0,'ketv. 4 '!C63,"-")</f>
        <v>07.1.1-CPVA-R-305-11-0001</v>
      </c>
      <c r="D62" s="366" t="str">
        <f>CONCATENATE('3 pr-2'!D63)</f>
        <v>Kultūros įstaigų infrastruktūros modernizavimas Varėnos mieste</v>
      </c>
      <c r="E62" s="366" t="str">
        <f>CONCATENATE('3 pr-2'!E63)</f>
        <v>Varėnos rajono savivaldybės administracija</v>
      </c>
      <c r="F62" s="366" t="str">
        <f>CONCATENATE('3 pr-2'!F63)</f>
        <v>Lietuvos Respublikos kultūros ministerija</v>
      </c>
      <c r="G62" s="366" t="str">
        <f>CONCATENATE('3 pr-2'!G63)</f>
        <v>Varėnos r. sav.</v>
      </c>
      <c r="H62" s="366" t="str">
        <f>CONCATENATE('3 pr-2'!H63)</f>
        <v>07.1.1-CPVA-R-305</v>
      </c>
      <c r="I62" s="366" t="str">
        <f>CONCATENATE('3 pr-2'!I63)</f>
        <v>R</v>
      </c>
      <c r="J62" s="366" t="str">
        <f>CONCATENATE('3 pr-2'!J63)</f>
        <v>ITI</v>
      </c>
      <c r="K62" s="1432">
        <f>SUM('3 pr-2'!L63)</f>
        <v>352401</v>
      </c>
      <c r="L62" s="1426">
        <f t="shared" ref="L62:L65" ca="1" si="89">SUM(P62+T62+X62+AB62+AF62+AJ62)</f>
        <v>352401</v>
      </c>
      <c r="M62" s="1432">
        <f t="shared" ca="1" si="0"/>
        <v>0</v>
      </c>
      <c r="N62" s="1432">
        <f t="shared" ref="N62:N65" ca="1" si="90">IF(L62&gt;0,K62-L62,0)</f>
        <v>0</v>
      </c>
      <c r="O62" s="1432">
        <f>SUM('3 pr-2'!O63)</f>
        <v>52860.15</v>
      </c>
      <c r="P62" s="1426">
        <f ca="1">SUMIF('sutarčių ataskaita'!$J$19:$J$2600,C62,'sutarčių ataskaita'!$DK$19:$DK$600)</f>
        <v>52860.15</v>
      </c>
      <c r="Q62" s="1432">
        <f t="shared" ca="1" si="2"/>
        <v>0</v>
      </c>
      <c r="R62" s="1432">
        <f t="shared" ref="R62:R65" ca="1" si="91">IF(P62&gt;0,O62-P62,0)</f>
        <v>0</v>
      </c>
      <c r="S62" s="1432">
        <f>SUM('3 pr-2'!R63)</f>
        <v>0</v>
      </c>
      <c r="T62" s="1432">
        <f ca="1">SUMIF('sutarčių ataskaita'!$J$19:$J$2600,C62,'sutarčių ataskaita'!$DG$19:$DG$600)</f>
        <v>0</v>
      </c>
      <c r="U62" s="1432">
        <f t="shared" ref="U62:U65" ca="1" si="92">SUM(S62-T62)</f>
        <v>0</v>
      </c>
      <c r="V62" s="1432">
        <f t="shared" ref="V62:V65" ca="1" si="93">IF(T62&gt;0,S62-T62,0)</f>
        <v>0</v>
      </c>
      <c r="W62" s="1432">
        <f>SUM('3 pr-2'!U63)</f>
        <v>0</v>
      </c>
      <c r="X62" s="1432">
        <f ca="1">SUMIF('sutarčių ataskaita'!$J$19:$J$2600,C62,'sutarčių ataskaita'!$DM$19:$DM$600)</f>
        <v>0</v>
      </c>
      <c r="Y62" s="1432">
        <f t="shared" ref="Y62:Y65" ca="1" si="94">SUM(W62-X62)</f>
        <v>0</v>
      </c>
      <c r="Z62" s="1432">
        <f t="shared" ref="Z62:Z65" ca="1" si="95">IF(X62&gt;0,W62-X62,0)</f>
        <v>0</v>
      </c>
      <c r="AA62" s="1432">
        <f>SUM('3 pr-2'!X63)</f>
        <v>0</v>
      </c>
      <c r="AB62" s="1432">
        <f ca="1">SUMIF('sutarčių ataskaita'!$J$19:$J$2600,C62,'sutarčių ataskaita'!$DL$19:$DL$600)+SUMIF('sutarčių ataskaita'!$J$19:$J$2600,C62,'sutarčių ataskaita'!$DJ$19:$DJ$600)</f>
        <v>0</v>
      </c>
      <c r="AC62" s="1432">
        <f ca="1">SUM(AA62-AB62)</f>
        <v>0</v>
      </c>
      <c r="AD62" s="1432">
        <f t="shared" ref="AD62:AD65" ca="1" si="96">IF(AB62&gt;0,AA62-AB62,0)</f>
        <v>0</v>
      </c>
      <c r="AE62" s="1432">
        <f>SUM('3 pr-2'!AA63)</f>
        <v>299540.84999999998</v>
      </c>
      <c r="AF62" s="1426">
        <f ca="1">SUMIF('sutarčių ataskaita'!$J$19:$J$2600,C62,'sutarčių ataskaita'!$DF$19:$DF$600)</f>
        <v>299540.84999999998</v>
      </c>
      <c r="AG62" s="1429">
        <f t="shared" ref="AG62:AG65" ca="1" si="97">SUM(AE62-AF62)</f>
        <v>0</v>
      </c>
      <c r="AH62" s="1430">
        <f t="shared" ref="AH62:AH65" ca="1" si="98">IF(AF62&gt;0,AE62-AF62,0)</f>
        <v>0</v>
      </c>
      <c r="AI62" s="1296">
        <f>SUM('3 pr-2'!AB63)</f>
        <v>0</v>
      </c>
      <c r="AJ62" s="1426">
        <v>0</v>
      </c>
    </row>
    <row r="63" spans="1:36" ht="36.75" x14ac:dyDescent="0.25">
      <c r="A63" s="366" t="str">
        <f>CONCATENATE('3 pr-2'!A64)</f>
        <v>1.1.1.8.2</v>
      </c>
      <c r="B63" s="182" t="str">
        <f>CONCATENATE('3 pr-2'!B64)</f>
        <v>R01-3305-330000-1182</v>
      </c>
      <c r="C63" s="652" t="str">
        <f>IF('ketv. 4 '!X64&gt;0,'ketv. 4 '!C64,"-")</f>
        <v>07.1.1-CPVA-R-305-11-0002</v>
      </c>
      <c r="D63" s="366" t="str">
        <f>CONCATENATE('3 pr-2'!D64)</f>
        <v>VšĮ Alytaus kultūros ir komunikacijos centro pastato Alytuje, Pramonės g. 1B, rekonstravimas</v>
      </c>
      <c r="E63" s="366" t="str">
        <f>CONCATENATE('3 pr-2'!E64)</f>
        <v>Alytaus miesto savivaldybės administracija</v>
      </c>
      <c r="F63" s="366" t="str">
        <f>CONCATENATE('3 pr-2'!F64)</f>
        <v>Lietuvos Respublikos kultūros ministerija</v>
      </c>
      <c r="G63" s="366" t="str">
        <f>CONCATENATE('3 pr-2'!G64)</f>
        <v>Alytaus m. sav.</v>
      </c>
      <c r="H63" s="366" t="str">
        <f>CONCATENATE('3 pr-2'!H64)</f>
        <v>07.1.1-CPVA-R-305</v>
      </c>
      <c r="I63" s="366" t="str">
        <f>CONCATENATE('3 pr-2'!I64)</f>
        <v>R</v>
      </c>
      <c r="J63" s="366" t="str">
        <f>CONCATENATE('3 pr-2'!J64)</f>
        <v>ITI</v>
      </c>
      <c r="K63" s="1432">
        <f>SUM('3 pr-2'!L64)</f>
        <v>783264.16</v>
      </c>
      <c r="L63" s="1426">
        <f t="shared" ca="1" si="89"/>
        <v>783264.16</v>
      </c>
      <c r="M63" s="1432">
        <f t="shared" ca="1" si="0"/>
        <v>0</v>
      </c>
      <c r="N63" s="1432">
        <f t="shared" ca="1" si="90"/>
        <v>0</v>
      </c>
      <c r="O63" s="1432">
        <f>SUM('3 pr-2'!O64)</f>
        <v>131322.34</v>
      </c>
      <c r="P63" s="1426">
        <f ca="1">SUMIF('sutarčių ataskaita'!$J$19:$J$2600,C63,'sutarčių ataskaita'!$DK$19:$DK$600)</f>
        <v>131322.34</v>
      </c>
      <c r="Q63" s="1432">
        <f t="shared" ca="1" si="2"/>
        <v>0</v>
      </c>
      <c r="R63" s="1432">
        <f t="shared" ca="1" si="91"/>
        <v>0</v>
      </c>
      <c r="S63" s="1432">
        <f>SUM('3 pr-2'!R64)</f>
        <v>0</v>
      </c>
      <c r="T63" s="1426">
        <f ca="1">SUMIF('sutarčių ataskaita'!$J$19:$J$2600,C63,'sutarčių ataskaita'!$DG$19:$DG$600)</f>
        <v>0</v>
      </c>
      <c r="U63" s="1432">
        <f t="shared" ca="1" si="92"/>
        <v>0</v>
      </c>
      <c r="V63" s="1432">
        <f t="shared" ca="1" si="93"/>
        <v>0</v>
      </c>
      <c r="W63" s="1432">
        <f>SUM('3 pr-2'!U64)</f>
        <v>0</v>
      </c>
      <c r="X63" s="1432">
        <f ca="1">SUMIF('sutarčių ataskaita'!$J$19:$J$2600,C63,'sutarčių ataskaita'!$DM$19:$DM$600)</f>
        <v>0</v>
      </c>
      <c r="Y63" s="1432">
        <f t="shared" ca="1" si="94"/>
        <v>0</v>
      </c>
      <c r="Z63" s="1432">
        <f t="shared" ca="1" si="95"/>
        <v>0</v>
      </c>
      <c r="AA63" s="1432">
        <f>SUM('3 pr-2'!X64)</f>
        <v>352400.82</v>
      </c>
      <c r="AB63" s="1432">
        <f ca="1">SUMIF('sutarčių ataskaita'!$J$19:$J$2600,C63,'sutarčių ataskaita'!$DL$19:$DL$600)+SUMIF('sutarčių ataskaita'!$J$19:$J$2600,C63,'sutarčių ataskaita'!$DJ$19:$DJ$600)</f>
        <v>352400.82</v>
      </c>
      <c r="AC63" s="1432">
        <f ca="1">SUM(AA63-AB63)</f>
        <v>0</v>
      </c>
      <c r="AD63" s="1432">
        <f t="shared" ca="1" si="96"/>
        <v>0</v>
      </c>
      <c r="AE63" s="1432">
        <f>SUM('3 pr-2'!AA64)</f>
        <v>299541</v>
      </c>
      <c r="AF63" s="1426">
        <f ca="1">SUMIF('sutarčių ataskaita'!$J$19:$J$2600,C63,'sutarčių ataskaita'!$DF$19:$DF$600)</f>
        <v>299541</v>
      </c>
      <c r="AG63" s="1429">
        <f t="shared" ca="1" si="97"/>
        <v>0</v>
      </c>
      <c r="AH63" s="1430">
        <f t="shared" ca="1" si="98"/>
        <v>0</v>
      </c>
      <c r="AI63" s="1296">
        <f>SUM('3 pr-2'!AB64)</f>
        <v>0</v>
      </c>
      <c r="AJ63" s="1426">
        <v>0</v>
      </c>
    </row>
    <row r="64" spans="1:36" ht="36.75" x14ac:dyDescent="0.25">
      <c r="A64" s="366" t="str">
        <f>CONCATENATE('3 pr-2'!A65)</f>
        <v>1.1.1.8.3</v>
      </c>
      <c r="B64" s="182" t="str">
        <f>CONCATENATE('3 pr-2'!B65)</f>
        <v>R01-3305-330000-1183</v>
      </c>
      <c r="C64" s="652" t="str">
        <f>IF('ketv. 4 '!X65&gt;0,'ketv. 4 '!C65,"-")</f>
        <v>07.1.1-CPVA-R-305-11-0003</v>
      </c>
      <c r="D64" s="366" t="str">
        <f>CONCATENATE('3 pr-2'!D65)</f>
        <v>Druskininkų kultūros centro lauko scenos, Vilniaus al. 24, Druskininkai, modernizavimas ir pritaikymas kultūros  poreikiams</v>
      </c>
      <c r="E64" s="366" t="str">
        <f>CONCATENATE('3 pr-2'!E65)</f>
        <v xml:space="preserve">Druskininkų savivaldybės administracija  </v>
      </c>
      <c r="F64" s="366" t="str">
        <f>CONCATENATE('3 pr-2'!F65)</f>
        <v>Lietuvos Respublikos kultūros ministerija</v>
      </c>
      <c r="G64" s="366" t="str">
        <f>CONCATENATE('3 pr-2'!G65)</f>
        <v>Druskininkų sav.</v>
      </c>
      <c r="H64" s="366" t="str">
        <f>CONCATENATE('3 pr-2'!H65)</f>
        <v>07.1.1-CPVA-R-305</v>
      </c>
      <c r="I64" s="366" t="str">
        <f>CONCATENATE('3 pr-2'!I65)</f>
        <v>R</v>
      </c>
      <c r="J64" s="366" t="str">
        <f>CONCATENATE('3 pr-2'!J65)</f>
        <v>ITI</v>
      </c>
      <c r="K64" s="1432">
        <f>SUM('3 pr-2'!L65)</f>
        <v>352401</v>
      </c>
      <c r="L64" s="1426">
        <f t="shared" ca="1" si="89"/>
        <v>352401</v>
      </c>
      <c r="M64" s="1432">
        <f t="shared" ca="1" si="0"/>
        <v>0</v>
      </c>
      <c r="N64" s="1432">
        <f t="shared" ca="1" si="90"/>
        <v>0</v>
      </c>
      <c r="O64" s="1432">
        <f>SUM('3 pr-2'!O65)</f>
        <v>52860.15</v>
      </c>
      <c r="P64" s="1426">
        <f ca="1">SUMIF('sutarčių ataskaita'!$J$19:$J$2600,C64,'sutarčių ataskaita'!$DK$19:$DK$600)</f>
        <v>52860.15</v>
      </c>
      <c r="Q64" s="1432">
        <f t="shared" ca="1" si="2"/>
        <v>0</v>
      </c>
      <c r="R64" s="1432">
        <f t="shared" ca="1" si="91"/>
        <v>0</v>
      </c>
      <c r="S64" s="1432">
        <f>SUM('3 pr-2'!R65)</f>
        <v>0</v>
      </c>
      <c r="T64" s="1432">
        <f ca="1">SUMIF('sutarčių ataskaita'!$J$19:$J$2600,C64,'sutarčių ataskaita'!$DG$19:$DG$600)</f>
        <v>0</v>
      </c>
      <c r="U64" s="1432">
        <f t="shared" ca="1" si="92"/>
        <v>0</v>
      </c>
      <c r="V64" s="1432">
        <f t="shared" ca="1" si="93"/>
        <v>0</v>
      </c>
      <c r="W64" s="1432">
        <f>SUM('3 pr-2'!U65)</f>
        <v>0</v>
      </c>
      <c r="X64" s="1432">
        <f ca="1">SUMIF('sutarčių ataskaita'!$J$19:$J$2600,C64,'sutarčių ataskaita'!$DM$19:$DM$600)</f>
        <v>0</v>
      </c>
      <c r="Y64" s="1432">
        <f t="shared" ca="1" si="94"/>
        <v>0</v>
      </c>
      <c r="Z64" s="1432">
        <f t="shared" ca="1" si="95"/>
        <v>0</v>
      </c>
      <c r="AA64" s="1432">
        <f>SUM('3 pr-2'!X65)</f>
        <v>0</v>
      </c>
      <c r="AB64" s="1432">
        <f ca="1">SUMIF('sutarčių ataskaita'!$J$19:$J$2600,C64,'sutarčių ataskaita'!$DL$19:$DL$600)+SUMIF('sutarčių ataskaita'!$J$19:$J$2600,C64,'sutarčių ataskaita'!$DJ$19:$DJ$600)</f>
        <v>0</v>
      </c>
      <c r="AC64" s="1432">
        <f ca="1">SUM(AA64-AB64)</f>
        <v>0</v>
      </c>
      <c r="AD64" s="1432">
        <f t="shared" ca="1" si="96"/>
        <v>0</v>
      </c>
      <c r="AE64" s="1432">
        <f>SUM('3 pr-2'!AA65)</f>
        <v>299540.84999999998</v>
      </c>
      <c r="AF64" s="1426">
        <f ca="1">SUMIF('sutarčių ataskaita'!$J$19:$J$2600,C64,'sutarčių ataskaita'!$DF$19:$DF$600)</f>
        <v>299540.84999999998</v>
      </c>
      <c r="AG64" s="1429">
        <f t="shared" ca="1" si="97"/>
        <v>0</v>
      </c>
      <c r="AH64" s="1430">
        <f t="shared" ca="1" si="98"/>
        <v>0</v>
      </c>
      <c r="AI64" s="1296">
        <f>SUM('3 pr-2'!AB65)</f>
        <v>0</v>
      </c>
      <c r="AJ64" s="1426">
        <v>0</v>
      </c>
    </row>
    <row r="65" spans="1:36" ht="37.5" thickBot="1" x14ac:dyDescent="0.3">
      <c r="A65" s="366" t="str">
        <f>CONCATENATE('3 pr-2'!A66)</f>
        <v>1.1.1.8.4</v>
      </c>
      <c r="B65" s="182" t="str">
        <f>CONCATENATE('3 pr-2'!B66)</f>
        <v>R01-3305-330200-1184</v>
      </c>
      <c r="C65" s="652" t="str">
        <f>IF('ketv. 4 '!X66&gt;0,'ketv. 4 '!C66,"-")</f>
        <v>07.1.1-CPVA-R-305-11-0004</v>
      </c>
      <c r="D65" s="366" t="str">
        <f>CONCATENATE('3 pr-2'!D66)</f>
        <v>Pastato rekonstrukcija ir pritaikymas kultūrinėms, muziejinėms ir edukacinėms reikmėms</v>
      </c>
      <c r="E65" s="366" t="str">
        <f>CONCATENATE('3 pr-2'!E66)</f>
        <v>Lazdijų rajono savivaldybės administracija</v>
      </c>
      <c r="F65" s="366" t="str">
        <f>CONCATENATE('3 pr-2'!F66)</f>
        <v>Lietuvos Respublikos kultūros ministerija</v>
      </c>
      <c r="G65" s="366" t="str">
        <f>CONCATENATE('3 pr-2'!G66)</f>
        <v>Lazdijų r. sav.</v>
      </c>
      <c r="H65" s="366" t="str">
        <f>CONCATENATE('3 pr-2'!H66)</f>
        <v>07.1.1-CPVA-R-305</v>
      </c>
      <c r="I65" s="366" t="str">
        <f>CONCATENATE('3 pr-2'!I66)</f>
        <v>R</v>
      </c>
      <c r="J65" s="366" t="str">
        <f>CONCATENATE('3 pr-2'!J66)</f>
        <v>ITI</v>
      </c>
      <c r="K65" s="1432">
        <f>SUM('3 pr-2'!L66)</f>
        <v>484769.35</v>
      </c>
      <c r="L65" s="1426">
        <f t="shared" ca="1" si="89"/>
        <v>484769.35</v>
      </c>
      <c r="M65" s="1432">
        <f t="shared" ca="1" si="0"/>
        <v>0</v>
      </c>
      <c r="N65" s="1432">
        <f t="shared" ca="1" si="90"/>
        <v>0</v>
      </c>
      <c r="O65" s="1432">
        <f>SUM('3 pr-2'!O66)</f>
        <v>185228.35</v>
      </c>
      <c r="P65" s="1426">
        <f ca="1">SUMIF('sutarčių ataskaita'!$J$19:$J$2600,C65,'sutarčių ataskaita'!$DK$19:$DK$600)</f>
        <v>185228.35</v>
      </c>
      <c r="Q65" s="1432">
        <f t="shared" ca="1" si="2"/>
        <v>0</v>
      </c>
      <c r="R65" s="1432">
        <f t="shared" ca="1" si="91"/>
        <v>0</v>
      </c>
      <c r="S65" s="1432">
        <f>SUM('3 pr-2'!R66)</f>
        <v>0</v>
      </c>
      <c r="T65" s="1432">
        <f ca="1">SUMIF('sutarčių ataskaita'!$J$19:$J$2600,C65,'sutarčių ataskaita'!$DG$19:$DG$600)</f>
        <v>0</v>
      </c>
      <c r="U65" s="1432">
        <f t="shared" ca="1" si="92"/>
        <v>0</v>
      </c>
      <c r="V65" s="1432">
        <f t="shared" ca="1" si="93"/>
        <v>0</v>
      </c>
      <c r="W65" s="1432">
        <f>SUM('3 pr-2'!U66)</f>
        <v>0</v>
      </c>
      <c r="X65" s="1432">
        <f ca="1">SUMIF('sutarčių ataskaita'!$J$19:$J$2600,C65,'sutarčių ataskaita'!$DM$19:$DM$600)</f>
        <v>0</v>
      </c>
      <c r="Y65" s="1432">
        <f t="shared" ca="1" si="94"/>
        <v>0</v>
      </c>
      <c r="Z65" s="1432">
        <f t="shared" ca="1" si="95"/>
        <v>0</v>
      </c>
      <c r="AA65" s="1432">
        <f>SUM('3 pr-2'!X66)</f>
        <v>0</v>
      </c>
      <c r="AB65" s="1432">
        <f ca="1">SUMIF('sutarčių ataskaita'!$J$19:$J$2600,C65,'sutarčių ataskaita'!$DL$19:$DL$600)+SUMIF('sutarčių ataskaita'!$J$19:$J$2600,C65,'sutarčių ataskaita'!$DJ$19:$DJ$600)</f>
        <v>0</v>
      </c>
      <c r="AC65" s="1432">
        <f ca="1">SUM(AA65-AB65)</f>
        <v>0</v>
      </c>
      <c r="AD65" s="1432">
        <f t="shared" ca="1" si="96"/>
        <v>0</v>
      </c>
      <c r="AE65" s="1432">
        <f>SUM('3 pr-2'!AA66)</f>
        <v>299541</v>
      </c>
      <c r="AF65" s="1426">
        <f ca="1">SUMIF('sutarčių ataskaita'!$J$19:$J$2600,C65,'sutarčių ataskaita'!$DF$19:$DF$600)</f>
        <v>299541</v>
      </c>
      <c r="AG65" s="1429">
        <f t="shared" ca="1" si="97"/>
        <v>0</v>
      </c>
      <c r="AH65" s="1430">
        <f t="shared" ca="1" si="98"/>
        <v>0</v>
      </c>
      <c r="AI65" s="1296">
        <f>SUM('3 pr-2'!AB66)</f>
        <v>0</v>
      </c>
      <c r="AJ65" s="1426">
        <v>0</v>
      </c>
    </row>
    <row r="66" spans="1:36" ht="38.25" customHeight="1" thickBot="1" x14ac:dyDescent="0.3">
      <c r="A66" s="326" t="str">
        <f>CONCATENATE('3 pr-2'!A67)</f>
        <v>1.1.1.9</v>
      </c>
      <c r="B66" s="2025" t="str">
        <f>CONCATENATE('3 pr-2'!B67)</f>
        <v>Priemonė:
Aktualizuoti savivaldybių kultūros paveldo objektus</v>
      </c>
      <c r="C66" s="2026"/>
      <c r="D66" s="2026"/>
      <c r="E66" s="2026"/>
      <c r="F66" s="2026"/>
      <c r="G66" s="2026"/>
      <c r="H66" s="2026"/>
      <c r="I66" s="2026"/>
      <c r="J66" s="2027"/>
      <c r="K66" s="1293">
        <f>SUM('3 pr-2'!L67)</f>
        <v>1487190.57</v>
      </c>
      <c r="L66" s="1293">
        <f ca="1">SUM(L67:L71)</f>
        <v>1189255.1300000001</v>
      </c>
      <c r="M66" s="1422">
        <f ca="1">SUM(M67:M71)</f>
        <v>297935.44</v>
      </c>
      <c r="N66" s="1423">
        <f ca="1">SUM(N67:N71)</f>
        <v>37813.440000000002</v>
      </c>
      <c r="O66" s="1293">
        <f>SUM('3 pr-2'!O67)</f>
        <v>456910.57</v>
      </c>
      <c r="P66" s="1293">
        <f ca="1">SUM(P67:P71)</f>
        <v>397172.41000000003</v>
      </c>
      <c r="Q66" s="1293">
        <f ca="1">SUM(Q67:Q71)</f>
        <v>59738.16</v>
      </c>
      <c r="R66" s="1293">
        <f ca="1">SUM(R67:R71)</f>
        <v>5672.16</v>
      </c>
      <c r="S66" s="1293">
        <f>SUM('3 pr-2'!R67)</f>
        <v>0</v>
      </c>
      <c r="T66" s="1293">
        <f ca="1">SUM(T67:T71)</f>
        <v>0</v>
      </c>
      <c r="U66" s="1293">
        <f ca="1">SUM(U67:U71)</f>
        <v>0</v>
      </c>
      <c r="V66" s="1293">
        <f ca="1">SUM(V67:V71)</f>
        <v>0</v>
      </c>
      <c r="W66" s="1293">
        <f>SUM('3 pr-2'!U67)</f>
        <v>0</v>
      </c>
      <c r="X66" s="1293">
        <f ca="1">SUM(X67:X71)</f>
        <v>0</v>
      </c>
      <c r="Y66" s="1293">
        <f ca="1">SUM(Y67:Y71)</f>
        <v>0</v>
      </c>
      <c r="Z66" s="1293">
        <f ca="1">SUM(Z67:Z71)</f>
        <v>0</v>
      </c>
      <c r="AA66" s="1293">
        <f>SUM('3 pr-2'!X67)</f>
        <v>0</v>
      </c>
      <c r="AB66" s="1293">
        <f ca="1">SUM(AB67:AB71)</f>
        <v>0</v>
      </c>
      <c r="AC66" s="1293">
        <f ca="1">SUM(AC67:AC71)</f>
        <v>0</v>
      </c>
      <c r="AD66" s="1293">
        <f ca="1">SUM(AD67:AD71)</f>
        <v>0</v>
      </c>
      <c r="AE66" s="1293">
        <f>SUM('3 pr-2'!AA67)</f>
        <v>1030280</v>
      </c>
      <c r="AF66" s="1293">
        <f ca="1">SUM(AF67:AF71)</f>
        <v>792082.72</v>
      </c>
      <c r="AG66" s="1442">
        <f ca="1">SUM(AG67:AG71)</f>
        <v>238197.28</v>
      </c>
      <c r="AH66" s="1443">
        <f ca="1">SUM(AH67:AH71)</f>
        <v>32141.279999999999</v>
      </c>
      <c r="AI66" s="1293">
        <f t="shared" ref="AI66:AJ66" si="99">SUM(AI67:AI71)</f>
        <v>0</v>
      </c>
      <c r="AJ66" s="1293">
        <f t="shared" si="99"/>
        <v>0</v>
      </c>
    </row>
    <row r="67" spans="1:36" ht="36.75" x14ac:dyDescent="0.25">
      <c r="A67" s="366" t="str">
        <f>CONCATENATE('3 pr-2'!A68)</f>
        <v>1.1.1.9.1</v>
      </c>
      <c r="B67" s="182" t="str">
        <f>CONCATENATE('3 pr-2'!B68)</f>
        <v>R01-3302-440000-1191</v>
      </c>
      <c r="C67" s="652" t="str">
        <f>IF('ketv. 4 '!X68&gt;0,'ketv. 4 '!C68,"-")</f>
        <v>05.4.1-CPVA-R-302-11-0003</v>
      </c>
      <c r="D67" s="366" t="str">
        <f>CONCATENATE('3 pr-2'!D68)</f>
        <v>Buvusios sinagogos pastato Kauno g. 9A Alytuje rekonstravimas ir aplinkinės teritorijos sutvarkymas</v>
      </c>
      <c r="E67" s="366" t="str">
        <f>CONCATENATE('3 pr-2'!E68)</f>
        <v>Alytaus miesto savivaldybės administracija</v>
      </c>
      <c r="F67" s="366" t="str">
        <f>CONCATENATE('3 pr-2'!F68)</f>
        <v>Lietuvos Respublikos kultūros ministerija</v>
      </c>
      <c r="G67" s="366" t="str">
        <f>CONCATENATE('3 pr-2'!G68)</f>
        <v>Alytaus m. sav.</v>
      </c>
      <c r="H67" s="366" t="str">
        <f>CONCATENATE('3 pr-2'!H68)</f>
        <v>05.4.1-CPVA-R-302</v>
      </c>
      <c r="I67" s="366" t="str">
        <f>CONCATENATE('3 pr-2'!I68)</f>
        <v>R</v>
      </c>
      <c r="J67" s="366" t="str">
        <f>CONCATENATE('3 pr-2'!J68)</f>
        <v>ITI</v>
      </c>
      <c r="K67" s="1432">
        <f>SUM('3 pr-2'!L68)</f>
        <v>444560.16000000003</v>
      </c>
      <c r="L67" s="1426">
        <f t="shared" ref="L67:L71" ca="1" si="100">SUM(P67+T67+X67+AB67+AF67+AJ67)</f>
        <v>444560.16000000003</v>
      </c>
      <c r="M67" s="1432">
        <f t="shared" ca="1" si="0"/>
        <v>0</v>
      </c>
      <c r="N67" s="1432">
        <f t="shared" ref="N67:N71" ca="1" si="101">IF(L67&gt;0,K67-L67,0)</f>
        <v>0</v>
      </c>
      <c r="O67" s="1432">
        <f>SUM('3 pr-2'!O68)</f>
        <v>238504.16</v>
      </c>
      <c r="P67" s="1426">
        <f ca="1">SUMIF('sutarčių ataskaita'!$J$19:$J$2600,C67,'sutarčių ataskaita'!$DK$19:$DK$600)</f>
        <v>238504.16</v>
      </c>
      <c r="Q67" s="1432">
        <f t="shared" ca="1" si="2"/>
        <v>0</v>
      </c>
      <c r="R67" s="1432">
        <f t="shared" ref="R67:R71" ca="1" si="102">IF(P67&gt;0,O67-P67,0)</f>
        <v>0</v>
      </c>
      <c r="S67" s="1432">
        <f>SUM('3 pr-2'!R68)</f>
        <v>0</v>
      </c>
      <c r="T67" s="1432">
        <f ca="1">SUMIF('sutarčių ataskaita'!$J$19:$J$2600,C67,'sutarčių ataskaita'!$DG$19:$DG$600)</f>
        <v>0</v>
      </c>
      <c r="U67" s="1432">
        <f t="shared" ref="U67:U71" ca="1" si="103">SUM(S67-T67)</f>
        <v>0</v>
      </c>
      <c r="V67" s="1432">
        <f t="shared" ref="V67:V71" ca="1" si="104">IF(T67&gt;0,S67-T67,0)</f>
        <v>0</v>
      </c>
      <c r="W67" s="1432">
        <f>SUM('3 pr-2'!U68)</f>
        <v>0</v>
      </c>
      <c r="X67" s="1296">
        <f ca="1">SUMIF('sutarčių ataskaita'!$J$19:$J$2600,C67,'sutarčių ataskaita'!$DM$19:$DM$600)</f>
        <v>0</v>
      </c>
      <c r="Y67" s="1432">
        <f t="shared" ref="Y67:Y71" ca="1" si="105">SUM(W67-X67)</f>
        <v>0</v>
      </c>
      <c r="Z67" s="1432">
        <f t="shared" ref="Z67:Z71" ca="1" si="106">IF(X67&gt;0,W67-X67,0)</f>
        <v>0</v>
      </c>
      <c r="AA67" s="1432">
        <f>SUM('3 pr-2'!X68)</f>
        <v>0</v>
      </c>
      <c r="AB67" s="1432">
        <f ca="1">SUMIF('sutarčių ataskaita'!$J$19:$J$2600,C67,'sutarčių ataskaita'!$DL$19:$DL$600)+SUMIF('sutarčių ataskaita'!$J$19:$J$2600,C67,'sutarčių ataskaita'!$DJ$19:$DJ$600)</f>
        <v>0</v>
      </c>
      <c r="AC67" s="1432">
        <f ca="1">SUM(AA67-AB67)</f>
        <v>0</v>
      </c>
      <c r="AD67" s="1432">
        <f t="shared" ref="AD67:AD71" ca="1" si="107">IF(AB67&gt;0,AA67-AB67,0)</f>
        <v>0</v>
      </c>
      <c r="AE67" s="1432">
        <f>SUM('3 pr-2'!AA68)</f>
        <v>206056</v>
      </c>
      <c r="AF67" s="1426">
        <f ca="1">SUMIF('sutarčių ataskaita'!$J$19:$J$2600,C67,'sutarčių ataskaita'!$DF$19:$DF$600)</f>
        <v>206056</v>
      </c>
      <c r="AG67" s="1429">
        <f t="shared" ref="AG67:AG71" ca="1" si="108">SUM(AE67-AF67)</f>
        <v>0</v>
      </c>
      <c r="AH67" s="1430">
        <f t="shared" ref="AH67:AH71" ca="1" si="109">IF(AF67&gt;0,AE67-AF67,0)</f>
        <v>0</v>
      </c>
      <c r="AI67" s="1296">
        <f>SUM('3 pr-2'!AB68)</f>
        <v>0</v>
      </c>
      <c r="AJ67" s="1426">
        <v>0</v>
      </c>
    </row>
    <row r="68" spans="1:36" ht="36.75" x14ac:dyDescent="0.25">
      <c r="A68" s="366" t="str">
        <f>CONCATENATE('3 pr-2'!A69)</f>
        <v>1.1.1.9.2</v>
      </c>
      <c r="B68" s="182" t="str">
        <f>CONCATENATE('3 pr-2'!B69)</f>
        <v>R01-3302-440000-1192</v>
      </c>
      <c r="C68" s="652" t="str">
        <f>IF('ketv. 4 '!X69&gt;0,'ketv. 4 '!C69,"-")</f>
        <v>05.4.1-CPVA-R-302-11-0002</v>
      </c>
      <c r="D68" s="366" t="str">
        <f>CONCATENATE('3 pr-2'!D69)</f>
        <v>Mažosios dailės galerijos, M.K.Čiurlionio g. 37, Druskininkai, modernizavimas ir pritaikymas kultūros poreikiams</v>
      </c>
      <c r="E68" s="366" t="str">
        <f>CONCATENATE('3 pr-2'!E69)</f>
        <v xml:space="preserve">Druskininkų savivaldybės administracija  </v>
      </c>
      <c r="F68" s="366" t="str">
        <f>CONCATENATE('3 pr-2'!F69)</f>
        <v>Lietuvos Respublikos kultūros ministerija</v>
      </c>
      <c r="G68" s="366" t="str">
        <f>CONCATENATE('3 pr-2'!G69)</f>
        <v>Druskininkų sav.</v>
      </c>
      <c r="H68" s="366" t="str">
        <f>CONCATENATE('3 pr-2'!H69)</f>
        <v>05.4.1-CPVA-R-302</v>
      </c>
      <c r="I68" s="366" t="str">
        <f>CONCATENATE('3 pr-2'!I69)</f>
        <v>R</v>
      </c>
      <c r="J68" s="366" t="str">
        <f>CONCATENATE('3 pr-2'!J69)</f>
        <v>-</v>
      </c>
      <c r="K68" s="1432">
        <f>SUM('3 pr-2'!L69)</f>
        <v>297670.41000000003</v>
      </c>
      <c r="L68" s="1426">
        <f t="shared" ca="1" si="100"/>
        <v>297670.41000000003</v>
      </c>
      <c r="M68" s="1432">
        <f t="shared" ca="1" si="0"/>
        <v>0</v>
      </c>
      <c r="N68" s="1432">
        <f t="shared" ca="1" si="101"/>
        <v>0</v>
      </c>
      <c r="O68" s="1432">
        <f>SUM('3 pr-2'!O69)</f>
        <v>91614.41</v>
      </c>
      <c r="P68" s="1426">
        <f ca="1">SUMIF('sutarčių ataskaita'!$J$19:$J$2600,C68,'sutarčių ataskaita'!$DK$19:$DK$600)</f>
        <v>91614.41</v>
      </c>
      <c r="Q68" s="1432">
        <f t="shared" ca="1" si="2"/>
        <v>0</v>
      </c>
      <c r="R68" s="1432">
        <f t="shared" ca="1" si="102"/>
        <v>0</v>
      </c>
      <c r="S68" s="1432">
        <f>SUM('3 pr-2'!R69)</f>
        <v>0</v>
      </c>
      <c r="T68" s="1432">
        <f ca="1">SUMIF('sutarčių ataskaita'!$J$19:$J$2600,C68,'sutarčių ataskaita'!$DG$19:$DG$600)</f>
        <v>0</v>
      </c>
      <c r="U68" s="1432">
        <f t="shared" ca="1" si="103"/>
        <v>0</v>
      </c>
      <c r="V68" s="1432">
        <f t="shared" ca="1" si="104"/>
        <v>0</v>
      </c>
      <c r="W68" s="1432">
        <f>SUM('3 pr-2'!U69)</f>
        <v>0</v>
      </c>
      <c r="X68" s="1296">
        <f ca="1">SUMIF('sutarčių ataskaita'!$J$19:$J$2600,C68,'sutarčių ataskaita'!$DM$19:$DM$600)</f>
        <v>0</v>
      </c>
      <c r="Y68" s="1432">
        <f t="shared" ca="1" si="105"/>
        <v>0</v>
      </c>
      <c r="Z68" s="1432">
        <f t="shared" ca="1" si="106"/>
        <v>0</v>
      </c>
      <c r="AA68" s="1432">
        <f>SUM('3 pr-2'!X69)</f>
        <v>0</v>
      </c>
      <c r="AB68" s="1432">
        <f ca="1">SUMIF('sutarčių ataskaita'!$J$19:$J$2600,C68,'sutarčių ataskaita'!$DL$19:$DL$600)+SUMIF('sutarčių ataskaita'!$J$19:$J$2600,C68,'sutarčių ataskaita'!$DJ$19:$DJ$600)</f>
        <v>0</v>
      </c>
      <c r="AC68" s="1432">
        <f ca="1">SUM(AA68-AB68)</f>
        <v>0</v>
      </c>
      <c r="AD68" s="1432">
        <f t="shared" ca="1" si="107"/>
        <v>0</v>
      </c>
      <c r="AE68" s="1432">
        <f>SUM('3 pr-2'!AA69)</f>
        <v>206056</v>
      </c>
      <c r="AF68" s="1426">
        <f ca="1">SUMIF('sutarčių ataskaita'!$J$19:$J$2600,C68,'sutarčių ataskaita'!$DF$19:$DF$600)</f>
        <v>206056</v>
      </c>
      <c r="AG68" s="1429">
        <f t="shared" ca="1" si="108"/>
        <v>0</v>
      </c>
      <c r="AH68" s="1430">
        <f t="shared" ca="1" si="109"/>
        <v>0</v>
      </c>
      <c r="AI68" s="1296">
        <f>SUM('3 pr-2'!AB69)</f>
        <v>0</v>
      </c>
      <c r="AJ68" s="1426">
        <v>0</v>
      </c>
    </row>
    <row r="69" spans="1:36" ht="36.75" x14ac:dyDescent="0.25">
      <c r="A69" s="366" t="str">
        <f>CONCATENATE('3 pr-2'!A70)</f>
        <v>1.1.1.9.3</v>
      </c>
      <c r="B69" s="182" t="str">
        <f>CONCATENATE('3 pr-2'!B70)</f>
        <v>R01-3302-440200-1193</v>
      </c>
      <c r="C69" s="652" t="str">
        <f>IF('ketv. 4 '!X70&gt;0,'ketv. 4 '!C70,"-")</f>
        <v>05.4.1-CPVA-R-302-11-0001</v>
      </c>
      <c r="D69" s="366" t="str">
        <f>CONCATENATE('3 pr-2'!D70)</f>
        <v>Motiejaus  Gustaičio  memorialinio  namo  kompleksinis sutvarkymas</v>
      </c>
      <c r="E69" s="366" t="str">
        <f>CONCATENATE('3 pr-2'!E70)</f>
        <v>Lazdijų rajono savivaldybės administracija</v>
      </c>
      <c r="F69" s="366" t="str">
        <f>CONCATENATE('3 pr-2'!F70)</f>
        <v>Lietuvos Respublikos kultūros ministerija</v>
      </c>
      <c r="G69" s="366" t="str">
        <f>CONCATENATE('3 pr-2'!G70)</f>
        <v>Lazdijų r. sav.</v>
      </c>
      <c r="H69" s="366" t="str">
        <f>CONCATENATE('3 pr-2'!H70)</f>
        <v>05.4.1-CPVA-R-302</v>
      </c>
      <c r="I69" s="366" t="str">
        <f>CONCATENATE('3 pr-2'!I70)</f>
        <v>R</v>
      </c>
      <c r="J69" s="366" t="str">
        <f>CONCATENATE('3 pr-2'!J70)</f>
        <v>ITI</v>
      </c>
      <c r="K69" s="1432">
        <f>SUM('3 pr-2'!L70)</f>
        <v>242419</v>
      </c>
      <c r="L69" s="1426">
        <f t="shared" ca="1" si="100"/>
        <v>242419</v>
      </c>
      <c r="M69" s="1432">
        <f t="shared" ca="1" si="0"/>
        <v>0</v>
      </c>
      <c r="N69" s="1432">
        <f t="shared" ca="1" si="101"/>
        <v>0</v>
      </c>
      <c r="O69" s="1432">
        <f>SUM('3 pr-2'!O70)</f>
        <v>36363</v>
      </c>
      <c r="P69" s="1426">
        <f ca="1">SUMIF('sutarčių ataskaita'!$J$19:$J$2600,C69,'sutarčių ataskaita'!$DK$19:$DK$600)</f>
        <v>36363</v>
      </c>
      <c r="Q69" s="1432">
        <f t="shared" ca="1" si="2"/>
        <v>0</v>
      </c>
      <c r="R69" s="1432">
        <f t="shared" ca="1" si="102"/>
        <v>0</v>
      </c>
      <c r="S69" s="1432">
        <f>SUM('3 pr-2'!R70)</f>
        <v>0</v>
      </c>
      <c r="T69" s="1432">
        <f ca="1">SUMIF('sutarčių ataskaita'!$J$19:$J$2600,C69,'sutarčių ataskaita'!$DG$19:$DG$600)</f>
        <v>0</v>
      </c>
      <c r="U69" s="1432">
        <f t="shared" ca="1" si="103"/>
        <v>0</v>
      </c>
      <c r="V69" s="1432">
        <f t="shared" ca="1" si="104"/>
        <v>0</v>
      </c>
      <c r="W69" s="1432">
        <f>SUM('3 pr-2'!U70)</f>
        <v>0</v>
      </c>
      <c r="X69" s="1296">
        <f ca="1">SUMIF('sutarčių ataskaita'!$J$19:$J$2600,C69,'sutarčių ataskaita'!$DM$19:$DM$600)</f>
        <v>0</v>
      </c>
      <c r="Y69" s="1432">
        <f t="shared" ca="1" si="105"/>
        <v>0</v>
      </c>
      <c r="Z69" s="1432">
        <f t="shared" ca="1" si="106"/>
        <v>0</v>
      </c>
      <c r="AA69" s="1432">
        <f>SUM('3 pr-2'!X70)</f>
        <v>0</v>
      </c>
      <c r="AB69" s="1432">
        <f ca="1">SUMIF('sutarčių ataskaita'!$J$19:$J$2600,C69,'sutarčių ataskaita'!$DL$19:$DL$600)+SUMIF('sutarčių ataskaita'!$J$19:$J$2600,C69,'sutarčių ataskaita'!$DJ$19:$DJ$600)</f>
        <v>0</v>
      </c>
      <c r="AC69" s="1432">
        <f ca="1">SUM(AA69-AB69)</f>
        <v>0</v>
      </c>
      <c r="AD69" s="1432">
        <f t="shared" ca="1" si="107"/>
        <v>0</v>
      </c>
      <c r="AE69" s="1432">
        <f>SUM('3 pr-2'!AA70)</f>
        <v>206056</v>
      </c>
      <c r="AF69" s="1426">
        <f ca="1">SUMIF('sutarčių ataskaita'!$J$19:$J$2600,C69,'sutarčių ataskaita'!$DF$19:$DF$600)</f>
        <v>206056</v>
      </c>
      <c r="AG69" s="1429">
        <f t="shared" ca="1" si="108"/>
        <v>0</v>
      </c>
      <c r="AH69" s="1430">
        <f t="shared" ca="1" si="109"/>
        <v>0</v>
      </c>
      <c r="AI69" s="1296">
        <f>SUM('3 pr-2'!AB70)</f>
        <v>0</v>
      </c>
      <c r="AJ69" s="1426">
        <v>0</v>
      </c>
    </row>
    <row r="70" spans="1:36" ht="36.75" x14ac:dyDescent="0.25">
      <c r="A70" s="366" t="str">
        <f>CONCATENATE('3 pr-2'!A71)</f>
        <v>1.1.1.9.4</v>
      </c>
      <c r="B70" s="182" t="str">
        <f>CONCATENATE('3 pr-2'!B71)</f>
        <v>R01-3302-440000-1194</v>
      </c>
      <c r="C70" s="652" t="str">
        <f>IF('ketv. 4 '!X71&gt;0,'ketv. 4 '!C71,"-")</f>
        <v>-</v>
      </c>
      <c r="D70" s="366" t="str">
        <f>CONCATENATE('3 pr-2'!D71)</f>
        <v>Kurnėnų Lauryno Radziukyno mokyklos pritaikymas kultūrinėms ir turistinėms reikmėms</v>
      </c>
      <c r="E70" s="366" t="str">
        <f>CONCATENATE('3 pr-2'!E71)</f>
        <v>Alytaus rajono savivaldybės administracija</v>
      </c>
      <c r="F70" s="366" t="str">
        <f>CONCATENATE('3 pr-2'!F71)</f>
        <v>Lietuvos Respublikos kultūros ministerija</v>
      </c>
      <c r="G70" s="366" t="str">
        <f>CONCATENATE('3 pr-2'!G71)</f>
        <v>Alytaus r. sav.</v>
      </c>
      <c r="H70" s="366" t="str">
        <f>CONCATENATE('3 pr-2'!H71)</f>
        <v>05.4.1-CPVA-R-302</v>
      </c>
      <c r="I70" s="366" t="str">
        <f>CONCATENATE('3 pr-2'!I71)</f>
        <v>R</v>
      </c>
      <c r="J70" s="366" t="str">
        <f>CONCATENATE('3 pr-2'!J71)</f>
        <v>-</v>
      </c>
      <c r="K70" s="1432">
        <f>SUM('3 pr-2'!L71)</f>
        <v>260122</v>
      </c>
      <c r="L70" s="1432">
        <f t="shared" ca="1" si="100"/>
        <v>0</v>
      </c>
      <c r="M70" s="1432">
        <f t="shared" ca="1" si="0"/>
        <v>260122</v>
      </c>
      <c r="N70" s="1432">
        <f t="shared" ca="1" si="101"/>
        <v>0</v>
      </c>
      <c r="O70" s="1432">
        <f>SUM('3 pr-2'!O71)</f>
        <v>54066</v>
      </c>
      <c r="P70" s="1432">
        <f ca="1">SUMIF('sutarčių ataskaita'!$J$19:$J$2600,C70,'sutarčių ataskaita'!$DK$19:$DK$600)</f>
        <v>0</v>
      </c>
      <c r="Q70" s="1432">
        <f t="shared" ca="1" si="2"/>
        <v>54066</v>
      </c>
      <c r="R70" s="1432">
        <f t="shared" ca="1" si="102"/>
        <v>0</v>
      </c>
      <c r="S70" s="1432">
        <f>SUM('3 pr-2'!R71)</f>
        <v>0</v>
      </c>
      <c r="T70" s="1432">
        <f ca="1">SUMIF('sutarčių ataskaita'!$J$19:$J$2600,C70,'sutarčių ataskaita'!$DG$19:$DG$600)</f>
        <v>0</v>
      </c>
      <c r="U70" s="1432">
        <f t="shared" ca="1" si="103"/>
        <v>0</v>
      </c>
      <c r="V70" s="1432">
        <f t="shared" ca="1" si="104"/>
        <v>0</v>
      </c>
      <c r="W70" s="1432">
        <f>SUM('3 pr-2'!U71)</f>
        <v>0</v>
      </c>
      <c r="X70" s="1296">
        <f ca="1">SUMIF('sutarčių ataskaita'!$J$19:$J$2600,C70,'sutarčių ataskaita'!$DM$19:$DM$600)</f>
        <v>0</v>
      </c>
      <c r="Y70" s="1432">
        <f t="shared" ca="1" si="105"/>
        <v>0</v>
      </c>
      <c r="Z70" s="1432">
        <f t="shared" ca="1" si="106"/>
        <v>0</v>
      </c>
      <c r="AA70" s="1432">
        <f>SUM('3 pr-2'!X71)</f>
        <v>0</v>
      </c>
      <c r="AB70" s="1432">
        <f ca="1">SUMIF('sutarčių ataskaita'!$J$19:$J$2600,C70,'sutarčių ataskaita'!$DL$19:$DL$600)+SUMIF('sutarčių ataskaita'!$J$19:$J$2600,C70,'sutarčių ataskaita'!$DJ$19:$DJ$600)</f>
        <v>0</v>
      </c>
      <c r="AC70" s="1432">
        <f ca="1">SUM(AA70-AB70)</f>
        <v>0</v>
      </c>
      <c r="AD70" s="1432">
        <f t="shared" ca="1" si="107"/>
        <v>0</v>
      </c>
      <c r="AE70" s="1432">
        <f>SUM('3 pr-2'!AA71)</f>
        <v>206056</v>
      </c>
      <c r="AF70" s="1432">
        <f ca="1">SUMIF('sutarčių ataskaita'!$J$19:$J$2600,C70,'sutarčių ataskaita'!$DF$19:$DF$600)</f>
        <v>0</v>
      </c>
      <c r="AG70" s="1429">
        <f t="shared" ca="1" si="108"/>
        <v>206056</v>
      </c>
      <c r="AH70" s="1430">
        <f t="shared" ca="1" si="109"/>
        <v>0</v>
      </c>
      <c r="AI70" s="1296">
        <f>SUM('3 pr-2'!AB71)</f>
        <v>0</v>
      </c>
      <c r="AJ70" s="1432"/>
    </row>
    <row r="71" spans="1:36" ht="37.5" thickBot="1" x14ac:dyDescent="0.3">
      <c r="A71" s="366" t="str">
        <f>CONCATENATE('3 pr-2'!A72)</f>
        <v>1.1.1.9.5</v>
      </c>
      <c r="B71" s="182" t="str">
        <f>CONCATENATE('3 pr-2'!B72)</f>
        <v>R01-3302-440000-1195</v>
      </c>
      <c r="C71" s="652" t="str">
        <f>IF('ketv. 4 '!X72&gt;0,'ketv. 4 '!C72,"-")</f>
        <v>05.4.1-CPVA-R-302-11-0005</v>
      </c>
      <c r="D71" s="366" t="str">
        <f>CONCATENATE('3 pr-2'!D72)</f>
        <v>Vinco Krėvės-Mickevičiaus memorialinio muziejaus atnaujinimas</v>
      </c>
      <c r="E71" s="366" t="str">
        <f>CONCATENATE('3 pr-2'!E72)</f>
        <v>Varėnos rajono savivaldybės administracija</v>
      </c>
      <c r="F71" s="366" t="str">
        <f>CONCATENATE('3 pr-2'!F72)</f>
        <v>Lietuvos Respublikos kultūros ministerija</v>
      </c>
      <c r="G71" s="366" t="str">
        <f>CONCATENATE('3 pr-2'!G72)</f>
        <v>Varėnos r. sav.</v>
      </c>
      <c r="H71" s="366" t="str">
        <f>CONCATENATE('3 pr-2'!H72)</f>
        <v>05.4.1-CPVA-R-302</v>
      </c>
      <c r="I71" s="366" t="str">
        <f>CONCATENATE('3 pr-2'!I72)</f>
        <v>R</v>
      </c>
      <c r="J71" s="366" t="str">
        <f>CONCATENATE('3 pr-2'!J72)</f>
        <v>-</v>
      </c>
      <c r="K71" s="1432">
        <f>SUM('3 pr-2'!L72)</f>
        <v>242419</v>
      </c>
      <c r="L71" s="1426">
        <f t="shared" ca="1" si="100"/>
        <v>204605.56</v>
      </c>
      <c r="M71" s="1432">
        <f t="shared" ca="1" si="0"/>
        <v>37813.440000000002</v>
      </c>
      <c r="N71" s="1432">
        <f t="shared" ca="1" si="101"/>
        <v>37813.440000000002</v>
      </c>
      <c r="O71" s="1432">
        <f>SUM('3 pr-2'!O72)</f>
        <v>36363</v>
      </c>
      <c r="P71" s="1426">
        <f ca="1">SUMIF('sutarčių ataskaita'!$J$19:$J$2600,C71,'sutarčių ataskaita'!$DK$19:$DK$600)</f>
        <v>30690.84</v>
      </c>
      <c r="Q71" s="1432">
        <f t="shared" ca="1" si="2"/>
        <v>5672.16</v>
      </c>
      <c r="R71" s="1432">
        <f t="shared" ca="1" si="102"/>
        <v>5672.16</v>
      </c>
      <c r="S71" s="1432">
        <f>SUM('3 pr-2'!R72)</f>
        <v>0</v>
      </c>
      <c r="T71" s="1432">
        <f ca="1">SUMIF('sutarčių ataskaita'!$J$19:$J$2600,C71,'sutarčių ataskaita'!$DG$19:$DG$600)</f>
        <v>0</v>
      </c>
      <c r="U71" s="1432">
        <f t="shared" ca="1" si="103"/>
        <v>0</v>
      </c>
      <c r="V71" s="1432">
        <f t="shared" ca="1" si="104"/>
        <v>0</v>
      </c>
      <c r="W71" s="1432">
        <f>SUM('3 pr-2'!U72)</f>
        <v>0</v>
      </c>
      <c r="X71" s="1296">
        <f ca="1">SUMIF('sutarčių ataskaita'!$J$19:$J$2600,C71,'sutarčių ataskaita'!$DM$19:$DM$600)</f>
        <v>0</v>
      </c>
      <c r="Y71" s="1432">
        <f t="shared" ca="1" si="105"/>
        <v>0</v>
      </c>
      <c r="Z71" s="1432">
        <f t="shared" ca="1" si="106"/>
        <v>0</v>
      </c>
      <c r="AA71" s="1432">
        <f>SUM('3 pr-2'!X72)</f>
        <v>0</v>
      </c>
      <c r="AB71" s="1432">
        <f ca="1">SUMIF('sutarčių ataskaita'!$J$19:$J$2600,C71,'sutarčių ataskaita'!$DL$19:$DL$600)+SUMIF('sutarčių ataskaita'!$J$19:$J$2600,C71,'sutarčių ataskaita'!$DJ$19:$DJ$600)</f>
        <v>0</v>
      </c>
      <c r="AC71" s="1432">
        <f ca="1">SUM(AA71-AB71)</f>
        <v>0</v>
      </c>
      <c r="AD71" s="1432">
        <f t="shared" ca="1" si="107"/>
        <v>0</v>
      </c>
      <c r="AE71" s="1432">
        <f>SUM('3 pr-2'!AA72)</f>
        <v>206056</v>
      </c>
      <c r="AF71" s="1426">
        <f ca="1">SUMIF('sutarčių ataskaita'!$J$19:$J$2600,C71,'sutarčių ataskaita'!$DF$19:$DF$600)</f>
        <v>173914.72</v>
      </c>
      <c r="AG71" s="1429">
        <f t="shared" ca="1" si="108"/>
        <v>32141.279999999999</v>
      </c>
      <c r="AH71" s="1430">
        <f t="shared" ca="1" si="109"/>
        <v>32141.279999999999</v>
      </c>
      <c r="AI71" s="1296">
        <f>SUM('3 pr-2'!AB72)</f>
        <v>0</v>
      </c>
      <c r="AJ71" s="1426">
        <v>0</v>
      </c>
    </row>
    <row r="72" spans="1:36" ht="38.25" customHeight="1" thickBot="1" x14ac:dyDescent="0.3">
      <c r="A72" s="261" t="str">
        <f>CONCATENATE('3 pr-2'!A73)</f>
        <v>1.1.2.</v>
      </c>
      <c r="B72" s="2022" t="str">
        <f>CONCATENATE('3 pr-2'!B73)</f>
        <v>Uždavinys:
Pagerinti darbo jėgos judėjimo galimybes gerinant susisiekimo sistemas</v>
      </c>
      <c r="C72" s="2023"/>
      <c r="D72" s="2023"/>
      <c r="E72" s="2023"/>
      <c r="F72" s="2023"/>
      <c r="G72" s="2023"/>
      <c r="H72" s="2023"/>
      <c r="I72" s="2023"/>
      <c r="J72" s="2024"/>
      <c r="K72" s="1420">
        <f>SUM('3 pr-2'!L73)</f>
        <v>9201751.620000001</v>
      </c>
      <c r="L72" s="1444">
        <f ca="1">SUM(L73+L78+L85+L91)</f>
        <v>3222419.09</v>
      </c>
      <c r="M72" s="1445">
        <f ca="1">SUM(M73+M78+M85+M91)</f>
        <v>5843980.5299999993</v>
      </c>
      <c r="N72" s="1446">
        <f ca="1">SUM(N73+N78+N85+N91)</f>
        <v>519617.44999999995</v>
      </c>
      <c r="O72" s="1420">
        <f>SUM('3 pr-2'!O73)</f>
        <v>2376911.3899999997</v>
      </c>
      <c r="P72" s="1420">
        <f ca="1">SUM(P73+P78+P85+P91)</f>
        <v>459809.1</v>
      </c>
      <c r="Q72" s="1420">
        <f ca="1">SUM(Q73+Q78+Q85+Q91)</f>
        <v>1894739.29</v>
      </c>
      <c r="R72" s="1420">
        <f ca="1">SUM(R73+R78+R85+R91)</f>
        <v>515571.01</v>
      </c>
      <c r="S72" s="1420">
        <f>SUM('3 pr-2'!R73)</f>
        <v>0</v>
      </c>
      <c r="T72" s="1420">
        <f ca="1">SUM(T73+T78+T85+T91)</f>
        <v>0</v>
      </c>
      <c r="U72" s="1420">
        <f ca="1">SUM(U73+U78+U85+U91)</f>
        <v>0</v>
      </c>
      <c r="V72" s="1420">
        <f ca="1">SUM(V73+V78+V85+V91)</f>
        <v>0</v>
      </c>
      <c r="W72" s="1420">
        <f>SUM('3 pr-2'!U73)</f>
        <v>422692</v>
      </c>
      <c r="X72" s="1420">
        <f ca="1">SUM(X73+X78+X85+X91)</f>
        <v>0</v>
      </c>
      <c r="Y72" s="1420">
        <f ca="1">SUM(Y73+Y78+Y85+Y91)</f>
        <v>422692</v>
      </c>
      <c r="Z72" s="1420">
        <f ca="1">SUM(Z73+Z78+Z85+Z91)</f>
        <v>0</v>
      </c>
      <c r="AA72" s="1420">
        <f>SUM('3 pr-2'!X73)</f>
        <v>62660</v>
      </c>
      <c r="AB72" s="1420">
        <f ca="1">SUM(AB73+AB78+AB85+AB91)</f>
        <v>62660</v>
      </c>
      <c r="AC72" s="1420">
        <f ca="1">SUM(AC73+AC78+AC85+AC91)</f>
        <v>0</v>
      </c>
      <c r="AD72" s="1420">
        <f ca="1">SUM(AD73+AD78+AD85+AD91)</f>
        <v>0</v>
      </c>
      <c r="AE72" s="1420">
        <f>SUM('3 pr-2'!AA73)</f>
        <v>6339488.2300000004</v>
      </c>
      <c r="AF72" s="1420">
        <f ca="1">SUM(AF73+AF78+AF85+AF91)</f>
        <v>2699949.99</v>
      </c>
      <c r="AG72" s="1418">
        <f ca="1">SUM(AG73+AG78+AG85+AG91)</f>
        <v>3067549.2399999998</v>
      </c>
      <c r="AH72" s="1419">
        <f ca="1">SUM(AH73+AH78+AH85+AH91)</f>
        <v>4046.4400000000023</v>
      </c>
      <c r="AI72" s="1420">
        <f>SUM(AI73+AI78+AI85+AI91)</f>
        <v>0</v>
      </c>
      <c r="AJ72" s="1420">
        <f>SUM(AJ73+AJ78+AJ85+AJ91)</f>
        <v>0</v>
      </c>
    </row>
    <row r="73" spans="1:36" ht="45" customHeight="1" thickBot="1" x14ac:dyDescent="0.3">
      <c r="A73" s="326" t="str">
        <f>CONCATENATE('3 pr-2'!A74)</f>
        <v>1.1.2.1</v>
      </c>
      <c r="B73" s="2025" t="str">
        <f>CONCATENATE('3 pr-2'!B74)</f>
        <v>Priemonė:
Vietinio susisiekimo viešojo transporto priemonių parko atnaujinimas</v>
      </c>
      <c r="C73" s="2026"/>
      <c r="D73" s="2026"/>
      <c r="E73" s="2026"/>
      <c r="F73" s="2026"/>
      <c r="G73" s="2026"/>
      <c r="H73" s="2026"/>
      <c r="I73" s="2026"/>
      <c r="J73" s="2027"/>
      <c r="K73" s="1293">
        <f>SUM('3 pr-2'!L74)</f>
        <v>1835210</v>
      </c>
      <c r="L73" s="1293">
        <f ca="1">SUM(L74:L77)</f>
        <v>0</v>
      </c>
      <c r="M73" s="1422">
        <f ca="1">SUM(M74:M77)</f>
        <v>1835210</v>
      </c>
      <c r="N73" s="1423">
        <f ca="1">SUM(N74:N77)</f>
        <v>0</v>
      </c>
      <c r="O73" s="1293">
        <f>SUM('3 pr-2'!O74)</f>
        <v>149246</v>
      </c>
      <c r="P73" s="1293">
        <f ca="1">SUM(P74:P77)</f>
        <v>0</v>
      </c>
      <c r="Q73" s="1293">
        <f ca="1">SUM(Q74:Q77)</f>
        <v>149246</v>
      </c>
      <c r="R73" s="1293">
        <f ca="1">SUM(R74:R77)</f>
        <v>0</v>
      </c>
      <c r="S73" s="1293">
        <f>SUM('3 pr-2'!R74)</f>
        <v>0</v>
      </c>
      <c r="T73" s="1293">
        <f ca="1">SUM(T74:T77)</f>
        <v>0</v>
      </c>
      <c r="U73" s="1293">
        <f ca="1">SUM(U74:U77)</f>
        <v>0</v>
      </c>
      <c r="V73" s="1293">
        <f ca="1">SUM(V74:V77)</f>
        <v>0</v>
      </c>
      <c r="W73" s="1293">
        <f>SUM('3 pr-2'!U74)</f>
        <v>422692</v>
      </c>
      <c r="X73" s="1293">
        <f ca="1">SUM(X74:X77)</f>
        <v>0</v>
      </c>
      <c r="Y73" s="1293">
        <f ca="1">SUM(Y74:Y77)</f>
        <v>422692</v>
      </c>
      <c r="Z73" s="1293">
        <f ca="1">SUM(Z74:Z77)</f>
        <v>0</v>
      </c>
      <c r="AA73" s="1293">
        <f>SUM('3 pr-2'!X74)</f>
        <v>0</v>
      </c>
      <c r="AB73" s="1293">
        <f ca="1">SUM(AB74:AB77)</f>
        <v>0</v>
      </c>
      <c r="AC73" s="1293">
        <f ca="1">SUM(AC74:AC77)</f>
        <v>0</v>
      </c>
      <c r="AD73" s="1293">
        <f ca="1">SUM(AD74:AD77)</f>
        <v>0</v>
      </c>
      <c r="AE73" s="1293">
        <f>SUM('3 pr-2'!AA74)</f>
        <v>1263272</v>
      </c>
      <c r="AF73" s="1293">
        <f ca="1">SUM(AF74:AF77)</f>
        <v>0</v>
      </c>
      <c r="AG73" s="1442">
        <f ca="1">SUM(AG74:AG77)</f>
        <v>1263272</v>
      </c>
      <c r="AH73" s="1443">
        <f ca="1">SUM(AH74:AH77)</f>
        <v>0</v>
      </c>
      <c r="AI73" s="1293">
        <f>SUM(AI74:AI77)</f>
        <v>0</v>
      </c>
      <c r="AJ73" s="1293">
        <f>SUM(AJ74:AJ77)</f>
        <v>0</v>
      </c>
    </row>
    <row r="74" spans="1:36" ht="36.75" x14ac:dyDescent="0.25">
      <c r="A74" s="182" t="str">
        <f>CONCATENATE('3 pr-2'!A75)</f>
        <v>1.1.2.1.1</v>
      </c>
      <c r="B74" s="182" t="str">
        <f>CONCATENATE('3 pr-2'!B76)</f>
        <v>R01-5518-100000-1212</v>
      </c>
      <c r="C74" s="652" t="str">
        <f>IF('ketv. 4 '!X75&gt;0,'ketv. 4 '!C75,"-")</f>
        <v>-</v>
      </c>
      <c r="D74" s="366"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96">
        <f>SUM('3 pr-2'!L75)</f>
        <v>406091</v>
      </c>
      <c r="L74" s="1296">
        <f t="shared" ref="L74:L98" ca="1" si="110">SUM(P74+T74+X74+AB74+AF74+AJ74)</f>
        <v>0</v>
      </c>
      <c r="M74" s="1427">
        <f t="shared" ref="M74:M77" ca="1" si="111">SUM(K74-L74)</f>
        <v>406091</v>
      </c>
      <c r="N74" s="1428">
        <f t="shared" ref="N74:N77" ca="1" si="112">IF(L74&gt;0,K74-L74,0)</f>
        <v>0</v>
      </c>
      <c r="O74" s="1432">
        <f>SUM('3 pr-2'!O75)</f>
        <v>60914</v>
      </c>
      <c r="P74" s="1296">
        <f ca="1">SUMIF('sutarčių ataskaita'!$J$19:$J$2600,C74,'sutarčių ataskaita'!$DK$19:$DK$600)</f>
        <v>0</v>
      </c>
      <c r="Q74" s="1427">
        <f t="shared" ref="Q74:Q77" ca="1" si="113">SUM(O74-P74)</f>
        <v>60914</v>
      </c>
      <c r="R74" s="1428">
        <f t="shared" ref="R74:R77" ca="1" si="114">IF(P74&gt;0,O74-P74,0)</f>
        <v>0</v>
      </c>
      <c r="S74" s="1432">
        <f>SUM('3 pr-2'!R75)</f>
        <v>0</v>
      </c>
      <c r="T74" s="1296">
        <f ca="1">SUMIF('sutarčių ataskaita'!$J$19:$J$2600,C74,'sutarčių ataskaita'!$DG$19:$DG$600)</f>
        <v>0</v>
      </c>
      <c r="U74" s="1427">
        <f t="shared" ref="U74:U77" ca="1" si="115">SUM(S74-T74)</f>
        <v>0</v>
      </c>
      <c r="V74" s="1428">
        <f t="shared" ref="V74:V77" ca="1" si="116">IF(T74&gt;0,S74-T74,0)</f>
        <v>0</v>
      </c>
      <c r="W74" s="1432">
        <f>SUM('3 pr-2'!U75)</f>
        <v>0</v>
      </c>
      <c r="X74" s="1296">
        <f ca="1">SUMIF('sutarčių ataskaita'!$J$19:$J$2600,C74,'sutarčių ataskaita'!$DM$19:$DM$600)</f>
        <v>0</v>
      </c>
      <c r="Y74" s="1427">
        <f t="shared" ref="Y74:Y77" ca="1" si="117">SUM(W74-X74)</f>
        <v>0</v>
      </c>
      <c r="Z74" s="1428">
        <f t="shared" ref="Z74:Z77" ca="1" si="118">IF(X74&gt;0,W74-X74,0)</f>
        <v>0</v>
      </c>
      <c r="AA74" s="1432">
        <f>SUM('3 pr-2'!X75)</f>
        <v>0</v>
      </c>
      <c r="AB74" s="1296">
        <f ca="1">SUMIF('sutarčių ataskaita'!$J$19:$J$2600,C74,'sutarčių ataskaita'!$DL$19:$DL$600)+SUMIF('sutarčių ataskaita'!$J$19:$J$2600,C74,'sutarčių ataskaita'!$DJ$19:$DJ$600)</f>
        <v>0</v>
      </c>
      <c r="AC74" s="1427">
        <f ca="1">SUM(AA74-AB74)</f>
        <v>0</v>
      </c>
      <c r="AD74" s="1428">
        <f t="shared" ref="AD74:AD77" ca="1" si="119">IF(AB74&gt;0,AA74-AB74,0)</f>
        <v>0</v>
      </c>
      <c r="AE74" s="1432">
        <f>SUM('3 pr-2'!AA75)</f>
        <v>345177</v>
      </c>
      <c r="AF74" s="1296">
        <f ca="1">SUMIF('sutarčių ataskaita'!$J$19:$J$2600,C74,'sutarčių ataskaita'!$DF$19:$DF$600)</f>
        <v>0</v>
      </c>
      <c r="AG74" s="1447">
        <f t="shared" ref="AG74:AG77" ca="1" si="120">SUM(AE74-AF74)</f>
        <v>345177</v>
      </c>
      <c r="AH74" s="1430">
        <f t="shared" ref="AH74:AH77" ca="1" si="121">IF(AF74&gt;0,AE74-AF74,0)</f>
        <v>0</v>
      </c>
      <c r="AI74" s="1296">
        <f>SUM('3 pr-2'!AB76)</f>
        <v>0</v>
      </c>
      <c r="AJ74" s="1296"/>
    </row>
    <row r="75" spans="1:36" ht="36.75" x14ac:dyDescent="0.25">
      <c r="A75" s="182" t="str">
        <f>CONCATENATE('3 pr-2'!A76)</f>
        <v>1.1.2.1.2</v>
      </c>
      <c r="B75" s="182" t="str">
        <f>CONCATENATE('3 pr-2'!B77)</f>
        <v>R01-5518-100000-1213</v>
      </c>
      <c r="C75" s="652" t="str">
        <f>IF('ketv. 4 '!X76&gt;0,'ketv. 4 '!C76,"-")</f>
        <v>-</v>
      </c>
      <c r="D75" s="366"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96">
        <f>SUM('3 pr-2'!L76)</f>
        <v>326175</v>
      </c>
      <c r="L75" s="1296">
        <f t="shared" ca="1" si="110"/>
        <v>0</v>
      </c>
      <c r="M75" s="1427">
        <f t="shared" ca="1" si="111"/>
        <v>326175</v>
      </c>
      <c r="N75" s="1428">
        <f t="shared" ca="1" si="112"/>
        <v>0</v>
      </c>
      <c r="O75" s="1432">
        <f>SUM('3 pr-2'!O76)</f>
        <v>48926</v>
      </c>
      <c r="P75" s="1296">
        <f ca="1">SUMIF('sutarčių ataskaita'!$J$19:$J$2600,C75,'sutarčių ataskaita'!$DK$19:$DK$600)</f>
        <v>0</v>
      </c>
      <c r="Q75" s="1427">
        <f t="shared" ca="1" si="113"/>
        <v>48926</v>
      </c>
      <c r="R75" s="1428">
        <f t="shared" ca="1" si="114"/>
        <v>0</v>
      </c>
      <c r="S75" s="1432">
        <f>SUM('3 pr-2'!R76)</f>
        <v>0</v>
      </c>
      <c r="T75" s="1296">
        <f ca="1">SUMIF('sutarčių ataskaita'!$J$19:$J$2600,C75,'sutarčių ataskaita'!$DG$19:$DG$600)</f>
        <v>0</v>
      </c>
      <c r="U75" s="1427">
        <f t="shared" ca="1" si="115"/>
        <v>0</v>
      </c>
      <c r="V75" s="1428">
        <f t="shared" ca="1" si="116"/>
        <v>0</v>
      </c>
      <c r="W75" s="1432">
        <f>SUM('3 pr-2'!U76)</f>
        <v>0</v>
      </c>
      <c r="X75" s="1296">
        <f ca="1">SUMIF('sutarčių ataskaita'!$J$19:$J$2600,C75,'sutarčių ataskaita'!$DM$19:$DM$600)</f>
        <v>0</v>
      </c>
      <c r="Y75" s="1427">
        <f t="shared" ca="1" si="117"/>
        <v>0</v>
      </c>
      <c r="Z75" s="1428">
        <f t="shared" ca="1" si="118"/>
        <v>0</v>
      </c>
      <c r="AA75" s="1432">
        <f>SUM('3 pr-2'!X76)</f>
        <v>0</v>
      </c>
      <c r="AB75" s="1296">
        <f ca="1">SUMIF('sutarčių ataskaita'!$J$19:$J$2600,C75,'sutarčių ataskaita'!$DL$19:$DL$600)+SUMIF('sutarčių ataskaita'!$J$19:$J$2600,C75,'sutarčių ataskaita'!$DJ$19:$DJ$600)</f>
        <v>0</v>
      </c>
      <c r="AC75" s="1427">
        <f ca="1">SUM(AA75-AB75)</f>
        <v>0</v>
      </c>
      <c r="AD75" s="1428">
        <f t="shared" ca="1" si="119"/>
        <v>0</v>
      </c>
      <c r="AE75" s="1432">
        <f>SUM('3 pr-2'!AA76)</f>
        <v>277249</v>
      </c>
      <c r="AF75" s="1296">
        <f ca="1">SUMIF('sutarčių ataskaita'!$J$19:$J$2600,C75,'sutarčių ataskaita'!$DF$19:$DF$600)</f>
        <v>0</v>
      </c>
      <c r="AG75" s="1447">
        <f t="shared" ca="1" si="120"/>
        <v>277249</v>
      </c>
      <c r="AH75" s="1430">
        <f t="shared" ca="1" si="121"/>
        <v>0</v>
      </c>
      <c r="AI75" s="1296">
        <f>SUM('3 pr-2'!AB77)</f>
        <v>0</v>
      </c>
      <c r="AJ75" s="1296"/>
    </row>
    <row r="76" spans="1:36" ht="36.75" x14ac:dyDescent="0.25">
      <c r="A76" s="182" t="str">
        <f>CONCATENATE('3 pr-2'!A77)</f>
        <v>1.1.2.1.3</v>
      </c>
      <c r="B76" s="182" t="str">
        <f>CONCATENATE('3 pr-2'!B78)</f>
        <v>R01-5518-100000-1214</v>
      </c>
      <c r="C76" s="652" t="str">
        <f>IF('ketv. 4 '!X77&gt;0,'ketv. 4 '!C77,"-")</f>
        <v>-</v>
      </c>
      <c r="D76" s="366"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96">
        <f>SUM('3 pr-2'!L77)</f>
        <v>840240</v>
      </c>
      <c r="L76" s="1296">
        <f t="shared" ca="1" si="110"/>
        <v>0</v>
      </c>
      <c r="M76" s="1427">
        <f t="shared" ca="1" si="111"/>
        <v>840240</v>
      </c>
      <c r="N76" s="1428">
        <f t="shared" ca="1" si="112"/>
        <v>0</v>
      </c>
      <c r="O76" s="1432">
        <f>SUM('3 pr-2'!O77)</f>
        <v>0</v>
      </c>
      <c r="P76" s="1296">
        <f ca="1">SUMIF('sutarčių ataskaita'!$J$19:$J$2600,C76,'sutarčių ataskaita'!$DK$19:$DK$600)</f>
        <v>0</v>
      </c>
      <c r="Q76" s="1427">
        <f t="shared" ca="1" si="113"/>
        <v>0</v>
      </c>
      <c r="R76" s="1428">
        <f t="shared" ca="1" si="114"/>
        <v>0</v>
      </c>
      <c r="S76" s="1432">
        <f>SUM('3 pr-2'!R77)</f>
        <v>0</v>
      </c>
      <c r="T76" s="1296">
        <f ca="1">SUMIF('sutarčių ataskaita'!$J$19:$J$2600,C76,'sutarčių ataskaita'!$DG$19:$DG$600)</f>
        <v>0</v>
      </c>
      <c r="U76" s="1427">
        <f t="shared" ca="1" si="115"/>
        <v>0</v>
      </c>
      <c r="V76" s="1428">
        <f t="shared" ca="1" si="116"/>
        <v>0</v>
      </c>
      <c r="W76" s="1432">
        <f>SUM('3 pr-2'!U77)</f>
        <v>422692</v>
      </c>
      <c r="X76" s="1296">
        <f ca="1">SUMIF('sutarčių ataskaita'!$J$19:$J$2600,C76,'sutarčių ataskaita'!$DM$19:$DM$600)</f>
        <v>0</v>
      </c>
      <c r="Y76" s="1427">
        <f t="shared" ca="1" si="117"/>
        <v>422692</v>
      </c>
      <c r="Z76" s="1428">
        <f t="shared" ca="1" si="118"/>
        <v>0</v>
      </c>
      <c r="AA76" s="1432">
        <f>SUM('3 pr-2'!X77)</f>
        <v>0</v>
      </c>
      <c r="AB76" s="1296">
        <f ca="1">SUMIF('sutarčių ataskaita'!$J$19:$J$2600,C76,'sutarčių ataskaita'!$DL$19:$DL$600)+SUMIF('sutarčių ataskaita'!$J$19:$J$2600,C76,'sutarčių ataskaita'!$DJ$19:$DJ$600)</f>
        <v>0</v>
      </c>
      <c r="AC76" s="1427">
        <f ca="1">SUM(AA76-AB76)</f>
        <v>0</v>
      </c>
      <c r="AD76" s="1428">
        <f t="shared" ca="1" si="119"/>
        <v>0</v>
      </c>
      <c r="AE76" s="1432">
        <f>SUM('3 pr-2'!AA77)</f>
        <v>417548</v>
      </c>
      <c r="AF76" s="1296">
        <f ca="1">SUMIF('sutarčių ataskaita'!$J$19:$J$2600,C76,'sutarčių ataskaita'!$DF$19:$DF$600)</f>
        <v>0</v>
      </c>
      <c r="AG76" s="1447">
        <f t="shared" ca="1" si="120"/>
        <v>417548</v>
      </c>
      <c r="AH76" s="1430">
        <f t="shared" ca="1" si="121"/>
        <v>0</v>
      </c>
      <c r="AI76" s="1296">
        <f>SUM('3 pr-2'!AB78)</f>
        <v>0</v>
      </c>
      <c r="AJ76" s="1296"/>
    </row>
    <row r="77" spans="1:36" ht="61.5" thickBot="1" x14ac:dyDescent="0.3">
      <c r="A77" s="182" t="str">
        <f>CONCATENATE('3 pr-2'!A78)</f>
        <v>1.1.2.1.4</v>
      </c>
      <c r="B77" s="182" t="str">
        <f>CONCATENATE('3 pr-2'!B79)</f>
        <v>Priemonė:
Darnaus judumo priemonių diegimas</v>
      </c>
      <c r="C77" s="652" t="str">
        <f>IF('ketv. 4 '!X78&gt;0,'ketv. 4 '!C78,"-")</f>
        <v>-</v>
      </c>
      <c r="D77" s="366"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96">
        <f>SUM('3 pr-2'!L78)</f>
        <v>262704</v>
      </c>
      <c r="L77" s="1296">
        <f t="shared" ca="1" si="110"/>
        <v>0</v>
      </c>
      <c r="M77" s="1427">
        <f t="shared" ca="1" si="111"/>
        <v>262704</v>
      </c>
      <c r="N77" s="1428">
        <f t="shared" ca="1" si="112"/>
        <v>0</v>
      </c>
      <c r="O77" s="1432">
        <f>SUM('3 pr-2'!O78)</f>
        <v>39406</v>
      </c>
      <c r="P77" s="1296">
        <f ca="1">SUMIF('sutarčių ataskaita'!$J$19:$J$2600,C77,'sutarčių ataskaita'!$DK$19:$DK$600)</f>
        <v>0</v>
      </c>
      <c r="Q77" s="1427">
        <f t="shared" ca="1" si="113"/>
        <v>39406</v>
      </c>
      <c r="R77" s="1428">
        <f t="shared" ca="1" si="114"/>
        <v>0</v>
      </c>
      <c r="S77" s="1432">
        <f>SUM('3 pr-2'!R78)</f>
        <v>0</v>
      </c>
      <c r="T77" s="1296">
        <f ca="1">SUMIF('sutarčių ataskaita'!$J$19:$J$2600,C77,'sutarčių ataskaita'!$DG$19:$DG$600)</f>
        <v>0</v>
      </c>
      <c r="U77" s="1427">
        <f t="shared" ca="1" si="115"/>
        <v>0</v>
      </c>
      <c r="V77" s="1428">
        <f t="shared" ca="1" si="116"/>
        <v>0</v>
      </c>
      <c r="W77" s="1432">
        <f>SUM('3 pr-2'!U78)</f>
        <v>0</v>
      </c>
      <c r="X77" s="1296">
        <f ca="1">SUMIF('sutarčių ataskaita'!$J$19:$J$2600,C77,'sutarčių ataskaita'!$DM$19:$DM$600)</f>
        <v>0</v>
      </c>
      <c r="Y77" s="1427">
        <f t="shared" ca="1" si="117"/>
        <v>0</v>
      </c>
      <c r="Z77" s="1428">
        <f t="shared" ca="1" si="118"/>
        <v>0</v>
      </c>
      <c r="AA77" s="1432">
        <f>SUM('3 pr-2'!X78)</f>
        <v>0</v>
      </c>
      <c r="AB77" s="1296">
        <f ca="1">SUMIF('sutarčių ataskaita'!$J$19:$J$2600,C77,'sutarčių ataskaita'!$DL$19:$DL$600)+SUMIF('sutarčių ataskaita'!$J$19:$J$2600,C77,'sutarčių ataskaita'!$DJ$19:$DJ$600)</f>
        <v>0</v>
      </c>
      <c r="AC77" s="1427">
        <f ca="1">SUM(AA77-AB77)</f>
        <v>0</v>
      </c>
      <c r="AD77" s="1428">
        <f t="shared" ca="1" si="119"/>
        <v>0</v>
      </c>
      <c r="AE77" s="1432">
        <f>SUM('3 pr-2'!AA78)</f>
        <v>223298</v>
      </c>
      <c r="AF77" s="1296">
        <f ca="1">SUMIF('sutarčių ataskaita'!$J$19:$J$2600,C77,'sutarčių ataskaita'!$DF$19:$DF$600)</f>
        <v>0</v>
      </c>
      <c r="AG77" s="1447">
        <f t="shared" ca="1" si="120"/>
        <v>223298</v>
      </c>
      <c r="AH77" s="1430">
        <f t="shared" ca="1" si="121"/>
        <v>0</v>
      </c>
      <c r="AI77" s="1296">
        <f>SUM('3 pr-2'!AB79)</f>
        <v>0</v>
      </c>
      <c r="AJ77" s="1296"/>
    </row>
    <row r="78" spans="1:36" ht="33" customHeight="1" thickBot="1" x14ac:dyDescent="0.3">
      <c r="A78" s="326" t="str">
        <f>CONCATENATE('3 pr-2'!A79)</f>
        <v>1.1.2.2</v>
      </c>
      <c r="B78" s="2025" t="str">
        <f>CONCATENATE('3 pr-2'!B79)</f>
        <v>Priemonė:
Darnaus judumo priemonių diegimas</v>
      </c>
      <c r="C78" s="2026"/>
      <c r="D78" s="2026"/>
      <c r="E78" s="2026"/>
      <c r="F78" s="2026"/>
      <c r="G78" s="2026"/>
      <c r="H78" s="2026"/>
      <c r="I78" s="2026"/>
      <c r="J78" s="2027"/>
      <c r="K78" s="1293">
        <f t="shared" ref="K78:AE78" si="122">SUM(K79:K84)</f>
        <v>1894943.24</v>
      </c>
      <c r="L78" s="1293">
        <f t="shared" ca="1" si="122"/>
        <v>50638</v>
      </c>
      <c r="M78" s="1293">
        <f t="shared" ca="1" si="122"/>
        <v>1844305.24</v>
      </c>
      <c r="N78" s="1440">
        <f t="shared" ca="1" si="122"/>
        <v>0</v>
      </c>
      <c r="O78" s="1293">
        <f t="shared" si="122"/>
        <v>284241.14</v>
      </c>
      <c r="P78" s="1293">
        <f t="shared" ca="1" si="122"/>
        <v>7595.7000000000007</v>
      </c>
      <c r="Q78" s="1293">
        <f t="shared" ca="1" si="122"/>
        <v>276645.44</v>
      </c>
      <c r="R78" s="1293">
        <f t="shared" ca="1" si="122"/>
        <v>-9.0949470177292824E-13</v>
      </c>
      <c r="S78" s="1293">
        <f t="shared" si="122"/>
        <v>0</v>
      </c>
      <c r="T78" s="1293">
        <f t="shared" ca="1" si="122"/>
        <v>0</v>
      </c>
      <c r="U78" s="1293">
        <f t="shared" ca="1" si="122"/>
        <v>0</v>
      </c>
      <c r="V78" s="1293">
        <f t="shared" ca="1" si="122"/>
        <v>0</v>
      </c>
      <c r="W78" s="1293">
        <f t="shared" si="122"/>
        <v>0</v>
      </c>
      <c r="X78" s="1293">
        <f t="shared" ca="1" si="122"/>
        <v>0</v>
      </c>
      <c r="Y78" s="1293">
        <f t="shared" ca="1" si="122"/>
        <v>0</v>
      </c>
      <c r="Z78" s="1293">
        <f t="shared" ca="1" si="122"/>
        <v>0</v>
      </c>
      <c r="AA78" s="1293">
        <f t="shared" si="122"/>
        <v>0</v>
      </c>
      <c r="AB78" s="1293">
        <f t="shared" ca="1" si="122"/>
        <v>0</v>
      </c>
      <c r="AC78" s="1293">
        <f t="shared" ca="1" si="122"/>
        <v>0</v>
      </c>
      <c r="AD78" s="1293">
        <f t="shared" ca="1" si="122"/>
        <v>0</v>
      </c>
      <c r="AE78" s="1293">
        <f t="shared" si="122"/>
        <v>1610702.1</v>
      </c>
      <c r="AF78" s="1293">
        <f ca="1">SUM(AF79:AF84)</f>
        <v>43042.3</v>
      </c>
      <c r="AG78" s="1436">
        <f ca="1">SUM(AG79:AG82)</f>
        <v>1108659.8</v>
      </c>
      <c r="AH78" s="1437">
        <f ca="1">SUM(AH79:AH82)</f>
        <v>0</v>
      </c>
      <c r="AI78" s="1293">
        <f t="shared" ref="AI78:AJ78" si="123">SUM(AI79:AI84)</f>
        <v>0</v>
      </c>
      <c r="AJ78" s="1293">
        <f t="shared" si="123"/>
        <v>0</v>
      </c>
    </row>
    <row r="79" spans="1:36" ht="36.75" x14ac:dyDescent="0.25">
      <c r="A79" s="366" t="str">
        <f>CONCATENATE('3 pr-2'!A80)</f>
        <v>1.1.2.2.1</v>
      </c>
      <c r="B79" s="182" t="str">
        <f>CONCATENATE('3 pr-2'!B80)</f>
        <v>R01-5514-190000-1221</v>
      </c>
      <c r="C79" s="652" t="str">
        <f>IF('ketv. 4 '!X80&gt;0,'ketv. 4 '!C80,"-")</f>
        <v>-</v>
      </c>
      <c r="D79" s="366" t="str">
        <f>CONCATENATE('3 pr-2'!D80)</f>
        <v>Darnaus judumo priemonių diegimas Alytaus mieste</v>
      </c>
      <c r="E79" s="366" t="str">
        <f>CONCATENATE('3 pr-2'!E80)</f>
        <v>Alytaus miesto savivaldybės administracija</v>
      </c>
      <c r="F79" s="366" t="str">
        <f>CONCATENATE('3 pr-2'!F80)</f>
        <v>Lietuvos Respublikos susisiekimo ministerija</v>
      </c>
      <c r="G79" s="366" t="str">
        <f>CONCATENATE('3 pr-2'!G80)</f>
        <v>Alytaus m. sav.</v>
      </c>
      <c r="H79" s="366" t="str">
        <f>CONCATENATE('3 pr-2'!H80)</f>
        <v>04.5.1.-TID-R-514</v>
      </c>
      <c r="I79" s="366" t="str">
        <f>CONCATENATE('3 pr-2'!I80)</f>
        <v>R</v>
      </c>
      <c r="J79" s="366" t="str">
        <f>CONCATENATE('3 pr-2'!J80)</f>
        <v>ITI</v>
      </c>
      <c r="K79" s="1432">
        <f>SUM('3 pr-2'!L80)</f>
        <v>1143469</v>
      </c>
      <c r="L79" s="1432">
        <f t="shared" ca="1" si="110"/>
        <v>0</v>
      </c>
      <c r="M79" s="1427">
        <f t="shared" ref="M79:M82" ca="1" si="124">SUM(K79-L79)</f>
        <v>1143469</v>
      </c>
      <c r="N79" s="1428">
        <f t="shared" ref="N79:N82" ca="1" si="125">IF(L79&gt;0,K79-L79,0)</f>
        <v>0</v>
      </c>
      <c r="O79" s="1432">
        <f>SUM('3 pr-2'!O80)</f>
        <v>171520</v>
      </c>
      <c r="P79" s="1432">
        <f ca="1">SUMIF('sutarčių ataskaita'!$J$19:$J$2600,C79,'sutarčių ataskaita'!$DK$19:$DK$600)</f>
        <v>0</v>
      </c>
      <c r="Q79" s="1432">
        <f t="shared" ref="Q79:Q81" ca="1" si="126">SUM(O79-P79)</f>
        <v>171520</v>
      </c>
      <c r="R79" s="1432">
        <f t="shared" ref="R79:R82" ca="1" si="127">IF(P79&gt;0,O79-P79,0)</f>
        <v>0</v>
      </c>
      <c r="S79" s="1432">
        <f>SUM('3 pr-2'!R80)</f>
        <v>0</v>
      </c>
      <c r="T79" s="1432">
        <f ca="1">SUMIF('sutarčių ataskaita'!$J$19:$J$2600,C79,'sutarčių ataskaita'!$DG$19:$DG$600)</f>
        <v>0</v>
      </c>
      <c r="U79" s="1432">
        <f t="shared" ref="U79:U82" ca="1" si="128">SUM(S79-T79)</f>
        <v>0</v>
      </c>
      <c r="V79" s="1432">
        <f t="shared" ref="V79:V82" ca="1" si="129">IF(T79&gt;0,S79-T79,0)</f>
        <v>0</v>
      </c>
      <c r="W79" s="1432">
        <f>SUM('3 pr-2'!U80)</f>
        <v>0</v>
      </c>
      <c r="X79" s="1296">
        <f ca="1">SUMIF('sutarčių ataskaita'!$J$19:$J$2600,C79,'sutarčių ataskaita'!$DM$19:$DM$600)</f>
        <v>0</v>
      </c>
      <c r="Y79" s="1432">
        <f t="shared" ref="Y79:Y82" ca="1" si="130">SUM(W79-X79)</f>
        <v>0</v>
      </c>
      <c r="Z79" s="1432">
        <f t="shared" ref="Z79:Z82" ca="1" si="131">IF(X79&gt;0,W79-X79,0)</f>
        <v>0</v>
      </c>
      <c r="AA79" s="1432">
        <f>SUM('3 pr-2'!X80)</f>
        <v>0</v>
      </c>
      <c r="AB79" s="1432">
        <f ca="1">SUMIF('sutarčių ataskaita'!$J$19:$J$2600,C79,'sutarčių ataskaita'!$DL$19:$DL$600)+SUMIF('sutarčių ataskaita'!$J$19:$J$2600,C79,'sutarčių ataskaita'!$DJ$19:$DJ$600)</f>
        <v>0</v>
      </c>
      <c r="AC79" s="1432">
        <f ca="1">SUM(AA79-AB79)</f>
        <v>0</v>
      </c>
      <c r="AD79" s="1432">
        <f t="shared" ref="AD79:AD82" ca="1" si="132">IF(AB79&gt;0,AA79-AB79,0)</f>
        <v>0</v>
      </c>
      <c r="AE79" s="1432">
        <f>SUM('3 pr-2'!AA80)</f>
        <v>971949</v>
      </c>
      <c r="AF79" s="1432">
        <f ca="1">SUMIF('sutarčių ataskaita'!$J$19:$J$2600,C79,'sutarčių ataskaita'!$DF$19:$DF$600)</f>
        <v>0</v>
      </c>
      <c r="AG79" s="1429">
        <f t="shared" ref="AG79:AG81" ca="1" si="133">SUM(AE79-AF79)</f>
        <v>971949</v>
      </c>
      <c r="AH79" s="1430">
        <f t="shared" ref="AH79:AH82" ca="1" si="134">IF(AF79&gt;0,AE79-AF79,0)</f>
        <v>0</v>
      </c>
      <c r="AI79" s="1296">
        <f>SUM('3 pr-2'!AB81)</f>
        <v>0</v>
      </c>
      <c r="AJ79" s="1432"/>
    </row>
    <row r="80" spans="1:36" ht="36.75" x14ac:dyDescent="0.25">
      <c r="A80" s="366" t="str">
        <f>CONCATENATE('3 pr-2'!A81)</f>
        <v>1.1.2.2.2</v>
      </c>
      <c r="B80" s="182" t="str">
        <f>CONCATENATE('3 pr-2'!B81)</f>
        <v>R01-5514-190000-1222</v>
      </c>
      <c r="C80" s="652" t="str">
        <f>IF('ketv. 4 '!X81&gt;0,'ketv. 4 '!C81,"-")</f>
        <v>04.5.1-TID-V-513-01-0015</v>
      </c>
      <c r="D80" s="366" t="str">
        <f>CONCATENATE('3 pr-2'!D81)</f>
        <v>Alytaus miesto darnaus judumo plano parengimas</v>
      </c>
      <c r="E80" s="366" t="str">
        <f>CONCATENATE('3 pr-2'!E81)</f>
        <v>Alytaus miesto savivaldybės administracija</v>
      </c>
      <c r="F80" s="366" t="str">
        <f>CONCATENATE('3 pr-2'!F81)</f>
        <v>Lietuvos Respublikos susisiekimo ministerija</v>
      </c>
      <c r="G80" s="366" t="str">
        <f>CONCATENATE('3 pr-2'!G81)</f>
        <v>Alytaus m. sav.</v>
      </c>
      <c r="H80" s="366" t="str">
        <f>CONCATENATE('3 pr-2'!H81)</f>
        <v>04.5.1-TID-V-513</v>
      </c>
      <c r="I80" s="366" t="str">
        <f>CONCATENATE('3 pr-2'!I81)</f>
        <v>V</v>
      </c>
      <c r="J80" s="366" t="str">
        <f>CONCATENATE('3 pr-2'!J81)</f>
        <v>ITI</v>
      </c>
      <c r="K80" s="1432">
        <f>SUM('3 pr-2'!L81)</f>
        <v>33638</v>
      </c>
      <c r="L80" s="1426">
        <v>33638</v>
      </c>
      <c r="M80" s="1427">
        <f t="shared" si="124"/>
        <v>0</v>
      </c>
      <c r="N80" s="1428">
        <f t="shared" si="125"/>
        <v>0</v>
      </c>
      <c r="O80" s="1432">
        <f>SUM('3 pr-2'!O81)</f>
        <v>5045.7</v>
      </c>
      <c r="P80" s="1426">
        <f>SUM(L80-AF80)</f>
        <v>5045.7000000000007</v>
      </c>
      <c r="Q80" s="1432">
        <f t="shared" si="126"/>
        <v>-9.0949470177292824E-13</v>
      </c>
      <c r="R80" s="1432">
        <f t="shared" si="127"/>
        <v>-9.0949470177292824E-13</v>
      </c>
      <c r="S80" s="1432">
        <f>SUM('3 pr-2'!R81)</f>
        <v>0</v>
      </c>
      <c r="T80" s="1432">
        <f ca="1">SUMIF('sutarčių ataskaita'!$J$19:$J$2600,C80,'sutarčių ataskaita'!$DG$19:$DG$600)</f>
        <v>0</v>
      </c>
      <c r="U80" s="1432">
        <f t="shared" ca="1" si="128"/>
        <v>0</v>
      </c>
      <c r="V80" s="1432">
        <f t="shared" ca="1" si="129"/>
        <v>0</v>
      </c>
      <c r="W80" s="1432">
        <f>SUM('3 pr-2'!U81)</f>
        <v>0</v>
      </c>
      <c r="X80" s="1296">
        <f ca="1">SUMIF('sutarčių ataskaita'!$J$19:$J$2600,C80,'sutarčių ataskaita'!$DM$19:$DM$600)</f>
        <v>0</v>
      </c>
      <c r="Y80" s="1432">
        <f t="shared" ca="1" si="130"/>
        <v>0</v>
      </c>
      <c r="Z80" s="1432">
        <f t="shared" ca="1" si="131"/>
        <v>0</v>
      </c>
      <c r="AA80" s="1432">
        <f>SUM('3 pr-2'!X81)</f>
        <v>0</v>
      </c>
      <c r="AB80" s="1432">
        <f ca="1">SUMIF('sutarčių ataskaita'!$J$19:$J$2600,C80,'sutarčių ataskaita'!$DL$19:$DL$600)+SUMIF('sutarčių ataskaita'!$J$19:$J$2600,C80,'sutarčių ataskaita'!$DJ$19:$DJ$600)</f>
        <v>0</v>
      </c>
      <c r="AC80" s="1432">
        <f ca="1">SUM(AA80-AB80)</f>
        <v>0</v>
      </c>
      <c r="AD80" s="1432">
        <f t="shared" ca="1" si="132"/>
        <v>0</v>
      </c>
      <c r="AE80" s="1432">
        <f>SUM('3 pr-2'!AA81)</f>
        <v>28592.3</v>
      </c>
      <c r="AF80" s="1426">
        <v>28592.3</v>
      </c>
      <c r="AG80" s="1429">
        <f t="shared" si="133"/>
        <v>0</v>
      </c>
      <c r="AH80" s="1430">
        <f t="shared" si="134"/>
        <v>0</v>
      </c>
      <c r="AI80" s="1296">
        <f>SUM('3 pr-2'!AB82)</f>
        <v>0</v>
      </c>
      <c r="AJ80" s="1426">
        <v>0</v>
      </c>
    </row>
    <row r="81" spans="1:36" ht="36.75" x14ac:dyDescent="0.25">
      <c r="A81" s="366" t="str">
        <f>CONCATENATE('3 pr-2'!A82)</f>
        <v>1.1.2.2.3</v>
      </c>
      <c r="B81" s="182" t="str">
        <f>CONCATENATE('3 pr-2'!B82)</f>
        <v>R01-5514-191800-1223</v>
      </c>
      <c r="C81" s="652" t="str">
        <f>IF('ketv. 4 '!X82&gt;0,'ketv. 4 '!C82,"-")</f>
        <v>-</v>
      </c>
      <c r="D81" s="366" t="str">
        <f>CONCATENATE('3 pr-2'!D82)</f>
        <v>Intelektinių transporto sistemų diegimas Druskininkuose</v>
      </c>
      <c r="E81" s="366" t="str">
        <f>CONCATENATE('3 pr-2'!E82)</f>
        <v>Druskininkų savivaldybės administracija</v>
      </c>
      <c r="F81" s="366" t="str">
        <f>CONCATENATE('3 pr-2'!F82)</f>
        <v>Lietuvos Respublikos susisiekimo ministerija</v>
      </c>
      <c r="G81" s="366" t="str">
        <f>CONCATENATE('3 pr-2'!G82)</f>
        <v>Druskininkų sav.</v>
      </c>
      <c r="H81" s="366" t="str">
        <f>CONCATENATE('3 pr-2'!H82)</f>
        <v>04.5.1.-TID-R-514</v>
      </c>
      <c r="I81" s="366" t="str">
        <f>CONCATENATE('3 pr-2'!I82)</f>
        <v>R</v>
      </c>
      <c r="J81" s="366" t="str">
        <f>CONCATENATE('3 pr-2'!J82)</f>
        <v>-</v>
      </c>
      <c r="K81" s="1432">
        <f>SUM('3 pr-2'!L82)</f>
        <v>160836.24</v>
      </c>
      <c r="L81" s="1432">
        <f t="shared" ca="1" si="110"/>
        <v>0</v>
      </c>
      <c r="M81" s="1427">
        <f t="shared" ca="1" si="124"/>
        <v>160836.24</v>
      </c>
      <c r="N81" s="1428">
        <f t="shared" ca="1" si="125"/>
        <v>0</v>
      </c>
      <c r="O81" s="1432">
        <f>SUM('3 pr-2'!O82)</f>
        <v>24125.439999999999</v>
      </c>
      <c r="P81" s="1432">
        <f ca="1">SUMIF('sutarčių ataskaita'!$J$19:$J$2600,C81,'sutarčių ataskaita'!$DK$19:$DK$600)</f>
        <v>0</v>
      </c>
      <c r="Q81" s="1432">
        <f t="shared" ca="1" si="126"/>
        <v>24125.439999999999</v>
      </c>
      <c r="R81" s="1432">
        <f t="shared" ca="1" si="127"/>
        <v>0</v>
      </c>
      <c r="S81" s="1432">
        <f>SUM('3 pr-2'!R82)</f>
        <v>0</v>
      </c>
      <c r="T81" s="1432">
        <f ca="1">SUMIF('sutarčių ataskaita'!$J$19:$J$2600,C81,'sutarčių ataskaita'!$DG$19:$DG$600)</f>
        <v>0</v>
      </c>
      <c r="U81" s="1432">
        <f t="shared" ca="1" si="128"/>
        <v>0</v>
      </c>
      <c r="V81" s="1432">
        <f t="shared" ca="1" si="129"/>
        <v>0</v>
      </c>
      <c r="W81" s="1432">
        <f>SUM('3 pr-2'!U82)</f>
        <v>0</v>
      </c>
      <c r="X81" s="1296">
        <f ca="1">SUMIF('sutarčių ataskaita'!$J$19:$J$2600,C81,'sutarčių ataskaita'!$DM$19:$DM$600)</f>
        <v>0</v>
      </c>
      <c r="Y81" s="1432">
        <f t="shared" ca="1" si="130"/>
        <v>0</v>
      </c>
      <c r="Z81" s="1432">
        <f t="shared" ca="1" si="131"/>
        <v>0</v>
      </c>
      <c r="AA81" s="1432">
        <f>SUM('3 pr-2'!X82)</f>
        <v>0</v>
      </c>
      <c r="AB81" s="1432">
        <f ca="1">SUMIF('sutarčių ataskaita'!$J$19:$J$2600,C81,'sutarčių ataskaita'!$DL$19:$DL$600)+SUMIF('sutarčių ataskaita'!$J$19:$J$2600,C81,'sutarčių ataskaita'!$DJ$19:$DJ$600)</f>
        <v>0</v>
      </c>
      <c r="AC81" s="1432">
        <f ca="1">SUM(AA81-AB81)</f>
        <v>0</v>
      </c>
      <c r="AD81" s="1432">
        <f t="shared" ca="1" si="132"/>
        <v>0</v>
      </c>
      <c r="AE81" s="1432">
        <f>SUM('3 pr-2'!AA82)</f>
        <v>136710.79999999999</v>
      </c>
      <c r="AF81" s="1432">
        <f ca="1">SUMIF('sutarčių ataskaita'!$J$19:$J$2600,C81,'sutarčių ataskaita'!$DF$19:$DF$600)</f>
        <v>0</v>
      </c>
      <c r="AG81" s="1429">
        <f t="shared" ca="1" si="133"/>
        <v>136710.79999999999</v>
      </c>
      <c r="AH81" s="1430">
        <f t="shared" ca="1" si="134"/>
        <v>0</v>
      </c>
      <c r="AI81" s="1296">
        <f>SUM('3 pr-2'!AB83)</f>
        <v>0</v>
      </c>
      <c r="AJ81" s="1432"/>
    </row>
    <row r="82" spans="1:36" ht="36.75" x14ac:dyDescent="0.25">
      <c r="A82" s="366" t="str">
        <f>CONCATENATE('3 pr-2'!A83)</f>
        <v>1.1.2.2.4</v>
      </c>
      <c r="B82" s="182" t="str">
        <f>CONCATENATE('3 pr-2'!B83)</f>
        <v>R01-5514-190000-1224</v>
      </c>
      <c r="C82" s="652" t="str">
        <f>IF('ketv. 4 '!X83&gt;0,'ketv. 4 '!C83,"-")</f>
        <v>04.5.1-TID-V-513-01-0006</v>
      </c>
      <c r="D82" s="366" t="str">
        <f>CONCATENATE('3 pr-2'!D83)</f>
        <v>Darnaus judumo plano Druskininkuose parengimas</v>
      </c>
      <c r="E82" s="366" t="str">
        <f>CONCATENATE('3 pr-2'!E83)</f>
        <v>Druskininkų savivaldybės administracija</v>
      </c>
      <c r="F82" s="366" t="str">
        <f>CONCATENATE('3 pr-2'!F83)</f>
        <v>Lietuvos Respublikos susisiekimo ministerija</v>
      </c>
      <c r="G82" s="366" t="str">
        <f>CONCATENATE('3 pr-2'!G83)</f>
        <v>Druskininkų sav.</v>
      </c>
      <c r="H82" s="366" t="str">
        <f>CONCATENATE('3 pr-2'!H83)</f>
        <v>04.5.1-TID-V-513</v>
      </c>
      <c r="I82" s="366" t="str">
        <f>CONCATENATE('3 pr-2'!I83)</f>
        <v>V</v>
      </c>
      <c r="J82" s="366" t="str">
        <f>CONCATENATE('3 pr-2'!J83)</f>
        <v>ITI</v>
      </c>
      <c r="K82" s="1432">
        <f>SUM('3 pr-2'!L83)</f>
        <v>17000</v>
      </c>
      <c r="L82" s="1426">
        <v>17000</v>
      </c>
      <c r="M82" s="1427">
        <f t="shared" si="124"/>
        <v>0</v>
      </c>
      <c r="N82" s="1428">
        <f t="shared" si="125"/>
        <v>0</v>
      </c>
      <c r="O82" s="1432">
        <f>SUM('3 pr-2'!O83)</f>
        <v>2550</v>
      </c>
      <c r="P82" s="1426">
        <f>SUM(L82-AF82)</f>
        <v>2550</v>
      </c>
      <c r="Q82" s="1432">
        <f t="shared" ref="Q82" si="135">SUM(O82-P82)</f>
        <v>0</v>
      </c>
      <c r="R82" s="1432">
        <f t="shared" si="127"/>
        <v>0</v>
      </c>
      <c r="S82" s="1432">
        <f>SUM('3 pr-2'!R83)</f>
        <v>0</v>
      </c>
      <c r="T82" s="1432">
        <f ca="1">SUMIF('sutarčių ataskaita'!$J$19:$J$2600,C82,'sutarčių ataskaita'!$DG$19:$DG$600)</f>
        <v>0</v>
      </c>
      <c r="U82" s="1432">
        <f t="shared" ca="1" si="128"/>
        <v>0</v>
      </c>
      <c r="V82" s="1432">
        <f t="shared" ca="1" si="129"/>
        <v>0</v>
      </c>
      <c r="W82" s="1432">
        <f>SUM('3 pr-2'!U83)</f>
        <v>0</v>
      </c>
      <c r="X82" s="1296">
        <f ca="1">SUMIF('sutarčių ataskaita'!$J$19:$J$2600,C82,'sutarčių ataskaita'!$DM$19:$DM$600)</f>
        <v>0</v>
      </c>
      <c r="Y82" s="1432">
        <f t="shared" ca="1" si="130"/>
        <v>0</v>
      </c>
      <c r="Z82" s="1432">
        <f t="shared" ca="1" si="131"/>
        <v>0</v>
      </c>
      <c r="AA82" s="1432">
        <f>SUM('3 pr-2'!X83)</f>
        <v>0</v>
      </c>
      <c r="AB82" s="1432">
        <f ca="1">SUMIF('sutarčių ataskaita'!$J$19:$J$2600,C82,'sutarčių ataskaita'!$DL$19:$DL$600)+SUMIF('sutarčių ataskaita'!$J$19:$J$2600,C82,'sutarčių ataskaita'!$DJ$19:$DJ$600)</f>
        <v>0</v>
      </c>
      <c r="AC82" s="1432">
        <f ca="1">SUM(AA82-AB82)</f>
        <v>0</v>
      </c>
      <c r="AD82" s="1432">
        <f t="shared" ca="1" si="132"/>
        <v>0</v>
      </c>
      <c r="AE82" s="1432">
        <f>SUM('3 pr-2'!AA83)</f>
        <v>14450</v>
      </c>
      <c r="AF82" s="1426">
        <v>14450</v>
      </c>
      <c r="AG82" s="1429">
        <f>SUM(AE82-AF82)</f>
        <v>0</v>
      </c>
      <c r="AH82" s="1430">
        <f t="shared" si="134"/>
        <v>0</v>
      </c>
      <c r="AI82" s="1296">
        <f>SUM('3 pr-2'!AB84)</f>
        <v>0</v>
      </c>
      <c r="AJ82" s="1426">
        <v>0</v>
      </c>
    </row>
    <row r="83" spans="1:36" ht="36.75" x14ac:dyDescent="0.25">
      <c r="A83" s="366" t="str">
        <f>CONCATENATE('3 pr-2'!A84)</f>
        <v>1.1.2.2.5</v>
      </c>
      <c r="B83" s="182" t="str">
        <f>CONCATENATE('3 pr-2'!B84)</f>
        <v>R01-5514-190000-1225</v>
      </c>
      <c r="C83" s="652" t="str">
        <f>IF('ketv. 4 '!X84&gt;0,'ketv. 4 '!C84,"-")</f>
        <v>-</v>
      </c>
      <c r="D83" s="366" t="str">
        <f>CONCATENATE('3 pr-2'!D84)</f>
        <v>Viešojo transporto organizavimo tobulinimas rekonstruojant Druskininkų miesto gatvių infrastruktūrą</v>
      </c>
      <c r="E83" s="366" t="str">
        <f>CONCATENATE('3 pr-2'!E84)</f>
        <v>Druskininkų savivaldybės administracija</v>
      </c>
      <c r="F83" s="366" t="str">
        <f>CONCATENATE('3 pr-2'!F84)</f>
        <v>Lietuvos Respublikos susisiekimo ministerija</v>
      </c>
      <c r="G83" s="366" t="str">
        <f>CONCATENATE('3 pr-2'!G84)</f>
        <v>Druskininkų sav.</v>
      </c>
      <c r="H83" s="366" t="str">
        <f>CONCATENATE('3 pr-2'!H84)</f>
        <v>04.5.1.-TID-R-514</v>
      </c>
      <c r="I83" s="366" t="str">
        <f>CONCATENATE('3 pr-2'!I84)</f>
        <v>R</v>
      </c>
      <c r="J83" s="366" t="str">
        <f>CONCATENATE('3 pr-2'!J84)</f>
        <v>-</v>
      </c>
      <c r="K83" s="1432">
        <f>SUM('3 pr-2'!L84)</f>
        <v>290000</v>
      </c>
      <c r="L83" s="1432">
        <f t="shared" ca="1" si="110"/>
        <v>0</v>
      </c>
      <c r="M83" s="1427">
        <f t="shared" ref="M83:M84" ca="1" si="136">SUM(K83-L83)</f>
        <v>290000</v>
      </c>
      <c r="N83" s="1428">
        <f t="shared" ref="N83:N84" ca="1" si="137">IF(L83&gt;0,K83-L83,0)</f>
        <v>0</v>
      </c>
      <c r="O83" s="1432">
        <f>SUM('3 pr-2'!O84)</f>
        <v>43500</v>
      </c>
      <c r="P83" s="1432">
        <f ca="1">SUMIF('sutarčių ataskaita'!$J$19:$J$2600,C83,'sutarčių ataskaita'!$DK$19:$DK$600)</f>
        <v>0</v>
      </c>
      <c r="Q83" s="1432">
        <f t="shared" ref="Q83:Q84" ca="1" si="138">SUM(O83-P83)</f>
        <v>43500</v>
      </c>
      <c r="R83" s="1432">
        <f t="shared" ref="R83:R84" ca="1" si="139">IF(P83&gt;0,O83-P83,0)</f>
        <v>0</v>
      </c>
      <c r="S83" s="1432">
        <f>SUM('3 pr-2'!R84)</f>
        <v>0</v>
      </c>
      <c r="T83" s="1432">
        <f ca="1">SUMIF('sutarčių ataskaita'!$J$19:$J$2600,C83,'sutarčių ataskaita'!$DG$19:$DG$600)</f>
        <v>0</v>
      </c>
      <c r="U83" s="1432">
        <f t="shared" ref="U83:U84" ca="1" si="140">SUM(S83-T83)</f>
        <v>0</v>
      </c>
      <c r="V83" s="1432">
        <f t="shared" ref="V83:V84" ca="1" si="141">IF(T83&gt;0,S83-T83,0)</f>
        <v>0</v>
      </c>
      <c r="W83" s="1432">
        <f>SUM('3 pr-2'!U84)</f>
        <v>0</v>
      </c>
      <c r="X83" s="1296">
        <f ca="1">SUMIF('sutarčių ataskaita'!$J$19:$J$2600,C83,'sutarčių ataskaita'!$DM$19:$DM$600)</f>
        <v>0</v>
      </c>
      <c r="Y83" s="1432">
        <f t="shared" ref="Y83:Y84" ca="1" si="142">SUM(W83-X83)</f>
        <v>0</v>
      </c>
      <c r="Z83" s="1432">
        <f t="shared" ref="Z83:Z84" ca="1" si="143">IF(X83&gt;0,W83-X83,0)</f>
        <v>0</v>
      </c>
      <c r="AA83" s="1432">
        <f>SUM('3 pr-2'!X84)</f>
        <v>0</v>
      </c>
      <c r="AB83" s="1432">
        <f ca="1">SUMIF('sutarčių ataskaita'!$J$19:$J$2600,C83,'sutarčių ataskaita'!$DL$19:$DL$600)+SUMIF('sutarčių ataskaita'!$J$19:$J$2600,C83,'sutarčių ataskaita'!$DJ$19:$DJ$600)</f>
        <v>0</v>
      </c>
      <c r="AC83" s="1432">
        <f t="shared" ref="AC83:AC84" ca="1" si="144">SUM(AA83-AB83)</f>
        <v>0</v>
      </c>
      <c r="AD83" s="1432">
        <f t="shared" ref="AD83:AD84" ca="1" si="145">IF(AB83&gt;0,AA83-AB83,0)</f>
        <v>0</v>
      </c>
      <c r="AE83" s="1432">
        <f>SUM('3 pr-2'!AA84)</f>
        <v>246500</v>
      </c>
      <c r="AF83" s="1432">
        <f ca="1">SUMIF('sutarčių ataskaita'!$J$19:$J$2600,C83,'sutarčių ataskaita'!$DF$19:$DF$600)</f>
        <v>0</v>
      </c>
      <c r="AG83" s="1429">
        <f t="shared" ref="AG83:AG84" ca="1" si="146">SUM(AE83-AF83)</f>
        <v>246500</v>
      </c>
      <c r="AH83" s="1430">
        <f t="shared" ref="AH83:AH84" ca="1" si="147">IF(AF83&gt;0,AE83-AF83,0)</f>
        <v>0</v>
      </c>
      <c r="AI83" s="1296">
        <f>SUM('3 pr-2'!AB85)</f>
        <v>0</v>
      </c>
      <c r="AJ83" s="1432"/>
    </row>
    <row r="84" spans="1:36" ht="37.5" thickBot="1" x14ac:dyDescent="0.3">
      <c r="A84" s="366" t="str">
        <f>CONCATENATE('3 pr-2'!A85)</f>
        <v>1.1.2.2.6</v>
      </c>
      <c r="B84" s="182" t="str">
        <f>CONCATENATE('3 pr-2'!B85)</f>
        <v>R01-5514-190000-1226</v>
      </c>
      <c r="C84" s="652" t="str">
        <f>IF('ketv. 4 '!X85&gt;0,'ketv. 4 '!C85,"-")</f>
        <v>-</v>
      </c>
      <c r="D84" s="366" t="str">
        <f>CONCATENATE('3 pr-2'!D85)</f>
        <v>Vandens transporto infrastruktūros įrengimas skatinant kitų rūšių transportą</v>
      </c>
      <c r="E84" s="366" t="str">
        <f>CONCATENATE('3 pr-2'!E85)</f>
        <v>Druskininkų savivaldybės administracija</v>
      </c>
      <c r="F84" s="366" t="str">
        <f>CONCATENATE('3 pr-2'!F85)</f>
        <v>Lietuvos Respublikos susisiekimo ministerija</v>
      </c>
      <c r="G84" s="366" t="str">
        <f>CONCATENATE('3 pr-2'!G85)</f>
        <v>Druskininkų sav.</v>
      </c>
      <c r="H84" s="366" t="str">
        <f>CONCATENATE('3 pr-2'!H85)</f>
        <v>04.5.1.-TID-R-514</v>
      </c>
      <c r="I84" s="366" t="str">
        <f>CONCATENATE('3 pr-2'!I85)</f>
        <v>R</v>
      </c>
      <c r="J84" s="366" t="str">
        <f>CONCATENATE('3 pr-2'!J85)</f>
        <v>-</v>
      </c>
      <c r="K84" s="1432">
        <f>SUM('3 pr-2'!L85)</f>
        <v>250000</v>
      </c>
      <c r="L84" s="1432">
        <f t="shared" ca="1" si="110"/>
        <v>0</v>
      </c>
      <c r="M84" s="1427">
        <f t="shared" ca="1" si="136"/>
        <v>250000</v>
      </c>
      <c r="N84" s="1428">
        <f t="shared" ca="1" si="137"/>
        <v>0</v>
      </c>
      <c r="O84" s="1432">
        <f>SUM('3 pr-2'!O85)</f>
        <v>37500</v>
      </c>
      <c r="P84" s="1432">
        <f ca="1">SUMIF('sutarčių ataskaita'!$J$19:$J$2600,C84,'sutarčių ataskaita'!$DK$19:$DK$600)</f>
        <v>0</v>
      </c>
      <c r="Q84" s="1432">
        <f t="shared" ca="1" si="138"/>
        <v>37500</v>
      </c>
      <c r="R84" s="1432">
        <f t="shared" ca="1" si="139"/>
        <v>0</v>
      </c>
      <c r="S84" s="1432">
        <f>SUM('3 pr-2'!R85)</f>
        <v>0</v>
      </c>
      <c r="T84" s="1432">
        <f ca="1">SUMIF('sutarčių ataskaita'!$J$19:$J$2600,C84,'sutarčių ataskaita'!$DG$19:$DG$600)</f>
        <v>0</v>
      </c>
      <c r="U84" s="1432">
        <f t="shared" ca="1" si="140"/>
        <v>0</v>
      </c>
      <c r="V84" s="1432">
        <f t="shared" ca="1" si="141"/>
        <v>0</v>
      </c>
      <c r="W84" s="1432">
        <f>SUM('3 pr-2'!U85)</f>
        <v>0</v>
      </c>
      <c r="X84" s="1296">
        <f ca="1">SUMIF('sutarčių ataskaita'!$J$19:$J$2600,C84,'sutarčių ataskaita'!$DM$19:$DM$600)</f>
        <v>0</v>
      </c>
      <c r="Y84" s="1432">
        <f t="shared" ca="1" si="142"/>
        <v>0</v>
      </c>
      <c r="Z84" s="1432">
        <f t="shared" ca="1" si="143"/>
        <v>0</v>
      </c>
      <c r="AA84" s="1432">
        <f>SUM('3 pr-2'!X85)</f>
        <v>0</v>
      </c>
      <c r="AB84" s="1432">
        <f ca="1">SUMIF('sutarčių ataskaita'!$J$19:$J$2600,C84,'sutarčių ataskaita'!$DL$19:$DL$600)+SUMIF('sutarčių ataskaita'!$J$19:$J$2600,C84,'sutarčių ataskaita'!$DJ$19:$DJ$600)</f>
        <v>0</v>
      </c>
      <c r="AC84" s="1432">
        <f t="shared" ca="1" si="144"/>
        <v>0</v>
      </c>
      <c r="AD84" s="1432">
        <f t="shared" ca="1" si="145"/>
        <v>0</v>
      </c>
      <c r="AE84" s="1432">
        <f>SUM('3 pr-2'!AA85)</f>
        <v>212500</v>
      </c>
      <c r="AF84" s="1432">
        <f ca="1">SUMIF('sutarčių ataskaita'!$J$19:$J$2600,C84,'sutarčių ataskaita'!$DF$19:$DF$600)</f>
        <v>0</v>
      </c>
      <c r="AG84" s="1429">
        <f t="shared" ca="1" si="146"/>
        <v>212500</v>
      </c>
      <c r="AH84" s="1430">
        <f t="shared" ca="1" si="147"/>
        <v>0</v>
      </c>
      <c r="AI84" s="1296">
        <f>SUM('3 pr-2'!AB86)</f>
        <v>0</v>
      </c>
      <c r="AJ84" s="1432"/>
    </row>
    <row r="85" spans="1:36" ht="33.75" customHeight="1" thickBot="1" x14ac:dyDescent="0.3">
      <c r="A85" s="326" t="str">
        <f>CONCATENATE('3 pr-2'!A86)</f>
        <v>1.1.2.3</v>
      </c>
      <c r="B85" s="2025" t="str">
        <f>CONCATENATE('3 pr-2'!B86)</f>
        <v>Priemonė:
Pėsčiųjų ir dviračių takų rekonstrukcija ir plėtra</v>
      </c>
      <c r="C85" s="2026"/>
      <c r="D85" s="2026"/>
      <c r="E85" s="2026"/>
      <c r="F85" s="2026"/>
      <c r="G85" s="2026"/>
      <c r="H85" s="2026"/>
      <c r="I85" s="2026"/>
      <c r="J85" s="2027"/>
      <c r="K85" s="1293">
        <f>SUM('3 pr-2'!L86)</f>
        <v>490058.56</v>
      </c>
      <c r="L85" s="1293">
        <f ca="1">SUM(L86:L90)</f>
        <v>421638.05</v>
      </c>
      <c r="M85" s="1422">
        <f ca="1">SUM(M86:M90)</f>
        <v>68420.509999999995</v>
      </c>
      <c r="N85" s="1423">
        <f ca="1">SUM(N86:N90)</f>
        <v>-2668.4900000000052</v>
      </c>
      <c r="O85" s="1293">
        <f>SUM('3 pr-2'!O86)</f>
        <v>77351.429999999993</v>
      </c>
      <c r="P85" s="1293">
        <f ca="1">SUM(P86:P90)</f>
        <v>69600.359999999986</v>
      </c>
      <c r="Q85" s="1293">
        <f ca="1">SUM(Q86:Q90)</f>
        <v>7751.0700000000033</v>
      </c>
      <c r="R85" s="1293">
        <f ca="1">SUM(R86:R90)</f>
        <v>-6714.9299999999967</v>
      </c>
      <c r="S85" s="1293">
        <f>SUM('3 pr-2'!R86)</f>
        <v>0</v>
      </c>
      <c r="T85" s="1293">
        <f ca="1">SUM(T86:T90)</f>
        <v>0</v>
      </c>
      <c r="U85" s="1293">
        <f ca="1">SUM(U86:U90)</f>
        <v>0</v>
      </c>
      <c r="V85" s="1293">
        <f ca="1">SUM(V86:V90)</f>
        <v>0</v>
      </c>
      <c r="W85" s="1293">
        <f>SUM('3 pr-2'!U86)</f>
        <v>0</v>
      </c>
      <c r="X85" s="1293">
        <f ca="1">SUM(X86:X90)</f>
        <v>0</v>
      </c>
      <c r="Y85" s="1293">
        <f ca="1">SUM(Y86:Y90)</f>
        <v>0</v>
      </c>
      <c r="Z85" s="1293">
        <f ca="1">SUM(Z86:Z90)</f>
        <v>0</v>
      </c>
      <c r="AA85" s="1293">
        <f>SUM('3 pr-2'!X86)</f>
        <v>0</v>
      </c>
      <c r="AB85" s="1293">
        <f ca="1">SUM(AB86:AB90)</f>
        <v>0</v>
      </c>
      <c r="AC85" s="1293">
        <f ca="1">SUM(AC86:AC90)</f>
        <v>0</v>
      </c>
      <c r="AD85" s="1293">
        <f ca="1">SUM(AD86:AD90)</f>
        <v>0</v>
      </c>
      <c r="AE85" s="1293">
        <f>SUM('3 pr-2'!AA86)</f>
        <v>412707.13</v>
      </c>
      <c r="AF85" s="1293">
        <f ca="1">SUM(AF86:AF90)</f>
        <v>352037.69</v>
      </c>
      <c r="AG85" s="1448">
        <f ca="1">SUM(AG86:AG90)</f>
        <v>60669.440000000002</v>
      </c>
      <c r="AH85" s="1449">
        <f ca="1">SUM(AH86:AH90)</f>
        <v>4046.4400000000023</v>
      </c>
      <c r="AI85" s="1293"/>
      <c r="AJ85" s="1293"/>
    </row>
    <row r="86" spans="1:36" ht="36.75" x14ac:dyDescent="0.25">
      <c r="A86" s="366" t="str">
        <f>CONCATENATE('3 pr-2'!A87)</f>
        <v>1.1.2.3.1</v>
      </c>
      <c r="B86" s="182" t="str">
        <f>CONCATENATE('3 pr-2'!B87)</f>
        <v>R01-5516-190000-1231</v>
      </c>
      <c r="C86" s="652" t="str">
        <f>IF('ketv. 4 '!X87&gt;0,'ketv. 4 '!C87,"-")</f>
        <v>04.5.1-TID-R-516-11-0004</v>
      </c>
      <c r="D86" s="366" t="str">
        <f>CONCATENATE('3 pr-2'!D87)</f>
        <v>Dviračių ir pėsčiųjų takų įrengimas Varėnos miesto J. Basanavičiaus ir Žiedo gatvėse</v>
      </c>
      <c r="E86" s="366" t="str">
        <f>CONCATENATE('3 pr-2'!E87)</f>
        <v>Varėnos rajono savivaldybės administracija</v>
      </c>
      <c r="F86" s="366" t="str">
        <f>CONCATENATE('3 pr-2'!F87)</f>
        <v>Lietuvos Respublikos susisiekimo ministerija</v>
      </c>
      <c r="G86" s="366" t="str">
        <f>CONCATENATE('3 pr-2'!G87)</f>
        <v>Varėnos r. sav.</v>
      </c>
      <c r="H86" s="366" t="str">
        <f>CONCATENATE('3 pr-2'!H87)</f>
        <v>04.5.1-TID-R-516</v>
      </c>
      <c r="I86" s="366" t="str">
        <f>CONCATENATE('3 pr-2'!I87)</f>
        <v>R</v>
      </c>
      <c r="J86" s="366" t="str">
        <f>CONCATENATE('3 pr-2'!J87)</f>
        <v>ITI</v>
      </c>
      <c r="K86" s="1432">
        <f>SUM('3 pr-2'!L87)</f>
        <v>96513</v>
      </c>
      <c r="L86" s="1426">
        <f t="shared" ca="1" si="110"/>
        <v>95080</v>
      </c>
      <c r="M86" s="1427">
        <f t="shared" ref="M86:M90" ca="1" si="148">SUM(K86-L86)</f>
        <v>1433</v>
      </c>
      <c r="N86" s="1428">
        <f t="shared" ref="N86:N90" ca="1" si="149">IF(L86&gt;0,K86-L86,0)</f>
        <v>1433</v>
      </c>
      <c r="O86" s="1432">
        <f>SUM('3 pr-2'!O87)</f>
        <v>14477</v>
      </c>
      <c r="P86" s="1426">
        <f ca="1">SUMIF('sutarčių ataskaita'!$J$19:$J$2600,C86,'sutarčių ataskaita'!$DK$19:$DK$600)</f>
        <v>14270</v>
      </c>
      <c r="Q86" s="1432">
        <f t="shared" ref="Q86:Q90" ca="1" si="150">SUM(O86-P86)</f>
        <v>207</v>
      </c>
      <c r="R86" s="1432">
        <f t="shared" ref="R86:R90" ca="1" si="151">IF(P86&gt;0,O86-P86,0)</f>
        <v>207</v>
      </c>
      <c r="S86" s="1432">
        <f>SUM('3 pr-2'!R87)</f>
        <v>0</v>
      </c>
      <c r="T86" s="1432">
        <f ca="1">SUMIF('sutarčių ataskaita'!$J$19:$J$2600,C86,'sutarčių ataskaita'!$DG$19:$DG$600)</f>
        <v>0</v>
      </c>
      <c r="U86" s="1432">
        <f t="shared" ref="U86:U90" ca="1" si="152">SUM(S86-T86)</f>
        <v>0</v>
      </c>
      <c r="V86" s="1432">
        <f t="shared" ref="V86:V90" ca="1" si="153">IF(T86&gt;0,S86-T86,0)</f>
        <v>0</v>
      </c>
      <c r="W86" s="1432">
        <f>SUM('3 pr-2'!U87)</f>
        <v>0</v>
      </c>
      <c r="X86" s="1296">
        <f ca="1">SUMIF('sutarčių ataskaita'!$J$19:$J$2600,C86,'sutarčių ataskaita'!$DM$19:$DM$600)</f>
        <v>0</v>
      </c>
      <c r="Y86" s="1432">
        <f t="shared" ref="Y86:Y90" ca="1" si="154">SUM(W86-X86)</f>
        <v>0</v>
      </c>
      <c r="Z86" s="1432">
        <f t="shared" ref="Z86:Z90" ca="1" si="155">IF(X86&gt;0,W86-X86,0)</f>
        <v>0</v>
      </c>
      <c r="AA86" s="1432">
        <f>SUM('3 pr-2'!X87)</f>
        <v>0</v>
      </c>
      <c r="AB86" s="1432">
        <f ca="1">SUMIF('sutarčių ataskaita'!$J$19:$J$2600,C86,'sutarčių ataskaita'!$DL$19:$DL$600)+SUMIF('sutarčių ataskaita'!$J$19:$J$2600,C86,'sutarčių ataskaita'!$DJ$19:$DJ$600)</f>
        <v>0</v>
      </c>
      <c r="AC86" s="1432">
        <f ca="1">SUM(AA86-AB86)</f>
        <v>0</v>
      </c>
      <c r="AD86" s="1432">
        <f t="shared" ref="AD86:AD90" ca="1" si="156">IF(AB86&gt;0,AA86-AB86,0)</f>
        <v>0</v>
      </c>
      <c r="AE86" s="1432">
        <f>SUM('3 pr-2'!AA87)</f>
        <v>82036</v>
      </c>
      <c r="AF86" s="1426">
        <f ca="1">SUMIF('sutarčių ataskaita'!$J$19:$J$2600,C86,'sutarčių ataskaita'!$DF$19:$DF$600)</f>
        <v>80810</v>
      </c>
      <c r="AG86" s="1429">
        <f t="shared" ref="AG86:AG90" ca="1" si="157">SUM(AE86-AF86)</f>
        <v>1226</v>
      </c>
      <c r="AH86" s="1430">
        <f t="shared" ref="AH86:AH90" ca="1" si="158">IF(AF86&gt;0,AE86-AF86,0)</f>
        <v>1226</v>
      </c>
      <c r="AI86" s="1296">
        <f>SUM('3 pr-2'!AB88)</f>
        <v>0</v>
      </c>
      <c r="AJ86" s="1426">
        <v>0</v>
      </c>
    </row>
    <row r="87" spans="1:36" ht="36.75" x14ac:dyDescent="0.25">
      <c r="A87" s="366" t="str">
        <f>CONCATENATE('3 pr-2'!A88)</f>
        <v>1.1.2.3.2</v>
      </c>
      <c r="B87" s="182" t="str">
        <f>CONCATENATE('3 pr-2'!B88)</f>
        <v>R01-5516-190000-1232</v>
      </c>
      <c r="C87" s="652" t="str">
        <f>IF('ketv. 4 '!X88&gt;0,'ketv. 4 '!C88,"-")</f>
        <v>04.5.1-TID-R-516-11-0001</v>
      </c>
      <c r="D87" s="366" t="str">
        <f>CONCATENATE('3 pr-2'!D88)</f>
        <v>Dviračių trasų infrastruktūros įrengimas nuo Putinų g. žiedo Pramonės gatvėje, Alytaus mieste</v>
      </c>
      <c r="E87" s="366" t="str">
        <f>CONCATENATE('3 pr-2'!E88)</f>
        <v>Alytaus miesto savivaldybės administracija</v>
      </c>
      <c r="F87" s="366" t="str">
        <f>CONCATENATE('3 pr-2'!F88)</f>
        <v>Lietuvos Respublikos susisiekimo ministerija</v>
      </c>
      <c r="G87" s="366" t="str">
        <f>CONCATENATE('3 pr-2'!G88)</f>
        <v>Alytaus m. sav.</v>
      </c>
      <c r="H87" s="366" t="str">
        <f>CONCATENATE('3 pr-2'!H88)</f>
        <v>04.5.1-TID-R-516</v>
      </c>
      <c r="I87" s="366" t="str">
        <f>CONCATENATE('3 pr-2'!I88)</f>
        <v>R</v>
      </c>
      <c r="J87" s="366" t="str">
        <f>CONCATENATE('3 pr-2'!J88)</f>
        <v>ITI</v>
      </c>
      <c r="K87" s="1432">
        <f>SUM('3 pr-2'!L88)</f>
        <v>135732</v>
      </c>
      <c r="L87" s="1426">
        <f t="shared" ca="1" si="110"/>
        <v>133670.07</v>
      </c>
      <c r="M87" s="1427">
        <f t="shared" ca="1" si="148"/>
        <v>2061.929999999993</v>
      </c>
      <c r="N87" s="1428">
        <f t="shared" ca="1" si="149"/>
        <v>2061.929999999993</v>
      </c>
      <c r="O87" s="1432">
        <f>SUM('3 pr-2'!O88)</f>
        <v>20400</v>
      </c>
      <c r="P87" s="1426">
        <f ca="1">SUMIF('sutarčių ataskaita'!$J$19:$J$2600,C87,'sutarčių ataskaita'!$DK$19:$DK$600)</f>
        <v>20050.509999999998</v>
      </c>
      <c r="Q87" s="1432">
        <f t="shared" ca="1" si="150"/>
        <v>349.4900000000016</v>
      </c>
      <c r="R87" s="1432">
        <f t="shared" ca="1" si="151"/>
        <v>349.4900000000016</v>
      </c>
      <c r="S87" s="1432">
        <f>SUM('3 pr-2'!R88)</f>
        <v>0</v>
      </c>
      <c r="T87" s="1432">
        <f ca="1">SUMIF('sutarčių ataskaita'!$J$19:$J$2600,C87,'sutarčių ataskaita'!$DG$19:$DG$600)</f>
        <v>0</v>
      </c>
      <c r="U87" s="1432">
        <f t="shared" ca="1" si="152"/>
        <v>0</v>
      </c>
      <c r="V87" s="1432">
        <f t="shared" ca="1" si="153"/>
        <v>0</v>
      </c>
      <c r="W87" s="1432">
        <f>SUM('3 pr-2'!U88)</f>
        <v>0</v>
      </c>
      <c r="X87" s="1296">
        <f ca="1">SUMIF('sutarčių ataskaita'!$J$19:$J$2600,C87,'sutarčių ataskaita'!$DM$19:$DM$600)</f>
        <v>0</v>
      </c>
      <c r="Y87" s="1432">
        <f t="shared" ca="1" si="154"/>
        <v>0</v>
      </c>
      <c r="Z87" s="1432">
        <f t="shared" ca="1" si="155"/>
        <v>0</v>
      </c>
      <c r="AA87" s="1432">
        <f>SUM('3 pr-2'!X88)</f>
        <v>0</v>
      </c>
      <c r="AB87" s="1432">
        <f ca="1">SUMIF('sutarčių ataskaita'!$J$19:$J$2600,C87,'sutarčių ataskaita'!$DL$19:$DL$600)+SUMIF('sutarčių ataskaita'!$J$19:$J$2600,C87,'sutarčių ataskaita'!$DJ$19:$DJ$600)</f>
        <v>0</v>
      </c>
      <c r="AC87" s="1432">
        <f ca="1">SUM(AA87-AB87)</f>
        <v>0</v>
      </c>
      <c r="AD87" s="1432">
        <f t="shared" ca="1" si="156"/>
        <v>0</v>
      </c>
      <c r="AE87" s="1432">
        <f>SUM('3 pr-2'!AA88)</f>
        <v>115332</v>
      </c>
      <c r="AF87" s="1426">
        <f ca="1">SUMIF('sutarčių ataskaita'!$J$19:$J$2600,C87,'sutarčių ataskaita'!$DF$19:$DF$600)</f>
        <v>113619.56</v>
      </c>
      <c r="AG87" s="1429">
        <f t="shared" ca="1" si="157"/>
        <v>1712.4400000000023</v>
      </c>
      <c r="AH87" s="1430">
        <f t="shared" ca="1" si="158"/>
        <v>1712.4400000000023</v>
      </c>
      <c r="AI87" s="1296">
        <f>SUM('3 pr-2'!AB89)</f>
        <v>0</v>
      </c>
      <c r="AJ87" s="1426">
        <v>0</v>
      </c>
    </row>
    <row r="88" spans="1:36" ht="36.75" x14ac:dyDescent="0.25">
      <c r="A88" s="366" t="str">
        <f>CONCATENATE('3 pr-2'!A89)</f>
        <v>1.1.2.3.3</v>
      </c>
      <c r="B88" s="182" t="str">
        <f>CONCATENATE('3 pr-2'!B89)</f>
        <v>R01-5516-190000-1233</v>
      </c>
      <c r="C88" s="652" t="str">
        <f>IF('ketv. 4 '!X89&gt;0,'ketv. 4 '!C89,"-")</f>
        <v>04.5.1-TID-R-516-11-0002</v>
      </c>
      <c r="D88" s="366" t="str">
        <f>CONCATENATE('3 pr-2'!D89)</f>
        <v>Dviračių ir pėsčiųjų takų plėtra Lazdijų miesto Turistų gatvėje iki sodų bendrijos „Baltasis“ Lazdijų seniūnijoje</v>
      </c>
      <c r="E88" s="366" t="str">
        <f>CONCATENATE('3 pr-2'!E89)</f>
        <v>Lazdijų rajono savivaldybės administracija</v>
      </c>
      <c r="F88" s="366" t="str">
        <f>CONCATENATE('3 pr-2'!F89)</f>
        <v>Lietuvos Respublikos susisiekimo ministerija</v>
      </c>
      <c r="G88" s="366" t="str">
        <f>CONCATENATE('3 pr-2'!G89)</f>
        <v>Lazdijų r. sav.</v>
      </c>
      <c r="H88" s="366" t="str">
        <f>CONCATENATE('3 pr-2'!H89)</f>
        <v>04.5.1-TID-R-516</v>
      </c>
      <c r="I88" s="366" t="str">
        <f>CONCATENATE('3 pr-2'!I89)</f>
        <v>R</v>
      </c>
      <c r="J88" s="366" t="str">
        <f>CONCATENATE('3 pr-2'!J89)</f>
        <v>ITI</v>
      </c>
      <c r="K88" s="1432">
        <f>SUM('3 pr-2'!L89)</f>
        <v>87775</v>
      </c>
      <c r="L88" s="1426">
        <f t="shared" ca="1" si="110"/>
        <v>93938.42</v>
      </c>
      <c r="M88" s="1427">
        <f t="shared" ca="1" si="148"/>
        <v>-6163.4199999999983</v>
      </c>
      <c r="N88" s="1428">
        <f t="shared" ca="1" si="149"/>
        <v>-6163.4199999999983</v>
      </c>
      <c r="O88" s="1432">
        <f>SUM('3 pr-2'!O89)</f>
        <v>13166</v>
      </c>
      <c r="P88" s="1426">
        <f ca="1">SUMIF('sutarčių ataskaita'!$J$19:$J$2600,C88,'sutarčių ataskaita'!$DK$19:$DK$600)</f>
        <v>20437.419999999998</v>
      </c>
      <c r="Q88" s="1432">
        <f t="shared" ca="1" si="150"/>
        <v>-7271.4199999999983</v>
      </c>
      <c r="R88" s="1432">
        <f t="shared" ca="1" si="151"/>
        <v>-7271.4199999999983</v>
      </c>
      <c r="S88" s="1432">
        <f>SUM('3 pr-2'!R89)</f>
        <v>0</v>
      </c>
      <c r="T88" s="1432">
        <f ca="1">SUMIF('sutarčių ataskaita'!$J$19:$J$2600,C88,'sutarčių ataskaita'!$DG$19:$DG$600)</f>
        <v>0</v>
      </c>
      <c r="U88" s="1432">
        <f t="shared" ca="1" si="152"/>
        <v>0</v>
      </c>
      <c r="V88" s="1432">
        <f t="shared" ca="1" si="153"/>
        <v>0</v>
      </c>
      <c r="W88" s="1432">
        <f>SUM('3 pr-2'!U89)</f>
        <v>0</v>
      </c>
      <c r="X88" s="1296">
        <f ca="1">SUMIF('sutarčių ataskaita'!$J$19:$J$2600,C88,'sutarčių ataskaita'!$DM$19:$DM$600)</f>
        <v>0</v>
      </c>
      <c r="Y88" s="1432">
        <f t="shared" ca="1" si="154"/>
        <v>0</v>
      </c>
      <c r="Z88" s="1432">
        <f t="shared" ca="1" si="155"/>
        <v>0</v>
      </c>
      <c r="AA88" s="1432">
        <f>SUM('3 pr-2'!X89)</f>
        <v>0</v>
      </c>
      <c r="AB88" s="1432">
        <f ca="1">SUMIF('sutarčių ataskaita'!$J$19:$J$2600,C88,'sutarčių ataskaita'!$DL$19:$DL$600)+SUMIF('sutarčių ataskaita'!$J$19:$J$2600,C88,'sutarčių ataskaita'!$DJ$19:$DJ$600)</f>
        <v>0</v>
      </c>
      <c r="AC88" s="1432">
        <f ca="1">SUM(AA88-AB88)</f>
        <v>0</v>
      </c>
      <c r="AD88" s="1432">
        <f t="shared" ca="1" si="156"/>
        <v>0</v>
      </c>
      <c r="AE88" s="1432">
        <f>SUM('3 pr-2'!AA89)</f>
        <v>74609</v>
      </c>
      <c r="AF88" s="1426">
        <f ca="1">SUMIF('sutarčių ataskaita'!$J$19:$J$2600,C88,'sutarčių ataskaita'!$DF$19:$DF$600)</f>
        <v>73501</v>
      </c>
      <c r="AG88" s="1429">
        <f t="shared" ca="1" si="157"/>
        <v>1108</v>
      </c>
      <c r="AH88" s="1430">
        <f t="shared" ca="1" si="158"/>
        <v>1108</v>
      </c>
      <c r="AI88" s="1296">
        <f>SUM('3 pr-2'!AB90)</f>
        <v>0</v>
      </c>
      <c r="AJ88" s="1426">
        <v>0</v>
      </c>
    </row>
    <row r="89" spans="1:36" ht="36.75" x14ac:dyDescent="0.25">
      <c r="A89" s="366" t="str">
        <f>CONCATENATE('3 pr-2'!A90)</f>
        <v>1.1.2.3.4</v>
      </c>
      <c r="B89" s="182" t="str">
        <f>CONCATENATE('3 pr-2'!B90)</f>
        <v>R01-5516-190000-1234</v>
      </c>
      <c r="C89" s="652" t="str">
        <f>IF('ketv. 4 '!X90&gt;0,'ketv. 4 '!C90,"-")</f>
        <v>04.5.1-TID-R-516-11-0005</v>
      </c>
      <c r="D89" s="366" t="str">
        <f>CONCATENATE('3 pr-2'!D90)</f>
        <v>Pėsčiųjų ir dviračių takų plėtra Simno seniūnijoje</v>
      </c>
      <c r="E89" s="366" t="str">
        <f>CONCATENATE('3 pr-2'!E90)</f>
        <v>Alytaus rajono savivaldybės administracija</v>
      </c>
      <c r="F89" s="366" t="str">
        <f>CONCATENATE('3 pr-2'!F90)</f>
        <v>Lietuvos Respublikos susisiekimo ministerija</v>
      </c>
      <c r="G89" s="366" t="str">
        <f>CONCATENATE('3 pr-2'!G90)</f>
        <v>Alytaus r. sav.</v>
      </c>
      <c r="H89" s="366" t="str">
        <f>CONCATENATE('3 pr-2'!H90)</f>
        <v>04.5.1-TID-R-516</v>
      </c>
      <c r="I89" s="366" t="str">
        <f>CONCATENATE('3 pr-2'!I90)</f>
        <v>R</v>
      </c>
      <c r="J89" s="366" t="str">
        <f>CONCATENATE('3 pr-2'!J90)</f>
        <v>-</v>
      </c>
      <c r="K89" s="1432">
        <f>SUM('3 pr-2'!L90)</f>
        <v>98949.56</v>
      </c>
      <c r="L89" s="1426">
        <f t="shared" ca="1" si="110"/>
        <v>98949.56</v>
      </c>
      <c r="M89" s="1427">
        <f t="shared" ca="1" si="148"/>
        <v>0</v>
      </c>
      <c r="N89" s="1428">
        <f t="shared" ca="1" si="149"/>
        <v>0</v>
      </c>
      <c r="O89" s="1432">
        <f>SUM('3 pr-2'!O90)</f>
        <v>14842.43</v>
      </c>
      <c r="P89" s="1426">
        <f ca="1">SUMIF('sutarčių ataskaita'!$J$19:$J$2600,C89,'sutarčių ataskaita'!$DK$19:$DK$600)</f>
        <v>14842.43</v>
      </c>
      <c r="Q89" s="1432">
        <f t="shared" ca="1" si="150"/>
        <v>0</v>
      </c>
      <c r="R89" s="1432">
        <f t="shared" ca="1" si="151"/>
        <v>0</v>
      </c>
      <c r="S89" s="1432">
        <f>SUM('3 pr-2'!R90)</f>
        <v>0</v>
      </c>
      <c r="T89" s="1432">
        <f ca="1">SUMIF('sutarčių ataskaita'!$J$19:$J$2600,C89,'sutarčių ataskaita'!$DG$19:$DG$600)</f>
        <v>0</v>
      </c>
      <c r="U89" s="1432">
        <f t="shared" ca="1" si="152"/>
        <v>0</v>
      </c>
      <c r="V89" s="1432">
        <f t="shared" ca="1" si="153"/>
        <v>0</v>
      </c>
      <c r="W89" s="1432">
        <f>SUM('3 pr-2'!U90)</f>
        <v>0</v>
      </c>
      <c r="X89" s="1296">
        <f ca="1">SUMIF('sutarčių ataskaita'!$J$19:$J$2600,C89,'sutarčių ataskaita'!$DM$19:$DM$600)</f>
        <v>0</v>
      </c>
      <c r="Y89" s="1432">
        <f t="shared" ca="1" si="154"/>
        <v>0</v>
      </c>
      <c r="Z89" s="1432">
        <f t="shared" ca="1" si="155"/>
        <v>0</v>
      </c>
      <c r="AA89" s="1432">
        <f>SUM('3 pr-2'!X90)</f>
        <v>0</v>
      </c>
      <c r="AB89" s="1432">
        <f ca="1">SUMIF('sutarčių ataskaita'!$J$19:$J$2600,C89,'sutarčių ataskaita'!$DL$19:$DL$600)+SUMIF('sutarčių ataskaita'!$J$19:$J$2600,C89,'sutarčių ataskaita'!$DJ$19:$DJ$600)</f>
        <v>0</v>
      </c>
      <c r="AC89" s="1432">
        <f ca="1">SUM(AA89-AB89)</f>
        <v>0</v>
      </c>
      <c r="AD89" s="1432">
        <f t="shared" ca="1" si="156"/>
        <v>0</v>
      </c>
      <c r="AE89" s="1432">
        <f>SUM('3 pr-2'!AA90)</f>
        <v>84107.13</v>
      </c>
      <c r="AF89" s="1426">
        <f ca="1">SUMIF('sutarčių ataskaita'!$J$19:$J$2600,C89,'sutarčių ataskaita'!$DF$19:$DF$600)</f>
        <v>84107.13</v>
      </c>
      <c r="AG89" s="1429">
        <f t="shared" ca="1" si="157"/>
        <v>0</v>
      </c>
      <c r="AH89" s="1430">
        <f t="shared" ca="1" si="158"/>
        <v>0</v>
      </c>
      <c r="AI89" s="1296">
        <f>SUM('3 pr-2'!AB91)</f>
        <v>0</v>
      </c>
      <c r="AJ89" s="1426">
        <v>0</v>
      </c>
    </row>
    <row r="90" spans="1:36" ht="37.5" thickBot="1" x14ac:dyDescent="0.3">
      <c r="A90" s="366" t="str">
        <f>CONCATENATE('3 pr-2'!A91)</f>
        <v>1.1.2.3.5</v>
      </c>
      <c r="B90" s="182" t="str">
        <f>CONCATENATE('3 pr-2'!B91)</f>
        <v>R01-5516-190000-1235</v>
      </c>
      <c r="C90" s="652" t="str">
        <f>IF('ketv. 4 '!X91&gt;0,'ketv. 4 '!C91,"-")</f>
        <v>-</v>
      </c>
      <c r="D90" s="366" t="str">
        <f>CONCATENATE('3 pr-2'!D91)</f>
        <v>Dviračių ir pėsčiųjų tako, esančio šalia Ratnyčios upelio, Druskininkų mieste, rekonstrukcija</v>
      </c>
      <c r="E90" s="366" t="str">
        <f>CONCATENATE('3 pr-2'!E91)</f>
        <v xml:space="preserve">Druskininkų savivaldybės administracija  </v>
      </c>
      <c r="F90" s="366" t="str">
        <f>CONCATENATE('3 pr-2'!F91)</f>
        <v>Lietuvos Respublikos susisiekimo ministerija</v>
      </c>
      <c r="G90" s="366" t="str">
        <f>CONCATENATE('3 pr-2'!G91)</f>
        <v>Druskininkų sav.</v>
      </c>
      <c r="H90" s="366" t="str">
        <f>CONCATENATE('3 pr-2'!H91)</f>
        <v>04.5.1-TID-R-516</v>
      </c>
      <c r="I90" s="366" t="str">
        <f>CONCATENATE('3 pr-2'!I91)</f>
        <v>R</v>
      </c>
      <c r="J90" s="366" t="str">
        <f>CONCATENATE('3 pr-2'!J91)</f>
        <v>-</v>
      </c>
      <c r="K90" s="1432">
        <f>SUM('3 pr-2'!L91)</f>
        <v>71089</v>
      </c>
      <c r="L90" s="1432">
        <f t="shared" ca="1" si="110"/>
        <v>0</v>
      </c>
      <c r="M90" s="1427">
        <f t="shared" ca="1" si="148"/>
        <v>71089</v>
      </c>
      <c r="N90" s="1428">
        <f t="shared" ca="1" si="149"/>
        <v>0</v>
      </c>
      <c r="O90" s="1432">
        <f>SUM('3 pr-2'!O91)</f>
        <v>14466</v>
      </c>
      <c r="P90" s="1432">
        <f ca="1">SUMIF('sutarčių ataskaita'!$J$19:$J$2600,C90,'sutarčių ataskaita'!$DK$19:$DK$600)</f>
        <v>0</v>
      </c>
      <c r="Q90" s="1432">
        <f t="shared" ca="1" si="150"/>
        <v>14466</v>
      </c>
      <c r="R90" s="1432">
        <f t="shared" ca="1" si="151"/>
        <v>0</v>
      </c>
      <c r="S90" s="1432">
        <f>SUM('3 pr-2'!R91)</f>
        <v>0</v>
      </c>
      <c r="T90" s="1432">
        <f ca="1">SUMIF('sutarčių ataskaita'!$J$19:$J$2600,C90,'sutarčių ataskaita'!$DG$19:$DG$600)</f>
        <v>0</v>
      </c>
      <c r="U90" s="1432">
        <f t="shared" ca="1" si="152"/>
        <v>0</v>
      </c>
      <c r="V90" s="1432">
        <f t="shared" ca="1" si="153"/>
        <v>0</v>
      </c>
      <c r="W90" s="1432">
        <f>SUM('3 pr-2'!U91)</f>
        <v>0</v>
      </c>
      <c r="X90" s="1296">
        <f ca="1">SUMIF('sutarčių ataskaita'!$J$19:$J$2600,C90,'sutarčių ataskaita'!$DM$19:$DM$600)</f>
        <v>0</v>
      </c>
      <c r="Y90" s="1432">
        <f t="shared" ca="1" si="154"/>
        <v>0</v>
      </c>
      <c r="Z90" s="1432">
        <f t="shared" ca="1" si="155"/>
        <v>0</v>
      </c>
      <c r="AA90" s="1432">
        <f>SUM('3 pr-2'!X91)</f>
        <v>0</v>
      </c>
      <c r="AB90" s="1432">
        <f ca="1">SUMIF('sutarčių ataskaita'!$J$19:$J$2600,C90,'sutarčių ataskaita'!$DL$19:$DL$600)+SUMIF('sutarčių ataskaita'!$J$19:$J$2600,C90,'sutarčių ataskaita'!$DJ$19:$DJ$600)</f>
        <v>0</v>
      </c>
      <c r="AC90" s="1432">
        <f ca="1">SUM(AA90-AB90)</f>
        <v>0</v>
      </c>
      <c r="AD90" s="1432">
        <f t="shared" ca="1" si="156"/>
        <v>0</v>
      </c>
      <c r="AE90" s="1432">
        <f>SUM('3 pr-2'!AA91)</f>
        <v>56623</v>
      </c>
      <c r="AF90" s="1432">
        <f ca="1">SUMIF('sutarčių ataskaita'!$J$19:$J$2600,C90,'sutarčių ataskaita'!$DF$19:$DF$600)</f>
        <v>0</v>
      </c>
      <c r="AG90" s="1429">
        <f t="shared" ca="1" si="157"/>
        <v>56623</v>
      </c>
      <c r="AH90" s="1430">
        <f t="shared" ca="1" si="158"/>
        <v>0</v>
      </c>
      <c r="AI90" s="1296">
        <f>SUM('3 pr-2'!AB92)</f>
        <v>0</v>
      </c>
      <c r="AJ90" s="1432"/>
    </row>
    <row r="91" spans="1:36" ht="35.25" customHeight="1" thickBot="1" x14ac:dyDescent="0.3">
      <c r="A91" s="326" t="str">
        <f>CONCATENATE('3 pr-2'!A92)</f>
        <v>1.1.2.4</v>
      </c>
      <c r="B91" s="2025" t="str">
        <f>CONCATENATE('3 pr-2'!B92)</f>
        <v>Priemonė:
Vietinių kelių techninių parametrų ir eismo saugos gerinimas</v>
      </c>
      <c r="C91" s="2026"/>
      <c r="D91" s="2026"/>
      <c r="E91" s="2026"/>
      <c r="F91" s="2026"/>
      <c r="G91" s="2026"/>
      <c r="H91" s="2026"/>
      <c r="I91" s="2026"/>
      <c r="J91" s="2027"/>
      <c r="K91" s="1293">
        <f>SUM('3 pr-2'!L92)</f>
        <v>4981539.82</v>
      </c>
      <c r="L91" s="1293">
        <f ca="1">SUM(L92:L98)</f>
        <v>2750143.04</v>
      </c>
      <c r="M91" s="1422">
        <f ca="1">SUM(M92:M97)</f>
        <v>2096044.7799999998</v>
      </c>
      <c r="N91" s="1423">
        <f ca="1">SUM(N92:N97)</f>
        <v>522285.93999999994</v>
      </c>
      <c r="O91" s="1293">
        <f>SUM('3 pr-2'!O92)</f>
        <v>1866072.8199999998</v>
      </c>
      <c r="P91" s="1293">
        <f ca="1">SUM(P92:P98)</f>
        <v>382613.04</v>
      </c>
      <c r="Q91" s="1293">
        <f ca="1">SUM(Q92:Q97)</f>
        <v>1461096.78</v>
      </c>
      <c r="R91" s="1293">
        <f ca="1">SUM(R92:R97)</f>
        <v>522285.94</v>
      </c>
      <c r="S91" s="1293">
        <f>SUM('3 pr-2'!R92)</f>
        <v>0</v>
      </c>
      <c r="T91" s="1293">
        <f ca="1">SUM(T92:T98)</f>
        <v>0</v>
      </c>
      <c r="U91" s="1293">
        <f ca="1">SUM(U92:U97)</f>
        <v>0</v>
      </c>
      <c r="V91" s="1293">
        <f ca="1">SUM(V92:V97)</f>
        <v>0</v>
      </c>
      <c r="W91" s="1293">
        <f>SUM('3 pr-2'!U92)</f>
        <v>0</v>
      </c>
      <c r="X91" s="1293">
        <f ca="1">SUM(X92:X97)</f>
        <v>0</v>
      </c>
      <c r="Y91" s="1293">
        <f ca="1">SUM(Y92:Y97)</f>
        <v>0</v>
      </c>
      <c r="Z91" s="1293">
        <f ca="1">SUM(Z92:Z97)</f>
        <v>0</v>
      </c>
      <c r="AA91" s="1293">
        <f>SUM('3 pr-2'!X92)</f>
        <v>62660</v>
      </c>
      <c r="AB91" s="1293">
        <f ca="1">SUM(AB92:AB97)</f>
        <v>62660</v>
      </c>
      <c r="AC91" s="1293">
        <f ca="1">SUM(AC92:AC97)</f>
        <v>0</v>
      </c>
      <c r="AD91" s="1293">
        <f ca="1">SUM(AD92:AD97)</f>
        <v>0</v>
      </c>
      <c r="AE91" s="1293">
        <f>SUM('3 pr-2'!AA92)</f>
        <v>3052807</v>
      </c>
      <c r="AF91" s="1293">
        <f ca="1">SUM(AF92:AF97)</f>
        <v>2304870</v>
      </c>
      <c r="AG91" s="1436">
        <f ca="1">SUM(AG92:AG97)</f>
        <v>634948</v>
      </c>
      <c r="AH91" s="1437">
        <f ca="1">SUM(AH92:AH97)</f>
        <v>0</v>
      </c>
      <c r="AI91" s="1293">
        <f t="shared" ref="AI91:AJ91" si="159">SUM(AI92:AI97)</f>
        <v>0</v>
      </c>
      <c r="AJ91" s="1293">
        <f t="shared" si="159"/>
        <v>0</v>
      </c>
    </row>
    <row r="92" spans="1:36" ht="36.75" x14ac:dyDescent="0.25">
      <c r="A92" s="366" t="str">
        <f>CONCATENATE('3 pr-2'!A93)</f>
        <v>1.1.2.4.1</v>
      </c>
      <c r="B92" s="182" t="str">
        <f>CONCATENATE('3 pr-2'!B93)</f>
        <v>R01-5511-120000-1241</v>
      </c>
      <c r="C92" s="652" t="str">
        <f>IF('ketv. 4 '!X93&gt;0,'ketv. 4 '!C93,"-")</f>
        <v>06.2.1-TID-R-511-11-0002</v>
      </c>
      <c r="D92" s="446" t="str">
        <f>CONCATENATE('3 pr-2'!D93)</f>
        <v>Varėnos miesto J. Basanavičiaus, Savanorių ir M. K. Čiurlionio gatvių rekonstrukcija</v>
      </c>
      <c r="E92" s="366" t="str">
        <f>CONCATENATE('3 pr-2'!E93)</f>
        <v>Varėnos rajono savivaldybės administracija</v>
      </c>
      <c r="F92" s="366" t="str">
        <f>CONCATENATE('3 pr-2'!F93)</f>
        <v>Lietuvos Respublikos susisiekimo ministerija</v>
      </c>
      <c r="G92" s="366" t="str">
        <f>CONCATENATE('3 pr-2'!G93)</f>
        <v>Varėnos r. sav.</v>
      </c>
      <c r="H92" s="366" t="str">
        <f>CONCATENATE('3 pr-2'!H93)</f>
        <v>06.2.1-TID-R-511</v>
      </c>
      <c r="I92" s="366" t="str">
        <f>CONCATENATE('3 pr-2'!I93)</f>
        <v>R</v>
      </c>
      <c r="J92" s="366" t="str">
        <f>CONCATENATE('3 pr-2'!J93)</f>
        <v>ITI</v>
      </c>
      <c r="K92" s="1432">
        <f>SUM('3 pr-2'!L93)</f>
        <v>835464</v>
      </c>
      <c r="L92" s="1426">
        <f t="shared" ca="1" si="110"/>
        <v>835464</v>
      </c>
      <c r="M92" s="1427">
        <f t="shared" ref="M92" ca="1" si="160">SUM(K92-L92)</f>
        <v>0</v>
      </c>
      <c r="N92" s="1428">
        <f t="shared" ref="N92:N97" ca="1" si="161">IF(L92&gt;0,K92-L92,0)</f>
        <v>0</v>
      </c>
      <c r="O92" s="1432">
        <f>SUM('3 pr-2'!O93)</f>
        <v>62660</v>
      </c>
      <c r="P92" s="1426">
        <f ca="1">SUMIF('sutarčių ataskaita'!$J$19:$J$2600,C92,'sutarčių ataskaita'!$DK$19:$DK$600)</f>
        <v>62660</v>
      </c>
      <c r="Q92" s="1432">
        <f t="shared" ref="Q92:Q97" ca="1" si="162">SUM(O92-P92)</f>
        <v>0</v>
      </c>
      <c r="R92" s="1432">
        <f t="shared" ref="R92:R97" ca="1" si="163">IF(P92&gt;0,O92-P92,0)</f>
        <v>0</v>
      </c>
      <c r="S92" s="1432">
        <f>SUM('3 pr-2'!R93)</f>
        <v>0</v>
      </c>
      <c r="T92" s="1432">
        <f ca="1">SUMIF('sutarčių ataskaita'!$J$19:$J$2600,C92,'sutarčių ataskaita'!$DG$19:$DG$600)</f>
        <v>0</v>
      </c>
      <c r="U92" s="1432">
        <f t="shared" ref="U92:U97" ca="1" si="164">SUM(S92-T92)</f>
        <v>0</v>
      </c>
      <c r="V92" s="1432">
        <f t="shared" ref="V92:V97" ca="1" si="165">IF(T92&gt;0,S92-T92,0)</f>
        <v>0</v>
      </c>
      <c r="W92" s="1432">
        <f>SUM('3 pr-2'!U93)</f>
        <v>0</v>
      </c>
      <c r="X92" s="1296">
        <f ca="1">SUMIF('sutarčių ataskaita'!$J$19:$J$2600,C92,'sutarčių ataskaita'!$DM$19:$DM$600)</f>
        <v>0</v>
      </c>
      <c r="Y92" s="1432">
        <f t="shared" ref="Y92:Y97" ca="1" si="166">SUM(W92-X92)</f>
        <v>0</v>
      </c>
      <c r="Z92" s="1432">
        <f t="shared" ref="Z92:Z97" ca="1" si="167">IF(X92&gt;0,W92-X92,0)</f>
        <v>0</v>
      </c>
      <c r="AA92" s="1432">
        <f>SUM('3 pr-2'!X93)</f>
        <v>62660</v>
      </c>
      <c r="AB92" s="1426">
        <f ca="1">SUMIF('sutarčių ataskaita'!$J$19:$J$2600,C92,'sutarčių ataskaita'!$DL$19:$DL$600)+SUMIF('sutarčių ataskaita'!$J$19:$J$2600,C92,'sutarčių ataskaita'!$DJ$19:$DJ$600)</f>
        <v>62660</v>
      </c>
      <c r="AC92" s="1432">
        <f t="shared" ref="AC92:AC97" ca="1" si="168">SUM(AA92-AB92)</f>
        <v>0</v>
      </c>
      <c r="AD92" s="1432">
        <f t="shared" ref="AD92:AD97" ca="1" si="169">IF(AB92&gt;0,AA92-AB92,0)</f>
        <v>0</v>
      </c>
      <c r="AE92" s="1432">
        <f>SUM('3 pr-2'!AA93)</f>
        <v>710144</v>
      </c>
      <c r="AF92" s="1426">
        <f ca="1">SUMIF('sutarčių ataskaita'!$J$19:$J$2600,C92,'sutarčių ataskaita'!$DF$19:$DF$600)</f>
        <v>710144</v>
      </c>
      <c r="AG92" s="1429">
        <f t="shared" ref="AG92" ca="1" si="170">SUM(AE92-AF92)</f>
        <v>0</v>
      </c>
      <c r="AH92" s="1430">
        <f t="shared" ref="AH92:AH97" ca="1" si="171">IF(AF92&gt;0,AE92-AF92,0)</f>
        <v>0</v>
      </c>
      <c r="AI92" s="1296">
        <f>SUM('3 pr-2'!AB94)</f>
        <v>0</v>
      </c>
      <c r="AJ92" s="1426">
        <v>0</v>
      </c>
    </row>
    <row r="93" spans="1:36" ht="36.75" x14ac:dyDescent="0.25">
      <c r="A93" s="366" t="str">
        <f>CONCATENATE('3 pr-2'!A94)</f>
        <v>1.1.2.4.2</v>
      </c>
      <c r="B93" s="182" t="str">
        <f>CONCATENATE('3 pr-2'!B94)</f>
        <v>R01-5511-110000-1242</v>
      </c>
      <c r="C93" s="652" t="str">
        <f>IF('ketv. 4 '!X94&gt;0,'ketv. 4 '!C94,"-")</f>
        <v>06.2.1-TID-R-511-11-0001</v>
      </c>
      <c r="D93" s="446" t="str">
        <f>CONCATENATE('3 pr-2'!D94)</f>
        <v>Perspektyvinės gatvės nuo Pramonės g. iki Naujosios g. Alytuje įrengimas</v>
      </c>
      <c r="E93" s="366" t="str">
        <f>CONCATENATE('3 pr-2'!E94)</f>
        <v>Alytaus miesto savivaldybės administracija</v>
      </c>
      <c r="F93" s="366" t="str">
        <f>CONCATENATE('3 pr-2'!F94)</f>
        <v>Lietuvos Respublikos susisiekimo ministerija</v>
      </c>
      <c r="G93" s="366" t="str">
        <f>CONCATENATE('3 pr-2'!G94)</f>
        <v>Alytaus m. sav.</v>
      </c>
      <c r="H93" s="366" t="str">
        <f>CONCATENATE('3 pr-2'!H94)</f>
        <v>06.2.1-TID-R-511</v>
      </c>
      <c r="I93" s="366" t="str">
        <f>CONCATENATE('3 pr-2'!I94)</f>
        <v>R</v>
      </c>
      <c r="J93" s="366" t="str">
        <f>CONCATENATE('3 pr-2'!J94)</f>
        <v>ITI</v>
      </c>
      <c r="K93" s="1432">
        <f>SUM('3 pr-2'!L94)</f>
        <v>1402213</v>
      </c>
      <c r="L93" s="1426">
        <f t="shared" ca="1" si="110"/>
        <v>879927.06</v>
      </c>
      <c r="M93" s="1427">
        <f ca="1">SUM(K93-L93)</f>
        <v>522285.93999999994</v>
      </c>
      <c r="N93" s="1428">
        <f t="shared" ca="1" si="161"/>
        <v>522285.93999999994</v>
      </c>
      <c r="O93" s="1432">
        <f>SUM('3 pr-2'!O94)</f>
        <v>654275</v>
      </c>
      <c r="P93" s="1426">
        <f ca="1">SUMIF('sutarčių ataskaita'!$J$19:$J$2600,C93,'sutarčių ataskaita'!$DK$19:$DK$600)</f>
        <v>131989.06</v>
      </c>
      <c r="Q93" s="1432">
        <f t="shared" ca="1" si="162"/>
        <v>522285.94</v>
      </c>
      <c r="R93" s="1432">
        <f t="shared" ca="1" si="163"/>
        <v>522285.94</v>
      </c>
      <c r="S93" s="1432">
        <f>SUM('3 pr-2'!R94)</f>
        <v>0</v>
      </c>
      <c r="T93" s="1432">
        <f ca="1">SUMIF('sutarčių ataskaita'!$J$19:$J$2600,C93,'sutarčių ataskaita'!$DG$19:$DG$600)</f>
        <v>0</v>
      </c>
      <c r="U93" s="1432">
        <f t="shared" ca="1" si="164"/>
        <v>0</v>
      </c>
      <c r="V93" s="1432">
        <f t="shared" ca="1" si="165"/>
        <v>0</v>
      </c>
      <c r="W93" s="1432">
        <f>SUM('3 pr-2'!U94)</f>
        <v>0</v>
      </c>
      <c r="X93" s="1296">
        <f ca="1">SUMIF('sutarčių ataskaita'!$J$19:$J$2600,C93,'sutarčių ataskaita'!$DM$19:$DM$600)</f>
        <v>0</v>
      </c>
      <c r="Y93" s="1432">
        <f t="shared" ca="1" si="166"/>
        <v>0</v>
      </c>
      <c r="Z93" s="1432">
        <f t="shared" ca="1" si="167"/>
        <v>0</v>
      </c>
      <c r="AA93" s="1432">
        <f>SUM('3 pr-2'!X94)</f>
        <v>0</v>
      </c>
      <c r="AB93" s="1432">
        <f ca="1">SUMIF('sutarčių ataskaita'!$J$19:$J$2600,C93,'sutarčių ataskaita'!$DL$19:$DL$600)+SUMIF('sutarčių ataskaita'!$J$19:$J$2600,C93,'sutarčių ataskaita'!$DJ$19:$DJ$600)</f>
        <v>0</v>
      </c>
      <c r="AC93" s="1432">
        <f t="shared" ca="1" si="168"/>
        <v>0</v>
      </c>
      <c r="AD93" s="1432">
        <f t="shared" ca="1" si="169"/>
        <v>0</v>
      </c>
      <c r="AE93" s="1432">
        <f>SUM('3 pr-2'!AA94)</f>
        <v>747938</v>
      </c>
      <c r="AF93" s="1426">
        <f ca="1">SUMIF('sutarčių ataskaita'!$J$19:$J$2600,C93,'sutarčių ataskaita'!$DF$19:$DF$600)</f>
        <v>747938</v>
      </c>
      <c r="AG93" s="1429">
        <f ca="1">SUM(AE93-AF93)</f>
        <v>0</v>
      </c>
      <c r="AH93" s="1430">
        <f t="shared" ca="1" si="171"/>
        <v>0</v>
      </c>
      <c r="AI93" s="1296">
        <f>SUM('3 pr-2'!AB95)</f>
        <v>0</v>
      </c>
      <c r="AJ93" s="1426">
        <v>0</v>
      </c>
    </row>
    <row r="94" spans="1:36" ht="36.75" x14ac:dyDescent="0.25">
      <c r="A94" s="366" t="str">
        <f>CONCATENATE('3 pr-2'!A95)</f>
        <v>1.1.2.4.3.</v>
      </c>
      <c r="B94" s="182" t="str">
        <f>CONCATENATE('3 pr-2'!B95)</f>
        <v>R01-5511-500000-1243</v>
      </c>
      <c r="C94" s="652" t="str">
        <f>IF('ketv. 4 '!X95&gt;0,'ketv. 4 '!C95,"-")</f>
        <v>-</v>
      </c>
      <c r="D94" s="446" t="str">
        <f>CONCATENATE('3 pr-2'!D95)</f>
        <v>Saugaus eismo priemonių diegimas Alytaus mieste</v>
      </c>
      <c r="E94" s="366" t="str">
        <f>CONCATENATE('3 pr-2'!E95)</f>
        <v>Alytaus miesto savivaldybės administracija</v>
      </c>
      <c r="F94" s="366" t="str">
        <f>CONCATENATE('3 pr-2'!F95)</f>
        <v>Lietuvos Respublikos susisiekimo ministerija</v>
      </c>
      <c r="G94" s="366" t="str">
        <f>CONCATENATE('3 pr-2'!G95)</f>
        <v>Alytaus m. sav.</v>
      </c>
      <c r="H94" s="366" t="str">
        <f>CONCATENATE('3 pr-2'!H95)</f>
        <v>06.2.1-TID-R-511</v>
      </c>
      <c r="I94" s="366" t="str">
        <f>CONCATENATE('3 pr-2'!I95)</f>
        <v>R</v>
      </c>
      <c r="J94" s="366" t="str">
        <f>CONCATENATE('3 pr-2'!J95)</f>
        <v>-</v>
      </c>
      <c r="K94" s="1432">
        <f>SUM('3 pr-2'!L95)</f>
        <v>315614.59999999998</v>
      </c>
      <c r="L94" s="1432">
        <f t="shared" ca="1" si="110"/>
        <v>0</v>
      </c>
      <c r="M94" s="1427">
        <f t="shared" ref="M94:M97" ca="1" si="172">SUM(K94-L94)</f>
        <v>315614.59999999998</v>
      </c>
      <c r="N94" s="1428">
        <f t="shared" ca="1" si="161"/>
        <v>0</v>
      </c>
      <c r="O94" s="1432">
        <f>SUM('3 pr-2'!O95)</f>
        <v>65315.6</v>
      </c>
      <c r="P94" s="1432">
        <f ca="1">SUMIF('sutarčių ataskaita'!$J$19:$J$2600,C94,'sutarčių ataskaita'!$DK$19:$DK$600)</f>
        <v>0</v>
      </c>
      <c r="Q94" s="1432">
        <f t="shared" ca="1" si="162"/>
        <v>65315.6</v>
      </c>
      <c r="R94" s="1432">
        <f t="shared" ca="1" si="163"/>
        <v>0</v>
      </c>
      <c r="S94" s="1432">
        <f>SUM('3 pr-2'!R95)</f>
        <v>0</v>
      </c>
      <c r="T94" s="1432">
        <f ca="1">SUMIF('sutarčių ataskaita'!$J$19:$J$2600,C94,'sutarčių ataskaita'!$DG$19:$DG$600)</f>
        <v>0</v>
      </c>
      <c r="U94" s="1432">
        <f t="shared" ca="1" si="164"/>
        <v>0</v>
      </c>
      <c r="V94" s="1432">
        <f t="shared" ca="1" si="165"/>
        <v>0</v>
      </c>
      <c r="W94" s="1432">
        <f>SUM('3 pr-2'!U95)</f>
        <v>0</v>
      </c>
      <c r="X94" s="1296">
        <f ca="1">SUMIF('sutarčių ataskaita'!$J$19:$J$2600,C94,'sutarčių ataskaita'!$DM$19:$DM$600)</f>
        <v>0</v>
      </c>
      <c r="Y94" s="1432">
        <f t="shared" ca="1" si="166"/>
        <v>0</v>
      </c>
      <c r="Z94" s="1432">
        <f t="shared" ca="1" si="167"/>
        <v>0</v>
      </c>
      <c r="AA94" s="1432">
        <f>SUM('3 pr-2'!X95)</f>
        <v>0</v>
      </c>
      <c r="AB94" s="1432">
        <f ca="1">SUMIF('sutarčių ataskaita'!$J$19:$J$2600,C94,'sutarčių ataskaita'!$DL$19:$DL$600)+SUMIF('sutarčių ataskaita'!$J$19:$J$2600,C94,'sutarčių ataskaita'!$DJ$19:$DJ$600)</f>
        <v>0</v>
      </c>
      <c r="AC94" s="1432">
        <f t="shared" ca="1" si="168"/>
        <v>0</v>
      </c>
      <c r="AD94" s="1432">
        <f t="shared" ca="1" si="169"/>
        <v>0</v>
      </c>
      <c r="AE94" s="1432">
        <f>SUM('3 pr-2'!AA95)</f>
        <v>250299</v>
      </c>
      <c r="AF94" s="1432">
        <f ca="1">SUMIF('sutarčių ataskaita'!$J$19:$J$2600,C94,'sutarčių ataskaita'!$DF$19:$DF$600)</f>
        <v>0</v>
      </c>
      <c r="AG94" s="1429">
        <f t="shared" ref="AG94:AG97" ca="1" si="173">SUM(AE94-AF94)</f>
        <v>250299</v>
      </c>
      <c r="AH94" s="1430">
        <f t="shared" ca="1" si="171"/>
        <v>0</v>
      </c>
      <c r="AI94" s="1296">
        <f>SUM('3 pr-2'!AB96)</f>
        <v>0</v>
      </c>
      <c r="AJ94" s="1432"/>
    </row>
    <row r="95" spans="1:36" ht="36.75" x14ac:dyDescent="0.25">
      <c r="A95" s="366" t="str">
        <f>CONCATENATE('3 pr-2'!A96)</f>
        <v>1.1.2.4.4</v>
      </c>
      <c r="B95" s="182" t="str">
        <f>CONCATENATE('3 pr-2'!B96)</f>
        <v>R01-5511-500000-1244</v>
      </c>
      <c r="C95" s="652" t="str">
        <f>IF('ketv. 4 '!X96&gt;0,'ketv. 4 '!C96,"-")</f>
        <v>06.2.1-TID-R-511-11-0006</v>
      </c>
      <c r="D95" s="446" t="str">
        <f>CONCATENATE('3 pr-2'!D96)</f>
        <v>Eismo saugos priemonių diegimas Alytaus rajone</v>
      </c>
      <c r="E95" s="366" t="str">
        <f>CONCATENATE('3 pr-2'!E96)</f>
        <v>Alytaus rajono savivaldybės administracija</v>
      </c>
      <c r="F95" s="366" t="str">
        <f>CONCATENATE('3 pr-2'!F96)</f>
        <v>Lietuvos Respublikos susisiekimo ministerija</v>
      </c>
      <c r="G95" s="366" t="str">
        <f>CONCATENATE('3 pr-2'!G96)</f>
        <v>Alytaus r. sav.</v>
      </c>
      <c r="H95" s="366" t="str">
        <f>CONCATENATE('3 pr-2'!H96)</f>
        <v>06.2.1-TID-R-511</v>
      </c>
      <c r="I95" s="366" t="str">
        <f>CONCATENATE('3 pr-2'!I96)</f>
        <v>R</v>
      </c>
      <c r="J95" s="366" t="str">
        <f>CONCATENATE('3 pr-2'!J96)</f>
        <v>-</v>
      </c>
      <c r="K95" s="1432">
        <f>SUM('3 pr-2'!L96)</f>
        <v>274817.98</v>
      </c>
      <c r="L95" s="1426">
        <f t="shared" ca="1" si="110"/>
        <v>274817.98</v>
      </c>
      <c r="M95" s="1427">
        <f t="shared" ca="1" si="172"/>
        <v>0</v>
      </c>
      <c r="N95" s="1428">
        <f t="shared" ca="1" si="161"/>
        <v>0</v>
      </c>
      <c r="O95" s="1432">
        <f>SUM('3 pr-2'!O96)</f>
        <v>73973.98</v>
      </c>
      <c r="P95" s="1426">
        <f ca="1">SUMIF('sutarčių ataskaita'!$J$19:$J$2600,C95,'sutarčių ataskaita'!$DK$19:$DK$600)</f>
        <v>73973.98</v>
      </c>
      <c r="Q95" s="1432">
        <f t="shared" ca="1" si="162"/>
        <v>0</v>
      </c>
      <c r="R95" s="1432">
        <f t="shared" ca="1" si="163"/>
        <v>0</v>
      </c>
      <c r="S95" s="1432">
        <f>SUM('3 pr-2'!R96)</f>
        <v>0</v>
      </c>
      <c r="T95" s="1432">
        <f ca="1">SUMIF('sutarčių ataskaita'!$J$19:$J$2600,C95,'sutarčių ataskaita'!$DG$19:$DG$600)</f>
        <v>0</v>
      </c>
      <c r="U95" s="1432">
        <f t="shared" ca="1" si="164"/>
        <v>0</v>
      </c>
      <c r="V95" s="1432">
        <f t="shared" ca="1" si="165"/>
        <v>0</v>
      </c>
      <c r="W95" s="1432">
        <f>SUM('3 pr-2'!U96)</f>
        <v>0</v>
      </c>
      <c r="X95" s="1296">
        <f ca="1">SUMIF('sutarčių ataskaita'!$J$19:$J$2600,C95,'sutarčių ataskaita'!$DM$19:$DM$600)</f>
        <v>0</v>
      </c>
      <c r="Y95" s="1432">
        <f t="shared" ca="1" si="166"/>
        <v>0</v>
      </c>
      <c r="Z95" s="1432">
        <f t="shared" ca="1" si="167"/>
        <v>0</v>
      </c>
      <c r="AA95" s="1432">
        <f>SUM('3 pr-2'!X96)</f>
        <v>0</v>
      </c>
      <c r="AB95" s="1432">
        <f ca="1">SUMIF('sutarčių ataskaita'!$J$19:$J$2600,C95,'sutarčių ataskaita'!$DL$19:$DL$600)+SUMIF('sutarčių ataskaita'!$J$19:$J$2600,C95,'sutarčių ataskaita'!$DJ$19:$DJ$600)</f>
        <v>0</v>
      </c>
      <c r="AC95" s="1432">
        <f t="shared" ca="1" si="168"/>
        <v>0</v>
      </c>
      <c r="AD95" s="1432">
        <f t="shared" ca="1" si="169"/>
        <v>0</v>
      </c>
      <c r="AE95" s="1432">
        <f>SUM('3 pr-2'!AA96)</f>
        <v>200844</v>
      </c>
      <c r="AF95" s="1426">
        <f ca="1">SUMIF('sutarčių ataskaita'!$J$19:$J$2600,C95,'sutarčių ataskaita'!$DF$19:$DF$600)</f>
        <v>200844</v>
      </c>
      <c r="AG95" s="1429">
        <f t="shared" ca="1" si="173"/>
        <v>0</v>
      </c>
      <c r="AH95" s="1430">
        <f t="shared" ca="1" si="171"/>
        <v>0</v>
      </c>
      <c r="AI95" s="1296">
        <f>SUM('3 pr-2'!AB97)</f>
        <v>0</v>
      </c>
      <c r="AJ95" s="1432"/>
    </row>
    <row r="96" spans="1:36" ht="36.75" x14ac:dyDescent="0.25">
      <c r="A96" s="366" t="str">
        <f>CONCATENATE('3 pr-2'!A97)</f>
        <v>1.1.2.4.5</v>
      </c>
      <c r="B96" s="182" t="str">
        <f>CONCATENATE('3 pr-2'!B97)</f>
        <v>R01-5511-120900-1245</v>
      </c>
      <c r="C96" s="652" t="str">
        <f>IF('ketv. 4 '!X97&gt;0,'ketv. 4 '!C97,"-")</f>
        <v>-</v>
      </c>
      <c r="D96" s="446" t="str">
        <f>CONCATENATE('3 pr-2'!D97)</f>
        <v>M. K. Čiurlionio gatvės atkarpos Druskininkų m. rekonstrukcija</v>
      </c>
      <c r="E96" s="366" t="str">
        <f>CONCATENATE('3 pr-2'!E97)</f>
        <v xml:space="preserve">Druskininkų savivaldybės administracija  </v>
      </c>
      <c r="F96" s="366" t="str">
        <f>CONCATENATE('3 pr-2'!F97)</f>
        <v>Lietuvos Respublikos susisiekimo ministerija</v>
      </c>
      <c r="G96" s="366" t="str">
        <f>CONCATENATE('3 pr-2'!G97)</f>
        <v>Druskininkų sav.</v>
      </c>
      <c r="H96" s="366" t="str">
        <f>CONCATENATE('3 pr-2'!H97)</f>
        <v>06.2.1-TID-R-511</v>
      </c>
      <c r="I96" s="366" t="str">
        <f>CONCATENATE('3 pr-2'!I97)</f>
        <v>R</v>
      </c>
      <c r="J96" s="366" t="str">
        <f>CONCATENATE('3 pr-2'!J97)</f>
        <v>-</v>
      </c>
      <c r="K96" s="1432">
        <f>SUM('3 pr-2'!L97)</f>
        <v>1258144.24</v>
      </c>
      <c r="L96" s="1432">
        <f t="shared" ca="1" si="110"/>
        <v>0</v>
      </c>
      <c r="M96" s="1427">
        <f t="shared" ca="1" si="172"/>
        <v>1258144.24</v>
      </c>
      <c r="N96" s="1428">
        <f t="shared" ca="1" si="161"/>
        <v>0</v>
      </c>
      <c r="O96" s="1432">
        <f>SUM('3 pr-2'!O97)</f>
        <v>873495.24</v>
      </c>
      <c r="P96" s="1432">
        <f ca="1">SUMIF('sutarčių ataskaita'!$J$19:$J$2600,C96,'sutarčių ataskaita'!$DK$19:$DK$600)</f>
        <v>0</v>
      </c>
      <c r="Q96" s="1432">
        <f t="shared" ca="1" si="162"/>
        <v>873495.24</v>
      </c>
      <c r="R96" s="1432">
        <f t="shared" ca="1" si="163"/>
        <v>0</v>
      </c>
      <c r="S96" s="1432">
        <f>SUM('3 pr-2'!R97)</f>
        <v>0</v>
      </c>
      <c r="T96" s="1432">
        <f ca="1">SUMIF('sutarčių ataskaita'!$J$19:$J$2600,C96,'sutarčių ataskaita'!$DG$19:$DG$600)</f>
        <v>0</v>
      </c>
      <c r="U96" s="1432">
        <f t="shared" ca="1" si="164"/>
        <v>0</v>
      </c>
      <c r="V96" s="1432">
        <f t="shared" ca="1" si="165"/>
        <v>0</v>
      </c>
      <c r="W96" s="1432">
        <f>SUM('3 pr-2'!U97)</f>
        <v>0</v>
      </c>
      <c r="X96" s="1296">
        <f ca="1">SUMIF('sutarčių ataskaita'!$J$19:$J$2600,C96,'sutarčių ataskaita'!$DM$19:$DM$600)</f>
        <v>0</v>
      </c>
      <c r="Y96" s="1432">
        <f t="shared" ca="1" si="166"/>
        <v>0</v>
      </c>
      <c r="Z96" s="1432">
        <f t="shared" ca="1" si="167"/>
        <v>0</v>
      </c>
      <c r="AA96" s="1432">
        <f>SUM('3 pr-2'!X97)</f>
        <v>0</v>
      </c>
      <c r="AB96" s="1432">
        <f ca="1">SUMIF('sutarčių ataskaita'!$J$19:$J$2600,C96,'sutarčių ataskaita'!$DL$19:$DL$600)+SUMIF('sutarčių ataskaita'!$J$19:$J$2600,C96,'sutarčių ataskaita'!$DJ$19:$DJ$600)</f>
        <v>0</v>
      </c>
      <c r="AC96" s="1432">
        <f t="shared" ca="1" si="168"/>
        <v>0</v>
      </c>
      <c r="AD96" s="1432">
        <f t="shared" ca="1" si="169"/>
        <v>0</v>
      </c>
      <c r="AE96" s="1432">
        <f>SUM('3 pr-2'!AA97)</f>
        <v>384649</v>
      </c>
      <c r="AF96" s="1432">
        <f ca="1">SUMIF('sutarčių ataskaita'!$J$19:$J$2600,C96,'sutarčių ataskaita'!$DF$19:$DF$600)</f>
        <v>0</v>
      </c>
      <c r="AG96" s="1429">
        <f t="shared" ca="1" si="173"/>
        <v>384649</v>
      </c>
      <c r="AH96" s="1430">
        <f t="shared" ca="1" si="171"/>
        <v>0</v>
      </c>
      <c r="AI96" s="1296">
        <f>SUM('3 pr-2'!AB98)</f>
        <v>0</v>
      </c>
      <c r="AJ96" s="1432"/>
    </row>
    <row r="97" spans="1:36" ht="36.75" x14ac:dyDescent="0.25">
      <c r="A97" s="366" t="str">
        <f>CONCATENATE('3 pr-2'!A98)</f>
        <v>1.1.2.4.6</v>
      </c>
      <c r="B97" s="182" t="str">
        <f>CONCATENATE('3 pr-2'!B98)</f>
        <v>R01-5511-120000-1246</v>
      </c>
      <c r="C97" s="652" t="str">
        <f>IF('ketv. 4 '!X98&gt;0,'ketv. 4 '!C98,"-")</f>
        <v>06.2.1-TID-R-511-11-0004</v>
      </c>
      <c r="D97" s="446" t="str">
        <f>CONCATENATE('3 pr-2'!D98)</f>
        <v>Lazdijų miesto Seinų ir Lazdijos gatvių bei vietinės reikšmės kelio nuo Janonio gatvės iki Lazdijų hipodromo rekonstravimas</v>
      </c>
      <c r="E97" s="366" t="str">
        <f>CONCATENATE('3 pr-2'!E98)</f>
        <v>Lazdijų rajono savivaldybės administracija</v>
      </c>
      <c r="F97" s="366" t="str">
        <f>CONCATENATE('3 pr-2'!F98)</f>
        <v>Lietuvos Respublikos susisiekimo ministerija</v>
      </c>
      <c r="G97" s="366" t="str">
        <f>CONCATENATE('3 pr-2'!G98)</f>
        <v>Lazdijų r. sav.</v>
      </c>
      <c r="H97" s="366" t="str">
        <f>CONCATENATE('3 pr-2'!H98)</f>
        <v>06.2.1-TID-R-511</v>
      </c>
      <c r="I97" s="366" t="str">
        <f>CONCATENATE('3 pr-2'!I98)</f>
        <v>R</v>
      </c>
      <c r="J97" s="366" t="str">
        <f>CONCATENATE('3 pr-2'!J98)</f>
        <v>ITI</v>
      </c>
      <c r="K97" s="1432">
        <f>SUM('3 pr-2'!L98)</f>
        <v>759934</v>
      </c>
      <c r="L97" s="1426">
        <f t="shared" ca="1" si="110"/>
        <v>759934</v>
      </c>
      <c r="M97" s="1427">
        <f t="shared" ca="1" si="172"/>
        <v>0</v>
      </c>
      <c r="N97" s="1428">
        <f t="shared" ca="1" si="161"/>
        <v>0</v>
      </c>
      <c r="O97" s="1432">
        <f>SUM('3 pr-2'!O98)</f>
        <v>113990</v>
      </c>
      <c r="P97" s="1426">
        <f ca="1">SUMIF('sutarčių ataskaita'!$J$19:$J$2600,C97,'sutarčių ataskaita'!$DK$19:$DK$600)</f>
        <v>113990</v>
      </c>
      <c r="Q97" s="1432">
        <f t="shared" ca="1" si="162"/>
        <v>0</v>
      </c>
      <c r="R97" s="1432">
        <f t="shared" ca="1" si="163"/>
        <v>0</v>
      </c>
      <c r="S97" s="1432">
        <f>SUM('3 pr-2'!R98)</f>
        <v>0</v>
      </c>
      <c r="T97" s="1432">
        <f ca="1">SUMIF('sutarčių ataskaita'!$J$19:$J$2600,C97,'sutarčių ataskaita'!$DG$19:$DG$600)</f>
        <v>0</v>
      </c>
      <c r="U97" s="1432">
        <f t="shared" ca="1" si="164"/>
        <v>0</v>
      </c>
      <c r="V97" s="1432">
        <f t="shared" ca="1" si="165"/>
        <v>0</v>
      </c>
      <c r="W97" s="1432">
        <f>SUM('3 pr-2'!U98)</f>
        <v>0</v>
      </c>
      <c r="X97" s="1296">
        <f ca="1">SUMIF('sutarčių ataskaita'!$J$19:$J$2600,C97,'sutarčių ataskaita'!$DM$19:$DM$600)</f>
        <v>0</v>
      </c>
      <c r="Y97" s="1432">
        <f t="shared" ca="1" si="166"/>
        <v>0</v>
      </c>
      <c r="Z97" s="1432">
        <f t="shared" ca="1" si="167"/>
        <v>0</v>
      </c>
      <c r="AA97" s="1432">
        <f>SUM('3 pr-2'!X98)</f>
        <v>0</v>
      </c>
      <c r="AB97" s="1432">
        <f ca="1">SUMIF('sutarčių ataskaita'!$J$19:$J$2600,C97,'sutarčių ataskaita'!$DL$19:$DL$600)+SUMIF('sutarčių ataskaita'!$J$19:$J$2600,C97,'sutarčių ataskaita'!$DJ$19:$DJ$600)</f>
        <v>0</v>
      </c>
      <c r="AC97" s="1432">
        <f t="shared" ca="1" si="168"/>
        <v>0</v>
      </c>
      <c r="AD97" s="1432">
        <f t="shared" ca="1" si="169"/>
        <v>0</v>
      </c>
      <c r="AE97" s="1432">
        <f>SUM('3 pr-2'!AA98)</f>
        <v>645944</v>
      </c>
      <c r="AF97" s="1426">
        <f ca="1">SUMIF('sutarčių ataskaita'!$J$19:$J$2600,C97,'sutarčių ataskaita'!$DF$19:$DF$600)</f>
        <v>645944</v>
      </c>
      <c r="AG97" s="1447">
        <f t="shared" ca="1" si="173"/>
        <v>0</v>
      </c>
      <c r="AH97" s="1430">
        <f t="shared" ca="1" si="171"/>
        <v>0</v>
      </c>
      <c r="AI97" s="1296">
        <f>SUM('3 pr-2'!AB99)</f>
        <v>0</v>
      </c>
      <c r="AJ97" s="1426">
        <v>0</v>
      </c>
    </row>
    <row r="98" spans="1:36" ht="37.5" thickBot="1" x14ac:dyDescent="0.3">
      <c r="A98" s="366" t="str">
        <f>CONCATENATE('3 pr-2'!A99)</f>
        <v>1.1.2.4.7</v>
      </c>
      <c r="B98" s="182" t="str">
        <f>CONCATENATE('3 pr-2'!B99)</f>
        <v>R01-5511-120000-1247</v>
      </c>
      <c r="C98" s="652" t="str">
        <f>IF('ketv. 4 '!X99&gt;0,'ketv. 4 '!C99,"-")</f>
        <v>-</v>
      </c>
      <c r="D98" s="446" t="str">
        <f>CONCATENATE('3 pr-2'!D99)</f>
        <v>Eismo saugumo priemonių diegimas Druskininkų savivaldybėje</v>
      </c>
      <c r="E98" s="366" t="str">
        <f>CONCATENATE('3 pr-2'!E99)</f>
        <v xml:space="preserve">Druskininkų savivaldybės administracija  </v>
      </c>
      <c r="F98" s="366" t="str">
        <f>CONCATENATE('3 pr-2'!F99)</f>
        <v>Lietuvos Respublikos susisiekimo ministerija</v>
      </c>
      <c r="G98" s="366" t="str">
        <f>CONCATENATE('3 pr-2'!G99)</f>
        <v>Druskininkų sav.</v>
      </c>
      <c r="H98" s="366" t="str">
        <f>CONCATENATE('3 pr-2'!H99)</f>
        <v>06.2.1-TID-R-511</v>
      </c>
      <c r="I98" s="366" t="str">
        <f>CONCATENATE('3 pr-2'!I99)</f>
        <v>R</v>
      </c>
      <c r="J98" s="366" t="str">
        <f>CONCATENATE('3 pr-2'!J99)</f>
        <v>-</v>
      </c>
      <c r="K98" s="1432">
        <f>SUM('3 pr-2'!L99)</f>
        <v>135352</v>
      </c>
      <c r="L98" s="1432">
        <f t="shared" ca="1" si="110"/>
        <v>0</v>
      </c>
      <c r="M98" s="1427">
        <f t="shared" ref="M98" ca="1" si="174">SUM(K98-L98)</f>
        <v>135352</v>
      </c>
      <c r="N98" s="1428">
        <f t="shared" ref="N98" ca="1" si="175">IF(L98&gt;0,K98-L98,0)</f>
        <v>0</v>
      </c>
      <c r="O98" s="1432">
        <f>SUM('3 pr-2'!O99)</f>
        <v>22363</v>
      </c>
      <c r="P98" s="1432">
        <f ca="1">SUMIF('sutarčių ataskaita'!$J$19:$J$2600,C98,'sutarčių ataskaita'!$DK$19:$DK$600)</f>
        <v>0</v>
      </c>
      <c r="Q98" s="1432">
        <f t="shared" ref="Q98" ca="1" si="176">SUM(O98-P98)</f>
        <v>22363</v>
      </c>
      <c r="R98" s="1432">
        <f t="shared" ref="R98" ca="1" si="177">IF(P98&gt;0,O98-P98,0)</f>
        <v>0</v>
      </c>
      <c r="S98" s="1432">
        <f>SUM('3 pr-2'!R99)</f>
        <v>0</v>
      </c>
      <c r="T98" s="1432">
        <f ca="1">SUMIF('sutarčių ataskaita'!$J$19:$J$2600,C98,'sutarčių ataskaita'!$DG$19:$DG$600)</f>
        <v>0</v>
      </c>
      <c r="U98" s="1432">
        <f t="shared" ref="U98" ca="1" si="178">SUM(S98-T98)</f>
        <v>0</v>
      </c>
      <c r="V98" s="1432">
        <f t="shared" ref="V98" ca="1" si="179">IF(T98&gt;0,S98-T98,0)</f>
        <v>0</v>
      </c>
      <c r="W98" s="1432">
        <f>SUM('3 pr-2'!U99)</f>
        <v>0</v>
      </c>
      <c r="X98" s="1296">
        <f ca="1">SUMIF('sutarčių ataskaita'!$J$19:$J$2600,C98,'sutarčių ataskaita'!$DM$19:$DM$600)</f>
        <v>0</v>
      </c>
      <c r="Y98" s="1432">
        <f t="shared" ref="Y98" ca="1" si="180">SUM(W98-X98)</f>
        <v>0</v>
      </c>
      <c r="Z98" s="1432">
        <f t="shared" ref="Z98" ca="1" si="181">IF(X98&gt;0,W98-X98,0)</f>
        <v>0</v>
      </c>
      <c r="AA98" s="1432">
        <f>SUM('3 pr-2'!X99)</f>
        <v>0</v>
      </c>
      <c r="AB98" s="1432">
        <f ca="1">SUMIF('sutarčių ataskaita'!$J$19:$J$2600,C98,'sutarčių ataskaita'!$DL$19:$DL$600)+SUMIF('sutarčių ataskaita'!$J$19:$J$2600,C98,'sutarčių ataskaita'!$DJ$19:$DJ$600)</f>
        <v>0</v>
      </c>
      <c r="AC98" s="1432">
        <f t="shared" ref="AC98" ca="1" si="182">SUM(AA98-AB98)</f>
        <v>0</v>
      </c>
      <c r="AD98" s="1432">
        <f t="shared" ref="AD98" ca="1" si="183">IF(AB98&gt;0,AA98-AB98,0)</f>
        <v>0</v>
      </c>
      <c r="AE98" s="1432">
        <f>SUM('3 pr-2'!AA99)</f>
        <v>112989</v>
      </c>
      <c r="AF98" s="1432">
        <f ca="1">SUMIF('sutarčių ataskaita'!$J$19:$J$2600,C98,'sutarčių ataskaita'!$DF$19:$DF$600)</f>
        <v>0</v>
      </c>
      <c r="AG98" s="1447">
        <f t="shared" ref="AG98" ca="1" si="184">SUM(AE98-AF98)</f>
        <v>112989</v>
      </c>
      <c r="AH98" s="1430">
        <f t="shared" ref="AH98" ca="1" si="185">IF(AF98&gt;0,AE98-AF98,0)</f>
        <v>0</v>
      </c>
      <c r="AI98" s="1296">
        <f>SUM('3 pr-2'!AB100)</f>
        <v>0</v>
      </c>
      <c r="AJ98" s="1432"/>
    </row>
    <row r="99" spans="1:36" ht="53.25" customHeight="1" thickBot="1" x14ac:dyDescent="0.3">
      <c r="A99" s="443" t="str">
        <f>CONCATENATE('3 pr-2'!A100)</f>
        <v>2.1.</v>
      </c>
      <c r="B99" s="2028" t="str">
        <f>CONCATENATE('3 pr-2'!B100)</f>
        <v>Tikslas:
GERINTI VIEŠŲJŲ  PASLAUGŲ KOKYBĘ IR PRIEINAMUMĄ</v>
      </c>
      <c r="C99" s="2023"/>
      <c r="D99" s="2023"/>
      <c r="E99" s="2023"/>
      <c r="F99" s="2023"/>
      <c r="G99" s="2023"/>
      <c r="H99" s="2023"/>
      <c r="I99" s="2023"/>
      <c r="J99" s="2024"/>
      <c r="K99" s="1414">
        <f>SUM('3 pr-2'!L100)</f>
        <v>12593641.73</v>
      </c>
      <c r="L99" s="1414">
        <f ca="1">SUM(L100+L119+L146+L159)</f>
        <v>10982743.48</v>
      </c>
      <c r="M99" s="1416">
        <f ca="1">SUM(M100+M119+M146+M159)</f>
        <v>963773.25</v>
      </c>
      <c r="N99" s="1417">
        <f ca="1">SUM(N100+N119+N146+N159)</f>
        <v>1410898.2500000005</v>
      </c>
      <c r="O99" s="1414">
        <f>SUM('3 pr-2'!O100)</f>
        <v>1894321.3399999999</v>
      </c>
      <c r="P99" s="1414">
        <f ca="1">SUM(P100+P119+P146+P159)</f>
        <v>1833041.44</v>
      </c>
      <c r="Q99" s="1414">
        <f ca="1">SUM(Q100+Q119+Q146+Q159)</f>
        <v>13845.900000000001</v>
      </c>
      <c r="R99" s="1414">
        <f ca="1">SUM(R100+R119+R146+R159)</f>
        <v>31279.9</v>
      </c>
      <c r="S99" s="1414">
        <f>SUM('3 pr-2'!R100)</f>
        <v>411995.91</v>
      </c>
      <c r="T99" s="1414">
        <f ca="1">SUM(T100+T119+T146+T159)</f>
        <v>303389.90999999997</v>
      </c>
      <c r="U99" s="1414">
        <f ca="1">SUM(U100+U119+U146+U159)</f>
        <v>75071</v>
      </c>
      <c r="V99" s="1414">
        <f ca="1">SUM(V100+V119+V146+V159)</f>
        <v>108606</v>
      </c>
      <c r="W99" s="1414">
        <f>SUM('3 pr-2'!U100)</f>
        <v>40158</v>
      </c>
      <c r="X99" s="1414">
        <f ca="1">SUM(X100+X119+X146+X159)</f>
        <v>0</v>
      </c>
      <c r="Y99" s="1414">
        <f ca="1">SUM(Y100+Y119+Y146+Y159)</f>
        <v>24057</v>
      </c>
      <c r="Z99" s="1414">
        <f ca="1">SUM(Z100+Z119+Z146+Z159)</f>
        <v>0</v>
      </c>
      <c r="AA99" s="1414">
        <f>SUM('3 pr-2'!X100)</f>
        <v>1299.95</v>
      </c>
      <c r="AB99" s="1414">
        <f ca="1">SUM(AB100+AB119+AB146+AB159)</f>
        <v>1299.95</v>
      </c>
      <c r="AC99" s="1414">
        <f ca="1">SUM(AC100+AC119+AC146+AC159)</f>
        <v>0</v>
      </c>
      <c r="AD99" s="1414">
        <f ca="1">SUM(AD100+AD119+AD146+AD159)</f>
        <v>0</v>
      </c>
      <c r="AE99" s="1414">
        <f>SUM('3 pr-2'!AA100)</f>
        <v>10245866.530000001</v>
      </c>
      <c r="AF99" s="1414">
        <f ca="1">SUM(AF100+AF119+AF146+AF159)</f>
        <v>8845012.1799999997</v>
      </c>
      <c r="AG99" s="1450">
        <f ca="1">SUM(AG100+AG119+AG146+AG159)</f>
        <v>850799.35</v>
      </c>
      <c r="AH99" s="1451">
        <f ca="1">SUM(AH100+AH119+AH146+AH159)</f>
        <v>1230854.3500000006</v>
      </c>
      <c r="AI99" s="1414">
        <f t="shared" ref="AI99:AJ99" si="186">SUM(AI100+AI119+AI146+AI159)</f>
        <v>0</v>
      </c>
      <c r="AJ99" s="1414">
        <f t="shared" si="186"/>
        <v>0</v>
      </c>
    </row>
    <row r="100" spans="1:36" ht="56.25" customHeight="1" thickBot="1" x14ac:dyDescent="0.3">
      <c r="A100" s="261" t="str">
        <f>CONCATENATE('3 pr-2'!A101)</f>
        <v>2.1.1.</v>
      </c>
      <c r="B100" s="2022" t="str">
        <f>CONCATENATE('3 pr-2'!B101)</f>
        <v xml:space="preserve">Uždavinys:
Bendrojo ugdymo ir neformaliojo švietimo įstaigų (ypač vykdančių ikimokyklinio ir priešmokyklinio ugdymo programas) tinklo veiklos efektyvumo didinimas </v>
      </c>
      <c r="C100" s="2023"/>
      <c r="D100" s="2023"/>
      <c r="E100" s="2023"/>
      <c r="F100" s="2023"/>
      <c r="G100" s="2023"/>
      <c r="H100" s="2023"/>
      <c r="I100" s="2023"/>
      <c r="J100" s="2024"/>
      <c r="K100" s="1420">
        <f>SUM('3 pr-2'!L101)</f>
        <v>4776867.3599999994</v>
      </c>
      <c r="L100" s="1420">
        <f ca="1">SUM(L101+L107+L113)</f>
        <v>4776867.3599999994</v>
      </c>
      <c r="M100" s="1418">
        <f ca="1">SUM(M101+M107+M113)</f>
        <v>0</v>
      </c>
      <c r="N100" s="1419">
        <f ca="1">SUM(N101+N107+N113)</f>
        <v>0</v>
      </c>
      <c r="O100" s="1420">
        <f>SUM('3 pr-2'!O101)</f>
        <v>808633.36</v>
      </c>
      <c r="P100" s="1420">
        <f ca="1">SUM(P101+P107+P113)</f>
        <v>808633.36</v>
      </c>
      <c r="Q100" s="1420">
        <f ca="1">SUM(Q101+Q107+Q113)</f>
        <v>0</v>
      </c>
      <c r="R100" s="1420">
        <f ca="1">SUM(R101+R107+R113)</f>
        <v>0</v>
      </c>
      <c r="S100" s="1420">
        <f>SUM('3 pr-2'!R101)</f>
        <v>201262</v>
      </c>
      <c r="T100" s="1420">
        <f ca="1">SUM(T101+T107+T113)</f>
        <v>201262</v>
      </c>
      <c r="U100" s="1420">
        <f ca="1">SUM(U101+U107+U113)</f>
        <v>0</v>
      </c>
      <c r="V100" s="1420">
        <f ca="1">SUM(V101+V107+V113)</f>
        <v>0</v>
      </c>
      <c r="W100" s="1420">
        <f>SUM('3 pr-2'!U101)</f>
        <v>0</v>
      </c>
      <c r="X100" s="1420">
        <f ca="1">SUM(X101+X107+X113)</f>
        <v>0</v>
      </c>
      <c r="Y100" s="1420">
        <f ca="1">SUM(Y101+Y107+Y113)</f>
        <v>0</v>
      </c>
      <c r="Z100" s="1420">
        <f ca="1">SUM(Z101+Z107+Z113)</f>
        <v>0</v>
      </c>
      <c r="AA100" s="1420">
        <f>SUM('3 pr-2'!X101)</f>
        <v>0</v>
      </c>
      <c r="AB100" s="1420">
        <f ca="1">SUM(AB101+AB107+AB113)</f>
        <v>0</v>
      </c>
      <c r="AC100" s="1420">
        <f ca="1">SUM(AC101+AC107+AC113)</f>
        <v>0</v>
      </c>
      <c r="AD100" s="1420">
        <f ca="1">SUM(AD101+AD107+AD113)</f>
        <v>0</v>
      </c>
      <c r="AE100" s="1420">
        <f>SUM('3 pr-2'!AA101)</f>
        <v>3766972</v>
      </c>
      <c r="AF100" s="1420">
        <f ca="1">SUM(AF101+AF107+AF113)</f>
        <v>3766972</v>
      </c>
      <c r="AG100" s="1452">
        <f ca="1">SUM(AG101+AG107+AG113)</f>
        <v>0</v>
      </c>
      <c r="AH100" s="1453">
        <f ca="1">SUM(AH101+AH107+AH113)</f>
        <v>0</v>
      </c>
      <c r="AI100" s="1420">
        <f t="shared" ref="AI100:AJ100" si="187">SUM(AI101+AI107+AI113)</f>
        <v>0</v>
      </c>
      <c r="AJ100" s="1420">
        <f t="shared" si="187"/>
        <v>0</v>
      </c>
    </row>
    <row r="101" spans="1:36" ht="30" customHeight="1" thickBot="1" x14ac:dyDescent="0.3">
      <c r="A101" s="326" t="str">
        <f>CONCATENATE('3 pr-2'!A102)</f>
        <v>2.1.1.1</v>
      </c>
      <c r="B101" s="2025" t="str">
        <f>CONCATENATE('3 pr-2'!B102)</f>
        <v>Priemonė:
Mokyklų tinklo efektyvumo didinimas</v>
      </c>
      <c r="C101" s="2026"/>
      <c r="D101" s="2026"/>
      <c r="E101" s="2026"/>
      <c r="F101" s="2026"/>
      <c r="G101" s="2026"/>
      <c r="H101" s="2026"/>
      <c r="I101" s="2026"/>
      <c r="J101" s="2027"/>
      <c r="K101" s="1293">
        <f>SUM('3 pr-2'!L102)</f>
        <v>1343975.4100000001</v>
      </c>
      <c r="L101" s="1293">
        <f ca="1">SUM(L102:L106)</f>
        <v>1343975.4100000001</v>
      </c>
      <c r="M101" s="1422">
        <f ca="1">SUM(M102:M106)</f>
        <v>0</v>
      </c>
      <c r="N101" s="1423">
        <f ca="1">SUM(N102:N106)</f>
        <v>0</v>
      </c>
      <c r="O101" s="1293">
        <f>SUM('3 pr-2'!O102)</f>
        <v>100799.41</v>
      </c>
      <c r="P101" s="1293">
        <f ca="1">SUM(P102:P106)</f>
        <v>100799.41</v>
      </c>
      <c r="Q101" s="1293">
        <f ca="1">SUM(Q102:Q106)</f>
        <v>0</v>
      </c>
      <c r="R101" s="1293">
        <f ca="1">SUM(R102:R106)</f>
        <v>0</v>
      </c>
      <c r="S101" s="1293">
        <f>SUM('3 pr-2'!R102)</f>
        <v>100799</v>
      </c>
      <c r="T101" s="1293">
        <f ca="1">SUM(T102:T106)</f>
        <v>100799</v>
      </c>
      <c r="U101" s="1293">
        <f ca="1">SUM(U102:U106)</f>
        <v>0</v>
      </c>
      <c r="V101" s="1293">
        <f ca="1">SUM(V102:V106)</f>
        <v>0</v>
      </c>
      <c r="W101" s="1293">
        <f>SUM('3 pr-2'!U102)</f>
        <v>0</v>
      </c>
      <c r="X101" s="1293">
        <f ca="1">SUM(X102:X106)</f>
        <v>0</v>
      </c>
      <c r="Y101" s="1293">
        <f ca="1">SUM(Y102:Y106)</f>
        <v>0</v>
      </c>
      <c r="Z101" s="1293">
        <f ca="1">SUM(Z102:Z106)</f>
        <v>0</v>
      </c>
      <c r="AA101" s="1293">
        <f>SUM('3 pr-2'!X102)</f>
        <v>0</v>
      </c>
      <c r="AB101" s="1293">
        <f ca="1">SUM(AB102:AB106)</f>
        <v>0</v>
      </c>
      <c r="AC101" s="1293">
        <f ca="1">SUM(AC102:AC106)</f>
        <v>0</v>
      </c>
      <c r="AD101" s="1293">
        <f ca="1">SUM(AD102:AD106)</f>
        <v>0</v>
      </c>
      <c r="AE101" s="1293">
        <f>SUM('3 pr-2'!AA102)</f>
        <v>1142377</v>
      </c>
      <c r="AF101" s="1293">
        <f ca="1">SUM(AF102:AF106)</f>
        <v>1142377</v>
      </c>
      <c r="AG101" s="1439">
        <f ca="1">SUM(AG102:AG106)</f>
        <v>0</v>
      </c>
      <c r="AH101" s="1440">
        <f ca="1">SUM(AH102:AH106)</f>
        <v>0</v>
      </c>
      <c r="AI101" s="1293">
        <f t="shared" ref="AI101:AJ101" si="188">SUM(AI102:AI106)</f>
        <v>0</v>
      </c>
      <c r="AJ101" s="1293">
        <f t="shared" si="188"/>
        <v>0</v>
      </c>
    </row>
    <row r="102" spans="1:36" ht="36.75" x14ac:dyDescent="0.25">
      <c r="A102" s="182" t="str">
        <f>CONCATENATE('3 pr-2'!A103)</f>
        <v>2.1.1.1.1</v>
      </c>
      <c r="B102" s="182" t="str">
        <f>CONCATENATE('3 pr-2'!B103)</f>
        <v>R01-7724-220000-2111</v>
      </c>
      <c r="C102" s="652" t="str">
        <f>IF('ketv. 4 '!X103&gt;0,'ketv. 4 '!C103,"-")</f>
        <v>09.1.3-CPVA-R-724-11-0003</v>
      </c>
      <c r="D102" s="446"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96">
        <f>SUM('3 pr-2'!L103)</f>
        <v>220453</v>
      </c>
      <c r="L102" s="1426">
        <f t="shared" ref="L102:L106" ca="1" si="189">SUM(P102+T102+X102+AB102+AF102+AJ102)</f>
        <v>220453</v>
      </c>
      <c r="M102" s="1427">
        <f t="shared" ref="M102:M106" ca="1" si="190">SUM(K102-L102)</f>
        <v>0</v>
      </c>
      <c r="N102" s="1428">
        <f t="shared" ref="N102:N106" ca="1" si="191">IF(L102&gt;0,K102-L102,0)</f>
        <v>0</v>
      </c>
      <c r="O102" s="1432">
        <f>SUM('3 pr-2'!O103)</f>
        <v>16534</v>
      </c>
      <c r="P102" s="1426">
        <f ca="1">SUMIF('sutarčių ataskaita'!$J$19:$J$2600,C102,'sutarčių ataskaita'!$DK$19:$DK$600)</f>
        <v>16534</v>
      </c>
      <c r="Q102" s="1427">
        <f t="shared" ref="Q102:Q106" ca="1" si="192">SUM(O102-P102)</f>
        <v>0</v>
      </c>
      <c r="R102" s="1428">
        <f t="shared" ref="R102:R106" ca="1" si="193">IF(P102&gt;0,O102-P102,0)</f>
        <v>0</v>
      </c>
      <c r="S102" s="1432">
        <f>SUM('3 pr-2'!R103)</f>
        <v>16534</v>
      </c>
      <c r="T102" s="1426">
        <f ca="1">SUMIF('sutarčių ataskaita'!$J$19:$J$2600,C102,'sutarčių ataskaita'!$DG$19:$DG$600)</f>
        <v>16534</v>
      </c>
      <c r="U102" s="1427">
        <f t="shared" ref="U102:U106" ca="1" si="194">SUM(S102-T102)</f>
        <v>0</v>
      </c>
      <c r="V102" s="1428">
        <f t="shared" ref="V102:V106" ca="1" si="195">IF(T102&gt;0,S102-T102,0)</f>
        <v>0</v>
      </c>
      <c r="W102" s="1432">
        <f>SUM('3 pr-2'!U103)</f>
        <v>0</v>
      </c>
      <c r="X102" s="1426">
        <f ca="1">SUMIF('sutarčių ataskaita'!$J$19:$J$2600,C102,'sutarčių ataskaita'!$DM$19:$DM$600)</f>
        <v>0</v>
      </c>
      <c r="Y102" s="1427">
        <f t="shared" ref="Y102:Y106" ca="1" si="196">SUM(W102-X102)</f>
        <v>0</v>
      </c>
      <c r="Z102" s="1428">
        <f t="shared" ref="Z102:Z106" ca="1" si="197">IF(X102&gt;0,W102-X102,0)</f>
        <v>0</v>
      </c>
      <c r="AA102" s="1432">
        <f>SUM('3 pr-2'!X103)</f>
        <v>0</v>
      </c>
      <c r="AB102" s="1426">
        <f ca="1">SUMIF('sutarčių ataskaita'!$J$19:$J$2600,C102,'sutarčių ataskaita'!$DL$19:$DL$600)+SUMIF('sutarčių ataskaita'!$J$19:$J$2600,C102,'sutarčių ataskaita'!$DJ$19:$DJ$600)</f>
        <v>0</v>
      </c>
      <c r="AC102" s="1427">
        <f ca="1">SUM(AA102-AB102)</f>
        <v>0</v>
      </c>
      <c r="AD102" s="1428">
        <f t="shared" ref="AD102:AD106" ca="1" si="198">IF(AB102&gt;0,AA102-AB102,0)</f>
        <v>0</v>
      </c>
      <c r="AE102" s="1432">
        <f>SUM('3 pr-2'!AA103)</f>
        <v>187385</v>
      </c>
      <c r="AF102" s="1432">
        <f ca="1">SUMIF('sutarčių ataskaita'!$J$19:$J$2600,C102,'sutarčių ataskaita'!$DF$19:$DF$600)</f>
        <v>187385</v>
      </c>
      <c r="AG102" s="1454">
        <f t="shared" ref="AG102:AG106" ca="1" si="199">SUM(AE102-AF102)</f>
        <v>0</v>
      </c>
      <c r="AH102" s="1430">
        <f t="shared" ref="AH102:AH106" ca="1" si="200">IF(AF102&gt;0,AE102-AF102,0)</f>
        <v>0</v>
      </c>
      <c r="AI102" s="1296">
        <f>SUM('3 pr-2'!AB104)</f>
        <v>0</v>
      </c>
      <c r="AJ102" s="1426">
        <v>0</v>
      </c>
    </row>
    <row r="103" spans="1:36" ht="36.75" x14ac:dyDescent="0.25">
      <c r="A103" s="182" t="str">
        <f>CONCATENATE('3 pr-2'!A104)</f>
        <v>2.1.1.1.2</v>
      </c>
      <c r="B103" s="182" t="str">
        <f>CONCATENATE('3 pr-2'!B104)</f>
        <v>R01-7724-220000-2112</v>
      </c>
      <c r="C103" s="652" t="str">
        <f>IF('ketv. 4 '!X104&gt;0,'ketv. 4 '!C104,"-")</f>
        <v>09.1.3-CPVA-R-724-11-0005</v>
      </c>
      <c r="D103" s="446"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96">
        <f>SUM('3 pr-2'!L104)</f>
        <v>106845.41</v>
      </c>
      <c r="L103" s="1426">
        <f t="shared" ca="1" si="189"/>
        <v>106845.41</v>
      </c>
      <c r="M103" s="1427">
        <f t="shared" ca="1" si="190"/>
        <v>0</v>
      </c>
      <c r="N103" s="1428">
        <f t="shared" ca="1" si="191"/>
        <v>0</v>
      </c>
      <c r="O103" s="1432">
        <f>SUM('3 pr-2'!O104)</f>
        <v>8013.41</v>
      </c>
      <c r="P103" s="1426">
        <f ca="1">SUMIF('sutarčių ataskaita'!$J$19:$J$2600,C103,'sutarčių ataskaita'!$DK$19:$DK$600)</f>
        <v>8013.41</v>
      </c>
      <c r="Q103" s="1427">
        <f t="shared" ca="1" si="192"/>
        <v>0</v>
      </c>
      <c r="R103" s="1428">
        <f t="shared" ca="1" si="193"/>
        <v>0</v>
      </c>
      <c r="S103" s="1432">
        <f>SUM('3 pr-2'!R104)</f>
        <v>8014</v>
      </c>
      <c r="T103" s="1426">
        <f ca="1">SUMIF('sutarčių ataskaita'!$J$19:$J$2600,C103,'sutarčių ataskaita'!$DG$19:$DG$600)</f>
        <v>8014</v>
      </c>
      <c r="U103" s="1427">
        <f t="shared" ca="1" si="194"/>
        <v>0</v>
      </c>
      <c r="V103" s="1428">
        <f t="shared" ca="1" si="195"/>
        <v>0</v>
      </c>
      <c r="W103" s="1432">
        <f>SUM('3 pr-2'!U104)</f>
        <v>0</v>
      </c>
      <c r="X103" s="1426">
        <f ca="1">SUMIF('sutarčių ataskaita'!$J$19:$J$2600,C103,'sutarčių ataskaita'!$DM$19:$DM$600)</f>
        <v>0</v>
      </c>
      <c r="Y103" s="1427">
        <f t="shared" ca="1" si="196"/>
        <v>0</v>
      </c>
      <c r="Z103" s="1428">
        <f t="shared" ca="1" si="197"/>
        <v>0</v>
      </c>
      <c r="AA103" s="1432">
        <f>SUM('3 pr-2'!X104)</f>
        <v>0</v>
      </c>
      <c r="AB103" s="1426">
        <f ca="1">SUMIF('sutarčių ataskaita'!$J$19:$J$2600,C103,'sutarčių ataskaita'!$DL$19:$DL$600)+SUMIF('sutarčių ataskaita'!$J$19:$J$2600,C103,'sutarčių ataskaita'!$DJ$19:$DJ$600)</f>
        <v>0</v>
      </c>
      <c r="AC103" s="1427">
        <f ca="1">SUM(AA103-AB103)</f>
        <v>0</v>
      </c>
      <c r="AD103" s="1428">
        <f t="shared" ca="1" si="198"/>
        <v>0</v>
      </c>
      <c r="AE103" s="1432">
        <f>SUM('3 pr-2'!AA104)</f>
        <v>90818</v>
      </c>
      <c r="AF103" s="1432">
        <f ca="1">SUMIF('sutarčių ataskaita'!$J$19:$J$2600,C103,'sutarčių ataskaita'!$DF$19:$DF$600)</f>
        <v>90818</v>
      </c>
      <c r="AG103" s="1429">
        <f t="shared" ca="1" si="199"/>
        <v>0</v>
      </c>
      <c r="AH103" s="1430">
        <f t="shared" ca="1" si="200"/>
        <v>0</v>
      </c>
      <c r="AI103" s="1296">
        <f>SUM('3 pr-2'!AB105)</f>
        <v>0</v>
      </c>
      <c r="AJ103" s="1426">
        <v>0</v>
      </c>
    </row>
    <row r="104" spans="1:36" ht="36.75" x14ac:dyDescent="0.25">
      <c r="A104" s="182" t="str">
        <f>CONCATENATE('3 pr-2'!A105)</f>
        <v>2.1.1.1.3</v>
      </c>
      <c r="B104" s="182" t="str">
        <f>CONCATENATE('3 pr-2'!B105)</f>
        <v>R01-7724-220000-2113</v>
      </c>
      <c r="C104" s="652" t="str">
        <f>IF('ketv. 4 '!X105&gt;0,'ketv. 4 '!C105,"-")</f>
        <v>09.1.3-CPVA-R-724-11-0002</v>
      </c>
      <c r="D104" s="446"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96">
        <f>SUM('3 pr-2'!L105)</f>
        <v>657021</v>
      </c>
      <c r="L104" s="1426">
        <f t="shared" ca="1" si="189"/>
        <v>657021</v>
      </c>
      <c r="M104" s="1427">
        <f t="shared" ca="1" si="190"/>
        <v>0</v>
      </c>
      <c r="N104" s="1428">
        <f t="shared" ca="1" si="191"/>
        <v>0</v>
      </c>
      <c r="O104" s="1432">
        <f>SUM('3 pr-2'!O105)</f>
        <v>49277</v>
      </c>
      <c r="P104" s="1426">
        <f ca="1">SUMIF('sutarčių ataskaita'!$J$19:$J$2600,C104,'sutarčių ataskaita'!$DK$19:$DK$600)</f>
        <v>49277</v>
      </c>
      <c r="Q104" s="1427">
        <f t="shared" ca="1" si="192"/>
        <v>0</v>
      </c>
      <c r="R104" s="1428">
        <f t="shared" ca="1" si="193"/>
        <v>0</v>
      </c>
      <c r="S104" s="1432">
        <f>SUM('3 pr-2'!R105)</f>
        <v>49277</v>
      </c>
      <c r="T104" s="1426">
        <f ca="1">SUMIF('sutarčių ataskaita'!$J$19:$J$2600,C104,'sutarčių ataskaita'!$DG$19:$DG$600)</f>
        <v>49277</v>
      </c>
      <c r="U104" s="1427">
        <f t="shared" ca="1" si="194"/>
        <v>0</v>
      </c>
      <c r="V104" s="1428">
        <f t="shared" ca="1" si="195"/>
        <v>0</v>
      </c>
      <c r="W104" s="1432">
        <f>SUM('3 pr-2'!U105)</f>
        <v>0</v>
      </c>
      <c r="X104" s="1426">
        <f ca="1">SUMIF('sutarčių ataskaita'!$J$19:$J$2600,C104,'sutarčių ataskaita'!$DM$19:$DM$600)</f>
        <v>0</v>
      </c>
      <c r="Y104" s="1427">
        <f t="shared" ca="1" si="196"/>
        <v>0</v>
      </c>
      <c r="Z104" s="1428">
        <f t="shared" ca="1" si="197"/>
        <v>0</v>
      </c>
      <c r="AA104" s="1432">
        <f>SUM('3 pr-2'!X105)</f>
        <v>0</v>
      </c>
      <c r="AB104" s="1426">
        <f ca="1">SUMIF('sutarčių ataskaita'!$J$19:$J$2600,C104,'sutarčių ataskaita'!$DL$19:$DL$600)+SUMIF('sutarčių ataskaita'!$J$19:$J$2600,C104,'sutarčių ataskaita'!$DJ$19:$DJ$600)</f>
        <v>0</v>
      </c>
      <c r="AC104" s="1427">
        <f ca="1">SUM(AA104-AB104)</f>
        <v>0</v>
      </c>
      <c r="AD104" s="1428">
        <f t="shared" ca="1" si="198"/>
        <v>0</v>
      </c>
      <c r="AE104" s="1432">
        <f>SUM('3 pr-2'!AA105)</f>
        <v>558467</v>
      </c>
      <c r="AF104" s="1432">
        <f ca="1">SUMIF('sutarčių ataskaita'!$J$19:$J$2600,C104,'sutarčių ataskaita'!$DF$19:$DF$600)</f>
        <v>558467</v>
      </c>
      <c r="AG104" s="1429">
        <f ca="1">SUM(AE104-AF104)</f>
        <v>0</v>
      </c>
      <c r="AH104" s="1430">
        <f ca="1">IF(AF104&gt;0,AE104-AF104,0)</f>
        <v>0</v>
      </c>
      <c r="AI104" s="1296">
        <f>SUM('3 pr-2'!AB106)</f>
        <v>0</v>
      </c>
      <c r="AJ104" s="1426">
        <v>0</v>
      </c>
    </row>
    <row r="105" spans="1:36" ht="36.75" x14ac:dyDescent="0.25">
      <c r="A105" s="182" t="str">
        <f>CONCATENATE('3 pr-2'!A106)</f>
        <v>2.1.1.1.4</v>
      </c>
      <c r="B105" s="182" t="str">
        <f>CONCATENATE('3 pr-2'!B106)</f>
        <v>R01-7724-220000-2114</v>
      </c>
      <c r="C105" s="652" t="str">
        <f>IF('ketv. 4 '!X106&gt;0,'ketv. 4 '!C106,"-")</f>
        <v>09.1.3-CPVA-R-724-11-0004</v>
      </c>
      <c r="D105" s="446"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96">
        <f>SUM('3 pr-2'!L106)</f>
        <v>163877</v>
      </c>
      <c r="L105" s="1426">
        <f t="shared" ca="1" si="189"/>
        <v>163877</v>
      </c>
      <c r="M105" s="1427">
        <f t="shared" ca="1" si="190"/>
        <v>0</v>
      </c>
      <c r="N105" s="1428">
        <f t="shared" ca="1" si="191"/>
        <v>0</v>
      </c>
      <c r="O105" s="1432">
        <f>SUM('3 pr-2'!O106)</f>
        <v>12291</v>
      </c>
      <c r="P105" s="1426">
        <f ca="1">SUMIF('sutarčių ataskaita'!$J$19:$J$2600,C105,'sutarčių ataskaita'!$DK$19:$DK$600)</f>
        <v>12291</v>
      </c>
      <c r="Q105" s="1427">
        <f t="shared" ca="1" si="192"/>
        <v>0</v>
      </c>
      <c r="R105" s="1428">
        <f t="shared" ca="1" si="193"/>
        <v>0</v>
      </c>
      <c r="S105" s="1432">
        <f>SUM('3 pr-2'!R106)</f>
        <v>12291</v>
      </c>
      <c r="T105" s="1426">
        <f ca="1">SUMIF('sutarčių ataskaita'!$J$19:$J$2600,C105,'sutarčių ataskaita'!$DG$19:$DG$600)</f>
        <v>12291</v>
      </c>
      <c r="U105" s="1427">
        <f t="shared" ca="1" si="194"/>
        <v>0</v>
      </c>
      <c r="V105" s="1428">
        <f t="shared" ca="1" si="195"/>
        <v>0</v>
      </c>
      <c r="W105" s="1432">
        <f>SUM('3 pr-2'!U106)</f>
        <v>0</v>
      </c>
      <c r="X105" s="1426">
        <f ca="1">SUMIF('sutarčių ataskaita'!$J$19:$J$2600,C105,'sutarčių ataskaita'!$DM$19:$DM$600)</f>
        <v>0</v>
      </c>
      <c r="Y105" s="1427">
        <f t="shared" ca="1" si="196"/>
        <v>0</v>
      </c>
      <c r="Z105" s="1428">
        <f t="shared" ca="1" si="197"/>
        <v>0</v>
      </c>
      <c r="AA105" s="1432">
        <f>SUM('3 pr-2'!X106)</f>
        <v>0</v>
      </c>
      <c r="AB105" s="1426">
        <f ca="1">SUMIF('sutarčių ataskaita'!$J$19:$J$2600,C105,'sutarčių ataskaita'!$DL$19:$DL$600)+SUMIF('sutarčių ataskaita'!$J$19:$J$2600,C105,'sutarčių ataskaita'!$DJ$19:$DJ$600)</f>
        <v>0</v>
      </c>
      <c r="AC105" s="1427">
        <f ca="1">SUM(AA105-AB105)</f>
        <v>0</v>
      </c>
      <c r="AD105" s="1428">
        <f t="shared" ca="1" si="198"/>
        <v>0</v>
      </c>
      <c r="AE105" s="1432">
        <f>SUM('3 pr-2'!AA106)</f>
        <v>139295</v>
      </c>
      <c r="AF105" s="1432">
        <f ca="1">SUMIF('sutarčių ataskaita'!$J$19:$J$2600,C105,'sutarčių ataskaita'!$DF$19:$DF$600)</f>
        <v>139295</v>
      </c>
      <c r="AG105" s="1429">
        <f t="shared" ca="1" si="199"/>
        <v>0</v>
      </c>
      <c r="AH105" s="1430">
        <f t="shared" ca="1" si="200"/>
        <v>0</v>
      </c>
      <c r="AI105" s="1296">
        <f>SUM('3 pr-2'!AB107)</f>
        <v>0</v>
      </c>
      <c r="AJ105" s="1426">
        <v>0</v>
      </c>
    </row>
    <row r="106" spans="1:36" ht="37.5" thickBot="1" x14ac:dyDescent="0.3">
      <c r="A106" s="182" t="str">
        <f>CONCATENATE('3 pr-2'!A107)</f>
        <v>2.1.1.1.5</v>
      </c>
      <c r="B106" s="182" t="str">
        <f>CONCATENATE('3 pr-2'!B107)</f>
        <v>R01-7724-220000-2115</v>
      </c>
      <c r="C106" s="652" t="str">
        <f>IF('ketv. 4 '!X107&gt;0,'ketv. 4 '!C107,"-")</f>
        <v>09.1.3-CPVA-R-724-11-0001</v>
      </c>
      <c r="D106" s="446"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96">
        <f>SUM('3 pr-2'!L107)</f>
        <v>195779</v>
      </c>
      <c r="L106" s="1426">
        <f t="shared" ca="1" si="189"/>
        <v>195779</v>
      </c>
      <c r="M106" s="1427">
        <f t="shared" ca="1" si="190"/>
        <v>0</v>
      </c>
      <c r="N106" s="1428">
        <f t="shared" ca="1" si="191"/>
        <v>0</v>
      </c>
      <c r="O106" s="1432">
        <f>SUM('3 pr-2'!O107)</f>
        <v>14684</v>
      </c>
      <c r="P106" s="1426">
        <f ca="1">SUMIF('sutarčių ataskaita'!$J$19:$J$2600,C106,'sutarčių ataskaita'!$DK$19:$DK$600)</f>
        <v>14684</v>
      </c>
      <c r="Q106" s="1427">
        <f t="shared" ca="1" si="192"/>
        <v>0</v>
      </c>
      <c r="R106" s="1428">
        <f t="shared" ca="1" si="193"/>
        <v>0</v>
      </c>
      <c r="S106" s="1432">
        <f>SUM('3 pr-2'!R107)</f>
        <v>14683</v>
      </c>
      <c r="T106" s="1426">
        <f ca="1">SUMIF('sutarčių ataskaita'!$J$19:$J$2600,C106,'sutarčių ataskaita'!$DG$19:$DG$600)</f>
        <v>14683</v>
      </c>
      <c r="U106" s="1427">
        <f t="shared" ca="1" si="194"/>
        <v>0</v>
      </c>
      <c r="V106" s="1428">
        <f t="shared" ca="1" si="195"/>
        <v>0</v>
      </c>
      <c r="W106" s="1432">
        <f>SUM('3 pr-2'!U107)</f>
        <v>0</v>
      </c>
      <c r="X106" s="1426">
        <f ca="1">SUMIF('sutarčių ataskaita'!$J$19:$J$2600,C106,'sutarčių ataskaita'!$DM$19:$DM$600)</f>
        <v>0</v>
      </c>
      <c r="Y106" s="1427">
        <f t="shared" ca="1" si="196"/>
        <v>0</v>
      </c>
      <c r="Z106" s="1428">
        <f t="shared" ca="1" si="197"/>
        <v>0</v>
      </c>
      <c r="AA106" s="1432">
        <f>SUM('3 pr-2'!X107)</f>
        <v>0</v>
      </c>
      <c r="AB106" s="1426">
        <f ca="1">SUMIF('sutarčių ataskaita'!$J$19:$J$2600,C106,'sutarčių ataskaita'!$DL$19:$DL$600)+SUMIF('sutarčių ataskaita'!$J$19:$J$2600,C106,'sutarčių ataskaita'!$DJ$19:$DJ$600)</f>
        <v>0</v>
      </c>
      <c r="AC106" s="1427">
        <f ca="1">SUM(AA106-AB106)</f>
        <v>0</v>
      </c>
      <c r="AD106" s="1428">
        <f t="shared" ca="1" si="198"/>
        <v>0</v>
      </c>
      <c r="AE106" s="1432">
        <f>SUM('3 pr-2'!AA107)</f>
        <v>166412</v>
      </c>
      <c r="AF106" s="1432">
        <f ca="1">SUMIF('sutarčių ataskaita'!$J$19:$J$2600,C106,'sutarčių ataskaita'!$DF$19:$DF$600)</f>
        <v>166412</v>
      </c>
      <c r="AG106" s="1447">
        <f t="shared" ca="1" si="199"/>
        <v>0</v>
      </c>
      <c r="AH106" s="1430">
        <f t="shared" ca="1" si="200"/>
        <v>0</v>
      </c>
      <c r="AI106" s="1296">
        <f>SUM('3 pr-2'!AB108)</f>
        <v>0</v>
      </c>
      <c r="AJ106" s="1426">
        <v>0</v>
      </c>
    </row>
    <row r="107" spans="1:36" ht="31.5" customHeight="1" thickBot="1" x14ac:dyDescent="0.3">
      <c r="A107" s="326" t="str">
        <f>CONCATENATE('3 pr-2'!A108)</f>
        <v>2.1.1.2</v>
      </c>
      <c r="B107" s="2025" t="str">
        <f>CONCATENATE('3 pr-2'!B108)</f>
        <v>Priemonė:
Neformaliojo švietimo infrastruktūros tobulinimas</v>
      </c>
      <c r="C107" s="2026"/>
      <c r="D107" s="2026"/>
      <c r="E107" s="2026"/>
      <c r="F107" s="2026"/>
      <c r="G107" s="2026"/>
      <c r="H107" s="2026"/>
      <c r="I107" s="2026"/>
      <c r="J107" s="2027"/>
      <c r="K107" s="1293">
        <f>SUM('3 pr-2'!L108)</f>
        <v>1973870.18</v>
      </c>
      <c r="L107" s="1293">
        <f ca="1">SUM(L108:L112)</f>
        <v>1973870.18</v>
      </c>
      <c r="M107" s="1422">
        <f ca="1">SUM(M108:M112)</f>
        <v>0</v>
      </c>
      <c r="N107" s="1423">
        <f ca="1">SUM(N108:N112)</f>
        <v>0</v>
      </c>
      <c r="O107" s="1293">
        <f>SUM('3 pr-2'!O108)</f>
        <v>487863.18</v>
      </c>
      <c r="P107" s="1293">
        <f ca="1">SUM(P108:P112)</f>
        <v>487863.18</v>
      </c>
      <c r="Q107" s="1293">
        <f ca="1">SUM(Q108:Q112)</f>
        <v>0</v>
      </c>
      <c r="R107" s="1293">
        <f ca="1">SUM(R108:R112)</f>
        <v>0</v>
      </c>
      <c r="S107" s="1293">
        <f>SUM('3 pr-2'!R108)</f>
        <v>0</v>
      </c>
      <c r="T107" s="1293">
        <f ca="1">SUM(T108:T112)</f>
        <v>0</v>
      </c>
      <c r="U107" s="1293">
        <f ca="1">SUM(U108:U112)</f>
        <v>0</v>
      </c>
      <c r="V107" s="1293">
        <f ca="1">SUM(V108:V112)</f>
        <v>0</v>
      </c>
      <c r="W107" s="1293">
        <f>SUM('3 pr-2'!U108)</f>
        <v>0</v>
      </c>
      <c r="X107" s="1293">
        <f ca="1">SUM(X108:X112)</f>
        <v>0</v>
      </c>
      <c r="Y107" s="1293">
        <f ca="1">SUM(Y108:Y112)</f>
        <v>0</v>
      </c>
      <c r="Z107" s="1293">
        <f ca="1">SUM(Z108:Z112)</f>
        <v>0</v>
      </c>
      <c r="AA107" s="1293">
        <f>SUM('3 pr-2'!X108)</f>
        <v>0</v>
      </c>
      <c r="AB107" s="1293">
        <f ca="1">SUM(AB108:AB112)</f>
        <v>0</v>
      </c>
      <c r="AC107" s="1293">
        <f ca="1">SUM(AC108:AC112)</f>
        <v>0</v>
      </c>
      <c r="AD107" s="1293">
        <f ca="1">SUM(AD108:AD112)</f>
        <v>0</v>
      </c>
      <c r="AE107" s="1293">
        <f>SUM('3 pr-2'!AA108)</f>
        <v>1486007</v>
      </c>
      <c r="AF107" s="1293">
        <f ca="1">SUM(AF108:AF112)</f>
        <v>1486007</v>
      </c>
      <c r="AG107" s="1442">
        <f ca="1">SUM(AG108:AG112)</f>
        <v>0</v>
      </c>
      <c r="AH107" s="1443">
        <f ca="1">SUM(AH108:AH112)</f>
        <v>0</v>
      </c>
      <c r="AI107" s="1293">
        <f t="shared" ref="AI107:AJ107" si="201">SUM(AI108:AI112)</f>
        <v>0</v>
      </c>
      <c r="AJ107" s="1293">
        <f t="shared" si="201"/>
        <v>0</v>
      </c>
    </row>
    <row r="108" spans="1:36" ht="36.75" x14ac:dyDescent="0.25">
      <c r="A108" s="366" t="str">
        <f>CONCATENATE('3 pr-2'!A109)</f>
        <v>2.1.1.2.1</v>
      </c>
      <c r="B108" s="182" t="str">
        <f>CONCATENATE('3 pr-2'!B109)</f>
        <v>R01-7725-240000-2121</v>
      </c>
      <c r="C108" s="652" t="str">
        <f>IF('ketv. 4 '!X109&gt;0,'ketv. 4 '!C109,"-")</f>
        <v>09.1.3-CPVA-R-725-11-0003</v>
      </c>
      <c r="D108" s="446" t="str">
        <f>CONCATENATE('3 pr-2'!D109)</f>
        <v>Varėnos moksleivių kūrybos centro pastato J. Basanavičiaus g. 38, Varėnoje, modernizavimas</v>
      </c>
      <c r="E108" s="366" t="str">
        <f>CONCATENATE('3 pr-2'!E109)</f>
        <v>Varėnos rajono savivaldybės administracija</v>
      </c>
      <c r="F108" s="366" t="str">
        <f>CONCATENATE('3 pr-2'!F109)</f>
        <v>Lietuvos Respublikos švietimo ir mokslo ministerija</v>
      </c>
      <c r="G108" s="366" t="str">
        <f>CONCATENATE('3 pr-2'!G109)</f>
        <v>Varėnos r. sav.</v>
      </c>
      <c r="H108" s="366" t="str">
        <f>CONCATENATE('3 pr-2'!H109)</f>
        <v>09.13.CPVA-R-725</v>
      </c>
      <c r="I108" s="366" t="str">
        <f>CONCATENATE('3 pr-2'!I109)</f>
        <v>R</v>
      </c>
      <c r="J108" s="366" t="str">
        <f>CONCATENATE('3 pr-2'!J109)</f>
        <v>-</v>
      </c>
      <c r="K108" s="1432">
        <f>SUM('3 pr-2'!L109)</f>
        <v>437551</v>
      </c>
      <c r="L108" s="1426">
        <f t="shared" ref="L108:L112" ca="1" si="202">SUM(P108+T108+X108+AB108+AF108+AJ108)</f>
        <v>437551</v>
      </c>
      <c r="M108" s="1427">
        <f t="shared" ref="M108:M112" ca="1" si="203">SUM(K108-L108)</f>
        <v>0</v>
      </c>
      <c r="N108" s="1428">
        <f t="shared" ref="N108:N112" ca="1" si="204">IF(L108&gt;0,K108-L108,0)</f>
        <v>0</v>
      </c>
      <c r="O108" s="1432">
        <f>SUM('3 pr-2'!O109)</f>
        <v>65633</v>
      </c>
      <c r="P108" s="1426">
        <f ca="1">SUMIF('sutarčių ataskaita'!$J$19:$J$2600,C108,'sutarčių ataskaita'!$DK$19:$DK$600)</f>
        <v>65633</v>
      </c>
      <c r="Q108" s="1432">
        <f t="shared" ref="Q108:Q112" ca="1" si="205">SUM(O108-P108)</f>
        <v>0</v>
      </c>
      <c r="R108" s="1432">
        <f t="shared" ref="R108:R112" ca="1" si="206">IF(P108&gt;0,O108-P108,0)</f>
        <v>0</v>
      </c>
      <c r="S108" s="1432">
        <f>SUM('3 pr-2'!R109)</f>
        <v>0</v>
      </c>
      <c r="T108" s="1426">
        <f ca="1">SUMIF('sutarčių ataskaita'!$J$19:$J$2600,C108,'sutarčių ataskaita'!$DG$19:$DG$600)</f>
        <v>0</v>
      </c>
      <c r="U108" s="1432">
        <f t="shared" ref="U108:U112" ca="1" si="207">SUM(S108-T108)</f>
        <v>0</v>
      </c>
      <c r="V108" s="1432">
        <f t="shared" ref="V108:V112" ca="1" si="208">IF(T108&gt;0,S108-T108,0)</f>
        <v>0</v>
      </c>
      <c r="W108" s="1432">
        <f>SUM('3 pr-2'!U109)</f>
        <v>0</v>
      </c>
      <c r="X108" s="1426">
        <f ca="1">SUMIF('sutarčių ataskaita'!$J$19:$J$2600,C108,'sutarčių ataskaita'!$DM$19:$DM$600)</f>
        <v>0</v>
      </c>
      <c r="Y108" s="1432">
        <f t="shared" ref="Y108:Y112" ca="1" si="209">SUM(W108-X108)</f>
        <v>0</v>
      </c>
      <c r="Z108" s="1432">
        <f t="shared" ref="Z108:Z112" ca="1" si="210">IF(X108&gt;0,W108-X108,0)</f>
        <v>0</v>
      </c>
      <c r="AA108" s="1432">
        <f>SUM('3 pr-2'!X109)</f>
        <v>0</v>
      </c>
      <c r="AB108" s="1426">
        <f ca="1">SUMIF('sutarčių ataskaita'!$J$19:$J$2600,C108,'sutarčių ataskaita'!$DL$19:$DL$600)+SUMIF('sutarčių ataskaita'!$J$19:$J$2600,C108,'sutarčių ataskaita'!$DJ$19:$DJ$600)</f>
        <v>0</v>
      </c>
      <c r="AC108" s="1432">
        <f ca="1">SUM(AA108-AB108)</f>
        <v>0</v>
      </c>
      <c r="AD108" s="1432">
        <f t="shared" ref="AD108:AD112" ca="1" si="211">IF(AB108&gt;0,AA108-AB108,0)</f>
        <v>0</v>
      </c>
      <c r="AE108" s="1432">
        <f>SUM('3 pr-2'!AA109)</f>
        <v>371918</v>
      </c>
      <c r="AF108" s="1432">
        <f ca="1">SUMIF('sutarčių ataskaita'!$J$19:$J$2600,C108,'sutarčių ataskaita'!$DF$19:$DF$600)</f>
        <v>371918</v>
      </c>
      <c r="AG108" s="1447">
        <f t="shared" ref="AG108:AG112" ca="1" si="212">SUM(AE108-AF108)</f>
        <v>0</v>
      </c>
      <c r="AH108" s="1430">
        <f t="shared" ref="AH108:AH112" ca="1" si="213">IF(AF108&gt;0,AE108-AF108,0)</f>
        <v>0</v>
      </c>
      <c r="AI108" s="1296">
        <f>SUM('3 pr-2'!AB110)</f>
        <v>0</v>
      </c>
      <c r="AJ108" s="1426">
        <v>0</v>
      </c>
    </row>
    <row r="109" spans="1:36" ht="36.75" x14ac:dyDescent="0.25">
      <c r="A109" s="366" t="str">
        <f>CONCATENATE('3 pr-2'!A110)</f>
        <v>2.1.1.2.2</v>
      </c>
      <c r="B109" s="182" t="str">
        <f>CONCATENATE('3 pr-2'!B110)</f>
        <v>R01-7725-240000-2122</v>
      </c>
      <c r="C109" s="652" t="str">
        <f>IF('ketv. 4 '!X110&gt;0,'ketv. 4 '!C110,"-")</f>
        <v>09.1.3-CPVA-R-725-11-0005</v>
      </c>
      <c r="D109" s="446" t="str">
        <f>CONCATENATE('3 pr-2'!D110)</f>
        <v>Alytaus r. meno ir sporto mokyklos edukacinių erdvių įkūrimas ir atnaujinimas</v>
      </c>
      <c r="E109" s="366" t="str">
        <f>CONCATENATE('3 pr-2'!E110)</f>
        <v>Alytaus rajono savivaldybės administracija</v>
      </c>
      <c r="F109" s="366" t="str">
        <f>CONCATENATE('3 pr-2'!F110)</f>
        <v>Lietuvos Respublikos švietimo ir mokslo ministerija</v>
      </c>
      <c r="G109" s="366" t="str">
        <f>CONCATENATE('3 pr-2'!G110)</f>
        <v>Alytaus r. sav.</v>
      </c>
      <c r="H109" s="366" t="str">
        <f>CONCATENATE('3 pr-2'!H110)</f>
        <v>09.13.CPVA-R-725</v>
      </c>
      <c r="I109" s="366" t="str">
        <f>CONCATENATE('3 pr-2'!I110)</f>
        <v>R</v>
      </c>
      <c r="J109" s="366" t="str">
        <f>CONCATENATE('3 pr-2'!J110)</f>
        <v>-</v>
      </c>
      <c r="K109" s="1432">
        <f>SUM('3 pr-2'!L110)</f>
        <v>856424.88</v>
      </c>
      <c r="L109" s="1426">
        <f t="shared" ca="1" si="202"/>
        <v>856424.88</v>
      </c>
      <c r="M109" s="1427">
        <f t="shared" ca="1" si="203"/>
        <v>0</v>
      </c>
      <c r="N109" s="1428">
        <f t="shared" ca="1" si="204"/>
        <v>0</v>
      </c>
      <c r="O109" s="1432">
        <f>SUM('3 pr-2'!O110)</f>
        <v>319813.88</v>
      </c>
      <c r="P109" s="1426">
        <f ca="1">SUMIF('sutarčių ataskaita'!$J$19:$J$2600,C109,'sutarčių ataskaita'!$DK$19:$DK$600)</f>
        <v>319813.88</v>
      </c>
      <c r="Q109" s="1432">
        <f t="shared" ca="1" si="205"/>
        <v>0</v>
      </c>
      <c r="R109" s="1432">
        <f t="shared" ca="1" si="206"/>
        <v>0</v>
      </c>
      <c r="S109" s="1432">
        <f>SUM('3 pr-2'!R110)</f>
        <v>0</v>
      </c>
      <c r="T109" s="1426">
        <f ca="1">SUMIF('sutarčių ataskaita'!$J$19:$J$2600,C109,'sutarčių ataskaita'!$DG$19:$DG$600)</f>
        <v>0</v>
      </c>
      <c r="U109" s="1432">
        <f t="shared" ca="1" si="207"/>
        <v>0</v>
      </c>
      <c r="V109" s="1432">
        <f t="shared" ca="1" si="208"/>
        <v>0</v>
      </c>
      <c r="W109" s="1432">
        <f>SUM('3 pr-2'!U110)</f>
        <v>0</v>
      </c>
      <c r="X109" s="1426">
        <f ca="1">SUMIF('sutarčių ataskaita'!$J$19:$J$2600,C109,'sutarčių ataskaita'!$DM$19:$DM$600)</f>
        <v>0</v>
      </c>
      <c r="Y109" s="1432">
        <f t="shared" ca="1" si="209"/>
        <v>0</v>
      </c>
      <c r="Z109" s="1432">
        <f t="shared" ca="1" si="210"/>
        <v>0</v>
      </c>
      <c r="AA109" s="1432">
        <f>SUM('3 pr-2'!X110)</f>
        <v>0</v>
      </c>
      <c r="AB109" s="1426">
        <f ca="1">SUMIF('sutarčių ataskaita'!$J$19:$J$2600,C109,'sutarčių ataskaita'!$DL$19:$DL$600)+SUMIF('sutarčių ataskaita'!$J$19:$J$2600,C109,'sutarčių ataskaita'!$DJ$19:$DJ$600)</f>
        <v>0</v>
      </c>
      <c r="AC109" s="1432">
        <f ca="1">SUM(AA109-AB109)</f>
        <v>0</v>
      </c>
      <c r="AD109" s="1432">
        <f t="shared" ca="1" si="211"/>
        <v>0</v>
      </c>
      <c r="AE109" s="1432">
        <f>SUM('3 pr-2'!AA110)</f>
        <v>536611</v>
      </c>
      <c r="AF109" s="1432">
        <f ca="1">SUMIF('sutarčių ataskaita'!$J$19:$J$2600,C109,'sutarčių ataskaita'!$DF$19:$DF$600)</f>
        <v>536611</v>
      </c>
      <c r="AG109" s="1447">
        <f t="shared" ca="1" si="212"/>
        <v>0</v>
      </c>
      <c r="AH109" s="1430">
        <f t="shared" ca="1" si="213"/>
        <v>0</v>
      </c>
      <c r="AI109" s="1296">
        <f>SUM('3 pr-2'!AB111)</f>
        <v>0</v>
      </c>
      <c r="AJ109" s="1426">
        <v>0</v>
      </c>
    </row>
    <row r="110" spans="1:36" ht="36.75" x14ac:dyDescent="0.25">
      <c r="A110" s="366" t="str">
        <f>CONCATENATE('3 pr-2'!A111)</f>
        <v>2.1.1.2.3</v>
      </c>
      <c r="B110" s="182" t="str">
        <f>CONCATENATE('3 pr-2'!B111)</f>
        <v>R01-7725-240000-2123</v>
      </c>
      <c r="C110" s="652" t="str">
        <f>IF('ketv. 4 '!X111&gt;0,'ketv. 4 '!C111,"-")</f>
        <v>09.1.3-CPVA-R-725-11-0004</v>
      </c>
      <c r="D110" s="446" t="str">
        <f>CONCATENATE('3 pr-2'!D111)</f>
        <v>Alytaus muzikos mokyklos pastato modernizavimas ir ugdymo aplinkos gerinimas</v>
      </c>
      <c r="E110" s="366" t="str">
        <f>CONCATENATE('3 pr-2'!E111)</f>
        <v>Alytaus miesto savivaldybės administracija</v>
      </c>
      <c r="F110" s="366" t="str">
        <f>CONCATENATE('3 pr-2'!F111)</f>
        <v>Lietuvos Respublikos švietimo ir mokslo ministerija</v>
      </c>
      <c r="G110" s="366" t="str">
        <f>CONCATENATE('3 pr-2'!G111)</f>
        <v>Alytaus m. sav.</v>
      </c>
      <c r="H110" s="366" t="str">
        <f>CONCATENATE('3 pr-2'!H111)</f>
        <v>09.13.CPVA-R-725</v>
      </c>
      <c r="I110" s="366" t="str">
        <f>CONCATENATE('3 pr-2'!I111)</f>
        <v>R</v>
      </c>
      <c r="J110" s="366" t="str">
        <f>CONCATENATE('3 pr-2'!J111)</f>
        <v>-</v>
      </c>
      <c r="K110" s="1432">
        <f>SUM('3 pr-2'!L111)</f>
        <v>397378</v>
      </c>
      <c r="L110" s="1426">
        <f t="shared" ca="1" si="202"/>
        <v>397378</v>
      </c>
      <c r="M110" s="1427">
        <f t="shared" ca="1" si="203"/>
        <v>0</v>
      </c>
      <c r="N110" s="1428">
        <f t="shared" ca="1" si="204"/>
        <v>0</v>
      </c>
      <c r="O110" s="1432">
        <f>SUM('3 pr-2'!O111)</f>
        <v>59607</v>
      </c>
      <c r="P110" s="1426">
        <f ca="1">SUMIF('sutarčių ataskaita'!$J$19:$J$2600,C110,'sutarčių ataskaita'!$DK$19:$DK$600)</f>
        <v>59607</v>
      </c>
      <c r="Q110" s="1432">
        <f t="shared" ca="1" si="205"/>
        <v>0</v>
      </c>
      <c r="R110" s="1432">
        <f t="shared" ca="1" si="206"/>
        <v>0</v>
      </c>
      <c r="S110" s="1432">
        <f>SUM('3 pr-2'!R111)</f>
        <v>0</v>
      </c>
      <c r="T110" s="1426">
        <f ca="1">SUMIF('sutarčių ataskaita'!$J$19:$J$2600,C110,'sutarčių ataskaita'!$DG$19:$DG$600)</f>
        <v>0</v>
      </c>
      <c r="U110" s="1432">
        <f t="shared" ca="1" si="207"/>
        <v>0</v>
      </c>
      <c r="V110" s="1432">
        <f t="shared" ca="1" si="208"/>
        <v>0</v>
      </c>
      <c r="W110" s="1432">
        <f>SUM('3 pr-2'!U111)</f>
        <v>0</v>
      </c>
      <c r="X110" s="1426">
        <f ca="1">SUMIF('sutarčių ataskaita'!$J$19:$J$2600,C110,'sutarčių ataskaita'!$DM$19:$DM$600)</f>
        <v>0</v>
      </c>
      <c r="Y110" s="1432">
        <f t="shared" ca="1" si="209"/>
        <v>0</v>
      </c>
      <c r="Z110" s="1432">
        <f t="shared" ca="1" si="210"/>
        <v>0</v>
      </c>
      <c r="AA110" s="1432">
        <f>SUM('3 pr-2'!X111)</f>
        <v>0</v>
      </c>
      <c r="AB110" s="1426">
        <f ca="1">SUMIF('sutarčių ataskaita'!$J$19:$J$2600,C110,'sutarčių ataskaita'!$DL$19:$DL$600)+SUMIF('sutarčių ataskaita'!$J$19:$J$2600,C110,'sutarčių ataskaita'!$DJ$19:$DJ$600)</f>
        <v>0</v>
      </c>
      <c r="AC110" s="1432">
        <f ca="1">SUM(AA110-AB110)</f>
        <v>0</v>
      </c>
      <c r="AD110" s="1432">
        <f t="shared" ca="1" si="211"/>
        <v>0</v>
      </c>
      <c r="AE110" s="1432">
        <f>SUM('3 pr-2'!AA111)</f>
        <v>337771</v>
      </c>
      <c r="AF110" s="1432">
        <f ca="1">SUMIF('sutarčių ataskaita'!$J$19:$J$2600,C110,'sutarčių ataskaita'!$DF$19:$DF$600)</f>
        <v>337771</v>
      </c>
      <c r="AG110" s="1447">
        <f t="shared" ca="1" si="212"/>
        <v>0</v>
      </c>
      <c r="AH110" s="1430">
        <f t="shared" ca="1" si="213"/>
        <v>0</v>
      </c>
      <c r="AI110" s="1296">
        <f>SUM('3 pr-2'!AB112)</f>
        <v>0</v>
      </c>
      <c r="AJ110" s="1426">
        <v>0</v>
      </c>
    </row>
    <row r="111" spans="1:36" ht="36.75" x14ac:dyDescent="0.25">
      <c r="A111" s="366" t="str">
        <f>CONCATENATE('3 pr-2'!A112)</f>
        <v>2.1.1.2.4</v>
      </c>
      <c r="B111" s="182" t="str">
        <f>CONCATENATE('3 pr-2'!B112)</f>
        <v>R01-7725-240000-2124</v>
      </c>
      <c r="C111" s="652" t="str">
        <f>IF('ketv. 4 '!X112&gt;0,'ketv. 4 '!C112,"-")</f>
        <v>09.1.3-CPVA-R-725-11-0002</v>
      </c>
      <c r="D111" s="446" t="str">
        <f>CONCATENATE('3 pr-2'!D112)</f>
        <v>Druskininkų M. K. Čiurlionio meno mokyklos infrastruktūros tobulinimas</v>
      </c>
      <c r="E111" s="366" t="str">
        <f>CONCATENATE('3 pr-2'!E112)</f>
        <v xml:space="preserve">Druskininkų savivaldybės administracija  </v>
      </c>
      <c r="F111" s="366" t="str">
        <f>CONCATENATE('3 pr-2'!F112)</f>
        <v>Lietuvos Respublikos švietimo ir mokslo ministerija</v>
      </c>
      <c r="G111" s="366" t="str">
        <f>CONCATENATE('3 pr-2'!G112)</f>
        <v>Druskininkų sav.</v>
      </c>
      <c r="H111" s="366" t="str">
        <f>CONCATENATE('3 pr-2'!H112)</f>
        <v>09.13.CPVA-R-725</v>
      </c>
      <c r="I111" s="366" t="str">
        <f>CONCATENATE('3 pr-2'!I112)</f>
        <v>R</v>
      </c>
      <c r="J111" s="366" t="str">
        <f>CONCATENATE('3 pr-2'!J112)</f>
        <v>-</v>
      </c>
      <c r="K111" s="1432">
        <f>SUM('3 pr-2'!L112)</f>
        <v>146702.29999999999</v>
      </c>
      <c r="L111" s="1426">
        <f t="shared" ca="1" si="202"/>
        <v>146702.29999999999</v>
      </c>
      <c r="M111" s="1427">
        <f t="shared" ca="1" si="203"/>
        <v>0</v>
      </c>
      <c r="N111" s="1428">
        <f t="shared" ca="1" si="204"/>
        <v>0</v>
      </c>
      <c r="O111" s="1432">
        <f>SUM('3 pr-2'!O112)</f>
        <v>22436.3</v>
      </c>
      <c r="P111" s="1426">
        <f ca="1">SUMIF('sutarčių ataskaita'!$J$19:$J$2600,C111,'sutarčių ataskaita'!$DK$19:$DK$600)</f>
        <v>22436.3</v>
      </c>
      <c r="Q111" s="1432">
        <f t="shared" ca="1" si="205"/>
        <v>0</v>
      </c>
      <c r="R111" s="1432">
        <f t="shared" ca="1" si="206"/>
        <v>0</v>
      </c>
      <c r="S111" s="1432">
        <f>SUM('3 pr-2'!R112)</f>
        <v>0</v>
      </c>
      <c r="T111" s="1426">
        <f ca="1">SUMIF('sutarčių ataskaita'!$J$19:$J$2600,C111,'sutarčių ataskaita'!$DG$19:$DG$600)</f>
        <v>0</v>
      </c>
      <c r="U111" s="1432">
        <f t="shared" ca="1" si="207"/>
        <v>0</v>
      </c>
      <c r="V111" s="1432">
        <f t="shared" ca="1" si="208"/>
        <v>0</v>
      </c>
      <c r="W111" s="1432">
        <f>SUM('3 pr-2'!U112)</f>
        <v>0</v>
      </c>
      <c r="X111" s="1426">
        <f ca="1">SUMIF('sutarčių ataskaita'!$J$19:$J$2600,C111,'sutarčių ataskaita'!$DM$19:$DM$600)</f>
        <v>0</v>
      </c>
      <c r="Y111" s="1432">
        <f t="shared" ca="1" si="209"/>
        <v>0</v>
      </c>
      <c r="Z111" s="1432">
        <f t="shared" ca="1" si="210"/>
        <v>0</v>
      </c>
      <c r="AA111" s="1432">
        <f>SUM('3 pr-2'!X112)</f>
        <v>0</v>
      </c>
      <c r="AB111" s="1426">
        <f ca="1">SUMIF('sutarčių ataskaita'!$J$19:$J$2600,C111,'sutarčių ataskaita'!$DL$19:$DL$600)+SUMIF('sutarčių ataskaita'!$J$19:$J$2600,C111,'sutarčių ataskaita'!$DJ$19:$DJ$600)</f>
        <v>0</v>
      </c>
      <c r="AC111" s="1432">
        <f ca="1">SUM(AA111-AB111)</f>
        <v>0</v>
      </c>
      <c r="AD111" s="1432">
        <f t="shared" ca="1" si="211"/>
        <v>0</v>
      </c>
      <c r="AE111" s="1432">
        <f>SUM('3 pr-2'!AA112)</f>
        <v>124266</v>
      </c>
      <c r="AF111" s="1432">
        <f ca="1">SUMIF('sutarčių ataskaita'!$J$19:$J$2600,C111,'sutarčių ataskaita'!$DF$19:$DF$600)</f>
        <v>124266</v>
      </c>
      <c r="AG111" s="1447">
        <f t="shared" ca="1" si="212"/>
        <v>0</v>
      </c>
      <c r="AH111" s="1430">
        <f t="shared" ca="1" si="213"/>
        <v>0</v>
      </c>
      <c r="AI111" s="1296">
        <f>SUM('3 pr-2'!AB113)</f>
        <v>0</v>
      </c>
      <c r="AJ111" s="1426">
        <v>0</v>
      </c>
    </row>
    <row r="112" spans="1:36" ht="37.5" thickBot="1" x14ac:dyDescent="0.3">
      <c r="A112" s="366" t="str">
        <f>CONCATENATE('3 pr-2'!A113)</f>
        <v>2.1.1.2.5</v>
      </c>
      <c r="B112" s="182" t="str">
        <f>CONCATENATE('3 pr-2'!B113)</f>
        <v>R01-7725-240000-2125</v>
      </c>
      <c r="C112" s="652" t="str">
        <f>IF('ketv. 4 '!X113&gt;0,'ketv. 4 '!C113,"-")</f>
        <v>09.1.3-CPVA-R-725-11-0001</v>
      </c>
      <c r="D112" s="446" t="str">
        <f>CONCATENATE('3 pr-2'!D113)</f>
        <v>Neformaliojo švietimo įstaigų Lazdijų rajono savivaldybėje infrastruktūros tobulinimas</v>
      </c>
      <c r="E112" s="366" t="str">
        <f>CONCATENATE('3 pr-2'!E113)</f>
        <v>VšĮ „Lazdijų sporto centras“</v>
      </c>
      <c r="F112" s="366" t="str">
        <f>CONCATENATE('3 pr-2'!F113)</f>
        <v>Lietuvos Respublikos švietimo ir mokslo ministerija</v>
      </c>
      <c r="G112" s="366" t="str">
        <f>CONCATENATE('3 pr-2'!G113)</f>
        <v>Lazdijų r. sav.</v>
      </c>
      <c r="H112" s="366" t="str">
        <f>CONCATENATE('3 pr-2'!H113)</f>
        <v>09.13.CPVA-R-725</v>
      </c>
      <c r="I112" s="366" t="str">
        <f>CONCATENATE('3 pr-2'!I113)</f>
        <v>R</v>
      </c>
      <c r="J112" s="366" t="str">
        <f>CONCATENATE('3 pr-2'!J113)</f>
        <v>-</v>
      </c>
      <c r="K112" s="1432">
        <f>SUM('3 pr-2'!L113)</f>
        <v>135814</v>
      </c>
      <c r="L112" s="1426">
        <f t="shared" ca="1" si="202"/>
        <v>135814</v>
      </c>
      <c r="M112" s="1427">
        <f t="shared" ca="1" si="203"/>
        <v>0</v>
      </c>
      <c r="N112" s="1428">
        <f t="shared" ca="1" si="204"/>
        <v>0</v>
      </c>
      <c r="O112" s="1432">
        <f>SUM('3 pr-2'!O113)</f>
        <v>20373</v>
      </c>
      <c r="P112" s="1426">
        <f ca="1">SUMIF('sutarčių ataskaita'!$J$19:$J$2600,C112,'sutarčių ataskaita'!$DK$19:$DK$600)</f>
        <v>20373</v>
      </c>
      <c r="Q112" s="1432">
        <f t="shared" ca="1" si="205"/>
        <v>0</v>
      </c>
      <c r="R112" s="1432">
        <f t="shared" ca="1" si="206"/>
        <v>0</v>
      </c>
      <c r="S112" s="1432">
        <f>SUM('3 pr-2'!R113)</f>
        <v>0</v>
      </c>
      <c r="T112" s="1426">
        <f ca="1">SUMIF('sutarčių ataskaita'!$J$19:$J$2600,C112,'sutarčių ataskaita'!$DG$19:$DG$600)</f>
        <v>0</v>
      </c>
      <c r="U112" s="1432">
        <f t="shared" ca="1" si="207"/>
        <v>0</v>
      </c>
      <c r="V112" s="1432">
        <f t="shared" ca="1" si="208"/>
        <v>0</v>
      </c>
      <c r="W112" s="1432">
        <f>SUM('3 pr-2'!U113)</f>
        <v>0</v>
      </c>
      <c r="X112" s="1426">
        <f ca="1">SUMIF('sutarčių ataskaita'!$J$19:$J$2600,C112,'sutarčių ataskaita'!$DM$19:$DM$600)</f>
        <v>0</v>
      </c>
      <c r="Y112" s="1432">
        <f t="shared" ca="1" si="209"/>
        <v>0</v>
      </c>
      <c r="Z112" s="1432">
        <f t="shared" ca="1" si="210"/>
        <v>0</v>
      </c>
      <c r="AA112" s="1432">
        <f>SUM('3 pr-2'!X113)</f>
        <v>0</v>
      </c>
      <c r="AB112" s="1426">
        <f ca="1">SUMIF('sutarčių ataskaita'!$J$19:$J$2600,C112,'sutarčių ataskaita'!$DL$19:$DL$600)+SUMIF('sutarčių ataskaita'!$J$19:$J$2600,C112,'sutarčių ataskaita'!$DJ$19:$DJ$600)</f>
        <v>0</v>
      </c>
      <c r="AC112" s="1432">
        <f ca="1">SUM(AA112-AB112)</f>
        <v>0</v>
      </c>
      <c r="AD112" s="1432">
        <f t="shared" ca="1" si="211"/>
        <v>0</v>
      </c>
      <c r="AE112" s="1432">
        <f>SUM('3 pr-2'!AA113)</f>
        <v>115441</v>
      </c>
      <c r="AF112" s="1432">
        <f ca="1">SUMIF('sutarčių ataskaita'!$J$19:$J$2600,C112,'sutarčių ataskaita'!$DF$19:$DF$600)</f>
        <v>115441</v>
      </c>
      <c r="AG112" s="1447">
        <f t="shared" ca="1" si="212"/>
        <v>0</v>
      </c>
      <c r="AH112" s="1430">
        <f t="shared" ca="1" si="213"/>
        <v>0</v>
      </c>
      <c r="AI112" s="1296">
        <f>SUM('3 pr-2'!AB114)</f>
        <v>0</v>
      </c>
      <c r="AJ112" s="1426">
        <v>0</v>
      </c>
    </row>
    <row r="113" spans="1:36" ht="32.25" customHeight="1" thickBot="1" x14ac:dyDescent="0.3">
      <c r="A113" s="326" t="str">
        <f>CONCATENATE('3 pr-2'!A114)</f>
        <v>2.1.1.3</v>
      </c>
      <c r="B113" s="2025" t="str">
        <f>CONCATENATE('3 pr-2'!B114)</f>
        <v>Priemonė:
Ikimokyklinio ir priešmokyklinio ugdymo prieinamumo didinimas</v>
      </c>
      <c r="C113" s="2026"/>
      <c r="D113" s="2026"/>
      <c r="E113" s="2026"/>
      <c r="F113" s="2026"/>
      <c r="G113" s="2026"/>
      <c r="H113" s="2026"/>
      <c r="I113" s="2026"/>
      <c r="J113" s="2027"/>
      <c r="K113" s="1293">
        <f>SUM('3 pr-2'!L114)</f>
        <v>1459021.7699999998</v>
      </c>
      <c r="L113" s="1293">
        <f ca="1">SUM(L114:L118)</f>
        <v>1459021.7699999998</v>
      </c>
      <c r="M113" s="1422">
        <f ca="1">SUM(M114:M118)</f>
        <v>0</v>
      </c>
      <c r="N113" s="1423">
        <f ca="1">SUM(N114:N118)</f>
        <v>0</v>
      </c>
      <c r="O113" s="1293">
        <f>SUM('3 pr-2'!O114)</f>
        <v>219970.77</v>
      </c>
      <c r="P113" s="1293">
        <f ca="1">SUM(P114:P118)</f>
        <v>219970.77</v>
      </c>
      <c r="Q113" s="1293">
        <f ca="1">SUM(Q114:Q118)</f>
        <v>0</v>
      </c>
      <c r="R113" s="1293">
        <f ca="1">SUM(R114:R118)</f>
        <v>0</v>
      </c>
      <c r="S113" s="1293">
        <f>SUM('3 pr-2'!R114)</f>
        <v>100463</v>
      </c>
      <c r="T113" s="1293">
        <f ca="1">SUM(T114:T118)</f>
        <v>100463</v>
      </c>
      <c r="U113" s="1293">
        <f ca="1">SUM(U114:U118)</f>
        <v>0</v>
      </c>
      <c r="V113" s="1293">
        <f ca="1">SUM(V114:V118)</f>
        <v>0</v>
      </c>
      <c r="W113" s="1293">
        <f>SUM('3 pr-2'!U114)</f>
        <v>0</v>
      </c>
      <c r="X113" s="1293">
        <f ca="1">SUM(X114:X118)</f>
        <v>0</v>
      </c>
      <c r="Y113" s="1293">
        <f ca="1">SUM(Y114:Y118)</f>
        <v>0</v>
      </c>
      <c r="Z113" s="1293">
        <f ca="1">SUM(Z114:Z118)</f>
        <v>0</v>
      </c>
      <c r="AA113" s="1293">
        <f>SUM('3 pr-2'!X114)</f>
        <v>0</v>
      </c>
      <c r="AB113" s="1293">
        <f ca="1">SUM(AB114:AB118)</f>
        <v>0</v>
      </c>
      <c r="AC113" s="1293">
        <f ca="1">SUM(AC114:AC118)</f>
        <v>0</v>
      </c>
      <c r="AD113" s="1293">
        <f ca="1">SUM(AD114:AD118)</f>
        <v>0</v>
      </c>
      <c r="AE113" s="1293">
        <f>SUM('3 pr-2'!AA114)</f>
        <v>1138588</v>
      </c>
      <c r="AF113" s="1293">
        <f ca="1">SUM(AF114:AF118)</f>
        <v>1138588</v>
      </c>
      <c r="AG113" s="1442">
        <f ca="1">SUM(AG114:AG118)</f>
        <v>0</v>
      </c>
      <c r="AH113" s="1443">
        <f ca="1">SUM(AH114:AH118)</f>
        <v>0</v>
      </c>
      <c r="AI113" s="1293">
        <f t="shared" ref="AI113:AJ113" si="214">SUM(AI114:AI118)</f>
        <v>0</v>
      </c>
      <c r="AJ113" s="1293">
        <f t="shared" si="214"/>
        <v>0</v>
      </c>
    </row>
    <row r="114" spans="1:36" ht="36.75" x14ac:dyDescent="0.25">
      <c r="A114" s="366" t="str">
        <f>CONCATENATE('3 pr-2'!A115)</f>
        <v>2.1.1.3.1</v>
      </c>
      <c r="B114" s="182" t="str">
        <f>CONCATENATE('3 pr-2'!B115)</f>
        <v>R01-7705-230000-2131</v>
      </c>
      <c r="C114" s="652" t="str">
        <f>IF('ketv. 4 '!X115&gt;0,'ketv. 4 '!C115,"-")</f>
        <v>09.1.3-CPVA-R-705-11-0003</v>
      </c>
      <c r="D114" s="446" t="str">
        <f>CONCATENATE('3 pr-2'!D115)</f>
        <v>Varėnos "Pasakos" vaikų lopšelio-darželio pastato modernizavimas</v>
      </c>
      <c r="E114" s="366" t="str">
        <f>CONCATENATE('3 pr-2'!E115)</f>
        <v>Varėnos rajono savivaldybės administracija</v>
      </c>
      <c r="F114" s="366" t="str">
        <f>CONCATENATE('3 pr-2'!F115)</f>
        <v>Lietuvos Respublikos švietimo ir mokslo ministerija</v>
      </c>
      <c r="G114" s="366" t="str">
        <f>CONCATENATE('3 pr-2'!G115)</f>
        <v>Varėnos r. sav.</v>
      </c>
      <c r="H114" s="366" t="str">
        <f>CONCATENATE('3 pr-2'!H115)</f>
        <v>09.1.3-CPVA-R-705</v>
      </c>
      <c r="I114" s="366" t="str">
        <f>CONCATENATE('3 pr-2'!I115)</f>
        <v>R</v>
      </c>
      <c r="J114" s="366" t="str">
        <f>CONCATENATE('3 pr-2'!J115)</f>
        <v>-</v>
      </c>
      <c r="K114" s="1432">
        <f>SUM('3 pr-2'!L115)</f>
        <v>370000</v>
      </c>
      <c r="L114" s="1426">
        <f t="shared" ref="L114:L118" ca="1" si="215">SUM(P114+T114+X114+AB114+AF114+AJ114)</f>
        <v>370000</v>
      </c>
      <c r="M114" s="1427">
        <f t="shared" ref="M114:M118" ca="1" si="216">SUM(K114-L114)</f>
        <v>0</v>
      </c>
      <c r="N114" s="1428">
        <f t="shared" ref="N114:N119" ca="1" si="217">IF(L114&gt;0,K114-L114,0)</f>
        <v>0</v>
      </c>
      <c r="O114" s="1432">
        <f>SUM('3 pr-2'!O115)</f>
        <v>57342</v>
      </c>
      <c r="P114" s="1426">
        <f ca="1">SUMIF('sutarčių ataskaita'!$J$19:$J$2600,C114,'sutarčių ataskaita'!$DK$19:$DK$600)</f>
        <v>57342</v>
      </c>
      <c r="Q114" s="1432">
        <f t="shared" ref="Q114:Q118" ca="1" si="218">SUM(O114-P114)</f>
        <v>0</v>
      </c>
      <c r="R114" s="1432">
        <f t="shared" ref="R114:R119" ca="1" si="219">IF(P114&gt;0,O114-P114,0)</f>
        <v>0</v>
      </c>
      <c r="S114" s="1432">
        <f>SUM('3 pr-2'!R115)</f>
        <v>25351</v>
      </c>
      <c r="T114" s="1426">
        <f ca="1">SUMIF('sutarčių ataskaita'!$J$19:$J$2600,C114,'sutarčių ataskaita'!$DG$19:$DG$600)</f>
        <v>25351</v>
      </c>
      <c r="U114" s="1432">
        <f t="shared" ref="U114:U118" ca="1" si="220">SUM(S114-T114)</f>
        <v>0</v>
      </c>
      <c r="V114" s="1432">
        <f t="shared" ref="V114:V119" ca="1" si="221">IF(T114&gt;0,S114-T114,0)</f>
        <v>0</v>
      </c>
      <c r="W114" s="1432">
        <f>SUM('3 pr-2'!U115)</f>
        <v>0</v>
      </c>
      <c r="X114" s="1432">
        <f ca="1">SUMIF('sutarčių ataskaita'!$J$19:$J$2600,C114,'sutarčių ataskaita'!$DM$19:$DM$600)</f>
        <v>0</v>
      </c>
      <c r="Y114" s="1432">
        <f t="shared" ref="Y114:Y118" ca="1" si="222">SUM(W114-X114)</f>
        <v>0</v>
      </c>
      <c r="Z114" s="1432">
        <f t="shared" ref="Z114:Z119" ca="1" si="223">IF(X114&gt;0,W114-X114,0)</f>
        <v>0</v>
      </c>
      <c r="AA114" s="1432">
        <f>SUM('3 pr-2'!X115)</f>
        <v>0</v>
      </c>
      <c r="AB114" s="1432">
        <f ca="1">SUMIF('sutarčių ataskaita'!$J$19:$J$2600,C114,'sutarčių ataskaita'!$DL$19:$DL$600)+SUMIF('sutarčių ataskaita'!$J$19:$J$2600,C114,'sutarčių ataskaita'!$DJ$19:$DJ$600)</f>
        <v>0</v>
      </c>
      <c r="AC114" s="1432">
        <f ca="1">SUM(AA114-AB114)</f>
        <v>0</v>
      </c>
      <c r="AD114" s="1432">
        <f t="shared" ref="AD114:AD119" ca="1" si="224">IF(AB114&gt;0,AA114-AB114,0)</f>
        <v>0</v>
      </c>
      <c r="AE114" s="1432">
        <f>SUM('3 pr-2'!AA115)</f>
        <v>287307</v>
      </c>
      <c r="AF114" s="1432">
        <f ca="1">SUMIF('sutarčių ataskaita'!$J$19:$J$2600,C114,'sutarčių ataskaita'!$DF$19:$DF$600)</f>
        <v>287307</v>
      </c>
      <c r="AG114" s="1447">
        <f t="shared" ref="AG114:AG118" ca="1" si="225">SUM(AE114-AF114)</f>
        <v>0</v>
      </c>
      <c r="AH114" s="1430">
        <f t="shared" ref="AH114:AH119" ca="1" si="226">IF(AF114&gt;0,AE114-AF114,0)</f>
        <v>0</v>
      </c>
      <c r="AI114" s="1296">
        <f>SUM('3 pr-2'!AB116)</f>
        <v>0</v>
      </c>
      <c r="AJ114" s="1426">
        <v>0</v>
      </c>
    </row>
    <row r="115" spans="1:36" ht="36.75" x14ac:dyDescent="0.25">
      <c r="A115" s="366" t="str">
        <f>CONCATENATE('3 pr-2'!A116)</f>
        <v>2.1.1.3.2</v>
      </c>
      <c r="B115" s="182" t="str">
        <f>CONCATENATE('3 pr-2'!B116)</f>
        <v>R01-7705-230000-2132</v>
      </c>
      <c r="C115" s="652" t="str">
        <f>IF('ketv. 4 '!X116&gt;0,'ketv. 4 '!C116,"-")</f>
        <v>09.1.3-CPVA-R-705-11-0004</v>
      </c>
      <c r="D115" s="446" t="str">
        <f>CONCATENATE('3 pr-2'!D116)</f>
        <v>Alytaus r. ikimokyklinio ir priešmokyklinio ugdymo prieinamumo didinimas įkuriant ir atnaujinant edukacines erdves</v>
      </c>
      <c r="E115" s="366" t="str">
        <f>CONCATENATE('3 pr-2'!E116)</f>
        <v>Alytaus rajono savivaldybės administracija</v>
      </c>
      <c r="F115" s="366" t="str">
        <f>CONCATENATE('3 pr-2'!F116)</f>
        <v>Lietuvos Respublikos švietimo ir mokslo ministerija</v>
      </c>
      <c r="G115" s="366" t="str">
        <f>CONCATENATE('3 pr-2'!G116)</f>
        <v>Alytaus r. sav.</v>
      </c>
      <c r="H115" s="366" t="str">
        <f>CONCATENATE('3 pr-2'!H116)</f>
        <v>09.1.3-CPVA-R-705</v>
      </c>
      <c r="I115" s="366" t="str">
        <f>CONCATENATE('3 pr-2'!I116)</f>
        <v>R</v>
      </c>
      <c r="J115" s="366" t="str">
        <f>CONCATENATE('3 pr-2'!J116)</f>
        <v/>
      </c>
      <c r="K115" s="1432">
        <f>SUM('3 pr-2'!L116)</f>
        <v>597456.88</v>
      </c>
      <c r="L115" s="1426">
        <f t="shared" ca="1" si="215"/>
        <v>597456.88</v>
      </c>
      <c r="M115" s="1427">
        <f t="shared" ca="1" si="216"/>
        <v>0</v>
      </c>
      <c r="N115" s="1428">
        <f t="shared" ca="1" si="217"/>
        <v>0</v>
      </c>
      <c r="O115" s="1432">
        <f>SUM('3 pr-2'!O116)</f>
        <v>59861.88</v>
      </c>
      <c r="P115" s="1426">
        <f ca="1">SUMIF('sutarčių ataskaita'!$J$19:$J$2600,C115,'sutarčių ataskaita'!$DK$19:$DK$600)</f>
        <v>59861.88</v>
      </c>
      <c r="Q115" s="1432">
        <f t="shared" ca="1" si="218"/>
        <v>0</v>
      </c>
      <c r="R115" s="1432">
        <f t="shared" ca="1" si="219"/>
        <v>0</v>
      </c>
      <c r="S115" s="1432">
        <f>SUM('3 pr-2'!R116)</f>
        <v>43588</v>
      </c>
      <c r="T115" s="1426">
        <f ca="1">SUMIF('sutarčių ataskaita'!$J$19:$J$2600,C115,'sutarčių ataskaita'!$DG$19:$DG$600)</f>
        <v>43588</v>
      </c>
      <c r="U115" s="1432">
        <f t="shared" ca="1" si="220"/>
        <v>0</v>
      </c>
      <c r="V115" s="1432">
        <f t="shared" ca="1" si="221"/>
        <v>0</v>
      </c>
      <c r="W115" s="1432">
        <f>SUM('3 pr-2'!U116)</f>
        <v>0</v>
      </c>
      <c r="X115" s="1432">
        <f ca="1">SUMIF('sutarčių ataskaita'!$J$19:$J$2600,C115,'sutarčių ataskaita'!$DM$19:$DM$600)</f>
        <v>0</v>
      </c>
      <c r="Y115" s="1432">
        <f t="shared" ca="1" si="222"/>
        <v>0</v>
      </c>
      <c r="Z115" s="1432">
        <f t="shared" ca="1" si="223"/>
        <v>0</v>
      </c>
      <c r="AA115" s="1432">
        <f>SUM('3 pr-2'!X116)</f>
        <v>0</v>
      </c>
      <c r="AB115" s="1432">
        <f ca="1">SUMIF('sutarčių ataskaita'!$J$19:$J$2600,C115,'sutarčių ataskaita'!$DL$19:$DL$600)+SUMIF('sutarčių ataskaita'!$J$19:$J$2600,C115,'sutarčių ataskaita'!$DJ$19:$DJ$600)</f>
        <v>0</v>
      </c>
      <c r="AC115" s="1432">
        <f ca="1">SUM(AA115-AB115)</f>
        <v>0</v>
      </c>
      <c r="AD115" s="1432">
        <f t="shared" ca="1" si="224"/>
        <v>0</v>
      </c>
      <c r="AE115" s="1432">
        <f>SUM('3 pr-2'!AA116)</f>
        <v>494007</v>
      </c>
      <c r="AF115" s="1432">
        <f ca="1">SUMIF('sutarčių ataskaita'!$J$19:$J$2600,C115,'sutarčių ataskaita'!$DF$19:$DF$600)</f>
        <v>494007</v>
      </c>
      <c r="AG115" s="1447">
        <f t="shared" ca="1" si="225"/>
        <v>0</v>
      </c>
      <c r="AH115" s="1430">
        <f t="shared" ca="1" si="226"/>
        <v>0</v>
      </c>
      <c r="AI115" s="1296">
        <f>SUM('3 pr-2'!AB117)</f>
        <v>0</v>
      </c>
      <c r="AJ115" s="1426">
        <v>0</v>
      </c>
    </row>
    <row r="116" spans="1:36" ht="36.75" x14ac:dyDescent="0.25">
      <c r="A116" s="366" t="str">
        <f>CONCATENATE('3 pr-2'!A117)</f>
        <v>2.1.1.3.3</v>
      </c>
      <c r="B116" s="182" t="str">
        <f>CONCATENATE('3 pr-2'!B117)</f>
        <v>R01-7705-230000-2133</v>
      </c>
      <c r="C116" s="652" t="str">
        <f>IF('ketv. 4 '!X117&gt;0,'ketv. 4 '!C117,"-")</f>
        <v>09.1.3-CPVA-R-705-11-0001</v>
      </c>
      <c r="D116" s="446" t="str">
        <f>CONCATENATE('3 pr-2'!D117)</f>
        <v>Alytaus lopšelio-darželio " Girinukas" ugdymo aplinkos modernizavimas</v>
      </c>
      <c r="E116" s="366" t="str">
        <f>CONCATENATE('3 pr-2'!E117)</f>
        <v>Alytaus miesto savivaldybės administracija</v>
      </c>
      <c r="F116" s="366" t="str">
        <f>CONCATENATE('3 pr-2'!F117)</f>
        <v>Lietuvos Respublikos švietimo ir mokslo ministerija</v>
      </c>
      <c r="G116" s="366" t="str">
        <f>CONCATENATE('3 pr-2'!G117)</f>
        <v>Alytaus m. sav.</v>
      </c>
      <c r="H116" s="366" t="str">
        <f>CONCATENATE('3 pr-2'!H117)</f>
        <v>09.1.3-CPVA-R-705</v>
      </c>
      <c r="I116" s="366" t="str">
        <f>CONCATENATE('3 pr-2'!I117)</f>
        <v>R</v>
      </c>
      <c r="J116" s="366" t="str">
        <f>CONCATENATE('3 pr-2'!J117)</f>
        <v>-</v>
      </c>
      <c r="K116" s="1432">
        <f>SUM('3 pr-2'!L117)</f>
        <v>181986</v>
      </c>
      <c r="L116" s="1426">
        <f t="shared" ca="1" si="215"/>
        <v>181986</v>
      </c>
      <c r="M116" s="1427">
        <f t="shared" ca="1" si="216"/>
        <v>0</v>
      </c>
      <c r="N116" s="1428">
        <f t="shared" ca="1" si="217"/>
        <v>0</v>
      </c>
      <c r="O116" s="1432">
        <f>SUM('3 pr-2'!O117)</f>
        <v>13649</v>
      </c>
      <c r="P116" s="1426">
        <f ca="1">SUMIF('sutarčių ataskaita'!$J$19:$J$2600,C116,'sutarčių ataskaita'!$DK$19:$DK$600)</f>
        <v>13649</v>
      </c>
      <c r="Q116" s="1432">
        <f t="shared" ca="1" si="218"/>
        <v>0</v>
      </c>
      <c r="R116" s="1432">
        <f t="shared" ca="1" si="219"/>
        <v>0</v>
      </c>
      <c r="S116" s="1432">
        <f>SUM('3 pr-2'!R117)</f>
        <v>13649</v>
      </c>
      <c r="T116" s="1426">
        <f ca="1">SUMIF('sutarčių ataskaita'!$J$19:$J$2600,C116,'sutarčių ataskaita'!$DG$19:$DG$600)</f>
        <v>13649</v>
      </c>
      <c r="U116" s="1432">
        <f t="shared" ca="1" si="220"/>
        <v>0</v>
      </c>
      <c r="V116" s="1432">
        <f t="shared" ca="1" si="221"/>
        <v>0</v>
      </c>
      <c r="W116" s="1432">
        <f>SUM('3 pr-2'!U117)</f>
        <v>0</v>
      </c>
      <c r="X116" s="1432">
        <f ca="1">SUMIF('sutarčių ataskaita'!$J$19:$J$2600,C116,'sutarčių ataskaita'!$DM$19:$DM$600)</f>
        <v>0</v>
      </c>
      <c r="Y116" s="1432">
        <f t="shared" ca="1" si="222"/>
        <v>0</v>
      </c>
      <c r="Z116" s="1432">
        <f t="shared" ca="1" si="223"/>
        <v>0</v>
      </c>
      <c r="AA116" s="1432">
        <f>SUM('3 pr-2'!X117)</f>
        <v>0</v>
      </c>
      <c r="AB116" s="1432">
        <f ca="1">SUMIF('sutarčių ataskaita'!$J$19:$J$2600,C116,'sutarčių ataskaita'!$DL$19:$DL$600)+SUMIF('sutarčių ataskaita'!$J$19:$J$2600,C116,'sutarčių ataskaita'!$DJ$19:$DJ$600)</f>
        <v>0</v>
      </c>
      <c r="AC116" s="1432">
        <f ca="1">SUM(AA116-AB116)</f>
        <v>0</v>
      </c>
      <c r="AD116" s="1432">
        <f t="shared" ca="1" si="224"/>
        <v>0</v>
      </c>
      <c r="AE116" s="1432">
        <f>SUM('3 pr-2'!AA117)</f>
        <v>154688</v>
      </c>
      <c r="AF116" s="1432">
        <f ca="1">SUMIF('sutarčių ataskaita'!$J$19:$J$2600,C116,'sutarčių ataskaita'!$DF$19:$DF$600)</f>
        <v>154688</v>
      </c>
      <c r="AG116" s="1447">
        <f t="shared" ca="1" si="225"/>
        <v>0</v>
      </c>
      <c r="AH116" s="1430">
        <f t="shared" ca="1" si="226"/>
        <v>0</v>
      </c>
      <c r="AI116" s="1296">
        <f>SUM('3 pr-2'!AB118)</f>
        <v>0</v>
      </c>
      <c r="AJ116" s="1426">
        <v>0</v>
      </c>
    </row>
    <row r="117" spans="1:36" ht="36.75" x14ac:dyDescent="0.25">
      <c r="A117" s="366" t="str">
        <f>CONCATENATE('3 pr-2'!A118)</f>
        <v>2.1.1.3.4</v>
      </c>
      <c r="B117" s="182" t="str">
        <f>CONCATENATE('3 pr-2'!B118)</f>
        <v>R01-7705-230000-2134</v>
      </c>
      <c r="C117" s="652" t="str">
        <f>IF('ketv. 4 '!X118&gt;0,'ketv. 4 '!C118,"-")</f>
        <v>09.1.3-CPVA-R-705-11-0006</v>
      </c>
      <c r="D117" s="446" t="str">
        <f>CONCATENATE('3 pr-2'!D118)</f>
        <v>Druskininkų sav. Viečiūnų progimnazijos ikimokyklinio ugdymo skyriaus „Linelis“ ugdymo prieinamumo didinimas</v>
      </c>
      <c r="E117" s="366" t="str">
        <f>CONCATENATE('3 pr-2'!E118)</f>
        <v xml:space="preserve">Druskininkų savivaldybės administracija  </v>
      </c>
      <c r="F117" s="366" t="str">
        <f>CONCATENATE('3 pr-2'!F118)</f>
        <v>Lietuvos Respublikos švietimo ir mokslo ministerija</v>
      </c>
      <c r="G117" s="366" t="str">
        <f>CONCATENATE('3 pr-2'!G118)</f>
        <v>Druskininkų sav.</v>
      </c>
      <c r="H117" s="366" t="str">
        <f>CONCATENATE('3 pr-2'!H118)</f>
        <v>09.1.3-CPVA-R-705</v>
      </c>
      <c r="I117" s="366" t="str">
        <f>CONCATENATE('3 pr-2'!I118)</f>
        <v>R</v>
      </c>
      <c r="J117" s="366" t="str">
        <f>CONCATENATE('3 pr-2'!J118)</f>
        <v>-</v>
      </c>
      <c r="K117" s="1432">
        <f>SUM('3 pr-2'!L118)</f>
        <v>176024.68</v>
      </c>
      <c r="L117" s="1426">
        <f t="shared" ca="1" si="215"/>
        <v>176024.68</v>
      </c>
      <c r="M117" s="1427">
        <f t="shared" ca="1" si="216"/>
        <v>0</v>
      </c>
      <c r="N117" s="1428">
        <f t="shared" ca="1" si="217"/>
        <v>0</v>
      </c>
      <c r="O117" s="1432">
        <f>SUM('3 pr-2'!O118)</f>
        <v>79091.679999999993</v>
      </c>
      <c r="P117" s="1426">
        <f ca="1">SUMIF('sutarčių ataskaita'!$J$19:$J$2600,C117,'sutarčių ataskaita'!$DK$19:$DK$600)</f>
        <v>79091.679999999993</v>
      </c>
      <c r="Q117" s="1432">
        <f t="shared" ca="1" si="218"/>
        <v>0</v>
      </c>
      <c r="R117" s="1432">
        <f t="shared" ca="1" si="219"/>
        <v>0</v>
      </c>
      <c r="S117" s="1432">
        <f>SUM('3 pr-2'!R118)</f>
        <v>7859</v>
      </c>
      <c r="T117" s="1426">
        <f ca="1">SUMIF('sutarčių ataskaita'!$J$19:$J$2600,C117,'sutarčių ataskaita'!$DG$19:$DG$600)</f>
        <v>7859</v>
      </c>
      <c r="U117" s="1432">
        <f t="shared" ca="1" si="220"/>
        <v>0</v>
      </c>
      <c r="V117" s="1432">
        <f t="shared" ca="1" si="221"/>
        <v>0</v>
      </c>
      <c r="W117" s="1432">
        <f>SUM('3 pr-2'!U118)</f>
        <v>0</v>
      </c>
      <c r="X117" s="1432">
        <f ca="1">SUMIF('sutarčių ataskaita'!$J$19:$J$2600,C117,'sutarčių ataskaita'!$DM$19:$DM$600)</f>
        <v>0</v>
      </c>
      <c r="Y117" s="1432">
        <f t="shared" ca="1" si="222"/>
        <v>0</v>
      </c>
      <c r="Z117" s="1432">
        <f t="shared" ca="1" si="223"/>
        <v>0</v>
      </c>
      <c r="AA117" s="1432">
        <f>SUM('3 pr-2'!X118)</f>
        <v>0</v>
      </c>
      <c r="AB117" s="1432">
        <f ca="1">SUMIF('sutarčių ataskaita'!$J$19:$J$2600,C117,'sutarčių ataskaita'!$DL$19:$DL$600)+SUMIF('sutarčių ataskaita'!$J$19:$J$2600,C117,'sutarčių ataskaita'!$DJ$19:$DJ$600)</f>
        <v>0</v>
      </c>
      <c r="AC117" s="1432">
        <f ca="1">SUM(AA117-AB117)</f>
        <v>0</v>
      </c>
      <c r="AD117" s="1432">
        <f t="shared" ca="1" si="224"/>
        <v>0</v>
      </c>
      <c r="AE117" s="1432">
        <f>SUM('3 pr-2'!AA118)</f>
        <v>89074</v>
      </c>
      <c r="AF117" s="1432">
        <f ca="1">SUMIF('sutarčių ataskaita'!$J$19:$J$2600,C117,'sutarčių ataskaita'!$DF$19:$DF$600)</f>
        <v>89074</v>
      </c>
      <c r="AG117" s="1447">
        <f t="shared" ca="1" si="225"/>
        <v>0</v>
      </c>
      <c r="AH117" s="1430">
        <f t="shared" ca="1" si="226"/>
        <v>0</v>
      </c>
      <c r="AI117" s="1296">
        <f>SUM('3 pr-2'!AB119)</f>
        <v>0</v>
      </c>
      <c r="AJ117" s="1426">
        <v>0</v>
      </c>
    </row>
    <row r="118" spans="1:36" ht="37.5" thickBot="1" x14ac:dyDescent="0.3">
      <c r="A118" s="366" t="str">
        <f>CONCATENATE('3 pr-2'!A119)</f>
        <v>2.1.1.3.5</v>
      </c>
      <c r="B118" s="182" t="str">
        <f>CONCATENATE('3 pr-2'!B119)</f>
        <v>R01-7705-230000-2135</v>
      </c>
      <c r="C118" s="652" t="str">
        <f>IF('ketv. 4 '!X119&gt;0,'ketv. 4 '!C119,"-")</f>
        <v>09.1.3-CPVA-R-705-11-0002</v>
      </c>
      <c r="D118" s="446" t="str">
        <f>CONCATENATE('3 pr-2'!D119)</f>
        <v>Ikimokyklinio ir priešmokyklinio ugdymo įstaigų Lazdijų rajono savivaldybėje modernizavimas</v>
      </c>
      <c r="E118" s="366" t="str">
        <f>CONCATENATE('3 pr-2'!E119)</f>
        <v>Lazdijų rajono savivaldybės administracija</v>
      </c>
      <c r="F118" s="366" t="str">
        <f>CONCATENATE('3 pr-2'!F119)</f>
        <v>Lietuvos Respublikos švietimo ir mokslo ministerija</v>
      </c>
      <c r="G118" s="366" t="str">
        <f>CONCATENATE('3 pr-2'!G119)</f>
        <v>Lazdijų r. sav.</v>
      </c>
      <c r="H118" s="366" t="str">
        <f>CONCATENATE('3 pr-2'!H119)</f>
        <v>09.1.3-CPVA-R-705</v>
      </c>
      <c r="I118" s="366" t="str">
        <f>CONCATENATE('3 pr-2'!I119)</f>
        <v>R</v>
      </c>
      <c r="J118" s="366" t="str">
        <f>CONCATENATE('3 pr-2'!J119)</f>
        <v>-</v>
      </c>
      <c r="K118" s="1432">
        <f>SUM('3 pr-2'!L119)</f>
        <v>133554.21</v>
      </c>
      <c r="L118" s="1426">
        <f t="shared" ca="1" si="215"/>
        <v>133554.21</v>
      </c>
      <c r="M118" s="1427">
        <f t="shared" ca="1" si="216"/>
        <v>0</v>
      </c>
      <c r="N118" s="1428">
        <f t="shared" ca="1" si="217"/>
        <v>0</v>
      </c>
      <c r="O118" s="1432">
        <f>SUM('3 pr-2'!O119)</f>
        <v>10026.209999999999</v>
      </c>
      <c r="P118" s="1426">
        <f ca="1">SUMIF('sutarčių ataskaita'!$J$19:$J$2600,C118,'sutarčių ataskaita'!$DK$19:$DK$600)</f>
        <v>10026.209999999999</v>
      </c>
      <c r="Q118" s="1432">
        <f t="shared" ca="1" si="218"/>
        <v>0</v>
      </c>
      <c r="R118" s="1432">
        <f t="shared" ca="1" si="219"/>
        <v>0</v>
      </c>
      <c r="S118" s="1432">
        <f>SUM('3 pr-2'!R119)</f>
        <v>10016</v>
      </c>
      <c r="T118" s="1426">
        <f ca="1">SUMIF('sutarčių ataskaita'!$J$19:$J$2600,C118,'sutarčių ataskaita'!$DG$19:$DG$600)</f>
        <v>10016</v>
      </c>
      <c r="U118" s="1432">
        <f t="shared" ca="1" si="220"/>
        <v>0</v>
      </c>
      <c r="V118" s="1432">
        <f t="shared" ca="1" si="221"/>
        <v>0</v>
      </c>
      <c r="W118" s="1432">
        <f>SUM('3 pr-2'!U119)</f>
        <v>0</v>
      </c>
      <c r="X118" s="1432">
        <f ca="1">SUMIF('sutarčių ataskaita'!$J$19:$J$2600,C118,'sutarčių ataskaita'!$DM$19:$DM$600)</f>
        <v>0</v>
      </c>
      <c r="Y118" s="1432">
        <f t="shared" ca="1" si="222"/>
        <v>0</v>
      </c>
      <c r="Z118" s="1432">
        <f t="shared" ca="1" si="223"/>
        <v>0</v>
      </c>
      <c r="AA118" s="1432">
        <f>SUM('3 pr-2'!X119)</f>
        <v>0</v>
      </c>
      <c r="AB118" s="1432">
        <f ca="1">SUMIF('sutarčių ataskaita'!$J$19:$J$2600,C118,'sutarčių ataskaita'!$DL$19:$DL$600)+SUMIF('sutarčių ataskaita'!$J$19:$J$2600,C118,'sutarčių ataskaita'!$DJ$19:$DJ$600)</f>
        <v>0</v>
      </c>
      <c r="AC118" s="1432">
        <f ca="1">SUM(AA118-AB118)</f>
        <v>0</v>
      </c>
      <c r="AD118" s="1432">
        <f t="shared" ca="1" si="224"/>
        <v>0</v>
      </c>
      <c r="AE118" s="1432">
        <f>SUM('3 pr-2'!AA119)</f>
        <v>113512</v>
      </c>
      <c r="AF118" s="1432">
        <f ca="1">SUMIF('sutarčių ataskaita'!$J$19:$J$2600,C118,'sutarčių ataskaita'!$DF$19:$DF$600)</f>
        <v>113512</v>
      </c>
      <c r="AG118" s="1447">
        <f t="shared" ca="1" si="225"/>
        <v>0</v>
      </c>
      <c r="AH118" s="1430">
        <f t="shared" ca="1" si="226"/>
        <v>0</v>
      </c>
      <c r="AI118" s="1296">
        <f>SUM('3 pr-2'!AB120)</f>
        <v>0</v>
      </c>
      <c r="AJ118" s="1426">
        <v>0</v>
      </c>
    </row>
    <row r="119" spans="1:36" ht="57.75" customHeight="1" thickBot="1" x14ac:dyDescent="0.3">
      <c r="A119" s="261" t="str">
        <f>CONCATENATE('3 pr-2'!A120)</f>
        <v>2.1.2.</v>
      </c>
      <c r="B119" s="2022" t="str">
        <f>CONCATENATE('3 pr-2'!B120)</f>
        <v>Uždavinys:
Sveikatos netolygumų sumažinimas, gerinant sveikatos priežiūros kokybę ir prieinamumą tikslinėms gyventojų grupėms ir sveiko senėjimo skatinimas</v>
      </c>
      <c r="C119" s="2023"/>
      <c r="D119" s="2023"/>
      <c r="E119" s="2023"/>
      <c r="F119" s="2023"/>
      <c r="G119" s="2023"/>
      <c r="H119" s="2023"/>
      <c r="I119" s="2023"/>
      <c r="J119" s="2024"/>
      <c r="K119" s="1420">
        <f>SUM('3 pr-2'!L120)</f>
        <v>2508263.7200000002</v>
      </c>
      <c r="L119" s="1420">
        <f ca="1">SUM(L120+L134+L140)</f>
        <v>1060197.7199999997</v>
      </c>
      <c r="M119" s="1418">
        <f ca="1">SUM(M120+M134)</f>
        <v>1000941</v>
      </c>
      <c r="N119" s="1419">
        <f t="shared" ca="1" si="217"/>
        <v>1448066.0000000005</v>
      </c>
      <c r="O119" s="1420">
        <f>SUM('3 pr-2'!O120)</f>
        <v>146668.16</v>
      </c>
      <c r="P119" s="1421">
        <f ca="1">SUM(P120+P134+P140)</f>
        <v>78220.160000000003</v>
      </c>
      <c r="Q119" s="1420">
        <f ca="1">SUM(Q120+Q134)</f>
        <v>51014</v>
      </c>
      <c r="R119" s="1420">
        <f t="shared" ca="1" si="219"/>
        <v>68448</v>
      </c>
      <c r="S119" s="1420">
        <f>SUM('3 pr-2'!R120)</f>
        <v>188786.06</v>
      </c>
      <c r="T119" s="1421">
        <f ca="1">SUM(T120+T134+T140)</f>
        <v>80180.06</v>
      </c>
      <c r="U119" s="1420">
        <f ca="1">SUM(U120+U134)</f>
        <v>75071</v>
      </c>
      <c r="V119" s="1420">
        <f t="shared" ca="1" si="221"/>
        <v>108606</v>
      </c>
      <c r="W119" s="1420">
        <f>SUM('3 pr-2'!U120)</f>
        <v>40158</v>
      </c>
      <c r="X119" s="1421">
        <f ca="1">SUM(X120+X134+X140)</f>
        <v>0</v>
      </c>
      <c r="Y119" s="1420">
        <f ca="1">SUM(Y120+Y134)</f>
        <v>24057</v>
      </c>
      <c r="Z119" s="1420">
        <f t="shared" ca="1" si="223"/>
        <v>0</v>
      </c>
      <c r="AA119" s="1420">
        <f>SUM('3 pr-2'!X120)</f>
        <v>1299.95</v>
      </c>
      <c r="AB119" s="1421">
        <f ca="1">SUM(AB120+AB134+AB140)</f>
        <v>1299.95</v>
      </c>
      <c r="AC119" s="1420">
        <f ca="1">SUM(AC120+AC134)</f>
        <v>0</v>
      </c>
      <c r="AD119" s="1420">
        <f t="shared" ca="1" si="224"/>
        <v>0</v>
      </c>
      <c r="AE119" s="1420">
        <f>SUM('3 pr-2'!AA120)</f>
        <v>2131351.5500000003</v>
      </c>
      <c r="AF119" s="1421">
        <f ca="1">SUM(AF120+AF134+AF140)</f>
        <v>900497.54999999993</v>
      </c>
      <c r="AG119" s="1452">
        <f ca="1">SUM(AG120+AG134)</f>
        <v>850799</v>
      </c>
      <c r="AH119" s="1430">
        <f t="shared" ca="1" si="226"/>
        <v>1230854.0000000005</v>
      </c>
      <c r="AI119" s="1421">
        <f t="shared" ref="AI119:AJ119" si="227">SUM(AI120+AI134+AI140)</f>
        <v>0</v>
      </c>
      <c r="AJ119" s="1421">
        <f t="shared" si="227"/>
        <v>0</v>
      </c>
    </row>
    <row r="120" spans="1:36" ht="51" customHeight="1" thickBot="1" x14ac:dyDescent="0.3">
      <c r="A120" s="326" t="str">
        <f>CONCATENATE('3 pr-2'!A121)</f>
        <v>2.1.2.1</v>
      </c>
      <c r="B120" s="2025" t="str">
        <f>CONCATENATE('3 pr-2'!B121)</f>
        <v>Priemonė:
Pirminės asmens ir visuomenės sveikatos priežiūros veiklos efektyvumo didinimas gerinant jų infrastruktūrą</v>
      </c>
      <c r="C120" s="2026"/>
      <c r="D120" s="2026"/>
      <c r="E120" s="2026"/>
      <c r="F120" s="2026"/>
      <c r="G120" s="2026"/>
      <c r="H120" s="2026"/>
      <c r="I120" s="2026"/>
      <c r="J120" s="2027"/>
      <c r="K120" s="1293">
        <f>SUM('3 pr-2'!L121)</f>
        <v>1448066</v>
      </c>
      <c r="L120" s="1293">
        <f ca="1">SUM(L121:L133)</f>
        <v>0</v>
      </c>
      <c r="M120" s="1422">
        <f ca="1">SUM(M121:M128)</f>
        <v>1000941</v>
      </c>
      <c r="N120" s="1423">
        <f ca="1">SUM(N121:N128)</f>
        <v>0</v>
      </c>
      <c r="O120" s="1293">
        <f>SUM('3 pr-2'!O121)</f>
        <v>68448</v>
      </c>
      <c r="P120" s="1293">
        <f ca="1">SUM(P121:P133)</f>
        <v>0</v>
      </c>
      <c r="Q120" s="1293">
        <f ca="1">SUM(Q121:Q128)</f>
        <v>51014</v>
      </c>
      <c r="R120" s="1293">
        <f ca="1">SUM(R121:R128)</f>
        <v>0</v>
      </c>
      <c r="S120" s="1293">
        <f>SUM('3 pr-2'!R121)</f>
        <v>108606</v>
      </c>
      <c r="T120" s="1293">
        <f ca="1">SUM(T121:T133)</f>
        <v>0</v>
      </c>
      <c r="U120" s="1293">
        <f ca="1">SUM(U121:U128)</f>
        <v>75071</v>
      </c>
      <c r="V120" s="1293">
        <f ca="1">SUM(V121:V128)</f>
        <v>0</v>
      </c>
      <c r="W120" s="1293">
        <f>SUM('3 pr-2'!U121)</f>
        <v>40158</v>
      </c>
      <c r="X120" s="1293">
        <f ca="1">SUM(X121:X133)</f>
        <v>0</v>
      </c>
      <c r="Y120" s="1293">
        <f ca="1">SUM(Y121:Y128)</f>
        <v>24057</v>
      </c>
      <c r="Z120" s="1293">
        <f ca="1">SUM(Z121:Z128)</f>
        <v>0</v>
      </c>
      <c r="AA120" s="1293">
        <f>SUM('3 pr-2'!X121)</f>
        <v>0</v>
      </c>
      <c r="AB120" s="1293">
        <f ca="1">SUM(AB121:AB133)</f>
        <v>0</v>
      </c>
      <c r="AC120" s="1293">
        <f ca="1">SUM(AC121:AC128)</f>
        <v>0</v>
      </c>
      <c r="AD120" s="1293">
        <f ca="1">SUM(AD121:AD128)</f>
        <v>0</v>
      </c>
      <c r="AE120" s="1293">
        <f>SUM('3 pr-2'!AA121)</f>
        <v>1230854</v>
      </c>
      <c r="AF120" s="1293">
        <f ca="1">SUM(AF121:AF133)</f>
        <v>0</v>
      </c>
      <c r="AG120" s="1442">
        <f ca="1">SUM(AG121:AG128)</f>
        <v>850799</v>
      </c>
      <c r="AH120" s="1443">
        <f ca="1">SUM(AH121:AH128)</f>
        <v>0</v>
      </c>
      <c r="AI120" s="1293">
        <f t="shared" ref="AI120:AJ120" si="228">SUM(AI121:AI133)</f>
        <v>0</v>
      </c>
      <c r="AJ120" s="1293">
        <f t="shared" si="228"/>
        <v>0</v>
      </c>
    </row>
    <row r="121" spans="1:36" ht="36.75" x14ac:dyDescent="0.25">
      <c r="A121" s="182" t="str">
        <f>CONCATENATE('3 pr-2'!A122)</f>
        <v>2.1.2.1.1</v>
      </c>
      <c r="B121" s="182" t="str">
        <f>CONCATENATE('3 pr-2'!B122)</f>
        <v>R01-6609-274710-2211</v>
      </c>
      <c r="C121" s="652" t="str">
        <f>IF('ketv. 4 '!X122&gt;0,'ketv. 4 '!C122,"-")</f>
        <v>-</v>
      </c>
      <c r="D121" s="446" t="str">
        <f>CONCATENATE('3 pr-2'!D122)</f>
        <v xml:space="preserve">Alytaus poliklinikos teikiamų pirminės sveikatos priežiūros paslaugų prieinamumo didinimas ir kokybės gerinimas </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296">
        <f>SUM('3 pr-2'!L122)</f>
        <v>458183</v>
      </c>
      <c r="L121" s="1296">
        <f t="shared" ref="L121:L133" ca="1" si="229">SUM(P121+T121+X121+AB121+AF121+AJ121)</f>
        <v>0</v>
      </c>
      <c r="M121" s="1427">
        <f t="shared" ref="M121:M128" ca="1" si="230">SUM(K121-L121)</f>
        <v>458183</v>
      </c>
      <c r="N121" s="1428">
        <f t="shared" ref="N121:N128" ca="1" si="231">IF(L121&gt;0,K121-L121,0)</f>
        <v>0</v>
      </c>
      <c r="O121" s="1432">
        <f>SUM('3 pr-2'!O122)</f>
        <v>34364</v>
      </c>
      <c r="P121" s="1296">
        <f ca="1">SUMIF('sutarčių ataskaita'!$J$19:$J$2600,C121,'sutarčių ataskaita'!$DK$19:$DK$600)</f>
        <v>0</v>
      </c>
      <c r="Q121" s="1427">
        <f t="shared" ref="Q121:Q128" ca="1" si="232">SUM(O121-P121)</f>
        <v>34364</v>
      </c>
      <c r="R121" s="1428">
        <f t="shared" ref="R121:R128" ca="1" si="233">IF(P121&gt;0,O121-P121,0)</f>
        <v>0</v>
      </c>
      <c r="S121" s="1432">
        <f>SUM('3 pr-2'!R122)</f>
        <v>34363</v>
      </c>
      <c r="T121" s="1296">
        <f ca="1">SUMIF('sutarčių ataskaita'!$J$19:$J$2600,C121,'sutarčių ataskaita'!$DG$19:$DG$600)</f>
        <v>0</v>
      </c>
      <c r="U121" s="1427">
        <f t="shared" ref="U121:U128" ca="1" si="234">SUM(S121-T121)</f>
        <v>34363</v>
      </c>
      <c r="V121" s="1428">
        <f t="shared" ref="V121:V128" ca="1" si="235">IF(T121&gt;0,S121-T121,0)</f>
        <v>0</v>
      </c>
      <c r="W121" s="1432">
        <f>SUM('3 pr-2'!U122)</f>
        <v>0</v>
      </c>
      <c r="X121" s="1296">
        <f ca="1">SUMIF('sutarčių ataskaita'!$J$19:$J$2600,C121,'sutarčių ataskaita'!$DM$19:$DM$600)</f>
        <v>0</v>
      </c>
      <c r="Y121" s="1427">
        <f t="shared" ref="Y121:Y128" ca="1" si="236">SUM(W121-X121)</f>
        <v>0</v>
      </c>
      <c r="Z121" s="1428">
        <f t="shared" ref="Z121:Z128" ca="1" si="237">IF(X121&gt;0,W121-X121,0)</f>
        <v>0</v>
      </c>
      <c r="AA121" s="1432">
        <f>SUM('3 pr-2'!X122)</f>
        <v>0</v>
      </c>
      <c r="AB121" s="1296">
        <f ca="1">SUMIF('sutarčių ataskaita'!$J$19:$J$2600,C121,'sutarčių ataskaita'!$DL$19:$DL$600)+SUMIF('sutarčių ataskaita'!$J$19:$J$2600,C121,'sutarčių ataskaita'!$DJ$19:$DJ$600)</f>
        <v>0</v>
      </c>
      <c r="AC121" s="1427">
        <f t="shared" ref="AC121:AC128" ca="1" si="238">SUM(AA121-AB121)</f>
        <v>0</v>
      </c>
      <c r="AD121" s="1428">
        <f t="shared" ref="AD121:AD128" ca="1" si="239">IF(AB121&gt;0,AA121-AB121,0)</f>
        <v>0</v>
      </c>
      <c r="AE121" s="1432">
        <f>SUM('3 pr-2'!AA122)</f>
        <v>389456</v>
      </c>
      <c r="AF121" s="1296">
        <f ca="1">SUMIF('sutarčių ataskaita'!$J$19:$J$2600,C121,'sutarčių ataskaita'!$DF$19:$DF$600)</f>
        <v>0</v>
      </c>
      <c r="AG121" s="1441">
        <f t="shared" ref="AG121:AG128" ca="1" si="240">SUM(AE121-AF121)</f>
        <v>389456</v>
      </c>
      <c r="AH121" s="1430">
        <f t="shared" ref="AH121:AH128" ca="1" si="241">IF(AF121&gt;0,AE121-AF121,0)</f>
        <v>0</v>
      </c>
      <c r="AI121" s="1296">
        <f>SUM('3 pr-2'!AB123)</f>
        <v>0</v>
      </c>
      <c r="AJ121" s="1296"/>
    </row>
    <row r="122" spans="1:36" ht="48.75" x14ac:dyDescent="0.25">
      <c r="A122" s="182" t="str">
        <f>CONCATENATE('3 pr-2'!A123)</f>
        <v>2.1.2.1.2</v>
      </c>
      <c r="B122" s="182" t="str">
        <f>CONCATENATE('3 pr-2'!B123)</f>
        <v>R01-6609-274710-2212</v>
      </c>
      <c r="C122" s="652" t="str">
        <f>IF('ketv. 4 '!X123&gt;0,'ketv. 4 '!C123,"-")</f>
        <v>-</v>
      </c>
      <c r="D122" s="446"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96">
        <f>SUM('3 pr-2'!L123)</f>
        <v>50356</v>
      </c>
      <c r="L122" s="1296">
        <f t="shared" ca="1" si="229"/>
        <v>0</v>
      </c>
      <c r="M122" s="1427">
        <f t="shared" ca="1" si="230"/>
        <v>50356</v>
      </c>
      <c r="N122" s="1428">
        <f t="shared" ca="1" si="231"/>
        <v>0</v>
      </c>
      <c r="O122" s="1432">
        <f>SUM('3 pr-2'!O123)</f>
        <v>3777</v>
      </c>
      <c r="P122" s="1296">
        <f ca="1">SUMIF('sutarčių ataskaita'!$J$19:$J$2600,C122,'sutarčių ataskaita'!$DK$19:$DK$600)</f>
        <v>0</v>
      </c>
      <c r="Q122" s="1427">
        <f t="shared" ca="1" si="232"/>
        <v>3777</v>
      </c>
      <c r="R122" s="1428">
        <f t="shared" ca="1" si="233"/>
        <v>0</v>
      </c>
      <c r="S122" s="1432">
        <f>SUM('3 pr-2'!R123)</f>
        <v>3777</v>
      </c>
      <c r="T122" s="1296">
        <f ca="1">SUMIF('sutarčių ataskaita'!$J$19:$J$2600,C122,'sutarčių ataskaita'!$DG$19:$DG$600)</f>
        <v>0</v>
      </c>
      <c r="U122" s="1427">
        <f t="shared" ca="1" si="234"/>
        <v>3777</v>
      </c>
      <c r="V122" s="1428">
        <f t="shared" ca="1" si="235"/>
        <v>0</v>
      </c>
      <c r="W122" s="1432">
        <f>SUM('3 pr-2'!U123)</f>
        <v>0</v>
      </c>
      <c r="X122" s="1296">
        <f ca="1">SUMIF('sutarčių ataskaita'!$J$19:$J$2600,C122,'sutarčių ataskaita'!$DM$19:$DM$600)</f>
        <v>0</v>
      </c>
      <c r="Y122" s="1427">
        <f t="shared" ca="1" si="236"/>
        <v>0</v>
      </c>
      <c r="Z122" s="1428">
        <f t="shared" ca="1" si="237"/>
        <v>0</v>
      </c>
      <c r="AA122" s="1432">
        <f>SUM('3 pr-2'!X123)</f>
        <v>0</v>
      </c>
      <c r="AB122" s="1296">
        <f ca="1">SUMIF('sutarčių ataskaita'!$J$19:$J$2600,C122,'sutarčių ataskaita'!$DL$19:$DL$600)+SUMIF('sutarčių ataskaita'!$J$19:$J$2600,C122,'sutarčių ataskaita'!$DJ$19:$DJ$600)</f>
        <v>0</v>
      </c>
      <c r="AC122" s="1427">
        <f t="shared" ca="1" si="238"/>
        <v>0</v>
      </c>
      <c r="AD122" s="1428">
        <f t="shared" ca="1" si="239"/>
        <v>0</v>
      </c>
      <c r="AE122" s="1432">
        <f>SUM('3 pr-2'!AA123)</f>
        <v>42802</v>
      </c>
      <c r="AF122" s="1296">
        <f ca="1">SUMIF('sutarčių ataskaita'!$J$19:$J$2600,C122,'sutarčių ataskaita'!$DF$19:$DF$600)</f>
        <v>0</v>
      </c>
      <c r="AG122" s="1447">
        <f t="shared" ca="1" si="240"/>
        <v>42802</v>
      </c>
      <c r="AH122" s="1430">
        <f t="shared" ca="1" si="241"/>
        <v>0</v>
      </c>
      <c r="AI122" s="1296">
        <f>SUM('3 pr-2'!AB124)</f>
        <v>0</v>
      </c>
      <c r="AJ122" s="1296"/>
    </row>
    <row r="123" spans="1:36" ht="48.75" x14ac:dyDescent="0.25">
      <c r="A123" s="182" t="str">
        <f>CONCATENATE('3 pr-2'!A124)</f>
        <v>2.1.2.1.3</v>
      </c>
      <c r="B123" s="182" t="str">
        <f>CONCATENATE('3 pr-2'!B124)</f>
        <v>R01-6609-274700-2213</v>
      </c>
      <c r="C123" s="652" t="str">
        <f>IF('ketv. 4 '!X124&gt;0,'ketv. 4 '!C124,"-")</f>
        <v>-</v>
      </c>
      <c r="D123" s="446"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96">
        <f>SUM('3 pr-2'!L124)</f>
        <v>83468</v>
      </c>
      <c r="L123" s="1296">
        <f t="shared" ca="1" si="229"/>
        <v>0</v>
      </c>
      <c r="M123" s="1427">
        <f t="shared" ca="1" si="230"/>
        <v>83468</v>
      </c>
      <c r="N123" s="1428">
        <f t="shared" ca="1" si="231"/>
        <v>0</v>
      </c>
      <c r="O123" s="1432">
        <f>SUM('3 pr-2'!O124)</f>
        <v>0</v>
      </c>
      <c r="P123" s="1296">
        <f ca="1">SUMIF('sutarčių ataskaita'!$J$19:$J$2600,C123,'sutarčių ataskaita'!$DK$19:$DK$600)</f>
        <v>0</v>
      </c>
      <c r="Q123" s="1427">
        <f t="shared" ca="1" si="232"/>
        <v>0</v>
      </c>
      <c r="R123" s="1428">
        <f t="shared" ca="1" si="233"/>
        <v>0</v>
      </c>
      <c r="S123" s="1432">
        <f>SUM('3 pr-2'!R124)</f>
        <v>6260</v>
      </c>
      <c r="T123" s="1296">
        <f ca="1">SUMIF('sutarčių ataskaita'!$J$19:$J$2600,C123,'sutarčių ataskaita'!$DG$19:$DG$600)</f>
        <v>0</v>
      </c>
      <c r="U123" s="1427">
        <f t="shared" ca="1" si="234"/>
        <v>6260</v>
      </c>
      <c r="V123" s="1428">
        <f t="shared" ca="1" si="235"/>
        <v>0</v>
      </c>
      <c r="W123" s="1432">
        <f>SUM('3 pr-2'!U124)</f>
        <v>6260</v>
      </c>
      <c r="X123" s="1296">
        <f ca="1">SUMIF('sutarčių ataskaita'!$J$19:$J$2600,C123,'sutarčių ataskaita'!$DM$19:$DM$600)</f>
        <v>0</v>
      </c>
      <c r="Y123" s="1427">
        <f t="shared" ca="1" si="236"/>
        <v>6260</v>
      </c>
      <c r="Z123" s="1428">
        <f t="shared" ca="1" si="237"/>
        <v>0</v>
      </c>
      <c r="AA123" s="1432">
        <f>SUM('3 pr-2'!X124)</f>
        <v>0</v>
      </c>
      <c r="AB123" s="1296">
        <f ca="1">SUMIF('sutarčių ataskaita'!$J$19:$J$2600,C123,'sutarčių ataskaita'!$DL$19:$DL$600)+SUMIF('sutarčių ataskaita'!$J$19:$J$2600,C123,'sutarčių ataskaita'!$DJ$19:$DJ$600)</f>
        <v>0</v>
      </c>
      <c r="AC123" s="1427">
        <f t="shared" ca="1" si="238"/>
        <v>0</v>
      </c>
      <c r="AD123" s="1428">
        <f t="shared" ca="1" si="239"/>
        <v>0</v>
      </c>
      <c r="AE123" s="1432">
        <f>SUM('3 pr-2'!AA124)</f>
        <v>70948</v>
      </c>
      <c r="AF123" s="1296">
        <f ca="1">SUMIF('sutarčių ataskaita'!$J$19:$J$2600,C123,'sutarčių ataskaita'!$DF$19:$DF$600)</f>
        <v>0</v>
      </c>
      <c r="AG123" s="1447">
        <f t="shared" ca="1" si="240"/>
        <v>70948</v>
      </c>
      <c r="AH123" s="1430">
        <f t="shared" ca="1" si="241"/>
        <v>0</v>
      </c>
      <c r="AI123" s="1296">
        <f>SUM('3 pr-2'!AB125)</f>
        <v>0</v>
      </c>
      <c r="AJ123" s="1296"/>
    </row>
    <row r="124" spans="1:36" ht="36.75" x14ac:dyDescent="0.25">
      <c r="A124" s="182" t="str">
        <f>CONCATENATE('3 pr-2'!A125)</f>
        <v>2.1.2.1.4</v>
      </c>
      <c r="B124" s="182" t="str">
        <f>CONCATENATE('3 pr-2'!B125)</f>
        <v>R01-6609-274710-2214</v>
      </c>
      <c r="C124" s="652" t="str">
        <f>IF('ketv. 4 '!X125&gt;0,'ketv. 4 '!C125,"-")</f>
        <v>-</v>
      </c>
      <c r="D124" s="446"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96">
        <f>SUM('3 pr-2'!L125)</f>
        <v>44091</v>
      </c>
      <c r="L124" s="1296">
        <f t="shared" ca="1" si="229"/>
        <v>0</v>
      </c>
      <c r="M124" s="1427">
        <f t="shared" ca="1" si="230"/>
        <v>44091</v>
      </c>
      <c r="N124" s="1428">
        <f t="shared" ca="1" si="231"/>
        <v>0</v>
      </c>
      <c r="O124" s="1432">
        <f>SUM('3 pr-2'!O125)</f>
        <v>0</v>
      </c>
      <c r="P124" s="1296">
        <f ca="1">SUMIF('sutarčių ataskaita'!$J$19:$J$2600,C124,'sutarčių ataskaita'!$DK$19:$DK$600)</f>
        <v>0</v>
      </c>
      <c r="Q124" s="1427">
        <f t="shared" ca="1" si="232"/>
        <v>0</v>
      </c>
      <c r="R124" s="1428">
        <f t="shared" ca="1" si="233"/>
        <v>0</v>
      </c>
      <c r="S124" s="1432">
        <f>SUM('3 pr-2'!R125)</f>
        <v>3307</v>
      </c>
      <c r="T124" s="1296">
        <f ca="1">SUMIF('sutarčių ataskaita'!$J$19:$J$2600,C124,'sutarčių ataskaita'!$DG$19:$DG$600)</f>
        <v>0</v>
      </c>
      <c r="U124" s="1427">
        <f t="shared" ca="1" si="234"/>
        <v>3307</v>
      </c>
      <c r="V124" s="1428">
        <f t="shared" ca="1" si="235"/>
        <v>0</v>
      </c>
      <c r="W124" s="1432">
        <f>SUM('3 pr-2'!U125)</f>
        <v>3306</v>
      </c>
      <c r="X124" s="1296">
        <f ca="1">SUMIF('sutarčių ataskaita'!$J$19:$J$2600,C124,'sutarčių ataskaita'!$DM$19:$DM$600)</f>
        <v>0</v>
      </c>
      <c r="Y124" s="1427">
        <f t="shared" ca="1" si="236"/>
        <v>3306</v>
      </c>
      <c r="Z124" s="1428">
        <f t="shared" ca="1" si="237"/>
        <v>0</v>
      </c>
      <c r="AA124" s="1432">
        <f>SUM('3 pr-2'!X125)</f>
        <v>0</v>
      </c>
      <c r="AB124" s="1296">
        <f ca="1">SUMIF('sutarčių ataskaita'!$J$19:$J$2600,C124,'sutarčių ataskaita'!$DL$19:$DL$600)+SUMIF('sutarčių ataskaita'!$J$19:$J$2600,C124,'sutarčių ataskaita'!$DJ$19:$DJ$600)</f>
        <v>0</v>
      </c>
      <c r="AC124" s="1427">
        <f t="shared" ca="1" si="238"/>
        <v>0</v>
      </c>
      <c r="AD124" s="1428">
        <f t="shared" ca="1" si="239"/>
        <v>0</v>
      </c>
      <c r="AE124" s="1432">
        <f>SUM('3 pr-2'!AA125)</f>
        <v>37478</v>
      </c>
      <c r="AF124" s="1296">
        <f ca="1">SUMIF('sutarčių ataskaita'!$J$19:$J$2600,C124,'sutarčių ataskaita'!$DF$19:$DF$600)</f>
        <v>0</v>
      </c>
      <c r="AG124" s="1447">
        <f t="shared" ca="1" si="240"/>
        <v>37478</v>
      </c>
      <c r="AH124" s="1430">
        <f t="shared" ca="1" si="241"/>
        <v>0</v>
      </c>
      <c r="AI124" s="1296">
        <f>SUM('3 pr-2'!AB126)</f>
        <v>0</v>
      </c>
      <c r="AJ124" s="1296"/>
    </row>
    <row r="125" spans="1:36" ht="48.75" x14ac:dyDescent="0.25">
      <c r="A125" s="182" t="str">
        <f>CONCATENATE('3 pr-2'!A126)</f>
        <v>2.1.2.1.5</v>
      </c>
      <c r="B125" s="182" t="str">
        <f>CONCATENATE('3 pr-2'!B126)</f>
        <v>R01-6609-274710-2215</v>
      </c>
      <c r="C125" s="652" t="str">
        <f>IF('ketv. 4 '!X126&gt;0,'ketv. 4 '!C126,"-")</f>
        <v>-</v>
      </c>
      <c r="D125" s="446"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96">
        <f>SUM('3 pr-2'!L126)</f>
        <v>171636</v>
      </c>
      <c r="L125" s="1296">
        <f t="shared" ca="1" si="229"/>
        <v>0</v>
      </c>
      <c r="M125" s="1427">
        <f t="shared" ca="1" si="230"/>
        <v>171636</v>
      </c>
      <c r="N125" s="1428">
        <f t="shared" ca="1" si="231"/>
        <v>0</v>
      </c>
      <c r="O125" s="1432">
        <f>SUM('3 pr-2'!O126)</f>
        <v>12873</v>
      </c>
      <c r="P125" s="1296">
        <f ca="1">SUMIF('sutarčių ataskaita'!$J$19:$J$2600,C125,'sutarčių ataskaita'!$DK$19:$DK$600)</f>
        <v>0</v>
      </c>
      <c r="Q125" s="1427">
        <f t="shared" ca="1" si="232"/>
        <v>12873</v>
      </c>
      <c r="R125" s="1428">
        <f t="shared" ca="1" si="233"/>
        <v>0</v>
      </c>
      <c r="S125" s="1432">
        <f>SUM('3 pr-2'!R126)</f>
        <v>12873</v>
      </c>
      <c r="T125" s="1296">
        <f ca="1">SUMIF('sutarčių ataskaita'!$J$19:$J$2600,C125,'sutarčių ataskaita'!$DG$19:$DG$600)</f>
        <v>0</v>
      </c>
      <c r="U125" s="1427">
        <f t="shared" ca="1" si="234"/>
        <v>12873</v>
      </c>
      <c r="V125" s="1428">
        <f t="shared" ca="1" si="235"/>
        <v>0</v>
      </c>
      <c r="W125" s="1432">
        <f>SUM('3 pr-2'!U126)</f>
        <v>0</v>
      </c>
      <c r="X125" s="1296">
        <f ca="1">SUMIF('sutarčių ataskaita'!$J$19:$J$2600,C125,'sutarčių ataskaita'!$DM$19:$DM$600)</f>
        <v>0</v>
      </c>
      <c r="Y125" s="1427">
        <f t="shared" ca="1" si="236"/>
        <v>0</v>
      </c>
      <c r="Z125" s="1428">
        <f t="shared" ca="1" si="237"/>
        <v>0</v>
      </c>
      <c r="AA125" s="1432">
        <f>SUM('3 pr-2'!X126)</f>
        <v>0</v>
      </c>
      <c r="AB125" s="1296">
        <f ca="1">SUMIF('sutarčių ataskaita'!$J$19:$J$2600,C125,'sutarčių ataskaita'!$DL$19:$DL$600)+SUMIF('sutarčių ataskaita'!$J$19:$J$2600,C125,'sutarčių ataskaita'!$DJ$19:$DJ$600)</f>
        <v>0</v>
      </c>
      <c r="AC125" s="1427">
        <f t="shared" ca="1" si="238"/>
        <v>0</v>
      </c>
      <c r="AD125" s="1428">
        <f t="shared" ca="1" si="239"/>
        <v>0</v>
      </c>
      <c r="AE125" s="1432">
        <f>SUM('3 pr-2'!AA126)</f>
        <v>145890</v>
      </c>
      <c r="AF125" s="1296">
        <f ca="1">SUMIF('sutarčių ataskaita'!$J$19:$J$2600,C125,'sutarčių ataskaita'!$DF$19:$DF$600)</f>
        <v>0</v>
      </c>
      <c r="AG125" s="1447">
        <f t="shared" ca="1" si="240"/>
        <v>145890</v>
      </c>
      <c r="AH125" s="1430">
        <f t="shared" ca="1" si="241"/>
        <v>0</v>
      </c>
      <c r="AI125" s="1296">
        <f>SUM('3 pr-2'!AB127)</f>
        <v>0</v>
      </c>
      <c r="AJ125" s="1296"/>
    </row>
    <row r="126" spans="1:36" ht="36.75" x14ac:dyDescent="0.25">
      <c r="A126" s="182" t="str">
        <f>CONCATENATE('3 pr-2'!A127)</f>
        <v>2.1.2.1.6</v>
      </c>
      <c r="B126" s="182" t="str">
        <f>CONCATENATE('3 pr-2'!B127)</f>
        <v>R01-6609-471000-2216</v>
      </c>
      <c r="C126" s="652" t="str">
        <f>IF('ketv. 4 '!X127&gt;0,'ketv. 4 '!C127,"-")</f>
        <v>-</v>
      </c>
      <c r="D126" s="446"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96">
        <f>SUM('3 pr-2'!L127)</f>
        <v>17386</v>
      </c>
      <c r="L126" s="1296">
        <f t="shared" ca="1" si="229"/>
        <v>0</v>
      </c>
      <c r="M126" s="1427">
        <f t="shared" ca="1" si="230"/>
        <v>17386</v>
      </c>
      <c r="N126" s="1428">
        <f t="shared" ca="1" si="231"/>
        <v>0</v>
      </c>
      <c r="O126" s="1432">
        <f>SUM('3 pr-2'!O127)</f>
        <v>0</v>
      </c>
      <c r="P126" s="1296">
        <f ca="1">SUMIF('sutarčių ataskaita'!$J$19:$J$2600,C126,'sutarčių ataskaita'!$DK$19:$DK$600)</f>
        <v>0</v>
      </c>
      <c r="Q126" s="1427">
        <f t="shared" ca="1" si="232"/>
        <v>0</v>
      </c>
      <c r="R126" s="1428">
        <f t="shared" ca="1" si="233"/>
        <v>0</v>
      </c>
      <c r="S126" s="1432">
        <f>SUM('3 pr-2'!R127)</f>
        <v>1304</v>
      </c>
      <c r="T126" s="1296">
        <f ca="1">SUMIF('sutarčių ataskaita'!$J$19:$J$2600,C126,'sutarčių ataskaita'!$DG$19:$DG$600)</f>
        <v>0</v>
      </c>
      <c r="U126" s="1427">
        <f t="shared" ca="1" si="234"/>
        <v>1304</v>
      </c>
      <c r="V126" s="1428">
        <f t="shared" ca="1" si="235"/>
        <v>0</v>
      </c>
      <c r="W126" s="1432">
        <f>SUM('3 pr-2'!U127)</f>
        <v>1304</v>
      </c>
      <c r="X126" s="1296">
        <f ca="1">SUMIF('sutarčių ataskaita'!$J$19:$J$2600,C126,'sutarčių ataskaita'!$DM$19:$DM$600)</f>
        <v>0</v>
      </c>
      <c r="Y126" s="1427">
        <f t="shared" ca="1" si="236"/>
        <v>1304</v>
      </c>
      <c r="Z126" s="1428">
        <f t="shared" ca="1" si="237"/>
        <v>0</v>
      </c>
      <c r="AA126" s="1432">
        <f>SUM('3 pr-2'!X127)</f>
        <v>0</v>
      </c>
      <c r="AB126" s="1296">
        <f ca="1">SUMIF('sutarčių ataskaita'!$J$19:$J$2600,C126,'sutarčių ataskaita'!$DL$19:$DL$600)+SUMIF('sutarčių ataskaita'!$J$19:$J$2600,C126,'sutarčių ataskaita'!$DJ$19:$DJ$600)</f>
        <v>0</v>
      </c>
      <c r="AC126" s="1427">
        <f t="shared" ca="1" si="238"/>
        <v>0</v>
      </c>
      <c r="AD126" s="1428">
        <f t="shared" ca="1" si="239"/>
        <v>0</v>
      </c>
      <c r="AE126" s="1432">
        <f>SUM('3 pr-2'!AA127)</f>
        <v>14778</v>
      </c>
      <c r="AF126" s="1296">
        <f ca="1">SUMIF('sutarčių ataskaita'!$J$19:$J$2600,C126,'sutarčių ataskaita'!$DF$19:$DF$600)</f>
        <v>0</v>
      </c>
      <c r="AG126" s="1447">
        <f t="shared" ca="1" si="240"/>
        <v>14778</v>
      </c>
      <c r="AH126" s="1430">
        <f t="shared" ca="1" si="241"/>
        <v>0</v>
      </c>
      <c r="AI126" s="1296">
        <f>SUM('3 pr-2'!AB128)</f>
        <v>0</v>
      </c>
      <c r="AJ126" s="1296"/>
    </row>
    <row r="127" spans="1:36" ht="36.75" x14ac:dyDescent="0.25">
      <c r="A127" s="182" t="str">
        <f>CONCATENATE('3 pr-2'!A128)</f>
        <v>2.1.2.1.7</v>
      </c>
      <c r="B127" s="182" t="str">
        <f>CONCATENATE('3 pr-2'!B128)</f>
        <v>R01-6609-274710-2217</v>
      </c>
      <c r="C127" s="652" t="str">
        <f>IF('ketv. 4 '!X128&gt;0,'ketv. 4 '!C128,"-")</f>
        <v>-</v>
      </c>
      <c r="D127" s="446"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96">
        <f>SUM('3 pr-2'!L128)</f>
        <v>163532</v>
      </c>
      <c r="L127" s="1296">
        <f t="shared" ca="1" si="229"/>
        <v>0</v>
      </c>
      <c r="M127" s="1427">
        <f t="shared" ca="1" si="230"/>
        <v>163532</v>
      </c>
      <c r="N127" s="1428">
        <f t="shared" ca="1" si="231"/>
        <v>0</v>
      </c>
      <c r="O127" s="1432">
        <f>SUM('3 pr-2'!O128)</f>
        <v>0</v>
      </c>
      <c r="P127" s="1296">
        <f ca="1">SUMIF('sutarčių ataskaita'!$J$19:$J$2600,C127,'sutarčių ataskaita'!$DK$19:$DK$600)</f>
        <v>0</v>
      </c>
      <c r="Q127" s="1427">
        <f t="shared" ca="1" si="232"/>
        <v>0</v>
      </c>
      <c r="R127" s="1428">
        <f t="shared" ca="1" si="233"/>
        <v>0</v>
      </c>
      <c r="S127" s="1432">
        <f>SUM('3 pr-2'!R128)</f>
        <v>12265</v>
      </c>
      <c r="T127" s="1296">
        <f ca="1">SUMIF('sutarčių ataskaita'!$J$19:$J$2600,C127,'sutarčių ataskaita'!$DG$19:$DG$600)</f>
        <v>0</v>
      </c>
      <c r="U127" s="1427">
        <f t="shared" ca="1" si="234"/>
        <v>12265</v>
      </c>
      <c r="V127" s="1428">
        <f t="shared" ca="1" si="235"/>
        <v>0</v>
      </c>
      <c r="W127" s="1432">
        <f>SUM('3 pr-2'!U128)</f>
        <v>12265</v>
      </c>
      <c r="X127" s="1296">
        <f ca="1">SUMIF('sutarčių ataskaita'!$J$19:$J$2600,C127,'sutarčių ataskaita'!$DM$19:$DM$600)</f>
        <v>0</v>
      </c>
      <c r="Y127" s="1427">
        <f t="shared" ca="1" si="236"/>
        <v>12265</v>
      </c>
      <c r="Z127" s="1428">
        <f t="shared" ca="1" si="237"/>
        <v>0</v>
      </c>
      <c r="AA127" s="1432">
        <f>SUM('3 pr-2'!X128)</f>
        <v>0</v>
      </c>
      <c r="AB127" s="1296">
        <f ca="1">SUMIF('sutarčių ataskaita'!$J$19:$J$2600,C127,'sutarčių ataskaita'!$DL$19:$DL$600)+SUMIF('sutarčių ataskaita'!$J$19:$J$2600,C127,'sutarčių ataskaita'!$DJ$19:$DJ$600)</f>
        <v>0</v>
      </c>
      <c r="AC127" s="1427">
        <f t="shared" ca="1" si="238"/>
        <v>0</v>
      </c>
      <c r="AD127" s="1428">
        <f t="shared" ca="1" si="239"/>
        <v>0</v>
      </c>
      <c r="AE127" s="1432">
        <f>SUM('3 pr-2'!AA128)</f>
        <v>139002</v>
      </c>
      <c r="AF127" s="1296">
        <f ca="1">SUMIF('sutarčių ataskaita'!$J$19:$J$2600,C127,'sutarčių ataskaita'!$DF$19:$DF$600)</f>
        <v>0</v>
      </c>
      <c r="AG127" s="1447">
        <f t="shared" ca="1" si="240"/>
        <v>139002</v>
      </c>
      <c r="AH127" s="1430">
        <f t="shared" ca="1" si="241"/>
        <v>0</v>
      </c>
      <c r="AI127" s="1296">
        <f>SUM('3 pr-2'!AB129)</f>
        <v>0</v>
      </c>
      <c r="AJ127" s="1296"/>
    </row>
    <row r="128" spans="1:36" ht="36.75" x14ac:dyDescent="0.25">
      <c r="A128" s="182" t="str">
        <f>CONCATENATE('3 pr-2'!A129)</f>
        <v>2.1.2.1.8</v>
      </c>
      <c r="B128" s="182" t="str">
        <f>CONCATENATE('3 pr-2'!B129)</f>
        <v>R01-6609-104700-2218</v>
      </c>
      <c r="C128" s="652" t="str">
        <f>IF('ketv. 4 '!X129&gt;0,'ketv. 4 '!C129,"-")</f>
        <v>-</v>
      </c>
      <c r="D128" s="446"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96">
        <f>SUM('3 pr-2'!L129)</f>
        <v>12289</v>
      </c>
      <c r="L128" s="1296">
        <f t="shared" ca="1" si="229"/>
        <v>0</v>
      </c>
      <c r="M128" s="1427">
        <f t="shared" ca="1" si="230"/>
        <v>12289</v>
      </c>
      <c r="N128" s="1428">
        <f t="shared" ca="1" si="231"/>
        <v>0</v>
      </c>
      <c r="O128" s="1432">
        <f>SUM('3 pr-2'!O129)</f>
        <v>0</v>
      </c>
      <c r="P128" s="1296">
        <f ca="1">SUMIF('sutarčių ataskaita'!$J$19:$J$2600,C128,'sutarčių ataskaita'!$DK$19:$DK$600)</f>
        <v>0</v>
      </c>
      <c r="Q128" s="1427">
        <f t="shared" ca="1" si="232"/>
        <v>0</v>
      </c>
      <c r="R128" s="1428">
        <f t="shared" ca="1" si="233"/>
        <v>0</v>
      </c>
      <c r="S128" s="1432">
        <f>SUM('3 pr-2'!R129)</f>
        <v>922</v>
      </c>
      <c r="T128" s="1296">
        <f ca="1">SUMIF('sutarčių ataskaita'!$J$19:$J$2600,C128,'sutarčių ataskaita'!$DG$19:$DG$600)</f>
        <v>0</v>
      </c>
      <c r="U128" s="1427">
        <f t="shared" ca="1" si="234"/>
        <v>922</v>
      </c>
      <c r="V128" s="1428">
        <f t="shared" ca="1" si="235"/>
        <v>0</v>
      </c>
      <c r="W128" s="1432">
        <f>SUM('3 pr-2'!U129)</f>
        <v>922</v>
      </c>
      <c r="X128" s="1296">
        <f ca="1">SUMIF('sutarčių ataskaita'!$J$19:$J$2600,C128,'sutarčių ataskaita'!$DM$19:$DM$600)</f>
        <v>0</v>
      </c>
      <c r="Y128" s="1427">
        <f t="shared" ca="1" si="236"/>
        <v>922</v>
      </c>
      <c r="Z128" s="1428">
        <f t="shared" ca="1" si="237"/>
        <v>0</v>
      </c>
      <c r="AA128" s="1432">
        <f>SUM('3 pr-2'!X129)</f>
        <v>0</v>
      </c>
      <c r="AB128" s="1296">
        <f ca="1">SUMIF('sutarčių ataskaita'!$J$19:$J$2600,C128,'sutarčių ataskaita'!$DL$19:$DL$600)+SUMIF('sutarčių ataskaita'!$J$19:$J$2600,C128,'sutarčių ataskaita'!$DJ$19:$DJ$600)</f>
        <v>0</v>
      </c>
      <c r="AC128" s="1427">
        <f t="shared" ca="1" si="238"/>
        <v>0</v>
      </c>
      <c r="AD128" s="1428">
        <f t="shared" ca="1" si="239"/>
        <v>0</v>
      </c>
      <c r="AE128" s="1432">
        <f>SUM('3 pr-2'!AA129)</f>
        <v>10445</v>
      </c>
      <c r="AF128" s="1296">
        <f ca="1">SUMIF('sutarčių ataskaita'!$J$19:$J$2600,C128,'sutarčių ataskaita'!$DF$19:$DF$600)</f>
        <v>0</v>
      </c>
      <c r="AG128" s="1447">
        <f t="shared" ca="1" si="240"/>
        <v>10445</v>
      </c>
      <c r="AH128" s="1430">
        <f t="shared" ca="1" si="241"/>
        <v>0</v>
      </c>
      <c r="AI128" s="1296">
        <f>SUM('3 pr-2'!AB130)</f>
        <v>0</v>
      </c>
      <c r="AJ128" s="1296"/>
    </row>
    <row r="129" spans="1:36" ht="36.75" x14ac:dyDescent="0.25">
      <c r="A129" s="182" t="str">
        <f>CONCATENATE('3 pr-2'!A130)</f>
        <v>2.1.2.1.9</v>
      </c>
      <c r="B129" s="182" t="str">
        <f>CONCATENATE('3 pr-2'!B130)</f>
        <v>R01-6609-274710-2219</v>
      </c>
      <c r="C129" s="652" t="str">
        <f>IF('ketv. 4 '!X130&gt;0,'ketv. 4 '!C130,"-")</f>
        <v>-</v>
      </c>
      <c r="D129" s="446"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96">
        <f>SUM('3 pr-2'!L130)</f>
        <v>25517</v>
      </c>
      <c r="L129" s="1296">
        <f t="shared" ca="1" si="229"/>
        <v>0</v>
      </c>
      <c r="M129" s="1427">
        <f t="shared" ref="M129:M131" ca="1" si="242">SUM(K129-L129)</f>
        <v>25517</v>
      </c>
      <c r="N129" s="1428">
        <f t="shared" ref="N129:N131" ca="1" si="243">IF(L129&gt;0,K129-L129,0)</f>
        <v>0</v>
      </c>
      <c r="O129" s="1432">
        <f>SUM('3 pr-2'!O130)</f>
        <v>0</v>
      </c>
      <c r="P129" s="1296">
        <f ca="1">SUMIF('sutarčių ataskaita'!$J$19:$J$2600,C129,'sutarčių ataskaita'!$DK$19:$DK$600)</f>
        <v>0</v>
      </c>
      <c r="Q129" s="1427">
        <f t="shared" ref="Q129:Q131" ca="1" si="244">SUM(O129-P129)</f>
        <v>0</v>
      </c>
      <c r="R129" s="1428">
        <f t="shared" ref="R129:R131" ca="1" si="245">IF(P129&gt;0,O129-P129,0)</f>
        <v>0</v>
      </c>
      <c r="S129" s="1432">
        <f>SUM('3 pr-2'!R130)</f>
        <v>1914</v>
      </c>
      <c r="T129" s="1296">
        <f ca="1">SUMIF('sutarčių ataskaita'!$J$19:$J$2600,C129,'sutarčių ataskaita'!$DG$19:$DG$600)</f>
        <v>0</v>
      </c>
      <c r="U129" s="1427">
        <f t="shared" ref="U129:U131" ca="1" si="246">SUM(S129-T129)</f>
        <v>1914</v>
      </c>
      <c r="V129" s="1428">
        <f t="shared" ref="V129:V131" ca="1" si="247">IF(T129&gt;0,S129-T129,0)</f>
        <v>0</v>
      </c>
      <c r="W129" s="1432">
        <f>SUM('3 pr-2'!U130)</f>
        <v>1914</v>
      </c>
      <c r="X129" s="1296">
        <f ca="1">SUMIF('sutarčių ataskaita'!$J$19:$J$2600,C129,'sutarčių ataskaita'!$DM$19:$DM$600)</f>
        <v>0</v>
      </c>
      <c r="Y129" s="1427">
        <f t="shared" ref="Y129:Y131" ca="1" si="248">SUM(W129-X129)</f>
        <v>1914</v>
      </c>
      <c r="Z129" s="1428">
        <f t="shared" ref="Z129:Z131" ca="1" si="249">IF(X129&gt;0,W129-X129,0)</f>
        <v>0</v>
      </c>
      <c r="AA129" s="1432">
        <f>SUM('3 pr-2'!X130)</f>
        <v>0</v>
      </c>
      <c r="AB129" s="1296">
        <f ca="1">SUMIF('sutarčių ataskaita'!$J$19:$J$2600,C129,'sutarčių ataskaita'!$DL$19:$DL$600)+SUMIF('sutarčių ataskaita'!$J$19:$J$2600,C129,'sutarčių ataskaita'!$DJ$19:$DJ$600)</f>
        <v>0</v>
      </c>
      <c r="AC129" s="1427">
        <f t="shared" ref="AC129:AC131" ca="1" si="250">SUM(AA129-AB129)</f>
        <v>0</v>
      </c>
      <c r="AD129" s="1428">
        <f t="shared" ref="AD129:AD131" ca="1" si="251">IF(AB129&gt;0,AA129-AB129,0)</f>
        <v>0</v>
      </c>
      <c r="AE129" s="1432">
        <f>SUM('3 pr-2'!AA130)</f>
        <v>21689</v>
      </c>
      <c r="AF129" s="1296">
        <f ca="1">SUMIF('sutarčių ataskaita'!$J$19:$J$2600,C129,'sutarčių ataskaita'!$DF$19:$DF$600)</f>
        <v>0</v>
      </c>
      <c r="AG129" s="1447">
        <f t="shared" ref="AG129:AG131" ca="1" si="252">SUM(AE129-AF129)</f>
        <v>21689</v>
      </c>
      <c r="AH129" s="1430">
        <f t="shared" ref="AH129:AH131" ca="1" si="253">IF(AF129&gt;0,AE129-AF129,0)</f>
        <v>0</v>
      </c>
      <c r="AI129" s="1296">
        <f>SUM('3 pr-2'!AB131)</f>
        <v>0</v>
      </c>
      <c r="AJ129" s="1296"/>
    </row>
    <row r="130" spans="1:36" ht="48.75" x14ac:dyDescent="0.25">
      <c r="A130" s="182" t="str">
        <f>CONCATENATE('3 pr-2'!A131)</f>
        <v>2.1.2.1.10</v>
      </c>
      <c r="B130" s="182" t="str">
        <f>CONCATENATE('3 pr-2'!B131)</f>
        <v>R01-6609-274710-2220</v>
      </c>
      <c r="C130" s="652" t="str">
        <f>IF('ketv. 4 '!X131&gt;0,'ketv. 4 '!C131,"-")</f>
        <v>-</v>
      </c>
      <c r="D130" s="446" t="str">
        <f>CONCATENATE('3 pr-2'!D131)</f>
        <v>Pirminės ambulatorinės asmens sveikatos priežiūros efektyvumo didinimas R.Ambrazaitienės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96">
        <f>SUM('3 pr-2'!L131)</f>
        <v>27906</v>
      </c>
      <c r="L130" s="1296">
        <f t="shared" ca="1" si="229"/>
        <v>0</v>
      </c>
      <c r="M130" s="1427">
        <f t="shared" ca="1" si="242"/>
        <v>27906</v>
      </c>
      <c r="N130" s="1428">
        <f t="shared" ca="1" si="243"/>
        <v>0</v>
      </c>
      <c r="O130" s="1432">
        <f>SUM('3 pr-2'!O131)</f>
        <v>0</v>
      </c>
      <c r="P130" s="1296">
        <f ca="1">SUMIF('sutarčių ataskaita'!$J$19:$J$2600,C130,'sutarčių ataskaita'!$DK$19:$DK$600)</f>
        <v>0</v>
      </c>
      <c r="Q130" s="1427">
        <f t="shared" ca="1" si="244"/>
        <v>0</v>
      </c>
      <c r="R130" s="1428">
        <f t="shared" ca="1" si="245"/>
        <v>0</v>
      </c>
      <c r="S130" s="1432">
        <f>SUM('3 pr-2'!R131)</f>
        <v>2093</v>
      </c>
      <c r="T130" s="1296">
        <f ca="1">SUMIF('sutarčių ataskaita'!$J$19:$J$2600,C130,'sutarčių ataskaita'!$DG$19:$DG$600)</f>
        <v>0</v>
      </c>
      <c r="U130" s="1427">
        <f t="shared" ca="1" si="246"/>
        <v>2093</v>
      </c>
      <c r="V130" s="1428">
        <f t="shared" ca="1" si="247"/>
        <v>0</v>
      </c>
      <c r="W130" s="1432">
        <f>SUM('3 pr-2'!U131)</f>
        <v>2093</v>
      </c>
      <c r="X130" s="1296">
        <f ca="1">SUMIF('sutarčių ataskaita'!$J$19:$J$2600,C130,'sutarčių ataskaita'!$DM$19:$DM$600)</f>
        <v>0</v>
      </c>
      <c r="Y130" s="1427">
        <f t="shared" ca="1" si="248"/>
        <v>2093</v>
      </c>
      <c r="Z130" s="1428">
        <f t="shared" ca="1" si="249"/>
        <v>0</v>
      </c>
      <c r="AA130" s="1432">
        <f>SUM('3 pr-2'!X131)</f>
        <v>0</v>
      </c>
      <c r="AB130" s="1296">
        <f ca="1">SUMIF('sutarčių ataskaita'!$J$19:$J$2600,C130,'sutarčių ataskaita'!$DL$19:$DL$600)+SUMIF('sutarčių ataskaita'!$J$19:$J$2600,C130,'sutarčių ataskaita'!$DJ$19:$DJ$600)</f>
        <v>0</v>
      </c>
      <c r="AC130" s="1427">
        <f t="shared" ca="1" si="250"/>
        <v>0</v>
      </c>
      <c r="AD130" s="1428">
        <f t="shared" ca="1" si="251"/>
        <v>0</v>
      </c>
      <c r="AE130" s="1432">
        <f>SUM('3 pr-2'!AA131)</f>
        <v>23720</v>
      </c>
      <c r="AF130" s="1296">
        <f ca="1">SUMIF('sutarčių ataskaita'!$J$19:$J$2600,C130,'sutarčių ataskaita'!$DF$19:$DF$600)</f>
        <v>0</v>
      </c>
      <c r="AG130" s="1447">
        <f t="shared" ca="1" si="252"/>
        <v>23720</v>
      </c>
      <c r="AH130" s="1430">
        <f t="shared" ca="1" si="253"/>
        <v>0</v>
      </c>
      <c r="AI130" s="1296">
        <f>SUM('3 pr-2'!AB132)</f>
        <v>0</v>
      </c>
      <c r="AJ130" s="1296"/>
    </row>
    <row r="131" spans="1:36" ht="36.75" x14ac:dyDescent="0.25">
      <c r="A131" s="182" t="str">
        <f>CONCATENATE('3 pr-2'!A132)</f>
        <v>2.1.2.1.11</v>
      </c>
      <c r="B131" s="182" t="str">
        <f>CONCATENATE('3 pr-2'!B132)</f>
        <v>R01-6609-274700-2221</v>
      </c>
      <c r="C131" s="652" t="str">
        <f>IF('ketv. 4 '!X132&gt;0,'ketv. 4 '!C132,"-")</f>
        <v>-</v>
      </c>
      <c r="D131" s="446" t="str">
        <f>CONCATENATE('3 pr-2'!D132)</f>
        <v xml:space="preserve">Pirminės asmens sveikatos priežiūros veiklos efektyvumo didinimas Lazdijų rajono savivaldybėje </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96">
        <f>SUM('3 pr-2'!L132)</f>
        <v>192719</v>
      </c>
      <c r="L131" s="1296">
        <f t="shared" ca="1" si="229"/>
        <v>0</v>
      </c>
      <c r="M131" s="1427">
        <f t="shared" ca="1" si="242"/>
        <v>192719</v>
      </c>
      <c r="N131" s="1428">
        <f t="shared" ca="1" si="243"/>
        <v>0</v>
      </c>
      <c r="O131" s="1432">
        <f>SUM('3 pr-2'!O132)</f>
        <v>2983</v>
      </c>
      <c r="P131" s="1296">
        <f ca="1">SUMIF('sutarčių ataskaita'!$J$19:$J$2600,C131,'sutarčių ataskaita'!$DK$19:$DK$600)</f>
        <v>0</v>
      </c>
      <c r="Q131" s="1427">
        <f t="shared" ca="1" si="244"/>
        <v>2983</v>
      </c>
      <c r="R131" s="1428">
        <f t="shared" ca="1" si="245"/>
        <v>0</v>
      </c>
      <c r="S131" s="1432">
        <f>SUM('3 pr-2'!R132)</f>
        <v>14454</v>
      </c>
      <c r="T131" s="1296">
        <f ca="1">SUMIF('sutarčių ataskaita'!$J$19:$J$2600,C131,'sutarčių ataskaita'!$DG$19:$DG$600)</f>
        <v>0</v>
      </c>
      <c r="U131" s="1427">
        <f t="shared" ca="1" si="246"/>
        <v>14454</v>
      </c>
      <c r="V131" s="1428">
        <f t="shared" ca="1" si="247"/>
        <v>0</v>
      </c>
      <c r="W131" s="1432">
        <f>SUM('3 pr-2'!U132)</f>
        <v>11471</v>
      </c>
      <c r="X131" s="1296">
        <f ca="1">SUMIF('sutarčių ataskaita'!$J$19:$J$2600,C131,'sutarčių ataskaita'!$DM$19:$DM$600)</f>
        <v>0</v>
      </c>
      <c r="Y131" s="1427">
        <f t="shared" ca="1" si="248"/>
        <v>11471</v>
      </c>
      <c r="Z131" s="1428">
        <f t="shared" ca="1" si="249"/>
        <v>0</v>
      </c>
      <c r="AA131" s="1432">
        <f>SUM('3 pr-2'!X132)</f>
        <v>0</v>
      </c>
      <c r="AB131" s="1296">
        <f ca="1">SUMIF('sutarčių ataskaita'!$J$19:$J$2600,C131,'sutarčių ataskaita'!$DL$19:$DL$600)+SUMIF('sutarčių ataskaita'!$J$19:$J$2600,C131,'sutarčių ataskaita'!$DJ$19:$DJ$600)</f>
        <v>0</v>
      </c>
      <c r="AC131" s="1427">
        <f t="shared" ca="1" si="250"/>
        <v>0</v>
      </c>
      <c r="AD131" s="1428">
        <f t="shared" ca="1" si="251"/>
        <v>0</v>
      </c>
      <c r="AE131" s="1432">
        <f>SUM('3 pr-2'!AA132)</f>
        <v>163811</v>
      </c>
      <c r="AF131" s="1296">
        <f ca="1">SUMIF('sutarčių ataskaita'!$J$19:$J$2600,C131,'sutarčių ataskaita'!$DF$19:$DF$600)</f>
        <v>0</v>
      </c>
      <c r="AG131" s="1447">
        <f t="shared" ca="1" si="252"/>
        <v>163811</v>
      </c>
      <c r="AH131" s="1430">
        <f t="shared" ca="1" si="253"/>
        <v>0</v>
      </c>
      <c r="AI131" s="1296">
        <f>SUM('3 pr-2'!AB133)</f>
        <v>0</v>
      </c>
      <c r="AJ131" s="1296"/>
    </row>
    <row r="132" spans="1:36" ht="36.75" x14ac:dyDescent="0.25">
      <c r="A132" s="182" t="str">
        <f>CONCATENATE('3 pr-2'!A133)</f>
        <v>2.1.2.1.12</v>
      </c>
      <c r="B132" s="182" t="str">
        <f>CONCATENATE('3 pr-2'!B133)</f>
        <v>R01-6609-274710-2222</v>
      </c>
      <c r="C132" s="652" t="str">
        <f>IF('ketv. 4 '!X133&gt;0,'ketv. 4 '!C133,"-")</f>
        <v>-</v>
      </c>
      <c r="D132" s="446"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96">
        <f>SUM('3 pr-2'!L133)</f>
        <v>192678</v>
      </c>
      <c r="L132" s="1296">
        <f t="shared" ca="1" si="229"/>
        <v>0</v>
      </c>
      <c r="M132" s="1427">
        <f t="shared" ref="M132" ca="1" si="254">SUM(K132-L132)</f>
        <v>192678</v>
      </c>
      <c r="N132" s="1428">
        <f t="shared" ref="N132" ca="1" si="255">IF(L132&gt;0,K132-L132,0)</f>
        <v>0</v>
      </c>
      <c r="O132" s="1432">
        <f>SUM('3 pr-2'!O133)</f>
        <v>14451</v>
      </c>
      <c r="P132" s="1296">
        <f ca="1">SUMIF('sutarčių ataskaita'!$J$19:$J$2600,C132,'sutarčių ataskaita'!$DK$19:$DK$600)</f>
        <v>0</v>
      </c>
      <c r="Q132" s="1427">
        <f t="shared" ref="Q132" ca="1" si="256">SUM(O132-P132)</f>
        <v>14451</v>
      </c>
      <c r="R132" s="1428">
        <f t="shared" ref="R132" ca="1" si="257">IF(P132&gt;0,O132-P132,0)</f>
        <v>0</v>
      </c>
      <c r="S132" s="1432">
        <f>SUM('3 pr-2'!R133)</f>
        <v>14451</v>
      </c>
      <c r="T132" s="1296">
        <f ca="1">SUMIF('sutarčių ataskaita'!$J$19:$J$2600,C132,'sutarčių ataskaita'!$DG$19:$DG$600)</f>
        <v>0</v>
      </c>
      <c r="U132" s="1427">
        <f t="shared" ref="U132" ca="1" si="258">SUM(S132-T132)</f>
        <v>14451</v>
      </c>
      <c r="V132" s="1428">
        <f t="shared" ref="V132" ca="1" si="259">IF(T132&gt;0,S132-T132,0)</f>
        <v>0</v>
      </c>
      <c r="W132" s="1432">
        <f>SUM('3 pr-2'!U133)</f>
        <v>0</v>
      </c>
      <c r="X132" s="1296">
        <f ca="1">SUMIF('sutarčių ataskaita'!$J$19:$J$2600,C132,'sutarčių ataskaita'!$DM$19:$DM$600)</f>
        <v>0</v>
      </c>
      <c r="Y132" s="1427">
        <f t="shared" ref="Y132" ca="1" si="260">SUM(W132-X132)</f>
        <v>0</v>
      </c>
      <c r="Z132" s="1428">
        <f t="shared" ref="Z132" ca="1" si="261">IF(X132&gt;0,W132-X132,0)</f>
        <v>0</v>
      </c>
      <c r="AA132" s="1432">
        <f>SUM('3 pr-2'!X133)</f>
        <v>0</v>
      </c>
      <c r="AB132" s="1296">
        <f ca="1">SUMIF('sutarčių ataskaita'!$J$19:$J$2600,C132,'sutarčių ataskaita'!$DL$19:$DL$600)+SUMIF('sutarčių ataskaita'!$J$19:$J$2600,C132,'sutarčių ataskaita'!$DJ$19:$DJ$600)</f>
        <v>0</v>
      </c>
      <c r="AC132" s="1427">
        <f t="shared" ref="AC132" ca="1" si="262">SUM(AA132-AB132)</f>
        <v>0</v>
      </c>
      <c r="AD132" s="1428">
        <f t="shared" ref="AD132" ca="1" si="263">IF(AB132&gt;0,AA132-AB132,0)</f>
        <v>0</v>
      </c>
      <c r="AE132" s="1432">
        <f>SUM('3 pr-2'!AA133)</f>
        <v>163776</v>
      </c>
      <c r="AF132" s="1296">
        <f ca="1">SUMIF('sutarčių ataskaita'!$J$19:$J$2600,C132,'sutarčių ataskaita'!$DF$19:$DF$600)</f>
        <v>0</v>
      </c>
      <c r="AG132" s="1447">
        <f t="shared" ref="AG132" ca="1" si="264">SUM(AE132-AF132)</f>
        <v>163776</v>
      </c>
      <c r="AH132" s="1430">
        <f t="shared" ref="AH132" ca="1" si="265">IF(AF132&gt;0,AE132-AF132,0)</f>
        <v>0</v>
      </c>
      <c r="AI132" s="1296">
        <f>SUM('3 pr-2'!AB134)</f>
        <v>0</v>
      </c>
      <c r="AJ132" s="1296"/>
    </row>
    <row r="133" spans="1:36" ht="37.5" thickBot="1" x14ac:dyDescent="0.3">
      <c r="A133" s="182" t="str">
        <f>CONCATENATE('3 pr-2'!A134)</f>
        <v>2.1.2.1.13</v>
      </c>
      <c r="B133" s="182" t="str">
        <f>CONCATENATE('3 pr-2'!B134)</f>
        <v>R01-6609-470000-2223</v>
      </c>
      <c r="C133" s="652" t="str">
        <f>IF('ketv. 4 '!X134&gt;0,'ketv. 4 '!C134,"-")</f>
        <v>-</v>
      </c>
      <c r="D133" s="446"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96">
        <f>SUM('3 pr-2'!L134)</f>
        <v>8305</v>
      </c>
      <c r="L133" s="1296">
        <f t="shared" ca="1" si="229"/>
        <v>0</v>
      </c>
      <c r="M133" s="1427">
        <f t="shared" ref="M133" ca="1" si="266">SUM(K133-L133)</f>
        <v>8305</v>
      </c>
      <c r="N133" s="1428">
        <f t="shared" ref="N133" ca="1" si="267">IF(L133&gt;0,K133-L133,0)</f>
        <v>0</v>
      </c>
      <c r="O133" s="1432">
        <f>SUM('3 pr-2'!O134)</f>
        <v>0</v>
      </c>
      <c r="P133" s="1296">
        <f ca="1">SUMIF('sutarčių ataskaita'!$J$19:$J$2600,C133,'sutarčių ataskaita'!$DK$19:$DK$600)</f>
        <v>0</v>
      </c>
      <c r="Q133" s="1427">
        <f t="shared" ref="Q133" ca="1" si="268">SUM(O133-P133)</f>
        <v>0</v>
      </c>
      <c r="R133" s="1428">
        <f t="shared" ref="R133" ca="1" si="269">IF(P133&gt;0,O133-P133,0)</f>
        <v>0</v>
      </c>
      <c r="S133" s="1432">
        <f>SUM('3 pr-2'!R134)</f>
        <v>623</v>
      </c>
      <c r="T133" s="1296">
        <f ca="1">SUMIF('sutarčių ataskaita'!$J$19:$J$2600,C133,'sutarčių ataskaita'!$DG$19:$DG$600)</f>
        <v>0</v>
      </c>
      <c r="U133" s="1427">
        <f t="shared" ref="U133" ca="1" si="270">SUM(S133-T133)</f>
        <v>623</v>
      </c>
      <c r="V133" s="1428">
        <f t="shared" ref="V133" ca="1" si="271">IF(T133&gt;0,S133-T133,0)</f>
        <v>0</v>
      </c>
      <c r="W133" s="1432">
        <f>SUM('3 pr-2'!U134)</f>
        <v>623</v>
      </c>
      <c r="X133" s="1296">
        <f ca="1">SUMIF('sutarčių ataskaita'!$J$19:$J$2600,C133,'sutarčių ataskaita'!$DM$19:$DM$600)</f>
        <v>0</v>
      </c>
      <c r="Y133" s="1427">
        <f t="shared" ref="Y133" ca="1" si="272">SUM(W133-X133)</f>
        <v>623</v>
      </c>
      <c r="Z133" s="1428">
        <f t="shared" ref="Z133" ca="1" si="273">IF(X133&gt;0,W133-X133,0)</f>
        <v>0</v>
      </c>
      <c r="AA133" s="1432">
        <f>SUM('3 pr-2'!X134)</f>
        <v>0</v>
      </c>
      <c r="AB133" s="1296">
        <f ca="1">SUMIF('sutarčių ataskaita'!$J$19:$J$2600,C133,'sutarčių ataskaita'!$DL$19:$DL$600)+SUMIF('sutarčių ataskaita'!$J$19:$J$2600,C133,'sutarčių ataskaita'!$DJ$19:$DJ$600)</f>
        <v>0</v>
      </c>
      <c r="AC133" s="1427">
        <f t="shared" ref="AC133" ca="1" si="274">SUM(AA133-AB133)</f>
        <v>0</v>
      </c>
      <c r="AD133" s="1428">
        <f t="shared" ref="AD133" ca="1" si="275">IF(AB133&gt;0,AA133-AB133,0)</f>
        <v>0</v>
      </c>
      <c r="AE133" s="1432">
        <f>SUM('3 pr-2'!AA134)</f>
        <v>7059</v>
      </c>
      <c r="AF133" s="1296">
        <f ca="1">SUMIF('sutarčių ataskaita'!$J$19:$J$2600,C133,'sutarčių ataskaita'!$DF$19:$DF$600)</f>
        <v>0</v>
      </c>
      <c r="AG133" s="1447">
        <f t="shared" ref="AG133" ca="1" si="276">SUM(AE133-AF133)</f>
        <v>7059</v>
      </c>
      <c r="AH133" s="1430">
        <f t="shared" ref="AH133" ca="1" si="277">IF(AF133&gt;0,AE133-AF133,0)</f>
        <v>0</v>
      </c>
      <c r="AI133" s="1296">
        <f>SUM('3 pr-2'!AB135)</f>
        <v>0</v>
      </c>
      <c r="AJ133" s="1296"/>
    </row>
    <row r="134" spans="1:36" s="25" customFormat="1" ht="35.25" customHeight="1" thickBot="1" x14ac:dyDescent="0.3">
      <c r="A134" s="326" t="str">
        <f>CONCATENATE('3 pr-2'!A137)</f>
        <v>2.1.2.2.2</v>
      </c>
      <c r="B134" s="2025" t="str">
        <f>CONCATENATE('3 pr-2'!B135)</f>
        <v>Priemonė:
Sveikos gyvensenos skatinimas regioniniu lygiu</v>
      </c>
      <c r="C134" s="2026"/>
      <c r="D134" s="2026"/>
      <c r="E134" s="2026"/>
      <c r="F134" s="2026"/>
      <c r="G134" s="2026"/>
      <c r="H134" s="2026"/>
      <c r="I134" s="2026"/>
      <c r="J134" s="2027"/>
      <c r="K134" s="1455">
        <f>SUM('3 pr-2'!L135)</f>
        <v>994984.5399999998</v>
      </c>
      <c r="L134" s="1455">
        <f ca="1">SUM(L135:L139)</f>
        <v>994984.5399999998</v>
      </c>
      <c r="M134" s="1456">
        <f ca="1">SUM(M135:M139)</f>
        <v>0</v>
      </c>
      <c r="N134" s="1457">
        <f ca="1">SUM(N135:N139)</f>
        <v>0</v>
      </c>
      <c r="O134" s="1455">
        <f>SUM('3 pr-2'!O135)</f>
        <v>74624.070000000007</v>
      </c>
      <c r="P134" s="1455">
        <f ca="1">SUM(P135:P139)</f>
        <v>74624.070000000007</v>
      </c>
      <c r="Q134" s="1455">
        <f ca="1">SUM(Q135:Q139)</f>
        <v>0</v>
      </c>
      <c r="R134" s="1455">
        <f ca="1">SUM(R135:R139)</f>
        <v>0</v>
      </c>
      <c r="S134" s="1455">
        <f>SUM('3 pr-2'!R135)</f>
        <v>74623.62</v>
      </c>
      <c r="T134" s="1455">
        <f ca="1">SUM(T135:T139)</f>
        <v>74623.62</v>
      </c>
      <c r="U134" s="1455">
        <f ca="1">SUM(U135:U139)</f>
        <v>0</v>
      </c>
      <c r="V134" s="1455">
        <f ca="1">SUM(V135:V139)</f>
        <v>0</v>
      </c>
      <c r="W134" s="1455">
        <f>SUM('3 pr-2'!U135)</f>
        <v>0</v>
      </c>
      <c r="X134" s="1455">
        <f ca="1">SUM(X135:X139)</f>
        <v>0</v>
      </c>
      <c r="Y134" s="1455">
        <f ca="1">SUM(Y135:Y139)</f>
        <v>0</v>
      </c>
      <c r="Z134" s="1455">
        <f ca="1">SUM(Z135:Z139)</f>
        <v>0</v>
      </c>
      <c r="AA134" s="1455">
        <f>SUM('3 pr-2'!X135)</f>
        <v>0</v>
      </c>
      <c r="AB134" s="1455">
        <f ca="1">SUM(AB135:AB139)</f>
        <v>0</v>
      </c>
      <c r="AC134" s="1455">
        <f ca="1">SUM(AC135:AC139)</f>
        <v>0</v>
      </c>
      <c r="AD134" s="1455">
        <f ca="1">SUM(AD135:AD139)</f>
        <v>0</v>
      </c>
      <c r="AE134" s="1455">
        <f>SUM('3 pr-2'!AA135)</f>
        <v>845736.85</v>
      </c>
      <c r="AF134" s="1455">
        <f ca="1">SUM(AF135:AF139)</f>
        <v>845736.85</v>
      </c>
      <c r="AG134" s="1458">
        <f ca="1">SUM(AG135:AG139)</f>
        <v>0</v>
      </c>
      <c r="AH134" s="1459">
        <f ca="1">SUM(AH135:AH139)</f>
        <v>0</v>
      </c>
      <c r="AI134" s="1455">
        <f t="shared" ref="AI134:AJ134" si="278">SUM(AI135:AI139)</f>
        <v>0</v>
      </c>
      <c r="AJ134" s="1455">
        <f t="shared" si="278"/>
        <v>0</v>
      </c>
    </row>
    <row r="135" spans="1:36" s="25" customFormat="1" ht="48.75" x14ac:dyDescent="0.25">
      <c r="A135" s="644" t="str">
        <f>CONCATENATE('3 pr-2'!A136)</f>
        <v>2.1.2.2.1</v>
      </c>
      <c r="B135" s="182" t="str">
        <f>CONCATENATE('3 pr-2'!B136)</f>
        <v>R01-6630-475000-2221</v>
      </c>
      <c r="C135" s="652" t="str">
        <f>IF('ketv. 4 '!X136&gt;0,'ketv. 4 '!C136,"-")</f>
        <v>08.4.2-ESFA-R-630-11-0004</v>
      </c>
      <c r="D135" s="655" t="str">
        <f>CONCATENATE('3 pr-2'!D136)</f>
        <v>Sveikos gyvensenos skatinimas Alytaus rajone</v>
      </c>
      <c r="E135" s="644" t="str">
        <f>CONCATENATE('3 pr-2'!E136)</f>
        <v>Alytaus rajono savivaldybės visuomenės sveikatos biuras</v>
      </c>
      <c r="F135" s="644" t="str">
        <f>CONCATENATE('3 pr-2'!F136)</f>
        <v>Lietuvos Respublikos Sveikatos apsaugos ministerija</v>
      </c>
      <c r="G135" s="644" t="str">
        <f>CONCATENATE('3 pr-2'!G136)</f>
        <v>Alytaus r. sav.</v>
      </c>
      <c r="H135" s="648" t="str">
        <f>CONCATENATE('3 pr-2'!H136)</f>
        <v>08.4.2-ESFA-R-630</v>
      </c>
      <c r="I135" s="651" t="str">
        <f>CONCATENATE('3 pr-2'!I136)</f>
        <v>R</v>
      </c>
      <c r="J135" s="651" t="str">
        <f>CONCATENATE('3 pr-2'!J136)</f>
        <v>-</v>
      </c>
      <c r="K135" s="1460">
        <f>SUM('3 pr-2'!L136)</f>
        <v>198997.18</v>
      </c>
      <c r="L135" s="1431">
        <f t="shared" ref="L135:L139" ca="1" si="279">SUM(P135+T135+X135+AB135+AF135+AJ135)</f>
        <v>198997.18</v>
      </c>
      <c r="M135" s="1461">
        <f t="shared" ref="M135:M139" ca="1" si="280">SUM(K135-L135)</f>
        <v>0</v>
      </c>
      <c r="N135" s="1462">
        <f t="shared" ref="N135:N139" ca="1" si="281">IF(L135&gt;0,K135-L135,0)</f>
        <v>0</v>
      </c>
      <c r="O135" s="1463">
        <f>SUM('3 pr-2'!O136)</f>
        <v>14924.79</v>
      </c>
      <c r="P135" s="1431">
        <f ca="1">SUMIF('sutarčių ataskaita'!$J$19:$J$2600,C135,'sutarčių ataskaita'!$DK$19:$DK$600)</f>
        <v>14924.79</v>
      </c>
      <c r="Q135" s="1461">
        <f t="shared" ref="Q135:Q139" ca="1" si="282">SUM(O135-P135)</f>
        <v>0</v>
      </c>
      <c r="R135" s="1462">
        <f t="shared" ref="R135:R139" ca="1" si="283">IF(P135&gt;0,O135-P135,0)</f>
        <v>0</v>
      </c>
      <c r="S135" s="1463">
        <f>SUM('3 pr-2'!R136)</f>
        <v>14924.79</v>
      </c>
      <c r="T135" s="1431">
        <f ca="1">SUMIF('sutarčių ataskaita'!$J$19:$J$2600,C135,'sutarčių ataskaita'!$DG$19:$DG$600)</f>
        <v>14924.79</v>
      </c>
      <c r="U135" s="1461">
        <f t="shared" ref="U135:U139" ca="1" si="284">SUM(S135-T135)</f>
        <v>0</v>
      </c>
      <c r="V135" s="1462">
        <f t="shared" ref="V135:V139" ca="1" si="285">IF(T135&gt;0,S135-T135,0)</f>
        <v>0</v>
      </c>
      <c r="W135" s="1463">
        <f>SUM('3 pr-2'!U136)</f>
        <v>0</v>
      </c>
      <c r="X135" s="1460">
        <f ca="1">SUMIF('sutarčių ataskaita'!$J$19:$J$2600,C135,'sutarčių ataskaita'!$DM$19:$DM$600)</f>
        <v>0</v>
      </c>
      <c r="Y135" s="1461">
        <f t="shared" ref="Y135:Y139" ca="1" si="286">SUM(W135-X135)</f>
        <v>0</v>
      </c>
      <c r="Z135" s="1462">
        <f t="shared" ref="Z135:Z139" ca="1" si="287">IF(X135&gt;0,W135-X135,0)</f>
        <v>0</v>
      </c>
      <c r="AA135" s="1463">
        <f>SUM('3 pr-2'!X136)</f>
        <v>0</v>
      </c>
      <c r="AB135" s="1460">
        <f ca="1">SUMIF('sutarčių ataskaita'!$J$19:$J$2600,C135,'sutarčių ataskaita'!$DL$19:$DL$600)+SUMIF('sutarčių ataskaita'!$J$19:$J$2600,C135,'sutarčių ataskaita'!$DJ$19:$DJ$600)</f>
        <v>0</v>
      </c>
      <c r="AC135" s="1461">
        <f t="shared" ref="AC135:AC139" ca="1" si="288">SUM(AA135-AB135)</f>
        <v>0</v>
      </c>
      <c r="AD135" s="1462">
        <f t="shared" ref="AD135:AD139" ca="1" si="289">IF(AB135&gt;0,AA135-AB135,0)</f>
        <v>0</v>
      </c>
      <c r="AE135" s="1463">
        <f>SUM('3 pr-2'!AA136)</f>
        <v>169147.6</v>
      </c>
      <c r="AF135" s="1432">
        <f ca="1">SUMIF('sutarčių ataskaita'!$J$19:$J$2600,C135,'sutarčių ataskaita'!$DF$19:$DF$600)</f>
        <v>169147.6</v>
      </c>
      <c r="AG135" s="1464">
        <f t="shared" ref="AG135:AG139" ca="1" si="290">SUM(AE135-AF135)</f>
        <v>0</v>
      </c>
      <c r="AH135" s="1465">
        <f t="shared" ref="AH135:AH139" ca="1" si="291">IF(AF135&gt;0,AE135-AF135,0)</f>
        <v>0</v>
      </c>
      <c r="AI135" s="1296">
        <f>SUM('3 pr-2'!AB137)</f>
        <v>0</v>
      </c>
      <c r="AJ135" s="1426">
        <v>0</v>
      </c>
    </row>
    <row r="136" spans="1:36" s="25" customFormat="1" ht="36.75" x14ac:dyDescent="0.25">
      <c r="A136" s="644" t="str">
        <f>CONCATENATE('3 pr-2'!A137)</f>
        <v>2.1.2.2.2</v>
      </c>
      <c r="B136" s="182" t="str">
        <f>CONCATENATE('3 pr-2'!B137)</f>
        <v>R01-6630-470000-2222</v>
      </c>
      <c r="C136" s="652" t="str">
        <f>IF('ketv. 4 '!X137&gt;0,'ketv. 4 '!C137,"-")</f>
        <v>08.4.2-ESFA-R-630-11-0001</v>
      </c>
      <c r="D136" s="655" t="str">
        <f>CONCATENATE('3 pr-2'!D137)</f>
        <v>Mažais žingsneliais – sveikos gyvensenos link</v>
      </c>
      <c r="E136" s="644" t="str">
        <f>CONCATENATE('3 pr-2'!E137)</f>
        <v>Alytaus miesto savivaldybės administracija</v>
      </c>
      <c r="F136" s="644" t="str">
        <f>CONCATENATE('3 pr-2'!F137)</f>
        <v>Lietuvos Respublikos Sveikatos apsaugos ministerija</v>
      </c>
      <c r="G136" s="644" t="str">
        <f>CONCATENATE('3 pr-2'!G137)</f>
        <v>Alytaus m. sav.</v>
      </c>
      <c r="H136" s="648" t="str">
        <f>CONCATENATE('3 pr-2'!H137)</f>
        <v>08.4.2-ESFA-R-630</v>
      </c>
      <c r="I136" s="651" t="str">
        <f>CONCATENATE('3 pr-2'!I137)</f>
        <v>R</v>
      </c>
      <c r="J136" s="651" t="str">
        <f>CONCATENATE('3 pr-2'!J137)</f>
        <v>-</v>
      </c>
      <c r="K136" s="1460">
        <f>SUM('3 pr-2'!L137)</f>
        <v>198996</v>
      </c>
      <c r="L136" s="1431">
        <f t="shared" ca="1" si="279"/>
        <v>198996</v>
      </c>
      <c r="M136" s="1461">
        <f t="shared" ca="1" si="280"/>
        <v>0</v>
      </c>
      <c r="N136" s="1462">
        <f t="shared" ca="1" si="281"/>
        <v>0</v>
      </c>
      <c r="O136" s="1463">
        <f>SUM('3 pr-2'!O137)</f>
        <v>14924.7</v>
      </c>
      <c r="P136" s="1431">
        <f ca="1">SUMIF('sutarčių ataskaita'!$J$19:$J$2600,C136,'sutarčių ataskaita'!$DK$19:$DK$600)</f>
        <v>14924.7</v>
      </c>
      <c r="Q136" s="1461">
        <f t="shared" ca="1" si="282"/>
        <v>0</v>
      </c>
      <c r="R136" s="1462">
        <f t="shared" ca="1" si="283"/>
        <v>0</v>
      </c>
      <c r="S136" s="1463">
        <f>SUM('3 pr-2'!R137)</f>
        <v>14924.7</v>
      </c>
      <c r="T136" s="1431">
        <f ca="1">SUMIF('sutarčių ataskaita'!$J$19:$J$2600,C136,'sutarčių ataskaita'!$DG$19:$DG$600)</f>
        <v>14924.7</v>
      </c>
      <c r="U136" s="1461">
        <f t="shared" ca="1" si="284"/>
        <v>0</v>
      </c>
      <c r="V136" s="1462">
        <f t="shared" ca="1" si="285"/>
        <v>0</v>
      </c>
      <c r="W136" s="1463">
        <f>SUM('3 pr-2'!U137)</f>
        <v>0</v>
      </c>
      <c r="X136" s="1460">
        <f ca="1">SUMIF('sutarčių ataskaita'!$J$19:$J$2600,C136,'sutarčių ataskaita'!$DM$19:$DM$600)</f>
        <v>0</v>
      </c>
      <c r="Y136" s="1461">
        <f t="shared" ca="1" si="286"/>
        <v>0</v>
      </c>
      <c r="Z136" s="1462">
        <f t="shared" ca="1" si="287"/>
        <v>0</v>
      </c>
      <c r="AA136" s="1463">
        <f>SUM('3 pr-2'!X137)</f>
        <v>0</v>
      </c>
      <c r="AB136" s="1460">
        <f ca="1">SUMIF('sutarčių ataskaita'!$J$19:$J$2600,C136,'sutarčių ataskaita'!$DL$19:$DL$600)+SUMIF('sutarčių ataskaita'!$J$19:$J$2600,C136,'sutarčių ataskaita'!$DJ$19:$DJ$600)</f>
        <v>0</v>
      </c>
      <c r="AC136" s="1461">
        <f t="shared" ca="1" si="288"/>
        <v>0</v>
      </c>
      <c r="AD136" s="1462">
        <f t="shared" ca="1" si="289"/>
        <v>0</v>
      </c>
      <c r="AE136" s="1463">
        <f>SUM('3 pr-2'!AA137)</f>
        <v>169146.6</v>
      </c>
      <c r="AF136" s="1432">
        <f ca="1">SUMIF('sutarčių ataskaita'!$J$19:$J$2600,C136,'sutarčių ataskaita'!$DF$19:$DF$600)</f>
        <v>169146.6</v>
      </c>
      <c r="AG136" s="1466">
        <f t="shared" ca="1" si="290"/>
        <v>0</v>
      </c>
      <c r="AH136" s="1465">
        <f t="shared" ca="1" si="291"/>
        <v>0</v>
      </c>
      <c r="AI136" s="1296">
        <f>SUM('3 pr-2'!AB138)</f>
        <v>0</v>
      </c>
      <c r="AJ136" s="1426">
        <v>0</v>
      </c>
    </row>
    <row r="137" spans="1:36" s="25" customFormat="1" ht="48.75" x14ac:dyDescent="0.25">
      <c r="A137" s="644" t="str">
        <f>CONCATENATE('3 pr-2'!A138)</f>
        <v>2.1.2.2.3</v>
      </c>
      <c r="B137" s="182" t="str">
        <f>CONCATENATE('3 pr-2'!B138)</f>
        <v>R01-6630-470000-2223</v>
      </c>
      <c r="C137" s="652" t="str">
        <f>IF('ketv. 4 '!X138&gt;0,'ketv. 4 '!C138,"-")</f>
        <v>08.4.2-ESFA-R-630-11-0005</v>
      </c>
      <c r="D137" s="655" t="str">
        <f>CONCATENATE('3 pr-2'!D138)</f>
        <v>Sveikos gyvensenos skatinimas Varėnos rajono savivaldybėje</v>
      </c>
      <c r="E137" s="644" t="str">
        <f>CONCATENATE('3 pr-2'!E138)</f>
        <v>Varėnos rajono savivaldybės visuomenės sveikatos biuras</v>
      </c>
      <c r="F137" s="644" t="str">
        <f>CONCATENATE('3 pr-2'!F138)</f>
        <v>Lietuvos Respublikos Sveikatos apsaugos ministerija</v>
      </c>
      <c r="G137" s="644" t="str">
        <f>CONCATENATE('3 pr-2'!G138)</f>
        <v>Varėnos r. sav.</v>
      </c>
      <c r="H137" s="648" t="str">
        <f>CONCATENATE('3 pr-2'!H138)</f>
        <v>08.4.2-ESFA-R-630</v>
      </c>
      <c r="I137" s="651" t="str">
        <f>CONCATENATE('3 pr-2'!I138)</f>
        <v>R</v>
      </c>
      <c r="J137" s="651" t="str">
        <f>CONCATENATE('3 pr-2'!J138)</f>
        <v>-</v>
      </c>
      <c r="K137" s="1460">
        <f>SUM('3 pr-2'!L138)</f>
        <v>198997</v>
      </c>
      <c r="L137" s="1431">
        <f t="shared" ca="1" si="279"/>
        <v>198997</v>
      </c>
      <c r="M137" s="1461">
        <f t="shared" ca="1" si="280"/>
        <v>0</v>
      </c>
      <c r="N137" s="1462">
        <f t="shared" ca="1" si="281"/>
        <v>0</v>
      </c>
      <c r="O137" s="1463">
        <f>SUM('3 pr-2'!O138)</f>
        <v>14925</v>
      </c>
      <c r="P137" s="1431">
        <f ca="1">SUMIF('sutarčių ataskaita'!$J$19:$J$2600,C137,'sutarčių ataskaita'!$DK$19:$DK$600)</f>
        <v>14925</v>
      </c>
      <c r="Q137" s="1461">
        <f t="shared" ca="1" si="282"/>
        <v>0</v>
      </c>
      <c r="R137" s="1462">
        <f t="shared" ca="1" si="283"/>
        <v>0</v>
      </c>
      <c r="S137" s="1463">
        <f>SUM('3 pr-2'!R138)</f>
        <v>14924.55</v>
      </c>
      <c r="T137" s="1431">
        <f ca="1">SUMIF('sutarčių ataskaita'!$J$19:$J$2600,C137,'sutarčių ataskaita'!$DG$19:$DG$600)</f>
        <v>14924.55</v>
      </c>
      <c r="U137" s="1461">
        <f t="shared" ca="1" si="284"/>
        <v>0</v>
      </c>
      <c r="V137" s="1462">
        <f t="shared" ca="1" si="285"/>
        <v>0</v>
      </c>
      <c r="W137" s="1463">
        <f>SUM('3 pr-2'!U138)</f>
        <v>0</v>
      </c>
      <c r="X137" s="1460">
        <f ca="1">SUMIF('sutarčių ataskaita'!$J$19:$J$2600,C137,'sutarčių ataskaita'!$DM$19:$DM$600)</f>
        <v>0</v>
      </c>
      <c r="Y137" s="1461">
        <f t="shared" ca="1" si="286"/>
        <v>0</v>
      </c>
      <c r="Z137" s="1462">
        <f t="shared" ca="1" si="287"/>
        <v>0</v>
      </c>
      <c r="AA137" s="1463">
        <f>SUM('3 pr-2'!X138)</f>
        <v>0</v>
      </c>
      <c r="AB137" s="1460">
        <f ca="1">SUMIF('sutarčių ataskaita'!$J$19:$J$2600,C137,'sutarčių ataskaita'!$DL$19:$DL$600)+SUMIF('sutarčių ataskaita'!$J$19:$J$2600,C137,'sutarčių ataskaita'!$DJ$19:$DJ$600)</f>
        <v>0</v>
      </c>
      <c r="AC137" s="1461">
        <f t="shared" ca="1" si="288"/>
        <v>0</v>
      </c>
      <c r="AD137" s="1462">
        <f t="shared" ca="1" si="289"/>
        <v>0</v>
      </c>
      <c r="AE137" s="1463">
        <f>SUM('3 pr-2'!AA138)</f>
        <v>169147.45</v>
      </c>
      <c r="AF137" s="1432">
        <f ca="1">SUMIF('sutarčių ataskaita'!$J$19:$J$2600,C137,'sutarčių ataskaita'!$DF$19:$DF$600)</f>
        <v>169147.45</v>
      </c>
      <c r="AG137" s="1466">
        <f t="shared" ca="1" si="290"/>
        <v>0</v>
      </c>
      <c r="AH137" s="1465">
        <f t="shared" ca="1" si="291"/>
        <v>0</v>
      </c>
      <c r="AI137" s="1296">
        <f>SUM('3 pr-2'!AB139)</f>
        <v>0</v>
      </c>
      <c r="AJ137" s="1426">
        <v>0</v>
      </c>
    </row>
    <row r="138" spans="1:36" s="25" customFormat="1" ht="48.75" x14ac:dyDescent="0.25">
      <c r="A138" s="644" t="str">
        <f>CONCATENATE('3 pr-2'!A139)</f>
        <v>2.1.2.2.4.</v>
      </c>
      <c r="B138" s="182" t="str">
        <f>CONCATENATE('3 pr-2'!B139)</f>
        <v>R01-6630-470000-2224</v>
      </c>
      <c r="C138" s="652" t="str">
        <f>IF('ketv. 4 '!X139&gt;0,'ketv. 4 '!C139,"-")</f>
        <v>08.4.2-ESFA-R-630-11-0003</v>
      </c>
      <c r="D138" s="655" t="str">
        <f>CONCATENATE('3 pr-2'!D139)</f>
        <v>Sveika bendruomenė – stipri visuomenė</v>
      </c>
      <c r="E138" s="644" t="str">
        <f>CONCATENATE('3 pr-2'!E139)</f>
        <v>Druskininkų savivaldybės visuomenės sveikatos biuras</v>
      </c>
      <c r="F138" s="644" t="str">
        <f>CONCATENATE('3 pr-2'!F139)</f>
        <v>Lietuvos Respublikos Sveikatos apsaugos ministerija</v>
      </c>
      <c r="G138" s="644" t="str">
        <f>CONCATENATE('3 pr-2'!G139)</f>
        <v>Druskininkų sav.</v>
      </c>
      <c r="H138" s="648" t="str">
        <f>CONCATENATE('3 pr-2'!H139)</f>
        <v>08.4.2-ESFA-R-630</v>
      </c>
      <c r="I138" s="651" t="str">
        <f>CONCATENATE('3 pr-2'!I139)</f>
        <v>R</v>
      </c>
      <c r="J138" s="651" t="str">
        <f>CONCATENATE('3 pr-2'!J139)</f>
        <v>-</v>
      </c>
      <c r="K138" s="1460">
        <f>SUM('3 pr-2'!L139)</f>
        <v>198997.18</v>
      </c>
      <c r="L138" s="1431">
        <f t="shared" ca="1" si="279"/>
        <v>198997.18</v>
      </c>
      <c r="M138" s="1461">
        <f t="shared" ca="1" si="280"/>
        <v>0</v>
      </c>
      <c r="N138" s="1462">
        <f t="shared" ca="1" si="281"/>
        <v>0</v>
      </c>
      <c r="O138" s="1463">
        <f>SUM('3 pr-2'!O139)</f>
        <v>14924.79</v>
      </c>
      <c r="P138" s="1431">
        <f ca="1">SUMIF('sutarčių ataskaita'!$J$19:$J$2600,C138,'sutarčių ataskaita'!$DK$19:$DK$600)</f>
        <v>14924.79</v>
      </c>
      <c r="Q138" s="1461">
        <f t="shared" ca="1" si="282"/>
        <v>0</v>
      </c>
      <c r="R138" s="1462">
        <f t="shared" ca="1" si="283"/>
        <v>0</v>
      </c>
      <c r="S138" s="1463">
        <f>SUM('3 pr-2'!R139)</f>
        <v>14924.79</v>
      </c>
      <c r="T138" s="1431">
        <f ca="1">SUMIF('sutarčių ataskaita'!$J$19:$J$2600,C138,'sutarčių ataskaita'!$DG$19:$DG$600)</f>
        <v>14924.79</v>
      </c>
      <c r="U138" s="1461">
        <f t="shared" ca="1" si="284"/>
        <v>0</v>
      </c>
      <c r="V138" s="1462">
        <f t="shared" ca="1" si="285"/>
        <v>0</v>
      </c>
      <c r="W138" s="1463">
        <f>SUM('3 pr-2'!U139)</f>
        <v>0</v>
      </c>
      <c r="X138" s="1460">
        <f ca="1">SUMIF('sutarčių ataskaita'!$J$19:$J$2600,C138,'sutarčių ataskaita'!$DM$19:$DM$600)</f>
        <v>0</v>
      </c>
      <c r="Y138" s="1461">
        <f t="shared" ca="1" si="286"/>
        <v>0</v>
      </c>
      <c r="Z138" s="1462">
        <f t="shared" ca="1" si="287"/>
        <v>0</v>
      </c>
      <c r="AA138" s="1463">
        <f>SUM('3 pr-2'!X139)</f>
        <v>0</v>
      </c>
      <c r="AB138" s="1460">
        <f ca="1">SUMIF('sutarčių ataskaita'!$J$19:$J$2600,C138,'sutarčių ataskaita'!$DL$19:$DL$600)+SUMIF('sutarčių ataskaita'!$J$19:$J$2600,C138,'sutarčių ataskaita'!$DJ$19:$DJ$600)</f>
        <v>0</v>
      </c>
      <c r="AC138" s="1461">
        <f t="shared" ca="1" si="288"/>
        <v>0</v>
      </c>
      <c r="AD138" s="1462">
        <f t="shared" ca="1" si="289"/>
        <v>0</v>
      </c>
      <c r="AE138" s="1463">
        <f>SUM('3 pr-2'!AA139)</f>
        <v>169147.6</v>
      </c>
      <c r="AF138" s="1432">
        <f ca="1">SUMIF('sutarčių ataskaita'!$J$19:$J$2600,C138,'sutarčių ataskaita'!$DF$19:$DF$600)</f>
        <v>169147.6</v>
      </c>
      <c r="AG138" s="1466">
        <f t="shared" ca="1" si="290"/>
        <v>0</v>
      </c>
      <c r="AH138" s="1465">
        <f t="shared" ca="1" si="291"/>
        <v>0</v>
      </c>
      <c r="AI138" s="1296">
        <f>SUM('3 pr-2'!AB140)</f>
        <v>0</v>
      </c>
      <c r="AJ138" s="1426">
        <v>0</v>
      </c>
    </row>
    <row r="139" spans="1:36" s="25" customFormat="1" ht="49.5" thickBot="1" x14ac:dyDescent="0.3">
      <c r="A139" s="644" t="str">
        <f>CONCATENATE('3 pr-2'!A140)</f>
        <v>2.1.2.2.5</v>
      </c>
      <c r="B139" s="182" t="str">
        <f>CONCATENATE('3 pr-2'!B140)</f>
        <v>R01-6630-470000-2225</v>
      </c>
      <c r="C139" s="652" t="str">
        <f>IF('ketv. 4 '!X140&gt;0,'ketv. 4 '!C140,"-")</f>
        <v>08.4.2-ESFA-R-630-11-0002</v>
      </c>
      <c r="D139" s="655" t="str">
        <f>CONCATENATE('3 pr-2'!D140)</f>
        <v>Sveikos gyvensenos skatinimas Lazdijų rajono savivaldybėje</v>
      </c>
      <c r="E139" s="644" t="str">
        <f>CONCATENATE('3 pr-2'!E140)</f>
        <v>Lazdijų rajono savivaldybės visuomenės sveikatos biuras</v>
      </c>
      <c r="F139" s="644" t="str">
        <f>CONCATENATE('3 pr-2'!F140)</f>
        <v>Lietuvos Respublikos Sveikatos apsaugos ministerija</v>
      </c>
      <c r="G139" s="644" t="str">
        <f>CONCATENATE('3 pr-2'!G140)</f>
        <v>Lazdijų r. sav.</v>
      </c>
      <c r="H139" s="648" t="str">
        <f>CONCATENATE('3 pr-2'!H140)</f>
        <v>08.4.2-ESFA-R-630</v>
      </c>
      <c r="I139" s="651" t="str">
        <f>CONCATENATE('3 pr-2'!I140)</f>
        <v>R</v>
      </c>
      <c r="J139" s="651" t="str">
        <f>CONCATENATE('3 pr-2'!J140)</f>
        <v>-</v>
      </c>
      <c r="K139" s="1460">
        <f>SUM('3 pr-2'!L140)</f>
        <v>198997.18</v>
      </c>
      <c r="L139" s="1431">
        <f t="shared" ca="1" si="279"/>
        <v>198997.18</v>
      </c>
      <c r="M139" s="1461">
        <f t="shared" ca="1" si="280"/>
        <v>0</v>
      </c>
      <c r="N139" s="1462">
        <f t="shared" ca="1" si="281"/>
        <v>0</v>
      </c>
      <c r="O139" s="1463">
        <f>SUM('3 pr-2'!O140)</f>
        <v>14924.79</v>
      </c>
      <c r="P139" s="1431">
        <f ca="1">SUMIF('sutarčių ataskaita'!$J$19:$J$2600,C139,'sutarčių ataskaita'!$DK$19:$DK$600)</f>
        <v>14924.79</v>
      </c>
      <c r="Q139" s="1461">
        <f t="shared" ca="1" si="282"/>
        <v>0</v>
      </c>
      <c r="R139" s="1462">
        <f t="shared" ca="1" si="283"/>
        <v>0</v>
      </c>
      <c r="S139" s="1463">
        <f>SUM('3 pr-2'!R140)</f>
        <v>14924.79</v>
      </c>
      <c r="T139" s="1431">
        <f ca="1">SUMIF('sutarčių ataskaita'!$J$19:$J$2600,C139,'sutarčių ataskaita'!$DG$19:$DG$600)</f>
        <v>14924.79</v>
      </c>
      <c r="U139" s="1461">
        <f t="shared" ca="1" si="284"/>
        <v>0</v>
      </c>
      <c r="V139" s="1462">
        <f t="shared" ca="1" si="285"/>
        <v>0</v>
      </c>
      <c r="W139" s="1463">
        <f>SUM('3 pr-2'!U140)</f>
        <v>0</v>
      </c>
      <c r="X139" s="1460">
        <f ca="1">SUMIF('sutarčių ataskaita'!$J$19:$J$2600,C139,'sutarčių ataskaita'!$DM$19:$DM$600)</f>
        <v>0</v>
      </c>
      <c r="Y139" s="1461">
        <f t="shared" ca="1" si="286"/>
        <v>0</v>
      </c>
      <c r="Z139" s="1462">
        <f t="shared" ca="1" si="287"/>
        <v>0</v>
      </c>
      <c r="AA139" s="1463">
        <f>SUM('3 pr-2'!X140)</f>
        <v>0</v>
      </c>
      <c r="AB139" s="1460">
        <f ca="1">SUMIF('sutarčių ataskaita'!$J$19:$J$2600,C139,'sutarčių ataskaita'!$DL$19:$DL$600)+SUMIF('sutarčių ataskaita'!$J$19:$J$2600,C139,'sutarčių ataskaita'!$DJ$19:$DJ$600)</f>
        <v>0</v>
      </c>
      <c r="AC139" s="1461">
        <f t="shared" ca="1" si="288"/>
        <v>0</v>
      </c>
      <c r="AD139" s="1462">
        <f t="shared" ca="1" si="289"/>
        <v>0</v>
      </c>
      <c r="AE139" s="1463">
        <f>SUM('3 pr-2'!AA140)</f>
        <v>169147.6</v>
      </c>
      <c r="AF139" s="1432">
        <f ca="1">SUMIF('sutarčių ataskaita'!$J$19:$J$2600,C139,'sutarčių ataskaita'!$DF$19:$DF$600)</f>
        <v>169147.6</v>
      </c>
      <c r="AG139" s="1466">
        <f t="shared" ca="1" si="290"/>
        <v>0</v>
      </c>
      <c r="AH139" s="1465">
        <f t="shared" ca="1" si="291"/>
        <v>0</v>
      </c>
      <c r="AI139" s="1296">
        <f>SUM('3 pr-2'!AB141)</f>
        <v>0</v>
      </c>
      <c r="AJ139" s="1426">
        <v>0</v>
      </c>
    </row>
    <row r="140" spans="1:36" s="25" customFormat="1" ht="35.25" customHeight="1" thickBot="1" x14ac:dyDescent="0.3">
      <c r="A140" s="326" t="str">
        <f>CONCATENATE('3 pr-2'!A143)</f>
        <v>2.1.2.3.2</v>
      </c>
      <c r="B140" s="2025" t="str">
        <f>CONCATENATE('3 pr-2'!D143)</f>
        <v>Ambulatorinių sveikatos priežiūros paslaugų gerinimas tuberkulioze sergantiems asmenims</v>
      </c>
      <c r="C140" s="2026"/>
      <c r="D140" s="2026"/>
      <c r="E140" s="2026"/>
      <c r="F140" s="2026"/>
      <c r="G140" s="2026"/>
      <c r="H140" s="2026"/>
      <c r="I140" s="2026"/>
      <c r="J140" s="2027"/>
      <c r="K140" s="1455">
        <f>SUM('3 pr-2'!L141)</f>
        <v>65213.18</v>
      </c>
      <c r="L140" s="1455">
        <f ca="1">SUM(L141:L145)</f>
        <v>65213.18</v>
      </c>
      <c r="M140" s="1456">
        <f ca="1">SUM(M141:M151)</f>
        <v>-111503.25</v>
      </c>
      <c r="N140" s="1457">
        <f ca="1">SUM(N141:N151)</f>
        <v>-111503.25</v>
      </c>
      <c r="O140" s="1455">
        <f>SUM('3 pr-2'!O141)</f>
        <v>3596.09</v>
      </c>
      <c r="P140" s="1455">
        <f ca="1">SUM(P141:P145)</f>
        <v>3596.09</v>
      </c>
      <c r="Q140" s="1455">
        <f ca="1">SUM(Q141:Q151)</f>
        <v>-111503.6</v>
      </c>
      <c r="R140" s="1455">
        <f ca="1">SUM(R141:R151)</f>
        <v>-111503.6</v>
      </c>
      <c r="S140" s="1455">
        <f>SUM('3 pr-2'!R141)</f>
        <v>5556.4400000000005</v>
      </c>
      <c r="T140" s="1455">
        <f ca="1">SUM(T141:T145)</f>
        <v>5556.4400000000005</v>
      </c>
      <c r="U140" s="1455">
        <f ca="1">SUM(U141:U151)</f>
        <v>0</v>
      </c>
      <c r="V140" s="1455">
        <f ca="1">SUM(V141:V151)</f>
        <v>0</v>
      </c>
      <c r="W140" s="1455">
        <f>SUM('3 pr-2'!U141)</f>
        <v>0</v>
      </c>
      <c r="X140" s="1455">
        <f ca="1">SUM(X141:X145)</f>
        <v>0</v>
      </c>
      <c r="Y140" s="1455">
        <f ca="1">SUM(Y141:Y151)</f>
        <v>0</v>
      </c>
      <c r="Z140" s="1455">
        <f ca="1">SUM(Z141:Z151)</f>
        <v>0</v>
      </c>
      <c r="AA140" s="1455">
        <f>SUM('3 pr-2'!X141)</f>
        <v>1299.95</v>
      </c>
      <c r="AB140" s="1455">
        <f ca="1">SUM(AB141:AB145)</f>
        <v>1299.95</v>
      </c>
      <c r="AC140" s="1455">
        <f ca="1">SUM(AC141:AC151)</f>
        <v>0</v>
      </c>
      <c r="AD140" s="1455">
        <f ca="1">SUM(AD141:AD151)</f>
        <v>0</v>
      </c>
      <c r="AE140" s="1455">
        <f>SUM('3 pr-2'!AA141)</f>
        <v>54760.7</v>
      </c>
      <c r="AF140" s="1455">
        <f ca="1">SUM(AF141:AF145)</f>
        <v>54760.7</v>
      </c>
      <c r="AG140" s="1458">
        <f ca="1">SUM(AG141:AG151)</f>
        <v>0.35000000000582077</v>
      </c>
      <c r="AH140" s="1459">
        <f ca="1">SUM(AH141:AH151)</f>
        <v>0.35000000000582077</v>
      </c>
      <c r="AI140" s="1455">
        <f t="shared" ref="AI140:AJ140" si="292">SUM(AI141:AI145)</f>
        <v>0</v>
      </c>
      <c r="AJ140" s="1455">
        <f t="shared" si="292"/>
        <v>0</v>
      </c>
    </row>
    <row r="141" spans="1:36" s="25" customFormat="1" ht="48.75" x14ac:dyDescent="0.25">
      <c r="A141" s="644" t="str">
        <f>CONCATENATE('3 pr-2'!A142)</f>
        <v>2.1.2.3.1</v>
      </c>
      <c r="B141" s="182" t="str">
        <f>CONCATENATE('3 pr-2'!B142)</f>
        <v>R01-6615-475000-2231</v>
      </c>
      <c r="C141" s="652" t="str">
        <f>IF('ketv. 4 '!X142&gt;0,'ketv. 4 '!C142,"-")</f>
        <v>08.4.2-ESFA-R-615-11-0004</v>
      </c>
      <c r="D141" s="655" t="str">
        <f>CONCATENATE('3 pr-2'!D142)</f>
        <v>Priemonių gerinančių ambulatorinių sveikatos priežiūros paslaugų prieinamumą tuberkulioze sergantiems asmenims, Alytaus rajone įgyvendinimas</v>
      </c>
      <c r="E141" s="644" t="str">
        <f>CONCATENATE('3 pr-2'!E142)</f>
        <v>VšĮ Alytaus rajono savivaldybės pirminės sveikatos priežiūros centras</v>
      </c>
      <c r="F141" s="644" t="str">
        <f>CONCATENATE('3 pr-2'!F142)</f>
        <v>Lietuvos Respublikos Sveikatos apsaugos ministerija</v>
      </c>
      <c r="G141" s="644" t="str">
        <f>CONCATENATE('3 pr-2'!G142)</f>
        <v>Alytaus r. sav.</v>
      </c>
      <c r="H141" s="648" t="str">
        <f>CONCATENATE('3 pr-2'!H142)</f>
        <v>08.4.2-ESFA-R-615</v>
      </c>
      <c r="I141" s="651" t="str">
        <f>CONCATENATE('3 pr-2'!I142)</f>
        <v>R</v>
      </c>
      <c r="J141" s="651" t="str">
        <f>CONCATENATE('3 pr-2'!J142)</f>
        <v>-</v>
      </c>
      <c r="K141" s="1460">
        <f>SUM('3 pr-2'!L142)</f>
        <v>10453</v>
      </c>
      <c r="L141" s="1431">
        <f t="shared" ref="L141:L145" ca="1" si="293">SUM(P141+T141+X141+AB141+AF141+AJ141)</f>
        <v>10453</v>
      </c>
      <c r="M141" s="1461">
        <f t="shared" ref="M141:M145" ca="1" si="294">SUM(K141-L141)</f>
        <v>0</v>
      </c>
      <c r="N141" s="1462">
        <f t="shared" ref="N141:N145" ca="1" si="295">IF(L141&gt;0,K141-L141,0)</f>
        <v>0</v>
      </c>
      <c r="O141" s="1463">
        <f>SUM('3 pr-2'!O142)</f>
        <v>0</v>
      </c>
      <c r="P141" s="1460">
        <f ca="1">SUMIF('sutarčių ataskaita'!$J$19:$J$2600,C141,'sutarčių ataskaita'!$DK$19:$DK$600)</f>
        <v>0</v>
      </c>
      <c r="Q141" s="1461">
        <f t="shared" ref="Q141:Q145" ca="1" si="296">SUM(O141-P141)</f>
        <v>0</v>
      </c>
      <c r="R141" s="1462">
        <f t="shared" ref="R141:R145" ca="1" si="297">IF(P141&gt;0,O141-P141,0)</f>
        <v>0</v>
      </c>
      <c r="S141" s="1463">
        <f>SUM('3 pr-2'!R142)</f>
        <v>1449.64</v>
      </c>
      <c r="T141" s="1431">
        <f ca="1">SUMIF('sutarčių ataskaita'!$J$19:$J$2600,C141,'sutarčių ataskaita'!$DG$19:$DG$600)</f>
        <v>1449.64</v>
      </c>
      <c r="U141" s="1461">
        <f t="shared" ref="U141:U145" ca="1" si="298">SUM(S141-T141)</f>
        <v>0</v>
      </c>
      <c r="V141" s="1462">
        <f t="shared" ref="V141:V145" ca="1" si="299">IF(T141&gt;0,S141-T141,0)</f>
        <v>0</v>
      </c>
      <c r="W141" s="1463">
        <f>SUM('3 pr-2'!U142)</f>
        <v>0</v>
      </c>
      <c r="X141" s="1460">
        <f ca="1">SUMIF('sutarčių ataskaita'!$J$19:$J$2600,C141,'sutarčių ataskaita'!$DM$19:$DM$600)</f>
        <v>0</v>
      </c>
      <c r="Y141" s="1461">
        <f t="shared" ref="Y141:Y145" ca="1" si="300">SUM(W141-X141)</f>
        <v>0</v>
      </c>
      <c r="Z141" s="1462">
        <f t="shared" ref="Z141:Z145" ca="1" si="301">IF(X141&gt;0,W141-X141,0)</f>
        <v>0</v>
      </c>
      <c r="AA141" s="1463">
        <f>SUM('3 pr-2'!X142)</f>
        <v>788.75</v>
      </c>
      <c r="AB141" s="1431">
        <f ca="1">SUMIF('sutarčių ataskaita'!$J$19:$J$2600,C141,'sutarčių ataskaita'!$DL$19:$DL$600)+SUMIF('sutarčių ataskaita'!$J$19:$J$2600,C141,'sutarčių ataskaita'!$DJ$19:$DJ$600)</f>
        <v>788.75</v>
      </c>
      <c r="AC141" s="1461">
        <f t="shared" ref="AC141:AC145" ca="1" si="302">SUM(AA141-AB141)</f>
        <v>0</v>
      </c>
      <c r="AD141" s="1462">
        <f t="shared" ref="AD141:AD145" ca="1" si="303">IF(AB141&gt;0,AA141-AB141,0)</f>
        <v>0</v>
      </c>
      <c r="AE141" s="1463">
        <f>SUM('3 pr-2'!AA142)</f>
        <v>8214.61</v>
      </c>
      <c r="AF141" s="1431">
        <f ca="1">SUMIF('sutarčių ataskaita'!$J$19:$J$2600,C141,'sutarčių ataskaita'!$DF$19:$DF$600)</f>
        <v>8214.61</v>
      </c>
      <c r="AG141" s="1464">
        <f t="shared" ref="AG141:AG145" ca="1" si="304">SUM(AE141-AF141)</f>
        <v>0</v>
      </c>
      <c r="AH141" s="1465">
        <f t="shared" ref="AH141:AH145" ca="1" si="305">IF(AF141&gt;0,AE141-AF141,0)</f>
        <v>0</v>
      </c>
      <c r="AI141" s="1296">
        <f>SUM('3 pr-2'!AB143)</f>
        <v>0</v>
      </c>
      <c r="AJ141" s="1460"/>
    </row>
    <row r="142" spans="1:36" s="25" customFormat="1" ht="36.75" x14ac:dyDescent="0.25">
      <c r="A142" s="644" t="str">
        <f>CONCATENATE('3 pr-2'!A143)</f>
        <v>2.1.2.3.2</v>
      </c>
      <c r="B142" s="182" t="str">
        <f>CONCATENATE('3 pr-2'!B143)</f>
        <v>R01-6615-470000-2232</v>
      </c>
      <c r="C142" s="652" t="str">
        <f>IF('ketv. 4 '!X143&gt;0,'ketv. 4 '!C143,"-")</f>
        <v>08.4.2-ESFA-R-615-11-0005</v>
      </c>
      <c r="D142" s="655" t="str">
        <f>CONCATENATE('3 pr-2'!D143)</f>
        <v>Ambulatorinių sveikatos priežiūros paslaugų gerinimas tuberkulioze sergantiems asmenims</v>
      </c>
      <c r="E142" s="644" t="str">
        <f>CONCATENATE('3 pr-2'!E143)</f>
        <v>Alytaus miesto savivaldybės administracija</v>
      </c>
      <c r="F142" s="644" t="str">
        <f>CONCATENATE('3 pr-2'!F143)</f>
        <v>Lietuvos Respublikos Sveikatos apsaugos ministerija</v>
      </c>
      <c r="G142" s="644" t="str">
        <f>CONCATENATE('3 pr-2'!G143)</f>
        <v>Alytaus m. sav.</v>
      </c>
      <c r="H142" s="648" t="str">
        <f>CONCATENATE('3 pr-2'!H143)</f>
        <v>08.4.2-ESFA-R-615</v>
      </c>
      <c r="I142" s="651" t="str">
        <f>CONCATENATE('3 pr-2'!I143)</f>
        <v>R</v>
      </c>
      <c r="J142" s="651" t="str">
        <f>CONCATENATE('3 pr-2'!J143)</f>
        <v>-</v>
      </c>
      <c r="K142" s="1460">
        <f>SUM('3 pr-2'!L143)</f>
        <v>17041.18</v>
      </c>
      <c r="L142" s="1431">
        <f t="shared" ca="1" si="293"/>
        <v>17041.18</v>
      </c>
      <c r="M142" s="1461">
        <f t="shared" ca="1" si="294"/>
        <v>0</v>
      </c>
      <c r="N142" s="1462">
        <f t="shared" ca="1" si="295"/>
        <v>0</v>
      </c>
      <c r="O142" s="1463">
        <f>SUM('3 pr-2'!O143)</f>
        <v>1278.0899999999999</v>
      </c>
      <c r="P142" s="1431">
        <f ca="1">SUMIF('sutarčių ataskaita'!$J$19:$J$2600,C142,'sutarčių ataskaita'!$DK$19:$DK$600)</f>
        <v>1278.0899999999999</v>
      </c>
      <c r="Q142" s="1461">
        <f t="shared" ca="1" si="296"/>
        <v>0</v>
      </c>
      <c r="R142" s="1462">
        <f t="shared" ca="1" si="297"/>
        <v>0</v>
      </c>
      <c r="S142" s="1463">
        <f>SUM('3 pr-2'!R143)</f>
        <v>1278</v>
      </c>
      <c r="T142" s="1431">
        <f ca="1">SUMIF('sutarčių ataskaita'!$J$19:$J$2600,C142,'sutarčių ataskaita'!$DG$19:$DG$600)</f>
        <v>1278</v>
      </c>
      <c r="U142" s="1461">
        <f t="shared" ca="1" si="298"/>
        <v>0</v>
      </c>
      <c r="V142" s="1462">
        <f t="shared" ca="1" si="299"/>
        <v>0</v>
      </c>
      <c r="W142" s="1463">
        <f>SUM('3 pr-2'!U143)</f>
        <v>0</v>
      </c>
      <c r="X142" s="1460">
        <f ca="1">SUMIF('sutarčių ataskaita'!$J$19:$J$2600,C142,'sutarčių ataskaita'!$DM$19:$DM$600)</f>
        <v>0</v>
      </c>
      <c r="Y142" s="1461">
        <f t="shared" ca="1" si="300"/>
        <v>0</v>
      </c>
      <c r="Z142" s="1462">
        <f t="shared" ca="1" si="301"/>
        <v>0</v>
      </c>
      <c r="AA142" s="1463">
        <f>SUM('3 pr-2'!X143)</f>
        <v>0</v>
      </c>
      <c r="AB142" s="1460">
        <f ca="1">SUMIF('sutarčių ataskaita'!$J$19:$J$2600,C142,'sutarčių ataskaita'!$DL$19:$DL$600)+SUMIF('sutarčių ataskaita'!$J$19:$J$2600,C142,'sutarčių ataskaita'!$DJ$19:$DJ$600)</f>
        <v>0</v>
      </c>
      <c r="AC142" s="1461">
        <f t="shared" ca="1" si="302"/>
        <v>0</v>
      </c>
      <c r="AD142" s="1462">
        <f t="shared" ca="1" si="303"/>
        <v>0</v>
      </c>
      <c r="AE142" s="1463">
        <f>SUM('3 pr-2'!AA143)</f>
        <v>14485.09</v>
      </c>
      <c r="AF142" s="1431">
        <f ca="1">SUMIF('sutarčių ataskaita'!$J$19:$J$2600,C142,'sutarčių ataskaita'!$DF$19:$DF$600)</f>
        <v>14485.09</v>
      </c>
      <c r="AG142" s="1466">
        <f t="shared" ca="1" si="304"/>
        <v>0</v>
      </c>
      <c r="AH142" s="1465">
        <f t="shared" ca="1" si="305"/>
        <v>0</v>
      </c>
      <c r="AI142" s="1296">
        <f>SUM('3 pr-2'!AB144)</f>
        <v>0</v>
      </c>
      <c r="AJ142" s="1426">
        <v>0</v>
      </c>
    </row>
    <row r="143" spans="1:36" s="25" customFormat="1" ht="36.75" x14ac:dyDescent="0.25">
      <c r="A143" s="644" t="str">
        <f>CONCATENATE('3 pr-2'!A144)</f>
        <v>2.1.2.3.3</v>
      </c>
      <c r="B143" s="182" t="str">
        <f>CONCATENATE('3 pr-2'!B144)</f>
        <v>R01-6615-470000-2233</v>
      </c>
      <c r="C143" s="652" t="str">
        <f>IF('ketv. 4 '!X144&gt;0,'ketv. 4 '!C144,"-")</f>
        <v>08.4.2-ESFA-R-615-11-0001</v>
      </c>
      <c r="D143" s="655" t="str">
        <f>CONCATENATE('3 pr-2'!D144)</f>
        <v xml:space="preserve">Paslaugų tuberkulioze sergantiems asmenims gerinimas Lazdijų rajono savivaldybėje </v>
      </c>
      <c r="E143" s="644" t="str">
        <f>CONCATENATE('3 pr-2'!E144)</f>
        <v>Lazdijų rajono savivaldybės administracija</v>
      </c>
      <c r="F143" s="644" t="str">
        <f>CONCATENATE('3 pr-2'!F144)</f>
        <v>Lietuvos Respublikos Sveikatos apsaugos ministerija</v>
      </c>
      <c r="G143" s="644" t="str">
        <f>CONCATENATE('3 pr-2'!G144)</f>
        <v>Lazdijų r. sav.</v>
      </c>
      <c r="H143" s="648" t="str">
        <f>CONCATENATE('3 pr-2'!H144)</f>
        <v>08.4.2-ESFA-R-615</v>
      </c>
      <c r="I143" s="651" t="str">
        <f>CONCATENATE('3 pr-2'!I144)</f>
        <v>R</v>
      </c>
      <c r="J143" s="651" t="str">
        <f>CONCATENATE('3 pr-2'!J144)</f>
        <v>-</v>
      </c>
      <c r="K143" s="1460">
        <f>SUM('3 pr-2'!L144)</f>
        <v>15224</v>
      </c>
      <c r="L143" s="1431">
        <f t="shared" ca="1" si="293"/>
        <v>15224</v>
      </c>
      <c r="M143" s="1461">
        <f t="shared" ca="1" si="294"/>
        <v>0</v>
      </c>
      <c r="N143" s="1462">
        <f t="shared" ca="1" si="295"/>
        <v>0</v>
      </c>
      <c r="O143" s="1463">
        <f>SUM('3 pr-2'!O144)</f>
        <v>1142</v>
      </c>
      <c r="P143" s="1431">
        <f ca="1">SUMIF('sutarčių ataskaita'!$J$19:$J$2600,C143,'sutarčių ataskaita'!$DK$19:$DK$600)</f>
        <v>1142</v>
      </c>
      <c r="Q143" s="1461">
        <f t="shared" ca="1" si="296"/>
        <v>0</v>
      </c>
      <c r="R143" s="1462">
        <f t="shared" ca="1" si="297"/>
        <v>0</v>
      </c>
      <c r="S143" s="1463">
        <f>SUM('3 pr-2'!R144)</f>
        <v>1141.5999999999999</v>
      </c>
      <c r="T143" s="1431">
        <f ca="1">SUMIF('sutarčių ataskaita'!$J$19:$J$2600,C143,'sutarčių ataskaita'!$DG$19:$DG$600)</f>
        <v>1141.5999999999999</v>
      </c>
      <c r="U143" s="1461">
        <f t="shared" ca="1" si="298"/>
        <v>0</v>
      </c>
      <c r="V143" s="1462">
        <f t="shared" ca="1" si="299"/>
        <v>0</v>
      </c>
      <c r="W143" s="1463">
        <f>SUM('3 pr-2'!U144)</f>
        <v>0</v>
      </c>
      <c r="X143" s="1460">
        <f ca="1">SUMIF('sutarčių ataskaita'!$J$19:$J$2600,C143,'sutarčių ataskaita'!$DM$19:$DM$600)</f>
        <v>0</v>
      </c>
      <c r="Y143" s="1461">
        <f t="shared" ca="1" si="300"/>
        <v>0</v>
      </c>
      <c r="Z143" s="1462">
        <f t="shared" ca="1" si="301"/>
        <v>0</v>
      </c>
      <c r="AA143" s="1463">
        <f>SUM('3 pr-2'!X144)</f>
        <v>0</v>
      </c>
      <c r="AB143" s="1460">
        <f ca="1">SUMIF('sutarčių ataskaita'!$J$19:$J$2600,C143,'sutarčių ataskaita'!$DL$19:$DL$600)+SUMIF('sutarčių ataskaita'!$J$19:$J$2600,C143,'sutarčių ataskaita'!$DJ$19:$DJ$600)</f>
        <v>0</v>
      </c>
      <c r="AC143" s="1461">
        <f t="shared" ca="1" si="302"/>
        <v>0</v>
      </c>
      <c r="AD143" s="1462">
        <f t="shared" ca="1" si="303"/>
        <v>0</v>
      </c>
      <c r="AE143" s="1463">
        <f>SUM('3 pr-2'!AA144)</f>
        <v>12940.4</v>
      </c>
      <c r="AF143" s="1431">
        <f ca="1">SUMIF('sutarčių ataskaita'!$J$19:$J$2600,C143,'sutarčių ataskaita'!$DF$19:$DF$600)</f>
        <v>12940.4</v>
      </c>
      <c r="AG143" s="1466">
        <f t="shared" ca="1" si="304"/>
        <v>0</v>
      </c>
      <c r="AH143" s="1465">
        <f t="shared" ca="1" si="305"/>
        <v>0</v>
      </c>
      <c r="AI143" s="1296">
        <f>SUM('3 pr-2'!AB145)</f>
        <v>0</v>
      </c>
      <c r="AJ143" s="1426">
        <v>0</v>
      </c>
    </row>
    <row r="144" spans="1:36" s="25" customFormat="1" ht="36.75" x14ac:dyDescent="0.25">
      <c r="A144" s="644" t="str">
        <f>CONCATENATE('3 pr-2'!A145)</f>
        <v>2.1.2.3.4</v>
      </c>
      <c r="B144" s="182" t="str">
        <f>CONCATENATE('3 pr-2'!B145)</f>
        <v>R01-6615-470000-2234</v>
      </c>
      <c r="C144" s="652" t="str">
        <f>IF('ketv. 4 '!X145&gt;0,'ketv. 4 '!C145,"-")</f>
        <v>08.4.2-ESFA-R-615-11-0002</v>
      </c>
      <c r="D144" s="655" t="str">
        <f>CONCATENATE('3 pr-2'!D145)</f>
        <v>Ambulatorinių sveikatos priežiūros paslaugų tuberkulioze sergantiems asmenims prieinamumo gerinimas Druskininkų savivaldybėje</v>
      </c>
      <c r="E144" s="644" t="str">
        <f>CONCATENATE('3 pr-2'!E145)</f>
        <v>Druskininkų pirminės sveikatos priežiūros centras</v>
      </c>
      <c r="F144" s="644" t="str">
        <f>CONCATENATE('3 pr-2'!F145)</f>
        <v>Lietuvos Respublikos Sveikatos apsaugos ministerija</v>
      </c>
      <c r="G144" s="644" t="str">
        <f>CONCATENATE('3 pr-2'!G145)</f>
        <v>Druskininkų sav.</v>
      </c>
      <c r="H144" s="648" t="str">
        <f>CONCATENATE('3 pr-2'!H145)</f>
        <v>08.4.2-ESFA-R-615</v>
      </c>
      <c r="I144" s="651" t="str">
        <f>CONCATENATE('3 pr-2'!I145)</f>
        <v>R</v>
      </c>
      <c r="J144" s="651" t="str">
        <f>CONCATENATE('3 pr-2'!J145)</f>
        <v>-</v>
      </c>
      <c r="K144" s="1460">
        <f>SUM('3 pr-2'!L145)</f>
        <v>6816</v>
      </c>
      <c r="L144" s="1431">
        <f t="shared" ca="1" si="293"/>
        <v>6816</v>
      </c>
      <c r="M144" s="1461">
        <f t="shared" ca="1" si="294"/>
        <v>0</v>
      </c>
      <c r="N144" s="1462">
        <f t="shared" ca="1" si="295"/>
        <v>0</v>
      </c>
      <c r="O144" s="1463">
        <f>SUM('3 pr-2'!O145)</f>
        <v>0</v>
      </c>
      <c r="P144" s="1431">
        <f ca="1">SUMIF('sutarčių ataskaita'!$J$19:$J$2600,C144,'sutarčių ataskaita'!$DK$19:$DK$600)</f>
        <v>0</v>
      </c>
      <c r="Q144" s="1461">
        <f t="shared" ca="1" si="296"/>
        <v>0</v>
      </c>
      <c r="R144" s="1462">
        <f t="shared" ca="1" si="297"/>
        <v>0</v>
      </c>
      <c r="S144" s="1463">
        <f>SUM('3 pr-2'!R145)</f>
        <v>511.2</v>
      </c>
      <c r="T144" s="1431">
        <f ca="1">SUMIF('sutarčių ataskaita'!$J$19:$J$2600,C144,'sutarčių ataskaita'!$DG$19:$DG$600)</f>
        <v>511.2</v>
      </c>
      <c r="U144" s="1461">
        <f t="shared" ca="1" si="298"/>
        <v>0</v>
      </c>
      <c r="V144" s="1462">
        <f t="shared" ca="1" si="299"/>
        <v>0</v>
      </c>
      <c r="W144" s="1463">
        <f>SUM('3 pr-2'!U145)</f>
        <v>0</v>
      </c>
      <c r="X144" s="1460">
        <f ca="1">SUMIF('sutarčių ataskaita'!$J$19:$J$2600,C144,'sutarčių ataskaita'!$DM$19:$DM$600)</f>
        <v>0</v>
      </c>
      <c r="Y144" s="1461">
        <f t="shared" ca="1" si="300"/>
        <v>0</v>
      </c>
      <c r="Z144" s="1462">
        <f t="shared" ca="1" si="301"/>
        <v>0</v>
      </c>
      <c r="AA144" s="1463">
        <f>SUM('3 pr-2'!X145)</f>
        <v>511.2</v>
      </c>
      <c r="AB144" s="1460">
        <f ca="1">SUMIF('sutarčių ataskaita'!$J$19:$J$2600,C144,'sutarčių ataskaita'!$DL$19:$DL$600)+SUMIF('sutarčių ataskaita'!$J$19:$J$2600,C144,'sutarčių ataskaita'!$DJ$19:$DJ$600)</f>
        <v>511.2</v>
      </c>
      <c r="AC144" s="1461">
        <f t="shared" ca="1" si="302"/>
        <v>0</v>
      </c>
      <c r="AD144" s="1462">
        <f t="shared" ca="1" si="303"/>
        <v>0</v>
      </c>
      <c r="AE144" s="1463">
        <f>SUM('3 pr-2'!AA145)</f>
        <v>5793.6</v>
      </c>
      <c r="AF144" s="1431">
        <f ca="1">SUMIF('sutarčių ataskaita'!$J$19:$J$2600,C144,'sutarčių ataskaita'!$DF$19:$DF$600)</f>
        <v>5793.6</v>
      </c>
      <c r="AG144" s="1466">
        <f t="shared" ca="1" si="304"/>
        <v>0</v>
      </c>
      <c r="AH144" s="1465">
        <f t="shared" ca="1" si="305"/>
        <v>0</v>
      </c>
      <c r="AI144" s="1296">
        <f>SUM('3 pr-2'!AB146)</f>
        <v>0</v>
      </c>
      <c r="AJ144" s="1426">
        <v>0</v>
      </c>
    </row>
    <row r="145" spans="1:36" s="25" customFormat="1" ht="37.5" thickBot="1" x14ac:dyDescent="0.3">
      <c r="A145" s="644" t="str">
        <f>CONCATENATE('3 pr-2'!A146)</f>
        <v>2.1.2.3.5</v>
      </c>
      <c r="B145" s="182" t="str">
        <f>CONCATENATE('3 pr-2'!B146)</f>
        <v>R01-6615-470000-2235</v>
      </c>
      <c r="C145" s="652" t="str">
        <f>IF('ketv. 4 '!X146&gt;0,'ketv. 4 '!C146,"-")</f>
        <v>08.4.2-ESFA-R-615-11-0003</v>
      </c>
      <c r="D145" s="655" t="str">
        <f>CONCATENATE('3 pr-2'!D146)</f>
        <v>Ambulatorinių sveikatos priežiūros paslaugų prieinamumo gerinimas tuberkulioze sergantiems asmenims Varėnos rajono savivaldybėje</v>
      </c>
      <c r="E145" s="644" t="str">
        <f>CONCATENATE('3 pr-2'!E146)</f>
        <v>Varėnos rajono savivaldybės administracija</v>
      </c>
      <c r="F145" s="644" t="str">
        <f>CONCATENATE('3 pr-2'!F146)</f>
        <v>Lietuvos Respublikos Sveikatos apsaugos ministerija</v>
      </c>
      <c r="G145" s="644" t="str">
        <f>CONCATENATE('3 pr-2'!G146)</f>
        <v>Varėnos r. sav.</v>
      </c>
      <c r="H145" s="648" t="str">
        <f>CONCATENATE('3 pr-2'!H146)</f>
        <v>08.4.2-ESFA-R-615</v>
      </c>
      <c r="I145" s="651" t="str">
        <f>CONCATENATE('3 pr-2'!I146)</f>
        <v>R</v>
      </c>
      <c r="J145" s="651" t="str">
        <f>CONCATENATE('3 pr-2'!J146)</f>
        <v>-</v>
      </c>
      <c r="K145" s="1460">
        <f>SUM('3 pr-2'!L146)</f>
        <v>15679</v>
      </c>
      <c r="L145" s="1431">
        <f t="shared" ca="1" si="293"/>
        <v>15679</v>
      </c>
      <c r="M145" s="1461">
        <f t="shared" ca="1" si="294"/>
        <v>0</v>
      </c>
      <c r="N145" s="1462">
        <f t="shared" ca="1" si="295"/>
        <v>0</v>
      </c>
      <c r="O145" s="1463">
        <f>SUM('3 pr-2'!O146)</f>
        <v>1176</v>
      </c>
      <c r="P145" s="1431">
        <f ca="1">SUMIF('sutarčių ataskaita'!$J$19:$J$2600,C145,'sutarčių ataskaita'!$DK$19:$DK$600)</f>
        <v>1176</v>
      </c>
      <c r="Q145" s="1461">
        <f t="shared" ca="1" si="296"/>
        <v>0</v>
      </c>
      <c r="R145" s="1462">
        <f t="shared" ca="1" si="297"/>
        <v>0</v>
      </c>
      <c r="S145" s="1463">
        <f>SUM('3 pr-2'!R146)</f>
        <v>1176</v>
      </c>
      <c r="T145" s="1431">
        <f ca="1">SUMIF('sutarčių ataskaita'!$J$19:$J$2600,C145,'sutarčių ataskaita'!$DG$19:$DG$600)</f>
        <v>1176</v>
      </c>
      <c r="U145" s="1461">
        <f t="shared" ca="1" si="298"/>
        <v>0</v>
      </c>
      <c r="V145" s="1462">
        <f t="shared" ca="1" si="299"/>
        <v>0</v>
      </c>
      <c r="W145" s="1463">
        <f>SUM('3 pr-2'!U146)</f>
        <v>0</v>
      </c>
      <c r="X145" s="1460">
        <f ca="1">SUMIF('sutarčių ataskaita'!$J$19:$J$2600,C145,'sutarčių ataskaita'!$DM$19:$DM$600)</f>
        <v>0</v>
      </c>
      <c r="Y145" s="1461">
        <f t="shared" ca="1" si="300"/>
        <v>0</v>
      </c>
      <c r="Z145" s="1462">
        <f t="shared" ca="1" si="301"/>
        <v>0</v>
      </c>
      <c r="AA145" s="1463">
        <f>SUM('3 pr-2'!X146)</f>
        <v>0</v>
      </c>
      <c r="AB145" s="1460">
        <f ca="1">SUMIF('sutarčių ataskaita'!$J$19:$J$2600,C145,'sutarčių ataskaita'!$DL$19:$DL$600)+SUMIF('sutarčių ataskaita'!$J$19:$J$2600,C145,'sutarčių ataskaita'!$DJ$19:$DJ$600)</f>
        <v>0</v>
      </c>
      <c r="AC145" s="1461">
        <f t="shared" ca="1" si="302"/>
        <v>0</v>
      </c>
      <c r="AD145" s="1462">
        <f t="shared" ca="1" si="303"/>
        <v>0</v>
      </c>
      <c r="AE145" s="1463">
        <f>SUM('3 pr-2'!AA146)</f>
        <v>13327</v>
      </c>
      <c r="AF145" s="1431">
        <f ca="1">SUMIF('sutarčių ataskaita'!$J$19:$J$2600,C145,'sutarčių ataskaita'!$DF$19:$DF$600)</f>
        <v>13327</v>
      </c>
      <c r="AG145" s="1466">
        <f t="shared" ca="1" si="304"/>
        <v>0</v>
      </c>
      <c r="AH145" s="1465">
        <f t="shared" ca="1" si="305"/>
        <v>0</v>
      </c>
      <c r="AI145" s="1296">
        <f>SUM('3 pr-2'!AB147)</f>
        <v>0</v>
      </c>
      <c r="AJ145" s="1426">
        <v>0</v>
      </c>
    </row>
    <row r="146" spans="1:36" ht="35.25" customHeight="1" thickBot="1" x14ac:dyDescent="0.3">
      <c r="A146" s="261" t="str">
        <f>CONCATENATE('3 pr-2'!A147)</f>
        <v>2.1.3.</v>
      </c>
      <c r="B146" s="2022" t="str">
        <f>CONCATENATE('3 pr-2'!B147)</f>
        <v>Uždavinys:
Socialinio būsto ir socialinių paslaugų prieinamumo pažeidžiamiausioms gyventojų grupėms padidinimas</v>
      </c>
      <c r="C146" s="2023"/>
      <c r="D146" s="2023"/>
      <c r="E146" s="2023"/>
      <c r="F146" s="2023"/>
      <c r="G146" s="2023"/>
      <c r="H146" s="2023"/>
      <c r="I146" s="2023"/>
      <c r="J146" s="2024"/>
      <c r="K146" s="1420">
        <f>SUM('3 pr-2'!L147)</f>
        <v>4201522.92</v>
      </c>
      <c r="L146" s="1420">
        <f ca="1">SUM(L147+L153)</f>
        <v>4238690.67</v>
      </c>
      <c r="M146" s="1418">
        <f ca="1">SUM(M147+M153)</f>
        <v>-37167.75</v>
      </c>
      <c r="N146" s="1419">
        <f ca="1">SUM(N147+N153)</f>
        <v>-37167.75</v>
      </c>
      <c r="O146" s="1420">
        <f>SUM('3 pr-2'!O147)</f>
        <v>772839.92999999993</v>
      </c>
      <c r="P146" s="1420">
        <f ca="1">SUM(P147+P153)</f>
        <v>810008.03</v>
      </c>
      <c r="Q146" s="1420">
        <f ca="1">SUM(Q147+Q153)</f>
        <v>-37168.1</v>
      </c>
      <c r="R146" s="1420">
        <f ca="1">SUM(R147+R153)</f>
        <v>-37168.1</v>
      </c>
      <c r="S146" s="1420">
        <f>SUM('3 pr-2'!R147)</f>
        <v>21947.85</v>
      </c>
      <c r="T146" s="1420">
        <f ca="1">SUM(T147+T153)</f>
        <v>21947.85</v>
      </c>
      <c r="U146" s="1420">
        <f ca="1">SUM(U147+U153)</f>
        <v>0</v>
      </c>
      <c r="V146" s="1420">
        <f ca="1">SUM(V147+V153)</f>
        <v>0</v>
      </c>
      <c r="W146" s="1420">
        <f>SUM('3 pr-2'!U147)</f>
        <v>0</v>
      </c>
      <c r="X146" s="1420">
        <f ca="1">SUM(X147+X153)</f>
        <v>0</v>
      </c>
      <c r="Y146" s="1420">
        <f ca="1">SUM(Y147+Y153)</f>
        <v>0</v>
      </c>
      <c r="Z146" s="1420">
        <f ca="1">SUM(Z147+Z153)</f>
        <v>0</v>
      </c>
      <c r="AA146" s="1420">
        <f>SUM('3 pr-2'!X147)</f>
        <v>0</v>
      </c>
      <c r="AB146" s="1420">
        <f ca="1">SUM(AB147+AB153)</f>
        <v>0</v>
      </c>
      <c r="AC146" s="1420">
        <f ca="1">SUM(AC147+AC153)</f>
        <v>0</v>
      </c>
      <c r="AD146" s="1420">
        <f ca="1">SUM(AD147+AD153)</f>
        <v>0</v>
      </c>
      <c r="AE146" s="1420">
        <f>SUM('3 pr-2'!AA147)</f>
        <v>3406735.14</v>
      </c>
      <c r="AF146" s="1420">
        <f ca="1">SUM(AF147+AF153)</f>
        <v>3406734.7899999996</v>
      </c>
      <c r="AG146" s="1445">
        <f ca="1">SUM(AG147+AG153)</f>
        <v>0.35000000000582077</v>
      </c>
      <c r="AH146" s="1446">
        <f ca="1">SUM(AH147+AH153)</f>
        <v>0.35000000000582077</v>
      </c>
      <c r="AI146" s="1420">
        <f t="shared" ref="AI146:AJ146" si="306">SUM(AI147+AI153)</f>
        <v>0</v>
      </c>
      <c r="AJ146" s="1420">
        <f t="shared" si="306"/>
        <v>0</v>
      </c>
    </row>
    <row r="147" spans="1:36" ht="36" customHeight="1" thickBot="1" x14ac:dyDescent="0.3">
      <c r="A147" s="326" t="str">
        <f>CONCATENATE('3 pr-2'!A148)</f>
        <v>2.1.3.1</v>
      </c>
      <c r="B147" s="2025" t="str">
        <f>CONCATENATE('3 pr-2'!B148)</f>
        <v>Priemonė:
Socialinių paslaugų infrastruktūros plėtra</v>
      </c>
      <c r="C147" s="2026"/>
      <c r="D147" s="2026"/>
      <c r="E147" s="2026"/>
      <c r="F147" s="2026"/>
      <c r="G147" s="2026"/>
      <c r="H147" s="2026"/>
      <c r="I147" s="2026"/>
      <c r="J147" s="2027"/>
      <c r="K147" s="1293">
        <f>SUM('3 pr-2'!L148)</f>
        <v>1235321.8</v>
      </c>
      <c r="L147" s="1293">
        <f ca="1">SUM(L148:L152)</f>
        <v>1272489.55</v>
      </c>
      <c r="M147" s="1422">
        <f ca="1">SUM(M148:M152)</f>
        <v>-37167.75</v>
      </c>
      <c r="N147" s="1423">
        <f ca="1">SUM(N148:N152)</f>
        <v>-37167.75</v>
      </c>
      <c r="O147" s="1293">
        <f>SUM('3 pr-2'!O148)</f>
        <v>327612.79999999999</v>
      </c>
      <c r="P147" s="1293">
        <f ca="1">SUM(P148:P152)</f>
        <v>364780.55</v>
      </c>
      <c r="Q147" s="1293">
        <f ca="1">SUM(Q148:Q152)</f>
        <v>-37167.75</v>
      </c>
      <c r="R147" s="1293">
        <f ca="1">SUM(R148:R152)</f>
        <v>-37167.75</v>
      </c>
      <c r="S147" s="1293">
        <f>SUM('3 pr-2'!R148)</f>
        <v>21947.85</v>
      </c>
      <c r="T147" s="1293">
        <f ca="1">SUM(T148:T152)</f>
        <v>21947.85</v>
      </c>
      <c r="U147" s="1293">
        <f ca="1">SUM(U148:U152)</f>
        <v>0</v>
      </c>
      <c r="V147" s="1293">
        <f ca="1">SUM(V148:V152)</f>
        <v>0</v>
      </c>
      <c r="W147" s="1293">
        <f>SUM('3 pr-2'!U148)</f>
        <v>0</v>
      </c>
      <c r="X147" s="1293">
        <f ca="1">SUM(X148:X152)</f>
        <v>0</v>
      </c>
      <c r="Y147" s="1293">
        <f ca="1">SUM(Y148:Y152)</f>
        <v>0</v>
      </c>
      <c r="Z147" s="1293">
        <f ca="1">SUM(Z148:Z152)</f>
        <v>0</v>
      </c>
      <c r="AA147" s="1293">
        <f>SUM('3 pr-2'!X148)</f>
        <v>0</v>
      </c>
      <c r="AB147" s="1293">
        <f ca="1">SUM(AB148:AB152)</f>
        <v>0</v>
      </c>
      <c r="AC147" s="1293">
        <f ca="1">SUM(AC148:AC152)</f>
        <v>0</v>
      </c>
      <c r="AD147" s="1293">
        <f ca="1">SUM(AD148:AD152)</f>
        <v>0</v>
      </c>
      <c r="AE147" s="1293">
        <f>SUM('3 pr-2'!AA148)</f>
        <v>885761.15</v>
      </c>
      <c r="AF147" s="1293">
        <f ca="1">SUM(AF148:AF152)</f>
        <v>885761.15</v>
      </c>
      <c r="AG147" s="1442">
        <f ca="1">SUM(AG148:AG152)</f>
        <v>0</v>
      </c>
      <c r="AH147" s="1443">
        <f ca="1">SUM(AH148:AH152)</f>
        <v>0</v>
      </c>
      <c r="AI147" s="1293">
        <f t="shared" ref="AI147:AJ147" si="307">SUM(AI148:AI152)</f>
        <v>0</v>
      </c>
      <c r="AJ147" s="1293">
        <f t="shared" si="307"/>
        <v>0</v>
      </c>
    </row>
    <row r="148" spans="1:36" ht="36.75" x14ac:dyDescent="0.25">
      <c r="A148" s="182" t="str">
        <f>CONCATENATE('3 pr-2'!A149)</f>
        <v>2.1.3.1.1</v>
      </c>
      <c r="B148" s="182" t="str">
        <f>CONCATENATE('3 pr-2'!B149)</f>
        <v>R01-4407-270000-2311</v>
      </c>
      <c r="C148" s="652" t="str">
        <f>IF('ketv. 4 '!X149&gt;0,'ketv. 4 '!C149,"-")</f>
        <v>08.1.1-CPVA-R-407-11-0002</v>
      </c>
      <c r="D148" s="446"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96">
        <f>SUM('3 pr-2'!L149)</f>
        <v>148480</v>
      </c>
      <c r="L148" s="1426">
        <f t="shared" ref="L148:L152" ca="1" si="308">SUM(P148+T148+X148+AB148+AF148+AJ148)</f>
        <v>148480</v>
      </c>
      <c r="M148" s="1427">
        <f t="shared" ref="M148:M152" ca="1" si="309">SUM(K148-L148)</f>
        <v>0</v>
      </c>
      <c r="N148" s="1428">
        <f t="shared" ref="N148:N152" ca="1" si="310">IF(L148&gt;0,K148-L148,0)</f>
        <v>0</v>
      </c>
      <c r="O148" s="1432">
        <f>SUM('3 pr-2'!O149)</f>
        <v>22272</v>
      </c>
      <c r="P148" s="1426">
        <f ca="1">SUMIF('sutarčių ataskaita'!$J$19:$J$2600,C148,'sutarčių ataskaita'!$DK$19:$DK$600)</f>
        <v>22272</v>
      </c>
      <c r="Q148" s="1427">
        <f t="shared" ref="Q148:Q152" ca="1" si="311">SUM(O148-P148)</f>
        <v>0</v>
      </c>
      <c r="R148" s="1428">
        <f t="shared" ref="R148:R152" ca="1" si="312">IF(P148&gt;0,O148-P148,0)</f>
        <v>0</v>
      </c>
      <c r="S148" s="1432">
        <f>SUM('3 pr-2'!R149)</f>
        <v>0</v>
      </c>
      <c r="T148" s="1432">
        <f ca="1">SUMIF('sutarčių ataskaita'!$J$19:$J$2600,C148,'sutarčių ataskaita'!$DG$19:$DG$600)</f>
        <v>0</v>
      </c>
      <c r="U148" s="1427">
        <f t="shared" ref="U148:U152" ca="1" si="313">SUM(S148-T148)</f>
        <v>0</v>
      </c>
      <c r="V148" s="1428">
        <f t="shared" ref="V148:V152" ca="1" si="314">IF(T148&gt;0,S148-T148,0)</f>
        <v>0</v>
      </c>
      <c r="W148" s="1432">
        <f>SUM('3 pr-2'!U149)</f>
        <v>0</v>
      </c>
      <c r="X148" s="1432">
        <f ca="1">SUMIF('sutarčių ataskaita'!$J$19:$J$2600,C148,'sutarčių ataskaita'!$DM$19:$DM$600)</f>
        <v>0</v>
      </c>
      <c r="Y148" s="1427">
        <f t="shared" ref="Y148:Y152" ca="1" si="315">SUM(W148-X148)</f>
        <v>0</v>
      </c>
      <c r="Z148" s="1428">
        <f t="shared" ref="Z148:Z152" ca="1" si="316">IF(X148&gt;0,W148-X148,0)</f>
        <v>0</v>
      </c>
      <c r="AA148" s="1432">
        <f>SUM('3 pr-2'!X149)</f>
        <v>0</v>
      </c>
      <c r="AB148" s="1432">
        <f ca="1">SUMIF('sutarčių ataskaita'!$J$19:$J$2600,C148,'sutarčių ataskaita'!$DL$19:$DL$600)+SUMIF('sutarčių ataskaita'!$J$19:$J$2600,C148,'sutarčių ataskaita'!$DJ$19:$DJ$600)</f>
        <v>0</v>
      </c>
      <c r="AC148" s="1427">
        <f ca="1">SUM(AA148-AB148)</f>
        <v>0</v>
      </c>
      <c r="AD148" s="1428">
        <f t="shared" ref="AD148:AD152" ca="1" si="317">IF(AB148&gt;0,AA148-AB148,0)</f>
        <v>0</v>
      </c>
      <c r="AE148" s="1432">
        <f>SUM('3 pr-2'!AA149)</f>
        <v>126208</v>
      </c>
      <c r="AF148" s="1431">
        <f ca="1">SUMIF('sutarčių ataskaita'!$J$19:$J$2600,C148,'sutarčių ataskaita'!$DF$19:$DF$600)</f>
        <v>126208</v>
      </c>
      <c r="AG148" s="1454">
        <f t="shared" ref="AG148:AG152" ca="1" si="318">SUM(AE148-AF148)</f>
        <v>0</v>
      </c>
      <c r="AH148" s="1430">
        <f t="shared" ref="AH148:AH152" ca="1" si="319">IF(AF148&gt;0,AE148-AF148,0)</f>
        <v>0</v>
      </c>
      <c r="AI148" s="1296">
        <f>SUM('3 pr-2'!AB150)</f>
        <v>0</v>
      </c>
      <c r="AJ148" s="1426">
        <v>0</v>
      </c>
    </row>
    <row r="149" spans="1:36" ht="36.75" x14ac:dyDescent="0.25">
      <c r="A149" s="182" t="str">
        <f>CONCATENATE('3 pr-2'!A150)</f>
        <v>2.1.3.1.2</v>
      </c>
      <c r="B149" s="182" t="str">
        <f>CONCATENATE('3 pr-2'!B150)</f>
        <v>R01-4407-274800-2312</v>
      </c>
      <c r="C149" s="652" t="str">
        <f>IF('ketv. 4 '!X150&gt;0,'ketv. 4 '!C150,"-")</f>
        <v>08.1.1-CPVA-R-407-11-0004</v>
      </c>
      <c r="D149" s="446"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96">
        <f>SUM('3 pr-2'!L150)</f>
        <v>188353</v>
      </c>
      <c r="L149" s="1426">
        <f t="shared" ca="1" si="308"/>
        <v>188353</v>
      </c>
      <c r="M149" s="1427">
        <f t="shared" ca="1" si="309"/>
        <v>0</v>
      </c>
      <c r="N149" s="1428">
        <f t="shared" ca="1" si="310"/>
        <v>0</v>
      </c>
      <c r="O149" s="1432">
        <f>SUM('3 pr-2'!O150)</f>
        <v>28253</v>
      </c>
      <c r="P149" s="1426">
        <f ca="1">SUMIF('sutarčių ataskaita'!$J$19:$J$2600,C149,'sutarčių ataskaita'!$DK$19:$DK$600)</f>
        <v>28253</v>
      </c>
      <c r="Q149" s="1427">
        <f t="shared" ca="1" si="311"/>
        <v>0</v>
      </c>
      <c r="R149" s="1428">
        <f t="shared" ca="1" si="312"/>
        <v>0</v>
      </c>
      <c r="S149" s="1432">
        <f>SUM('3 pr-2'!R150)</f>
        <v>0</v>
      </c>
      <c r="T149" s="1432">
        <f ca="1">SUMIF('sutarčių ataskaita'!$J$19:$J$2600,C149,'sutarčių ataskaita'!$DG$19:$DG$600)</f>
        <v>0</v>
      </c>
      <c r="U149" s="1427">
        <f t="shared" ca="1" si="313"/>
        <v>0</v>
      </c>
      <c r="V149" s="1428">
        <f t="shared" ca="1" si="314"/>
        <v>0</v>
      </c>
      <c r="W149" s="1432">
        <f>SUM('3 pr-2'!U150)</f>
        <v>0</v>
      </c>
      <c r="X149" s="1432">
        <f ca="1">SUMIF('sutarčių ataskaita'!$J$19:$J$2600,C149,'sutarčių ataskaita'!$DM$19:$DM$600)</f>
        <v>0</v>
      </c>
      <c r="Y149" s="1427">
        <f t="shared" ca="1" si="315"/>
        <v>0</v>
      </c>
      <c r="Z149" s="1428">
        <f t="shared" ca="1" si="316"/>
        <v>0</v>
      </c>
      <c r="AA149" s="1432">
        <f>SUM('3 pr-2'!X150)</f>
        <v>0</v>
      </c>
      <c r="AB149" s="1432">
        <f ca="1">SUMIF('sutarčių ataskaita'!$J$19:$J$2600,C149,'sutarčių ataskaita'!$DL$19:$DL$600)+SUMIF('sutarčių ataskaita'!$J$19:$J$2600,C149,'sutarčių ataskaita'!$DJ$19:$DJ$600)</f>
        <v>0</v>
      </c>
      <c r="AC149" s="1427">
        <f ca="1">SUM(AA149-AB149)</f>
        <v>0</v>
      </c>
      <c r="AD149" s="1428">
        <f t="shared" ca="1" si="317"/>
        <v>0</v>
      </c>
      <c r="AE149" s="1432">
        <f>SUM('3 pr-2'!AA150)</f>
        <v>160100</v>
      </c>
      <c r="AF149" s="1431">
        <f ca="1">SUMIF('sutarčių ataskaita'!$J$19:$J$2600,C149,'sutarčių ataskaita'!$DF$19:$DF$600)</f>
        <v>160100</v>
      </c>
      <c r="AG149" s="1429">
        <f t="shared" ca="1" si="318"/>
        <v>0</v>
      </c>
      <c r="AH149" s="1430">
        <f t="shared" ca="1" si="319"/>
        <v>0</v>
      </c>
      <c r="AI149" s="1296">
        <f>SUM('3 pr-2'!AB151)</f>
        <v>0</v>
      </c>
      <c r="AJ149" s="1426">
        <v>0</v>
      </c>
    </row>
    <row r="150" spans="1:36" ht="36.75" x14ac:dyDescent="0.25">
      <c r="A150" s="182" t="str">
        <f>CONCATENATE('3 pr-2'!A151)</f>
        <v>2.1.3.1.3</v>
      </c>
      <c r="B150" s="182" t="str">
        <f>CONCATENATE('3 pr-2'!B151)</f>
        <v>R01-4407-270000-2313</v>
      </c>
      <c r="C150" s="652" t="str">
        <f>IF('ketv. 4 '!X151&gt;0,'ketv. 4 '!C151,"-")</f>
        <v>08.1.1-CPVA-R-407-11-0005</v>
      </c>
      <c r="D150" s="446"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96">
        <f>SUM('3 pr-2'!L151)</f>
        <v>600732.80000000005</v>
      </c>
      <c r="L150" s="1426">
        <f t="shared" ca="1" si="308"/>
        <v>637900.55000000005</v>
      </c>
      <c r="M150" s="1427">
        <f t="shared" ca="1" si="309"/>
        <v>-37167.75</v>
      </c>
      <c r="N150" s="1428">
        <f t="shared" ca="1" si="310"/>
        <v>-37167.75</v>
      </c>
      <c r="O150" s="1432">
        <f>SUM('3 pr-2'!O151)</f>
        <v>254371.8</v>
      </c>
      <c r="P150" s="1426">
        <f ca="1">SUMIF('sutarčių ataskaita'!$J$19:$J$2600,C150,'sutarčių ataskaita'!$DK$19:$DK$600)</f>
        <v>291539.55</v>
      </c>
      <c r="Q150" s="1427">
        <f t="shared" ca="1" si="311"/>
        <v>-37167.75</v>
      </c>
      <c r="R150" s="1428">
        <f t="shared" ca="1" si="312"/>
        <v>-37167.75</v>
      </c>
      <c r="S150" s="1432">
        <f>SUM('3 pr-2'!R151)</f>
        <v>0</v>
      </c>
      <c r="T150" s="1432">
        <f ca="1">SUMIF('sutarčių ataskaita'!$J$19:$J$2600,C150,'sutarčių ataskaita'!$DG$19:$DG$600)</f>
        <v>0</v>
      </c>
      <c r="U150" s="1427">
        <f t="shared" ca="1" si="313"/>
        <v>0</v>
      </c>
      <c r="V150" s="1428">
        <f t="shared" ca="1" si="314"/>
        <v>0</v>
      </c>
      <c r="W150" s="1432">
        <f>SUM('3 pr-2'!U151)</f>
        <v>0</v>
      </c>
      <c r="X150" s="1432">
        <f ca="1">SUMIF('sutarčių ataskaita'!$J$19:$J$2600,C150,'sutarčių ataskaita'!$DM$19:$DM$600)</f>
        <v>0</v>
      </c>
      <c r="Y150" s="1427">
        <f t="shared" ca="1" si="315"/>
        <v>0</v>
      </c>
      <c r="Z150" s="1428">
        <f t="shared" ca="1" si="316"/>
        <v>0</v>
      </c>
      <c r="AA150" s="1432">
        <f>SUM('3 pr-2'!X151)</f>
        <v>0</v>
      </c>
      <c r="AB150" s="1432">
        <f ca="1">SUMIF('sutarčių ataskaita'!$J$19:$J$2600,C150,'sutarčių ataskaita'!$DL$19:$DL$600)+SUMIF('sutarčių ataskaita'!$J$19:$J$2600,C150,'sutarčių ataskaita'!$DJ$19:$DJ$600)</f>
        <v>0</v>
      </c>
      <c r="AC150" s="1427">
        <f ca="1">SUM(AA150-AB150)</f>
        <v>0</v>
      </c>
      <c r="AD150" s="1428">
        <f t="shared" ca="1" si="317"/>
        <v>0</v>
      </c>
      <c r="AE150" s="1432">
        <f>SUM('3 pr-2'!AA151)</f>
        <v>346361</v>
      </c>
      <c r="AF150" s="1431">
        <f ca="1">SUMIF('sutarčių ataskaita'!$J$19:$J$2600,C150,'sutarčių ataskaita'!$DF$19:$DF$600)</f>
        <v>346361</v>
      </c>
      <c r="AG150" s="1429">
        <f t="shared" ca="1" si="318"/>
        <v>0</v>
      </c>
      <c r="AH150" s="1430">
        <f t="shared" ca="1" si="319"/>
        <v>0</v>
      </c>
      <c r="AI150" s="1296">
        <f>SUM('3 pr-2'!AB152)</f>
        <v>0</v>
      </c>
      <c r="AJ150" s="1426">
        <v>0</v>
      </c>
    </row>
    <row r="151" spans="1:36" ht="36.75" x14ac:dyDescent="0.25">
      <c r="A151" s="182" t="str">
        <f>CONCATENATE('3 pr-2'!A152)</f>
        <v>2.1.3.1.4</v>
      </c>
      <c r="B151" s="182" t="str">
        <f>CONCATENATE('3 pr-2'!B152)</f>
        <v>R01-4407-270000-2314</v>
      </c>
      <c r="C151" s="652" t="str">
        <f>IF('ketv. 4 '!X152&gt;0,'ketv. 4 '!C152,"-")</f>
        <v>08.1.1-CPVA-R-407-11-0001</v>
      </c>
      <c r="D151" s="446"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96">
        <f>SUM('3 pr-2'!L152)</f>
        <v>151437</v>
      </c>
      <c r="L151" s="1426">
        <f t="shared" ca="1" si="308"/>
        <v>151437</v>
      </c>
      <c r="M151" s="1427">
        <f t="shared" ca="1" si="309"/>
        <v>0</v>
      </c>
      <c r="N151" s="1428">
        <f t="shared" ca="1" si="310"/>
        <v>0</v>
      </c>
      <c r="O151" s="1432">
        <f>SUM('3 pr-2'!O152)</f>
        <v>22716</v>
      </c>
      <c r="P151" s="1426">
        <f ca="1">SUMIF('sutarčių ataskaita'!$J$19:$J$2600,C151,'sutarčių ataskaita'!$DK$19:$DK$600)</f>
        <v>22716</v>
      </c>
      <c r="Q151" s="1427">
        <f t="shared" ca="1" si="311"/>
        <v>0</v>
      </c>
      <c r="R151" s="1428">
        <f t="shared" ca="1" si="312"/>
        <v>0</v>
      </c>
      <c r="S151" s="1432">
        <f>SUM('3 pr-2'!R152)</f>
        <v>0</v>
      </c>
      <c r="T151" s="1432">
        <f ca="1">SUMIF('sutarčių ataskaita'!$J$19:$J$2600,C151,'sutarčių ataskaita'!$DG$19:$DG$600)</f>
        <v>0</v>
      </c>
      <c r="U151" s="1427">
        <f t="shared" ca="1" si="313"/>
        <v>0</v>
      </c>
      <c r="V151" s="1428">
        <f t="shared" ca="1" si="314"/>
        <v>0</v>
      </c>
      <c r="W151" s="1432">
        <f>SUM('3 pr-2'!U152)</f>
        <v>0</v>
      </c>
      <c r="X151" s="1432">
        <f ca="1">SUMIF('sutarčių ataskaita'!$J$19:$J$2600,C151,'sutarčių ataskaita'!$DM$19:$DM$600)</f>
        <v>0</v>
      </c>
      <c r="Y151" s="1427">
        <f t="shared" ca="1" si="315"/>
        <v>0</v>
      </c>
      <c r="Z151" s="1428">
        <f t="shared" ca="1" si="316"/>
        <v>0</v>
      </c>
      <c r="AA151" s="1432">
        <f>SUM('3 pr-2'!X152)</f>
        <v>0</v>
      </c>
      <c r="AB151" s="1432">
        <f ca="1">SUMIF('sutarčių ataskaita'!$J$19:$J$2600,C151,'sutarčių ataskaita'!$DL$19:$DL$600)+SUMIF('sutarčių ataskaita'!$J$19:$J$2600,C151,'sutarčių ataskaita'!$DJ$19:$DJ$600)</f>
        <v>0</v>
      </c>
      <c r="AC151" s="1427">
        <f ca="1">SUM(AA151-AB151)</f>
        <v>0</v>
      </c>
      <c r="AD151" s="1428">
        <f t="shared" ca="1" si="317"/>
        <v>0</v>
      </c>
      <c r="AE151" s="1432">
        <f>SUM('3 pr-2'!AA152)</f>
        <v>128721</v>
      </c>
      <c r="AF151" s="1431">
        <f ca="1">SUMIF('sutarčių ataskaita'!$J$19:$J$2600,C151,'sutarčių ataskaita'!$DF$19:$DF$600)</f>
        <v>128721</v>
      </c>
      <c r="AG151" s="1429">
        <f t="shared" ca="1" si="318"/>
        <v>0</v>
      </c>
      <c r="AH151" s="1430">
        <f t="shared" ca="1" si="319"/>
        <v>0</v>
      </c>
      <c r="AI151" s="1296">
        <f>SUM('3 pr-2'!AB153)</f>
        <v>0</v>
      </c>
      <c r="AJ151" s="1426">
        <v>0</v>
      </c>
    </row>
    <row r="152" spans="1:36" ht="37.5" thickBot="1" x14ac:dyDescent="0.3">
      <c r="A152" s="182" t="str">
        <f>CONCATENATE('3 pr-2'!A153)</f>
        <v>2.1.3.1.5</v>
      </c>
      <c r="B152" s="182" t="str">
        <f>CONCATENATE('3 pr-2'!B153)</f>
        <v>R01-4407-270000-2315</v>
      </c>
      <c r="C152" s="652" t="str">
        <f>IF('ketv. 4 '!X153&gt;0,'ketv. 4 '!C153,"-")</f>
        <v>08.1.1-CPVA-R-407-11-0003</v>
      </c>
      <c r="D152" s="446"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96">
        <f>SUM('3 pr-2'!L153)</f>
        <v>146319</v>
      </c>
      <c r="L152" s="1426">
        <f t="shared" ca="1" si="308"/>
        <v>146319</v>
      </c>
      <c r="M152" s="1427">
        <f t="shared" ca="1" si="309"/>
        <v>0</v>
      </c>
      <c r="N152" s="1428">
        <f t="shared" ca="1" si="310"/>
        <v>0</v>
      </c>
      <c r="O152" s="1432">
        <f>SUM('3 pr-2'!O153)</f>
        <v>0</v>
      </c>
      <c r="P152" s="1426">
        <f ca="1">SUMIF('sutarčių ataskaita'!$J$19:$J$2600,C152,'sutarčių ataskaita'!$DK$19:$DK$600)</f>
        <v>0</v>
      </c>
      <c r="Q152" s="1427">
        <f t="shared" ca="1" si="311"/>
        <v>0</v>
      </c>
      <c r="R152" s="1428">
        <f t="shared" ca="1" si="312"/>
        <v>0</v>
      </c>
      <c r="S152" s="1432">
        <f>SUM('3 pr-2'!R153)</f>
        <v>21947.85</v>
      </c>
      <c r="T152" s="1432">
        <f ca="1">SUMIF('sutarčių ataskaita'!$J$19:$J$2600,C152,'sutarčių ataskaita'!$DG$19:$DG$600)</f>
        <v>21947.85</v>
      </c>
      <c r="U152" s="1427">
        <f t="shared" ca="1" si="313"/>
        <v>0</v>
      </c>
      <c r="V152" s="1428">
        <f t="shared" ca="1" si="314"/>
        <v>0</v>
      </c>
      <c r="W152" s="1432">
        <f>SUM('3 pr-2'!U153)</f>
        <v>0</v>
      </c>
      <c r="X152" s="1432">
        <f ca="1">SUMIF('sutarčių ataskaita'!$J$19:$J$2600,C152,'sutarčių ataskaita'!$DM$19:$DM$600)</f>
        <v>0</v>
      </c>
      <c r="Y152" s="1427">
        <f t="shared" ca="1" si="315"/>
        <v>0</v>
      </c>
      <c r="Z152" s="1428">
        <f t="shared" ca="1" si="316"/>
        <v>0</v>
      </c>
      <c r="AA152" s="1432">
        <f>SUM('3 pr-2'!X153)</f>
        <v>0</v>
      </c>
      <c r="AB152" s="1432">
        <f ca="1">SUMIF('sutarčių ataskaita'!$J$19:$J$2600,C152,'sutarčių ataskaita'!$DL$19:$DL$600)+SUMIF('sutarčių ataskaita'!$J$19:$J$2600,C152,'sutarčių ataskaita'!$DJ$19:$DJ$600)</f>
        <v>0</v>
      </c>
      <c r="AC152" s="1427">
        <f ca="1">SUM(AA152-AB152)</f>
        <v>0</v>
      </c>
      <c r="AD152" s="1428">
        <f t="shared" ca="1" si="317"/>
        <v>0</v>
      </c>
      <c r="AE152" s="1432">
        <f>SUM('3 pr-2'!AA153)</f>
        <v>124371.15</v>
      </c>
      <c r="AF152" s="1431">
        <f ca="1">SUMIF('sutarčių ataskaita'!$J$19:$J$2600,C152,'sutarčių ataskaita'!$DF$19:$DF$600)</f>
        <v>124371.15</v>
      </c>
      <c r="AG152" s="1447">
        <f t="shared" ca="1" si="318"/>
        <v>0</v>
      </c>
      <c r="AH152" s="1430">
        <f t="shared" ca="1" si="319"/>
        <v>0</v>
      </c>
      <c r="AI152" s="1296">
        <f>SUM('3 pr-2'!AB154)</f>
        <v>0</v>
      </c>
      <c r="AJ152" s="1426">
        <v>0</v>
      </c>
    </row>
    <row r="153" spans="1:36" ht="39.75" customHeight="1" thickBot="1" x14ac:dyDescent="0.3">
      <c r="A153" s="326" t="str">
        <f>CONCATENATE('3 pr-2'!A154)</f>
        <v>2.1.3.2</v>
      </c>
      <c r="B153" s="2025" t="str">
        <f>CONCATENATE('3 pr-2'!B154)</f>
        <v>Priemonė:
Socialinio būsto fondo plėtra</v>
      </c>
      <c r="C153" s="2026"/>
      <c r="D153" s="2026"/>
      <c r="E153" s="2026"/>
      <c r="F153" s="2026"/>
      <c r="G153" s="2026"/>
      <c r="H153" s="2026"/>
      <c r="I153" s="2026"/>
      <c r="J153" s="2027"/>
      <c r="K153" s="1293">
        <f>SUM('3 pr-2'!L154)</f>
        <v>2966201.12</v>
      </c>
      <c r="L153" s="1293">
        <f ca="1">SUM(L154:L158)</f>
        <v>2966201.12</v>
      </c>
      <c r="M153" s="1422">
        <f ca="1">SUM(M154:M158)</f>
        <v>0</v>
      </c>
      <c r="N153" s="1423">
        <f ca="1">SUM(N154:N158)</f>
        <v>0</v>
      </c>
      <c r="O153" s="1293">
        <f>SUM('3 pr-2'!O154)</f>
        <v>445227.13</v>
      </c>
      <c r="P153" s="1293">
        <f ca="1">SUM(P154:P158)</f>
        <v>445227.48000000004</v>
      </c>
      <c r="Q153" s="1293">
        <f ca="1">SUM(Q154:Q158)</f>
        <v>-0.34999999999854481</v>
      </c>
      <c r="R153" s="1293">
        <f ca="1">SUM(R154:R158)</f>
        <v>-0.34999999999854481</v>
      </c>
      <c r="S153" s="1293">
        <f>SUM('3 pr-2'!R154)</f>
        <v>0</v>
      </c>
      <c r="T153" s="1293">
        <f ca="1">SUM(T154:T158)</f>
        <v>0</v>
      </c>
      <c r="U153" s="1293">
        <f ca="1">SUM(U154:U158)</f>
        <v>0</v>
      </c>
      <c r="V153" s="1293">
        <f ca="1">SUM(V154:V158)</f>
        <v>0</v>
      </c>
      <c r="W153" s="1293">
        <f>SUM('3 pr-2'!U154)</f>
        <v>0</v>
      </c>
      <c r="X153" s="1293">
        <f ca="1">SUM(X154:X158)</f>
        <v>0</v>
      </c>
      <c r="Y153" s="1293">
        <f ca="1">SUM(Y154:Y158)</f>
        <v>0</v>
      </c>
      <c r="Z153" s="1293">
        <f ca="1">SUM(Z154:Z158)</f>
        <v>0</v>
      </c>
      <c r="AA153" s="1293">
        <f>SUM('3 pr-2'!X154)</f>
        <v>0</v>
      </c>
      <c r="AB153" s="1293">
        <f ca="1">SUM(AB154:AB158)</f>
        <v>0</v>
      </c>
      <c r="AC153" s="1293">
        <f ca="1">SUM(AC154:AC158)</f>
        <v>0</v>
      </c>
      <c r="AD153" s="1293">
        <f ca="1">SUM(AD154:AD158)</f>
        <v>0</v>
      </c>
      <c r="AE153" s="1293">
        <f>SUM('3 pr-2'!AA154)</f>
        <v>2520973.9900000002</v>
      </c>
      <c r="AF153" s="1293">
        <f ca="1">SUM(AF154:AF158)</f>
        <v>2520973.6399999997</v>
      </c>
      <c r="AG153" s="1467">
        <f ca="1">SUM(AG154:AG158)</f>
        <v>0.35000000000582077</v>
      </c>
      <c r="AH153" s="1468">
        <f ca="1">SUM(AH154:AH158)</f>
        <v>0.35000000000582077</v>
      </c>
      <c r="AI153" s="1293">
        <f t="shared" ref="AI153:AJ153" si="320">SUM(AI154:AI158)</f>
        <v>0</v>
      </c>
      <c r="AJ153" s="1293">
        <f t="shared" si="320"/>
        <v>0</v>
      </c>
    </row>
    <row r="154" spans="1:36" ht="36.75" x14ac:dyDescent="0.25">
      <c r="A154" s="182" t="str">
        <f>CONCATENATE('3 pr-2'!A155)</f>
        <v>2.1.3.2.1</v>
      </c>
      <c r="B154" s="182" t="str">
        <f>CONCATENATE('3 pr-2'!B155)</f>
        <v>R01-4408-260000-2321</v>
      </c>
      <c r="C154" s="652" t="str">
        <f>IF('ketv. 4 '!X155&gt;0,'ketv. 4 '!C155,"-")</f>
        <v>08.1.2-CPVA-R-408-11-0001</v>
      </c>
      <c r="D154" s="446"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96">
        <f>SUM('3 pr-2'!L155)</f>
        <v>736499</v>
      </c>
      <c r="L154" s="1426">
        <f t="shared" ref="L154:L158" ca="1" si="321">SUM(P154+T154+X154+AB154+AF154+AJ154)</f>
        <v>736499</v>
      </c>
      <c r="M154" s="1427">
        <f t="shared" ref="M154:M158" ca="1" si="322">SUM(K154-L154)</f>
        <v>0</v>
      </c>
      <c r="N154" s="1428">
        <f t="shared" ref="N154:N158" ca="1" si="323">IF(L154&gt;0,K154-L154,0)</f>
        <v>0</v>
      </c>
      <c r="O154" s="1432">
        <f>SUM('3 pr-2'!O155)</f>
        <v>110475</v>
      </c>
      <c r="P154" s="1426">
        <f ca="1">SUMIF('sutarčių ataskaita'!$J$19:$J$2600,C154,'sutarčių ataskaita'!$DK$19:$DK$600)</f>
        <v>110475</v>
      </c>
      <c r="Q154" s="1427">
        <f t="shared" ref="Q154:Q158" ca="1" si="324">SUM(O154-P154)</f>
        <v>0</v>
      </c>
      <c r="R154" s="1428">
        <f t="shared" ref="R154:R158" ca="1" si="325">IF(P154&gt;0,O154-P154,0)</f>
        <v>0</v>
      </c>
      <c r="S154" s="1432">
        <f>SUM('3 pr-2'!R155)</f>
        <v>0</v>
      </c>
      <c r="T154" s="1432">
        <f ca="1">SUMIF('sutarčių ataskaita'!$J$19:$J$2600,C154,'sutarčių ataskaita'!$DG$19:$DG$600)</f>
        <v>0</v>
      </c>
      <c r="U154" s="1427">
        <f t="shared" ref="U154:U158" ca="1" si="326">SUM(S154-T154)</f>
        <v>0</v>
      </c>
      <c r="V154" s="1428">
        <f t="shared" ref="V154:V158" ca="1" si="327">IF(T154&gt;0,S154-T154,0)</f>
        <v>0</v>
      </c>
      <c r="W154" s="1432">
        <f>SUM('3 pr-2'!U155)</f>
        <v>0</v>
      </c>
      <c r="X154" s="1432">
        <f ca="1">SUMIF('sutarčių ataskaita'!$J$19:$J$2600,C154,'sutarčių ataskaita'!$DM$19:$DM$600)</f>
        <v>0</v>
      </c>
      <c r="Y154" s="1427">
        <f t="shared" ref="Y154:Y158" ca="1" si="328">SUM(W154-X154)</f>
        <v>0</v>
      </c>
      <c r="Z154" s="1428">
        <f t="shared" ref="Z154:Z158" ca="1" si="329">IF(X154&gt;0,W154-X154,0)</f>
        <v>0</v>
      </c>
      <c r="AA154" s="1432">
        <f>SUM('3 pr-2'!X155)</f>
        <v>0</v>
      </c>
      <c r="AB154" s="1432">
        <f ca="1">SUMIF('sutarčių ataskaita'!$J$19:$J$2600,C154,'sutarčių ataskaita'!$DL$19:$DL$600)+SUMIF('sutarčių ataskaita'!$J$19:$J$2600,C154,'sutarčių ataskaita'!$DJ$19:$DJ$600)</f>
        <v>0</v>
      </c>
      <c r="AC154" s="1427">
        <f ca="1">SUM(AA154-AB154)</f>
        <v>0</v>
      </c>
      <c r="AD154" s="1428">
        <f t="shared" ref="AD154:AD158" ca="1" si="330">IF(AB154&gt;0,AA154-AB154,0)</f>
        <v>0</v>
      </c>
      <c r="AE154" s="1432">
        <f>SUM('3 pr-2'!AA155)</f>
        <v>626024</v>
      </c>
      <c r="AF154" s="1431">
        <f ca="1">SUMIF('sutarčių ataskaita'!$J$19:$J$2600,C154,'sutarčių ataskaita'!$DF$19:$DF$600)</f>
        <v>626024</v>
      </c>
      <c r="AG154" s="1454">
        <f t="shared" ref="AG154:AG158" ca="1" si="331">SUM(AE154-AF154)</f>
        <v>0</v>
      </c>
      <c r="AH154" s="1430">
        <f t="shared" ref="AH154:AH158" ca="1" si="332">IF(AF154&gt;0,AE154-AF154,0)</f>
        <v>0</v>
      </c>
      <c r="AI154" s="1296">
        <f>SUM('3 pr-2'!AB156)</f>
        <v>0</v>
      </c>
      <c r="AJ154" s="1426">
        <v>0</v>
      </c>
    </row>
    <row r="155" spans="1:36" ht="36.75" x14ac:dyDescent="0.25">
      <c r="A155" s="182" t="str">
        <f>CONCATENATE('3 pr-2'!A156)</f>
        <v>2.1.3.2.2</v>
      </c>
      <c r="B155" s="182" t="str">
        <f>CONCATENATE('3 pr-2'!B156)</f>
        <v>R01-4408-250000-2322</v>
      </c>
      <c r="C155" s="652" t="str">
        <f>IF('ketv. 4 '!X156&gt;0,'ketv. 4 '!C156,"-")</f>
        <v>08.1.2-CPVA-R-408-11-0005</v>
      </c>
      <c r="D155" s="446"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96">
        <f>SUM('3 pr-2'!L156)</f>
        <v>241889</v>
      </c>
      <c r="L155" s="1426">
        <f t="shared" ca="1" si="321"/>
        <v>241889</v>
      </c>
      <c r="M155" s="1427">
        <f t="shared" ca="1" si="322"/>
        <v>0</v>
      </c>
      <c r="N155" s="1428">
        <f t="shared" ca="1" si="323"/>
        <v>0</v>
      </c>
      <c r="O155" s="1432">
        <f>SUM('3 pr-2'!O156)</f>
        <v>36283</v>
      </c>
      <c r="P155" s="1426">
        <f ca="1">SUMIF('sutarčių ataskaita'!$J$19:$J$2600,C155,'sutarčių ataskaita'!$DK$19:$DK$600)</f>
        <v>36283.35</v>
      </c>
      <c r="Q155" s="1427">
        <f t="shared" ca="1" si="324"/>
        <v>-0.34999999999854481</v>
      </c>
      <c r="R155" s="1428">
        <f t="shared" ca="1" si="325"/>
        <v>-0.34999999999854481</v>
      </c>
      <c r="S155" s="1432">
        <f>SUM('3 pr-2'!R156)</f>
        <v>0</v>
      </c>
      <c r="T155" s="1432">
        <f ca="1">SUMIF('sutarčių ataskaita'!$J$19:$J$2600,C155,'sutarčių ataskaita'!$DG$19:$DG$600)</f>
        <v>0</v>
      </c>
      <c r="U155" s="1427">
        <f t="shared" ca="1" si="326"/>
        <v>0</v>
      </c>
      <c r="V155" s="1428">
        <f t="shared" ca="1" si="327"/>
        <v>0</v>
      </c>
      <c r="W155" s="1432">
        <f>SUM('3 pr-2'!U156)</f>
        <v>0</v>
      </c>
      <c r="X155" s="1432">
        <f ca="1">SUMIF('sutarčių ataskaita'!$J$19:$J$2600,C155,'sutarčių ataskaita'!$DM$19:$DM$600)</f>
        <v>0</v>
      </c>
      <c r="Y155" s="1427">
        <f t="shared" ca="1" si="328"/>
        <v>0</v>
      </c>
      <c r="Z155" s="1428">
        <f t="shared" ca="1" si="329"/>
        <v>0</v>
      </c>
      <c r="AA155" s="1432">
        <f>SUM('3 pr-2'!X156)</f>
        <v>0</v>
      </c>
      <c r="AB155" s="1432">
        <f ca="1">SUMIF('sutarčių ataskaita'!$J$19:$J$2600,C155,'sutarčių ataskaita'!$DL$19:$DL$600)+SUMIF('sutarčių ataskaita'!$J$19:$J$2600,C155,'sutarčių ataskaita'!$DJ$19:$DJ$600)</f>
        <v>0</v>
      </c>
      <c r="AC155" s="1427">
        <f ca="1">SUM(AA155-AB155)</f>
        <v>0</v>
      </c>
      <c r="AD155" s="1428">
        <f t="shared" ca="1" si="330"/>
        <v>0</v>
      </c>
      <c r="AE155" s="1432">
        <f>SUM('3 pr-2'!AA156)</f>
        <v>205606</v>
      </c>
      <c r="AF155" s="1431">
        <f ca="1">SUMIF('sutarčių ataskaita'!$J$19:$J$2600,C155,'sutarčių ataskaita'!$DF$19:$DF$600)</f>
        <v>205605.65</v>
      </c>
      <c r="AG155" s="1429">
        <f t="shared" ca="1" si="331"/>
        <v>0.35000000000582077</v>
      </c>
      <c r="AH155" s="1430">
        <f t="shared" ca="1" si="332"/>
        <v>0.35000000000582077</v>
      </c>
      <c r="AI155" s="1296">
        <f>SUM('3 pr-2'!AB157)</f>
        <v>0</v>
      </c>
      <c r="AJ155" s="1426">
        <v>0</v>
      </c>
    </row>
    <row r="156" spans="1:36" ht="36.75" x14ac:dyDescent="0.25">
      <c r="A156" s="182" t="str">
        <f>CONCATENATE('3 pr-2'!A157)</f>
        <v>2.1.3.1.3</v>
      </c>
      <c r="B156" s="182" t="str">
        <f>CONCATENATE('3 pr-2'!B157)</f>
        <v>R01-4408-260000-2323</v>
      </c>
      <c r="C156" s="652" t="str">
        <f>IF('ketv. 4 '!X157&gt;0,'ketv. 4 '!C157,"-")</f>
        <v>08.1.2-CPVA-R-408-11-0002</v>
      </c>
      <c r="D156" s="446"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96">
        <f>SUM('3 pr-2'!L157)</f>
        <v>891741.17999999993</v>
      </c>
      <c r="L156" s="1426">
        <f t="shared" ca="1" si="321"/>
        <v>891741.17999999993</v>
      </c>
      <c r="M156" s="1427">
        <f t="shared" ca="1" si="322"/>
        <v>0</v>
      </c>
      <c r="N156" s="1428">
        <f t="shared" ca="1" si="323"/>
        <v>0</v>
      </c>
      <c r="O156" s="1432">
        <f>SUM('3 pr-2'!O157)</f>
        <v>133761.18</v>
      </c>
      <c r="P156" s="1426">
        <f ca="1">SUMIF('sutarčių ataskaita'!$J$19:$J$2600,C156,'sutarčių ataskaita'!$DK$19:$DK$600)</f>
        <v>133761.18</v>
      </c>
      <c r="Q156" s="1427">
        <f t="shared" ca="1" si="324"/>
        <v>0</v>
      </c>
      <c r="R156" s="1428">
        <f t="shared" ca="1" si="325"/>
        <v>0</v>
      </c>
      <c r="S156" s="1432">
        <f>SUM('3 pr-2'!R157)</f>
        <v>0</v>
      </c>
      <c r="T156" s="1432">
        <f ca="1">SUMIF('sutarčių ataskaita'!$J$19:$J$2600,C156,'sutarčių ataskaita'!$DG$19:$DG$600)</f>
        <v>0</v>
      </c>
      <c r="U156" s="1427">
        <f t="shared" ca="1" si="326"/>
        <v>0</v>
      </c>
      <c r="V156" s="1428">
        <f t="shared" ca="1" si="327"/>
        <v>0</v>
      </c>
      <c r="W156" s="1432">
        <f>SUM('3 pr-2'!U157)</f>
        <v>0</v>
      </c>
      <c r="X156" s="1432">
        <f ca="1">SUMIF('sutarčių ataskaita'!$J$19:$J$2600,C156,'sutarčių ataskaita'!$DM$19:$DM$600)</f>
        <v>0</v>
      </c>
      <c r="Y156" s="1427">
        <f t="shared" ca="1" si="328"/>
        <v>0</v>
      </c>
      <c r="Z156" s="1428">
        <f t="shared" ca="1" si="329"/>
        <v>0</v>
      </c>
      <c r="AA156" s="1432">
        <f>SUM('3 pr-2'!X157)</f>
        <v>0</v>
      </c>
      <c r="AB156" s="1432">
        <f ca="1">SUMIF('sutarčių ataskaita'!$J$19:$J$2600,C156,'sutarčių ataskaita'!$DL$19:$DL$600)+SUMIF('sutarčių ataskaita'!$J$19:$J$2600,C156,'sutarčių ataskaita'!$DJ$19:$DJ$600)</f>
        <v>0</v>
      </c>
      <c r="AC156" s="1427">
        <f ca="1">SUM(AA156-AB156)</f>
        <v>0</v>
      </c>
      <c r="AD156" s="1428">
        <f t="shared" ca="1" si="330"/>
        <v>0</v>
      </c>
      <c r="AE156" s="1432">
        <f>SUM('3 pr-2'!AA157)</f>
        <v>757980</v>
      </c>
      <c r="AF156" s="1431">
        <f ca="1">SUMIF('sutarčių ataskaita'!$J$19:$J$2600,C156,'sutarčių ataskaita'!$DF$19:$DF$600)</f>
        <v>757980</v>
      </c>
      <c r="AG156" s="1429">
        <f t="shared" ca="1" si="331"/>
        <v>0</v>
      </c>
      <c r="AH156" s="1430">
        <f t="shared" ca="1" si="332"/>
        <v>0</v>
      </c>
      <c r="AI156" s="1296">
        <f>SUM('3 pr-2'!AB158)</f>
        <v>0</v>
      </c>
      <c r="AJ156" s="1426">
        <v>0</v>
      </c>
    </row>
    <row r="157" spans="1:36" ht="36.75" x14ac:dyDescent="0.25">
      <c r="A157" s="182" t="str">
        <f>CONCATENATE('3 pr-2'!A158)</f>
        <v>2.1.3.2.4</v>
      </c>
      <c r="B157" s="182" t="str">
        <f>CONCATENATE('3 pr-2'!B158)</f>
        <v>R01-4408-260000-2324</v>
      </c>
      <c r="C157" s="652" t="str">
        <f>IF('ketv. 4 '!X158&gt;0,'ketv. 4 '!C158,"-")</f>
        <v>08.1.2-CPVA-R-408-11-0003</v>
      </c>
      <c r="D157" s="446"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96">
        <f>SUM('3 pr-2'!L158)</f>
        <v>727472.94</v>
      </c>
      <c r="L157" s="1426">
        <f t="shared" ca="1" si="321"/>
        <v>727472.94</v>
      </c>
      <c r="M157" s="1427">
        <f t="shared" ca="1" si="322"/>
        <v>0</v>
      </c>
      <c r="N157" s="1428">
        <f t="shared" ca="1" si="323"/>
        <v>0</v>
      </c>
      <c r="O157" s="1432">
        <f>SUM('3 pr-2'!O158)</f>
        <v>109120.95</v>
      </c>
      <c r="P157" s="1426">
        <f ca="1">SUMIF('sutarčių ataskaita'!$J$19:$J$2600,C157,'sutarčių ataskaita'!$DK$19:$DK$600)</f>
        <v>109120.95</v>
      </c>
      <c r="Q157" s="1427">
        <f t="shared" ca="1" si="324"/>
        <v>0</v>
      </c>
      <c r="R157" s="1428">
        <f t="shared" ca="1" si="325"/>
        <v>0</v>
      </c>
      <c r="S157" s="1432">
        <f>SUM('3 pr-2'!R158)</f>
        <v>0</v>
      </c>
      <c r="T157" s="1432">
        <f ca="1">SUMIF('sutarčių ataskaita'!$J$19:$J$2600,C157,'sutarčių ataskaita'!$DG$19:$DG$600)</f>
        <v>0</v>
      </c>
      <c r="U157" s="1427">
        <f t="shared" ca="1" si="326"/>
        <v>0</v>
      </c>
      <c r="V157" s="1428">
        <f t="shared" ca="1" si="327"/>
        <v>0</v>
      </c>
      <c r="W157" s="1432">
        <f>SUM('3 pr-2'!U158)</f>
        <v>0</v>
      </c>
      <c r="X157" s="1432">
        <f ca="1">SUMIF('sutarčių ataskaita'!$J$19:$J$2600,C157,'sutarčių ataskaita'!$DM$19:$DM$600)</f>
        <v>0</v>
      </c>
      <c r="Y157" s="1427">
        <f t="shared" ca="1" si="328"/>
        <v>0</v>
      </c>
      <c r="Z157" s="1428">
        <f t="shared" ca="1" si="329"/>
        <v>0</v>
      </c>
      <c r="AA157" s="1432">
        <f>SUM('3 pr-2'!X158)</f>
        <v>0</v>
      </c>
      <c r="AB157" s="1432">
        <f ca="1">SUMIF('sutarčių ataskaita'!$J$19:$J$2600,C157,'sutarčių ataskaita'!$DL$19:$DL$600)+SUMIF('sutarčių ataskaita'!$J$19:$J$2600,C157,'sutarčių ataskaita'!$DJ$19:$DJ$600)</f>
        <v>0</v>
      </c>
      <c r="AC157" s="1427">
        <f ca="1">SUM(AA157-AB157)</f>
        <v>0</v>
      </c>
      <c r="AD157" s="1428">
        <f t="shared" ca="1" si="330"/>
        <v>0</v>
      </c>
      <c r="AE157" s="1432">
        <f>SUM('3 pr-2'!AA158)</f>
        <v>618351.99</v>
      </c>
      <c r="AF157" s="1431">
        <f ca="1">SUMIF('sutarčių ataskaita'!$J$19:$J$2600,C157,'sutarčių ataskaita'!$DF$19:$DF$600)</f>
        <v>618351.99</v>
      </c>
      <c r="AG157" s="1429">
        <f t="shared" ca="1" si="331"/>
        <v>0</v>
      </c>
      <c r="AH157" s="1430">
        <f t="shared" ca="1" si="332"/>
        <v>0</v>
      </c>
      <c r="AI157" s="1296">
        <f>SUM('3 pr-2'!AB159)</f>
        <v>0</v>
      </c>
      <c r="AJ157" s="1426">
        <v>0</v>
      </c>
    </row>
    <row r="158" spans="1:36" ht="37.5" thickBot="1" x14ac:dyDescent="0.3">
      <c r="A158" s="182" t="str">
        <f>CONCATENATE('3 pr-2'!A159)</f>
        <v>2.1.3.2.5</v>
      </c>
      <c r="B158" s="182" t="str">
        <f>CONCATENATE('3 pr-2'!B159)</f>
        <v>R01-4408-252600-2325</v>
      </c>
      <c r="C158" s="652" t="str">
        <f>IF('ketv. 4 '!X159&gt;0,'ketv. 4 '!C159,"-")</f>
        <v>08.1.2-CPVA-R-408-11-0004</v>
      </c>
      <c r="D158" s="446"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296">
        <f>SUM('3 pr-2'!L159)</f>
        <v>368599</v>
      </c>
      <c r="L158" s="1426">
        <f t="shared" ca="1" si="321"/>
        <v>368599</v>
      </c>
      <c r="M158" s="1427">
        <f t="shared" ca="1" si="322"/>
        <v>0</v>
      </c>
      <c r="N158" s="1428">
        <f t="shared" ca="1" si="323"/>
        <v>0</v>
      </c>
      <c r="O158" s="1432">
        <f>SUM('3 pr-2'!O159)</f>
        <v>55587</v>
      </c>
      <c r="P158" s="1426">
        <f ca="1">SUMIF('sutarčių ataskaita'!$J$19:$J$2600,C158,'sutarčių ataskaita'!$DK$19:$DK$600)</f>
        <v>55587</v>
      </c>
      <c r="Q158" s="1427">
        <f t="shared" ca="1" si="324"/>
        <v>0</v>
      </c>
      <c r="R158" s="1428">
        <f t="shared" ca="1" si="325"/>
        <v>0</v>
      </c>
      <c r="S158" s="1432">
        <f>SUM('3 pr-2'!R159)</f>
        <v>0</v>
      </c>
      <c r="T158" s="1432">
        <f ca="1">SUMIF('sutarčių ataskaita'!$J$19:$J$2600,C158,'sutarčių ataskaita'!$DG$19:$DG$600)</f>
        <v>0</v>
      </c>
      <c r="U158" s="1427">
        <f t="shared" ca="1" si="326"/>
        <v>0</v>
      </c>
      <c r="V158" s="1428">
        <f t="shared" ca="1" si="327"/>
        <v>0</v>
      </c>
      <c r="W158" s="1432">
        <f>SUM('3 pr-2'!U159)</f>
        <v>0</v>
      </c>
      <c r="X158" s="1432">
        <f ca="1">SUMIF('sutarčių ataskaita'!$J$19:$J$2600,C158,'sutarčių ataskaita'!$DM$19:$DM$600)</f>
        <v>0</v>
      </c>
      <c r="Y158" s="1427">
        <f t="shared" ca="1" si="328"/>
        <v>0</v>
      </c>
      <c r="Z158" s="1428">
        <f t="shared" ca="1" si="329"/>
        <v>0</v>
      </c>
      <c r="AA158" s="1432">
        <f>SUM('3 pr-2'!X159)</f>
        <v>0</v>
      </c>
      <c r="AB158" s="1432">
        <f ca="1">SUMIF('sutarčių ataskaita'!$J$19:$J$2600,C158,'sutarčių ataskaita'!$DL$19:$DL$600)+SUMIF('sutarčių ataskaita'!$J$19:$J$2600,C158,'sutarčių ataskaita'!$DJ$19:$DJ$600)</f>
        <v>0</v>
      </c>
      <c r="AC158" s="1427">
        <f ca="1">SUM(AA158-AB158)</f>
        <v>0</v>
      </c>
      <c r="AD158" s="1428">
        <f t="shared" ca="1" si="330"/>
        <v>0</v>
      </c>
      <c r="AE158" s="1432">
        <f>SUM('3 pr-2'!AA159)</f>
        <v>313012</v>
      </c>
      <c r="AF158" s="1431">
        <f ca="1">SUMIF('sutarčių ataskaita'!$J$19:$J$2600,C158,'sutarčių ataskaita'!$DF$19:$DF$600)</f>
        <v>313012</v>
      </c>
      <c r="AG158" s="1447">
        <f t="shared" ca="1" si="331"/>
        <v>0</v>
      </c>
      <c r="AH158" s="1430">
        <f t="shared" ca="1" si="332"/>
        <v>0</v>
      </c>
      <c r="AI158" s="1296">
        <f>SUM('3 pr-2'!AB160)</f>
        <v>0</v>
      </c>
      <c r="AJ158" s="1426">
        <v>0</v>
      </c>
    </row>
    <row r="159" spans="1:36" ht="44.25" customHeight="1" thickBot="1" x14ac:dyDescent="0.3">
      <c r="A159" s="261" t="str">
        <f>CONCATENATE('3 pr-2'!A160)</f>
        <v>2.1.4.</v>
      </c>
      <c r="B159" s="2022" t="str">
        <f>CONCATENATE('3 pr-2'!B160)</f>
        <v>Uždavinys:
Visuomenei teikiamų paslaugų kokybės, didinant jų atitikimo visuomenės poreikiams pagerinimas</v>
      </c>
      <c r="C159" s="2023"/>
      <c r="D159" s="2023"/>
      <c r="E159" s="2023"/>
      <c r="F159" s="2023"/>
      <c r="G159" s="2023"/>
      <c r="H159" s="2023"/>
      <c r="I159" s="2023"/>
      <c r="J159" s="2024"/>
      <c r="K159" s="1420">
        <f>SUM('3 pr-2'!L160)</f>
        <v>1106987.73</v>
      </c>
      <c r="L159" s="1420">
        <f ca="1">SUM(L160)</f>
        <v>906987.73</v>
      </c>
      <c r="M159" s="1418">
        <f ca="1">SUM(M160)</f>
        <v>0</v>
      </c>
      <c r="N159" s="1419">
        <f ca="1">SUM(N160)</f>
        <v>0</v>
      </c>
      <c r="O159" s="1420">
        <f>SUM('3 pr-2'!O160)</f>
        <v>166179.88999999998</v>
      </c>
      <c r="P159" s="1420">
        <f ca="1">SUM(P160)</f>
        <v>136179.88999999998</v>
      </c>
      <c r="Q159" s="1420">
        <f ca="1">SUM(Q160)</f>
        <v>0</v>
      </c>
      <c r="R159" s="1420">
        <f ca="1">SUM(R160)</f>
        <v>0</v>
      </c>
      <c r="S159" s="1420">
        <f>SUM('3 pr-2'!R160)</f>
        <v>0</v>
      </c>
      <c r="T159" s="1420">
        <f ca="1">SUM(T160)</f>
        <v>0</v>
      </c>
      <c r="U159" s="1420">
        <f ca="1">SUM(U160)</f>
        <v>0</v>
      </c>
      <c r="V159" s="1420">
        <f ca="1">SUM(V160)</f>
        <v>0</v>
      </c>
      <c r="W159" s="1420">
        <f>SUM('3 pr-2'!U160)</f>
        <v>0</v>
      </c>
      <c r="X159" s="1420">
        <f ca="1">SUM(X160)</f>
        <v>0</v>
      </c>
      <c r="Y159" s="1420">
        <f ca="1">SUM(Y160)</f>
        <v>0</v>
      </c>
      <c r="Z159" s="1420">
        <f ca="1">SUM(Z160)</f>
        <v>0</v>
      </c>
      <c r="AA159" s="1420">
        <f>SUM('3 pr-2'!X160)</f>
        <v>0</v>
      </c>
      <c r="AB159" s="1420">
        <f ca="1">SUM(AB160)</f>
        <v>0</v>
      </c>
      <c r="AC159" s="1420">
        <f ca="1">SUM(AC160)</f>
        <v>0</v>
      </c>
      <c r="AD159" s="1420">
        <f ca="1">SUM(AD160)</f>
        <v>0</v>
      </c>
      <c r="AE159" s="1420">
        <f>SUM('3 pr-2'!AA160)</f>
        <v>940807.84000000008</v>
      </c>
      <c r="AF159" s="1420">
        <f ca="1">SUM(AF160)</f>
        <v>770807.84000000008</v>
      </c>
      <c r="AG159" s="1445">
        <f ca="1">SUM(AG160)</f>
        <v>0</v>
      </c>
      <c r="AH159" s="1446">
        <f ca="1">SUM(AH160)</f>
        <v>0</v>
      </c>
      <c r="AI159" s="1420">
        <f t="shared" ref="AI159:AJ159" si="333">SUM(AI160)</f>
        <v>0</v>
      </c>
      <c r="AJ159" s="1420">
        <f t="shared" si="333"/>
        <v>0</v>
      </c>
    </row>
    <row r="160" spans="1:36" ht="37.5" customHeight="1" thickBot="1" x14ac:dyDescent="0.3">
      <c r="A160" s="326" t="str">
        <f>CONCATENATE('3 pr-2'!A161)</f>
        <v>2.1.4.1</v>
      </c>
      <c r="B160" s="2025" t="str">
        <f>CONCATENATE('3 pr-2'!B161)</f>
        <v>Priemonė:
Paslaugų teikimo ir asmenų aptarnavimo kokybės gerinimas savivaldybėse</v>
      </c>
      <c r="C160" s="2026"/>
      <c r="D160" s="2026"/>
      <c r="E160" s="2026"/>
      <c r="F160" s="2026"/>
      <c r="G160" s="2026"/>
      <c r="H160" s="2026"/>
      <c r="I160" s="2026"/>
      <c r="J160" s="2027"/>
      <c r="K160" s="1293">
        <f>SUM('3 pr-2'!L161)</f>
        <v>1106987.73</v>
      </c>
      <c r="L160" s="1293">
        <f ca="1">SUM(L161:L166)</f>
        <v>906987.73</v>
      </c>
      <c r="M160" s="1422">
        <f ca="1">SUM(M161:M165)</f>
        <v>0</v>
      </c>
      <c r="N160" s="1423">
        <f ca="1">SUM(N161:N165)</f>
        <v>0</v>
      </c>
      <c r="O160" s="1293">
        <f>SUM('3 pr-2'!O161)</f>
        <v>166179.88999999998</v>
      </c>
      <c r="P160" s="1293">
        <f ca="1">SUM(P161:P165)</f>
        <v>136179.88999999998</v>
      </c>
      <c r="Q160" s="1293">
        <f ca="1">SUM(Q161:Q165)</f>
        <v>0</v>
      </c>
      <c r="R160" s="1293">
        <f ca="1">SUM(R161:R165)</f>
        <v>0</v>
      </c>
      <c r="S160" s="1293">
        <f>SUM('3 pr-2'!R161)</f>
        <v>0</v>
      </c>
      <c r="T160" s="1293">
        <f ca="1">SUM(T161:T165)</f>
        <v>0</v>
      </c>
      <c r="U160" s="1293">
        <f ca="1">SUM(U161:U165)</f>
        <v>0</v>
      </c>
      <c r="V160" s="1293">
        <f ca="1">SUM(V161:V165)</f>
        <v>0</v>
      </c>
      <c r="W160" s="1293">
        <f>SUM('3 pr-2'!U161)</f>
        <v>0</v>
      </c>
      <c r="X160" s="1293">
        <f ca="1">SUM(X161:X165)</f>
        <v>0</v>
      </c>
      <c r="Y160" s="1293">
        <f ca="1">SUM(Y161:Y165)</f>
        <v>0</v>
      </c>
      <c r="Z160" s="1293">
        <f ca="1">SUM(Z161:Z165)</f>
        <v>0</v>
      </c>
      <c r="AA160" s="1293">
        <f>SUM('3 pr-2'!X161)</f>
        <v>0</v>
      </c>
      <c r="AB160" s="1293">
        <f ca="1">SUM(AB161:AB165)</f>
        <v>0</v>
      </c>
      <c r="AC160" s="1293">
        <f ca="1">SUM(AC161:AC165)</f>
        <v>0</v>
      </c>
      <c r="AD160" s="1293">
        <f ca="1">SUM(AD161:AD165)</f>
        <v>0</v>
      </c>
      <c r="AE160" s="1293">
        <f>SUM('3 pr-2'!AA161)</f>
        <v>940807.84000000008</v>
      </c>
      <c r="AF160" s="1293">
        <f ca="1">SUM(AF161:AF165)</f>
        <v>770807.84000000008</v>
      </c>
      <c r="AG160" s="1442">
        <f ca="1">SUM(AG161:AG165)</f>
        <v>0</v>
      </c>
      <c r="AH160" s="1443">
        <f ca="1">SUM(AH161:AH165)</f>
        <v>0</v>
      </c>
      <c r="AI160" s="1293">
        <f t="shared" ref="AI160:AJ160" si="334">SUM(AI161:AI165)</f>
        <v>0</v>
      </c>
      <c r="AJ160" s="1293">
        <f t="shared" si="334"/>
        <v>0</v>
      </c>
    </row>
    <row r="161" spans="1:36" ht="36.75" x14ac:dyDescent="0.25">
      <c r="A161" s="182" t="str">
        <f>CONCATENATE('3 pr-2'!A162)</f>
        <v>2.1.4.1.1</v>
      </c>
      <c r="B161" s="182" t="str">
        <f>CONCATENATE('3 pr-2'!B162)</f>
        <v>R01-9920-490000-2411</v>
      </c>
      <c r="C161" s="652" t="str">
        <f>IF('ketv. 4 '!X162&gt;0,'ketv. 4 '!C162,"-")</f>
        <v>10.1.3-ESFA-R-920-11-0001</v>
      </c>
      <c r="D161" s="446"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96">
        <f>SUM('3 pr-2'!L162)</f>
        <v>172733.52</v>
      </c>
      <c r="L161" s="1426">
        <f t="shared" ref="L161:L166" ca="1" si="335">SUM(P161+T161+X161+AB161+AF161+AJ161)</f>
        <v>172733.52</v>
      </c>
      <c r="M161" s="1427">
        <f ca="1">SUM(K161-L161)</f>
        <v>0</v>
      </c>
      <c r="N161" s="1428">
        <f ca="1">IF(L161&gt;0,K161-L161,0)</f>
        <v>0</v>
      </c>
      <c r="O161" s="1432">
        <f>SUM('3 pr-2'!O162)</f>
        <v>25910.03</v>
      </c>
      <c r="P161" s="1426">
        <f ca="1">SUMIF('sutarčių ataskaita'!$J$19:$J$2600,C161,'sutarčių ataskaita'!$DK$19:$DK$600)</f>
        <v>25910.03</v>
      </c>
      <c r="Q161" s="1427">
        <f t="shared" ref="Q161:Q165" ca="1" si="336">SUM(O161-P161)</f>
        <v>0</v>
      </c>
      <c r="R161" s="1428">
        <f t="shared" ref="R161:R165" ca="1" si="337">IF(P161&gt;0,O161-P161,0)</f>
        <v>0</v>
      </c>
      <c r="S161" s="1432">
        <f>SUM('3 pr-2'!R162)</f>
        <v>0</v>
      </c>
      <c r="T161" s="1432">
        <f ca="1">SUMIF('sutarčių ataskaita'!$J$19:$J$2600,C161,'sutarčių ataskaita'!$DG$19:$DG$600)</f>
        <v>0</v>
      </c>
      <c r="U161" s="1427">
        <f t="shared" ref="U161:U165" ca="1" si="338">SUM(S161-T161)</f>
        <v>0</v>
      </c>
      <c r="V161" s="1428">
        <f t="shared" ref="V161:V165" ca="1" si="339">IF(T161&gt;0,S161-T161,0)</f>
        <v>0</v>
      </c>
      <c r="W161" s="1432">
        <f>SUM('3 pr-2'!U162)</f>
        <v>0</v>
      </c>
      <c r="X161" s="1432">
        <f ca="1">SUMIF('sutarčių ataskaita'!$J$19:$J$2600,C161,'sutarčių ataskaita'!$DM$19:$DM$600)</f>
        <v>0</v>
      </c>
      <c r="Y161" s="1427">
        <f t="shared" ref="Y161:Y165" ca="1" si="340">SUM(W161-X161)</f>
        <v>0</v>
      </c>
      <c r="Z161" s="1428">
        <f t="shared" ref="Z161:Z165" ca="1" si="341">IF(X161&gt;0,W161-X161,0)</f>
        <v>0</v>
      </c>
      <c r="AA161" s="1432">
        <f>SUM('3 pr-2'!X162)</f>
        <v>0</v>
      </c>
      <c r="AB161" s="1432">
        <f ca="1">SUMIF('sutarčių ataskaita'!$J$19:$J$2600,C161,'sutarčių ataskaita'!$DL$19:$DL$600)+SUMIF('sutarčių ataskaita'!$J$19:$J$2600,C161,'sutarčių ataskaita'!$DJ$19:$DJ$600)</f>
        <v>0</v>
      </c>
      <c r="AC161" s="1427">
        <f t="shared" ref="AC161:AC166" ca="1" si="342">SUM(AA161-AB161)</f>
        <v>0</v>
      </c>
      <c r="AD161" s="1428">
        <f t="shared" ref="AD161:AD165" ca="1" si="343">IF(AB161&gt;0,AA161-AB161,0)</f>
        <v>0</v>
      </c>
      <c r="AE161" s="1432">
        <f>SUM('3 pr-2'!AA162)</f>
        <v>146823.49</v>
      </c>
      <c r="AF161" s="1431">
        <f ca="1">SUMIF('sutarčių ataskaita'!$J$19:$J$2600,C161,'sutarčių ataskaita'!$DF$19:$DF$600)</f>
        <v>146823.49</v>
      </c>
      <c r="AG161" s="1454">
        <f t="shared" ref="AG161:AG165" ca="1" si="344">SUM(AE161-AF161)</f>
        <v>0</v>
      </c>
      <c r="AH161" s="1430">
        <f t="shared" ref="AH161:AH165" ca="1" si="345">IF(AF161&gt;0,AE161-AF161,0)</f>
        <v>0</v>
      </c>
      <c r="AI161" s="1296">
        <f>SUM('3 pr-2'!AB163)</f>
        <v>0</v>
      </c>
      <c r="AJ161" s="1426">
        <v>0</v>
      </c>
    </row>
    <row r="162" spans="1:36" ht="36.75" x14ac:dyDescent="0.25">
      <c r="A162" s="182" t="str">
        <f>CONCATENATE('3 pr-2'!A163)</f>
        <v>2.1.4.1.2</v>
      </c>
      <c r="B162" s="182" t="str">
        <f>CONCATENATE('3 pr-2'!B163)</f>
        <v>R01-9920-490000-2412</v>
      </c>
      <c r="C162" s="652" t="str">
        <f>IF('ketv. 4 '!X163&gt;0,'ketv. 4 '!C163,"-")</f>
        <v>10.1.3-ESFA-R-920-11-0005</v>
      </c>
      <c r="D162" s="446"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96">
        <f>SUM('3 pr-2'!L163)</f>
        <v>192832.21</v>
      </c>
      <c r="L162" s="1426">
        <f t="shared" ca="1" si="335"/>
        <v>192832.21</v>
      </c>
      <c r="M162" s="1427">
        <f ca="1">SUM(K162-L162)</f>
        <v>0</v>
      </c>
      <c r="N162" s="1428">
        <f ca="1">IF(L162&gt;0,K162-L162,0)</f>
        <v>0</v>
      </c>
      <c r="O162" s="1432">
        <f>SUM('3 pr-2'!O163)</f>
        <v>28924.84</v>
      </c>
      <c r="P162" s="1426">
        <f ca="1">SUMIF('sutarčių ataskaita'!$J$19:$J$2600,C162,'sutarčių ataskaita'!$DK$19:$DK$600)</f>
        <v>28924.84</v>
      </c>
      <c r="Q162" s="1427">
        <f t="shared" ca="1" si="336"/>
        <v>0</v>
      </c>
      <c r="R162" s="1428">
        <f t="shared" ca="1" si="337"/>
        <v>0</v>
      </c>
      <c r="S162" s="1432">
        <f>SUM('3 pr-2'!R163)</f>
        <v>0</v>
      </c>
      <c r="T162" s="1432">
        <f ca="1">SUMIF('sutarčių ataskaita'!$J$19:$J$2600,C162,'sutarčių ataskaita'!$DG$19:$DG$600)</f>
        <v>0</v>
      </c>
      <c r="U162" s="1427">
        <f t="shared" ca="1" si="338"/>
        <v>0</v>
      </c>
      <c r="V162" s="1428">
        <f t="shared" ca="1" si="339"/>
        <v>0</v>
      </c>
      <c r="W162" s="1432">
        <f>SUM('3 pr-2'!U163)</f>
        <v>0</v>
      </c>
      <c r="X162" s="1432">
        <f ca="1">SUMIF('sutarčių ataskaita'!$J$19:$J$2600,C162,'sutarčių ataskaita'!$DM$19:$DM$600)</f>
        <v>0</v>
      </c>
      <c r="Y162" s="1427">
        <f t="shared" ca="1" si="340"/>
        <v>0</v>
      </c>
      <c r="Z162" s="1428">
        <f t="shared" ca="1" si="341"/>
        <v>0</v>
      </c>
      <c r="AA162" s="1432">
        <f>SUM('3 pr-2'!X163)</f>
        <v>0</v>
      </c>
      <c r="AB162" s="1432">
        <f ca="1">SUMIF('sutarčių ataskaita'!$J$19:$J$2600,C162,'sutarčių ataskaita'!$DL$19:$DL$600)+SUMIF('sutarčių ataskaita'!$J$19:$J$2600,C162,'sutarčių ataskaita'!$DJ$19:$DJ$600)</f>
        <v>0</v>
      </c>
      <c r="AC162" s="1427">
        <f t="shared" ca="1" si="342"/>
        <v>0</v>
      </c>
      <c r="AD162" s="1428">
        <f t="shared" ca="1" si="343"/>
        <v>0</v>
      </c>
      <c r="AE162" s="1432">
        <f>SUM('3 pr-2'!AA163)</f>
        <v>163907.37</v>
      </c>
      <c r="AF162" s="1431">
        <f ca="1">SUMIF('sutarčių ataskaita'!$J$19:$J$2600,C162,'sutarčių ataskaita'!$DF$19:$DF$600)</f>
        <v>163907.37</v>
      </c>
      <c r="AG162" s="1454">
        <f t="shared" ca="1" si="344"/>
        <v>0</v>
      </c>
      <c r="AH162" s="1430">
        <f t="shared" ca="1" si="345"/>
        <v>0</v>
      </c>
      <c r="AI162" s="1296">
        <f>SUM('3 pr-2'!AB164)</f>
        <v>0</v>
      </c>
      <c r="AJ162" s="1426">
        <v>0</v>
      </c>
    </row>
    <row r="163" spans="1:36" ht="36.75" x14ac:dyDescent="0.25">
      <c r="A163" s="182" t="str">
        <f>CONCATENATE('3 pr-2'!A164)</f>
        <v>2.1.4.1.3</v>
      </c>
      <c r="B163" s="182" t="str">
        <f>CONCATENATE('3 pr-2'!B164)</f>
        <v>R01-9920-490000-2413</v>
      </c>
      <c r="C163" s="652" t="str">
        <f>IF('ketv. 4 '!X164&gt;0,'ketv. 4 '!C164,"-")</f>
        <v>10.1.3-ESFA-R-920-11-0003</v>
      </c>
      <c r="D163" s="446"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96">
        <f>SUM('3 pr-2'!L164)</f>
        <v>163986.88</v>
      </c>
      <c r="L163" s="1426">
        <f t="shared" ca="1" si="335"/>
        <v>163986.88</v>
      </c>
      <c r="M163" s="1427">
        <f t="shared" ref="M163:M165" ca="1" si="346">SUM(K163-L163)</f>
        <v>0</v>
      </c>
      <c r="N163" s="1428">
        <f t="shared" ref="N163:N165" ca="1" si="347">IF(L163&gt;0,K163-L163,0)</f>
        <v>0</v>
      </c>
      <c r="O163" s="1432">
        <f>SUM('3 pr-2'!O164)</f>
        <v>24598.880000000001</v>
      </c>
      <c r="P163" s="1426">
        <f ca="1">SUMIF('sutarčių ataskaita'!$J$19:$J$2600,C163,'sutarčių ataskaita'!$DK$19:$DK$600)</f>
        <v>24598.880000000001</v>
      </c>
      <c r="Q163" s="1427">
        <f t="shared" ca="1" si="336"/>
        <v>0</v>
      </c>
      <c r="R163" s="1428">
        <f t="shared" ca="1" si="337"/>
        <v>0</v>
      </c>
      <c r="S163" s="1432">
        <f>SUM('3 pr-2'!R164)</f>
        <v>0</v>
      </c>
      <c r="T163" s="1432">
        <f ca="1">SUMIF('sutarčių ataskaita'!$J$19:$J$2600,C163,'sutarčių ataskaita'!$DG$19:$DG$600)</f>
        <v>0</v>
      </c>
      <c r="U163" s="1427">
        <f t="shared" ca="1" si="338"/>
        <v>0</v>
      </c>
      <c r="V163" s="1428">
        <f t="shared" ca="1" si="339"/>
        <v>0</v>
      </c>
      <c r="W163" s="1432">
        <f>SUM('3 pr-2'!U164)</f>
        <v>0</v>
      </c>
      <c r="X163" s="1432">
        <f ca="1">SUMIF('sutarčių ataskaita'!$J$19:$J$2600,C163,'sutarčių ataskaita'!$DM$19:$DM$600)</f>
        <v>0</v>
      </c>
      <c r="Y163" s="1427">
        <f t="shared" ca="1" si="340"/>
        <v>0</v>
      </c>
      <c r="Z163" s="1428">
        <f t="shared" ca="1" si="341"/>
        <v>0</v>
      </c>
      <c r="AA163" s="1432">
        <f>SUM('3 pr-2'!X164)</f>
        <v>0</v>
      </c>
      <c r="AB163" s="1432">
        <f ca="1">SUMIF('sutarčių ataskaita'!$J$19:$J$2600,C163,'sutarčių ataskaita'!$DL$19:$DL$600)+SUMIF('sutarčių ataskaita'!$J$19:$J$2600,C163,'sutarčių ataskaita'!$DJ$19:$DJ$600)</f>
        <v>0</v>
      </c>
      <c r="AC163" s="1427">
        <f t="shared" ca="1" si="342"/>
        <v>0</v>
      </c>
      <c r="AD163" s="1428">
        <f t="shared" ca="1" si="343"/>
        <v>0</v>
      </c>
      <c r="AE163" s="1432">
        <f>SUM('3 pr-2'!AA164)</f>
        <v>139388</v>
      </c>
      <c r="AF163" s="1431">
        <f ca="1">SUMIF('sutarčių ataskaita'!$J$19:$J$2600,C163,'sutarčių ataskaita'!$DF$19:$DF$600)</f>
        <v>139388</v>
      </c>
      <c r="AG163" s="1454">
        <f t="shared" ca="1" si="344"/>
        <v>0</v>
      </c>
      <c r="AH163" s="1430">
        <f t="shared" ca="1" si="345"/>
        <v>0</v>
      </c>
      <c r="AI163" s="1296">
        <f>SUM('3 pr-2'!AB165)</f>
        <v>0</v>
      </c>
      <c r="AJ163" s="1426">
        <v>0</v>
      </c>
    </row>
    <row r="164" spans="1:36" ht="48.75" x14ac:dyDescent="0.25">
      <c r="A164" s="182" t="str">
        <f>CONCATENATE('3 pr-2'!A165)</f>
        <v>2.1.4.1.4</v>
      </c>
      <c r="B164" s="182" t="str">
        <f>CONCATENATE('3 pr-2'!B165)</f>
        <v>R01-9920-490000-2414</v>
      </c>
      <c r="C164" s="652" t="str">
        <f>IF('ketv. 4 '!X165&gt;0,'ketv. 4 '!C165,"-")</f>
        <v>10.1.3-ESFA-R-920-11-0007</v>
      </c>
      <c r="D164" s="446"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96">
        <f>SUM('3 pr-2'!L165)</f>
        <v>215693.16</v>
      </c>
      <c r="L164" s="1426">
        <f t="shared" ca="1" si="335"/>
        <v>215693.16</v>
      </c>
      <c r="M164" s="1427">
        <f t="shared" ca="1" si="346"/>
        <v>0</v>
      </c>
      <c r="N164" s="1428">
        <f t="shared" ca="1" si="347"/>
        <v>0</v>
      </c>
      <c r="O164" s="1432">
        <f>SUM('3 pr-2'!O165)</f>
        <v>32353.98</v>
      </c>
      <c r="P164" s="1426">
        <f ca="1">SUMIF('sutarčių ataskaita'!$J$19:$J$2600,C164,'sutarčių ataskaita'!$DK$19:$DK$600)</f>
        <v>32353.98</v>
      </c>
      <c r="Q164" s="1427">
        <f t="shared" ca="1" si="336"/>
        <v>0</v>
      </c>
      <c r="R164" s="1428">
        <f t="shared" ca="1" si="337"/>
        <v>0</v>
      </c>
      <c r="S164" s="1432">
        <f>SUM('3 pr-2'!R165)</f>
        <v>0</v>
      </c>
      <c r="T164" s="1432">
        <f ca="1">SUMIF('sutarčių ataskaita'!$J$19:$J$2600,C164,'sutarčių ataskaita'!$DG$19:$DG$600)</f>
        <v>0</v>
      </c>
      <c r="U164" s="1427">
        <f t="shared" ca="1" si="338"/>
        <v>0</v>
      </c>
      <c r="V164" s="1428">
        <f t="shared" ca="1" si="339"/>
        <v>0</v>
      </c>
      <c r="W164" s="1432">
        <f>SUM('3 pr-2'!U165)</f>
        <v>0</v>
      </c>
      <c r="X164" s="1432">
        <f ca="1">SUMIF('sutarčių ataskaita'!$J$19:$J$2600,C164,'sutarčių ataskaita'!$DM$19:$DM$600)</f>
        <v>0</v>
      </c>
      <c r="Y164" s="1427">
        <f t="shared" ca="1" si="340"/>
        <v>0</v>
      </c>
      <c r="Z164" s="1428">
        <f t="shared" ca="1" si="341"/>
        <v>0</v>
      </c>
      <c r="AA164" s="1432">
        <f>SUM('3 pr-2'!X165)</f>
        <v>0</v>
      </c>
      <c r="AB164" s="1432">
        <f ca="1">SUMIF('sutarčių ataskaita'!$J$19:$J$2600,C164,'sutarčių ataskaita'!$DL$19:$DL$600)+SUMIF('sutarčių ataskaita'!$J$19:$J$2600,C164,'sutarčių ataskaita'!$DJ$19:$DJ$600)</f>
        <v>0</v>
      </c>
      <c r="AC164" s="1427">
        <f t="shared" ca="1" si="342"/>
        <v>0</v>
      </c>
      <c r="AD164" s="1428">
        <f t="shared" ca="1" si="343"/>
        <v>0</v>
      </c>
      <c r="AE164" s="1432">
        <f>SUM('3 pr-2'!AA165)</f>
        <v>183339.18</v>
      </c>
      <c r="AF164" s="1431">
        <f ca="1">SUMIF('sutarčių ataskaita'!$J$19:$J$2600,C164,'sutarčių ataskaita'!$DF$19:$DF$600)</f>
        <v>183339.18</v>
      </c>
      <c r="AG164" s="1454">
        <f t="shared" ca="1" si="344"/>
        <v>0</v>
      </c>
      <c r="AH164" s="1430">
        <f t="shared" ca="1" si="345"/>
        <v>0</v>
      </c>
      <c r="AI164" s="1296">
        <f>SUM('3 pr-2'!AB166)</f>
        <v>0</v>
      </c>
      <c r="AJ164" s="1426">
        <v>0</v>
      </c>
    </row>
    <row r="165" spans="1:36" ht="36.75" x14ac:dyDescent="0.25">
      <c r="A165" s="182" t="str">
        <f>CONCATENATE('3 pr-2'!A166)</f>
        <v>2.1.4.1.5</v>
      </c>
      <c r="B165" s="182" t="str">
        <f>CONCATENATE('3 pr-2'!B166)</f>
        <v>R01-9920-490000-2415</v>
      </c>
      <c r="C165" s="652" t="str">
        <f>IF('ketv. 4 '!X166&gt;0,'ketv. 4 '!C166,"-")</f>
        <v>10.1.3-ESFA-R-920-11-0006</v>
      </c>
      <c r="D165" s="446"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96">
        <f>SUM('3 pr-2'!L166)</f>
        <v>161741.96</v>
      </c>
      <c r="L165" s="1426">
        <f t="shared" ca="1" si="335"/>
        <v>161741.96</v>
      </c>
      <c r="M165" s="1427">
        <f t="shared" ca="1" si="346"/>
        <v>0</v>
      </c>
      <c r="N165" s="1428">
        <f t="shared" ca="1" si="347"/>
        <v>0</v>
      </c>
      <c r="O165" s="1432">
        <f>SUM('3 pr-2'!O166)</f>
        <v>24392.16</v>
      </c>
      <c r="P165" s="1426">
        <f ca="1">SUMIF('sutarčių ataskaita'!$J$19:$J$2600,C165,'sutarčių ataskaita'!$DK$19:$DK$600)</f>
        <v>24392.16</v>
      </c>
      <c r="Q165" s="1427">
        <f t="shared" ca="1" si="336"/>
        <v>0</v>
      </c>
      <c r="R165" s="1428">
        <f t="shared" ca="1" si="337"/>
        <v>0</v>
      </c>
      <c r="S165" s="1432">
        <f>SUM('3 pr-2'!R166)</f>
        <v>0</v>
      </c>
      <c r="T165" s="1432">
        <f ca="1">SUMIF('sutarčių ataskaita'!$J$19:$J$2600,C165,'sutarčių ataskaita'!$DG$19:$DG$600)</f>
        <v>0</v>
      </c>
      <c r="U165" s="1427">
        <f t="shared" ca="1" si="338"/>
        <v>0</v>
      </c>
      <c r="V165" s="1428">
        <f t="shared" ca="1" si="339"/>
        <v>0</v>
      </c>
      <c r="W165" s="1432">
        <f>SUM('3 pr-2'!U166)</f>
        <v>0</v>
      </c>
      <c r="X165" s="1432">
        <f ca="1">SUMIF('sutarčių ataskaita'!$J$19:$J$2600,C165,'sutarčių ataskaita'!$DM$19:$DM$600)</f>
        <v>0</v>
      </c>
      <c r="Y165" s="1427">
        <f t="shared" ca="1" si="340"/>
        <v>0</v>
      </c>
      <c r="Z165" s="1428">
        <f t="shared" ca="1" si="341"/>
        <v>0</v>
      </c>
      <c r="AA165" s="1432">
        <f>SUM('3 pr-2'!X166)</f>
        <v>0</v>
      </c>
      <c r="AB165" s="1432">
        <f ca="1">SUMIF('sutarčių ataskaita'!$J$19:$J$2600,C165,'sutarčių ataskaita'!$DL$19:$DL$600)+SUMIF('sutarčių ataskaita'!$J$19:$J$2600,C165,'sutarčių ataskaita'!$DJ$19:$DJ$600)</f>
        <v>0</v>
      </c>
      <c r="AC165" s="1427">
        <f t="shared" ca="1" si="342"/>
        <v>0</v>
      </c>
      <c r="AD165" s="1428">
        <f t="shared" ca="1" si="343"/>
        <v>0</v>
      </c>
      <c r="AE165" s="1432">
        <f>SUM('3 pr-2'!AA166)</f>
        <v>137349.79999999999</v>
      </c>
      <c r="AF165" s="1431">
        <f ca="1">SUMIF('sutarčių ataskaita'!$J$19:$J$2600,C165,'sutarčių ataskaita'!$DF$19:$DF$600)</f>
        <v>137349.79999999999</v>
      </c>
      <c r="AG165" s="1441">
        <f t="shared" ca="1" si="344"/>
        <v>0</v>
      </c>
      <c r="AH165" s="1430">
        <f t="shared" ca="1" si="345"/>
        <v>0</v>
      </c>
      <c r="AI165" s="1296">
        <f>SUM('3 pr-2'!AB167)</f>
        <v>0</v>
      </c>
      <c r="AJ165" s="1426">
        <v>0</v>
      </c>
    </row>
    <row r="166" spans="1:36" ht="49.5" thickBot="1" x14ac:dyDescent="0.3">
      <c r="A166" s="182" t="str">
        <f>CONCATENATE('3 pr-2'!A167)</f>
        <v>2.1.4.1.6</v>
      </c>
      <c r="B166" s="182" t="str">
        <f>CONCATENATE('3 pr-2'!B167)</f>
        <v>R01-9920-490000-2416</v>
      </c>
      <c r="C166" s="652" t="str">
        <f>IF('ketv. 4 '!X167&gt;0,'ketv. 4 '!C167,"-")</f>
        <v>-</v>
      </c>
      <c r="D166" s="446"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82" t="str">
        <f>CONCATENATE('3 pr-2'!J167)</f>
        <v>-</v>
      </c>
      <c r="K166" s="1296">
        <f>SUM('3 pr-2'!L167)</f>
        <v>200000</v>
      </c>
      <c r="L166" s="1432">
        <f t="shared" ca="1" si="335"/>
        <v>0</v>
      </c>
      <c r="M166" s="1427">
        <f t="shared" ref="M166" ca="1" si="348">SUM(K166-L166)</f>
        <v>200000</v>
      </c>
      <c r="N166" s="1428">
        <f t="shared" ref="N166" ca="1" si="349">IF(L166&gt;0,K166-L166,0)</f>
        <v>0</v>
      </c>
      <c r="O166" s="1432">
        <f>SUM('3 pr-2'!O167)</f>
        <v>30000</v>
      </c>
      <c r="P166" s="1432">
        <f ca="1">SUMIF('sutarčių ataskaita'!$J$19:$J$2600,C166,'sutarčių ataskaita'!$DK$19:$DK$600)</f>
        <v>0</v>
      </c>
      <c r="Q166" s="1427">
        <f t="shared" ref="Q166" ca="1" si="350">SUM(O166-P166)</f>
        <v>30000</v>
      </c>
      <c r="R166" s="1428">
        <f t="shared" ref="R166" ca="1" si="351">IF(P166&gt;0,O166-P166,0)</f>
        <v>0</v>
      </c>
      <c r="S166" s="1432">
        <f>SUM('3 pr-2'!R167)</f>
        <v>0</v>
      </c>
      <c r="T166" s="1432">
        <f ca="1">SUMIF('sutarčių ataskaita'!$J$19:$J$2600,C166,'sutarčių ataskaita'!$DG$19:$DG$600)</f>
        <v>0</v>
      </c>
      <c r="U166" s="1427">
        <f t="shared" ref="U166" ca="1" si="352">SUM(S166-T166)</f>
        <v>0</v>
      </c>
      <c r="V166" s="1428">
        <f t="shared" ref="V166" ca="1" si="353">IF(T166&gt;0,S166-T166,0)</f>
        <v>0</v>
      </c>
      <c r="W166" s="1432">
        <f>SUM('3 pr-2'!U167)</f>
        <v>0</v>
      </c>
      <c r="X166" s="1432">
        <f ca="1">SUMIF('sutarčių ataskaita'!$J$19:$J$2600,C166,'sutarčių ataskaita'!$DM$19:$DM$600)</f>
        <v>0</v>
      </c>
      <c r="Y166" s="1427">
        <f t="shared" ref="Y166" ca="1" si="354">SUM(W166-X166)</f>
        <v>0</v>
      </c>
      <c r="Z166" s="1428">
        <f t="shared" ref="Z166" ca="1" si="355">IF(X166&gt;0,W166-X166,0)</f>
        <v>0</v>
      </c>
      <c r="AA166" s="1432">
        <f>SUM('3 pr-2'!X167)</f>
        <v>0</v>
      </c>
      <c r="AB166" s="1432">
        <f ca="1">SUMIF('sutarčių ataskaita'!$J$19:$J$2600,C166,'sutarčių ataskaita'!$DL$19:$DL$600)+SUMIF('sutarčių ataskaita'!$J$19:$J$2600,C166,'sutarčių ataskaita'!$DJ$19:$DJ$600)</f>
        <v>0</v>
      </c>
      <c r="AC166" s="1427">
        <f t="shared" ca="1" si="342"/>
        <v>0</v>
      </c>
      <c r="AD166" s="1428">
        <f t="shared" ref="AD166" ca="1" si="356">IF(AB166&gt;0,AA166-AB166,0)</f>
        <v>0</v>
      </c>
      <c r="AE166" s="1432">
        <f>SUM('3 pr-2'!AA167)</f>
        <v>170000</v>
      </c>
      <c r="AF166" s="1432">
        <f ca="1">SUMIF('sutarčių ataskaita'!$J$19:$J$2600,C166,'sutarčių ataskaita'!$DF$19:$DF$600)</f>
        <v>0</v>
      </c>
      <c r="AG166" s="1441"/>
      <c r="AH166" s="1469"/>
      <c r="AI166" s="1296">
        <f>SUM('3 pr-2'!AB168)</f>
        <v>0</v>
      </c>
      <c r="AJ166" s="1432"/>
    </row>
    <row r="167" spans="1:36" ht="51.75" customHeight="1" thickBot="1" x14ac:dyDescent="0.3">
      <c r="A167" s="443" t="str">
        <f>CONCATENATE('3 pr-2'!A168)</f>
        <v>3.1.</v>
      </c>
      <c r="B167" s="2028" t="str">
        <f>CONCATENATE('3 pr-2'!B168)</f>
        <v>Tikslas: 
DARNIAI TVARKYTI IR VYSTYTI REGIONO TERITORIJĄ</v>
      </c>
      <c r="C167" s="2023"/>
      <c r="D167" s="2023"/>
      <c r="E167" s="2023"/>
      <c r="F167" s="2023"/>
      <c r="G167" s="2023"/>
      <c r="H167" s="2023"/>
      <c r="I167" s="2023"/>
      <c r="J167" s="2024"/>
      <c r="K167" s="1414">
        <f>SUM('3 pr-2'!L168)</f>
        <v>6638484.8511764705</v>
      </c>
      <c r="L167" s="1415">
        <f ca="1">SUM(L168+L171)</f>
        <v>5387095.8899999997</v>
      </c>
      <c r="M167" s="1416">
        <f ca="1">SUM(M168+M171)</f>
        <v>1162864.8670588234</v>
      </c>
      <c r="N167" s="1417">
        <f ca="1">SUM(N168+N171)</f>
        <v>458861.6470588235</v>
      </c>
      <c r="O167" s="1414">
        <f>SUM('3 pr-2'!O168)</f>
        <v>1154049.3311764705</v>
      </c>
      <c r="P167" s="1414">
        <f ca="1">SUM(P168+P171)</f>
        <v>188461.36</v>
      </c>
      <c r="Q167" s="1414">
        <f ca="1">SUM(Q168+Q171)</f>
        <v>952309.35705882334</v>
      </c>
      <c r="R167" s="1414">
        <f ca="1">SUM(R168+R171)</f>
        <v>68829.24705882353</v>
      </c>
      <c r="S167" s="1414">
        <f>SUM('3 pr-2'!R168)</f>
        <v>0</v>
      </c>
      <c r="T167" s="1414">
        <f ca="1">SUM(T168+T171)</f>
        <v>0</v>
      </c>
      <c r="U167" s="1414">
        <f ca="1">SUM(U168+U171)</f>
        <v>0</v>
      </c>
      <c r="V167" s="1414">
        <f ca="1">SUM(V168+V171)</f>
        <v>0</v>
      </c>
      <c r="W167" s="1414">
        <f>SUM('3 pr-2'!U168)</f>
        <v>0</v>
      </c>
      <c r="X167" s="1414">
        <f ca="1">SUM(X168+X171)</f>
        <v>777879.28</v>
      </c>
      <c r="Y167" s="1414">
        <f ca="1">SUM(Y168+Y171)</f>
        <v>-777879.28</v>
      </c>
      <c r="Z167" s="1414">
        <f ca="1">SUM(Z168+Z171)</f>
        <v>-777879.28</v>
      </c>
      <c r="AA167" s="1414">
        <f>SUM('3 pr-2'!X168)</f>
        <v>0</v>
      </c>
      <c r="AB167" s="1414">
        <f ca="1">SUM(AB168+AB171)</f>
        <v>0</v>
      </c>
      <c r="AC167" s="1414">
        <f ca="1">SUM(AC168+AC171)</f>
        <v>0</v>
      </c>
      <c r="AD167" s="1414">
        <f ca="1">SUM(AD168+AD171)</f>
        <v>0</v>
      </c>
      <c r="AE167" s="1414">
        <f>SUM('3 pr-2'!AA168)</f>
        <v>5484435.5199999996</v>
      </c>
      <c r="AF167" s="1414">
        <f ca="1">SUM(AF168+AF171)</f>
        <v>4420755.25</v>
      </c>
      <c r="AG167" s="1418">
        <f ca="1">SUM(AG168+AG171)</f>
        <v>988434.79</v>
      </c>
      <c r="AH167" s="1419">
        <f ca="1">SUM(AH168+AH171)</f>
        <v>390032.4</v>
      </c>
      <c r="AI167" s="1414">
        <f t="shared" ref="AI167:AJ167" si="357">SUM(AI168+AI171)</f>
        <v>0</v>
      </c>
      <c r="AJ167" s="1414">
        <f t="shared" si="357"/>
        <v>0</v>
      </c>
    </row>
    <row r="168" spans="1:36" ht="35.25" customHeight="1" thickBot="1" x14ac:dyDescent="0.3">
      <c r="A168" s="261" t="str">
        <f>CONCATENATE('3 pr-2'!A169)</f>
        <v>3.1.1.</v>
      </c>
      <c r="B168" s="2022" t="str">
        <f>CONCATENATE('3 pr-2'!B169)</f>
        <v>Uždavinys:
Sumažinti sąvartynuose šalinamų komunalinių atliekų kiekį</v>
      </c>
      <c r="C168" s="2023"/>
      <c r="D168" s="2023"/>
      <c r="E168" s="2023"/>
      <c r="F168" s="2023"/>
      <c r="G168" s="2023"/>
      <c r="H168" s="2023"/>
      <c r="I168" s="2023"/>
      <c r="J168" s="2024"/>
      <c r="K168" s="1420">
        <f>SUM('3 pr-2'!L169)</f>
        <v>4130687.05</v>
      </c>
      <c r="L168" s="1420">
        <f ca="1">SUM(L169)</f>
        <v>4130687.05</v>
      </c>
      <c r="M168" s="1418">
        <f ca="1">SUM(M169)</f>
        <v>0</v>
      </c>
      <c r="N168" s="1419">
        <f ca="1">SUM(N169)</f>
        <v>0</v>
      </c>
      <c r="O168" s="1420">
        <f>SUM('3 pr-2'!O169)</f>
        <v>777879.2799999998</v>
      </c>
      <c r="P168" s="1420">
        <f ca="1">SUM(P169)</f>
        <v>0</v>
      </c>
      <c r="Q168" s="1420">
        <f ca="1">SUM(Q169)</f>
        <v>777879.2799999998</v>
      </c>
      <c r="R168" s="1420">
        <f ca="1">SUM(R169)</f>
        <v>0</v>
      </c>
      <c r="S168" s="1420">
        <f>SUM('3 pr-2'!R169)</f>
        <v>0</v>
      </c>
      <c r="T168" s="1420">
        <f ca="1">SUM(T169)</f>
        <v>0</v>
      </c>
      <c r="U168" s="1420">
        <f ca="1">SUM(U169)</f>
        <v>0</v>
      </c>
      <c r="V168" s="1420">
        <f ca="1">SUM(V169)</f>
        <v>0</v>
      </c>
      <c r="W168" s="1420">
        <f>SUM('3 pr-2'!U169)</f>
        <v>0</v>
      </c>
      <c r="X168" s="1420">
        <f ca="1">SUM(X169)</f>
        <v>777879.28</v>
      </c>
      <c r="Y168" s="1420">
        <f ca="1">SUM(Y169)</f>
        <v>-777879.28</v>
      </c>
      <c r="Z168" s="1420">
        <f ca="1">SUM(Z169)</f>
        <v>-777879.28</v>
      </c>
      <c r="AA168" s="1420">
        <f>SUM('3 pr-2'!X169)</f>
        <v>0</v>
      </c>
      <c r="AB168" s="1420">
        <f ca="1">SUM(AB169)</f>
        <v>0</v>
      </c>
      <c r="AC168" s="1420">
        <f ca="1">SUM(AC169)</f>
        <v>0</v>
      </c>
      <c r="AD168" s="1420">
        <f ca="1">SUM(AD169)</f>
        <v>0</v>
      </c>
      <c r="AE168" s="1420">
        <f>SUM('3 pr-2'!AA169)</f>
        <v>3352807.77</v>
      </c>
      <c r="AF168" s="1420">
        <f ca="1">SUM(AF169)</f>
        <v>3352807.77</v>
      </c>
      <c r="AG168" s="1445">
        <f ca="1">SUM(AG169)</f>
        <v>0</v>
      </c>
      <c r="AH168" s="1446">
        <f ca="1">SUM(AH169)</f>
        <v>0</v>
      </c>
      <c r="AI168" s="1420">
        <f t="shared" ref="AI168:AJ169" si="358">SUM(AI169)</f>
        <v>0</v>
      </c>
      <c r="AJ168" s="1420">
        <f t="shared" si="358"/>
        <v>0</v>
      </c>
    </row>
    <row r="169" spans="1:36" ht="36.75" customHeight="1" thickBot="1" x14ac:dyDescent="0.3">
      <c r="A169" s="326" t="str">
        <f>CONCATENATE('3 pr-2'!A170)</f>
        <v>3.1.1.1</v>
      </c>
      <c r="B169" s="2025" t="str">
        <f>CONCATENATE('3 pr-2'!B170)</f>
        <v>Priemonė:
Komunalinių atliekų tvarkymo infrastruktūros plėtra</v>
      </c>
      <c r="C169" s="2026"/>
      <c r="D169" s="2026"/>
      <c r="E169" s="2026"/>
      <c r="F169" s="2026"/>
      <c r="G169" s="2026"/>
      <c r="H169" s="2026"/>
      <c r="I169" s="2026"/>
      <c r="J169" s="2027"/>
      <c r="K169" s="1293">
        <f>SUM('3 pr-2'!L170)</f>
        <v>4130687.05</v>
      </c>
      <c r="L169" s="1293">
        <f ca="1">SUM(L170)</f>
        <v>4130687.05</v>
      </c>
      <c r="M169" s="1422">
        <f ca="1">SUM(M170)</f>
        <v>0</v>
      </c>
      <c r="N169" s="1423">
        <f t="shared" ref="N169" ca="1" si="359">SUM(N170)</f>
        <v>0</v>
      </c>
      <c r="O169" s="1293">
        <f>SUM('3 pr-2'!O170)</f>
        <v>777879.2799999998</v>
      </c>
      <c r="P169" s="1293">
        <f ca="1">SUM(P170)</f>
        <v>0</v>
      </c>
      <c r="Q169" s="1293">
        <f ca="1">SUM(Q170)</f>
        <v>777879.2799999998</v>
      </c>
      <c r="R169" s="1293">
        <f t="shared" ref="R169" ca="1" si="360">SUM(R170)</f>
        <v>0</v>
      </c>
      <c r="S169" s="1293">
        <f>SUM('3 pr-2'!R170)</f>
        <v>0</v>
      </c>
      <c r="T169" s="1293">
        <f ca="1">SUM(T170)</f>
        <v>0</v>
      </c>
      <c r="U169" s="1293">
        <f ca="1">SUM(U170)</f>
        <v>0</v>
      </c>
      <c r="V169" s="1293">
        <f t="shared" ref="V169" ca="1" si="361">SUM(V170)</f>
        <v>0</v>
      </c>
      <c r="W169" s="1293">
        <f>SUM('3 pr-2'!U170)</f>
        <v>0</v>
      </c>
      <c r="X169" s="1293">
        <f ca="1">SUM(X170)</f>
        <v>777879.28</v>
      </c>
      <c r="Y169" s="1293">
        <f ca="1">SUM(Y170)</f>
        <v>-777879.28</v>
      </c>
      <c r="Z169" s="1293">
        <f t="shared" ref="Z169" ca="1" si="362">SUM(Z170)</f>
        <v>-777879.28</v>
      </c>
      <c r="AA169" s="1293">
        <f>SUM('3 pr-2'!X170)</f>
        <v>0</v>
      </c>
      <c r="AB169" s="1293">
        <f ca="1">SUM(AB170)</f>
        <v>0</v>
      </c>
      <c r="AC169" s="1293">
        <f ca="1">SUM(AC170)</f>
        <v>0</v>
      </c>
      <c r="AD169" s="1293">
        <f t="shared" ref="AD169" ca="1" si="363">SUM(AD170)</f>
        <v>0</v>
      </c>
      <c r="AE169" s="1293">
        <f>SUM('3 pr-2'!AA170)</f>
        <v>3352807.77</v>
      </c>
      <c r="AF169" s="1293">
        <f ca="1">SUM(AF170)</f>
        <v>3352807.77</v>
      </c>
      <c r="AG169" s="1442">
        <f t="shared" ref="AG169:AH169" ca="1" si="364">SUM(AG170)</f>
        <v>0</v>
      </c>
      <c r="AH169" s="1443">
        <f t="shared" ca="1" si="364"/>
        <v>0</v>
      </c>
      <c r="AI169" s="1293">
        <f t="shared" si="358"/>
        <v>0</v>
      </c>
      <c r="AJ169" s="1293">
        <f t="shared" si="358"/>
        <v>0</v>
      </c>
    </row>
    <row r="170" spans="1:36" ht="37.5" thickBot="1" x14ac:dyDescent="0.3">
      <c r="A170" s="182" t="str">
        <f>CONCATENATE('3 pr-2'!A171)</f>
        <v>3.1.1.1.1</v>
      </c>
      <c r="B170" s="182" t="str">
        <f>CONCATENATE('3 pr-2'!B171)</f>
        <v>R01-0008-050000-3111</v>
      </c>
      <c r="C170" s="652" t="str">
        <f>IF('ketv. 4 '!X171&gt;0,'ketv. 4 '!C171,"-")</f>
        <v>05.2.1-APVA-R-008-11-0001</v>
      </c>
      <c r="D170" s="446" t="str">
        <f>CONCATENATE('3 pr-2'!D171)</f>
        <v>Komunalinių atliekų tvarkymo sistemos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296">
        <f>SUM('3 pr-2'!L171)</f>
        <v>4130687.05</v>
      </c>
      <c r="L170" s="1426">
        <f t="shared" ref="L170" ca="1" si="365">SUM(P170+T170+X170+AB170+AF170+AJ170)</f>
        <v>4130687.05</v>
      </c>
      <c r="M170" s="1427">
        <f t="shared" ref="M170" ca="1" si="366">SUM(K170-L170)</f>
        <v>0</v>
      </c>
      <c r="N170" s="1428">
        <f ca="1">IF(L170&gt;0,K170-L170,0)</f>
        <v>0</v>
      </c>
      <c r="O170" s="1432">
        <f>SUM('3 pr-2'!O171)</f>
        <v>777879.2799999998</v>
      </c>
      <c r="P170" s="1426">
        <f ca="1">SUMIF('sutarčių ataskaita'!$J$19:$J$2600,C170,'sutarčių ataskaita'!$DK$19:$DK$600)</f>
        <v>0</v>
      </c>
      <c r="Q170" s="1427">
        <f t="shared" ref="Q170" ca="1" si="367">SUM(O170-P170)</f>
        <v>777879.2799999998</v>
      </c>
      <c r="R170" s="1428">
        <f ca="1">IF(P170&gt;0,O170-P170,0)</f>
        <v>0</v>
      </c>
      <c r="S170" s="1432">
        <f>SUM('3 pr-2'!R171)</f>
        <v>0</v>
      </c>
      <c r="T170" s="1432">
        <f ca="1">SUMIF('sutarčių ataskaita'!$J$19:$J$2600,C170,'sutarčių ataskaita'!$DG$19:$DG$600)</f>
        <v>0</v>
      </c>
      <c r="U170" s="1427">
        <f t="shared" ref="U170" ca="1" si="368">SUM(S170-T170)</f>
        <v>0</v>
      </c>
      <c r="V170" s="1428">
        <f ca="1">IF(T170&gt;0,S170-T170,0)</f>
        <v>0</v>
      </c>
      <c r="W170" s="1432">
        <f>SUM('3 pr-2'!U171)</f>
        <v>0</v>
      </c>
      <c r="X170" s="1432">
        <f ca="1">SUMIF('sutarčių ataskaita'!$J$19:$J$2600,C170,'sutarčių ataskaita'!$DM$19:$DM$600)</f>
        <v>777879.28</v>
      </c>
      <c r="Y170" s="1427">
        <f t="shared" ref="Y170" ca="1" si="369">SUM(W170-X170)</f>
        <v>-777879.28</v>
      </c>
      <c r="Z170" s="1428">
        <f ca="1">IF(X170&gt;0,W170-X170,0)</f>
        <v>-777879.28</v>
      </c>
      <c r="AA170" s="1432">
        <f>SUM('3 pr-2'!X171)</f>
        <v>0</v>
      </c>
      <c r="AB170" s="1432">
        <f ca="1">SUMIF('sutarčių ataskaita'!$J$19:$J$2600,C170,'sutarčių ataskaita'!$DL$19:$DL$600)+SUMIF('sutarčių ataskaita'!$J$19:$J$2600,C170,'sutarčių ataskaita'!$DJ$19:$DJ$600)</f>
        <v>0</v>
      </c>
      <c r="AC170" s="1427">
        <f ca="1">SUM(AA170-AB170)</f>
        <v>0</v>
      </c>
      <c r="AD170" s="1428">
        <f ca="1">IF(AB170&gt;0,AA170-AB170,0)</f>
        <v>0</v>
      </c>
      <c r="AE170" s="1432">
        <f>SUM('3 pr-2'!AA171)</f>
        <v>3352807.77</v>
      </c>
      <c r="AF170" s="1431">
        <f ca="1">SUMIF('sutarčių ataskaita'!$J$19:$J$2600,C170,'sutarčių ataskaita'!$DF$19:$DF$600)</f>
        <v>3352807.77</v>
      </c>
      <c r="AG170" s="1441">
        <f t="shared" ref="AG170" ca="1" si="370">SUM(AE170-AF170)</f>
        <v>0</v>
      </c>
      <c r="AH170" s="1430">
        <f ca="1">IF(AF170&gt;0,AE170-AF170,0)</f>
        <v>0</v>
      </c>
      <c r="AI170" s="1296">
        <f>SUM('3 pr-2'!AB172)</f>
        <v>0</v>
      </c>
      <c r="AJ170" s="1426">
        <v>0</v>
      </c>
    </row>
    <row r="171" spans="1:36" ht="36.75" customHeight="1" thickBot="1" x14ac:dyDescent="0.3">
      <c r="A171" s="261" t="str">
        <f>CONCATENATE('3 pr-2'!A172)</f>
        <v>3.1.2.</v>
      </c>
      <c r="B171" s="2022" t="str">
        <f>CONCATENATE('3 pr-2'!B172)</f>
        <v>Uždavinys:
Kraštovaizdžio apsauga, planavimas ir tvarkymas</v>
      </c>
      <c r="C171" s="2023"/>
      <c r="D171" s="2023"/>
      <c r="E171" s="2023"/>
      <c r="F171" s="2023"/>
      <c r="G171" s="2023"/>
      <c r="H171" s="2023"/>
      <c r="I171" s="2023"/>
      <c r="J171" s="2024"/>
      <c r="K171" s="1420">
        <f>SUM('3 pr-2'!L172)</f>
        <v>2507797.8011764702</v>
      </c>
      <c r="L171" s="1420">
        <f ca="1">SUM(L172)</f>
        <v>1256408.8399999999</v>
      </c>
      <c r="M171" s="1418">
        <f ca="1">SUM(M172)</f>
        <v>1162864.8670588234</v>
      </c>
      <c r="N171" s="1419">
        <f ca="1">SUM(N172)</f>
        <v>458861.6470588235</v>
      </c>
      <c r="O171" s="1420">
        <f>SUM('3 pr-2'!O172)</f>
        <v>376170.05117647059</v>
      </c>
      <c r="P171" s="1420">
        <f ca="1">SUM(P172)</f>
        <v>188461.36</v>
      </c>
      <c r="Q171" s="1420">
        <f ca="1">SUM(Q172)</f>
        <v>174430.07705882355</v>
      </c>
      <c r="R171" s="1420">
        <f ca="1">SUM(R172)</f>
        <v>68829.24705882353</v>
      </c>
      <c r="S171" s="1420">
        <f>SUM('3 pr-2'!R172)</f>
        <v>0</v>
      </c>
      <c r="T171" s="1420">
        <f ca="1">SUM(T172)</f>
        <v>0</v>
      </c>
      <c r="U171" s="1420">
        <f ca="1">SUM(U172)</f>
        <v>0</v>
      </c>
      <c r="V171" s="1420">
        <f ca="1">SUM(V172)</f>
        <v>0</v>
      </c>
      <c r="W171" s="1420">
        <f>SUM('3 pr-2'!U172)</f>
        <v>0</v>
      </c>
      <c r="X171" s="1420">
        <f ca="1">SUM(X172)</f>
        <v>0</v>
      </c>
      <c r="Y171" s="1420">
        <f ca="1">SUM(Y172)</f>
        <v>0</v>
      </c>
      <c r="Z171" s="1420">
        <f ca="1">SUM(Z172)</f>
        <v>0</v>
      </c>
      <c r="AA171" s="1420">
        <f>SUM('3 pr-2'!X172)</f>
        <v>0</v>
      </c>
      <c r="AB171" s="1420">
        <f ca="1">SUM(AB172)</f>
        <v>0</v>
      </c>
      <c r="AC171" s="1420">
        <f ca="1">SUM(AC172)</f>
        <v>0</v>
      </c>
      <c r="AD171" s="1420">
        <f ca="1">SUM(AD172)</f>
        <v>0</v>
      </c>
      <c r="AE171" s="1420">
        <f>SUM('3 pr-2'!AA172)</f>
        <v>2131627.75</v>
      </c>
      <c r="AF171" s="1420">
        <f ca="1">SUM(AF172)</f>
        <v>1067947.48</v>
      </c>
      <c r="AG171" s="1445">
        <f ca="1">SUM(AG172)</f>
        <v>988434.79</v>
      </c>
      <c r="AH171" s="1446">
        <f ca="1">SUM(AH172)</f>
        <v>390032.4</v>
      </c>
      <c r="AI171" s="1420">
        <f t="shared" ref="AI171:AJ171" si="371">SUM(AI172)</f>
        <v>0</v>
      </c>
      <c r="AJ171" s="1420">
        <f t="shared" si="371"/>
        <v>0</v>
      </c>
    </row>
    <row r="172" spans="1:36" ht="40.5" customHeight="1" thickBot="1" x14ac:dyDescent="0.3">
      <c r="A172" s="326" t="str">
        <f>CONCATENATE('3 pr-2'!A173)</f>
        <v>3.1.2.1</v>
      </c>
      <c r="B172" s="2025" t="str">
        <f>CONCATENATE('3 pr-2'!B173)</f>
        <v>Priemonė:
Kraštovaizdžio apsauga/plėtra</v>
      </c>
      <c r="C172" s="2026"/>
      <c r="D172" s="2026"/>
      <c r="E172" s="2026"/>
      <c r="F172" s="2026"/>
      <c r="G172" s="2026"/>
      <c r="H172" s="2026"/>
      <c r="I172" s="2026"/>
      <c r="J172" s="2027"/>
      <c r="K172" s="1293">
        <f>SUM('3 pr-2'!L173)</f>
        <v>2507797.8011764702</v>
      </c>
      <c r="L172" s="1293">
        <f ca="1">SUM(L173:L181)</f>
        <v>1256408.8399999999</v>
      </c>
      <c r="M172" s="1422">
        <f ca="1">SUM(M173:M180)</f>
        <v>1162864.8670588234</v>
      </c>
      <c r="N172" s="1423">
        <f ca="1">SUM(N173:N180)</f>
        <v>458861.6470588235</v>
      </c>
      <c r="O172" s="1293">
        <f>SUM('3 pr-2'!O173)</f>
        <v>376170.05117647059</v>
      </c>
      <c r="P172" s="1293">
        <f ca="1">SUM(P173:P181)</f>
        <v>188461.36</v>
      </c>
      <c r="Q172" s="1293">
        <f ca="1">SUM(Q173:Q180)</f>
        <v>174430.07705882355</v>
      </c>
      <c r="R172" s="1293">
        <f ca="1">SUM(R173:R180)</f>
        <v>68829.24705882353</v>
      </c>
      <c r="S172" s="1293">
        <f>SUM('3 pr-2'!R173)</f>
        <v>0</v>
      </c>
      <c r="T172" s="1293">
        <f ca="1">SUM(T173:T181)</f>
        <v>0</v>
      </c>
      <c r="U172" s="1293">
        <f ca="1">SUM(U173:U180)</f>
        <v>0</v>
      </c>
      <c r="V172" s="1293">
        <f ca="1">SUM(V173:V180)</f>
        <v>0</v>
      </c>
      <c r="W172" s="1293">
        <f>SUM('3 pr-2'!U173)</f>
        <v>0</v>
      </c>
      <c r="X172" s="1293">
        <f ca="1">SUM(X173:X181)</f>
        <v>0</v>
      </c>
      <c r="Y172" s="1293">
        <f ca="1">SUM(Y173:Y180)</f>
        <v>0</v>
      </c>
      <c r="Z172" s="1293">
        <f ca="1">SUM(Z173:Z180)</f>
        <v>0</v>
      </c>
      <c r="AA172" s="1293">
        <f>SUM('3 pr-2'!X173)</f>
        <v>0</v>
      </c>
      <c r="AB172" s="1293">
        <f ca="1">SUM(AB173:AB181)</f>
        <v>0</v>
      </c>
      <c r="AC172" s="1293">
        <f ca="1">SUM(AC173:AC180)</f>
        <v>0</v>
      </c>
      <c r="AD172" s="1293">
        <f ca="1">SUM(AD173:AD180)</f>
        <v>0</v>
      </c>
      <c r="AE172" s="1293">
        <f>SUM('3 pr-2'!AA173)</f>
        <v>2131627.75</v>
      </c>
      <c r="AF172" s="1293">
        <f ca="1">SUM(AF173:AF181)</f>
        <v>1067947.48</v>
      </c>
      <c r="AG172" s="1442">
        <f ca="1">SUM(AG173:AG180)</f>
        <v>988434.79</v>
      </c>
      <c r="AH172" s="1443">
        <f ca="1">SUM(AH173:AH180)</f>
        <v>390032.4</v>
      </c>
      <c r="AI172" s="1293">
        <f t="shared" ref="AI172:AJ172" si="372">SUM(AI173:AI181)</f>
        <v>0</v>
      </c>
      <c r="AJ172" s="1293">
        <f t="shared" si="372"/>
        <v>0</v>
      </c>
    </row>
    <row r="173" spans="1:36" ht="36.75" x14ac:dyDescent="0.25">
      <c r="A173" s="182" t="str">
        <f>CONCATENATE('3 pr-2'!A174)</f>
        <v>3.1.2.1.1</v>
      </c>
      <c r="B173" s="182" t="str">
        <f>CONCATENATE('3 pr-2'!B174)</f>
        <v>R01-0019-380000-3211</v>
      </c>
      <c r="C173" s="652" t="str">
        <f>IF('ketv. 4 '!X174&gt;0,'ketv. 4 '!C174,"-")</f>
        <v>05.5.1-APVA-R-019-11-0002</v>
      </c>
      <c r="D173" s="446"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96">
        <f>SUM('3 pr-2'!L174)</f>
        <v>309522</v>
      </c>
      <c r="L173" s="1426">
        <f t="shared" ref="L173:L181" ca="1" si="373">SUM(P173+T173+X173+AB173+AF173+AJ173)</f>
        <v>309522</v>
      </c>
      <c r="M173" s="1427">
        <f ca="1">SUM(K173-L173)</f>
        <v>0</v>
      </c>
      <c r="N173" s="1428">
        <f ca="1">IF(L173&gt;0,K173-L173,0)</f>
        <v>0</v>
      </c>
      <c r="O173" s="1432">
        <f>SUM('3 pr-2'!O174)</f>
        <v>46428.3</v>
      </c>
      <c r="P173" s="1426">
        <f ca="1">SUMIF('sutarčių ataskaita'!$J$19:$J$2600,C173,'sutarčių ataskaita'!$DK$19:$DK$600)</f>
        <v>46428.3</v>
      </c>
      <c r="Q173" s="1427">
        <f t="shared" ref="Q173:Q180" ca="1" si="374">SUM(O173-P173)</f>
        <v>0</v>
      </c>
      <c r="R173" s="1428">
        <f ca="1">IF(P173&gt;0,O173-P173,0)</f>
        <v>0</v>
      </c>
      <c r="S173" s="1432">
        <f>SUM('3 pr-2'!R174)</f>
        <v>0</v>
      </c>
      <c r="T173" s="1432">
        <f ca="1">SUMIF('sutarčių ataskaita'!$J$19:$J$2600,C173,'sutarčių ataskaita'!$DG$19:$DG$600)</f>
        <v>0</v>
      </c>
      <c r="U173" s="1427">
        <f t="shared" ref="U173:U180" ca="1" si="375">SUM(S173-T173)</f>
        <v>0</v>
      </c>
      <c r="V173" s="1428">
        <f ca="1">IF(T173&gt;0,S173-T173,0)</f>
        <v>0</v>
      </c>
      <c r="W173" s="1432">
        <f>SUM('3 pr-2'!U174)</f>
        <v>0</v>
      </c>
      <c r="X173" s="1432">
        <f ca="1">SUMIF('sutarčių ataskaita'!$J$19:$J$2600,C173,'sutarčių ataskaita'!$DM$19:$DM$600)</f>
        <v>0</v>
      </c>
      <c r="Y173" s="1427">
        <f t="shared" ref="Y173:Y180" ca="1" si="376">SUM(W173-X173)</f>
        <v>0</v>
      </c>
      <c r="Z173" s="1428">
        <f ca="1">IF(X173&gt;0,W173-X173,0)</f>
        <v>0</v>
      </c>
      <c r="AA173" s="1432">
        <f>SUM('3 pr-2'!X174)</f>
        <v>0</v>
      </c>
      <c r="AB173" s="1432">
        <f ca="1">SUMIF('sutarčių ataskaita'!$J$19:$J$2600,C173,'sutarčių ataskaita'!$DL$19:$DL$600)+SUMIF('sutarčių ataskaita'!$J$19:$J$2600,C173,'sutarčių ataskaita'!$DJ$19:$DJ$600)</f>
        <v>0</v>
      </c>
      <c r="AC173" s="1427">
        <f t="shared" ref="AC173:AC180" ca="1" si="377">SUM(AA173-AB173)</f>
        <v>0</v>
      </c>
      <c r="AD173" s="1428">
        <f ca="1">IF(AB173&gt;0,AA173-AB173,0)</f>
        <v>0</v>
      </c>
      <c r="AE173" s="1432">
        <f>SUM('3 pr-2'!AA174)</f>
        <v>263093.7</v>
      </c>
      <c r="AF173" s="1426">
        <f ca="1">SUMIF('sutarčių ataskaita'!$J$19:$J$2600,C173,'sutarčių ataskaita'!$DF$19:$DF$600)</f>
        <v>263093.7</v>
      </c>
      <c r="AG173" s="1454">
        <f t="shared" ref="AG173:AG180" ca="1" si="378">SUM(AE173-AF173)</f>
        <v>0</v>
      </c>
      <c r="AH173" s="1430">
        <f ca="1">IF(AF173&gt;0,AE173-AF173,0)</f>
        <v>0</v>
      </c>
      <c r="AI173" s="1296">
        <f>SUM('3 pr-2'!AB175)</f>
        <v>0</v>
      </c>
      <c r="AJ173" s="1426">
        <v>0</v>
      </c>
    </row>
    <row r="174" spans="1:36" ht="36.75" x14ac:dyDescent="0.25">
      <c r="A174" s="182" t="str">
        <f>CONCATENATE('3 pr-2'!A175)</f>
        <v>3.1.2.1.2</v>
      </c>
      <c r="B174" s="182" t="str">
        <f>CONCATENATE('3 pr-2'!B175)</f>
        <v>R01-0019-380000-3212</v>
      </c>
      <c r="C174" s="652" t="str">
        <f>IF('ketv. 4 '!X175&gt;0,'ketv. 4 '!C175,"-")</f>
        <v>-</v>
      </c>
      <c r="D174" s="446"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96">
        <f>SUM('3 pr-2'!L175)</f>
        <v>554211</v>
      </c>
      <c r="L174" s="1432">
        <f t="shared" ca="1" si="373"/>
        <v>0</v>
      </c>
      <c r="M174" s="1427">
        <f t="shared" ref="M174:M180" ca="1" si="379">SUM(K174-L174)</f>
        <v>554211</v>
      </c>
      <c r="N174" s="1428">
        <f t="shared" ref="N174:N180" ca="1" si="380">IF(L174&gt;0,K174-L174,0)</f>
        <v>0</v>
      </c>
      <c r="O174" s="1432">
        <f>SUM('3 pr-2'!O175)</f>
        <v>83132</v>
      </c>
      <c r="P174" s="1432">
        <f ca="1">SUMIF('sutarčių ataskaita'!$J$19:$J$2600,C174,'sutarčių ataskaita'!$DK$19:$DK$600)</f>
        <v>0</v>
      </c>
      <c r="Q174" s="1427">
        <f t="shared" ca="1" si="374"/>
        <v>83132</v>
      </c>
      <c r="R174" s="1428">
        <f t="shared" ref="R174:R180" ca="1" si="381">IF(P174&gt;0,O174-P174,0)</f>
        <v>0</v>
      </c>
      <c r="S174" s="1432">
        <f>SUM('3 pr-2'!R175)</f>
        <v>0</v>
      </c>
      <c r="T174" s="1432">
        <f ca="1">SUMIF('sutarčių ataskaita'!$J$19:$J$2600,C174,'sutarčių ataskaita'!$DG$19:$DG$600)</f>
        <v>0</v>
      </c>
      <c r="U174" s="1427">
        <f t="shared" ca="1" si="375"/>
        <v>0</v>
      </c>
      <c r="V174" s="1428">
        <f t="shared" ref="V174:V180" ca="1" si="382">IF(T174&gt;0,S174-T174,0)</f>
        <v>0</v>
      </c>
      <c r="W174" s="1432">
        <f>SUM('3 pr-2'!U175)</f>
        <v>0</v>
      </c>
      <c r="X174" s="1432">
        <f ca="1">SUMIF('sutarčių ataskaita'!$J$19:$J$2600,C174,'sutarčių ataskaita'!$DM$19:$DM$600)</f>
        <v>0</v>
      </c>
      <c r="Y174" s="1427">
        <f t="shared" ca="1" si="376"/>
        <v>0</v>
      </c>
      <c r="Z174" s="1428">
        <f t="shared" ref="Z174:Z180" ca="1" si="383">IF(X174&gt;0,W174-X174,0)</f>
        <v>0</v>
      </c>
      <c r="AA174" s="1432">
        <f>SUM('3 pr-2'!X175)</f>
        <v>0</v>
      </c>
      <c r="AB174" s="1432">
        <f ca="1">SUMIF('sutarčių ataskaita'!$J$19:$J$2600,C174,'sutarčių ataskaita'!$DL$19:$DL$600)+SUMIF('sutarčių ataskaita'!$J$19:$J$2600,C174,'sutarčių ataskaita'!$DJ$19:$DJ$600)</f>
        <v>0</v>
      </c>
      <c r="AC174" s="1427">
        <f t="shared" ca="1" si="377"/>
        <v>0</v>
      </c>
      <c r="AD174" s="1428">
        <f t="shared" ref="AD174:AD180" ca="1" si="384">IF(AB174&gt;0,AA174-AB174,0)</f>
        <v>0</v>
      </c>
      <c r="AE174" s="1432">
        <f>SUM('3 pr-2'!AA175)</f>
        <v>471079</v>
      </c>
      <c r="AF174" s="1432">
        <f ca="1">SUMIF('sutarčių ataskaita'!$J$19:$J$2600,C174,'sutarčių ataskaita'!$DF$19:$DF$600)</f>
        <v>0</v>
      </c>
      <c r="AG174" s="1454">
        <f t="shared" ca="1" si="378"/>
        <v>471079</v>
      </c>
      <c r="AH174" s="1430">
        <f t="shared" ref="AH174:AH180" ca="1" si="385">IF(AF174&gt;0,AE174-AF174,0)</f>
        <v>0</v>
      </c>
      <c r="AI174" s="1296">
        <f>SUM('3 pr-2'!AB176)</f>
        <v>0</v>
      </c>
      <c r="AJ174" s="1432"/>
    </row>
    <row r="175" spans="1:36" ht="36.75" x14ac:dyDescent="0.25">
      <c r="A175" s="182" t="str">
        <f>CONCATENATE('3 pr-2'!A176)</f>
        <v>3.1.2.1.3</v>
      </c>
      <c r="B175" s="182" t="str">
        <f>CONCATENATE('3 pr-2'!B176)</f>
        <v>R01-0019-380000-3213</v>
      </c>
      <c r="C175" s="652" t="str">
        <f>IF('ketv. 4 '!X176&gt;0,'ketv. 4 '!C176,"-")</f>
        <v>05.5.1-APVA-R-019-11-0001</v>
      </c>
      <c r="D175" s="446"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96">
        <f>SUM('3 pr-2'!L176)</f>
        <v>101765.7</v>
      </c>
      <c r="L175" s="1426">
        <f t="shared" ca="1" si="373"/>
        <v>101765.7</v>
      </c>
      <c r="M175" s="1427">
        <f t="shared" ca="1" si="379"/>
        <v>0</v>
      </c>
      <c r="N175" s="1428">
        <f t="shared" ca="1" si="380"/>
        <v>0</v>
      </c>
      <c r="O175" s="1432">
        <f>SUM('3 pr-2'!O176)</f>
        <v>15264.9</v>
      </c>
      <c r="P175" s="1426">
        <f ca="1">SUMIF('sutarčių ataskaita'!$J$19:$J$2600,C175,'sutarčių ataskaita'!$DK$19:$DK$600)</f>
        <v>15264.9</v>
      </c>
      <c r="Q175" s="1427">
        <f t="shared" ca="1" si="374"/>
        <v>0</v>
      </c>
      <c r="R175" s="1428">
        <f t="shared" ca="1" si="381"/>
        <v>0</v>
      </c>
      <c r="S175" s="1432">
        <f>SUM('3 pr-2'!R176)</f>
        <v>0</v>
      </c>
      <c r="T175" s="1432">
        <f ca="1">SUMIF('sutarčių ataskaita'!$J$19:$J$2600,C175,'sutarčių ataskaita'!$DG$19:$DG$600)</f>
        <v>0</v>
      </c>
      <c r="U175" s="1427">
        <f t="shared" ca="1" si="375"/>
        <v>0</v>
      </c>
      <c r="V175" s="1428">
        <f t="shared" ca="1" si="382"/>
        <v>0</v>
      </c>
      <c r="W175" s="1432">
        <f>SUM('3 pr-2'!U176)</f>
        <v>0</v>
      </c>
      <c r="X175" s="1432">
        <f ca="1">SUMIF('sutarčių ataskaita'!$J$19:$J$2600,C175,'sutarčių ataskaita'!$DM$19:$DM$600)</f>
        <v>0</v>
      </c>
      <c r="Y175" s="1427">
        <f t="shared" ca="1" si="376"/>
        <v>0</v>
      </c>
      <c r="Z175" s="1428">
        <f t="shared" ca="1" si="383"/>
        <v>0</v>
      </c>
      <c r="AA175" s="1432">
        <f>SUM('3 pr-2'!X176)</f>
        <v>0</v>
      </c>
      <c r="AB175" s="1432">
        <f ca="1">SUMIF('sutarčių ataskaita'!$J$19:$J$2600,C175,'sutarčių ataskaita'!$DL$19:$DL$600)+SUMIF('sutarčių ataskaita'!$J$19:$J$2600,C175,'sutarčių ataskaita'!$DJ$19:$DJ$600)</f>
        <v>0</v>
      </c>
      <c r="AC175" s="1427">
        <f t="shared" ca="1" si="377"/>
        <v>0</v>
      </c>
      <c r="AD175" s="1428">
        <f t="shared" ca="1" si="384"/>
        <v>0</v>
      </c>
      <c r="AE175" s="1432">
        <f>SUM('3 pr-2'!AA176)</f>
        <v>86500.800000000003</v>
      </c>
      <c r="AF175" s="1426">
        <f ca="1">SUMIF('sutarčių ataskaita'!$J$19:$J$2600,C175,'sutarčių ataskaita'!$DF$19:$DF$600)</f>
        <v>86500.800000000003</v>
      </c>
      <c r="AG175" s="1454">
        <f t="shared" ca="1" si="378"/>
        <v>0</v>
      </c>
      <c r="AH175" s="1430">
        <f t="shared" ca="1" si="385"/>
        <v>0</v>
      </c>
      <c r="AI175" s="1296">
        <f>SUM('3 pr-2'!AB177)</f>
        <v>0</v>
      </c>
      <c r="AJ175" s="1426">
        <v>0</v>
      </c>
    </row>
    <row r="176" spans="1:36" ht="36.75" x14ac:dyDescent="0.25">
      <c r="A176" s="182" t="str">
        <f>CONCATENATE('3 pr-2'!A177)</f>
        <v>3.1.2.1.4</v>
      </c>
      <c r="B176" s="182" t="str">
        <f>CONCATENATE('3 pr-2'!B177)</f>
        <v>R01-0019-380000-3214</v>
      </c>
      <c r="C176" s="652" t="str">
        <f>IF('ketv. 4 '!X177&gt;0,'ketv. 4 '!C177,"-")</f>
        <v>05.5.1-APVA-R-019-11-0004</v>
      </c>
      <c r="D176" s="446"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96">
        <f>SUM('3 pr-2'!L177)</f>
        <v>3993</v>
      </c>
      <c r="L176" s="1426">
        <f t="shared" ca="1" si="373"/>
        <v>3993</v>
      </c>
      <c r="M176" s="1427">
        <f t="shared" ca="1" si="379"/>
        <v>0</v>
      </c>
      <c r="N176" s="1428">
        <f t="shared" ca="1" si="380"/>
        <v>0</v>
      </c>
      <c r="O176" s="1432">
        <f>SUM('3 pr-2'!O177)</f>
        <v>598.95000000000005</v>
      </c>
      <c r="P176" s="1426">
        <f ca="1">SUMIF('sutarčių ataskaita'!$J$19:$J$2600,C176,'sutarčių ataskaita'!$DK$19:$DK$600)</f>
        <v>598.95000000000005</v>
      </c>
      <c r="Q176" s="1427">
        <f t="shared" ca="1" si="374"/>
        <v>0</v>
      </c>
      <c r="R176" s="1428">
        <f t="shared" ca="1" si="381"/>
        <v>0</v>
      </c>
      <c r="S176" s="1432">
        <f>SUM('3 pr-2'!R177)</f>
        <v>0</v>
      </c>
      <c r="T176" s="1432">
        <f ca="1">SUMIF('sutarčių ataskaita'!$J$19:$J$2600,C176,'sutarčių ataskaita'!$DG$19:$DG$600)</f>
        <v>0</v>
      </c>
      <c r="U176" s="1427">
        <f t="shared" ca="1" si="375"/>
        <v>0</v>
      </c>
      <c r="V176" s="1428">
        <f t="shared" ca="1" si="382"/>
        <v>0</v>
      </c>
      <c r="W176" s="1432">
        <f>SUM('3 pr-2'!U177)</f>
        <v>0</v>
      </c>
      <c r="X176" s="1432">
        <f ca="1">SUMIF('sutarčių ataskaita'!$J$19:$J$2600,C176,'sutarčių ataskaita'!$DM$19:$DM$600)</f>
        <v>0</v>
      </c>
      <c r="Y176" s="1427">
        <f t="shared" ca="1" si="376"/>
        <v>0</v>
      </c>
      <c r="Z176" s="1428">
        <f t="shared" ca="1" si="383"/>
        <v>0</v>
      </c>
      <c r="AA176" s="1432">
        <f>SUM('3 pr-2'!X177)</f>
        <v>0</v>
      </c>
      <c r="AB176" s="1432">
        <f ca="1">SUMIF('sutarčių ataskaita'!$J$19:$J$2600,C176,'sutarčių ataskaita'!$DL$19:$DL$600)+SUMIF('sutarčių ataskaita'!$J$19:$J$2600,C176,'sutarčių ataskaita'!$DJ$19:$DJ$600)</f>
        <v>0</v>
      </c>
      <c r="AC176" s="1427">
        <f t="shared" ca="1" si="377"/>
        <v>0</v>
      </c>
      <c r="AD176" s="1428">
        <f t="shared" ca="1" si="384"/>
        <v>0</v>
      </c>
      <c r="AE176" s="1432">
        <f>SUM('3 pr-2'!AA177)</f>
        <v>3394.05</v>
      </c>
      <c r="AF176" s="1426">
        <f ca="1">SUMIF('sutarčių ataskaita'!$J$19:$J$2600,C176,'sutarčių ataskaita'!$DF$19:$DF$600)</f>
        <v>3394.05</v>
      </c>
      <c r="AG176" s="1454">
        <f t="shared" ca="1" si="378"/>
        <v>0</v>
      </c>
      <c r="AH176" s="1430">
        <f t="shared" ca="1" si="385"/>
        <v>0</v>
      </c>
      <c r="AI176" s="1296">
        <f>SUM('3 pr-2'!AB178)</f>
        <v>0</v>
      </c>
      <c r="AJ176" s="1426">
        <v>0</v>
      </c>
    </row>
    <row r="177" spans="1:36" ht="36.75" x14ac:dyDescent="0.25">
      <c r="A177" s="182" t="str">
        <f>CONCATENATE('3 pr-2'!A178)</f>
        <v>3.1.2.1.5</v>
      </c>
      <c r="B177" s="182" t="str">
        <f>CONCATENATE('3 pr-2'!B178)</f>
        <v>R01-0019-380000-3215</v>
      </c>
      <c r="C177" s="652" t="str">
        <f>IF('ketv. 4 '!X178&gt;0,'ketv. 4 '!C178,"-")</f>
        <v>05.5.1-APVA-R-019-11-0005</v>
      </c>
      <c r="D177" s="446"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96">
        <f>SUM('3 pr-2'!L178)</f>
        <v>121153.55</v>
      </c>
      <c r="L177" s="1426">
        <f t="shared" ca="1" si="373"/>
        <v>121153.55</v>
      </c>
      <c r="M177" s="1427">
        <f t="shared" ca="1" si="379"/>
        <v>0</v>
      </c>
      <c r="N177" s="1428">
        <f t="shared" ca="1" si="380"/>
        <v>0</v>
      </c>
      <c r="O177" s="1432">
        <f>SUM('3 pr-2'!O178)</f>
        <v>18173.03</v>
      </c>
      <c r="P177" s="1426">
        <f ca="1">SUMIF('sutarčių ataskaita'!$J$19:$J$2600,C177,'sutarčių ataskaita'!$DK$19:$DK$600)</f>
        <v>18173.03</v>
      </c>
      <c r="Q177" s="1427">
        <f t="shared" ca="1" si="374"/>
        <v>0</v>
      </c>
      <c r="R177" s="1428">
        <f t="shared" ca="1" si="381"/>
        <v>0</v>
      </c>
      <c r="S177" s="1432">
        <f>SUM('3 pr-2'!R178)</f>
        <v>0</v>
      </c>
      <c r="T177" s="1432">
        <f ca="1">SUMIF('sutarčių ataskaita'!$J$19:$J$2600,C177,'sutarčių ataskaita'!$DG$19:$DG$600)</f>
        <v>0</v>
      </c>
      <c r="U177" s="1427">
        <f t="shared" ca="1" si="375"/>
        <v>0</v>
      </c>
      <c r="V177" s="1428">
        <f t="shared" ca="1" si="382"/>
        <v>0</v>
      </c>
      <c r="W177" s="1432">
        <f>SUM('3 pr-2'!U178)</f>
        <v>0</v>
      </c>
      <c r="X177" s="1432">
        <f ca="1">SUMIF('sutarčių ataskaita'!$J$19:$J$2600,C177,'sutarčių ataskaita'!$DM$19:$DM$600)</f>
        <v>0</v>
      </c>
      <c r="Y177" s="1427">
        <f t="shared" ca="1" si="376"/>
        <v>0</v>
      </c>
      <c r="Z177" s="1428">
        <f t="shared" ca="1" si="383"/>
        <v>0</v>
      </c>
      <c r="AA177" s="1432">
        <f>SUM('3 pr-2'!X178)</f>
        <v>0</v>
      </c>
      <c r="AB177" s="1432">
        <f ca="1">SUMIF('sutarčių ataskaita'!$J$19:$J$2600,C177,'sutarčių ataskaita'!$DL$19:$DL$600)+SUMIF('sutarčių ataskaita'!$J$19:$J$2600,C177,'sutarčių ataskaita'!$DJ$19:$DJ$600)</f>
        <v>0</v>
      </c>
      <c r="AC177" s="1427">
        <f t="shared" ca="1" si="377"/>
        <v>0</v>
      </c>
      <c r="AD177" s="1428">
        <f t="shared" ca="1" si="384"/>
        <v>0</v>
      </c>
      <c r="AE177" s="1432">
        <f>SUM('3 pr-2'!AA178)</f>
        <v>102980.52</v>
      </c>
      <c r="AF177" s="1426">
        <f ca="1">SUMIF('sutarčių ataskaita'!$J$19:$J$2600,C177,'sutarčių ataskaita'!$DF$19:$DF$600)</f>
        <v>102980.52</v>
      </c>
      <c r="AG177" s="1454">
        <f t="shared" ca="1" si="378"/>
        <v>0</v>
      </c>
      <c r="AH177" s="1430">
        <f t="shared" ca="1" si="385"/>
        <v>0</v>
      </c>
      <c r="AI177" s="1296">
        <f>SUM('3 pr-2'!AB179)</f>
        <v>0</v>
      </c>
      <c r="AJ177" s="1426">
        <v>0</v>
      </c>
    </row>
    <row r="178" spans="1:36" ht="36.75" x14ac:dyDescent="0.25">
      <c r="A178" s="182" t="str">
        <f>CONCATENATE('3 pr-2'!A179)</f>
        <v>3.1.2.1.6</v>
      </c>
      <c r="B178" s="182" t="str">
        <f>CONCATENATE('3 pr-2'!B179)</f>
        <v>R01-0019-380000-3216</v>
      </c>
      <c r="C178" s="652" t="str">
        <f>IF('ketv. 4 '!X179&gt;0,'ketv. 4 '!C179,"-")</f>
        <v>05.5.1-APVA-R-019-11-0003</v>
      </c>
      <c r="D178" s="446"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96">
        <f>SUM('3 pr-2'!L179)</f>
        <v>442298.58999999997</v>
      </c>
      <c r="L178" s="1426">
        <f t="shared" ca="1" si="373"/>
        <v>442298.58999999997</v>
      </c>
      <c r="M178" s="1427">
        <f t="shared" ca="1" si="379"/>
        <v>0</v>
      </c>
      <c r="N178" s="1428">
        <f t="shared" ca="1" si="380"/>
        <v>0</v>
      </c>
      <c r="O178" s="1432">
        <f>SUM('3 pr-2'!O179)</f>
        <v>66344.78</v>
      </c>
      <c r="P178" s="1426">
        <f ca="1">SUMIF('sutarčių ataskaita'!$J$19:$J$2600,C178,'sutarčių ataskaita'!$DK$19:$DK$600)</f>
        <v>66344.78</v>
      </c>
      <c r="Q178" s="1427">
        <f t="shared" ca="1" si="374"/>
        <v>0</v>
      </c>
      <c r="R178" s="1428">
        <f t="shared" ca="1" si="381"/>
        <v>0</v>
      </c>
      <c r="S178" s="1432">
        <f>SUM('3 pr-2'!R179)</f>
        <v>0</v>
      </c>
      <c r="T178" s="1432">
        <f ca="1">SUMIF('sutarčių ataskaita'!$J$19:$J$2600,C178,'sutarčių ataskaita'!$DG$19:$DG$600)</f>
        <v>0</v>
      </c>
      <c r="U178" s="1427">
        <f t="shared" ca="1" si="375"/>
        <v>0</v>
      </c>
      <c r="V178" s="1428">
        <f t="shared" ca="1" si="382"/>
        <v>0</v>
      </c>
      <c r="W178" s="1432">
        <f>SUM('3 pr-2'!U179)</f>
        <v>0</v>
      </c>
      <c r="X178" s="1432">
        <f ca="1">SUMIF('sutarčių ataskaita'!$J$19:$J$2600,C178,'sutarčių ataskaita'!$DM$19:$DM$600)</f>
        <v>0</v>
      </c>
      <c r="Y178" s="1427">
        <f t="shared" ca="1" si="376"/>
        <v>0</v>
      </c>
      <c r="Z178" s="1428">
        <f t="shared" ca="1" si="383"/>
        <v>0</v>
      </c>
      <c r="AA178" s="1432">
        <f>SUM('3 pr-2'!X179)</f>
        <v>0</v>
      </c>
      <c r="AB178" s="1432">
        <f ca="1">SUMIF('sutarčių ataskaita'!$J$19:$J$2600,C178,'sutarčių ataskaita'!$DL$19:$DL$600)+SUMIF('sutarčių ataskaita'!$J$19:$J$2600,C178,'sutarčių ataskaita'!$DJ$19:$DJ$600)</f>
        <v>0</v>
      </c>
      <c r="AC178" s="1427">
        <f t="shared" ca="1" si="377"/>
        <v>0</v>
      </c>
      <c r="AD178" s="1428">
        <f t="shared" ca="1" si="384"/>
        <v>0</v>
      </c>
      <c r="AE178" s="1432">
        <f>SUM('3 pr-2'!AA179)</f>
        <v>375953.81</v>
      </c>
      <c r="AF178" s="1426">
        <f ca="1">SUMIF('sutarčių ataskaita'!$J$19:$J$2600,C178,'sutarčių ataskaita'!$DF$19:$DF$600)</f>
        <v>375953.81</v>
      </c>
      <c r="AG178" s="1454">
        <f t="shared" ca="1" si="378"/>
        <v>0</v>
      </c>
      <c r="AH178" s="1430">
        <f t="shared" ca="1" si="385"/>
        <v>0</v>
      </c>
      <c r="AI178" s="1296">
        <f>SUM('3 pr-2'!AB180)</f>
        <v>0</v>
      </c>
      <c r="AJ178" s="1426">
        <v>0</v>
      </c>
    </row>
    <row r="179" spans="1:36" ht="36.75" x14ac:dyDescent="0.25">
      <c r="A179" s="182" t="str">
        <f>CONCATENATE('3 pr-2'!A180)</f>
        <v>3.1.2.1.7</v>
      </c>
      <c r="B179" s="182" t="str">
        <f>CONCATENATE('3 pr-2'!B180)</f>
        <v>R01-0019-283800-3217</v>
      </c>
      <c r="C179" s="652" t="str">
        <f>IF('ketv. 4 '!X180&gt;0,'ketv. 4 '!C180,"-")</f>
        <v>-</v>
      </c>
      <c r="D179" s="446"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96">
        <f>SUM('3 pr-2'!L180)</f>
        <v>149792.22</v>
      </c>
      <c r="L179" s="1432">
        <f t="shared" ca="1" si="373"/>
        <v>0</v>
      </c>
      <c r="M179" s="1427">
        <f t="shared" ca="1" si="379"/>
        <v>149792.22</v>
      </c>
      <c r="N179" s="1428">
        <f t="shared" ca="1" si="380"/>
        <v>0</v>
      </c>
      <c r="O179" s="1432">
        <f>SUM('3 pr-2'!O180)</f>
        <v>22468.83</v>
      </c>
      <c r="P179" s="1432">
        <f ca="1">SUMIF('sutarčių ataskaita'!$J$19:$J$2600,C179,'sutarčių ataskaita'!$DK$19:$DK$600)</f>
        <v>0</v>
      </c>
      <c r="Q179" s="1427">
        <f t="shared" ca="1" si="374"/>
        <v>22468.83</v>
      </c>
      <c r="R179" s="1428">
        <f t="shared" ca="1" si="381"/>
        <v>0</v>
      </c>
      <c r="S179" s="1432">
        <f>SUM('3 pr-2'!R180)</f>
        <v>0</v>
      </c>
      <c r="T179" s="1432">
        <f ca="1">SUMIF('sutarčių ataskaita'!$J$19:$J$2600,C179,'sutarčių ataskaita'!$DG$19:$DG$600)</f>
        <v>0</v>
      </c>
      <c r="U179" s="1427">
        <f t="shared" ca="1" si="375"/>
        <v>0</v>
      </c>
      <c r="V179" s="1428">
        <f t="shared" ca="1" si="382"/>
        <v>0</v>
      </c>
      <c r="W179" s="1432">
        <f>SUM('3 pr-2'!U180)</f>
        <v>0</v>
      </c>
      <c r="X179" s="1432">
        <f ca="1">SUMIF('sutarčių ataskaita'!$J$19:$J$2600,C179,'sutarčių ataskaita'!$DM$19:$DM$600)</f>
        <v>0</v>
      </c>
      <c r="Y179" s="1427">
        <f t="shared" ca="1" si="376"/>
        <v>0</v>
      </c>
      <c r="Z179" s="1428">
        <f t="shared" ca="1" si="383"/>
        <v>0</v>
      </c>
      <c r="AA179" s="1432">
        <f>SUM('3 pr-2'!X180)</f>
        <v>0</v>
      </c>
      <c r="AB179" s="1432">
        <f ca="1">SUMIF('sutarčių ataskaita'!$J$19:$J$2600,C179,'sutarčių ataskaita'!$DL$19:$DL$600)+SUMIF('sutarčių ataskaita'!$J$19:$J$2600,C179,'sutarčių ataskaita'!$DJ$19:$DJ$600)</f>
        <v>0</v>
      </c>
      <c r="AC179" s="1427">
        <f t="shared" ca="1" si="377"/>
        <v>0</v>
      </c>
      <c r="AD179" s="1428">
        <f t="shared" ca="1" si="384"/>
        <v>0</v>
      </c>
      <c r="AE179" s="1432">
        <f>SUM('3 pr-2'!AA180)</f>
        <v>127323.39</v>
      </c>
      <c r="AF179" s="1432">
        <f ca="1">SUMIF('sutarčių ataskaita'!$J$19:$J$2600,C179,'sutarčių ataskaita'!$DF$19:$DF$600)</f>
        <v>0</v>
      </c>
      <c r="AG179" s="1454">
        <f t="shared" ca="1" si="378"/>
        <v>127323.39</v>
      </c>
      <c r="AH179" s="1430">
        <f t="shared" ca="1" si="385"/>
        <v>0</v>
      </c>
      <c r="AI179" s="1296">
        <f>SUM('3 pr-2'!AB181)</f>
        <v>0</v>
      </c>
      <c r="AJ179" s="1432"/>
    </row>
    <row r="180" spans="1:36" ht="36.75" x14ac:dyDescent="0.25">
      <c r="A180" s="182" t="str">
        <f>CONCATENATE('3 pr-2'!A181)</f>
        <v>3.1.2.1.8</v>
      </c>
      <c r="B180" s="182" t="str">
        <f>CONCATENATE('3 pr-2'!B181)</f>
        <v>R01-0019-380000-3218</v>
      </c>
      <c r="C180" s="652" t="str">
        <f>IF('ketv. 4 '!X181&gt;0,'ketv. 4 '!C181,"-")</f>
        <v>05.5.1-APVA-R-019-11-0006</v>
      </c>
      <c r="D180" s="656" t="str">
        <f>CONCATENATE('3 pr-2'!D181)</f>
        <v>Bešeimininkių apleistų pastatų ir įrenginių tvarkymas Alytaus rajono savivaldybėje (II etapas)</v>
      </c>
      <c r="E180" s="259" t="str">
        <f>CONCATENATE('3 pr-2'!E181)</f>
        <v>Alytaus rajono savivaldybės administracija</v>
      </c>
      <c r="F180" s="259" t="str">
        <f>CONCATENATE('3 pr-2'!F181)</f>
        <v>Lietuvos Respublikos aplinkos ministerija</v>
      </c>
      <c r="G180" s="259" t="str">
        <f>CONCATENATE('3 pr-2'!G181)</f>
        <v>Alytaus r. sav.</v>
      </c>
      <c r="H180" s="259" t="str">
        <f>CONCATENATE('3 pr-2'!H181)</f>
        <v>05.5.1-APVA-R-019</v>
      </c>
      <c r="I180" s="259" t="str">
        <f>CONCATENATE('3 pr-2'!I181)</f>
        <v>R</v>
      </c>
      <c r="J180" s="259" t="str">
        <f>CONCATENATE('3 pr-2'!J181)</f>
        <v>-</v>
      </c>
      <c r="K180" s="1433">
        <f>SUM('3 pr-2'!L181)</f>
        <v>736537.6470588235</v>
      </c>
      <c r="L180" s="1470">
        <f t="shared" ca="1" si="373"/>
        <v>277676</v>
      </c>
      <c r="M180" s="1471">
        <f t="shared" ca="1" si="379"/>
        <v>458861.6470588235</v>
      </c>
      <c r="N180" s="1472">
        <f t="shared" ca="1" si="380"/>
        <v>458861.6470588235</v>
      </c>
      <c r="O180" s="1473">
        <f>SUM('3 pr-2'!O181)</f>
        <v>110480.64705882352</v>
      </c>
      <c r="P180" s="1470">
        <f ca="1">SUMIF('sutarčių ataskaita'!$J$19:$J$2600,C180,'sutarčių ataskaita'!$DK$19:$DK$600)</f>
        <v>41651.4</v>
      </c>
      <c r="Q180" s="1471">
        <f t="shared" ca="1" si="374"/>
        <v>68829.24705882353</v>
      </c>
      <c r="R180" s="1472">
        <f t="shared" ca="1" si="381"/>
        <v>68829.24705882353</v>
      </c>
      <c r="S180" s="1473">
        <f>SUM('3 pr-2'!R181)</f>
        <v>0</v>
      </c>
      <c r="T180" s="1473">
        <f ca="1">SUMIF('sutarčių ataskaita'!$J$19:$J$2600,C180,'sutarčių ataskaita'!$DG$19:$DG$600)</f>
        <v>0</v>
      </c>
      <c r="U180" s="1471">
        <f t="shared" ca="1" si="375"/>
        <v>0</v>
      </c>
      <c r="V180" s="1472">
        <f t="shared" ca="1" si="382"/>
        <v>0</v>
      </c>
      <c r="W180" s="1473">
        <f>SUM('3 pr-2'!U181)</f>
        <v>0</v>
      </c>
      <c r="X180" s="1473">
        <f ca="1">SUMIF('sutarčių ataskaita'!$J$19:$J$2600,C180,'sutarčių ataskaita'!$DM$19:$DM$600)</f>
        <v>0</v>
      </c>
      <c r="Y180" s="1471">
        <f t="shared" ca="1" si="376"/>
        <v>0</v>
      </c>
      <c r="Z180" s="1472">
        <f t="shared" ca="1" si="383"/>
        <v>0</v>
      </c>
      <c r="AA180" s="1473">
        <f>SUM('3 pr-2'!X181)</f>
        <v>0</v>
      </c>
      <c r="AB180" s="1473">
        <f ca="1">SUMIF('sutarčių ataskaita'!$J$19:$J$2600,C180,'sutarčių ataskaita'!$DL$19:$DL$600)+SUMIF('sutarčių ataskaita'!$J$19:$J$2600,C180,'sutarčių ataskaita'!$DJ$19:$DJ$600)</f>
        <v>0</v>
      </c>
      <c r="AC180" s="1471">
        <f t="shared" ca="1" si="377"/>
        <v>0</v>
      </c>
      <c r="AD180" s="1472">
        <f t="shared" ca="1" si="384"/>
        <v>0</v>
      </c>
      <c r="AE180" s="1473">
        <f>SUM('3 pr-2'!AA181)</f>
        <v>626057</v>
      </c>
      <c r="AF180" s="1470">
        <f ca="1">SUMIF('sutarčių ataskaita'!$J$19:$J$2600,C180,'sutarčių ataskaita'!$DF$19:$DF$600)</f>
        <v>236024.6</v>
      </c>
      <c r="AG180" s="1454">
        <f t="shared" ca="1" si="378"/>
        <v>390032.4</v>
      </c>
      <c r="AH180" s="1430">
        <f t="shared" ca="1" si="385"/>
        <v>390032.4</v>
      </c>
      <c r="AI180" s="1296">
        <f>SUM('3 pr-2'!AB182)</f>
        <v>0</v>
      </c>
      <c r="AJ180" s="1426">
        <v>0</v>
      </c>
    </row>
    <row r="181" spans="1:36" ht="36.75" x14ac:dyDescent="0.25">
      <c r="A181" s="182" t="str">
        <f>CONCATENATE('3 pr-2'!A182)</f>
        <v>3.1.2.1.9</v>
      </c>
      <c r="B181" s="182" t="str">
        <f>CONCATENATE('3 pr-2'!B182)</f>
        <v>R01-0019-380000-3219</v>
      </c>
      <c r="C181" s="652" t="str">
        <f>IF('ketv. 4 '!X182&gt;0,'ketv. 4 '!C182,"-")</f>
        <v>-</v>
      </c>
      <c r="D181" s="446"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96">
        <f>SUM('3 pr-2'!L182)</f>
        <v>88524.094117647051</v>
      </c>
      <c r="L181" s="1432">
        <f t="shared" ca="1" si="373"/>
        <v>0</v>
      </c>
      <c r="M181" s="1427">
        <f t="shared" ref="M181" ca="1" si="386">SUM(K181-L181)</f>
        <v>88524.094117647051</v>
      </c>
      <c r="N181" s="1428">
        <f t="shared" ref="N181" ca="1" si="387">IF(L181&gt;0,K181-L181,0)</f>
        <v>0</v>
      </c>
      <c r="O181" s="1432">
        <f>SUM('3 pr-2'!O182)</f>
        <v>13278.614117647059</v>
      </c>
      <c r="P181" s="1432">
        <f ca="1">SUMIF('sutarčių ataskaita'!$J$19:$J$2600,C181,'sutarčių ataskaita'!$DK$19:$DK$600)</f>
        <v>0</v>
      </c>
      <c r="Q181" s="1427">
        <f t="shared" ref="Q181" ca="1" si="388">SUM(O181-P181)</f>
        <v>13278.614117647059</v>
      </c>
      <c r="R181" s="1428">
        <f t="shared" ref="R181" ca="1" si="389">IF(P181&gt;0,O181-P181,0)</f>
        <v>0</v>
      </c>
      <c r="S181" s="1432">
        <f>SUM('3 pr-2'!R182)</f>
        <v>0</v>
      </c>
      <c r="T181" s="1432">
        <f ca="1">SUMIF('sutarčių ataskaita'!$J$19:$J$2600,C181,'sutarčių ataskaita'!$DG$19:$DG$600)</f>
        <v>0</v>
      </c>
      <c r="U181" s="1427">
        <f t="shared" ref="U181" ca="1" si="390">SUM(S181-T181)</f>
        <v>0</v>
      </c>
      <c r="V181" s="1428">
        <f t="shared" ref="V181" ca="1" si="391">IF(T181&gt;0,S181-T181,0)</f>
        <v>0</v>
      </c>
      <c r="W181" s="1432">
        <f>SUM('3 pr-2'!U182)</f>
        <v>0</v>
      </c>
      <c r="X181" s="1432">
        <f ca="1">SUMIF('sutarčių ataskaita'!$J$19:$J$2600,C181,'sutarčių ataskaita'!$DM$19:$DM$600)</f>
        <v>0</v>
      </c>
      <c r="Y181" s="1427">
        <f t="shared" ref="Y181" ca="1" si="392">SUM(W181-X181)</f>
        <v>0</v>
      </c>
      <c r="Z181" s="1428">
        <f t="shared" ref="Z181" ca="1" si="393">IF(X181&gt;0,W181-X181,0)</f>
        <v>0</v>
      </c>
      <c r="AA181" s="1432">
        <f>SUM('3 pr-2'!X182)</f>
        <v>0</v>
      </c>
      <c r="AB181" s="1432">
        <f ca="1">SUMIF('sutarčių ataskaita'!$J$19:$J$2600,C181,'sutarčių ataskaita'!$DL$19:$DL$600)+SUMIF('sutarčių ataskaita'!$J$19:$J$2600,C181,'sutarčių ataskaita'!$DJ$19:$DJ$600)</f>
        <v>0</v>
      </c>
      <c r="AC181" s="1427">
        <f t="shared" ref="AC181" ca="1" si="394">SUM(AA181-AB181)</f>
        <v>0</v>
      </c>
      <c r="AD181" s="1428">
        <f t="shared" ref="AD181" ca="1" si="395">IF(AB181&gt;0,AA181-AB181,0)</f>
        <v>0</v>
      </c>
      <c r="AE181" s="1432">
        <f>SUM('3 pr-2'!AA182)</f>
        <v>75245.48</v>
      </c>
      <c r="AF181" s="1432">
        <f ca="1">SUMIF('sutarčių ataskaita'!$J$19:$J$2600,C181,'sutarčių ataskaita'!$DF$19:$DF$600)</f>
        <v>0</v>
      </c>
      <c r="AG181" s="1427">
        <f t="shared" ref="AG181" ca="1" si="396">SUM(AE181-AF181)</f>
        <v>75245.48</v>
      </c>
      <c r="AH181" s="1428">
        <f t="shared" ref="AH181" ca="1" si="397">IF(AF181&gt;0,AE181-AF181,0)</f>
        <v>0</v>
      </c>
      <c r="AI181" s="1296">
        <f>SUM('3 pr-2'!AB183)</f>
        <v>0</v>
      </c>
      <c r="AJ181" s="1432"/>
    </row>
    <row r="182" spans="1:36" ht="19.5" hidden="1" thickBot="1" x14ac:dyDescent="0.3">
      <c r="D182" s="2059" t="s">
        <v>336</v>
      </c>
      <c r="E182" s="2060"/>
      <c r="F182" s="2060"/>
      <c r="G182" s="2060"/>
      <c r="H182" s="2060"/>
      <c r="I182" s="2060"/>
      <c r="J182" s="2060"/>
      <c r="K182" s="1388">
        <f t="shared" ref="K182:P182" si="398">SUM(K6+K99+K167)</f>
        <v>67386703.268235296</v>
      </c>
      <c r="L182" s="1389">
        <f t="shared" ca="1" si="398"/>
        <v>52569952.824711189</v>
      </c>
      <c r="M182" s="1390">
        <f t="shared" ca="1" si="398"/>
        <v>13645376.349406464</v>
      </c>
      <c r="N182" s="1391">
        <f t="shared" ca="1" si="398"/>
        <v>6080037.9317594068</v>
      </c>
      <c r="O182" s="1388">
        <f t="shared" si="398"/>
        <v>8559151.2782352939</v>
      </c>
      <c r="P182" s="1389">
        <f t="shared" ca="1" si="398"/>
        <v>5827985.6117680483</v>
      </c>
      <c r="Q182" s="1392"/>
      <c r="R182" s="1391">
        <f ca="1">SUM(R6+R99+R167)</f>
        <v>44789.494702540025</v>
      </c>
      <c r="S182" s="1388">
        <f>SUM(S6+S99+S167)</f>
        <v>1667392.0799999998</v>
      </c>
      <c r="T182" s="1389">
        <f ca="1">SUM(T6+T99+T167)</f>
        <v>1393842.41</v>
      </c>
      <c r="U182" s="1392"/>
      <c r="V182" s="1391" t="e">
        <f ca="1">SUM(V6+V99+V167)</f>
        <v>#REF!</v>
      </c>
      <c r="W182" s="1388">
        <f>SUM(W6+W99+W167)</f>
        <v>8520797.0100000016</v>
      </c>
      <c r="X182" s="1389">
        <f ca="1">SUM(X6+X99+X167)</f>
        <v>7402142.3700000001</v>
      </c>
      <c r="Y182" s="1392"/>
      <c r="Z182" s="1391">
        <f ca="1">SUM(Z6+Z99+Z167)</f>
        <v>655804.6399999999</v>
      </c>
      <c r="AA182" s="1388">
        <f>SUM(AA6+AA99+AA167)</f>
        <v>416360.77</v>
      </c>
      <c r="AB182" s="1389">
        <f ca="1">SUM(AB6+AB99+AB167)</f>
        <v>416360.77</v>
      </c>
      <c r="AC182" s="1391"/>
      <c r="AD182" s="1391">
        <f ca="1">SUM(AD6+AD99+AD167)</f>
        <v>0</v>
      </c>
      <c r="AE182" s="1388">
        <f>SUM(AE6+AE99+AE167)</f>
        <v>48223002.129999995</v>
      </c>
      <c r="AF182" s="1393">
        <f ca="1">SUM(AF6+AF99+AF167)</f>
        <v>37521857.119999997</v>
      </c>
      <c r="AH182" s="1394">
        <f ca="1">SUM(AH6+AH99+AH167)</f>
        <v>4347532.4400000004</v>
      </c>
      <c r="AI182" s="1388"/>
      <c r="AJ182" s="1393"/>
    </row>
    <row r="183" spans="1:36" hidden="1" x14ac:dyDescent="0.25">
      <c r="K183" s="256">
        <f>SUM(K182-'3 pr-2'!L183)</f>
        <v>0</v>
      </c>
      <c r="L183" s="1493">
        <f ca="1">SUM(L182/K182)</f>
        <v>0.78012352994112977</v>
      </c>
      <c r="O183" s="256">
        <f>SUM(O182-'3 pr-2'!O183)</f>
        <v>0</v>
      </c>
      <c r="P183" s="1493">
        <f ca="1">SUM(P182/O182)</f>
        <v>0.68090695237362941</v>
      </c>
      <c r="S183" s="256">
        <f>SUM(S182-'3 pr-2'!R183)</f>
        <v>0</v>
      </c>
      <c r="T183" s="1493">
        <f ca="1">SUM(T182/S182)</f>
        <v>0.83594160408870366</v>
      </c>
      <c r="W183" s="256">
        <f>SUM(W182-'3 pr-2'!U183)</f>
        <v>0</v>
      </c>
      <c r="X183" s="1493">
        <f ca="1">SUM(X182/W182)</f>
        <v>0.86871478821908921</v>
      </c>
      <c r="AA183" s="256">
        <f>SUM(AA182-'3 pr-2'!X183)</f>
        <v>0</v>
      </c>
      <c r="AB183" s="1493">
        <f ca="1">SUM(AB182/AA182)</f>
        <v>1</v>
      </c>
      <c r="AE183" s="256">
        <f>SUM(AE182-'3 pr-2'!AA183)</f>
        <v>0</v>
      </c>
      <c r="AF183" s="1493">
        <f ca="1">SUM(AF182/AE182)</f>
        <v>0.77809044361958724</v>
      </c>
    </row>
    <row r="184" spans="1:36" ht="15.75" x14ac:dyDescent="0.25">
      <c r="A184" s="1377" t="s">
        <v>1810</v>
      </c>
    </row>
    <row r="185" spans="1:36" ht="15.75" x14ac:dyDescent="0.25">
      <c r="A185" s="1377" t="s">
        <v>1811</v>
      </c>
    </row>
  </sheetData>
  <mergeCells count="45">
    <mergeCell ref="B172:J172"/>
    <mergeCell ref="B160:J160"/>
    <mergeCell ref="B159:J159"/>
    <mergeCell ref="B167:J167"/>
    <mergeCell ref="B168:J168"/>
    <mergeCell ref="B171:J171"/>
    <mergeCell ref="B169:J169"/>
    <mergeCell ref="B134:J134"/>
    <mergeCell ref="B140:J140"/>
    <mergeCell ref="B146:J146"/>
    <mergeCell ref="B147:J147"/>
    <mergeCell ref="B153:J153"/>
    <mergeCell ref="B100:J100"/>
    <mergeCell ref="B101:J101"/>
    <mergeCell ref="B107:J107"/>
    <mergeCell ref="B113:J113"/>
    <mergeCell ref="B119:J119"/>
    <mergeCell ref="B91:J91"/>
    <mergeCell ref="B99:J99"/>
    <mergeCell ref="B57:J57"/>
    <mergeCell ref="B61:J61"/>
    <mergeCell ref="B66:J66"/>
    <mergeCell ref="B72:J72"/>
    <mergeCell ref="B73:J73"/>
    <mergeCell ref="B45:J45"/>
    <mergeCell ref="B49:J49"/>
    <mergeCell ref="B55:J55"/>
    <mergeCell ref="B78:J78"/>
    <mergeCell ref="B85:J85"/>
    <mergeCell ref="D182:J182"/>
    <mergeCell ref="B120:J120"/>
    <mergeCell ref="AI4:AJ4"/>
    <mergeCell ref="K3:AJ3"/>
    <mergeCell ref="B32:J32"/>
    <mergeCell ref="K4:N4"/>
    <mergeCell ref="O4:R4"/>
    <mergeCell ref="S4:V4"/>
    <mergeCell ref="W4:Z4"/>
    <mergeCell ref="AA4:AD4"/>
    <mergeCell ref="AE4:AH4"/>
    <mergeCell ref="A3:J3"/>
    <mergeCell ref="B7:J7"/>
    <mergeCell ref="B6:J6"/>
    <mergeCell ref="B8:J8"/>
    <mergeCell ref="B38:J38"/>
  </mergeCells>
  <pageMargins left="0.23622047244094491" right="0.23622047244094491" top="0.74803149606299213" bottom="0.74803149606299213" header="0.31496062992125984" footer="0.31496062992125984"/>
  <pageSetup paperSize="8" scale="67"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83"/>
  <sheetViews>
    <sheetView topLeftCell="A2" workbookViewId="0">
      <pane ySplit="2265" topLeftCell="A25" activePane="bottomLeft"/>
      <selection activeCell="C3" sqref="C1:C1048576"/>
      <selection pane="bottomLeft" activeCell="B31" sqref="B31:J31"/>
    </sheetView>
  </sheetViews>
  <sheetFormatPr defaultRowHeight="15" x14ac:dyDescent="0.25"/>
  <cols>
    <col min="1" max="1" width="8.28515625" style="25" customWidth="1"/>
    <col min="2" max="2" width="10.42578125" style="25" customWidth="1"/>
    <col min="3" max="3" width="12" hidden="1" customWidth="1"/>
    <col min="4" max="4" width="24.5703125" customWidth="1"/>
    <col min="5" max="5" width="13.42578125" customWidth="1"/>
    <col min="6" max="6" width="16.7109375" customWidth="1"/>
    <col min="7" max="7" width="14.140625" customWidth="1"/>
    <col min="8" max="8" width="17.7109375" customWidth="1"/>
    <col min="9" max="9" width="4.5703125" bestFit="1" customWidth="1"/>
    <col min="10" max="10" width="5" bestFit="1" customWidth="1"/>
    <col min="11" max="12" width="18" bestFit="1" customWidth="1"/>
    <col min="13" max="14" width="8.140625" hidden="1" customWidth="1"/>
    <col min="15" max="15" width="14.28515625" style="255" hidden="1" customWidth="1"/>
    <col min="16" max="16" width="16.42578125" bestFit="1" customWidth="1"/>
    <col min="17" max="17" width="14.28515625" bestFit="1" customWidth="1"/>
    <col min="18" max="19" width="8.140625" hidden="1" customWidth="1"/>
    <col min="20" max="20" width="12.7109375" style="255" hidden="1" customWidth="1"/>
    <col min="21" max="21" width="16.42578125" bestFit="1" customWidth="1"/>
    <col min="22" max="22" width="14.28515625" bestFit="1" customWidth="1"/>
    <col min="23" max="24" width="8.140625" hidden="1" customWidth="1"/>
    <col min="25" max="25" width="10.5703125" style="255" hidden="1" customWidth="1"/>
    <col min="26" max="27" width="16.42578125" bestFit="1" customWidth="1"/>
    <col min="28" max="29" width="8.140625" hidden="1" customWidth="1"/>
    <col min="30" max="30" width="12.7109375" style="255" hidden="1" customWidth="1"/>
    <col min="31" max="32" width="12.7109375" bestFit="1" customWidth="1"/>
    <col min="33" max="34" width="8.140625" hidden="1" customWidth="1"/>
    <col min="35" max="35" width="9.140625" style="255" hidden="1" customWidth="1"/>
    <col min="36" max="36" width="18" bestFit="1" customWidth="1"/>
    <col min="37" max="37" width="16.5703125" customWidth="1"/>
    <col min="38" max="39" width="8.140625" hidden="1" customWidth="1"/>
    <col min="40" max="40" width="18" style="255" hidden="1" customWidth="1"/>
    <col min="41" max="41" width="8.85546875" customWidth="1"/>
    <col min="42" max="42" width="8.42578125" customWidth="1"/>
    <col min="43" max="43" width="11.42578125" hidden="1" customWidth="1"/>
  </cols>
  <sheetData>
    <row r="1" spans="1:43" ht="16.5" thickBot="1" x14ac:dyDescent="0.3">
      <c r="A1" s="2073" t="s">
        <v>753</v>
      </c>
      <c r="B1" s="2073"/>
      <c r="C1" s="2074"/>
      <c r="D1" s="2074"/>
      <c r="E1" s="2074"/>
      <c r="F1" s="2074"/>
      <c r="G1" s="2074"/>
    </row>
    <row r="2" spans="1:43" ht="16.5" thickTop="1" thickBot="1" x14ac:dyDescent="0.3">
      <c r="A2" s="2075" t="s">
        <v>46</v>
      </c>
      <c r="B2" s="2076"/>
      <c r="C2" s="2076"/>
      <c r="D2" s="2076"/>
      <c r="E2" s="2076"/>
      <c r="F2" s="2076"/>
      <c r="G2" s="2076"/>
      <c r="H2" s="2076"/>
      <c r="I2" s="2076"/>
      <c r="J2" s="2076"/>
      <c r="K2" s="2063" t="s">
        <v>47</v>
      </c>
      <c r="L2" s="2064"/>
      <c r="M2" s="2064"/>
      <c r="N2" s="2064"/>
      <c r="O2" s="2064"/>
      <c r="P2" s="2064"/>
      <c r="Q2" s="2064"/>
      <c r="R2" s="2064"/>
      <c r="S2" s="2064"/>
      <c r="T2" s="2064"/>
      <c r="U2" s="2064"/>
      <c r="V2" s="2064"/>
      <c r="W2" s="2064"/>
      <c r="X2" s="2064"/>
      <c r="Y2" s="2064"/>
      <c r="Z2" s="2064"/>
      <c r="AA2" s="2064"/>
      <c r="AB2" s="2064"/>
      <c r="AC2" s="2064"/>
      <c r="AD2" s="2064"/>
      <c r="AE2" s="2064"/>
      <c r="AF2" s="2064"/>
      <c r="AG2" s="2064"/>
      <c r="AH2" s="2064"/>
      <c r="AI2" s="2064"/>
      <c r="AJ2" s="2064"/>
      <c r="AK2" s="2064"/>
      <c r="AL2" s="2064"/>
      <c r="AM2" s="2064"/>
      <c r="AN2" s="2064"/>
      <c r="AO2" s="2065"/>
      <c r="AP2" s="2066"/>
    </row>
    <row r="3" spans="1:43" ht="60" customHeight="1" thickBot="1" x14ac:dyDescent="0.3">
      <c r="A3" s="666" t="s">
        <v>7</v>
      </c>
      <c r="B3" s="1395" t="s">
        <v>1804</v>
      </c>
      <c r="C3" s="659" t="s">
        <v>703</v>
      </c>
      <c r="D3" s="661" t="s">
        <v>49</v>
      </c>
      <c r="E3" s="661" t="s">
        <v>1797</v>
      </c>
      <c r="F3" s="661" t="s">
        <v>51</v>
      </c>
      <c r="G3" s="661" t="s">
        <v>52</v>
      </c>
      <c r="H3" s="661" t="s">
        <v>687</v>
      </c>
      <c r="I3" s="661" t="s">
        <v>1808</v>
      </c>
      <c r="J3" s="662" t="s">
        <v>1809</v>
      </c>
      <c r="K3" s="2077" t="s">
        <v>57</v>
      </c>
      <c r="L3" s="2078"/>
      <c r="M3" s="2078"/>
      <c r="N3" s="2078"/>
      <c r="O3" s="2079"/>
      <c r="P3" s="2061" t="s">
        <v>58</v>
      </c>
      <c r="Q3" s="2067"/>
      <c r="R3" s="2067"/>
      <c r="S3" s="2067"/>
      <c r="T3" s="2062"/>
      <c r="U3" s="2077" t="s">
        <v>59</v>
      </c>
      <c r="V3" s="2078"/>
      <c r="W3" s="2078"/>
      <c r="X3" s="2078"/>
      <c r="Y3" s="2079"/>
      <c r="Z3" s="2061" t="s">
        <v>60</v>
      </c>
      <c r="AA3" s="2067"/>
      <c r="AB3" s="2067"/>
      <c r="AC3" s="2067"/>
      <c r="AD3" s="2062"/>
      <c r="AE3" s="2077" t="s">
        <v>61</v>
      </c>
      <c r="AF3" s="2078"/>
      <c r="AG3" s="2078"/>
      <c r="AH3" s="2078"/>
      <c r="AI3" s="2079"/>
      <c r="AJ3" s="2061" t="s">
        <v>10</v>
      </c>
      <c r="AK3" s="2067"/>
      <c r="AL3" s="2067"/>
      <c r="AM3" s="2067"/>
      <c r="AN3" s="2062"/>
      <c r="AO3" s="2061" t="s">
        <v>1806</v>
      </c>
      <c r="AP3" s="2062"/>
    </row>
    <row r="4" spans="1:43" ht="24.75" thickBot="1" x14ac:dyDescent="0.3">
      <c r="A4" s="667"/>
      <c r="B4" s="1396"/>
      <c r="C4" s="668"/>
      <c r="D4" s="669"/>
      <c r="E4" s="669"/>
      <c r="F4" s="669"/>
      <c r="G4" s="669"/>
      <c r="H4" s="669"/>
      <c r="I4" s="669"/>
      <c r="J4" s="670"/>
      <c r="K4" s="663" t="s">
        <v>710</v>
      </c>
      <c r="L4" s="664" t="s">
        <v>1813</v>
      </c>
      <c r="M4" s="1256" t="s">
        <v>1672</v>
      </c>
      <c r="N4" s="1256" t="s">
        <v>1674</v>
      </c>
      <c r="O4" s="665" t="s">
        <v>377</v>
      </c>
      <c r="P4" s="663" t="s">
        <v>710</v>
      </c>
      <c r="Q4" s="664" t="s">
        <v>1813</v>
      </c>
      <c r="R4" s="1256" t="s">
        <v>1672</v>
      </c>
      <c r="S4" s="1256" t="s">
        <v>1674</v>
      </c>
      <c r="T4" s="665" t="s">
        <v>377</v>
      </c>
      <c r="U4" s="663" t="s">
        <v>710</v>
      </c>
      <c r="V4" s="664" t="s">
        <v>1813</v>
      </c>
      <c r="W4" s="1256" t="s">
        <v>1672</v>
      </c>
      <c r="X4" s="1256" t="s">
        <v>1674</v>
      </c>
      <c r="Y4" s="665" t="s">
        <v>377</v>
      </c>
      <c r="Z4" s="663" t="s">
        <v>710</v>
      </c>
      <c r="AA4" s="664" t="s">
        <v>1813</v>
      </c>
      <c r="AB4" s="1256" t="s">
        <v>1672</v>
      </c>
      <c r="AC4" s="1256" t="s">
        <v>1674</v>
      </c>
      <c r="AD4" s="665" t="s">
        <v>377</v>
      </c>
      <c r="AE4" s="663" t="s">
        <v>710</v>
      </c>
      <c r="AF4" s="664" t="s">
        <v>1813</v>
      </c>
      <c r="AG4" s="1256" t="s">
        <v>1672</v>
      </c>
      <c r="AH4" s="1256" t="s">
        <v>1673</v>
      </c>
      <c r="AI4" s="665" t="s">
        <v>377</v>
      </c>
      <c r="AJ4" s="663" t="s">
        <v>710</v>
      </c>
      <c r="AK4" s="664" t="s">
        <v>1813</v>
      </c>
      <c r="AL4" s="1256" t="s">
        <v>1672</v>
      </c>
      <c r="AM4" s="1256" t="s">
        <v>1673</v>
      </c>
      <c r="AN4" s="665" t="s">
        <v>377</v>
      </c>
      <c r="AO4" s="663" t="s">
        <v>710</v>
      </c>
      <c r="AP4" s="664" t="s">
        <v>1813</v>
      </c>
    </row>
    <row r="5" spans="1:43" ht="82.5" customHeight="1" thickBot="1" x14ac:dyDescent="0.3">
      <c r="A5" s="443" t="str">
        <f>CONCATENATE('3 pr-2'!A7)</f>
        <v>1.1.</v>
      </c>
      <c r="B5" s="2028" t="str">
        <f>CONCATENATE('3 pr-2'!B7)</f>
        <v>Tikslas: 
DIDINTI ŪKINĖS VEIKLOS ĮVAIROVĘ IR PAGERINTI SĄLYGAS INVESTICIJŲ PRITRAUKIMUI, MAŽINANT GEOGRAFINIŲ SĄLYGŲ IR DEMOGRAFINIŲ PROCESŲ SUKELIAMUS GYVENIMO KOKYBĖS NETOLYGUMUS</v>
      </c>
      <c r="C5" s="2023"/>
      <c r="D5" s="2023"/>
      <c r="E5" s="2023"/>
      <c r="F5" s="2023"/>
      <c r="G5" s="2023"/>
      <c r="H5" s="2023"/>
      <c r="I5" s="2023"/>
      <c r="J5" s="2024"/>
      <c r="K5" s="1484">
        <f t="shared" ref="K5:AJ5" si="0">SUM(K6+K71)</f>
        <v>48154576.687058821</v>
      </c>
      <c r="L5" s="1484">
        <f t="shared" si="0"/>
        <v>12365316.349999998</v>
      </c>
      <c r="M5" s="1484">
        <f t="shared" si="0"/>
        <v>7174206.7999999989</v>
      </c>
      <c r="N5" s="1484">
        <f t="shared" si="0"/>
        <v>5052818.3899999997</v>
      </c>
      <c r="O5" s="1484">
        <f t="shared" si="0"/>
        <v>35789260.33705882</v>
      </c>
      <c r="P5" s="1484">
        <f t="shared" si="0"/>
        <v>5510780.6070588231</v>
      </c>
      <c r="Q5" s="1484">
        <f t="shared" si="0"/>
        <v>554888.74</v>
      </c>
      <c r="R5" s="1484">
        <f t="shared" si="0"/>
        <v>233383.81</v>
      </c>
      <c r="S5" s="1484">
        <f t="shared" si="0"/>
        <v>303566.56999999995</v>
      </c>
      <c r="T5" s="1484">
        <f t="shared" si="0"/>
        <v>4955891.8670588238</v>
      </c>
      <c r="U5" s="1484">
        <f t="shared" si="0"/>
        <v>1255396.17</v>
      </c>
      <c r="V5" s="1484">
        <f t="shared" si="0"/>
        <v>329696.14</v>
      </c>
      <c r="W5" s="1484">
        <f t="shared" si="0"/>
        <v>220185.99</v>
      </c>
      <c r="X5" s="1484">
        <f t="shared" si="0"/>
        <v>105301.16000000002</v>
      </c>
      <c r="Y5" s="1484">
        <f t="shared" si="0"/>
        <v>925700.02999999991</v>
      </c>
      <c r="Z5" s="1484">
        <f t="shared" si="0"/>
        <v>8480639.0100000016</v>
      </c>
      <c r="AA5" s="1484">
        <f t="shared" si="0"/>
        <v>2237008.2100000004</v>
      </c>
      <c r="AB5" s="1484">
        <f t="shared" si="0"/>
        <v>1440051.81</v>
      </c>
      <c r="AC5" s="1484">
        <f t="shared" si="0"/>
        <v>796956.40000000014</v>
      </c>
      <c r="AD5" s="1484">
        <f t="shared" si="0"/>
        <v>6243630.7999999998</v>
      </c>
      <c r="AE5" s="1484">
        <f t="shared" si="0"/>
        <v>415060.82</v>
      </c>
      <c r="AF5" s="1484">
        <f t="shared" si="0"/>
        <v>327887.25</v>
      </c>
      <c r="AG5" s="1484">
        <f t="shared" si="0"/>
        <v>32545.37</v>
      </c>
      <c r="AH5" s="1484">
        <f t="shared" si="0"/>
        <v>11225.500000000004</v>
      </c>
      <c r="AI5" s="1484">
        <f t="shared" si="0"/>
        <v>87173.57</v>
      </c>
      <c r="AJ5" s="1484">
        <f t="shared" si="0"/>
        <v>32492700.080000002</v>
      </c>
      <c r="AK5" s="1484">
        <f>SUM(AK6+AK71)</f>
        <v>8915836.0100000016</v>
      </c>
      <c r="AL5" s="1484">
        <f t="shared" ref="AL5:AP5" si="1">SUM(AL6+AL71)</f>
        <v>5248039.82</v>
      </c>
      <c r="AM5" s="1484">
        <f t="shared" si="1"/>
        <v>3551652.38</v>
      </c>
      <c r="AN5" s="1484">
        <f t="shared" si="1"/>
        <v>23321547.07</v>
      </c>
      <c r="AO5" s="1484">
        <f t="shared" si="1"/>
        <v>0</v>
      </c>
      <c r="AP5" s="1484">
        <f t="shared" si="1"/>
        <v>0</v>
      </c>
      <c r="AQ5" s="256">
        <f>SUM(K5-'3 pr-2'!L7)</f>
        <v>0</v>
      </c>
    </row>
    <row r="6" spans="1:43" ht="60" customHeight="1" thickBot="1" x14ac:dyDescent="0.3">
      <c r="A6" s="261" t="str">
        <f>CONCATENATE('3 pr-2'!A8)</f>
        <v>1.1.1.</v>
      </c>
      <c r="B6" s="2022" t="str">
        <f>CONCATENATE('3 pr-2'!B8)</f>
        <v>Uždavinys: 
Sudaryti sąlygas darbo vietų kūrimui, kuriant ir atnaujinant viešąją ir ekoinžinerinę  infrastruktūrą,  gamtos, kultūros paveldo objektus ir kultūros įstaigas</v>
      </c>
      <c r="C6" s="2023"/>
      <c r="D6" s="2023"/>
      <c r="E6" s="2023"/>
      <c r="F6" s="2023"/>
      <c r="G6" s="2023"/>
      <c r="H6" s="2023"/>
      <c r="I6" s="2023"/>
      <c r="J6" s="2024"/>
      <c r="K6" s="1420">
        <f t="shared" ref="K6:AJ6" si="2">SUM(K7+K31+K37+K44+K48+K54+K56+K60+K65)</f>
        <v>38952825.067058824</v>
      </c>
      <c r="L6" s="1420">
        <f t="shared" si="2"/>
        <v>10841052.569999998</v>
      </c>
      <c r="M6" s="1420">
        <f t="shared" si="2"/>
        <v>6214537.6199999992</v>
      </c>
      <c r="N6" s="1420">
        <f t="shared" si="2"/>
        <v>4488223.79</v>
      </c>
      <c r="O6" s="1420">
        <f t="shared" si="2"/>
        <v>28111772.49705882</v>
      </c>
      <c r="P6" s="1420">
        <f t="shared" si="2"/>
        <v>3133869.217058823</v>
      </c>
      <c r="Q6" s="1420">
        <f t="shared" si="2"/>
        <v>369848.04</v>
      </c>
      <c r="R6" s="1420">
        <f t="shared" si="2"/>
        <v>121978.6</v>
      </c>
      <c r="S6" s="1420">
        <f t="shared" si="2"/>
        <v>229931.08</v>
      </c>
      <c r="T6" s="1420">
        <f t="shared" si="2"/>
        <v>2764021.1770588239</v>
      </c>
      <c r="U6" s="1420">
        <f t="shared" si="2"/>
        <v>1255396.17</v>
      </c>
      <c r="V6" s="1420">
        <f t="shared" si="2"/>
        <v>329696.14</v>
      </c>
      <c r="W6" s="1420">
        <f t="shared" si="2"/>
        <v>220185.99</v>
      </c>
      <c r="X6" s="1420">
        <f t="shared" si="2"/>
        <v>105301.16000000002</v>
      </c>
      <c r="Y6" s="1420">
        <f t="shared" si="2"/>
        <v>925700.02999999991</v>
      </c>
      <c r="Z6" s="1420">
        <f t="shared" si="2"/>
        <v>8057947.0100000007</v>
      </c>
      <c r="AA6" s="1420">
        <f t="shared" si="2"/>
        <v>2237008.2100000004</v>
      </c>
      <c r="AB6" s="1420">
        <f t="shared" si="2"/>
        <v>1440051.81</v>
      </c>
      <c r="AC6" s="1420">
        <f t="shared" si="2"/>
        <v>796956.40000000014</v>
      </c>
      <c r="AD6" s="1420">
        <f t="shared" si="2"/>
        <v>5820938.7999999998</v>
      </c>
      <c r="AE6" s="1420">
        <f t="shared" si="2"/>
        <v>352400.82</v>
      </c>
      <c r="AF6" s="1420">
        <f t="shared" si="2"/>
        <v>284116.38</v>
      </c>
      <c r="AG6" s="1420">
        <f t="shared" si="2"/>
        <v>0</v>
      </c>
      <c r="AH6" s="1420">
        <f t="shared" si="2"/>
        <v>0</v>
      </c>
      <c r="AI6" s="1420">
        <f t="shared" si="2"/>
        <v>68284.44</v>
      </c>
      <c r="AJ6" s="1420">
        <f t="shared" si="2"/>
        <v>26153211.850000001</v>
      </c>
      <c r="AK6" s="1420">
        <f>SUM(AK7+AK31+AK37+AK44+AK48+AK54+AK56+AK60+AK65)</f>
        <v>7620383.8000000007</v>
      </c>
      <c r="AL6" s="1420">
        <f t="shared" ref="AL6:AP6" si="3">SUM(AL7+AL31+AL37+AL44+AL48+AL54+AL56+AL60+AL65)</f>
        <v>4432321.22</v>
      </c>
      <c r="AM6" s="1420">
        <f t="shared" si="3"/>
        <v>3071918.77</v>
      </c>
      <c r="AN6" s="1420">
        <f t="shared" si="3"/>
        <v>18277511.050000001</v>
      </c>
      <c r="AO6" s="1420">
        <f t="shared" si="3"/>
        <v>0</v>
      </c>
      <c r="AP6" s="1420">
        <f t="shared" si="3"/>
        <v>0</v>
      </c>
      <c r="AQ6" s="256">
        <f>SUM(K6-'3 pr-2'!L8)</f>
        <v>0</v>
      </c>
    </row>
    <row r="7" spans="1:43" s="253" customFormat="1" ht="36" customHeight="1" thickBot="1" x14ac:dyDescent="0.3">
      <c r="A7" s="326" t="str">
        <f>CONCATENATE('3 pr-2'!A9)</f>
        <v>1.1.1.1</v>
      </c>
      <c r="B7" s="2025" t="str">
        <f>CONCATENATE('3 pr-2'!B9)</f>
        <v>Priemonė:
Kaimo gyvenamųjų vietovių (turinčių iki 1 tūkst. gyventojų) atnaujinimas</v>
      </c>
      <c r="C7" s="2026"/>
      <c r="D7" s="2026"/>
      <c r="E7" s="2026"/>
      <c r="F7" s="2026"/>
      <c r="G7" s="2026"/>
      <c r="H7" s="2026"/>
      <c r="I7" s="2026"/>
      <c r="J7" s="2027"/>
      <c r="K7" s="1293">
        <f t="shared" ref="K7:AP7" si="4">SUM(K8:K30)</f>
        <v>4207747</v>
      </c>
      <c r="L7" s="1293">
        <f t="shared" si="4"/>
        <v>0</v>
      </c>
      <c r="M7" s="1293">
        <f t="shared" si="4"/>
        <v>0</v>
      </c>
      <c r="N7" s="1293">
        <f t="shared" si="4"/>
        <v>0</v>
      </c>
      <c r="O7" s="1293">
        <f t="shared" si="4"/>
        <v>4207747</v>
      </c>
      <c r="P7" s="1293">
        <f t="shared" si="4"/>
        <v>908274</v>
      </c>
      <c r="Q7" s="1293">
        <f t="shared" si="4"/>
        <v>0</v>
      </c>
      <c r="R7" s="1293">
        <f t="shared" si="4"/>
        <v>0</v>
      </c>
      <c r="S7" s="1293">
        <f t="shared" si="4"/>
        <v>0</v>
      </c>
      <c r="T7" s="1293">
        <f t="shared" si="4"/>
        <v>908274</v>
      </c>
      <c r="U7" s="1293">
        <f t="shared" si="4"/>
        <v>494922</v>
      </c>
      <c r="V7" s="1293">
        <f t="shared" si="4"/>
        <v>0</v>
      </c>
      <c r="W7" s="1293">
        <f t="shared" si="4"/>
        <v>0</v>
      </c>
      <c r="X7" s="1293">
        <f t="shared" si="4"/>
        <v>0</v>
      </c>
      <c r="Y7" s="1293">
        <f t="shared" si="4"/>
        <v>494922</v>
      </c>
      <c r="Z7" s="1293">
        <f t="shared" si="4"/>
        <v>0</v>
      </c>
      <c r="AA7" s="1293">
        <f t="shared" si="4"/>
        <v>0</v>
      </c>
      <c r="AB7" s="1293">
        <f t="shared" si="4"/>
        <v>0</v>
      </c>
      <c r="AC7" s="1293">
        <f t="shared" si="4"/>
        <v>0</v>
      </c>
      <c r="AD7" s="1293">
        <f t="shared" si="4"/>
        <v>0</v>
      </c>
      <c r="AE7" s="1293">
        <f t="shared" si="4"/>
        <v>0</v>
      </c>
      <c r="AF7" s="1293">
        <f t="shared" si="4"/>
        <v>0</v>
      </c>
      <c r="AG7" s="1293">
        <f t="shared" si="4"/>
        <v>0</v>
      </c>
      <c r="AH7" s="1293">
        <f t="shared" si="4"/>
        <v>0</v>
      </c>
      <c r="AI7" s="1293">
        <f t="shared" si="4"/>
        <v>0</v>
      </c>
      <c r="AJ7" s="1293">
        <f t="shared" si="4"/>
        <v>2804551</v>
      </c>
      <c r="AK7" s="1293">
        <f t="shared" si="4"/>
        <v>0</v>
      </c>
      <c r="AL7" s="1293">
        <f t="shared" si="4"/>
        <v>0</v>
      </c>
      <c r="AM7" s="1293">
        <f t="shared" si="4"/>
        <v>0</v>
      </c>
      <c r="AN7" s="1293">
        <f t="shared" si="4"/>
        <v>2804551</v>
      </c>
      <c r="AO7" s="1293">
        <f t="shared" si="4"/>
        <v>0</v>
      </c>
      <c r="AP7" s="1293">
        <f t="shared" si="4"/>
        <v>0</v>
      </c>
      <c r="AQ7" s="256">
        <f>SUM(K7-'3 pr-2'!L9)</f>
        <v>0</v>
      </c>
    </row>
    <row r="8" spans="1:43" ht="48.75" x14ac:dyDescent="0.25">
      <c r="A8" s="657" t="str">
        <f>CONCATENATE('3 pr-2'!A10)</f>
        <v>1.1.1.1.1</v>
      </c>
      <c r="B8" s="657" t="str">
        <f>CONCATENATE('3 pr-2'!B10)</f>
        <v>R01-ZM72-120000-1101</v>
      </c>
      <c r="C8" s="653" t="str">
        <f>CONCATENATE('ketv. 6 '!C9)</f>
        <v>20KI-KA-17-1-02616-PR001</v>
      </c>
      <c r="D8" s="240" t="str">
        <f>CONCATENATE('3 pr-2'!D10)</f>
        <v xml:space="preserve">Druskininkų savivaldybės Viečiūnų seniūnijos Ilgio ir Raigardo seniūnaitijų kelių būklės gerinimas  </v>
      </c>
      <c r="E8" s="240" t="str">
        <f>CONCATENATE('3 pr-2'!E10)</f>
        <v xml:space="preserve">Druskininkų savivaldybės administracija  </v>
      </c>
      <c r="F8" s="240" t="str">
        <f>CONCATENATE('3 pr-2'!F10)</f>
        <v>Lietuvos Respublikos žemės ūkio ministerija</v>
      </c>
      <c r="G8" s="240" t="str">
        <f>CONCATENATE('3 pr-2'!G10)</f>
        <v>Druskininkų sav.</v>
      </c>
      <c r="H8" s="240" t="str">
        <f>CONCATENATE('3 pr-2'!H10)</f>
        <v xml:space="preserve">Pagrindinės paslaugos ir kaimų atnaujinimas kaimo vietovėse </v>
      </c>
      <c r="I8" s="240" t="str">
        <f>CONCATENATE('3 pr-2'!I10)</f>
        <v>R</v>
      </c>
      <c r="J8" s="240" t="str">
        <f>CONCATENATE('3 pr-2'!J10)</f>
        <v>-</v>
      </c>
      <c r="K8" s="1435">
        <f>SUM('3 pr-2'!L10)</f>
        <v>198893</v>
      </c>
      <c r="L8" s="1435">
        <f t="shared" ref="L8:L30" si="5">SUM(Q8+V8+AA8+AF8+AK8)</f>
        <v>0</v>
      </c>
      <c r="M8" s="1486"/>
      <c r="N8" s="1486"/>
      <c r="O8" s="1487">
        <f t="shared" ref="O8:O70" si="6">SUM(K8-L8)</f>
        <v>198893</v>
      </c>
      <c r="P8" s="1435">
        <f>SUM('3 pr-2'!O10)</f>
        <v>39779</v>
      </c>
      <c r="Q8" s="1435">
        <v>0</v>
      </c>
      <c r="R8" s="1486"/>
      <c r="S8" s="1486"/>
      <c r="T8" s="1487">
        <f t="shared" ref="T8:T30" si="7">SUM(P8-Q8)</f>
        <v>39779</v>
      </c>
      <c r="U8" s="1435">
        <f>SUM('3 pr-2'!R10)</f>
        <v>23867</v>
      </c>
      <c r="V8" s="1435">
        <v>0</v>
      </c>
      <c r="W8" s="1486"/>
      <c r="X8" s="1486"/>
      <c r="Y8" s="1487">
        <f t="shared" ref="Y8:Y30" si="8">SUM(U8-V8)</f>
        <v>23867</v>
      </c>
      <c r="Z8" s="1435">
        <f>SUM('3 pr-2'!U10)</f>
        <v>0</v>
      </c>
      <c r="AA8" s="1435">
        <v>0</v>
      </c>
      <c r="AB8" s="1486"/>
      <c r="AC8" s="1486"/>
      <c r="AD8" s="1487">
        <f t="shared" ref="AD8:AD30" si="9">SUM(Z8-AA8)</f>
        <v>0</v>
      </c>
      <c r="AE8" s="1435">
        <f>SUM('3 pr-2'!X10)</f>
        <v>0</v>
      </c>
      <c r="AF8" s="1435">
        <v>0</v>
      </c>
      <c r="AG8" s="1486"/>
      <c r="AH8" s="1486"/>
      <c r="AI8" s="1487">
        <f t="shared" ref="AI8:AI30" si="10">SUM(AE8-AF8)</f>
        <v>0</v>
      </c>
      <c r="AJ8" s="1435">
        <f>SUM('3 pr-2'!AA10)</f>
        <v>135247</v>
      </c>
      <c r="AK8" s="1435">
        <v>0</v>
      </c>
      <c r="AL8" s="1486"/>
      <c r="AM8" s="1486"/>
      <c r="AN8" s="1454">
        <f t="shared" ref="AN8:AN30" si="11">IF(AJ8&gt;0,AJ8-AK8,0)</f>
        <v>135247</v>
      </c>
      <c r="AO8" s="1296">
        <f>SUM('3 pr-2'!AB10)</f>
        <v>0</v>
      </c>
      <c r="AP8" s="1488">
        <v>0</v>
      </c>
    </row>
    <row r="9" spans="1:43" ht="48.75" x14ac:dyDescent="0.25">
      <c r="A9" s="644" t="str">
        <f>CONCATENATE('3 pr-2'!A11)</f>
        <v>1.1.1.1.2</v>
      </c>
      <c r="B9" s="657" t="str">
        <f>CONCATENATE('3 pr-2'!B11)</f>
        <v>R01-ZM72-120000-1102</v>
      </c>
      <c r="C9" s="653" t="str">
        <f>CONCATENATE('ketv. 6 '!C10)</f>
        <v>20KI-KA-17-1-02617-PR001</v>
      </c>
      <c r="D9" s="182" t="str">
        <f>CONCATENATE('3 pr-2'!D11)</f>
        <v>Druskininkų savivaldybės Viečiūnų seniūnijos Ratnyčėlės seniūnaitijos kelių būklės gerinimas</v>
      </c>
      <c r="E9" s="182" t="str">
        <f>CONCATENATE('3 pr-2'!E11)</f>
        <v xml:space="preserve">Druskininkų savivaldybės administracija  </v>
      </c>
      <c r="F9" s="182" t="str">
        <f>CONCATENATE('3 pr-2'!F11)</f>
        <v>Lietuvos Respublikos žemės ūkio ministerija</v>
      </c>
      <c r="G9" s="182" t="str">
        <f>CONCATENATE('3 pr-2'!G11)</f>
        <v>Druskininkų sav.</v>
      </c>
      <c r="H9" s="182" t="str">
        <f>CONCATENATE('3 pr-2'!H11)</f>
        <v xml:space="preserve">Pagrindinės paslaugos ir kaimų atnaujinimas kaimo vietovėse </v>
      </c>
      <c r="I9" s="182" t="str">
        <f>CONCATENATE('3 pr-2'!I11)</f>
        <v>R</v>
      </c>
      <c r="J9" s="182" t="str">
        <f>CONCATENATE('3 pr-2'!J11)</f>
        <v>-</v>
      </c>
      <c r="K9" s="1435">
        <f>SUM('3 pr-2'!L11)</f>
        <v>151340</v>
      </c>
      <c r="L9" s="1296">
        <f t="shared" si="5"/>
        <v>0</v>
      </c>
      <c r="M9" s="1298"/>
      <c r="N9" s="1298"/>
      <c r="O9" s="1427">
        <f t="shared" si="6"/>
        <v>151340</v>
      </c>
      <c r="P9" s="1435">
        <f>SUM('3 pr-2'!O11)</f>
        <v>30268</v>
      </c>
      <c r="Q9" s="1296">
        <v>0</v>
      </c>
      <c r="R9" s="1298"/>
      <c r="S9" s="1298"/>
      <c r="T9" s="1427">
        <f t="shared" si="7"/>
        <v>30268</v>
      </c>
      <c r="U9" s="1435">
        <f>SUM('3 pr-2'!R11)</f>
        <v>18161</v>
      </c>
      <c r="V9" s="1296">
        <v>0</v>
      </c>
      <c r="W9" s="1298"/>
      <c r="X9" s="1298"/>
      <c r="Y9" s="1427">
        <f t="shared" si="8"/>
        <v>18161</v>
      </c>
      <c r="Z9" s="1435">
        <f>SUM('3 pr-2'!U11)</f>
        <v>0</v>
      </c>
      <c r="AA9" s="1296">
        <v>0</v>
      </c>
      <c r="AB9" s="1298"/>
      <c r="AC9" s="1298"/>
      <c r="AD9" s="1427">
        <f t="shared" si="9"/>
        <v>0</v>
      </c>
      <c r="AE9" s="1435">
        <f>SUM('3 pr-2'!X11)</f>
        <v>0</v>
      </c>
      <c r="AF9" s="1296">
        <v>0</v>
      </c>
      <c r="AG9" s="1298"/>
      <c r="AH9" s="1298"/>
      <c r="AI9" s="1427">
        <f t="shared" si="10"/>
        <v>0</v>
      </c>
      <c r="AJ9" s="1435">
        <f>SUM('3 pr-2'!AA11)</f>
        <v>102911</v>
      </c>
      <c r="AK9" s="1296">
        <v>0</v>
      </c>
      <c r="AL9" s="1298"/>
      <c r="AM9" s="1298"/>
      <c r="AN9" s="1454">
        <f t="shared" si="11"/>
        <v>102911</v>
      </c>
      <c r="AO9" s="1296">
        <f>SUM('3 pr-2'!AB11)</f>
        <v>0</v>
      </c>
      <c r="AP9" s="1488">
        <v>0</v>
      </c>
    </row>
    <row r="10" spans="1:43" ht="48.75" x14ac:dyDescent="0.25">
      <c r="A10" s="644" t="str">
        <f>CONCATENATE('3 pr-2'!A12)</f>
        <v>1.1.1.1.3</v>
      </c>
      <c r="B10" s="657" t="str">
        <f>CONCATENATE('3 pr-2'!B12)</f>
        <v>R01-ZM72-120000-1103</v>
      </c>
      <c r="C10" s="653" t="str">
        <f>CONCATENATE('ketv. 6 '!C11)</f>
        <v>20KI-KA-17-1-02622-PR001</v>
      </c>
      <c r="D10" s="182" t="str">
        <f>CONCATENATE('3 pr-2'!D12)</f>
        <v>Druskininkų savivaldybės Leipalingio seniūnijos Klonio seniūnaitijos kelių būklės gerinimas</v>
      </c>
      <c r="E10" s="182" t="str">
        <f>CONCATENATE('3 pr-2'!E12)</f>
        <v xml:space="preserve">Druskininkų savivaldybės administracija  </v>
      </c>
      <c r="F10" s="182" t="str">
        <f>CONCATENATE('3 pr-2'!F12)</f>
        <v>Lietuvos Respublikos žemės ūkio ministerija</v>
      </c>
      <c r="G10" s="182" t="str">
        <f>CONCATENATE('3 pr-2'!G12)</f>
        <v>Druskininkų sav.</v>
      </c>
      <c r="H10" s="182" t="str">
        <f>CONCATENATE('3 pr-2'!H12)</f>
        <v xml:space="preserve">Pagrindinės paslaugos ir kaimų atnaujinimas kaimo vietovėse </v>
      </c>
      <c r="I10" s="182" t="str">
        <f>CONCATENATE('3 pr-2'!I12)</f>
        <v>R</v>
      </c>
      <c r="J10" s="182" t="str">
        <f>CONCATENATE('3 pr-2'!J12)</f>
        <v>-</v>
      </c>
      <c r="K10" s="1435">
        <f>SUM('3 pr-2'!L12)</f>
        <v>193059</v>
      </c>
      <c r="L10" s="1296">
        <f t="shared" si="5"/>
        <v>0</v>
      </c>
      <c r="M10" s="1298"/>
      <c r="N10" s="1298"/>
      <c r="O10" s="1427">
        <f t="shared" si="6"/>
        <v>193059</v>
      </c>
      <c r="P10" s="1435">
        <f>SUM('3 pr-2'!O12)</f>
        <v>38612</v>
      </c>
      <c r="Q10" s="1296">
        <v>0</v>
      </c>
      <c r="R10" s="1298"/>
      <c r="S10" s="1298"/>
      <c r="T10" s="1427">
        <f t="shared" si="7"/>
        <v>38612</v>
      </c>
      <c r="U10" s="1435">
        <f>SUM('3 pr-2'!R12)</f>
        <v>23167</v>
      </c>
      <c r="V10" s="1296">
        <v>0</v>
      </c>
      <c r="W10" s="1298"/>
      <c r="X10" s="1298"/>
      <c r="Y10" s="1427">
        <f t="shared" si="8"/>
        <v>23167</v>
      </c>
      <c r="Z10" s="1435">
        <f>SUM('3 pr-2'!U12)</f>
        <v>0</v>
      </c>
      <c r="AA10" s="1296">
        <v>0</v>
      </c>
      <c r="AB10" s="1298"/>
      <c r="AC10" s="1298"/>
      <c r="AD10" s="1427">
        <f t="shared" si="9"/>
        <v>0</v>
      </c>
      <c r="AE10" s="1435">
        <f>SUM('3 pr-2'!X12)</f>
        <v>0</v>
      </c>
      <c r="AF10" s="1296">
        <v>0</v>
      </c>
      <c r="AG10" s="1298"/>
      <c r="AH10" s="1298"/>
      <c r="AI10" s="1427">
        <f t="shared" si="10"/>
        <v>0</v>
      </c>
      <c r="AJ10" s="1435">
        <f>SUM('3 pr-2'!AA12)</f>
        <v>131280</v>
      </c>
      <c r="AK10" s="1296">
        <v>0</v>
      </c>
      <c r="AL10" s="1298"/>
      <c r="AM10" s="1298"/>
      <c r="AN10" s="1454">
        <f t="shared" si="11"/>
        <v>131280</v>
      </c>
      <c r="AO10" s="1296">
        <f>SUM('3 pr-2'!AB12)</f>
        <v>0</v>
      </c>
      <c r="AP10" s="1488">
        <v>0</v>
      </c>
    </row>
    <row r="11" spans="1:43" ht="48.75" x14ac:dyDescent="0.25">
      <c r="A11" s="644" t="str">
        <f>CONCATENATE('3 pr-2'!A13)</f>
        <v>1.1.1.1.4</v>
      </c>
      <c r="B11" s="657" t="str">
        <f>CONCATENATE('3 pr-2'!B13)</f>
        <v>R01-ZM72-330200-1104</v>
      </c>
      <c r="C11" s="653" t="str">
        <f>CONCATENATE('ketv. 6 '!C12)</f>
        <v>20KI-KA-17-1-02368-PR001</v>
      </c>
      <c r="D11" s="182" t="str">
        <f>CONCATENATE('3 pr-2'!D13)</f>
        <v>Rudaminos laisvalaikio salės pritaikymas bendruomenės poreikiams ir liaudies amatų plėtrai</v>
      </c>
      <c r="E11" s="182" t="str">
        <f>CONCATENATE('3 pr-2'!E13)</f>
        <v>Viešoji įstaiga Lazdijų kultūros centras</v>
      </c>
      <c r="F11" s="182" t="str">
        <f>CONCATENATE('3 pr-2'!F13)</f>
        <v>Lietuvos Respublikos žemės ūkio ministerija</v>
      </c>
      <c r="G11" s="182" t="str">
        <f>CONCATENATE('3 pr-2'!G13)</f>
        <v>Lazdijų r. sav.</v>
      </c>
      <c r="H11" s="182" t="str">
        <f>CONCATENATE('3 pr-2'!H13)</f>
        <v xml:space="preserve">Pagrindinės paslaugos ir kaimų atnaujinimas kaimo vietovėse </v>
      </c>
      <c r="I11" s="182" t="str">
        <f>CONCATENATE('3 pr-2'!I13)</f>
        <v>R</v>
      </c>
      <c r="J11" s="182" t="str">
        <f>CONCATENATE('3 pr-2'!J13)</f>
        <v>-</v>
      </c>
      <c r="K11" s="1435">
        <f>SUM('3 pr-2'!L13)</f>
        <v>125000</v>
      </c>
      <c r="L11" s="1296">
        <f t="shared" si="5"/>
        <v>0</v>
      </c>
      <c r="M11" s="1298"/>
      <c r="N11" s="1298"/>
      <c r="O11" s="1427">
        <f t="shared" si="6"/>
        <v>125000</v>
      </c>
      <c r="P11" s="1435">
        <f>SUM('3 pr-2'!O13)</f>
        <v>25000</v>
      </c>
      <c r="Q11" s="1296">
        <v>0</v>
      </c>
      <c r="R11" s="1298"/>
      <c r="S11" s="1298"/>
      <c r="T11" s="1427">
        <f t="shared" si="7"/>
        <v>25000</v>
      </c>
      <c r="U11" s="1435">
        <f>SUM('3 pr-2'!R13)</f>
        <v>15000</v>
      </c>
      <c r="V11" s="1296">
        <v>0</v>
      </c>
      <c r="W11" s="1298"/>
      <c r="X11" s="1298"/>
      <c r="Y11" s="1427">
        <f t="shared" si="8"/>
        <v>15000</v>
      </c>
      <c r="Z11" s="1435">
        <f>SUM('3 pr-2'!U13)</f>
        <v>0</v>
      </c>
      <c r="AA11" s="1296">
        <v>0</v>
      </c>
      <c r="AB11" s="1298"/>
      <c r="AC11" s="1298"/>
      <c r="AD11" s="1427">
        <f t="shared" si="9"/>
        <v>0</v>
      </c>
      <c r="AE11" s="1435">
        <f>SUM('3 pr-2'!X13)</f>
        <v>0</v>
      </c>
      <c r="AF11" s="1296">
        <v>0</v>
      </c>
      <c r="AG11" s="1298"/>
      <c r="AH11" s="1298"/>
      <c r="AI11" s="1427">
        <f t="shared" si="10"/>
        <v>0</v>
      </c>
      <c r="AJ11" s="1435">
        <f>SUM('3 pr-2'!AA13)</f>
        <v>85000</v>
      </c>
      <c r="AK11" s="1296">
        <v>0</v>
      </c>
      <c r="AL11" s="1298"/>
      <c r="AM11" s="1298"/>
      <c r="AN11" s="1454">
        <f t="shared" si="11"/>
        <v>85000</v>
      </c>
      <c r="AO11" s="1296">
        <f>SUM('3 pr-2'!AB13)</f>
        <v>0</v>
      </c>
      <c r="AP11" s="1488">
        <v>0</v>
      </c>
    </row>
    <row r="12" spans="1:43" ht="48.75" x14ac:dyDescent="0.25">
      <c r="A12" s="644" t="str">
        <f>CONCATENATE('3 pr-2'!A14)</f>
        <v>1.1.1.1.5</v>
      </c>
      <c r="B12" s="657" t="str">
        <f>CONCATENATE('3 pr-2'!B14)</f>
        <v>R01-ZM72-120000-1105</v>
      </c>
      <c r="C12" s="653" t="str">
        <f>CONCATENATE('ketv. 6 '!C13)</f>
        <v>20KI-KA-17-1-02619-PR001</v>
      </c>
      <c r="D12" s="182" t="str">
        <f>CONCATENATE('3 pr-2'!D14)</f>
        <v>Druskininkų savivaldybės Leipalingio seniūnijos Bilso seniūnaitijos kelių būklės gerinimas</v>
      </c>
      <c r="E12" s="182" t="str">
        <f>CONCATENATE('3 pr-2'!E14)</f>
        <v xml:space="preserve">Druskininkų savivaldybės administracija  </v>
      </c>
      <c r="F12" s="182" t="str">
        <f>CONCATENATE('3 pr-2'!F14)</f>
        <v>Lietuvos Respublikos žemės ūkio ministerija</v>
      </c>
      <c r="G12" s="182" t="str">
        <f>CONCATENATE('3 pr-2'!G14)</f>
        <v>Druskininkų sav.</v>
      </c>
      <c r="H12" s="182" t="str">
        <f>CONCATENATE('3 pr-2'!H14)</f>
        <v xml:space="preserve">Pagrindinės paslaugos ir kaimų atnaujinimas kaimo vietovėse </v>
      </c>
      <c r="I12" s="182" t="str">
        <f>CONCATENATE('3 pr-2'!I14)</f>
        <v>R</v>
      </c>
      <c r="J12" s="182" t="str">
        <f>CONCATENATE('3 pr-2'!J14)</f>
        <v>-</v>
      </c>
      <c r="K12" s="1435">
        <f>SUM('3 pr-2'!L14)</f>
        <v>240940</v>
      </c>
      <c r="L12" s="1296">
        <f t="shared" si="5"/>
        <v>0</v>
      </c>
      <c r="M12" s="1298"/>
      <c r="N12" s="1298"/>
      <c r="O12" s="1427">
        <f t="shared" si="6"/>
        <v>240940</v>
      </c>
      <c r="P12" s="1435">
        <f>SUM('3 pr-2'!O14)</f>
        <v>112896</v>
      </c>
      <c r="Q12" s="1296">
        <v>0</v>
      </c>
      <c r="R12" s="1298"/>
      <c r="S12" s="1298"/>
      <c r="T12" s="1427">
        <f t="shared" si="7"/>
        <v>112896</v>
      </c>
      <c r="U12" s="1435">
        <f>SUM('3 pr-2'!R14)</f>
        <v>19207</v>
      </c>
      <c r="V12" s="1296">
        <v>0</v>
      </c>
      <c r="W12" s="1298"/>
      <c r="X12" s="1298"/>
      <c r="Y12" s="1427">
        <f t="shared" si="8"/>
        <v>19207</v>
      </c>
      <c r="Z12" s="1435">
        <f>SUM('3 pr-2'!U14)</f>
        <v>0</v>
      </c>
      <c r="AA12" s="1296">
        <v>0</v>
      </c>
      <c r="AB12" s="1298"/>
      <c r="AC12" s="1298"/>
      <c r="AD12" s="1427">
        <f t="shared" si="9"/>
        <v>0</v>
      </c>
      <c r="AE12" s="1435">
        <f>SUM('3 pr-2'!X14)</f>
        <v>0</v>
      </c>
      <c r="AF12" s="1296">
        <v>0</v>
      </c>
      <c r="AG12" s="1298"/>
      <c r="AH12" s="1298"/>
      <c r="AI12" s="1427">
        <f t="shared" si="10"/>
        <v>0</v>
      </c>
      <c r="AJ12" s="1435">
        <f>SUM('3 pr-2'!AA14)</f>
        <v>108837</v>
      </c>
      <c r="AK12" s="1296">
        <v>0</v>
      </c>
      <c r="AL12" s="1298"/>
      <c r="AM12" s="1298"/>
      <c r="AN12" s="1454">
        <f t="shared" si="11"/>
        <v>108837</v>
      </c>
      <c r="AO12" s="1296">
        <f>SUM('3 pr-2'!AB14)</f>
        <v>0</v>
      </c>
      <c r="AP12" s="1488">
        <v>0</v>
      </c>
    </row>
    <row r="13" spans="1:43" ht="48.75" x14ac:dyDescent="0.25">
      <c r="A13" s="644" t="str">
        <f>CONCATENATE('3 pr-2'!A15)</f>
        <v>1.1.1.1.6</v>
      </c>
      <c r="B13" s="657" t="str">
        <f>CONCATENATE('3 pr-2'!B15)</f>
        <v>R01-ZM72-330200-1106</v>
      </c>
      <c r="C13" s="653" t="str">
        <f>CONCATENATE('ketv. 6 '!C14)</f>
        <v>20KI-KA-17-1-02374-PR001</v>
      </c>
      <c r="D13" s="182" t="str">
        <f>CONCATENATE('3 pr-2'!D15)</f>
        <v>Lazdijų rajono kaimų patrauklumo didinimas atnaujinant bibliotekas</v>
      </c>
      <c r="E13" s="182" t="str">
        <f>CONCATENATE('3 pr-2'!E15)</f>
        <v xml:space="preserve">Biudžetinė įstaiga Lazdijų rajono savivaldybės viešoji biblioteka </v>
      </c>
      <c r="F13" s="182" t="str">
        <f>CONCATENATE('3 pr-2'!F15)</f>
        <v>Lietuvos Respublikos žemės ūkio ministerija</v>
      </c>
      <c r="G13" s="182" t="str">
        <f>CONCATENATE('3 pr-2'!G15)</f>
        <v>Lazdijų r. sav.</v>
      </c>
      <c r="H13" s="182" t="str">
        <f>CONCATENATE('3 pr-2'!H15)</f>
        <v xml:space="preserve">Pagrindinės paslaugos ir kaimų atnaujinimas kaimo vietovėse </v>
      </c>
      <c r="I13" s="182" t="str">
        <f>CONCATENATE('3 pr-2'!I15)</f>
        <v>R</v>
      </c>
      <c r="J13" s="182" t="str">
        <f>CONCATENATE('3 pr-2'!J15)</f>
        <v>-</v>
      </c>
      <c r="K13" s="1435">
        <f>SUM('3 pr-2'!L15)</f>
        <v>201000</v>
      </c>
      <c r="L13" s="1296">
        <f t="shared" si="5"/>
        <v>0</v>
      </c>
      <c r="M13" s="1298"/>
      <c r="N13" s="1298"/>
      <c r="O13" s="1427">
        <f t="shared" si="6"/>
        <v>201000</v>
      </c>
      <c r="P13" s="1435">
        <f>SUM('3 pr-2'!O15)</f>
        <v>40200</v>
      </c>
      <c r="Q13" s="1296">
        <v>0</v>
      </c>
      <c r="R13" s="1298"/>
      <c r="S13" s="1298"/>
      <c r="T13" s="1427">
        <f t="shared" si="7"/>
        <v>40200</v>
      </c>
      <c r="U13" s="1435">
        <f>SUM('3 pr-2'!R15)</f>
        <v>24120</v>
      </c>
      <c r="V13" s="1296">
        <v>0</v>
      </c>
      <c r="W13" s="1298"/>
      <c r="X13" s="1298"/>
      <c r="Y13" s="1427">
        <f t="shared" si="8"/>
        <v>24120</v>
      </c>
      <c r="Z13" s="1435">
        <f>SUM('3 pr-2'!U15)</f>
        <v>0</v>
      </c>
      <c r="AA13" s="1296">
        <v>0</v>
      </c>
      <c r="AB13" s="1298"/>
      <c r="AC13" s="1298"/>
      <c r="AD13" s="1427">
        <f t="shared" si="9"/>
        <v>0</v>
      </c>
      <c r="AE13" s="1435">
        <f>SUM('3 pr-2'!X15)</f>
        <v>0</v>
      </c>
      <c r="AF13" s="1296">
        <v>0</v>
      </c>
      <c r="AG13" s="1298"/>
      <c r="AH13" s="1298"/>
      <c r="AI13" s="1427">
        <f t="shared" si="10"/>
        <v>0</v>
      </c>
      <c r="AJ13" s="1435">
        <f>SUM('3 pr-2'!AA15)</f>
        <v>136680</v>
      </c>
      <c r="AK13" s="1296">
        <v>0</v>
      </c>
      <c r="AL13" s="1298"/>
      <c r="AM13" s="1298"/>
      <c r="AN13" s="1454">
        <f t="shared" si="11"/>
        <v>136680</v>
      </c>
      <c r="AO13" s="1296">
        <f>SUM('3 pr-2'!AB15)</f>
        <v>0</v>
      </c>
      <c r="AP13" s="1488">
        <v>0</v>
      </c>
    </row>
    <row r="14" spans="1:43" ht="48.75" x14ac:dyDescent="0.25">
      <c r="A14" s="644" t="str">
        <f>CONCATENATE('3 pr-2'!A16)</f>
        <v>1.1.1.1.7</v>
      </c>
      <c r="B14" s="657" t="str">
        <f>CONCATENATE('3 pr-2'!B16)</f>
        <v>R01-ZM72-123200-1107</v>
      </c>
      <c r="C14" s="653" t="str">
        <f>CONCATENATE('ketv. 6 '!C15)</f>
        <v>20KI-KA-17-1-02437-PR001</v>
      </c>
      <c r="D14" s="182" t="str">
        <f>CONCATENATE('3 pr-2'!D16)</f>
        <v>Alytaus rajono Miroslavo kaimo multifunkcinės sporto aikštės įrengimas ir gatvių bei šaligatvių rekonstrukcija</v>
      </c>
      <c r="E14" s="182" t="str">
        <f>CONCATENATE('3 pr-2'!E16)</f>
        <v>Alytaus rajono savivaldybės administracija</v>
      </c>
      <c r="F14" s="182" t="str">
        <f>CONCATENATE('3 pr-2'!F16)</f>
        <v>Lietuvos Respublikos žemės ūkio ministerija</v>
      </c>
      <c r="G14" s="182" t="str">
        <f>CONCATENATE('3 pr-2'!G16)</f>
        <v>Alytaus r. sav.</v>
      </c>
      <c r="H14" s="182" t="str">
        <f>CONCATENATE('3 pr-2'!H16)</f>
        <v xml:space="preserve">Pagrindinės paslaugos ir kaimų atnaujinimas kaimo vietovėse </v>
      </c>
      <c r="I14" s="182" t="str">
        <f>CONCATENATE('3 pr-2'!I16)</f>
        <v>R</v>
      </c>
      <c r="J14" s="182" t="str">
        <f>CONCATENATE('3 pr-2'!J16)</f>
        <v>-</v>
      </c>
      <c r="K14" s="1435">
        <f>SUM('3 pr-2'!L16)</f>
        <v>252212</v>
      </c>
      <c r="L14" s="1296">
        <f t="shared" si="5"/>
        <v>0</v>
      </c>
      <c r="M14" s="1298"/>
      <c r="N14" s="1298"/>
      <c r="O14" s="1427">
        <f t="shared" si="6"/>
        <v>252212</v>
      </c>
      <c r="P14" s="1435">
        <f>SUM('3 pr-2'!O16)</f>
        <v>52212</v>
      </c>
      <c r="Q14" s="1296">
        <v>0</v>
      </c>
      <c r="R14" s="1298"/>
      <c r="S14" s="1298"/>
      <c r="T14" s="1427">
        <f t="shared" si="7"/>
        <v>52212</v>
      </c>
      <c r="U14" s="1435">
        <f>SUM('3 pr-2'!R16)</f>
        <v>30000</v>
      </c>
      <c r="V14" s="1296">
        <v>0</v>
      </c>
      <c r="W14" s="1298"/>
      <c r="X14" s="1298"/>
      <c r="Y14" s="1427">
        <f t="shared" si="8"/>
        <v>30000</v>
      </c>
      <c r="Z14" s="1435">
        <f>SUM('3 pr-2'!U16)</f>
        <v>0</v>
      </c>
      <c r="AA14" s="1296">
        <v>0</v>
      </c>
      <c r="AB14" s="1298"/>
      <c r="AC14" s="1298"/>
      <c r="AD14" s="1427">
        <f t="shared" si="9"/>
        <v>0</v>
      </c>
      <c r="AE14" s="1435">
        <f>SUM('3 pr-2'!X16)</f>
        <v>0</v>
      </c>
      <c r="AF14" s="1296">
        <v>0</v>
      </c>
      <c r="AG14" s="1298"/>
      <c r="AH14" s="1298"/>
      <c r="AI14" s="1427">
        <f t="shared" si="10"/>
        <v>0</v>
      </c>
      <c r="AJ14" s="1435">
        <f>SUM('3 pr-2'!AA16)</f>
        <v>170000</v>
      </c>
      <c r="AK14" s="1296">
        <v>0</v>
      </c>
      <c r="AL14" s="1298"/>
      <c r="AM14" s="1298"/>
      <c r="AN14" s="1454">
        <f t="shared" si="11"/>
        <v>170000</v>
      </c>
      <c r="AO14" s="1296">
        <f>SUM('3 pr-2'!AB16)</f>
        <v>0</v>
      </c>
      <c r="AP14" s="1488">
        <v>0</v>
      </c>
    </row>
    <row r="15" spans="1:43" ht="36.75" x14ac:dyDescent="0.25">
      <c r="A15" s="644" t="str">
        <f>CONCATENATE('3 pr-2'!A17)</f>
        <v>1.1.1.1.8</v>
      </c>
      <c r="B15" s="657" t="str">
        <f>CONCATENATE('3 pr-2'!B17)</f>
        <v>R01-ZM72-123200-1108</v>
      </c>
      <c r="C15" s="653" t="str">
        <f>CONCATENATE('ketv. 6 '!C16)</f>
        <v>20KI-KA-17-1-02242-PR001</v>
      </c>
      <c r="D15" s="182" t="str">
        <f>CONCATENATE('3 pr-2'!D17)</f>
        <v>Alytaus rajono Luksnėnų kaimo multifunkcinės sporto aikštės įrengimas ir gatvių rekonstrukcija</v>
      </c>
      <c r="E15" s="182" t="str">
        <f>CONCATENATE('3 pr-2'!E17)</f>
        <v>Alytaus rajono savivaldybės administracija</v>
      </c>
      <c r="F15" s="182" t="str">
        <f>CONCATENATE('3 pr-2'!F17)</f>
        <v>Lietuvos Respublikos žemės ūkio ministerija</v>
      </c>
      <c r="G15" s="182" t="str">
        <f>CONCATENATE('3 pr-2'!G17)</f>
        <v>Alytaus r. sav.</v>
      </c>
      <c r="H15" s="182" t="str">
        <f>CONCATENATE('3 pr-2'!H17)</f>
        <v xml:space="preserve">Pagrindinės paslaugos ir kaimų atnaujinimas kaimo vietovėse </v>
      </c>
      <c r="I15" s="182" t="str">
        <f>CONCATENATE('3 pr-2'!I17)</f>
        <v>R</v>
      </c>
      <c r="J15" s="182" t="str">
        <f>CONCATENATE('3 pr-2'!J17)</f>
        <v>-</v>
      </c>
      <c r="K15" s="1435">
        <f>SUM('3 pr-2'!L17)</f>
        <v>250309</v>
      </c>
      <c r="L15" s="1296">
        <f t="shared" si="5"/>
        <v>0</v>
      </c>
      <c r="M15" s="1298"/>
      <c r="N15" s="1298"/>
      <c r="O15" s="1427">
        <f t="shared" si="6"/>
        <v>250309</v>
      </c>
      <c r="P15" s="1435">
        <f>SUM('3 pr-2'!O17)</f>
        <v>50309</v>
      </c>
      <c r="Q15" s="1296">
        <v>0</v>
      </c>
      <c r="R15" s="1298"/>
      <c r="S15" s="1298"/>
      <c r="T15" s="1427">
        <f t="shared" si="7"/>
        <v>50309</v>
      </c>
      <c r="U15" s="1435">
        <f>SUM('3 pr-2'!R17)</f>
        <v>30000</v>
      </c>
      <c r="V15" s="1296">
        <v>0</v>
      </c>
      <c r="W15" s="1298"/>
      <c r="X15" s="1298"/>
      <c r="Y15" s="1427">
        <f t="shared" si="8"/>
        <v>30000</v>
      </c>
      <c r="Z15" s="1435">
        <f>SUM('3 pr-2'!U17)</f>
        <v>0</v>
      </c>
      <c r="AA15" s="1296">
        <v>0</v>
      </c>
      <c r="AB15" s="1298"/>
      <c r="AC15" s="1298"/>
      <c r="AD15" s="1427">
        <f t="shared" si="9"/>
        <v>0</v>
      </c>
      <c r="AE15" s="1435">
        <f>SUM('3 pr-2'!X17)</f>
        <v>0</v>
      </c>
      <c r="AF15" s="1296">
        <v>0</v>
      </c>
      <c r="AG15" s="1298"/>
      <c r="AH15" s="1298"/>
      <c r="AI15" s="1427">
        <f t="shared" si="10"/>
        <v>0</v>
      </c>
      <c r="AJ15" s="1435">
        <f>SUM('3 pr-2'!AA17)</f>
        <v>170000</v>
      </c>
      <c r="AK15" s="1296">
        <v>0</v>
      </c>
      <c r="AL15" s="1298"/>
      <c r="AM15" s="1298"/>
      <c r="AN15" s="1454">
        <f t="shared" si="11"/>
        <v>170000</v>
      </c>
      <c r="AO15" s="1296">
        <f>SUM('3 pr-2'!AB17)</f>
        <v>0</v>
      </c>
      <c r="AP15" s="1488">
        <v>0</v>
      </c>
    </row>
    <row r="16" spans="1:43" ht="36.75" x14ac:dyDescent="0.25">
      <c r="A16" s="644" t="str">
        <f>CONCATENATE('3 pr-2'!A18)</f>
        <v>1.1.1.1.9</v>
      </c>
      <c r="B16" s="657" t="str">
        <f>CONCATENATE('3 pr-2'!B18)</f>
        <v>R01-ZM72-340000-1109</v>
      </c>
      <c r="C16" s="653" t="str">
        <f>CONCATENATE('ketv. 6 '!C17)</f>
        <v>20KI-KA-17-1-02372-PR001</v>
      </c>
      <c r="D16" s="182" t="str">
        <f>CONCATENATE('3 pr-2'!D18)</f>
        <v>Krikštonių laisvalaikio salės pritaikymas bendruomenės poreikiams</v>
      </c>
      <c r="E16" s="182" t="str">
        <f>CONCATENATE('3 pr-2'!E18)</f>
        <v xml:space="preserve">Viešoji įstaiga Lazdijų kultūros centras </v>
      </c>
      <c r="F16" s="182" t="str">
        <f>CONCATENATE('3 pr-2'!F18)</f>
        <v>Lietuvos Respublikos žemės ūkio ministerija</v>
      </c>
      <c r="G16" s="182" t="str">
        <f>CONCATENATE('3 pr-2'!G18)</f>
        <v>Lazdijų r. sav.</v>
      </c>
      <c r="H16" s="182" t="str">
        <f>CONCATENATE('3 pr-2'!H18)</f>
        <v xml:space="preserve">Pagrindinės paslaugos ir kaimų atnaujinimas kaimo vietovėse </v>
      </c>
      <c r="I16" s="182" t="str">
        <f>CONCATENATE('3 pr-2'!I18)</f>
        <v>R</v>
      </c>
      <c r="J16" s="182" t="str">
        <f>CONCATENATE('3 pr-2'!J18)</f>
        <v>-</v>
      </c>
      <c r="K16" s="1435">
        <f>SUM('3 pr-2'!L18)</f>
        <v>250000</v>
      </c>
      <c r="L16" s="1296">
        <f t="shared" si="5"/>
        <v>0</v>
      </c>
      <c r="M16" s="1298"/>
      <c r="N16" s="1298"/>
      <c r="O16" s="1427">
        <f t="shared" si="6"/>
        <v>250000</v>
      </c>
      <c r="P16" s="1435">
        <f>SUM('3 pr-2'!O18)</f>
        <v>50000</v>
      </c>
      <c r="Q16" s="1296">
        <v>0</v>
      </c>
      <c r="R16" s="1298"/>
      <c r="S16" s="1298"/>
      <c r="T16" s="1427">
        <f t="shared" si="7"/>
        <v>50000</v>
      </c>
      <c r="U16" s="1435">
        <f>SUM('3 pr-2'!R18)</f>
        <v>30000</v>
      </c>
      <c r="V16" s="1296">
        <v>0</v>
      </c>
      <c r="W16" s="1298"/>
      <c r="X16" s="1298"/>
      <c r="Y16" s="1427">
        <f t="shared" si="8"/>
        <v>30000</v>
      </c>
      <c r="Z16" s="1435">
        <f>SUM('3 pr-2'!U18)</f>
        <v>0</v>
      </c>
      <c r="AA16" s="1296">
        <v>0</v>
      </c>
      <c r="AB16" s="1298"/>
      <c r="AC16" s="1298"/>
      <c r="AD16" s="1427">
        <f t="shared" si="9"/>
        <v>0</v>
      </c>
      <c r="AE16" s="1435">
        <f>SUM('3 pr-2'!X18)</f>
        <v>0</v>
      </c>
      <c r="AF16" s="1296">
        <v>0</v>
      </c>
      <c r="AG16" s="1298"/>
      <c r="AH16" s="1298"/>
      <c r="AI16" s="1427">
        <f t="shared" si="10"/>
        <v>0</v>
      </c>
      <c r="AJ16" s="1435">
        <f>SUM('3 pr-2'!AA18)</f>
        <v>170000</v>
      </c>
      <c r="AK16" s="1296">
        <v>0</v>
      </c>
      <c r="AL16" s="1298"/>
      <c r="AM16" s="1298"/>
      <c r="AN16" s="1454">
        <f t="shared" si="11"/>
        <v>170000</v>
      </c>
      <c r="AO16" s="1296">
        <f>SUM('3 pr-2'!AB18)</f>
        <v>0</v>
      </c>
      <c r="AP16" s="1488">
        <v>0</v>
      </c>
    </row>
    <row r="17" spans="1:43" ht="36.75" x14ac:dyDescent="0.25">
      <c r="A17" s="644" t="str">
        <f>CONCATENATE('3 pr-2'!A19)</f>
        <v>1.1.1.1.10</v>
      </c>
      <c r="B17" s="657" t="str">
        <f>CONCATENATE('3 pr-2'!B19)</f>
        <v>R01-ZM72-340200-1110</v>
      </c>
      <c r="C17" s="653" t="str">
        <f>CONCATENATE('ketv. 6 '!C18)</f>
        <v>20KI-KA-17-1-02370-PR001</v>
      </c>
      <c r="D17" s="182" t="str">
        <f>CONCATENATE('3 pr-2'!D19)</f>
        <v>Kučiūnų laisvalaikio salės pritaikymas bendruomenės poreikiams</v>
      </c>
      <c r="E17" s="182" t="str">
        <f>CONCATENATE('3 pr-2'!E19)</f>
        <v xml:space="preserve">Viešoji įstaiga Lazdijų kultūros centras </v>
      </c>
      <c r="F17" s="182" t="str">
        <f>CONCATENATE('3 pr-2'!F19)</f>
        <v>Lietuvos Respublikos žemės ūkio ministerija</v>
      </c>
      <c r="G17" s="182" t="str">
        <f>CONCATENATE('3 pr-2'!G19)</f>
        <v>Lazdijų r. sav.</v>
      </c>
      <c r="H17" s="182" t="str">
        <f>CONCATENATE('3 pr-2'!H19)</f>
        <v xml:space="preserve">Pagrindinės paslaugos ir kaimų atnaujinimas kaimo vietovėse </v>
      </c>
      <c r="I17" s="182" t="str">
        <f>CONCATENATE('3 pr-2'!I19)</f>
        <v>R</v>
      </c>
      <c r="J17" s="182" t="str">
        <f>CONCATENATE('3 pr-2'!J19)</f>
        <v>-</v>
      </c>
      <c r="K17" s="1435">
        <f>SUM('3 pr-2'!L19)</f>
        <v>250000</v>
      </c>
      <c r="L17" s="1296">
        <f t="shared" si="5"/>
        <v>0</v>
      </c>
      <c r="M17" s="1298"/>
      <c r="N17" s="1298"/>
      <c r="O17" s="1427">
        <f t="shared" si="6"/>
        <v>250000</v>
      </c>
      <c r="P17" s="1435">
        <f>SUM('3 pr-2'!O19)</f>
        <v>50000</v>
      </c>
      <c r="Q17" s="1296">
        <v>0</v>
      </c>
      <c r="R17" s="1298"/>
      <c r="S17" s="1298"/>
      <c r="T17" s="1427">
        <f t="shared" si="7"/>
        <v>50000</v>
      </c>
      <c r="U17" s="1435">
        <f>SUM('3 pr-2'!R19)</f>
        <v>30000</v>
      </c>
      <c r="V17" s="1296">
        <v>0</v>
      </c>
      <c r="W17" s="1298"/>
      <c r="X17" s="1298"/>
      <c r="Y17" s="1427">
        <f t="shared" si="8"/>
        <v>30000</v>
      </c>
      <c r="Z17" s="1435">
        <f>SUM('3 pr-2'!U19)</f>
        <v>0</v>
      </c>
      <c r="AA17" s="1296">
        <v>0</v>
      </c>
      <c r="AB17" s="1298"/>
      <c r="AC17" s="1298"/>
      <c r="AD17" s="1427">
        <f t="shared" si="9"/>
        <v>0</v>
      </c>
      <c r="AE17" s="1435">
        <f>SUM('3 pr-2'!X19)</f>
        <v>0</v>
      </c>
      <c r="AF17" s="1296">
        <v>0</v>
      </c>
      <c r="AG17" s="1298"/>
      <c r="AH17" s="1298"/>
      <c r="AI17" s="1427">
        <f t="shared" si="10"/>
        <v>0</v>
      </c>
      <c r="AJ17" s="1435">
        <f>SUM('3 pr-2'!AA19)</f>
        <v>170000</v>
      </c>
      <c r="AK17" s="1296">
        <v>0</v>
      </c>
      <c r="AL17" s="1298"/>
      <c r="AM17" s="1298"/>
      <c r="AN17" s="1454">
        <f t="shared" si="11"/>
        <v>170000</v>
      </c>
      <c r="AO17" s="1296">
        <f>SUM('3 pr-2'!AB19)</f>
        <v>0</v>
      </c>
      <c r="AP17" s="1488">
        <v>0</v>
      </c>
    </row>
    <row r="18" spans="1:43" ht="36.75" x14ac:dyDescent="0.25">
      <c r="A18" s="644" t="str">
        <f>CONCATENATE('3 pr-2'!A20)</f>
        <v>1.1.1.1.11</v>
      </c>
      <c r="B18" s="657" t="str">
        <f>CONCATENATE('3 pr-2'!B20)</f>
        <v>R01-ZM72-320000-1111</v>
      </c>
      <c r="C18" s="653" t="str">
        <f>CONCATENATE('ketv. 6 '!C19)</f>
        <v>20KI-KA-17-1-02354-PR001</v>
      </c>
      <c r="D18" s="182" t="str">
        <f>CONCATENATE('3 pr-2'!D20)</f>
        <v>Laisvalaikio infrastruktūros sukūrimas Lazdijų rajono kaimo gyvenamosiose vietovėse</v>
      </c>
      <c r="E18" s="182" t="str">
        <f>CONCATENATE('3 pr-2'!E20)</f>
        <v>Lazdijų rajono savivaldybės administracija</v>
      </c>
      <c r="F18" s="182" t="str">
        <f>CONCATENATE('3 pr-2'!F20)</f>
        <v>Lietuvos Respublikos žemės ūkio ministerija</v>
      </c>
      <c r="G18" s="182" t="str">
        <f>CONCATENATE('3 pr-2'!G20)</f>
        <v>Lazdijų r. sav.</v>
      </c>
      <c r="H18" s="182" t="str">
        <f>CONCATENATE('3 pr-2'!H20)</f>
        <v xml:space="preserve">Pagrindinės paslaugos ir kaimų atnaujinimas kaimo vietovėse </v>
      </c>
      <c r="I18" s="182" t="str">
        <f>CONCATENATE('3 pr-2'!I20)</f>
        <v>R</v>
      </c>
      <c r="J18" s="182" t="str">
        <f>CONCATENATE('3 pr-2'!J20)</f>
        <v>-</v>
      </c>
      <c r="K18" s="1435">
        <f>SUM('3 pr-2'!L20)</f>
        <v>125000</v>
      </c>
      <c r="L18" s="1296">
        <f t="shared" si="5"/>
        <v>0</v>
      </c>
      <c r="M18" s="1298"/>
      <c r="N18" s="1298"/>
      <c r="O18" s="1427">
        <f t="shared" si="6"/>
        <v>125000</v>
      </c>
      <c r="P18" s="1435">
        <f>SUM('3 pr-2'!O20)</f>
        <v>25000</v>
      </c>
      <c r="Q18" s="1296">
        <v>0</v>
      </c>
      <c r="R18" s="1298"/>
      <c r="S18" s="1298"/>
      <c r="T18" s="1427">
        <f t="shared" si="7"/>
        <v>25000</v>
      </c>
      <c r="U18" s="1435">
        <f>SUM('3 pr-2'!R20)</f>
        <v>15000</v>
      </c>
      <c r="V18" s="1296">
        <v>0</v>
      </c>
      <c r="W18" s="1298"/>
      <c r="X18" s="1298"/>
      <c r="Y18" s="1427">
        <f t="shared" si="8"/>
        <v>15000</v>
      </c>
      <c r="Z18" s="1435">
        <f>SUM('3 pr-2'!U20)</f>
        <v>0</v>
      </c>
      <c r="AA18" s="1296">
        <v>0</v>
      </c>
      <c r="AB18" s="1298"/>
      <c r="AC18" s="1298"/>
      <c r="AD18" s="1427">
        <f t="shared" si="9"/>
        <v>0</v>
      </c>
      <c r="AE18" s="1435">
        <f>SUM('3 pr-2'!X20)</f>
        <v>0</v>
      </c>
      <c r="AF18" s="1296">
        <v>0</v>
      </c>
      <c r="AG18" s="1298"/>
      <c r="AH18" s="1298"/>
      <c r="AI18" s="1427">
        <f t="shared" si="10"/>
        <v>0</v>
      </c>
      <c r="AJ18" s="1435">
        <f>SUM('3 pr-2'!AA20)</f>
        <v>85000</v>
      </c>
      <c r="AK18" s="1296">
        <v>0</v>
      </c>
      <c r="AL18" s="1298"/>
      <c r="AM18" s="1298"/>
      <c r="AN18" s="1454">
        <f t="shared" si="11"/>
        <v>85000</v>
      </c>
      <c r="AO18" s="1296">
        <f>SUM('3 pr-2'!AB20)</f>
        <v>0</v>
      </c>
      <c r="AP18" s="1488">
        <v>0</v>
      </c>
    </row>
    <row r="19" spans="1:43" ht="48.75" x14ac:dyDescent="0.25">
      <c r="A19" s="644" t="str">
        <f>CONCATENATE('3 pr-2'!A21)</f>
        <v>1.1.1.1.12</v>
      </c>
      <c r="B19" s="657" t="str">
        <f>CONCATENATE('3 pr-2'!B21)</f>
        <v>R01-ZM72-120000-1112</v>
      </c>
      <c r="C19" s="653" t="str">
        <f>CONCATENATE('ketv. 6 '!C20)</f>
        <v>20KI-KA-17-1-02470-PR001</v>
      </c>
      <c r="D19" s="182" t="str">
        <f>CONCATENATE('3 pr-2'!D21)</f>
        <v>Alytaus rajono Butrimonių miestelio šaligatvių kapitalinis remontas ir gyvenvietės apšvietimo įrengimas</v>
      </c>
      <c r="E19" s="182" t="str">
        <f>CONCATENATE('3 pr-2'!E21)</f>
        <v>Alytaus rajono savivaldybės administracija</v>
      </c>
      <c r="F19" s="182" t="str">
        <f>CONCATENATE('3 pr-2'!F21)</f>
        <v>Lietuvos Respublikos žemės ūkio ministerija</v>
      </c>
      <c r="G19" s="182" t="str">
        <f>CONCATENATE('3 pr-2'!G21)</f>
        <v>Alytaus r. sav.</v>
      </c>
      <c r="H19" s="182" t="str">
        <f>CONCATENATE('3 pr-2'!H21)</f>
        <v xml:space="preserve">Pagrindinės paslaugos ir kaimų atnaujinimas kaimo vietovėse </v>
      </c>
      <c r="I19" s="182" t="str">
        <f>CONCATENATE('3 pr-2'!I21)</f>
        <v>R</v>
      </c>
      <c r="J19" s="182" t="str">
        <f>CONCATENATE('3 pr-2'!J21)</f>
        <v>-</v>
      </c>
      <c r="K19" s="1435">
        <f>SUM('3 pr-2'!L21)</f>
        <v>153566</v>
      </c>
      <c r="L19" s="1296">
        <f t="shared" si="5"/>
        <v>0</v>
      </c>
      <c r="M19" s="1298"/>
      <c r="N19" s="1298"/>
      <c r="O19" s="1427">
        <f t="shared" si="6"/>
        <v>153566</v>
      </c>
      <c r="P19" s="1435">
        <f>SUM('3 pr-2'!O21)</f>
        <v>30713</v>
      </c>
      <c r="Q19" s="1296">
        <v>0</v>
      </c>
      <c r="R19" s="1298"/>
      <c r="S19" s="1298"/>
      <c r="T19" s="1427">
        <f t="shared" si="7"/>
        <v>30713</v>
      </c>
      <c r="U19" s="1435">
        <f>SUM('3 pr-2'!R21)</f>
        <v>18428</v>
      </c>
      <c r="V19" s="1296">
        <v>0</v>
      </c>
      <c r="W19" s="1298"/>
      <c r="X19" s="1298"/>
      <c r="Y19" s="1427">
        <f t="shared" si="8"/>
        <v>18428</v>
      </c>
      <c r="Z19" s="1435">
        <f>SUM('3 pr-2'!U21)</f>
        <v>0</v>
      </c>
      <c r="AA19" s="1296">
        <v>0</v>
      </c>
      <c r="AB19" s="1298"/>
      <c r="AC19" s="1298"/>
      <c r="AD19" s="1427">
        <f t="shared" si="9"/>
        <v>0</v>
      </c>
      <c r="AE19" s="1435">
        <f>SUM('3 pr-2'!X21)</f>
        <v>0</v>
      </c>
      <c r="AF19" s="1296">
        <v>0</v>
      </c>
      <c r="AG19" s="1298"/>
      <c r="AH19" s="1298"/>
      <c r="AI19" s="1427">
        <f t="shared" si="10"/>
        <v>0</v>
      </c>
      <c r="AJ19" s="1435">
        <f>SUM('3 pr-2'!AA21)</f>
        <v>104425</v>
      </c>
      <c r="AK19" s="1296">
        <v>0</v>
      </c>
      <c r="AL19" s="1298"/>
      <c r="AM19" s="1298"/>
      <c r="AN19" s="1454">
        <f t="shared" si="11"/>
        <v>104425</v>
      </c>
      <c r="AO19" s="1296">
        <f>SUM('3 pr-2'!AB21)</f>
        <v>0</v>
      </c>
      <c r="AP19" s="1488">
        <v>0</v>
      </c>
    </row>
    <row r="20" spans="1:43" ht="36.75" x14ac:dyDescent="0.25">
      <c r="A20" s="644" t="str">
        <f>CONCATENATE('3 pr-2'!A22)</f>
        <v>1.1.1.1.13</v>
      </c>
      <c r="B20" s="657" t="str">
        <f>CONCATENATE('3 pr-2'!B22)</f>
        <v>R01-ZM72-123200-1113</v>
      </c>
      <c r="C20" s="653" t="str">
        <f>CONCATENATE('ketv. 6 '!C21)</f>
        <v>20KI-KA-17-1-02438-PR001</v>
      </c>
      <c r="D20" s="182" t="str">
        <f>CONCATENATE('3 pr-2'!D22)</f>
        <v>Alytaus rajono Genių kaimo sporto aikštės įrengimas ir gatvių rekonstrukcija</v>
      </c>
      <c r="E20" s="182" t="str">
        <f>CONCATENATE('3 pr-2'!E22)</f>
        <v>Alytaus rajono savivaldybės administracija</v>
      </c>
      <c r="F20" s="182" t="str">
        <f>CONCATENATE('3 pr-2'!F22)</f>
        <v>Lietuvos Respublikos žemės ūkio ministerija</v>
      </c>
      <c r="G20" s="182" t="str">
        <f>CONCATENATE('3 pr-2'!G22)</f>
        <v>Alytaus r. sav.</v>
      </c>
      <c r="H20" s="182" t="str">
        <f>CONCATENATE('3 pr-2'!H22)</f>
        <v xml:space="preserve">Pagrindinės paslaugos ir kaimų atnaujinimas kaimo vietovėse </v>
      </c>
      <c r="I20" s="182" t="str">
        <f>CONCATENATE('3 pr-2'!I22)</f>
        <v>R</v>
      </c>
      <c r="J20" s="182" t="str">
        <f>CONCATENATE('3 pr-2'!J22)</f>
        <v>-</v>
      </c>
      <c r="K20" s="1435">
        <f>SUM('3 pr-2'!L22)</f>
        <v>250000</v>
      </c>
      <c r="L20" s="1296">
        <f t="shared" si="5"/>
        <v>0</v>
      </c>
      <c r="M20" s="1298"/>
      <c r="N20" s="1298"/>
      <c r="O20" s="1427">
        <f t="shared" si="6"/>
        <v>250000</v>
      </c>
      <c r="P20" s="1435">
        <f>SUM('3 pr-2'!O22)</f>
        <v>50000</v>
      </c>
      <c r="Q20" s="1296">
        <v>0</v>
      </c>
      <c r="R20" s="1298"/>
      <c r="S20" s="1298"/>
      <c r="T20" s="1427">
        <f t="shared" si="7"/>
        <v>50000</v>
      </c>
      <c r="U20" s="1435">
        <f>SUM('3 pr-2'!R22)</f>
        <v>30000</v>
      </c>
      <c r="V20" s="1296">
        <v>0</v>
      </c>
      <c r="W20" s="1298"/>
      <c r="X20" s="1298"/>
      <c r="Y20" s="1427">
        <f t="shared" si="8"/>
        <v>30000</v>
      </c>
      <c r="Z20" s="1435">
        <f>SUM('3 pr-2'!U22)</f>
        <v>0</v>
      </c>
      <c r="AA20" s="1296">
        <v>0</v>
      </c>
      <c r="AB20" s="1298"/>
      <c r="AC20" s="1298"/>
      <c r="AD20" s="1427">
        <f t="shared" si="9"/>
        <v>0</v>
      </c>
      <c r="AE20" s="1435">
        <f>SUM('3 pr-2'!X22)</f>
        <v>0</v>
      </c>
      <c r="AF20" s="1296">
        <v>0</v>
      </c>
      <c r="AG20" s="1298"/>
      <c r="AH20" s="1298"/>
      <c r="AI20" s="1427">
        <f t="shared" si="10"/>
        <v>0</v>
      </c>
      <c r="AJ20" s="1435">
        <f>SUM('3 pr-2'!AA22)</f>
        <v>170000</v>
      </c>
      <c r="AK20" s="1296">
        <v>0</v>
      </c>
      <c r="AL20" s="1298"/>
      <c r="AM20" s="1298"/>
      <c r="AN20" s="1454">
        <f t="shared" si="11"/>
        <v>170000</v>
      </c>
      <c r="AO20" s="1296">
        <f>SUM('3 pr-2'!AB22)</f>
        <v>0</v>
      </c>
      <c r="AP20" s="1488">
        <v>0</v>
      </c>
    </row>
    <row r="21" spans="1:43" ht="36.75" x14ac:dyDescent="0.25">
      <c r="A21" s="644" t="str">
        <f>CONCATENATE('3 pr-2'!A23)</f>
        <v>1.1.1.1.14</v>
      </c>
      <c r="B21" s="657" t="str">
        <f>CONCATENATE('3 pr-2'!B23)</f>
        <v>R01-ZM72-122900-1114</v>
      </c>
      <c r="C21" s="653" t="str">
        <f>CONCATENATE('ketv. 6 '!C22)</f>
        <v>20KI-KA-17-1-01647-PR001</v>
      </c>
      <c r="D21" s="182" t="str">
        <f>CONCATENATE('3 pr-2'!D23)</f>
        <v>Varėnos r. Dargužių kaimo Liepų gatvės ir viešosios erdvės įrengimas</v>
      </c>
      <c r="E21" s="182" t="str">
        <f>CONCATENATE('3 pr-2'!E23)</f>
        <v xml:space="preserve">Varėnos rajono savivaldybės administracija </v>
      </c>
      <c r="F21" s="182" t="str">
        <f>CONCATENATE('3 pr-2'!F23)</f>
        <v>Lietuvos Respublikos žemės ūkio ministerija</v>
      </c>
      <c r="G21" s="182" t="str">
        <f>CONCATENATE('3 pr-2'!G23)</f>
        <v>Varėnos r. sav.</v>
      </c>
      <c r="H21" s="182" t="str">
        <f>CONCATENATE('3 pr-2'!H23)</f>
        <v xml:space="preserve">Pagrindinės paslaugos ir kaimų atnaujinimas kaimo vietovėse </v>
      </c>
      <c r="I21" s="182" t="str">
        <f>CONCATENATE('3 pr-2'!I23)</f>
        <v>R</v>
      </c>
      <c r="J21" s="182" t="str">
        <f>CONCATENATE('3 pr-2'!J23)</f>
        <v>-</v>
      </c>
      <c r="K21" s="1435">
        <f>SUM('3 pr-2'!L23)</f>
        <v>215626</v>
      </c>
      <c r="L21" s="1296">
        <f t="shared" si="5"/>
        <v>0</v>
      </c>
      <c r="M21" s="1298"/>
      <c r="N21" s="1298"/>
      <c r="O21" s="1427">
        <f t="shared" si="6"/>
        <v>215626</v>
      </c>
      <c r="P21" s="1435">
        <f>SUM('3 pr-2'!O23)</f>
        <v>43125</v>
      </c>
      <c r="Q21" s="1296">
        <v>0</v>
      </c>
      <c r="R21" s="1298"/>
      <c r="S21" s="1298"/>
      <c r="T21" s="1427">
        <f t="shared" si="7"/>
        <v>43125</v>
      </c>
      <c r="U21" s="1435">
        <f>SUM('3 pr-2'!R23)</f>
        <v>25875</v>
      </c>
      <c r="V21" s="1296">
        <v>0</v>
      </c>
      <c r="W21" s="1298"/>
      <c r="X21" s="1298"/>
      <c r="Y21" s="1427">
        <f t="shared" si="8"/>
        <v>25875</v>
      </c>
      <c r="Z21" s="1435">
        <f>SUM('3 pr-2'!U23)</f>
        <v>0</v>
      </c>
      <c r="AA21" s="1296">
        <v>0</v>
      </c>
      <c r="AB21" s="1298"/>
      <c r="AC21" s="1298"/>
      <c r="AD21" s="1427">
        <f t="shared" si="9"/>
        <v>0</v>
      </c>
      <c r="AE21" s="1435">
        <f>SUM('3 pr-2'!X23)</f>
        <v>0</v>
      </c>
      <c r="AF21" s="1296">
        <v>0</v>
      </c>
      <c r="AG21" s="1298"/>
      <c r="AH21" s="1298"/>
      <c r="AI21" s="1427">
        <f t="shared" si="10"/>
        <v>0</v>
      </c>
      <c r="AJ21" s="1435">
        <f>SUM('3 pr-2'!AA23)</f>
        <v>146626</v>
      </c>
      <c r="AK21" s="1296">
        <v>0</v>
      </c>
      <c r="AL21" s="1298"/>
      <c r="AM21" s="1298"/>
      <c r="AN21" s="1454">
        <f t="shared" si="11"/>
        <v>146626</v>
      </c>
      <c r="AO21" s="1296">
        <f>SUM('3 pr-2'!AB23)</f>
        <v>0</v>
      </c>
      <c r="AP21" s="1488">
        <v>0</v>
      </c>
    </row>
    <row r="22" spans="1:43" ht="48.75" x14ac:dyDescent="0.25">
      <c r="A22" s="644" t="str">
        <f>CONCATENATE('3 pr-2'!A24)</f>
        <v>1.1.1.1.15</v>
      </c>
      <c r="B22" s="657" t="str">
        <f>CONCATENATE('3 pr-2'!B24)</f>
        <v>R01-ZM72-123200-1115</v>
      </c>
      <c r="C22" s="653" t="str">
        <f>CONCATENATE('ketv. 6 '!C23)</f>
        <v>-</v>
      </c>
      <c r="D22" s="182" t="str">
        <f>CONCATENATE('3 pr-2'!D24)</f>
        <v>Alytaus rajono Vaisodžių kaimo sporto aikštės įrengimas ir gatvių apšvietimo atnaujinimas bei plėtra</v>
      </c>
      <c r="E22" s="182" t="str">
        <f>CONCATENATE('3 pr-2'!E24)</f>
        <v>Alytaus rajono savivaldybės administracija</v>
      </c>
      <c r="F22" s="182" t="str">
        <f>CONCATENATE('3 pr-2'!F24)</f>
        <v>Lietuvos Respublikos žemės ūkio ministerija</v>
      </c>
      <c r="G22" s="182" t="str">
        <f>CONCATENATE('3 pr-2'!G24)</f>
        <v>Alytaus r. sav.</v>
      </c>
      <c r="H22" s="182" t="str">
        <f>CONCATENATE('3 pr-2'!H24)</f>
        <v xml:space="preserve">Pagrindinės paslaugos ir kaimų atnaujinimas kaimo vietovėse </v>
      </c>
      <c r="I22" s="182" t="str">
        <f>CONCATENATE('3 pr-2'!I24)</f>
        <v>R</v>
      </c>
      <c r="J22" s="182" t="str">
        <f>CONCATENATE('3 pr-2'!J24)</f>
        <v>-</v>
      </c>
      <c r="K22" s="1435">
        <f>SUM('3 pr-2'!L24)</f>
        <v>76480</v>
      </c>
      <c r="L22" s="1296">
        <f t="shared" si="5"/>
        <v>0</v>
      </c>
      <c r="M22" s="1298"/>
      <c r="N22" s="1298"/>
      <c r="O22" s="1427">
        <f t="shared" si="6"/>
        <v>76480</v>
      </c>
      <c r="P22" s="1435">
        <f>SUM('3 pr-2'!O24)</f>
        <v>15296</v>
      </c>
      <c r="Q22" s="1296">
        <v>0</v>
      </c>
      <c r="R22" s="1298"/>
      <c r="S22" s="1298"/>
      <c r="T22" s="1427">
        <f t="shared" si="7"/>
        <v>15296</v>
      </c>
      <c r="U22" s="1435">
        <f>SUM('3 pr-2'!R24)</f>
        <v>9178</v>
      </c>
      <c r="V22" s="1296">
        <v>0</v>
      </c>
      <c r="W22" s="1298"/>
      <c r="X22" s="1298"/>
      <c r="Y22" s="1427">
        <f t="shared" si="8"/>
        <v>9178</v>
      </c>
      <c r="Z22" s="1435">
        <f>SUM('3 pr-2'!U24)</f>
        <v>0</v>
      </c>
      <c r="AA22" s="1296">
        <v>0</v>
      </c>
      <c r="AB22" s="1298"/>
      <c r="AC22" s="1298"/>
      <c r="AD22" s="1427">
        <f t="shared" si="9"/>
        <v>0</v>
      </c>
      <c r="AE22" s="1435">
        <f>SUM('3 pr-2'!X24)</f>
        <v>0</v>
      </c>
      <c r="AF22" s="1296">
        <v>0</v>
      </c>
      <c r="AG22" s="1298"/>
      <c r="AH22" s="1298"/>
      <c r="AI22" s="1427">
        <f t="shared" si="10"/>
        <v>0</v>
      </c>
      <c r="AJ22" s="1435">
        <f>SUM('3 pr-2'!AA24)</f>
        <v>52006</v>
      </c>
      <c r="AK22" s="1296">
        <v>0</v>
      </c>
      <c r="AL22" s="1298"/>
      <c r="AM22" s="1298"/>
      <c r="AN22" s="1454">
        <f t="shared" si="11"/>
        <v>52006</v>
      </c>
      <c r="AO22" s="1296">
        <f>SUM('3 pr-2'!AB24)</f>
        <v>0</v>
      </c>
      <c r="AP22" s="1488">
        <v>0</v>
      </c>
    </row>
    <row r="23" spans="1:43" ht="36.75" x14ac:dyDescent="0.25">
      <c r="A23" s="644" t="str">
        <f>CONCATENATE('3 pr-2'!A25)</f>
        <v>1.1.1.1.16</v>
      </c>
      <c r="B23" s="657" t="str">
        <f>CONCATENATE('3 pr-2'!B25)</f>
        <v>R01-ZM72-123200-1116</v>
      </c>
      <c r="C23" s="653" t="str">
        <f>CONCATENATE('ketv. 6 '!C24)</f>
        <v>20KI-KA-17-1-02240-PR001</v>
      </c>
      <c r="D23" s="182" t="str">
        <f>CONCATENATE('3 pr-2'!D25)</f>
        <v>Alytaus rajono Talokių kaimo sporto aikštės įrengimas ir Plytinės gatvės apšvietimas</v>
      </c>
      <c r="E23" s="182" t="str">
        <f>CONCATENATE('3 pr-2'!E25)</f>
        <v>Alytaus rajono savivaldybės administracija</v>
      </c>
      <c r="F23" s="182" t="str">
        <f>CONCATENATE('3 pr-2'!F25)</f>
        <v>Lietuvos Respublikos žemės ūkio ministerija</v>
      </c>
      <c r="G23" s="182" t="str">
        <f>CONCATENATE('3 pr-2'!G25)</f>
        <v>Alytaus r. sav.</v>
      </c>
      <c r="H23" s="182" t="str">
        <f>CONCATENATE('3 pr-2'!H25)</f>
        <v xml:space="preserve">Pagrindinės paslaugos ir kaimų atnaujinimas kaimo vietovėse </v>
      </c>
      <c r="I23" s="182" t="str">
        <f>CONCATENATE('3 pr-2'!I25)</f>
        <v>R</v>
      </c>
      <c r="J23" s="182" t="str">
        <f>CONCATENATE('3 pr-2'!J25)</f>
        <v>-</v>
      </c>
      <c r="K23" s="1435">
        <f>SUM('3 pr-2'!L25)</f>
        <v>139472</v>
      </c>
      <c r="L23" s="1296">
        <f t="shared" si="5"/>
        <v>0</v>
      </c>
      <c r="M23" s="1298"/>
      <c r="N23" s="1298"/>
      <c r="O23" s="1427">
        <f t="shared" si="6"/>
        <v>139472</v>
      </c>
      <c r="P23" s="1435">
        <f>SUM('3 pr-2'!O25)</f>
        <v>27894</v>
      </c>
      <c r="Q23" s="1296">
        <v>0</v>
      </c>
      <c r="R23" s="1298"/>
      <c r="S23" s="1298"/>
      <c r="T23" s="1427">
        <f t="shared" si="7"/>
        <v>27894</v>
      </c>
      <c r="U23" s="1435">
        <f>SUM('3 pr-2'!R25)</f>
        <v>16737</v>
      </c>
      <c r="V23" s="1296">
        <v>0</v>
      </c>
      <c r="W23" s="1298"/>
      <c r="X23" s="1298"/>
      <c r="Y23" s="1427">
        <f t="shared" si="8"/>
        <v>16737</v>
      </c>
      <c r="Z23" s="1435">
        <f>SUM('3 pr-2'!U25)</f>
        <v>0</v>
      </c>
      <c r="AA23" s="1296">
        <v>0</v>
      </c>
      <c r="AB23" s="1298"/>
      <c r="AC23" s="1298"/>
      <c r="AD23" s="1427">
        <f t="shared" si="9"/>
        <v>0</v>
      </c>
      <c r="AE23" s="1435">
        <f>SUM('3 pr-2'!X25)</f>
        <v>0</v>
      </c>
      <c r="AF23" s="1296">
        <v>0</v>
      </c>
      <c r="AG23" s="1298"/>
      <c r="AH23" s="1298"/>
      <c r="AI23" s="1427">
        <f t="shared" si="10"/>
        <v>0</v>
      </c>
      <c r="AJ23" s="1435">
        <f>SUM('3 pr-2'!AA25)</f>
        <v>94841</v>
      </c>
      <c r="AK23" s="1296">
        <v>0</v>
      </c>
      <c r="AL23" s="1298"/>
      <c r="AM23" s="1298"/>
      <c r="AN23" s="1454">
        <f t="shared" si="11"/>
        <v>94841</v>
      </c>
      <c r="AO23" s="1296">
        <f>SUM('3 pr-2'!AB25)</f>
        <v>0</v>
      </c>
      <c r="AP23" s="1488">
        <v>0</v>
      </c>
    </row>
    <row r="24" spans="1:43" ht="36.75" x14ac:dyDescent="0.25">
      <c r="A24" s="644" t="str">
        <f>CONCATENATE('3 pr-2'!A26)</f>
        <v>1.1.1.1.17</v>
      </c>
      <c r="B24" s="657" t="str">
        <f>CONCATENATE('3 pr-2'!B26)</f>
        <v>R01-ZM72-120000-1117</v>
      </c>
      <c r="C24" s="653" t="str">
        <f>CONCATENATE('ketv. 6 '!C25)</f>
        <v>20KI-KA-17-1-01639-PR001</v>
      </c>
      <c r="D24" s="182" t="str">
        <f>CONCATENATE('3 pr-2'!D26)</f>
        <v>Varėnos r. Rudnios kaimo Pušyno gatvės įrengimas</v>
      </c>
      <c r="E24" s="182" t="str">
        <f>CONCATENATE('3 pr-2'!E26)</f>
        <v xml:space="preserve">Varėnos rajono savivaldybės administracija </v>
      </c>
      <c r="F24" s="182" t="str">
        <f>CONCATENATE('3 pr-2'!F26)</f>
        <v>Lietuvos Respublikos žemės ūkio ministerija</v>
      </c>
      <c r="G24" s="182" t="str">
        <f>CONCATENATE('3 pr-2'!G26)</f>
        <v>Varėnos r. sav.</v>
      </c>
      <c r="H24" s="182" t="str">
        <f>CONCATENATE('3 pr-2'!H26)</f>
        <v xml:space="preserve">Pagrindinės paslaugos ir kaimų atnaujinimas kaimo vietovėse </v>
      </c>
      <c r="I24" s="182" t="str">
        <f>CONCATENATE('3 pr-2'!I26)</f>
        <v>R</v>
      </c>
      <c r="J24" s="182" t="str">
        <f>CONCATENATE('3 pr-2'!J26)</f>
        <v>-</v>
      </c>
      <c r="K24" s="1435">
        <f>SUM('3 pr-2'!L26)</f>
        <v>115824</v>
      </c>
      <c r="L24" s="1296">
        <f t="shared" si="5"/>
        <v>0</v>
      </c>
      <c r="M24" s="1298"/>
      <c r="N24" s="1298"/>
      <c r="O24" s="1427">
        <f t="shared" si="6"/>
        <v>115824</v>
      </c>
      <c r="P24" s="1435">
        <f>SUM('3 pr-2'!O26)</f>
        <v>23165</v>
      </c>
      <c r="Q24" s="1296">
        <v>0</v>
      </c>
      <c r="R24" s="1298"/>
      <c r="S24" s="1298"/>
      <c r="T24" s="1427">
        <f t="shared" si="7"/>
        <v>23165</v>
      </c>
      <c r="U24" s="1435">
        <f>SUM('3 pr-2'!R26)</f>
        <v>13899</v>
      </c>
      <c r="V24" s="1296">
        <v>0</v>
      </c>
      <c r="W24" s="1298"/>
      <c r="X24" s="1298"/>
      <c r="Y24" s="1427">
        <f t="shared" si="8"/>
        <v>13899</v>
      </c>
      <c r="Z24" s="1435">
        <f>SUM('3 pr-2'!U26)</f>
        <v>0</v>
      </c>
      <c r="AA24" s="1296">
        <v>0</v>
      </c>
      <c r="AB24" s="1298"/>
      <c r="AC24" s="1298"/>
      <c r="AD24" s="1427">
        <f t="shared" si="9"/>
        <v>0</v>
      </c>
      <c r="AE24" s="1435">
        <f>SUM('3 pr-2'!X26)</f>
        <v>0</v>
      </c>
      <c r="AF24" s="1296">
        <v>0</v>
      </c>
      <c r="AG24" s="1298"/>
      <c r="AH24" s="1298"/>
      <c r="AI24" s="1427">
        <f t="shared" si="10"/>
        <v>0</v>
      </c>
      <c r="AJ24" s="1435">
        <f>SUM('3 pr-2'!AA26)</f>
        <v>78760</v>
      </c>
      <c r="AK24" s="1296">
        <v>0</v>
      </c>
      <c r="AL24" s="1298"/>
      <c r="AM24" s="1298"/>
      <c r="AN24" s="1454">
        <f t="shared" si="11"/>
        <v>78760</v>
      </c>
      <c r="AO24" s="1296">
        <f>SUM('3 pr-2'!AB26)</f>
        <v>0</v>
      </c>
      <c r="AP24" s="1488">
        <v>0</v>
      </c>
    </row>
    <row r="25" spans="1:43" ht="48.75" x14ac:dyDescent="0.25">
      <c r="A25" s="644" t="str">
        <f>CONCATENATE('3 pr-2'!A27)</f>
        <v>1.1.1.1.18</v>
      </c>
      <c r="B25" s="657" t="str">
        <f>CONCATENATE('3 pr-2'!B27)</f>
        <v>R01-ZM72-340000-1118</v>
      </c>
      <c r="C25" s="653" t="str">
        <f>CONCATENATE('ketv. 6 '!C26)</f>
        <v>20KI-KA-17-1-01666-PR001</v>
      </c>
      <c r="D25" s="182" t="str">
        <f>CONCATENATE('3 pr-2'!D27)</f>
        <v>Varėnos kultūros centro Žilinų filialo pastato atnaujinimas ir pritaikymas bendruomenės poreikiams</v>
      </c>
      <c r="E25" s="182" t="str">
        <f>CONCATENATE('3 pr-2'!E27)</f>
        <v xml:space="preserve">Varėnos rajono savivaldybės administracija </v>
      </c>
      <c r="F25" s="182" t="str">
        <f>CONCATENATE('3 pr-2'!F27)</f>
        <v>Lietuvos Respublikos žemės ūkio ministerija</v>
      </c>
      <c r="G25" s="182" t="str">
        <f>CONCATENATE('3 pr-2'!G27)</f>
        <v>Varėnos r. sav.</v>
      </c>
      <c r="H25" s="182" t="str">
        <f>CONCATENATE('3 pr-2'!H27)</f>
        <v xml:space="preserve">Pagrindinės paslaugos ir kaimų atnaujinimas kaimo vietovėse </v>
      </c>
      <c r="I25" s="182" t="str">
        <f>CONCATENATE('3 pr-2'!I27)</f>
        <v>R</v>
      </c>
      <c r="J25" s="182" t="str">
        <f>CONCATENATE('3 pr-2'!J27)</f>
        <v>-</v>
      </c>
      <c r="K25" s="1435">
        <f>SUM('3 pr-2'!L27)</f>
        <v>250000</v>
      </c>
      <c r="L25" s="1296">
        <f t="shared" si="5"/>
        <v>0</v>
      </c>
      <c r="M25" s="1298"/>
      <c r="N25" s="1298"/>
      <c r="O25" s="1427">
        <f t="shared" si="6"/>
        <v>250000</v>
      </c>
      <c r="P25" s="1435">
        <f>SUM('3 pr-2'!O27)</f>
        <v>50000</v>
      </c>
      <c r="Q25" s="1296">
        <v>0</v>
      </c>
      <c r="R25" s="1298"/>
      <c r="S25" s="1298"/>
      <c r="T25" s="1427">
        <f t="shared" si="7"/>
        <v>50000</v>
      </c>
      <c r="U25" s="1435">
        <f>SUM('3 pr-2'!R27)</f>
        <v>30000</v>
      </c>
      <c r="V25" s="1296">
        <v>0</v>
      </c>
      <c r="W25" s="1298"/>
      <c r="X25" s="1298"/>
      <c r="Y25" s="1427">
        <f t="shared" si="8"/>
        <v>30000</v>
      </c>
      <c r="Z25" s="1435">
        <f>SUM('3 pr-2'!U27)</f>
        <v>0</v>
      </c>
      <c r="AA25" s="1296">
        <v>0</v>
      </c>
      <c r="AB25" s="1298"/>
      <c r="AC25" s="1298"/>
      <c r="AD25" s="1427">
        <f t="shared" si="9"/>
        <v>0</v>
      </c>
      <c r="AE25" s="1435">
        <f>SUM('3 pr-2'!X27)</f>
        <v>0</v>
      </c>
      <c r="AF25" s="1296">
        <v>0</v>
      </c>
      <c r="AG25" s="1298"/>
      <c r="AH25" s="1298"/>
      <c r="AI25" s="1427">
        <f t="shared" si="10"/>
        <v>0</v>
      </c>
      <c r="AJ25" s="1435">
        <f>SUM('3 pr-2'!AA27)</f>
        <v>170000</v>
      </c>
      <c r="AK25" s="1296">
        <v>0</v>
      </c>
      <c r="AL25" s="1298"/>
      <c r="AM25" s="1298"/>
      <c r="AN25" s="1454">
        <f t="shared" si="11"/>
        <v>170000</v>
      </c>
      <c r="AO25" s="1296">
        <f>SUM('3 pr-2'!AB27)</f>
        <v>0</v>
      </c>
      <c r="AP25" s="1488">
        <v>0</v>
      </c>
    </row>
    <row r="26" spans="1:43" ht="48.75" x14ac:dyDescent="0.25">
      <c r="A26" s="644" t="str">
        <f>CONCATENATE('3 pr-2'!A28)</f>
        <v>1.1.1.1.19</v>
      </c>
      <c r="B26" s="657" t="str">
        <f>CONCATENATE('3 pr-2'!B28)</f>
        <v>R01-ZM72-120000-1119</v>
      </c>
      <c r="C26" s="653" t="str">
        <f>CONCATENATE('ketv. 6 '!C27)</f>
        <v>20KI-KA-17-1-02648-PR001</v>
      </c>
      <c r="D26" s="182" t="str">
        <f>CONCATENATE('3 pr-2'!D28)</f>
        <v>Alytaus rajono Pivašiūnų kaimo šaligatvių, laiptų kapitalinis remontas ir gyvenvietės apšvietimo įrengimas</v>
      </c>
      <c r="E26" s="182" t="str">
        <f>CONCATENATE('3 pr-2'!E28)</f>
        <v>Alytaus rajono savivaldybės administracija</v>
      </c>
      <c r="F26" s="182" t="str">
        <f>CONCATENATE('3 pr-2'!F28)</f>
        <v>Lietuvos Respublikos žemės ūkio ministerija</v>
      </c>
      <c r="G26" s="182" t="str">
        <f>CONCATENATE('3 pr-2'!G28)</f>
        <v>Alytaus r. sav.</v>
      </c>
      <c r="H26" s="182" t="str">
        <f>CONCATENATE('3 pr-2'!H28)</f>
        <v xml:space="preserve">Pagrindinės paslaugos ir kaimų atnaujinimas kaimo vietovėse </v>
      </c>
      <c r="I26" s="182" t="str">
        <f>CONCATENATE('3 pr-2'!I28)</f>
        <v>R</v>
      </c>
      <c r="J26" s="182" t="str">
        <f>CONCATENATE('3 pr-2'!J28)</f>
        <v>-</v>
      </c>
      <c r="K26" s="1435">
        <f>SUM('3 pr-2'!L28)</f>
        <v>117986</v>
      </c>
      <c r="L26" s="1296">
        <f t="shared" si="5"/>
        <v>0</v>
      </c>
      <c r="M26" s="1298"/>
      <c r="N26" s="1298"/>
      <c r="O26" s="1427">
        <f t="shared" si="6"/>
        <v>117986</v>
      </c>
      <c r="P26" s="1435">
        <f>SUM('3 pr-2'!O28)</f>
        <v>23597</v>
      </c>
      <c r="Q26" s="1296">
        <v>0</v>
      </c>
      <c r="R26" s="1298"/>
      <c r="S26" s="1298"/>
      <c r="T26" s="1427">
        <f t="shared" si="7"/>
        <v>23597</v>
      </c>
      <c r="U26" s="1435">
        <f>SUM('3 pr-2'!R28)</f>
        <v>14158</v>
      </c>
      <c r="V26" s="1296">
        <v>0</v>
      </c>
      <c r="W26" s="1298"/>
      <c r="X26" s="1298"/>
      <c r="Y26" s="1427">
        <f t="shared" si="8"/>
        <v>14158</v>
      </c>
      <c r="Z26" s="1435">
        <f>SUM('3 pr-2'!U28)</f>
        <v>0</v>
      </c>
      <c r="AA26" s="1296">
        <v>0</v>
      </c>
      <c r="AB26" s="1298"/>
      <c r="AC26" s="1298"/>
      <c r="AD26" s="1427">
        <f t="shared" si="9"/>
        <v>0</v>
      </c>
      <c r="AE26" s="1435">
        <f>SUM('3 pr-2'!X28)</f>
        <v>0</v>
      </c>
      <c r="AF26" s="1296">
        <v>0</v>
      </c>
      <c r="AG26" s="1298"/>
      <c r="AH26" s="1298"/>
      <c r="AI26" s="1427">
        <f t="shared" si="10"/>
        <v>0</v>
      </c>
      <c r="AJ26" s="1435">
        <f>SUM('3 pr-2'!AA28)</f>
        <v>80231</v>
      </c>
      <c r="AK26" s="1296">
        <v>0</v>
      </c>
      <c r="AL26" s="1298"/>
      <c r="AM26" s="1298"/>
      <c r="AN26" s="1454">
        <f t="shared" si="11"/>
        <v>80231</v>
      </c>
      <c r="AO26" s="1296">
        <f>SUM('3 pr-2'!AB28)</f>
        <v>0</v>
      </c>
      <c r="AP26" s="1488">
        <v>0</v>
      </c>
    </row>
    <row r="27" spans="1:43" ht="48.75" x14ac:dyDescent="0.25">
      <c r="A27" s="644" t="str">
        <f>CONCATENATE('3 pr-2'!A29)</f>
        <v>1.1.1.1.20</v>
      </c>
      <c r="B27" s="657" t="str">
        <f>CONCATENATE('3 pr-2'!B29)</f>
        <v>R01-ZM72-340000-1120</v>
      </c>
      <c r="C27" s="653" t="str">
        <f>CONCATENATE('ketv. 6 '!C28)</f>
        <v>20KI-KA-17-1-01736-PR001</v>
      </c>
      <c r="D27" s="182" t="str">
        <f>CONCATENATE('3 pr-2'!D29)</f>
        <v>Pastato, esančio Pušelės g. 11, Naujųjų Valkininkų k., Varėnos r., atnaujinimas ir pritaikymas bendruomenės poreikiams</v>
      </c>
      <c r="E27" s="182" t="str">
        <f>CONCATENATE('3 pr-2'!E29)</f>
        <v xml:space="preserve">Varėnos rajono savivaldybės administracija </v>
      </c>
      <c r="F27" s="182" t="str">
        <f>CONCATENATE('3 pr-2'!F29)</f>
        <v>Lietuvos Respublikos žemės ūkio ministerija</v>
      </c>
      <c r="G27" s="182" t="str">
        <f>CONCATENATE('3 pr-2'!G29)</f>
        <v>Varėnos r. sav.</v>
      </c>
      <c r="H27" s="182" t="str">
        <f>CONCATENATE('3 pr-2'!H29)</f>
        <v xml:space="preserve">Pagrindinės paslaugos ir kaimų atnaujinimas kaimo vietovėse </v>
      </c>
      <c r="I27" s="182" t="str">
        <f>CONCATENATE('3 pr-2'!I29)</f>
        <v>R</v>
      </c>
      <c r="J27" s="182" t="str">
        <f>CONCATENATE('3 pr-2'!J29)</f>
        <v>-</v>
      </c>
      <c r="K27" s="1435">
        <f>SUM('3 pr-2'!L29)</f>
        <v>250000</v>
      </c>
      <c r="L27" s="1296">
        <f t="shared" si="5"/>
        <v>0</v>
      </c>
      <c r="M27" s="1298"/>
      <c r="N27" s="1298"/>
      <c r="O27" s="1427">
        <f t="shared" si="6"/>
        <v>250000</v>
      </c>
      <c r="P27" s="1435">
        <f>SUM('3 pr-2'!O29)</f>
        <v>50000</v>
      </c>
      <c r="Q27" s="1296">
        <v>0</v>
      </c>
      <c r="R27" s="1298"/>
      <c r="S27" s="1298"/>
      <c r="T27" s="1427">
        <f t="shared" si="7"/>
        <v>50000</v>
      </c>
      <c r="U27" s="1435">
        <f>SUM('3 pr-2'!R29)</f>
        <v>30000</v>
      </c>
      <c r="V27" s="1296">
        <v>0</v>
      </c>
      <c r="W27" s="1298"/>
      <c r="X27" s="1298"/>
      <c r="Y27" s="1427">
        <f t="shared" si="8"/>
        <v>30000</v>
      </c>
      <c r="Z27" s="1435">
        <f>SUM('3 pr-2'!U29)</f>
        <v>0</v>
      </c>
      <c r="AA27" s="1296">
        <v>0</v>
      </c>
      <c r="AB27" s="1298"/>
      <c r="AC27" s="1298"/>
      <c r="AD27" s="1427">
        <f t="shared" si="9"/>
        <v>0</v>
      </c>
      <c r="AE27" s="1435">
        <f>SUM('3 pr-2'!X29)</f>
        <v>0</v>
      </c>
      <c r="AF27" s="1296">
        <v>0</v>
      </c>
      <c r="AG27" s="1298"/>
      <c r="AH27" s="1298"/>
      <c r="AI27" s="1427">
        <f t="shared" si="10"/>
        <v>0</v>
      </c>
      <c r="AJ27" s="1435">
        <f>SUM('3 pr-2'!AA29)</f>
        <v>170000</v>
      </c>
      <c r="AK27" s="1296">
        <v>0</v>
      </c>
      <c r="AL27" s="1298"/>
      <c r="AM27" s="1298"/>
      <c r="AN27" s="1454">
        <f t="shared" si="11"/>
        <v>170000</v>
      </c>
      <c r="AO27" s="1296">
        <f>SUM('3 pr-2'!AB29)</f>
        <v>0</v>
      </c>
      <c r="AP27" s="1488">
        <v>0</v>
      </c>
    </row>
    <row r="28" spans="1:43" ht="36.75" x14ac:dyDescent="0.25">
      <c r="A28" s="644" t="str">
        <f>CONCATENATE('3 pr-2'!A30)</f>
        <v>1.1.1.1.21</v>
      </c>
      <c r="B28" s="657" t="str">
        <f>CONCATENATE('3 pr-2'!B30)</f>
        <v>R01-ZM72-120000-1121</v>
      </c>
      <c r="C28" s="653" t="str">
        <f>CONCATENATE('ketv. 6 '!C29)</f>
        <v>20KI-KA-17-1-02364-PR001</v>
      </c>
      <c r="D28" s="182" t="str">
        <f>CONCATENATE('3 pr-2'!D30)</f>
        <v>Kaimo gyvenamųjų vietovių Lazdijų rajono savivaldybėje patrauklumo gerinimas</v>
      </c>
      <c r="E28" s="182" t="str">
        <f>CONCATENATE('3 pr-2'!E30)</f>
        <v>Lazdijų rajono savivaldybės administracija</v>
      </c>
      <c r="F28" s="182" t="str">
        <f>CONCATENATE('3 pr-2'!F30)</f>
        <v>Lietuvos Respublikos žemės ūkio ministerija</v>
      </c>
      <c r="G28" s="182" t="str">
        <f>CONCATENATE('3 pr-2'!G30)</f>
        <v>Lazdijų r. sav.</v>
      </c>
      <c r="H28" s="182" t="str">
        <f>CONCATENATE('3 pr-2'!H30)</f>
        <v xml:space="preserve">Pagrindinės paslaugos ir kaimų atnaujinimas kaimo vietovėse </v>
      </c>
      <c r="I28" s="182" t="str">
        <f>CONCATENATE('3 pr-2'!I30)</f>
        <v>R</v>
      </c>
      <c r="J28" s="182" t="str">
        <f>CONCATENATE('3 pr-2'!J30)</f>
        <v>-</v>
      </c>
      <c r="K28" s="1435">
        <f>SUM('3 pr-2'!L30)</f>
        <v>170000</v>
      </c>
      <c r="L28" s="1296">
        <f t="shared" si="5"/>
        <v>0</v>
      </c>
      <c r="M28" s="1298"/>
      <c r="N28" s="1298"/>
      <c r="O28" s="1427">
        <f t="shared" si="6"/>
        <v>170000</v>
      </c>
      <c r="P28" s="1435">
        <f>SUM('3 pr-2'!O30)</f>
        <v>34000</v>
      </c>
      <c r="Q28" s="1296">
        <v>0</v>
      </c>
      <c r="R28" s="1298"/>
      <c r="S28" s="1298"/>
      <c r="T28" s="1427">
        <f t="shared" si="7"/>
        <v>34000</v>
      </c>
      <c r="U28" s="1435">
        <f>SUM('3 pr-2'!R30)</f>
        <v>20400</v>
      </c>
      <c r="V28" s="1296">
        <v>0</v>
      </c>
      <c r="W28" s="1298"/>
      <c r="X28" s="1298"/>
      <c r="Y28" s="1427">
        <f t="shared" si="8"/>
        <v>20400</v>
      </c>
      <c r="Z28" s="1435">
        <f>SUM('3 pr-2'!U30)</f>
        <v>0</v>
      </c>
      <c r="AA28" s="1296">
        <v>0</v>
      </c>
      <c r="AB28" s="1298"/>
      <c r="AC28" s="1298"/>
      <c r="AD28" s="1427">
        <f t="shared" si="9"/>
        <v>0</v>
      </c>
      <c r="AE28" s="1435">
        <f>SUM('3 pr-2'!X30)</f>
        <v>0</v>
      </c>
      <c r="AF28" s="1296">
        <v>0</v>
      </c>
      <c r="AG28" s="1298"/>
      <c r="AH28" s="1298"/>
      <c r="AI28" s="1427">
        <f t="shared" si="10"/>
        <v>0</v>
      </c>
      <c r="AJ28" s="1435">
        <f>SUM('3 pr-2'!AA30)</f>
        <v>115600</v>
      </c>
      <c r="AK28" s="1296">
        <v>0</v>
      </c>
      <c r="AL28" s="1298"/>
      <c r="AM28" s="1298"/>
      <c r="AN28" s="1454">
        <f t="shared" si="11"/>
        <v>115600</v>
      </c>
      <c r="AO28" s="1296">
        <f>SUM('3 pr-2'!AB30)</f>
        <v>0</v>
      </c>
      <c r="AP28" s="1488">
        <v>0</v>
      </c>
    </row>
    <row r="29" spans="1:43" ht="36.75" x14ac:dyDescent="0.25">
      <c r="A29" s="644" t="str">
        <f>CONCATENATE('3 pr-2'!A31)</f>
        <v>1.1.1.1.22</v>
      </c>
      <c r="B29" s="657" t="str">
        <f>CONCATENATE('3 pr-2'!B31)</f>
        <v>R01-ZM72-120000-1122</v>
      </c>
      <c r="C29" s="653" t="str">
        <f>CONCATENATE('ketv. 6 '!C30)</f>
        <v>-</v>
      </c>
      <c r="D29" s="182" t="str">
        <f>CONCATENATE('3 pr-2'!D31)</f>
        <v>Alytaus rajono Makniūnų kaimo šaligatvių atnaujinimas ir plėtra</v>
      </c>
      <c r="E29" s="182" t="str">
        <f>CONCATENATE('3 pr-2'!E31)</f>
        <v>Alytaus rajono savivaldybės administracija</v>
      </c>
      <c r="F29" s="182" t="str">
        <f>CONCATENATE('3 pr-2'!F31)</f>
        <v>Lietuvos Respublikos žemės ūkio ministerija</v>
      </c>
      <c r="G29" s="182" t="str">
        <f>CONCATENATE('3 pr-2'!G31)</f>
        <v>Alytaus r. sav.</v>
      </c>
      <c r="H29" s="182" t="str">
        <f>CONCATENATE('3 pr-2'!H31)</f>
        <v xml:space="preserve">Pagrindinės paslaugos ir kaimų atnaujinimas kaimo vietovėse </v>
      </c>
      <c r="I29" s="182" t="str">
        <f>CONCATENATE('3 pr-2'!I31)</f>
        <v>R</v>
      </c>
      <c r="J29" s="182" t="str">
        <f>CONCATENATE('3 pr-2'!J31)</f>
        <v>-</v>
      </c>
      <c r="K29" s="1435">
        <f>SUM('3 pr-2'!L31)</f>
        <v>70991</v>
      </c>
      <c r="L29" s="1296">
        <f t="shared" si="5"/>
        <v>0</v>
      </c>
      <c r="M29" s="1298"/>
      <c r="N29" s="1298"/>
      <c r="O29" s="1427">
        <f t="shared" si="6"/>
        <v>70991</v>
      </c>
      <c r="P29" s="1435">
        <f>SUM('3 pr-2'!O31)</f>
        <v>14198</v>
      </c>
      <c r="Q29" s="1296">
        <v>0</v>
      </c>
      <c r="R29" s="1298"/>
      <c r="S29" s="1298"/>
      <c r="T29" s="1427">
        <f t="shared" si="7"/>
        <v>14198</v>
      </c>
      <c r="U29" s="1435">
        <f>SUM('3 pr-2'!R31)</f>
        <v>8519</v>
      </c>
      <c r="V29" s="1296">
        <v>0</v>
      </c>
      <c r="W29" s="1298"/>
      <c r="X29" s="1298"/>
      <c r="Y29" s="1427">
        <f t="shared" si="8"/>
        <v>8519</v>
      </c>
      <c r="Z29" s="1435">
        <f>SUM('3 pr-2'!U31)</f>
        <v>0</v>
      </c>
      <c r="AA29" s="1296">
        <v>0</v>
      </c>
      <c r="AB29" s="1298"/>
      <c r="AC29" s="1298"/>
      <c r="AD29" s="1427">
        <f t="shared" si="9"/>
        <v>0</v>
      </c>
      <c r="AE29" s="1435">
        <f>SUM('3 pr-2'!X31)</f>
        <v>0</v>
      </c>
      <c r="AF29" s="1296">
        <v>0</v>
      </c>
      <c r="AG29" s="1298"/>
      <c r="AH29" s="1298"/>
      <c r="AI29" s="1427">
        <f t="shared" si="10"/>
        <v>0</v>
      </c>
      <c r="AJ29" s="1435">
        <f>SUM('3 pr-2'!AA31)</f>
        <v>48274</v>
      </c>
      <c r="AK29" s="1296">
        <v>0</v>
      </c>
      <c r="AL29" s="1298"/>
      <c r="AM29" s="1298"/>
      <c r="AN29" s="1454">
        <f t="shared" si="11"/>
        <v>48274</v>
      </c>
      <c r="AO29" s="1296">
        <f>SUM('3 pr-2'!AB31)</f>
        <v>0</v>
      </c>
      <c r="AP29" s="1488">
        <v>0</v>
      </c>
    </row>
    <row r="30" spans="1:43" ht="37.5" thickBot="1" x14ac:dyDescent="0.3">
      <c r="A30" s="644" t="str">
        <f>CONCATENATE('3 pr-2'!A32)</f>
        <v>1.1.1.1.23</v>
      </c>
      <c r="B30" s="657" t="str">
        <f>CONCATENATE('3 pr-2'!B32)</f>
        <v>R01-ZM72-120000-1123</v>
      </c>
      <c r="C30" s="653" t="str">
        <f>CONCATENATE('ketv. 6 '!C31)</f>
        <v>-</v>
      </c>
      <c r="D30" s="182" t="str">
        <f>CONCATENATE('3 pr-2'!D32)</f>
        <v>Varėnos r. Vazgirdonių kaimo Klevų gatvės įrengimas</v>
      </c>
      <c r="E30" s="182" t="str">
        <f>CONCATENATE('3 pr-2'!E32)</f>
        <v xml:space="preserve">Varėnos rajono savivaldybės administracija </v>
      </c>
      <c r="F30" s="182" t="str">
        <f>CONCATENATE('3 pr-2'!F32)</f>
        <v>Lietuvos Respublikos žemės ūkio ministerija</v>
      </c>
      <c r="G30" s="182" t="str">
        <f>CONCATENATE('3 pr-2'!G32)</f>
        <v>Varėnos r. sav.</v>
      </c>
      <c r="H30" s="182" t="str">
        <f>CONCATENATE('3 pr-2'!H32)</f>
        <v xml:space="preserve">Pagrindinės paslaugos ir kaimų atnaujinimas kaimo vietovėse </v>
      </c>
      <c r="I30" s="182" t="str">
        <f>CONCATENATE('3 pr-2'!I32)</f>
        <v>R</v>
      </c>
      <c r="J30" s="182" t="str">
        <f>CONCATENATE('3 pr-2'!J32)</f>
        <v>-</v>
      </c>
      <c r="K30" s="1435">
        <f>SUM('3 pr-2'!L32)</f>
        <v>160049</v>
      </c>
      <c r="L30" s="1296">
        <f t="shared" si="5"/>
        <v>0</v>
      </c>
      <c r="M30" s="1298"/>
      <c r="N30" s="1298"/>
      <c r="O30" s="1427">
        <f t="shared" si="6"/>
        <v>160049</v>
      </c>
      <c r="P30" s="1435">
        <f>SUM('3 pr-2'!O32)</f>
        <v>32010</v>
      </c>
      <c r="Q30" s="1296">
        <v>0</v>
      </c>
      <c r="R30" s="1298"/>
      <c r="S30" s="1298"/>
      <c r="T30" s="1427">
        <f t="shared" si="7"/>
        <v>32010</v>
      </c>
      <c r="U30" s="1435">
        <f>SUM('3 pr-2'!R32)</f>
        <v>19206</v>
      </c>
      <c r="V30" s="1296">
        <v>0</v>
      </c>
      <c r="W30" s="1298"/>
      <c r="X30" s="1298"/>
      <c r="Y30" s="1427">
        <f t="shared" si="8"/>
        <v>19206</v>
      </c>
      <c r="Z30" s="1435">
        <f>SUM('3 pr-2'!U32)</f>
        <v>0</v>
      </c>
      <c r="AA30" s="1296">
        <v>0</v>
      </c>
      <c r="AB30" s="1298"/>
      <c r="AC30" s="1298"/>
      <c r="AD30" s="1427">
        <f t="shared" si="9"/>
        <v>0</v>
      </c>
      <c r="AE30" s="1435">
        <f>SUM('3 pr-2'!X32)</f>
        <v>0</v>
      </c>
      <c r="AF30" s="1296">
        <v>0</v>
      </c>
      <c r="AG30" s="1298"/>
      <c r="AH30" s="1298"/>
      <c r="AI30" s="1427">
        <f t="shared" si="10"/>
        <v>0</v>
      </c>
      <c r="AJ30" s="1435">
        <f>SUM('3 pr-2'!AA32)</f>
        <v>108833</v>
      </c>
      <c r="AK30" s="1296">
        <v>0</v>
      </c>
      <c r="AL30" s="1298"/>
      <c r="AM30" s="1298"/>
      <c r="AN30" s="1454">
        <f t="shared" si="11"/>
        <v>108833</v>
      </c>
      <c r="AO30" s="1296">
        <f>SUM('3 pr-2'!AB32)</f>
        <v>0</v>
      </c>
      <c r="AP30" s="1488">
        <v>0</v>
      </c>
    </row>
    <row r="31" spans="1:43" ht="40.5" customHeight="1" thickBot="1" x14ac:dyDescent="0.3">
      <c r="A31" s="326" t="str">
        <f>CONCATENATE('3 pr-2'!A33)</f>
        <v>1.1.1.2</v>
      </c>
      <c r="B31" s="2025" t="str">
        <f>CONCATENATE('3 pr-2'!B33)</f>
        <v>Priemonė:
Kaimo gyvenamųjų vietovių (turinčių 1-6 tūkst. gyventojų) atnaujinimas ir plėtra</v>
      </c>
      <c r="C31" s="2026"/>
      <c r="D31" s="2026"/>
      <c r="E31" s="2026"/>
      <c r="F31" s="2026"/>
      <c r="G31" s="2026"/>
      <c r="H31" s="2026"/>
      <c r="I31" s="2026"/>
      <c r="J31" s="2027"/>
      <c r="K31" s="1293">
        <f t="shared" ref="K31:AP31" si="12">SUM(K32:K36)</f>
        <v>3717325.8</v>
      </c>
      <c r="L31" s="1293">
        <f t="shared" si="12"/>
        <v>55957.7</v>
      </c>
      <c r="M31" s="1293">
        <f t="shared" si="12"/>
        <v>0</v>
      </c>
      <c r="N31" s="1293">
        <f t="shared" si="12"/>
        <v>0</v>
      </c>
      <c r="O31" s="1293">
        <f t="shared" si="12"/>
        <v>3661368.0999999996</v>
      </c>
      <c r="P31" s="1293">
        <f t="shared" si="12"/>
        <v>652363.41999999993</v>
      </c>
      <c r="Q31" s="1293">
        <f t="shared" si="12"/>
        <v>4046.82</v>
      </c>
      <c r="R31" s="1293">
        <f t="shared" si="12"/>
        <v>0</v>
      </c>
      <c r="S31" s="1293">
        <f t="shared" si="12"/>
        <v>0</v>
      </c>
      <c r="T31" s="1293">
        <f t="shared" si="12"/>
        <v>648316.6</v>
      </c>
      <c r="U31" s="1293">
        <f t="shared" si="12"/>
        <v>248510.74</v>
      </c>
      <c r="V31" s="1293">
        <f t="shared" si="12"/>
        <v>4208.99</v>
      </c>
      <c r="W31" s="1293">
        <f t="shared" si="12"/>
        <v>0</v>
      </c>
      <c r="X31" s="1293">
        <f t="shared" si="12"/>
        <v>0</v>
      </c>
      <c r="Y31" s="1293">
        <f t="shared" si="12"/>
        <v>244301.75</v>
      </c>
      <c r="Z31" s="1293">
        <f t="shared" si="12"/>
        <v>0</v>
      </c>
      <c r="AA31" s="1293">
        <f t="shared" si="12"/>
        <v>0</v>
      </c>
      <c r="AB31" s="1293">
        <f t="shared" si="12"/>
        <v>0</v>
      </c>
      <c r="AC31" s="1293">
        <f t="shared" si="12"/>
        <v>0</v>
      </c>
      <c r="AD31" s="1293">
        <f t="shared" si="12"/>
        <v>0</v>
      </c>
      <c r="AE31" s="1293">
        <f t="shared" si="12"/>
        <v>0</v>
      </c>
      <c r="AF31" s="1293">
        <f t="shared" si="12"/>
        <v>0</v>
      </c>
      <c r="AG31" s="1293">
        <f t="shared" si="12"/>
        <v>0</v>
      </c>
      <c r="AH31" s="1293">
        <f t="shared" si="12"/>
        <v>0</v>
      </c>
      <c r="AI31" s="1293">
        <f t="shared" si="12"/>
        <v>0</v>
      </c>
      <c r="AJ31" s="1293">
        <f t="shared" si="12"/>
        <v>2816451.64</v>
      </c>
      <c r="AK31" s="1293">
        <f t="shared" si="12"/>
        <v>47701.89</v>
      </c>
      <c r="AL31" s="1293">
        <f t="shared" si="12"/>
        <v>0</v>
      </c>
      <c r="AM31" s="1293">
        <f t="shared" si="12"/>
        <v>0</v>
      </c>
      <c r="AN31" s="1293">
        <f t="shared" si="12"/>
        <v>2768749.75</v>
      </c>
      <c r="AO31" s="1293">
        <f t="shared" si="12"/>
        <v>0</v>
      </c>
      <c r="AP31" s="1293">
        <f t="shared" si="12"/>
        <v>0</v>
      </c>
      <c r="AQ31" s="256">
        <f>SUM(K31-'3 pr-2'!L33)</f>
        <v>0</v>
      </c>
    </row>
    <row r="32" spans="1:43" ht="48.75" x14ac:dyDescent="0.25">
      <c r="A32" s="644" t="str">
        <f>CONCATENATE('3 pr-2'!A34)</f>
        <v>1.1.1.2.1</v>
      </c>
      <c r="B32" s="657" t="str">
        <f>CONCATENATE('3 pr-2'!B34)</f>
        <v>R01-9908-293400-1121</v>
      </c>
      <c r="C32" s="653" t="str">
        <f>CONCATENATE('ketv. 6 '!C33)</f>
        <v>08.2.1-CPVA-R-908-11-0002</v>
      </c>
      <c r="D32" s="182" t="str">
        <f>CONCATENATE('3 pr-2'!D34)</f>
        <v>Matuizų kaimo viešosios infrastruktūros atnaujinimas ir pritaikymas bendruomenės poreikiams</v>
      </c>
      <c r="E32" s="182" t="str">
        <f>CONCATENATE('3 pr-2'!E34)</f>
        <v>Varėnos rajono savivaldybės administracija</v>
      </c>
      <c r="F32" s="182" t="str">
        <f>CONCATENATE('3 pr-2'!F34)</f>
        <v>Lietuvos Respublikos vidaus reikalų ministerija</v>
      </c>
      <c r="G32" s="182" t="str">
        <f>CONCATENATE('3 pr-2'!G34)</f>
        <v>Varėnos r. sav.</v>
      </c>
      <c r="H32" s="182" t="str">
        <f>CONCATENATE('3 pr-2'!H34)</f>
        <v>8.2.1-CPVA-R-908</v>
      </c>
      <c r="I32" s="182" t="str">
        <f>CONCATENATE('3 pr-2'!I34)</f>
        <v>R</v>
      </c>
      <c r="J32" s="182" t="str">
        <f>CONCATENATE('3 pr-2'!J34)</f>
        <v>-</v>
      </c>
      <c r="K32" s="1435">
        <f>SUM('3 pr-2'!L34)</f>
        <v>815537.61</v>
      </c>
      <c r="L32" s="1426">
        <f t="shared" ref="L32:L36" si="13">SUM(Q32+V32+AA32+AF32+AK32)</f>
        <v>0</v>
      </c>
      <c r="M32" s="1298"/>
      <c r="N32" s="1298"/>
      <c r="O32" s="1427">
        <f t="shared" ref="O32:O36" si="14">SUM(K32-L32)</f>
        <v>815537.61</v>
      </c>
      <c r="P32" s="1435">
        <f>SUM('3 pr-2'!O34)</f>
        <v>285195.61</v>
      </c>
      <c r="Q32" s="1426">
        <f>SUMIF('mokėjimų ataskaita'!$I$13:$I$600,C32,'mokėjimų ataskaita'!$AU$13:$AU$600)/2</f>
        <v>0</v>
      </c>
      <c r="R32" s="1298"/>
      <c r="S32" s="1298"/>
      <c r="T32" s="1427">
        <f>SUM(P32-Q32)</f>
        <v>285195.61</v>
      </c>
      <c r="U32" s="1435">
        <f>SUM('3 pr-2'!R34)</f>
        <v>43001</v>
      </c>
      <c r="V32" s="1426">
        <f>SUMIF('mokėjimų ataskaita'!$I$13:$I$600,C32,'mokėjimų ataskaita'!$AL$13:$AL$600)/2</f>
        <v>0</v>
      </c>
      <c r="W32" s="1298"/>
      <c r="X32" s="1298"/>
      <c r="Y32" s="1427">
        <f t="shared" ref="Y32:Y36" si="15">SUM(U32-V32)</f>
        <v>43001</v>
      </c>
      <c r="Z32" s="1435">
        <f>SUM('3 pr-2'!U34)</f>
        <v>0</v>
      </c>
      <c r="AA32" s="1296">
        <v>0</v>
      </c>
      <c r="AB32" s="1298"/>
      <c r="AC32" s="1298"/>
      <c r="AD32" s="1427">
        <f t="shared" ref="AD32:AD36" si="16">SUM(Z32-AA32)</f>
        <v>0</v>
      </c>
      <c r="AE32" s="1435">
        <f>SUM('3 pr-2'!X34)</f>
        <v>0</v>
      </c>
      <c r="AF32" s="1296">
        <f>SUMIF('mokėjimų ataskaita'!$I$13:$I$600,C32,'mokėjimų ataskaita'!$AV$13:$AV$600)/2+SUMIF('mokėjimų ataskaita'!$I$13:$I$600,C32,'mokėjimų ataskaita'!$AT$13:$AT$600)/2</f>
        <v>0</v>
      </c>
      <c r="AG32" s="1298"/>
      <c r="AH32" s="1298"/>
      <c r="AI32" s="1427">
        <f t="shared" ref="AI32:AI36" si="17">SUM(AE32-AF32)</f>
        <v>0</v>
      </c>
      <c r="AJ32" s="1435">
        <f>SUM('3 pr-2'!AA34)</f>
        <v>487341</v>
      </c>
      <c r="AK32" s="1426">
        <f>SUMIF('mokėjimų ataskaita'!$I$13:$I$600,C32,'mokėjimų ataskaita'!$AK$13:$AK$600)/2</f>
        <v>0</v>
      </c>
      <c r="AL32" s="1298"/>
      <c r="AM32" s="1298"/>
      <c r="AN32" s="1454">
        <f>IF(AJ32&gt;0,AJ32-AK32,0)</f>
        <v>487341</v>
      </c>
      <c r="AO32" s="1296">
        <f>SUM('3 pr-2'!AB34)</f>
        <v>0</v>
      </c>
      <c r="AP32" s="1426">
        <v>0</v>
      </c>
    </row>
    <row r="33" spans="1:44" ht="48.75" x14ac:dyDescent="0.25">
      <c r="A33" s="644" t="str">
        <f>CONCATENATE('3 pr-2'!A35)</f>
        <v>1.1.1.2.2</v>
      </c>
      <c r="B33" s="657" t="str">
        <f>CONCATENATE('3 pr-2'!B35)</f>
        <v>R01-9908-290000-1122</v>
      </c>
      <c r="C33" s="653" t="str">
        <f>CONCATENATE('ketv. 6 '!C34)</f>
        <v>08.2.1-CPVA-R-908-11-0001</v>
      </c>
      <c r="D33" s="182" t="str">
        <f>CONCATENATE('3 pr-2'!D35)</f>
        <v>Senosios Varėnos kaimo viešosios infrastruktūros atnaujinimas ir pritaikymas bendruomenės poreikiams</v>
      </c>
      <c r="E33" s="182" t="str">
        <f>CONCATENATE('3 pr-2'!E35)</f>
        <v>Varėnos rajono savivaldybės administracija</v>
      </c>
      <c r="F33" s="182" t="str">
        <f>CONCATENATE('3 pr-2'!F35)</f>
        <v>Lietuvos Respublikos vidaus reikalų ministerija</v>
      </c>
      <c r="G33" s="182" t="str">
        <f>CONCATENATE('3 pr-2'!G35)</f>
        <v>Varėnos r. sav.</v>
      </c>
      <c r="H33" s="182" t="str">
        <f>CONCATENATE('3 pr-2'!H35)</f>
        <v>8.2.1-CPVA-R-908</v>
      </c>
      <c r="I33" s="182" t="str">
        <f>CONCATENATE('3 pr-2'!I35)</f>
        <v>R</v>
      </c>
      <c r="J33" s="182" t="str">
        <f>CONCATENATE('3 pr-2'!J35)</f>
        <v>-</v>
      </c>
      <c r="K33" s="1435">
        <f>SUM('3 pr-2'!L35)</f>
        <v>605024.19999999995</v>
      </c>
      <c r="L33" s="1426">
        <f t="shared" si="13"/>
        <v>55957.7</v>
      </c>
      <c r="M33" s="1298"/>
      <c r="N33" s="1298"/>
      <c r="O33" s="1427">
        <f t="shared" si="14"/>
        <v>549066.5</v>
      </c>
      <c r="P33" s="1435">
        <f>SUM('3 pr-2'!O35)</f>
        <v>45376.82</v>
      </c>
      <c r="Q33" s="1426">
        <f>SUMIF('mokėjimų ataskaita'!$I$13:$I$600,C33,'mokėjimų ataskaita'!$AU$13:$AU$600)/2</f>
        <v>4046.82</v>
      </c>
      <c r="R33" s="1298"/>
      <c r="S33" s="1298"/>
      <c r="T33" s="1427">
        <f>SUM(P33-Q33)</f>
        <v>41330</v>
      </c>
      <c r="U33" s="1435">
        <f>SUM('3 pr-2'!R35)</f>
        <v>45376.81</v>
      </c>
      <c r="V33" s="1426">
        <f>SUMIF('mokėjimų ataskaita'!$I$13:$I$600,C33,'mokėjimų ataskaita'!$AL$13:$AL$600)/2</f>
        <v>4208.99</v>
      </c>
      <c r="W33" s="1298"/>
      <c r="X33" s="1298"/>
      <c r="Y33" s="1427">
        <f t="shared" si="15"/>
        <v>41167.82</v>
      </c>
      <c r="Z33" s="1435">
        <f>SUM('3 pr-2'!U35)</f>
        <v>0</v>
      </c>
      <c r="AA33" s="1296">
        <v>0</v>
      </c>
      <c r="AB33" s="1298"/>
      <c r="AC33" s="1298"/>
      <c r="AD33" s="1427">
        <f t="shared" si="16"/>
        <v>0</v>
      </c>
      <c r="AE33" s="1435">
        <f>SUM('3 pr-2'!X35)</f>
        <v>0</v>
      </c>
      <c r="AF33" s="1296">
        <f>SUMIF('mokėjimų ataskaita'!$I$13:$I$600,C33,'mokėjimų ataskaita'!$AV$13:$AV$600)/2+SUMIF('mokėjimų ataskaita'!$I$13:$I$600,C33,'mokėjimų ataskaita'!$AT$13:$AT$600)/2</f>
        <v>0</v>
      </c>
      <c r="AG33" s="1298"/>
      <c r="AH33" s="1298"/>
      <c r="AI33" s="1427">
        <f t="shared" si="17"/>
        <v>0</v>
      </c>
      <c r="AJ33" s="1435">
        <f>SUM('3 pr-2'!AA35)</f>
        <v>514270.57</v>
      </c>
      <c r="AK33" s="1426">
        <f>SUMIF('mokėjimų ataskaita'!$I$13:$I$600,C33,'mokėjimų ataskaita'!$AK$13:$AK$600)/2</f>
        <v>47701.89</v>
      </c>
      <c r="AL33" s="1298"/>
      <c r="AM33" s="1298"/>
      <c r="AN33" s="1454">
        <f>IF(AJ33&gt;0,AJ33-AK33,0)</f>
        <v>466568.68</v>
      </c>
      <c r="AO33" s="1296">
        <f>SUM('3 pr-2'!AB35)</f>
        <v>0</v>
      </c>
      <c r="AP33" s="1426">
        <v>0</v>
      </c>
    </row>
    <row r="34" spans="1:44" ht="36.75" x14ac:dyDescent="0.25">
      <c r="A34" s="644" t="str">
        <f>CONCATENATE('3 pr-2'!A36)</f>
        <v>1.1.1.2.3</v>
      </c>
      <c r="B34" s="657" t="str">
        <f>CONCATENATE('3 pr-2'!B36)</f>
        <v>R01-9908-290000-1123</v>
      </c>
      <c r="C34" s="653" t="str">
        <f>CONCATENATE('ketv. 6 '!C35)</f>
        <v>-</v>
      </c>
      <c r="D34" s="182" t="str">
        <f>CONCATENATE('3 pr-2'!D36)</f>
        <v>Kompleksinė Miklusėnų gyvenvietės plėtra</v>
      </c>
      <c r="E34" s="182" t="str">
        <f>CONCATENATE('3 pr-2'!E36)</f>
        <v>Alytaus rajono savivaldybės administracija</v>
      </c>
      <c r="F34" s="182" t="str">
        <f>CONCATENATE('3 pr-2'!F36)</f>
        <v>Lietuvos Respublikos vidaus reikalų ministerija</v>
      </c>
      <c r="G34" s="182" t="str">
        <f>CONCATENATE('3 pr-2'!G36)</f>
        <v>Alytaus r. sav.</v>
      </c>
      <c r="H34" s="182" t="str">
        <f>CONCATENATE('3 pr-2'!H36)</f>
        <v>8.2.1-CPVA-R-908</v>
      </c>
      <c r="I34" s="182" t="str">
        <f>CONCATENATE('3 pr-2'!I36)</f>
        <v>R</v>
      </c>
      <c r="J34" s="182" t="str">
        <f>CONCATENATE('3 pr-2'!J36)</f>
        <v>-</v>
      </c>
      <c r="K34" s="1435">
        <f>SUM('3 pr-2'!L36)</f>
        <v>1043467</v>
      </c>
      <c r="L34" s="1296">
        <f t="shared" si="13"/>
        <v>0</v>
      </c>
      <c r="M34" s="1298"/>
      <c r="N34" s="1298"/>
      <c r="O34" s="1427">
        <f t="shared" si="14"/>
        <v>1043467</v>
      </c>
      <c r="P34" s="1435">
        <f>SUM('3 pr-2'!O36)</f>
        <v>78260</v>
      </c>
      <c r="Q34" s="1296">
        <f>SUMIF('mokėjimų ataskaita'!$I$13:$I$600,C34,'mokėjimų ataskaita'!$AU$13:$AU$600)/2</f>
        <v>0</v>
      </c>
      <c r="R34" s="1298"/>
      <c r="S34" s="1298"/>
      <c r="T34" s="1427">
        <f>SUM(P34-Q34)</f>
        <v>78260</v>
      </c>
      <c r="U34" s="1435">
        <f>SUM('3 pr-2'!R36)</f>
        <v>78260</v>
      </c>
      <c r="V34" s="1296">
        <f>SUMIF('mokėjimų ataskaita'!$I$13:$I$600,C34,'mokėjimų ataskaita'!$AL$13:$AL$600)/2</f>
        <v>0</v>
      </c>
      <c r="W34" s="1298"/>
      <c r="X34" s="1298"/>
      <c r="Y34" s="1427">
        <f t="shared" si="15"/>
        <v>78260</v>
      </c>
      <c r="Z34" s="1435">
        <f>SUM('3 pr-2'!U36)</f>
        <v>0</v>
      </c>
      <c r="AA34" s="1296">
        <v>0</v>
      </c>
      <c r="AB34" s="1298"/>
      <c r="AC34" s="1298"/>
      <c r="AD34" s="1427">
        <f t="shared" si="16"/>
        <v>0</v>
      </c>
      <c r="AE34" s="1435">
        <f>SUM('3 pr-2'!X36)</f>
        <v>0</v>
      </c>
      <c r="AF34" s="1296">
        <f>SUMIF('mokėjimų ataskaita'!$I$13:$I$600,C34,'mokėjimų ataskaita'!$AV$13:$AV$600)/2+SUMIF('mokėjimų ataskaita'!$I$13:$I$600,C34,'mokėjimų ataskaita'!$AT$13:$AT$600)/2</f>
        <v>0</v>
      </c>
      <c r="AG34" s="1298"/>
      <c r="AH34" s="1298"/>
      <c r="AI34" s="1427">
        <f t="shared" si="17"/>
        <v>0</v>
      </c>
      <c r="AJ34" s="1435">
        <f>SUM('3 pr-2'!AA36)</f>
        <v>886947</v>
      </c>
      <c r="AK34" s="1296">
        <f>SUMIF('mokėjimų ataskaita'!$I$13:$I$600,C34,'mokėjimų ataskaita'!$AK$13:$AK$600)/2</f>
        <v>0</v>
      </c>
      <c r="AL34" s="1298"/>
      <c r="AM34" s="1298"/>
      <c r="AN34" s="1454">
        <f>IF(AJ34&gt;0,AJ34-AK34,0)</f>
        <v>886947</v>
      </c>
      <c r="AO34" s="1296">
        <f>SUM('3 pr-2'!AB36)</f>
        <v>0</v>
      </c>
      <c r="AP34" s="1296">
        <v>0</v>
      </c>
    </row>
    <row r="35" spans="1:44" ht="36.75" x14ac:dyDescent="0.25">
      <c r="A35" s="644" t="str">
        <f>CONCATENATE('3 pr-2'!A37)</f>
        <v>1.1.1.2.4</v>
      </c>
      <c r="B35" s="657" t="str">
        <f>CONCATENATE('3 pr-2'!B37)</f>
        <v>R01-9908-290000-1124</v>
      </c>
      <c r="C35" s="653" t="str">
        <f>CONCATENATE('ketv. 6 '!C36)</f>
        <v>08.2.1-CPVA-R-908-11-0003</v>
      </c>
      <c r="D35" s="182" t="str">
        <f>CONCATENATE('3 pr-2'!D37)</f>
        <v>Leipalingio viešosios erdvės pritaikymas bendruomenės poreikiams</v>
      </c>
      <c r="E35" s="182" t="str">
        <f>CONCATENATE('3 pr-2'!E37)</f>
        <v xml:space="preserve">Druskininkų savivaldybės administracija  </v>
      </c>
      <c r="F35" s="182" t="str">
        <f>CONCATENATE('3 pr-2'!F37)</f>
        <v>Lietuvos Respublikos vidaus reikalų ministerija</v>
      </c>
      <c r="G35" s="182" t="str">
        <f>CONCATENATE('3 pr-2'!G37)</f>
        <v>Druskininkų sav.</v>
      </c>
      <c r="H35" s="182" t="str">
        <f>CONCATENATE('3 pr-2'!H37)</f>
        <v>8.2.1-CPVA-R-908</v>
      </c>
      <c r="I35" s="182" t="str">
        <f>CONCATENATE('3 pr-2'!I37)</f>
        <v>R</v>
      </c>
      <c r="J35" s="182" t="str">
        <f>CONCATENATE('3 pr-2'!J37)</f>
        <v>-</v>
      </c>
      <c r="K35" s="1435">
        <f>SUM('3 pr-2'!L37)</f>
        <v>579418.99</v>
      </c>
      <c r="L35" s="1426">
        <f t="shared" si="13"/>
        <v>0</v>
      </c>
      <c r="M35" s="1298"/>
      <c r="N35" s="1298"/>
      <c r="O35" s="1427">
        <f t="shared" si="14"/>
        <v>579418.99</v>
      </c>
      <c r="P35" s="1435">
        <f>SUM('3 pr-2'!O37)</f>
        <v>192989.99</v>
      </c>
      <c r="Q35" s="1426">
        <f>SUMIF('mokėjimų ataskaita'!$I$13:$I$600,C35,'mokėjimų ataskaita'!$AU$13:$AU$600)/2</f>
        <v>0</v>
      </c>
      <c r="R35" s="1298"/>
      <c r="S35" s="1298"/>
      <c r="T35" s="1427">
        <f>SUM(P35-Q35)</f>
        <v>192989.99</v>
      </c>
      <c r="U35" s="1435">
        <f>SUM('3 pr-2'!R37)</f>
        <v>31332.09</v>
      </c>
      <c r="V35" s="1426">
        <f>SUMIF('mokėjimų ataskaita'!$I$13:$I$600,C35,'mokėjimų ataskaita'!$AL$13:$AL$600)/2</f>
        <v>0</v>
      </c>
      <c r="W35" s="1298"/>
      <c r="X35" s="1298"/>
      <c r="Y35" s="1427">
        <f t="shared" si="15"/>
        <v>31332.09</v>
      </c>
      <c r="Z35" s="1435">
        <f>SUM('3 pr-2'!U37)</f>
        <v>0</v>
      </c>
      <c r="AA35" s="1296">
        <v>0</v>
      </c>
      <c r="AB35" s="1298"/>
      <c r="AC35" s="1298"/>
      <c r="AD35" s="1427">
        <f t="shared" si="16"/>
        <v>0</v>
      </c>
      <c r="AE35" s="1435">
        <f>SUM('3 pr-2'!X37)</f>
        <v>0</v>
      </c>
      <c r="AF35" s="1296">
        <f>SUMIF('mokėjimų ataskaita'!$I$13:$I$600,C35,'mokėjimų ataskaita'!$AV$13:$AV$600)/2+SUMIF('mokėjimų ataskaita'!$I$13:$I$600,C35,'mokėjimų ataskaita'!$AT$13:$AT$600)/2</f>
        <v>0</v>
      </c>
      <c r="AG35" s="1298"/>
      <c r="AH35" s="1298"/>
      <c r="AI35" s="1427">
        <f t="shared" si="17"/>
        <v>0</v>
      </c>
      <c r="AJ35" s="1435">
        <f>SUM('3 pr-2'!AA37)</f>
        <v>355096.91</v>
      </c>
      <c r="AK35" s="1426">
        <f>SUMIF('mokėjimų ataskaita'!$I$13:$I$600,C35,'mokėjimų ataskaita'!$AK$13:$AK$600)/2</f>
        <v>0</v>
      </c>
      <c r="AL35" s="1298"/>
      <c r="AM35" s="1298"/>
      <c r="AN35" s="1454">
        <f>IF(AJ35&gt;0,AJ35-AK35,0)</f>
        <v>355096.91</v>
      </c>
      <c r="AO35" s="1296">
        <f>SUM('3 pr-2'!AB37)</f>
        <v>0</v>
      </c>
      <c r="AP35" s="1426">
        <v>0</v>
      </c>
    </row>
    <row r="36" spans="1:44" ht="37.5" thickBot="1" x14ac:dyDescent="0.3">
      <c r="A36" s="644" t="str">
        <f>CONCATENATE('3 pr-2'!A38)</f>
        <v>1.1.1.2.5</v>
      </c>
      <c r="B36" s="657" t="str">
        <f>CONCATENATE('3 pr-2'!B38)</f>
        <v>R01-9908-290000-1125</v>
      </c>
      <c r="C36" s="653" t="str">
        <f>CONCATENATE('ketv. 6 '!C37)</f>
        <v>08.2.1-CPVA-R-908-11-0004</v>
      </c>
      <c r="D36" s="182" t="str">
        <f>CONCATENATE('3 pr-2'!D38)</f>
        <v>Viečiūnų viešosios erdvės pritaikymas bendruomenės poreikiams</v>
      </c>
      <c r="E36" s="182" t="str">
        <f>CONCATENATE('3 pr-2'!E38)</f>
        <v xml:space="preserve">Druskininkų savivaldybės administracija  </v>
      </c>
      <c r="F36" s="182" t="str">
        <f>CONCATENATE('3 pr-2'!F38)</f>
        <v>Lietuvos Respublikos vidaus reikalų ministerija</v>
      </c>
      <c r="G36" s="182" t="str">
        <f>CONCATENATE('3 pr-2'!G38)</f>
        <v>Druskininkų sav.</v>
      </c>
      <c r="H36" s="182" t="str">
        <f>CONCATENATE('3 pr-2'!H38)</f>
        <v>8.2.1-CPVA-R-908</v>
      </c>
      <c r="I36" s="182" t="str">
        <f>CONCATENATE('3 pr-2'!I38)</f>
        <v>R</v>
      </c>
      <c r="J36" s="182" t="str">
        <f>CONCATENATE('3 pr-2'!J38)</f>
        <v>-</v>
      </c>
      <c r="K36" s="1435">
        <f>SUM('3 pr-2'!L38)</f>
        <v>673878</v>
      </c>
      <c r="L36" s="1426">
        <f t="shared" si="13"/>
        <v>0</v>
      </c>
      <c r="M36" s="1298"/>
      <c r="N36" s="1298"/>
      <c r="O36" s="1427">
        <f t="shared" si="14"/>
        <v>673878</v>
      </c>
      <c r="P36" s="1435">
        <f>SUM('3 pr-2'!O38)</f>
        <v>50541</v>
      </c>
      <c r="Q36" s="1426">
        <f>SUMIF('mokėjimų ataskaita'!$I$13:$I$600,C36,'mokėjimų ataskaita'!$AU$13:$AU$600)/2</f>
        <v>0</v>
      </c>
      <c r="R36" s="1298"/>
      <c r="S36" s="1298"/>
      <c r="T36" s="1427">
        <f>SUM(P36-Q36)</f>
        <v>50541</v>
      </c>
      <c r="U36" s="1435">
        <f>SUM('3 pr-2'!R38)</f>
        <v>50540.84</v>
      </c>
      <c r="V36" s="1426">
        <f>SUMIF('mokėjimų ataskaita'!$I$13:$I$600,C36,'mokėjimų ataskaita'!$AL$13:$AL$600)/2</f>
        <v>0</v>
      </c>
      <c r="W36" s="1298"/>
      <c r="X36" s="1298"/>
      <c r="Y36" s="1427">
        <f t="shared" si="15"/>
        <v>50540.84</v>
      </c>
      <c r="Z36" s="1435">
        <f>SUM('3 pr-2'!U38)</f>
        <v>0</v>
      </c>
      <c r="AA36" s="1296">
        <v>0</v>
      </c>
      <c r="AB36" s="1298"/>
      <c r="AC36" s="1298"/>
      <c r="AD36" s="1427">
        <f t="shared" si="16"/>
        <v>0</v>
      </c>
      <c r="AE36" s="1435">
        <f>SUM('3 pr-2'!X38)</f>
        <v>0</v>
      </c>
      <c r="AF36" s="1296">
        <f>SUMIF('mokėjimų ataskaita'!$I$13:$I$600,C36,'mokėjimų ataskaita'!$AV$13:$AV$600)/2+SUMIF('mokėjimų ataskaita'!$I$13:$I$600,C36,'mokėjimų ataskaita'!$AT$13:$AT$600)/2</f>
        <v>0</v>
      </c>
      <c r="AG36" s="1298"/>
      <c r="AH36" s="1298"/>
      <c r="AI36" s="1427">
        <f t="shared" si="17"/>
        <v>0</v>
      </c>
      <c r="AJ36" s="1435">
        <f>SUM('3 pr-2'!AA38)</f>
        <v>572796.16000000003</v>
      </c>
      <c r="AK36" s="1426">
        <f>SUMIF('mokėjimų ataskaita'!$I$13:$I$600,C36,'mokėjimų ataskaita'!$AK$13:$AK$600)/2</f>
        <v>0</v>
      </c>
      <c r="AL36" s="1298"/>
      <c r="AM36" s="1298"/>
      <c r="AN36" s="1454">
        <f>IF(AJ36&gt;0,AJ36-AK36,0)</f>
        <v>572796.16000000003</v>
      </c>
      <c r="AO36" s="1296">
        <f>SUM('3 pr-2'!AB38)</f>
        <v>0</v>
      </c>
      <c r="AP36" s="1426">
        <v>0</v>
      </c>
    </row>
    <row r="37" spans="1:44" ht="36.75" customHeight="1" thickBot="1" x14ac:dyDescent="0.3">
      <c r="A37" s="326" t="str">
        <f>CONCATENATE('3 pr-2'!A39)</f>
        <v>1.1.1.3</v>
      </c>
      <c r="B37" s="2025" t="str">
        <f>CONCATENATE('3 pr-2'!B39)</f>
        <v>Priemonė:
Varėnos miesto kompleksinė plėtra</v>
      </c>
      <c r="C37" s="2026"/>
      <c r="D37" s="2026"/>
      <c r="E37" s="2026"/>
      <c r="F37" s="2026"/>
      <c r="G37" s="2026"/>
      <c r="H37" s="2026"/>
      <c r="I37" s="2026"/>
      <c r="J37" s="2027"/>
      <c r="K37" s="1293">
        <f t="shared" ref="K37:AJ37" si="18">SUM(K38:K43)</f>
        <v>4358551.91</v>
      </c>
      <c r="L37" s="1293">
        <f t="shared" si="18"/>
        <v>2061840.29</v>
      </c>
      <c r="M37" s="1293">
        <f t="shared" si="18"/>
        <v>1186280.8599999999</v>
      </c>
      <c r="N37" s="1293">
        <f t="shared" si="18"/>
        <v>875559.43</v>
      </c>
      <c r="O37" s="1293">
        <f t="shared" si="18"/>
        <v>2296711.62</v>
      </c>
      <c r="P37" s="1293">
        <f t="shared" si="18"/>
        <v>297094.61</v>
      </c>
      <c r="Q37" s="1293">
        <f t="shared" si="18"/>
        <v>100927.11</v>
      </c>
      <c r="R37" s="1293">
        <f t="shared" si="18"/>
        <v>38985.35</v>
      </c>
      <c r="S37" s="1293">
        <f t="shared" si="18"/>
        <v>61941.760000000002</v>
      </c>
      <c r="T37" s="1293">
        <f t="shared" si="18"/>
        <v>196167.5</v>
      </c>
      <c r="U37" s="1293">
        <f t="shared" si="18"/>
        <v>364155.41000000003</v>
      </c>
      <c r="V37" s="1293">
        <f t="shared" si="18"/>
        <v>193485.22</v>
      </c>
      <c r="W37" s="1293">
        <f t="shared" si="18"/>
        <v>117616.09999999999</v>
      </c>
      <c r="X37" s="1293">
        <f t="shared" si="18"/>
        <v>75869.120000000024</v>
      </c>
      <c r="Y37" s="1293">
        <f t="shared" si="18"/>
        <v>170670.19</v>
      </c>
      <c r="Z37" s="1293">
        <f t="shared" si="18"/>
        <v>0</v>
      </c>
      <c r="AA37" s="1293">
        <f t="shared" si="18"/>
        <v>0</v>
      </c>
      <c r="AB37" s="1293">
        <f t="shared" si="18"/>
        <v>0</v>
      </c>
      <c r="AC37" s="1293">
        <f t="shared" si="18"/>
        <v>0</v>
      </c>
      <c r="AD37" s="1293">
        <f t="shared" si="18"/>
        <v>0</v>
      </c>
      <c r="AE37" s="1293">
        <f t="shared" si="18"/>
        <v>0</v>
      </c>
      <c r="AF37" s="1293">
        <f t="shared" si="18"/>
        <v>0</v>
      </c>
      <c r="AG37" s="1293">
        <f t="shared" si="18"/>
        <v>0</v>
      </c>
      <c r="AH37" s="1293">
        <f t="shared" si="18"/>
        <v>0</v>
      </c>
      <c r="AI37" s="1293">
        <f t="shared" si="18"/>
        <v>0</v>
      </c>
      <c r="AJ37" s="1293">
        <f t="shared" si="18"/>
        <v>3697301.8899999997</v>
      </c>
      <c r="AK37" s="1293">
        <f>SUM(AK38:AK43)</f>
        <v>1767427.9600000002</v>
      </c>
      <c r="AL37" s="1293">
        <f t="shared" ref="AL37:AP37" si="19">SUM(AL38:AL43)</f>
        <v>1029679.4099999999</v>
      </c>
      <c r="AM37" s="1293">
        <f t="shared" si="19"/>
        <v>737748.55000000016</v>
      </c>
      <c r="AN37" s="1293">
        <f t="shared" si="19"/>
        <v>1674556.9299999997</v>
      </c>
      <c r="AO37" s="1293">
        <f t="shared" si="19"/>
        <v>0</v>
      </c>
      <c r="AP37" s="1293">
        <f t="shared" si="19"/>
        <v>0</v>
      </c>
      <c r="AQ37" s="256">
        <f>SUM(K37-'3 pr-2'!L39)</f>
        <v>0</v>
      </c>
    </row>
    <row r="38" spans="1:44" ht="36.75" x14ac:dyDescent="0.25">
      <c r="A38" s="644" t="str">
        <f>CONCATENATE('3 pr-2'!A40)</f>
        <v>1.1.1.3.1</v>
      </c>
      <c r="B38" s="657" t="str">
        <f>CONCATENATE('3 pr-2'!B40)</f>
        <v>R01-9905-290000-1131</v>
      </c>
      <c r="C38" s="653" t="str">
        <f>CONCATENATE('ketv. 6 '!C39)</f>
        <v>07.1.1-CPVA-R-905-11-0001</v>
      </c>
      <c r="D38" s="182" t="str">
        <f>CONCATENATE('3 pr-2'!D40)</f>
        <v>Varėnos miesto centrinės dalies modernizavimas ir pritaikymas visuomenės poreikiams (I etapas)</v>
      </c>
      <c r="E38" s="182" t="str">
        <f>CONCATENATE('3 pr-2'!E40)</f>
        <v>Varėnos rajono savivaldybės administracija</v>
      </c>
      <c r="F38" s="182" t="str">
        <f>CONCATENATE('3 pr-2'!F40)</f>
        <v>Lietuvos Respublikos vidaus reikalų ministerija</v>
      </c>
      <c r="G38" s="182" t="str">
        <f>CONCATENATE('3 pr-2'!G40)</f>
        <v>Varėnos r. sav.</v>
      </c>
      <c r="H38" s="182" t="str">
        <f>CONCATENATE('3 pr-2'!H40)</f>
        <v xml:space="preserve">07.1.1-CPVA-R-905 </v>
      </c>
      <c r="I38" s="182" t="str">
        <f>CONCATENATE('3 pr-2'!I40)</f>
        <v>R</v>
      </c>
      <c r="J38" s="182" t="str">
        <f>CONCATENATE('3 pr-2'!J40)</f>
        <v>ITI</v>
      </c>
      <c r="K38" s="1435">
        <f>SUM('3 pr-2'!L40)</f>
        <v>1516932.01</v>
      </c>
      <c r="L38" s="1426">
        <f t="shared" ref="L38:L43" si="20">SUM(Q38+V38+AA38+AF38+AK38)</f>
        <v>1366727.46</v>
      </c>
      <c r="M38" s="1298">
        <v>1049428.6299999999</v>
      </c>
      <c r="N38" s="1298">
        <f>SUM(L38-M38)</f>
        <v>317298.83000000007</v>
      </c>
      <c r="O38" s="1427">
        <f t="shared" si="6"/>
        <v>150204.55000000005</v>
      </c>
      <c r="P38" s="1435">
        <f>SUM('3 pr-2'!O40)</f>
        <v>75846.61</v>
      </c>
      <c r="Q38" s="1426">
        <f>SUMIF('mokėjimų ataskaita'!$I$13:$I$600,C38,'mokėjimų ataskaita'!$AU$13:$AU$600)/2</f>
        <v>64982.2</v>
      </c>
      <c r="R38" s="1298">
        <v>32471.439999999999</v>
      </c>
      <c r="S38" s="1298">
        <f t="shared" ref="S38:S43" si="21">SUM(Q38-R38)</f>
        <v>32510.76</v>
      </c>
      <c r="T38" s="1427">
        <f t="shared" ref="T38:T43" si="22">SUM(P38-Q38)</f>
        <v>10864.410000000003</v>
      </c>
      <c r="U38" s="1435">
        <f>SUM('3 pr-2'!R40)</f>
        <v>151693.20000000001</v>
      </c>
      <c r="V38" s="1426">
        <f>SUMIF('mokėjimų ataskaita'!$I$13:$I$600,C38,'mokėjimų ataskaita'!$AL$13:$AL$600)/2</f>
        <v>140039.17000000001</v>
      </c>
      <c r="W38" s="1298">
        <v>107048.12</v>
      </c>
      <c r="X38" s="1298">
        <f t="shared" ref="X38:X43" si="23">SUM(V38-W38)</f>
        <v>32991.050000000017</v>
      </c>
      <c r="Y38" s="1427">
        <f t="shared" ref="Y38:Y59" si="24">SUM(U38-V38)</f>
        <v>11654.029999999999</v>
      </c>
      <c r="Z38" s="1435">
        <f>SUM('3 pr-2'!U40)</f>
        <v>0</v>
      </c>
      <c r="AA38" s="1296">
        <f>SUMIF('mokėjimų ataskaita'!$I$13:$I$600,C38,'mokėjimų ataskaita'!$AW$13:$AW$600)/2</f>
        <v>0</v>
      </c>
      <c r="AB38" s="1298"/>
      <c r="AC38" s="1298"/>
      <c r="AD38" s="1427">
        <f t="shared" ref="AD38:AD59" si="25">SUM(Z38-AA38)</f>
        <v>0</v>
      </c>
      <c r="AE38" s="1435">
        <f>SUM('3 pr-2'!X40)</f>
        <v>0</v>
      </c>
      <c r="AF38" s="1296">
        <f>SUMIF('mokėjimų ataskaita'!$I$13:$I$600,C38,'mokėjimų ataskaita'!$AV$13:$AV$600)/2+SUMIF('mokėjimų ataskaita'!$I$13:$I$600,C38,'mokėjimų ataskaita'!$AT$13:$AT$600)/2</f>
        <v>0</v>
      </c>
      <c r="AG38" s="1298"/>
      <c r="AH38" s="1298"/>
      <c r="AI38" s="1427">
        <f t="shared" ref="AI38:AI59" si="26">SUM(AE38-AF38)</f>
        <v>0</v>
      </c>
      <c r="AJ38" s="1435">
        <f>SUM('3 pr-2'!AA40)</f>
        <v>1289392.2</v>
      </c>
      <c r="AK38" s="1426">
        <f>SUMIF('mokėjimų ataskaita'!$I$13:$I$600,C38,'mokėjimų ataskaita'!$AK$13:$AK$600)/2</f>
        <v>1161706.0900000001</v>
      </c>
      <c r="AL38" s="1298">
        <v>909909.07</v>
      </c>
      <c r="AM38" s="1298">
        <f t="shared" ref="AM38:AM43" si="27">SUM(AK38-AL38)</f>
        <v>251797.02000000014</v>
      </c>
      <c r="AN38" s="1454">
        <f>IF(AJ38&gt;0,AJ38-AK38,0)</f>
        <v>127686.10999999987</v>
      </c>
      <c r="AO38" s="1296">
        <f>SUM('3 pr-2'!AB40)</f>
        <v>0</v>
      </c>
      <c r="AP38" s="1426">
        <v>0</v>
      </c>
    </row>
    <row r="39" spans="1:44" ht="48.75" x14ac:dyDescent="0.25">
      <c r="A39" s="644" t="str">
        <f>CONCATENATE('3 pr-2'!A41)</f>
        <v>1.1.1.3.2</v>
      </c>
      <c r="B39" s="657" t="str">
        <f>CONCATENATE('3 pr-2'!B41)</f>
        <v>R01-9905-282900-1132</v>
      </c>
      <c r="C39" s="653" t="str">
        <f>CONCATENATE('ketv. 6 '!C40)</f>
        <v>07.1.1-CPVA-R-905-11-0002</v>
      </c>
      <c r="D39" s="182" t="str">
        <f>CONCATENATE('3 pr-2'!D41)</f>
        <v>Varėnos miesto centrinės dalies modernizavimas ir pritaikymas visuomenės poreikiams (II etapas)</v>
      </c>
      <c r="E39" s="182" t="str">
        <f>CONCATENATE('3 pr-2'!E41)</f>
        <v>Varėnos rajono savivaldybės administracija</v>
      </c>
      <c r="F39" s="182" t="str">
        <f>CONCATENATE('3 pr-2'!F41)</f>
        <v>Lietuvos Respublikos vidaus reikalų ministerija</v>
      </c>
      <c r="G39" s="182" t="str">
        <f>CONCATENATE('3 pr-2'!G41)</f>
        <v>Varėnos r. sav.</v>
      </c>
      <c r="H39" s="182" t="str">
        <f>CONCATENATE('3 pr-2'!H41)</f>
        <v xml:space="preserve">07.1.1-CPVA-R-905 </v>
      </c>
      <c r="I39" s="182" t="str">
        <f>CONCATENATE('3 pr-2'!I41)</f>
        <v>R</v>
      </c>
      <c r="J39" s="182" t="str">
        <f>CONCATENATE('3 pr-2'!J41)</f>
        <v>ITI</v>
      </c>
      <c r="K39" s="1435">
        <f>SUM('3 pr-2'!L41)</f>
        <v>1004000.8999999999</v>
      </c>
      <c r="L39" s="1426">
        <f t="shared" si="20"/>
        <v>670916.98</v>
      </c>
      <c r="M39" s="1298">
        <v>136852.22999999998</v>
      </c>
      <c r="N39" s="1298">
        <f t="shared" ref="N39:N55" si="28">SUM(L39-M39)</f>
        <v>534064.75</v>
      </c>
      <c r="O39" s="1427">
        <f t="shared" si="6"/>
        <v>333083.91999999993</v>
      </c>
      <c r="P39" s="1435">
        <f>SUM('3 pr-2'!O41)</f>
        <v>83426</v>
      </c>
      <c r="Q39" s="1426">
        <f>SUMIF('mokėjimų ataskaita'!$I$13:$I$600,C39,'mokėjimų ataskaita'!$AU$13:$AU$600)/2</f>
        <v>29605.880000000005</v>
      </c>
      <c r="R39" s="1298">
        <v>6513.91</v>
      </c>
      <c r="S39" s="1298">
        <f t="shared" si="21"/>
        <v>23091.970000000005</v>
      </c>
      <c r="T39" s="1432">
        <f t="shared" si="22"/>
        <v>53820.119999999995</v>
      </c>
      <c r="U39" s="1435">
        <f>SUM('3 pr-2'!R41)</f>
        <v>74641.210000000006</v>
      </c>
      <c r="V39" s="1426">
        <f>SUMIF('mokėjimų ataskaita'!$I$13:$I$600,C39,'mokėjimų ataskaita'!$AL$13:$AL$600)/2</f>
        <v>51998.2</v>
      </c>
      <c r="W39" s="1298">
        <v>10567.98</v>
      </c>
      <c r="X39" s="1298">
        <f t="shared" si="23"/>
        <v>41430.22</v>
      </c>
      <c r="Y39" s="1432">
        <f t="shared" si="24"/>
        <v>22643.010000000009</v>
      </c>
      <c r="Z39" s="1435">
        <f>SUM('3 pr-2'!U41)</f>
        <v>0</v>
      </c>
      <c r="AA39" s="1296">
        <f>SUMIF('mokėjimų ataskaita'!$I$13:$I$600,C39,'mokėjimų ataskaita'!$AW$13:$AW$600)/2</f>
        <v>0</v>
      </c>
      <c r="AB39" s="1298"/>
      <c r="AC39" s="1298"/>
      <c r="AD39" s="1432">
        <f t="shared" si="25"/>
        <v>0</v>
      </c>
      <c r="AE39" s="1435">
        <f>SUM('3 pr-2'!X41)</f>
        <v>0</v>
      </c>
      <c r="AF39" s="1296">
        <f>SUMIF('mokėjimų ataskaita'!$I$13:$I$600,C39,'mokėjimų ataskaita'!$AV$13:$AV$600)/2+SUMIF('mokėjimų ataskaita'!$I$13:$I$600,C39,'mokėjimų ataskaita'!$AT$13:$AT$600)/2</f>
        <v>0</v>
      </c>
      <c r="AG39" s="1298"/>
      <c r="AH39" s="1298"/>
      <c r="AI39" s="1432">
        <f t="shared" si="26"/>
        <v>0</v>
      </c>
      <c r="AJ39" s="1435">
        <f>SUM('3 pr-2'!AA41)</f>
        <v>845933.69</v>
      </c>
      <c r="AK39" s="1426">
        <f>SUMIF('mokėjimų ataskaita'!$I$13:$I$600,C39,'mokėjimų ataskaita'!$AK$13:$AK$600)/2</f>
        <v>589312.9</v>
      </c>
      <c r="AL39" s="1298">
        <v>119770.34</v>
      </c>
      <c r="AM39" s="1298">
        <f t="shared" si="27"/>
        <v>469542.56000000006</v>
      </c>
      <c r="AN39" s="1454">
        <f>IF(AJ39&gt;0,AJ39-AK39,0)</f>
        <v>256620.78999999992</v>
      </c>
      <c r="AO39" s="1296">
        <f>SUM('3 pr-2'!AB41)</f>
        <v>0</v>
      </c>
      <c r="AP39" s="1426">
        <v>0</v>
      </c>
    </row>
    <row r="40" spans="1:44" ht="48.75" x14ac:dyDescent="0.25">
      <c r="A40" s="644" t="str">
        <f>CONCATENATE('3 pr-2'!A42)</f>
        <v>1.1.1.3.3</v>
      </c>
      <c r="B40" s="657" t="str">
        <f>CONCATENATE('3 pr-2'!B42)</f>
        <v>R01-9905-292800-1133</v>
      </c>
      <c r="C40" s="653" t="str">
        <f>CONCATENATE('ketv. 6 '!C41)</f>
        <v>07.1.1-CPVA-R-905-11-0004</v>
      </c>
      <c r="D40" s="182" t="str">
        <f>CONCATENATE('3 pr-2'!D42)</f>
        <v xml:space="preserve">Varėnos miesto Dainų slėnio infrastruktūros atnaujinimas ir pritaikymas visuomenės poreikiams </v>
      </c>
      <c r="E40" s="182" t="str">
        <f>CONCATENATE('3 pr-2'!E42)</f>
        <v>Varėnos rajono savivaldybės administracija</v>
      </c>
      <c r="F40" s="182" t="str">
        <f>CONCATENATE('3 pr-2'!F42)</f>
        <v>Lietuvos Respublikos vidaus reikalų ministerija</v>
      </c>
      <c r="G40" s="182" t="str">
        <f>CONCATENATE('3 pr-2'!G42)</f>
        <v>Varėnos r. sav.</v>
      </c>
      <c r="H40" s="182" t="str">
        <f>CONCATENATE('3 pr-2'!H42)</f>
        <v xml:space="preserve">07.1.1-CPVA-R-905 </v>
      </c>
      <c r="I40" s="182" t="str">
        <f>CONCATENATE('3 pr-2'!I42)</f>
        <v>R</v>
      </c>
      <c r="J40" s="182" t="str">
        <f>CONCATENATE('3 pr-2'!J42)</f>
        <v>ITI</v>
      </c>
      <c r="K40" s="1435">
        <f>SUM('3 pr-2'!L42)</f>
        <v>630000</v>
      </c>
      <c r="L40" s="1296">
        <f t="shared" si="20"/>
        <v>0</v>
      </c>
      <c r="M40" s="1298">
        <v>0</v>
      </c>
      <c r="N40" s="1298">
        <f t="shared" si="28"/>
        <v>0</v>
      </c>
      <c r="O40" s="1427">
        <f t="shared" ref="O40:O42" si="29">SUM(K40-L40)</f>
        <v>630000</v>
      </c>
      <c r="P40" s="1435">
        <f>SUM('3 pr-2'!O42)</f>
        <v>47250</v>
      </c>
      <c r="Q40" s="1296">
        <f>SUMIF('mokėjimų ataskaita'!$I$13:$I$600,C40,'mokėjimų ataskaita'!$AU$13:$AU$600)/2</f>
        <v>0</v>
      </c>
      <c r="R40" s="1298">
        <v>0</v>
      </c>
      <c r="S40" s="1298">
        <f t="shared" si="21"/>
        <v>0</v>
      </c>
      <c r="T40" s="1427">
        <f t="shared" si="22"/>
        <v>47250</v>
      </c>
      <c r="U40" s="1435">
        <f>SUM('3 pr-2'!R42)</f>
        <v>47250</v>
      </c>
      <c r="V40" s="1296">
        <f>SUMIF('mokėjimų ataskaita'!$I$13:$I$600,C40,'mokėjimų ataskaita'!$AL$13:$AL$600)/2</f>
        <v>0</v>
      </c>
      <c r="W40" s="1298">
        <v>0</v>
      </c>
      <c r="X40" s="1298">
        <f t="shared" si="23"/>
        <v>0</v>
      </c>
      <c r="Y40" s="1427">
        <f t="shared" si="24"/>
        <v>47250</v>
      </c>
      <c r="Z40" s="1435">
        <f>SUM('3 pr-2'!U42)</f>
        <v>0</v>
      </c>
      <c r="AA40" s="1296">
        <f>SUMIF('mokėjimų ataskaita'!$I$13:$I$600,C40,'mokėjimų ataskaita'!$AW$13:$AW$600)/2</f>
        <v>0</v>
      </c>
      <c r="AB40" s="1298"/>
      <c r="AC40" s="1298"/>
      <c r="AD40" s="1427">
        <f t="shared" si="25"/>
        <v>0</v>
      </c>
      <c r="AE40" s="1435">
        <f>SUM('3 pr-2'!X42)</f>
        <v>0</v>
      </c>
      <c r="AF40" s="1296">
        <f>SUMIF('mokėjimų ataskaita'!$I$13:$I$600,C40,'mokėjimų ataskaita'!$AV$13:$AV$600)/2+SUMIF('mokėjimų ataskaita'!$I$13:$I$600,C40,'mokėjimų ataskaita'!$AT$13:$AT$600)/2</f>
        <v>0</v>
      </c>
      <c r="AG40" s="1298"/>
      <c r="AH40" s="1298"/>
      <c r="AI40" s="1427">
        <f t="shared" si="26"/>
        <v>0</v>
      </c>
      <c r="AJ40" s="1435">
        <f>SUM('3 pr-2'!AA42)</f>
        <v>535500</v>
      </c>
      <c r="AK40" s="1296">
        <f>SUMIF('mokėjimų ataskaita'!$I$13:$I$600,C40,'mokėjimų ataskaita'!$AK$13:$AK$600)/2</f>
        <v>0</v>
      </c>
      <c r="AL40" s="1298">
        <v>0</v>
      </c>
      <c r="AM40" s="1298">
        <f t="shared" si="27"/>
        <v>0</v>
      </c>
      <c r="AN40" s="1454">
        <f>IF(AJ40&gt;0,AJ40-AK40,0)</f>
        <v>535500</v>
      </c>
      <c r="AO40" s="1296">
        <f>SUM('3 pr-2'!AB42)</f>
        <v>0</v>
      </c>
      <c r="AP40" s="1426">
        <v>0</v>
      </c>
    </row>
    <row r="41" spans="1:44" ht="36.75" x14ac:dyDescent="0.25">
      <c r="A41" s="644" t="str">
        <f>CONCATENATE('3 pr-2'!A43)</f>
        <v>1.1.1.3.4</v>
      </c>
      <c r="B41" s="657" t="str">
        <f>CONCATENATE('3 pr-2'!B43)</f>
        <v>R01-9905-280000-1134</v>
      </c>
      <c r="C41" s="653" t="str">
        <f>CONCATENATE('ketv. 6 '!C42)</f>
        <v>07.1.1-CPVA-R-905-11-0003</v>
      </c>
      <c r="D41" s="182" t="str">
        <f>CONCATENATE('3 pr-2'!D43)</f>
        <v>Karloniškės ežero ir jo prieigų sutvarkymas ir pritaikymas aktyviam poilsiui</v>
      </c>
      <c r="E41" s="182" t="str">
        <f>CONCATENATE('3 pr-2'!E43)</f>
        <v>Varėnos rajono savivaldybės administracija</v>
      </c>
      <c r="F41" s="182" t="str">
        <f>CONCATENATE('3 pr-2'!F43)</f>
        <v>Lietuvos Respublikos vidaus reikalų ministerija</v>
      </c>
      <c r="G41" s="182" t="str">
        <f>CONCATENATE('3 pr-2'!G43)</f>
        <v>Varėnos r. sav.</v>
      </c>
      <c r="H41" s="182" t="str">
        <f>CONCATENATE('3 pr-2'!H43)</f>
        <v xml:space="preserve">07.1.1-CPVA-R-905 </v>
      </c>
      <c r="I41" s="182" t="str">
        <f>CONCATENATE('3 pr-2'!I43)</f>
        <v>R</v>
      </c>
      <c r="J41" s="182" t="str">
        <f>CONCATENATE('3 pr-2'!J43)</f>
        <v>ITI</v>
      </c>
      <c r="K41" s="1435">
        <f>SUM('3 pr-2'!L43)</f>
        <v>757246</v>
      </c>
      <c r="L41" s="1426">
        <f t="shared" si="20"/>
        <v>24195.850000000002</v>
      </c>
      <c r="M41" s="1298">
        <v>0</v>
      </c>
      <c r="N41" s="1298">
        <f t="shared" si="28"/>
        <v>24195.850000000002</v>
      </c>
      <c r="O41" s="1427">
        <f t="shared" si="29"/>
        <v>733050.15</v>
      </c>
      <c r="P41" s="1435">
        <f>SUM('3 pr-2'!O43)</f>
        <v>56794</v>
      </c>
      <c r="Q41" s="1426">
        <f>SUMIF('mokėjimų ataskaita'!$I$13:$I$600,C41,'mokėjimų ataskaita'!$AU$13:$AU$600)/2</f>
        <v>6339.0300000000007</v>
      </c>
      <c r="R41" s="1298">
        <v>0</v>
      </c>
      <c r="S41" s="1298">
        <f t="shared" si="21"/>
        <v>6339.0300000000007</v>
      </c>
      <c r="T41" s="1427">
        <f t="shared" si="22"/>
        <v>50454.97</v>
      </c>
      <c r="U41" s="1435">
        <f>SUM('3 pr-2'!R43)</f>
        <v>56793</v>
      </c>
      <c r="V41" s="1426">
        <f>SUMIF('mokėjimų ataskaita'!$I$13:$I$600,C41,'mokėjimų ataskaita'!$AL$13:$AL$600)/2</f>
        <v>1447.85</v>
      </c>
      <c r="W41" s="1298">
        <v>0</v>
      </c>
      <c r="X41" s="1298">
        <f t="shared" si="23"/>
        <v>1447.85</v>
      </c>
      <c r="Y41" s="1427">
        <f t="shared" si="24"/>
        <v>55345.15</v>
      </c>
      <c r="Z41" s="1435">
        <f>SUM('3 pr-2'!U43)</f>
        <v>0</v>
      </c>
      <c r="AA41" s="1296">
        <f>SUMIF('mokėjimų ataskaita'!$I$13:$I$600,C41,'mokėjimų ataskaita'!$AW$13:$AW$600)/2</f>
        <v>0</v>
      </c>
      <c r="AB41" s="1298"/>
      <c r="AC41" s="1298"/>
      <c r="AD41" s="1427">
        <f t="shared" si="25"/>
        <v>0</v>
      </c>
      <c r="AE41" s="1435">
        <f>SUM('3 pr-2'!X43)</f>
        <v>0</v>
      </c>
      <c r="AF41" s="1296">
        <f>SUMIF('mokėjimų ataskaita'!$I$13:$I$600,C41,'mokėjimų ataskaita'!$AV$13:$AV$600)/2+SUMIF('mokėjimų ataskaita'!$I$13:$I$600,C41,'mokėjimų ataskaita'!$AT$13:$AT$600)/2</f>
        <v>0</v>
      </c>
      <c r="AG41" s="1298"/>
      <c r="AH41" s="1298"/>
      <c r="AI41" s="1427">
        <f t="shared" si="26"/>
        <v>0</v>
      </c>
      <c r="AJ41" s="1435">
        <f>SUM('3 pr-2'!AA43)</f>
        <v>643659</v>
      </c>
      <c r="AK41" s="1426">
        <f>SUMIF('mokėjimų ataskaita'!$I$13:$I$600,C41,'mokėjimų ataskaita'!$AK$13:$AK$600)/2</f>
        <v>16408.97</v>
      </c>
      <c r="AL41" s="1298">
        <v>0</v>
      </c>
      <c r="AM41" s="1298">
        <f t="shared" si="27"/>
        <v>16408.97</v>
      </c>
      <c r="AN41" s="1454">
        <f>IF(AJ41&gt;0,AJ41-AK41,0)</f>
        <v>627250.03</v>
      </c>
      <c r="AO41" s="1296">
        <f>SUM('3 pr-2'!AB43)</f>
        <v>0</v>
      </c>
      <c r="AP41" s="1426">
        <v>0</v>
      </c>
    </row>
    <row r="42" spans="1:44" ht="36.75" x14ac:dyDescent="0.25">
      <c r="A42" s="644" t="str">
        <f>CONCATENATE('3 pr-2'!A44)</f>
        <v>1.1.1.3.5</v>
      </c>
      <c r="B42" s="657" t="str">
        <f>CONCATENATE('3 pr-2'!B44)</f>
        <v>R01-9905-362900-1135</v>
      </c>
      <c r="C42" s="653" t="str">
        <f>CONCATENATE('ketv. 6 '!C43)</f>
        <v>-</v>
      </c>
      <c r="D42" s="182" t="str">
        <f>CONCATENATE('3 pr-2'!D44)</f>
        <v xml:space="preserve">Nenaudojamų teritorijų Varėnos mieste sutvarkymas ir pritaikymas verslui </v>
      </c>
      <c r="E42" s="182" t="str">
        <f>CONCATENATE('3 pr-2'!E44)</f>
        <v>Varėnos rajono savivaldybės administracija</v>
      </c>
      <c r="F42" s="182" t="str">
        <f>CONCATENATE('3 pr-2'!F44)</f>
        <v>Lietuvos Respublikos vidaus reikalų ministerija</v>
      </c>
      <c r="G42" s="182" t="str">
        <f>CONCATENATE('3 pr-2'!G44)</f>
        <v>Varėnos r. sav.</v>
      </c>
      <c r="H42" s="182" t="str">
        <f>CONCATENATE('3 pr-2'!H44)</f>
        <v xml:space="preserve">07.1.1-CPVA-R-905 </v>
      </c>
      <c r="I42" s="182" t="str">
        <f>CONCATENATE('3 pr-2'!I44)</f>
        <v>R</v>
      </c>
      <c r="J42" s="182" t="str">
        <f>CONCATENATE('3 pr-2'!J44)</f>
        <v>ITI</v>
      </c>
      <c r="K42" s="1435">
        <f>SUM('3 pr-2'!L44)</f>
        <v>150000</v>
      </c>
      <c r="L42" s="1296">
        <f t="shared" si="20"/>
        <v>0</v>
      </c>
      <c r="M42" s="1298">
        <v>0</v>
      </c>
      <c r="N42" s="1298">
        <f t="shared" si="28"/>
        <v>0</v>
      </c>
      <c r="O42" s="1427">
        <f t="shared" si="29"/>
        <v>150000</v>
      </c>
      <c r="P42" s="1435">
        <f>SUM('3 pr-2'!O44)</f>
        <v>11250</v>
      </c>
      <c r="Q42" s="1296">
        <f>SUMIF('mokėjimų ataskaita'!$I$13:$I$600,C42,'mokėjimų ataskaita'!$AU$13:$AU$600)/2</f>
        <v>0</v>
      </c>
      <c r="R42" s="1298">
        <v>0</v>
      </c>
      <c r="S42" s="1298">
        <f t="shared" si="21"/>
        <v>0</v>
      </c>
      <c r="T42" s="1427">
        <f t="shared" si="22"/>
        <v>11250</v>
      </c>
      <c r="U42" s="1435">
        <f>SUM('3 pr-2'!R44)</f>
        <v>11250</v>
      </c>
      <c r="V42" s="1296">
        <f>SUMIF('mokėjimų ataskaita'!$I$13:$I$600,C42,'mokėjimų ataskaita'!$AL$13:$AL$600)/2</f>
        <v>0</v>
      </c>
      <c r="W42" s="1298">
        <v>0</v>
      </c>
      <c r="X42" s="1298">
        <f t="shared" si="23"/>
        <v>0</v>
      </c>
      <c r="Y42" s="1427">
        <f t="shared" si="24"/>
        <v>11250</v>
      </c>
      <c r="Z42" s="1435">
        <f>SUM('3 pr-2'!U44)</f>
        <v>0</v>
      </c>
      <c r="AA42" s="1296">
        <f>SUMIF('mokėjimų ataskaita'!$I$13:$I$600,C42,'mokėjimų ataskaita'!$AW$13:$AW$600)/2</f>
        <v>0</v>
      </c>
      <c r="AB42" s="1298"/>
      <c r="AC42" s="1298"/>
      <c r="AD42" s="1427">
        <f t="shared" si="25"/>
        <v>0</v>
      </c>
      <c r="AE42" s="1435">
        <f>SUM('3 pr-2'!X44)</f>
        <v>0</v>
      </c>
      <c r="AF42" s="1296">
        <f>SUMIF('mokėjimų ataskaita'!$I$13:$I$600,C42,'mokėjimų ataskaita'!$AV$13:$AV$600)/2+SUMIF('mokėjimų ataskaita'!$I$13:$I$600,C42,'mokėjimų ataskaita'!$AT$13:$AT$600)/2</f>
        <v>0</v>
      </c>
      <c r="AG42" s="1298"/>
      <c r="AH42" s="1298"/>
      <c r="AI42" s="1427">
        <f t="shared" si="26"/>
        <v>0</v>
      </c>
      <c r="AJ42" s="1435">
        <f>SUM('3 pr-2'!AA44)</f>
        <v>127500</v>
      </c>
      <c r="AK42" s="1296">
        <f>SUMIF('mokėjimų ataskaita'!$I$13:$I$600,C42,'mokėjimų ataskaita'!$AK$13:$AK$600)/2</f>
        <v>0</v>
      </c>
      <c r="AL42" s="1298">
        <v>0</v>
      </c>
      <c r="AM42" s="1298">
        <f t="shared" si="27"/>
        <v>0</v>
      </c>
      <c r="AN42" s="1454">
        <f>IF(AJ42&gt;0,AJ42-AK42,0)</f>
        <v>127500</v>
      </c>
      <c r="AO42" s="1296">
        <f>SUM('3 pr-2'!AB44)</f>
        <v>0</v>
      </c>
      <c r="AP42" s="1432">
        <v>0</v>
      </c>
    </row>
    <row r="43" spans="1:44" ht="61.5" thickBot="1" x14ac:dyDescent="0.3">
      <c r="A43" s="644" t="str">
        <f>CONCATENATE('3 pr-2'!A45)</f>
        <v>1.1.1.3.6</v>
      </c>
      <c r="B43" s="657" t="str">
        <f>CONCATENATE('3 pr-2'!B45)</f>
        <v>R01-9905-290000-1136</v>
      </c>
      <c r="C43" s="653" t="str">
        <f>CONCATENATE('ketv. 6 '!C44)</f>
        <v>-</v>
      </c>
      <c r="D43" s="182" t="str">
        <f>CONCATENATE('3 pr-2'!D45)</f>
        <v xml:space="preserve">Teritorijų prie daugiabučių gyvenamųjų pastatų Varėnos mieste sutvarkymas ir pritaikymas visuomenės poreikiams  </v>
      </c>
      <c r="E43" s="182" t="str">
        <f>CONCATENATE('3 pr-2'!E45)</f>
        <v>Varėnos rajono savivaldybės administracija</v>
      </c>
      <c r="F43" s="182" t="str">
        <f>CONCATENATE('3 pr-2'!F45)</f>
        <v>Lietuvos Respublikos vidaus reikalų ministerija</v>
      </c>
      <c r="G43" s="182" t="str">
        <f>CONCATENATE('3 pr-2'!G45)</f>
        <v>Varėnos r. sav.</v>
      </c>
      <c r="H43" s="182" t="str">
        <f>CONCATENATE('3 pr-2'!H45)</f>
        <v xml:space="preserve">07.1.1-CPVA-R-905 </v>
      </c>
      <c r="I43" s="182" t="str">
        <f>CONCATENATE('3 pr-2'!I45)</f>
        <v>R</v>
      </c>
      <c r="J43" s="182" t="str">
        <f>CONCATENATE('3 pr-2'!J45)</f>
        <v>ITI</v>
      </c>
      <c r="K43" s="1435">
        <f>SUM('3 pr-2'!L45)</f>
        <v>300373</v>
      </c>
      <c r="L43" s="1296">
        <f t="shared" si="20"/>
        <v>0</v>
      </c>
      <c r="M43" s="1298">
        <v>0</v>
      </c>
      <c r="N43" s="1298">
        <f t="shared" si="28"/>
        <v>0</v>
      </c>
      <c r="O43" s="1427">
        <f t="shared" ref="O43" si="30">SUM(K43-L43)</f>
        <v>300373</v>
      </c>
      <c r="P43" s="1435">
        <f>SUM('3 pr-2'!O45)</f>
        <v>22528</v>
      </c>
      <c r="Q43" s="1296">
        <f>SUMIF('mokėjimų ataskaita'!$I$13:$I$600,C43,'mokėjimų ataskaita'!$AU$13:$AU$600)/2</f>
        <v>0</v>
      </c>
      <c r="R43" s="1298">
        <v>0</v>
      </c>
      <c r="S43" s="1298">
        <f t="shared" si="21"/>
        <v>0</v>
      </c>
      <c r="T43" s="1427">
        <f t="shared" si="22"/>
        <v>22528</v>
      </c>
      <c r="U43" s="1435">
        <f>SUM('3 pr-2'!R45)</f>
        <v>22528</v>
      </c>
      <c r="V43" s="1296">
        <f>SUMIF('mokėjimų ataskaita'!$I$13:$I$600,C43,'mokėjimų ataskaita'!$AL$13:$AL$600)/2</f>
        <v>0</v>
      </c>
      <c r="W43" s="1298">
        <v>0</v>
      </c>
      <c r="X43" s="1298">
        <f t="shared" si="23"/>
        <v>0</v>
      </c>
      <c r="Y43" s="1427">
        <f t="shared" ref="Y43" si="31">SUM(U43-V43)</f>
        <v>22528</v>
      </c>
      <c r="Z43" s="1435">
        <f>SUM('3 pr-2'!U45)</f>
        <v>0</v>
      </c>
      <c r="AA43" s="1296">
        <f>SUMIF('mokėjimų ataskaita'!$I$13:$I$600,C43,'mokėjimų ataskaita'!$AW$13:$AW$600)/2</f>
        <v>0</v>
      </c>
      <c r="AB43" s="1298"/>
      <c r="AC43" s="1298"/>
      <c r="AD43" s="1427">
        <f t="shared" ref="AD43" si="32">SUM(Z43-AA43)</f>
        <v>0</v>
      </c>
      <c r="AE43" s="1435">
        <f>SUM('3 pr-2'!X45)</f>
        <v>0</v>
      </c>
      <c r="AF43" s="1296">
        <f>SUMIF('mokėjimų ataskaita'!$I$13:$I$600,C43,'mokėjimų ataskaita'!$AV$13:$AV$600)/2+SUMIF('mokėjimų ataskaita'!$I$13:$I$600,C43,'mokėjimų ataskaita'!$AT$13:$AT$600)/2</f>
        <v>0</v>
      </c>
      <c r="AG43" s="1298"/>
      <c r="AH43" s="1298"/>
      <c r="AI43" s="1427">
        <f t="shared" ref="AI43" si="33">SUM(AE43-AF43)</f>
        <v>0</v>
      </c>
      <c r="AJ43" s="1435">
        <f>SUM('3 pr-2'!AA45)</f>
        <v>255317</v>
      </c>
      <c r="AK43" s="1296">
        <f>SUMIF('mokėjimų ataskaita'!$I$13:$I$600,C43,'mokėjimų ataskaita'!$AK$13:$AK$600)/2</f>
        <v>0</v>
      </c>
      <c r="AL43" s="1298">
        <v>0</v>
      </c>
      <c r="AM43" s="1298">
        <f t="shared" si="27"/>
        <v>0</v>
      </c>
      <c r="AN43" s="1489"/>
      <c r="AO43" s="1296">
        <f>SUM('3 pr-2'!AB45)</f>
        <v>0</v>
      </c>
      <c r="AP43" s="1432">
        <v>0</v>
      </c>
    </row>
    <row r="44" spans="1:44" ht="36.75" customHeight="1" thickBot="1" x14ac:dyDescent="0.3">
      <c r="A44" s="326" t="str">
        <f>CONCATENATE('3 pr-2'!A46)</f>
        <v>1.1.1.4</v>
      </c>
      <c r="B44" s="2025" t="str">
        <f>CONCATENATE('3 pr-2'!B46)</f>
        <v xml:space="preserve">Priemonė:
Alytaus, Druskininkų ir Lazdijų miestų kompleksinė plėtra
</v>
      </c>
      <c r="C44" s="2026"/>
      <c r="D44" s="2026"/>
      <c r="E44" s="2026"/>
      <c r="F44" s="2026"/>
      <c r="G44" s="2026"/>
      <c r="H44" s="2026"/>
      <c r="I44" s="2026"/>
      <c r="J44" s="2027"/>
      <c r="K44" s="1293">
        <f t="shared" ref="K44:AJ44" si="34">SUM(K45:K47)</f>
        <v>2112023.5699999998</v>
      </c>
      <c r="L44" s="1293">
        <f t="shared" si="34"/>
        <v>1720271.56</v>
      </c>
      <c r="M44" s="1293">
        <f t="shared" si="34"/>
        <v>1263963.0799999998</v>
      </c>
      <c r="N44" s="1293">
        <f t="shared" si="34"/>
        <v>456308.48000000021</v>
      </c>
      <c r="O44" s="1293">
        <f t="shared" si="34"/>
        <v>391752.00999999989</v>
      </c>
      <c r="P44" s="1293">
        <f t="shared" si="34"/>
        <v>289057.98</v>
      </c>
      <c r="Q44" s="1293">
        <f t="shared" si="34"/>
        <v>92247.63</v>
      </c>
      <c r="R44" s="1293">
        <f t="shared" si="34"/>
        <v>68638.62000000001</v>
      </c>
      <c r="S44" s="1293">
        <f t="shared" si="34"/>
        <v>23609.009999999987</v>
      </c>
      <c r="T44" s="1293">
        <f t="shared" si="34"/>
        <v>196810.35</v>
      </c>
      <c r="U44" s="1293">
        <f t="shared" si="34"/>
        <v>147808.01999999999</v>
      </c>
      <c r="V44" s="1293">
        <f t="shared" si="34"/>
        <v>132001.93</v>
      </c>
      <c r="W44" s="1293">
        <f t="shared" si="34"/>
        <v>96918.01</v>
      </c>
      <c r="X44" s="1293">
        <f t="shared" si="34"/>
        <v>35083.919999999998</v>
      </c>
      <c r="Y44" s="1293">
        <f t="shared" si="34"/>
        <v>15806.089999999998</v>
      </c>
      <c r="Z44" s="1293">
        <f t="shared" si="34"/>
        <v>0</v>
      </c>
      <c r="AA44" s="1293">
        <f t="shared" si="34"/>
        <v>0</v>
      </c>
      <c r="AB44" s="1293">
        <f t="shared" si="34"/>
        <v>0</v>
      </c>
      <c r="AC44" s="1293">
        <f t="shared" si="34"/>
        <v>0</v>
      </c>
      <c r="AD44" s="1293">
        <f t="shared" si="34"/>
        <v>0</v>
      </c>
      <c r="AE44" s="1293">
        <f t="shared" si="34"/>
        <v>0</v>
      </c>
      <c r="AF44" s="1293">
        <f t="shared" si="34"/>
        <v>0</v>
      </c>
      <c r="AG44" s="1293">
        <f t="shared" si="34"/>
        <v>0</v>
      </c>
      <c r="AH44" s="1293">
        <f t="shared" si="34"/>
        <v>0</v>
      </c>
      <c r="AI44" s="1293">
        <f t="shared" si="34"/>
        <v>0</v>
      </c>
      <c r="AJ44" s="1293">
        <f t="shared" si="34"/>
        <v>1675157.5699999998</v>
      </c>
      <c r="AK44" s="1293">
        <f>SUM(AK45:AK47)</f>
        <v>1496022</v>
      </c>
      <c r="AL44" s="1293">
        <f t="shared" ref="AL44:AP44" si="35">SUM(AL45:AL47)</f>
        <v>1098406.45</v>
      </c>
      <c r="AM44" s="1293">
        <f t="shared" si="35"/>
        <v>397615.55</v>
      </c>
      <c r="AN44" s="1293">
        <f t="shared" si="35"/>
        <v>179135.57000000007</v>
      </c>
      <c r="AO44" s="1293">
        <f t="shared" si="35"/>
        <v>0</v>
      </c>
      <c r="AP44" s="1293">
        <f t="shared" si="35"/>
        <v>0</v>
      </c>
      <c r="AQ44" s="256">
        <f>SUM(K44-'3 pr-2'!L46)</f>
        <v>0</v>
      </c>
    </row>
    <row r="45" spans="1:44" ht="48.75" x14ac:dyDescent="0.25">
      <c r="A45" s="644" t="str">
        <f>CONCATENATE('3 pr-2'!A47)</f>
        <v>1.1.1.4.1</v>
      </c>
      <c r="B45" s="657" t="str">
        <f>CONCATENATE('3 pr-2'!B47)</f>
        <v>R01-9902-310000-1141</v>
      </c>
      <c r="C45" s="653" t="str">
        <f>CONCATENATE('ketv. 6 '!C46)</f>
        <v>07.1.1-CPVA-V-902-01-0008</v>
      </c>
      <c r="D45" s="182" t="str">
        <f>CONCATENATE('3 pr-2'!D47)</f>
        <v>Buvusios pramoninės teritorijos Pramonės g. 1 Alytuje, pritaikymas verslo vystymui ir plėtrai.</v>
      </c>
      <c r="E45" s="182" t="str">
        <f>CONCATENATE('3 pr-2'!E47)</f>
        <v>Alytaus miesto savivaldybės administracija</v>
      </c>
      <c r="F45" s="182" t="str">
        <f>CONCATENATE('3 pr-2'!F47)</f>
        <v>Lietuvos Respublikos vidaus reikalų ministerija</v>
      </c>
      <c r="G45" s="182" t="str">
        <f>CONCATENATE('3 pr-2'!G47)</f>
        <v>Alytaus m. sav.</v>
      </c>
      <c r="H45" s="182" t="str">
        <f>CONCATENATE('3 pr-2'!H47)</f>
        <v>07.1.1-CPVA-V-902</v>
      </c>
      <c r="I45" s="182" t="str">
        <f>CONCATENATE('3 pr-2'!I47)</f>
        <v>V</v>
      </c>
      <c r="J45" s="182" t="str">
        <f>CONCATENATE('3 pr-2'!J47)</f>
        <v>ITI</v>
      </c>
      <c r="K45" s="1435">
        <f>SUM('3 pr-2'!L47)</f>
        <v>1293732.5699999998</v>
      </c>
      <c r="L45" s="1426">
        <f t="shared" ref="L45:L47" si="36">SUM(Q45+V45+AA45+AF45+AK45)</f>
        <v>1189606.18</v>
      </c>
      <c r="M45" s="1298">
        <v>1252365.0099999998</v>
      </c>
      <c r="N45" s="1298">
        <f t="shared" si="28"/>
        <v>-62758.829999999842</v>
      </c>
      <c r="O45" s="1427">
        <f t="shared" si="6"/>
        <v>104126.3899999999</v>
      </c>
      <c r="P45" s="1435">
        <f>SUM('3 pr-2'!O47)</f>
        <v>97029.95</v>
      </c>
      <c r="Q45" s="1426">
        <f>SUMIF('mokėjimų ataskaita'!$I$13:$I$600,C45,'mokėjimų ataskaita'!$AU$13:$AU$600)/2</f>
        <v>0</v>
      </c>
      <c r="R45" s="1298">
        <v>67751.570000000007</v>
      </c>
      <c r="S45" s="1298">
        <f t="shared" ref="S45:S47" si="37">SUM(Q45-R45)</f>
        <v>-67751.570000000007</v>
      </c>
      <c r="T45" s="1427">
        <f>SUM(P45-Q45)</f>
        <v>97029.95</v>
      </c>
      <c r="U45" s="1435">
        <f>SUM('3 pr-2'!R47)</f>
        <v>97029.94</v>
      </c>
      <c r="V45" s="1426">
        <v>96454.55</v>
      </c>
      <c r="W45" s="1298">
        <v>96049.55</v>
      </c>
      <c r="X45" s="1298">
        <f t="shared" ref="X45:X47" si="38">SUM(V45-W45)</f>
        <v>405</v>
      </c>
      <c r="Y45" s="1427">
        <f t="shared" si="24"/>
        <v>575.38999999999942</v>
      </c>
      <c r="Z45" s="1435">
        <f>SUM('3 pr-2'!U47)</f>
        <v>0</v>
      </c>
      <c r="AA45" s="1296">
        <f>SUMIF('mokėjimų ataskaita'!$I$13:$I$600,C45,'mokėjimų ataskaita'!$AW$13:$AW$600)/2</f>
        <v>0</v>
      </c>
      <c r="AB45" s="1298"/>
      <c r="AC45" s="1298"/>
      <c r="AD45" s="1432">
        <f t="shared" si="25"/>
        <v>0</v>
      </c>
      <c r="AE45" s="1435">
        <f>SUM('3 pr-2'!X47)</f>
        <v>0</v>
      </c>
      <c r="AF45" s="1296">
        <f>SUMIF('mokėjimų ataskaita'!$I$13:$I$600,C45,'mokėjimų ataskaita'!$AV$13:$AV$600)/2+SUMIF('mokėjimų ataskaita'!$I$13:$I$600,C45,'mokėjimų ataskaita'!$AT$13:$AT$600)/2</f>
        <v>0</v>
      </c>
      <c r="AG45" s="1298"/>
      <c r="AH45" s="1298"/>
      <c r="AI45" s="1432">
        <f t="shared" si="26"/>
        <v>0</v>
      </c>
      <c r="AJ45" s="1435">
        <f>SUM('3 pr-2'!AA47)</f>
        <v>1099672.68</v>
      </c>
      <c r="AK45" s="1426">
        <v>1093151.6299999999</v>
      </c>
      <c r="AL45" s="1298">
        <v>1088563.8899999999</v>
      </c>
      <c r="AM45" s="1298">
        <f t="shared" ref="AM45:AM47" si="39">SUM(AK45-AL45)</f>
        <v>4587.7399999999907</v>
      </c>
      <c r="AN45" s="1454">
        <f>IF(AJ45&gt;0,AJ45-AK45,0)</f>
        <v>6521.0500000000466</v>
      </c>
      <c r="AO45" s="1296">
        <f>SUM('3 pr-2'!AB47)</f>
        <v>0</v>
      </c>
      <c r="AP45" s="1426">
        <v>0</v>
      </c>
    </row>
    <row r="46" spans="1:44" ht="36.75" x14ac:dyDescent="0.25">
      <c r="A46" s="644" t="str">
        <f>CONCATENATE('3 pr-2'!A48)</f>
        <v>1.1.1.4.2</v>
      </c>
      <c r="B46" s="657" t="str">
        <f>CONCATENATE('3 pr-2'!B48)</f>
        <v>R01-9903-290000-1142</v>
      </c>
      <c r="C46" s="653" t="str">
        <f>CONCATENATE('ketv. 6 '!C47)</f>
        <v>07.1.1-CPVA-R-903-11-0001</v>
      </c>
      <c r="D46" s="182" t="str">
        <f>CONCATENATE('3 pr-2'!D48)</f>
        <v>Amatų centro „Menų kalvė“ Druskininkuose įkūrimas</v>
      </c>
      <c r="E46" s="182" t="str">
        <f>CONCATENATE('3 pr-2'!E48)</f>
        <v xml:space="preserve">Druskininkų savivaldybės administracija  </v>
      </c>
      <c r="F46" s="182" t="str">
        <f>CONCATENATE('3 pr-2'!F48)</f>
        <v>Lietuvos Respublikos vidaus reikalų ministerija</v>
      </c>
      <c r="G46" s="182" t="str">
        <f>CONCATENATE('3 pr-2'!G48)</f>
        <v>Druskininkų sav.</v>
      </c>
      <c r="H46" s="182" t="str">
        <f>CONCATENATE('3 pr-2'!H48)</f>
        <v>07.1.1-CPVA-R-903</v>
      </c>
      <c r="I46" s="182" t="str">
        <f>CONCATENATE('3 pr-2'!I48)</f>
        <v>R</v>
      </c>
      <c r="J46" s="182" t="str">
        <f>CONCATENATE('3 pr-2'!J48)</f>
        <v>ITI</v>
      </c>
      <c r="K46" s="1435">
        <f>SUM('3 pr-2'!L48)</f>
        <v>474784</v>
      </c>
      <c r="L46" s="1426">
        <f t="shared" si="36"/>
        <v>334346.58</v>
      </c>
      <c r="M46" s="1298">
        <v>62.480000000000004</v>
      </c>
      <c r="N46" s="1298">
        <f t="shared" si="28"/>
        <v>334284.10000000003</v>
      </c>
      <c r="O46" s="1427">
        <f t="shared" si="6"/>
        <v>140437.41999999998</v>
      </c>
      <c r="P46" s="1435">
        <f>SUM('3 pr-2'!O48)</f>
        <v>166265</v>
      </c>
      <c r="Q46" s="1426">
        <f>SUMIF('mokėjimų ataskaita'!$I$13:$I$600,C46,'mokėjimų ataskaita'!$AU$13:$AU$600)/2</f>
        <v>84672.95</v>
      </c>
      <c r="R46" s="1298">
        <v>21.88</v>
      </c>
      <c r="S46" s="1298">
        <f t="shared" si="37"/>
        <v>84651.069999999992</v>
      </c>
      <c r="T46" s="1427">
        <f>SUM(P46-Q46)</f>
        <v>81592.05</v>
      </c>
      <c r="U46" s="1435">
        <f>SUM('3 pr-2'!R48)</f>
        <v>25015.06</v>
      </c>
      <c r="V46" s="1426">
        <f>SUMIF('mokėjimų ataskaita'!$I$13:$I$600,C46,'mokėjimų ataskaita'!$AL$13:$AL$600)/2</f>
        <v>20243.810000000001</v>
      </c>
      <c r="W46" s="1298">
        <v>3.29</v>
      </c>
      <c r="X46" s="1298">
        <f t="shared" si="38"/>
        <v>20240.52</v>
      </c>
      <c r="Y46" s="1427">
        <f t="shared" si="24"/>
        <v>4771.25</v>
      </c>
      <c r="Z46" s="1435">
        <f>SUM('3 pr-2'!U48)</f>
        <v>0</v>
      </c>
      <c r="AA46" s="1296">
        <f>SUMIF('mokėjimų ataskaita'!$I$13:$I$600,C46,'mokėjimų ataskaita'!$AW$13:$AW$600)/2</f>
        <v>0</v>
      </c>
      <c r="AB46" s="1298"/>
      <c r="AC46" s="1298"/>
      <c r="AD46" s="1432">
        <f t="shared" si="25"/>
        <v>0</v>
      </c>
      <c r="AE46" s="1435">
        <f>SUM('3 pr-2'!X48)</f>
        <v>0</v>
      </c>
      <c r="AF46" s="1296">
        <f>SUMIF('mokėjimų ataskaita'!$I$13:$I$600,C46,'mokėjimų ataskaita'!$AV$13:$AV$600)/2+SUMIF('mokėjimų ataskaita'!$I$13:$I$600,C46,'mokėjimų ataskaita'!$AT$13:$AT$600)/2</f>
        <v>0</v>
      </c>
      <c r="AG46" s="1298"/>
      <c r="AH46" s="1298"/>
      <c r="AI46" s="1432">
        <f t="shared" si="26"/>
        <v>0</v>
      </c>
      <c r="AJ46" s="1435">
        <f>SUM('3 pr-2'!AA48)</f>
        <v>283503.94</v>
      </c>
      <c r="AK46" s="1426">
        <f>SUMIF('mokėjimų ataskaita'!$I$13:$I$600,C46,'mokėjimų ataskaita'!$AK$13:$AK$600)/2</f>
        <v>229429.82</v>
      </c>
      <c r="AL46" s="1298">
        <v>37.31</v>
      </c>
      <c r="AM46" s="1298">
        <f t="shared" si="39"/>
        <v>229392.51</v>
      </c>
      <c r="AN46" s="1454">
        <f>IF(AJ46&gt;0,AJ46-AK46,0)</f>
        <v>54074.119999999995</v>
      </c>
      <c r="AO46" s="1296">
        <f>SUM('3 pr-2'!AB48)</f>
        <v>0</v>
      </c>
      <c r="AP46" s="1426">
        <v>0</v>
      </c>
      <c r="AR46" s="256"/>
    </row>
    <row r="47" spans="1:44" ht="37.5" thickBot="1" x14ac:dyDescent="0.3">
      <c r="A47" s="644" t="str">
        <f>CONCATENATE('3 pr-2'!A49)</f>
        <v>1.1.1.4.3</v>
      </c>
      <c r="B47" s="657" t="str">
        <f>CONCATENATE('3 pr-2'!B49)</f>
        <v>R01-9903-290000-1143</v>
      </c>
      <c r="C47" s="653" t="str">
        <f>CONCATENATE('ketv. 6 '!C48)</f>
        <v>07.1.1-CPVA-R-903-11-0002</v>
      </c>
      <c r="D47" s="182" t="str">
        <f>CONCATENATE('3 pr-2'!D49)</f>
        <v>Lazdijų miesto kompleksinė infrastruktūros plėtra, III etapas</v>
      </c>
      <c r="E47" s="182" t="str">
        <f>CONCATENATE('3 pr-2'!E49)</f>
        <v>Lazdijų rajono savivaldybės administracija</v>
      </c>
      <c r="F47" s="182" t="str">
        <f>CONCATENATE('3 pr-2'!F49)</f>
        <v>Lietuvos Respublikos vidaus reikalų ministerija</v>
      </c>
      <c r="G47" s="182" t="str">
        <f>CONCATENATE('3 pr-2'!G49)</f>
        <v>Lazdijų r. sav.</v>
      </c>
      <c r="H47" s="182" t="str">
        <f>CONCATENATE('3 pr-2'!H49)</f>
        <v>07.1.1-CPVA-R-903</v>
      </c>
      <c r="I47" s="182" t="str">
        <f>CONCATENATE('3 pr-2'!I49)</f>
        <v>R</v>
      </c>
      <c r="J47" s="182" t="str">
        <f>CONCATENATE('3 pr-2'!J49)</f>
        <v>ITI</v>
      </c>
      <c r="K47" s="1435">
        <f>SUM('3 pr-2'!L49)</f>
        <v>343507</v>
      </c>
      <c r="L47" s="1426">
        <f t="shared" si="36"/>
        <v>196318.8</v>
      </c>
      <c r="M47" s="1298">
        <v>11535.59</v>
      </c>
      <c r="N47" s="1298">
        <f t="shared" si="28"/>
        <v>184783.21</v>
      </c>
      <c r="O47" s="1427">
        <f t="shared" si="6"/>
        <v>147188.20000000001</v>
      </c>
      <c r="P47" s="1435">
        <f>SUM('3 pr-2'!O49)</f>
        <v>25763.03</v>
      </c>
      <c r="Q47" s="1426">
        <f>SUMIF('mokėjimų ataskaita'!$I$13:$I$600,C47,'mokėjimų ataskaita'!$AU$13:$AU$600)/2</f>
        <v>7574.68</v>
      </c>
      <c r="R47" s="1298">
        <v>865.17</v>
      </c>
      <c r="S47" s="1298">
        <f t="shared" si="37"/>
        <v>6709.51</v>
      </c>
      <c r="T47" s="1427">
        <f>SUM(P47-Q47)</f>
        <v>18188.349999999999</v>
      </c>
      <c r="U47" s="1435">
        <f>SUM('3 pr-2'!R49)</f>
        <v>25763.02</v>
      </c>
      <c r="V47" s="1426">
        <f>SUMIF('mokėjimų ataskaita'!$I$13:$I$600,C47,'mokėjimų ataskaita'!$AL$13:$AL$600)/2</f>
        <v>15303.570000000002</v>
      </c>
      <c r="W47" s="1298">
        <v>865.17</v>
      </c>
      <c r="X47" s="1298">
        <f t="shared" si="38"/>
        <v>14438.400000000001</v>
      </c>
      <c r="Y47" s="1427">
        <f t="shared" si="24"/>
        <v>10459.449999999999</v>
      </c>
      <c r="Z47" s="1435">
        <f>SUM('3 pr-2'!U49)</f>
        <v>0</v>
      </c>
      <c r="AA47" s="1296">
        <f>SUMIF('mokėjimų ataskaita'!$I$13:$I$600,C47,'mokėjimų ataskaita'!$AW$13:$AW$600)/2</f>
        <v>0</v>
      </c>
      <c r="AB47" s="1298"/>
      <c r="AC47" s="1298"/>
      <c r="AD47" s="1427">
        <f t="shared" si="25"/>
        <v>0</v>
      </c>
      <c r="AE47" s="1435">
        <f>SUM('3 pr-2'!X49)</f>
        <v>0</v>
      </c>
      <c r="AF47" s="1296">
        <f>SUMIF('mokėjimų ataskaita'!$I$13:$I$600,C47,'mokėjimų ataskaita'!$AV$13:$AV$600)/2+SUMIF('mokėjimų ataskaita'!$I$13:$I$600,C47,'mokėjimų ataskaita'!$AT$13:$AT$600)/2</f>
        <v>0</v>
      </c>
      <c r="AG47" s="1298"/>
      <c r="AH47" s="1298"/>
      <c r="AI47" s="1427">
        <f t="shared" si="26"/>
        <v>0</v>
      </c>
      <c r="AJ47" s="1435">
        <f>SUM('3 pr-2'!AA49)</f>
        <v>291980.95</v>
      </c>
      <c r="AK47" s="1426">
        <f>SUMIF('mokėjimų ataskaita'!$I$13:$I$600,C47,'mokėjimų ataskaita'!$AK$13:$AK$600)/2</f>
        <v>173440.55</v>
      </c>
      <c r="AL47" s="1298">
        <v>9805.25</v>
      </c>
      <c r="AM47" s="1298">
        <f t="shared" si="39"/>
        <v>163635.29999999999</v>
      </c>
      <c r="AN47" s="1454">
        <f>IF(AJ47&gt;0,AJ47-AK47,0)</f>
        <v>118540.40000000002</v>
      </c>
      <c r="AO47" s="1296">
        <f>SUM('3 pr-2'!AB49)</f>
        <v>0</v>
      </c>
      <c r="AP47" s="1426">
        <v>0</v>
      </c>
    </row>
    <row r="48" spans="1:44" ht="38.25" customHeight="1" thickBot="1" x14ac:dyDescent="0.3">
      <c r="A48" s="326" t="str">
        <f>CONCATENATE('3 pr-2'!A50)</f>
        <v>1.1.1.5</v>
      </c>
      <c r="B48" s="2025" t="str">
        <f>CONCATENATE('3 pr-2'!B50)</f>
        <v xml:space="preserve">Priemonė:
Geriamojo vandens tiekimo ir nuotekų tvarkymo sistemų renovavimas ir plėtra, įmonių valdymo tobulinimas </v>
      </c>
      <c r="C48" s="2026"/>
      <c r="D48" s="2026"/>
      <c r="E48" s="2026"/>
      <c r="F48" s="2026"/>
      <c r="G48" s="2026"/>
      <c r="H48" s="2026"/>
      <c r="I48" s="2026"/>
      <c r="J48" s="2027"/>
      <c r="K48" s="1293">
        <f t="shared" ref="K48:AJ48" si="40">SUM(K49:K53)</f>
        <v>16378428.970000001</v>
      </c>
      <c r="L48" s="1293">
        <f t="shared" si="40"/>
        <v>4721705.6100000003</v>
      </c>
      <c r="M48" s="1293">
        <f t="shared" si="40"/>
        <v>2565114.33</v>
      </c>
      <c r="N48" s="1293">
        <f t="shared" si="40"/>
        <v>2156591.2799999998</v>
      </c>
      <c r="O48" s="1293">
        <f t="shared" si="40"/>
        <v>11656723.359999999</v>
      </c>
      <c r="P48" s="1293">
        <f t="shared" si="40"/>
        <v>0</v>
      </c>
      <c r="Q48" s="1293">
        <f t="shared" si="40"/>
        <v>0</v>
      </c>
      <c r="R48" s="1293">
        <f t="shared" si="40"/>
        <v>0</v>
      </c>
      <c r="S48" s="1293">
        <f t="shared" si="40"/>
        <v>0</v>
      </c>
      <c r="T48" s="1293">
        <f t="shared" si="40"/>
        <v>0</v>
      </c>
      <c r="U48" s="1293">
        <f t="shared" si="40"/>
        <v>0</v>
      </c>
      <c r="V48" s="1293">
        <f t="shared" si="40"/>
        <v>0</v>
      </c>
      <c r="W48" s="1293">
        <f t="shared" si="40"/>
        <v>0</v>
      </c>
      <c r="X48" s="1293">
        <f t="shared" si="40"/>
        <v>0</v>
      </c>
      <c r="Y48" s="1293">
        <f t="shared" si="40"/>
        <v>0</v>
      </c>
      <c r="Z48" s="1293">
        <f t="shared" si="40"/>
        <v>7458036.4000000004</v>
      </c>
      <c r="AA48" s="1293">
        <f t="shared" si="40"/>
        <v>2088498.8000000003</v>
      </c>
      <c r="AB48" s="1293">
        <f t="shared" si="40"/>
        <v>1302787.02</v>
      </c>
      <c r="AC48" s="1293">
        <f t="shared" si="40"/>
        <v>785711.78000000014</v>
      </c>
      <c r="AD48" s="1293">
        <f t="shared" si="40"/>
        <v>5369537.5999999996</v>
      </c>
      <c r="AE48" s="1293">
        <f t="shared" si="40"/>
        <v>0</v>
      </c>
      <c r="AF48" s="1293">
        <f t="shared" si="40"/>
        <v>0</v>
      </c>
      <c r="AG48" s="1293">
        <f t="shared" si="40"/>
        <v>0</v>
      </c>
      <c r="AH48" s="1293">
        <f t="shared" si="40"/>
        <v>0</v>
      </c>
      <c r="AI48" s="1293">
        <f t="shared" si="40"/>
        <v>0</v>
      </c>
      <c r="AJ48" s="1293">
        <f t="shared" si="40"/>
        <v>8920392.5700000003</v>
      </c>
      <c r="AK48" s="1293">
        <f>SUM(AK49:AK53)</f>
        <v>2633206.81</v>
      </c>
      <c r="AL48" s="1293">
        <f t="shared" ref="AL48:AP48" si="41">SUM(AL49:AL53)</f>
        <v>1262327.31</v>
      </c>
      <c r="AM48" s="1293">
        <f t="shared" si="41"/>
        <v>1370879.5</v>
      </c>
      <c r="AN48" s="1293">
        <f t="shared" si="41"/>
        <v>6287185.7599999998</v>
      </c>
      <c r="AO48" s="1293">
        <f t="shared" si="41"/>
        <v>0</v>
      </c>
      <c r="AP48" s="1293">
        <f t="shared" si="41"/>
        <v>0</v>
      </c>
      <c r="AQ48" s="256">
        <f>SUM(K48-'3 pr-2'!L50)</f>
        <v>0</v>
      </c>
    </row>
    <row r="49" spans="1:43" ht="48.75" x14ac:dyDescent="0.25">
      <c r="A49" s="644" t="str">
        <f>CONCATENATE('3 pr-2'!A51)</f>
        <v>1.1.1.5.1</v>
      </c>
      <c r="B49" s="657" t="str">
        <f>CONCATENATE('3 pr-2'!B51)</f>
        <v>R01-0014-060700-1151</v>
      </c>
      <c r="C49" s="653" t="str">
        <f>CONCATENATE('ketv. 6 '!C50)</f>
        <v>05.3.2-APVA-R-014-11-0001</v>
      </c>
      <c r="D49" s="182" t="str">
        <f>CONCATENATE('3 pr-2'!D51)</f>
        <v>Geriamojo vandens tiekimo ir nuotekų tvarkymo sistemų renovavimas ir plėtra Varėnos rajone</v>
      </c>
      <c r="E49" s="182" t="str">
        <f>CONCATENATE('3 pr-2'!E51)</f>
        <v>UAB „Varėnos vandenys“</v>
      </c>
      <c r="F49" s="182" t="str">
        <f>CONCATENATE('3 pr-2'!F51)</f>
        <v>Lietuvos Respublikos aplinkos ministerija</v>
      </c>
      <c r="G49" s="182" t="str">
        <f>CONCATENATE('3 pr-2'!G51)</f>
        <v>Varėnos r. sav.</v>
      </c>
      <c r="H49" s="182" t="str">
        <f>CONCATENATE('3 pr-2'!H51)</f>
        <v>05.3.2-APVA-R-014</v>
      </c>
      <c r="I49" s="182" t="str">
        <f>CONCATENATE('3 pr-2'!I51)</f>
        <v>R</v>
      </c>
      <c r="J49" s="182" t="str">
        <f>CONCATENATE('3 pr-2'!J51)</f>
        <v>ITI</v>
      </c>
      <c r="K49" s="1435">
        <f>SUM('3 pr-2'!L51)</f>
        <v>2477103.23</v>
      </c>
      <c r="L49" s="1426">
        <f t="shared" ref="L49:L53" si="42">SUM(Q49+V49+AA49+AF49+AK49)</f>
        <v>1199821.73</v>
      </c>
      <c r="M49" s="1298">
        <v>302669.49</v>
      </c>
      <c r="N49" s="1298">
        <f t="shared" si="28"/>
        <v>897152.24</v>
      </c>
      <c r="O49" s="1427">
        <f t="shared" si="6"/>
        <v>1277281.5</v>
      </c>
      <c r="P49" s="1435">
        <f>SUM('3 pr-2'!O51)</f>
        <v>0</v>
      </c>
      <c r="Q49" s="1432">
        <f>SUMIF('mokėjimų ataskaita'!$I$13:$I$600,C49,'mokėjimų ataskaita'!$AU$13:$AU$600)/2</f>
        <v>0</v>
      </c>
      <c r="R49" s="1298"/>
      <c r="S49" s="1298"/>
      <c r="T49" s="1432">
        <f>SUM(P49-Q49)</f>
        <v>0</v>
      </c>
      <c r="U49" s="1435">
        <f>SUM('3 pr-2'!R51)</f>
        <v>0</v>
      </c>
      <c r="V49" s="1432">
        <f>SUMIF('mokėjimų ataskaita'!$I$13:$I$600,C49,'mokėjimų ataskaita'!$AL$13:$AL$600)/2</f>
        <v>0</v>
      </c>
      <c r="W49" s="1298"/>
      <c r="X49" s="1298"/>
      <c r="Y49" s="1432">
        <f t="shared" ref="Y49:Y53" si="43">SUM(U49-V49)</f>
        <v>0</v>
      </c>
      <c r="Z49" s="1435">
        <f>SUM('3 pr-2'!U51)</f>
        <v>862874.97</v>
      </c>
      <c r="AA49" s="1426">
        <f>SUMIF('mokėjimų ataskaita'!$I$13:$I$600,C49,'mokėjimų ataskaita'!$AW$13:$AW$600)/2</f>
        <v>412468.66999999993</v>
      </c>
      <c r="AB49" s="1298">
        <v>140468.96</v>
      </c>
      <c r="AC49" s="1298">
        <f t="shared" ref="AC49:AC55" si="44">SUM(AA49-AB49)</f>
        <v>271999.70999999996</v>
      </c>
      <c r="AD49" s="1427">
        <f t="shared" si="25"/>
        <v>450406.30000000005</v>
      </c>
      <c r="AE49" s="1435">
        <f>SUM('3 pr-2'!X51)</f>
        <v>0</v>
      </c>
      <c r="AF49" s="1296">
        <f>SUMIF('mokėjimų ataskaita'!$I$13:$I$600,C49,'mokėjimų ataskaita'!$AV$13:$AV$600)/2+SUMIF('mokėjimų ataskaita'!$I$13:$I$600,C49,'mokėjimų ataskaita'!$AT$13:$AT$600)/2</f>
        <v>0</v>
      </c>
      <c r="AG49" s="1298"/>
      <c r="AH49" s="1298"/>
      <c r="AI49" s="1432">
        <f t="shared" ref="AI49:AI53" si="45">SUM(AE49-AF49)</f>
        <v>0</v>
      </c>
      <c r="AJ49" s="1435">
        <f>SUM('3 pr-2'!AA51)</f>
        <v>1614228.26</v>
      </c>
      <c r="AK49" s="1426">
        <f>SUMIF('mokėjimų ataskaita'!$I$13:$I$600,C49,'mokėjimų ataskaita'!$AK$13:$AK$600)/2</f>
        <v>787353.05999999994</v>
      </c>
      <c r="AL49" s="1298">
        <v>162200.53</v>
      </c>
      <c r="AM49" s="1298">
        <f t="shared" ref="AM49:AM53" si="46">SUM(AK49-AL49)</f>
        <v>625152.52999999991</v>
      </c>
      <c r="AN49" s="1454">
        <f>IF(AJ49&gt;0,AJ49-AK49,0)</f>
        <v>826875.20000000007</v>
      </c>
      <c r="AO49" s="1296">
        <f>SUM('3 pr-2'!AB51)</f>
        <v>0</v>
      </c>
      <c r="AP49" s="1426">
        <v>0</v>
      </c>
    </row>
    <row r="50" spans="1:43" ht="36.75" x14ac:dyDescent="0.25">
      <c r="A50" s="644" t="str">
        <f>CONCATENATE('3 pr-2'!A52)</f>
        <v>1.1.1.5.2.</v>
      </c>
      <c r="B50" s="657" t="str">
        <f>CONCATENATE('3 pr-2'!B52)</f>
        <v>R01-0014-060750-1152</v>
      </c>
      <c r="C50" s="653" t="str">
        <f>CONCATENATE('ketv. 6 '!C51)</f>
        <v>05.3.2-APVA-R-014-11-0002</v>
      </c>
      <c r="D50" s="182" t="str">
        <f>CONCATENATE('3 pr-2'!D52)</f>
        <v>Geriamojo vandens ir nuotekų tvarkymo sistemų renovavimas Alytaus mieste</v>
      </c>
      <c r="E50" s="182" t="str">
        <f>CONCATENATE('3 pr-2'!E52)</f>
        <v>UAB “Dzūkijos vandenys“</v>
      </c>
      <c r="F50" s="182" t="str">
        <f>CONCATENATE('3 pr-2'!F52)</f>
        <v>Lietuvos Respublikos aplinkos ministerija</v>
      </c>
      <c r="G50" s="182" t="str">
        <f>CONCATENATE('3 pr-2'!G52)</f>
        <v>Alytaus m. sav.</v>
      </c>
      <c r="H50" s="182" t="str">
        <f>CONCATENATE('3 pr-2'!H52)</f>
        <v>05.3.2-APVA-R-014</v>
      </c>
      <c r="I50" s="182" t="str">
        <f>CONCATENATE('3 pr-2'!I52)</f>
        <v>R</v>
      </c>
      <c r="J50" s="182" t="str">
        <f>CONCATENATE('3 pr-2'!J52)</f>
        <v>ITI</v>
      </c>
      <c r="K50" s="1435">
        <f>SUM('3 pr-2'!L52)</f>
        <v>5706088</v>
      </c>
      <c r="L50" s="1426">
        <f t="shared" si="42"/>
        <v>2429463.87</v>
      </c>
      <c r="M50" s="1298">
        <v>1672110.09</v>
      </c>
      <c r="N50" s="1298">
        <f t="shared" si="28"/>
        <v>757353.78</v>
      </c>
      <c r="O50" s="1427">
        <f t="shared" si="6"/>
        <v>3276624.13</v>
      </c>
      <c r="P50" s="1435">
        <f>SUM('3 pr-2'!O52)</f>
        <v>0</v>
      </c>
      <c r="Q50" s="1432">
        <f>SUMIF('mokėjimų ataskaita'!$I$13:$I$600,C50,'mokėjimų ataskaita'!$AU$13:$AU$600)/2</f>
        <v>0</v>
      </c>
      <c r="R50" s="1298"/>
      <c r="S50" s="1298"/>
      <c r="T50" s="1432">
        <f>SUM(P50-Q50)</f>
        <v>0</v>
      </c>
      <c r="U50" s="1435">
        <f>SUM('3 pr-2'!R52)</f>
        <v>0</v>
      </c>
      <c r="V50" s="1432">
        <f>SUMIF('mokėjimų ataskaita'!$I$13:$I$600,C50,'mokėjimų ataskaita'!$AL$13:$AL$600)/2</f>
        <v>0</v>
      </c>
      <c r="W50" s="1298"/>
      <c r="X50" s="1298"/>
      <c r="Y50" s="1432">
        <f t="shared" si="43"/>
        <v>0</v>
      </c>
      <c r="Z50" s="1435">
        <f>SUM('3 pr-2'!U52)</f>
        <v>3009103.69</v>
      </c>
      <c r="AA50" s="1426">
        <f>SUMIF('mokėjimų ataskaita'!$I$13:$I$600,C50,'mokėjimų ataskaita'!$AW$13:$AW$600)/2</f>
        <v>1290344.6600000001</v>
      </c>
      <c r="AB50" s="1298">
        <v>933958.04</v>
      </c>
      <c r="AC50" s="1298">
        <f t="shared" si="44"/>
        <v>356386.62000000011</v>
      </c>
      <c r="AD50" s="1427">
        <f t="shared" si="25"/>
        <v>1718759.0299999998</v>
      </c>
      <c r="AE50" s="1435">
        <f>SUM('3 pr-2'!X52)</f>
        <v>0</v>
      </c>
      <c r="AF50" s="1296">
        <f>SUMIF('mokėjimų ataskaita'!$I$13:$I$600,C50,'mokėjimų ataskaita'!$AV$13:$AV$600)/2+SUMIF('mokėjimų ataskaita'!$I$13:$I$600,C50,'mokėjimų ataskaita'!$AT$13:$AT$600)/2</f>
        <v>0</v>
      </c>
      <c r="AG50" s="1298"/>
      <c r="AH50" s="1298"/>
      <c r="AI50" s="1432">
        <f t="shared" si="45"/>
        <v>0</v>
      </c>
      <c r="AJ50" s="1435">
        <f>SUM('3 pr-2'!AA52)</f>
        <v>2696984.31</v>
      </c>
      <c r="AK50" s="1426">
        <f>SUMIF('mokėjimų ataskaita'!$I$13:$I$600,C50,'mokėjimų ataskaita'!$AK$13:$AK$600)/2</f>
        <v>1139119.2100000002</v>
      </c>
      <c r="AL50" s="1298">
        <v>738152.05</v>
      </c>
      <c r="AM50" s="1298">
        <f t="shared" si="46"/>
        <v>400967.16000000015</v>
      </c>
      <c r="AN50" s="1454">
        <f>IF(AJ50&gt;0,AJ50-AK50,0)</f>
        <v>1557865.0999999999</v>
      </c>
      <c r="AO50" s="1296">
        <f>SUM('3 pr-2'!AB52)</f>
        <v>0</v>
      </c>
      <c r="AP50" s="1426">
        <v>0</v>
      </c>
    </row>
    <row r="51" spans="1:43" ht="48.75" x14ac:dyDescent="0.25">
      <c r="A51" s="644" t="str">
        <f>CONCATENATE('3 pr-2'!A53)</f>
        <v>1.1.1.5.3</v>
      </c>
      <c r="B51" s="657" t="str">
        <f>CONCATENATE('3 pr-2'!B53)</f>
        <v>R01-0014-070650-1153</v>
      </c>
      <c r="C51" s="653" t="str">
        <f>CONCATENATE('ketv. 6 '!C52)</f>
        <v>05.3.2-APVA-R-014-11-0004</v>
      </c>
      <c r="D51" s="182" t="str">
        <f>CONCATENATE('3 pr-2'!D53)</f>
        <v>Geriamojo vandens tiekimo ir nuotekų tvarkymo sistemų renovavimas ir plėtra Lazdijų rajono savivaldybėje</v>
      </c>
      <c r="E51" s="182" t="str">
        <f>CONCATENATE('3 pr-2'!E53)</f>
        <v>UAB „Lazdijų vanduo“</v>
      </c>
      <c r="F51" s="182" t="str">
        <f>CONCATENATE('3 pr-2'!F53)</f>
        <v>Lietuvos Respublikos aplinkos ministerija</v>
      </c>
      <c r="G51" s="182" t="str">
        <f>CONCATENATE('3 pr-2'!G53)</f>
        <v>Lazdijų r. sav.</v>
      </c>
      <c r="H51" s="182" t="str">
        <f>CONCATENATE('3 pr-2'!H53)</f>
        <v>05.3.2-APVA-R-014</v>
      </c>
      <c r="I51" s="182" t="str">
        <f>CONCATENATE('3 pr-2'!I53)</f>
        <v>R</v>
      </c>
      <c r="J51" s="182" t="str">
        <f>CONCATENATE('3 pr-2'!J53)</f>
        <v>-</v>
      </c>
      <c r="K51" s="1435">
        <f>SUM('3 pr-2'!L53)</f>
        <v>1437425.74</v>
      </c>
      <c r="L51" s="1426">
        <f t="shared" si="42"/>
        <v>729380.31</v>
      </c>
      <c r="M51" s="1298">
        <v>419547</v>
      </c>
      <c r="N51" s="1298">
        <f t="shared" si="28"/>
        <v>309833.31000000006</v>
      </c>
      <c r="O51" s="1427">
        <f t="shared" si="6"/>
        <v>708045.42999999993</v>
      </c>
      <c r="P51" s="1435">
        <f>SUM('3 pr-2'!O53)</f>
        <v>0</v>
      </c>
      <c r="Q51" s="1432">
        <f>SUMIF('mokėjimų ataskaita'!$I$13:$I$600,C51,'mokėjimų ataskaita'!$AU$13:$AU$600)/2</f>
        <v>0</v>
      </c>
      <c r="R51" s="1298"/>
      <c r="S51" s="1298"/>
      <c r="T51" s="1432">
        <f>SUM(P51-Q51)</f>
        <v>0</v>
      </c>
      <c r="U51" s="1435">
        <f>SUM('3 pr-2'!R53)</f>
        <v>0</v>
      </c>
      <c r="V51" s="1432">
        <f>SUMIF('mokėjimų ataskaita'!$I$13:$I$600,C51,'mokėjimų ataskaita'!$AL$13:$AL$600)/2</f>
        <v>0</v>
      </c>
      <c r="W51" s="1298"/>
      <c r="X51" s="1298"/>
      <c r="Y51" s="1432">
        <f t="shared" si="43"/>
        <v>0</v>
      </c>
      <c r="Z51" s="1435">
        <f>SUM('3 pr-2'!U53)</f>
        <v>641323.74</v>
      </c>
      <c r="AA51" s="1426">
        <f>SUMIF('mokėjimų ataskaita'!$I$13:$I$600,C51,'mokėjimų ataskaita'!$AW$13:$AW$600)/2</f>
        <v>270800.81000000006</v>
      </c>
      <c r="AB51" s="1298">
        <v>146096.98000000001</v>
      </c>
      <c r="AC51" s="1298">
        <f t="shared" si="44"/>
        <v>124703.83000000005</v>
      </c>
      <c r="AD51" s="1427">
        <f t="shared" si="25"/>
        <v>370522.92999999993</v>
      </c>
      <c r="AE51" s="1435">
        <f>SUM('3 pr-2'!X53)</f>
        <v>0</v>
      </c>
      <c r="AF51" s="1296">
        <f>SUMIF('mokėjimų ataskaita'!$I$13:$I$600,C51,'mokėjimų ataskaita'!$AV$13:$AV$600)/2+SUMIF('mokėjimų ataskaita'!$I$13:$I$600,C51,'mokėjimų ataskaita'!$AT$13:$AT$600)/2</f>
        <v>0</v>
      </c>
      <c r="AG51" s="1298"/>
      <c r="AH51" s="1298"/>
      <c r="AI51" s="1432">
        <f t="shared" si="45"/>
        <v>0</v>
      </c>
      <c r="AJ51" s="1435">
        <f>SUM('3 pr-2'!AA53)</f>
        <v>796102</v>
      </c>
      <c r="AK51" s="1426">
        <f>SUMIF('mokėjimų ataskaita'!$I$13:$I$600,C51,'mokėjimų ataskaita'!$AK$13:$AK$600)/2</f>
        <v>458579.5</v>
      </c>
      <c r="AL51" s="1298">
        <v>273450.02</v>
      </c>
      <c r="AM51" s="1298">
        <f t="shared" si="46"/>
        <v>185129.47999999998</v>
      </c>
      <c r="AN51" s="1454">
        <f>IF(AJ51&gt;0,AJ51-AK51,0)</f>
        <v>337522.5</v>
      </c>
      <c r="AO51" s="1296">
        <f>SUM('3 pr-2'!AB53)</f>
        <v>0</v>
      </c>
      <c r="AP51" s="1426">
        <v>0</v>
      </c>
    </row>
    <row r="52" spans="1:43" ht="48.75" x14ac:dyDescent="0.25">
      <c r="A52" s="644" t="str">
        <f>CONCATENATE('3 pr-2'!A54)</f>
        <v>1.1.1.5.4.</v>
      </c>
      <c r="B52" s="657" t="str">
        <f>CONCATENATE('3 pr-2'!B54)</f>
        <v>R01-0014-060700-1154</v>
      </c>
      <c r="C52" s="653" t="str">
        <f>CONCATENATE('ketv. 6 '!C53)</f>
        <v>05.3.2-APVA-R-014-11-0003</v>
      </c>
      <c r="D52" s="182" t="str">
        <f>CONCATENATE('3 pr-2'!D54)</f>
        <v>Vandens tiekimo ir nuotekų šalinimo infrastruktūros renovavimas ir plėtra Druskininkų savivaldybėje</v>
      </c>
      <c r="E52" s="182" t="str">
        <f>CONCATENATE('3 pr-2'!E54)</f>
        <v>UAB "Druskininkų vandenys"</v>
      </c>
      <c r="F52" s="182" t="str">
        <f>CONCATENATE('3 pr-2'!F54)</f>
        <v>Lietuvos Respublikos aplinkos ministerija</v>
      </c>
      <c r="G52" s="182" t="str">
        <f>CONCATENATE('3 pr-2'!G54)</f>
        <v>Druskininkų sav.</v>
      </c>
      <c r="H52" s="182" t="str">
        <f>CONCATENATE('3 pr-2'!H54)</f>
        <v>05.3.2-APVA-R-014</v>
      </c>
      <c r="I52" s="182" t="str">
        <f>CONCATENATE('3 pr-2'!I54)</f>
        <v>R</v>
      </c>
      <c r="J52" s="182" t="str">
        <f>CONCATENATE('3 pr-2'!J54)</f>
        <v>-</v>
      </c>
      <c r="K52" s="1435">
        <f>SUM('3 pr-2'!L54)</f>
        <v>5186812</v>
      </c>
      <c r="L52" s="1426">
        <f t="shared" si="42"/>
        <v>355823.80000000005</v>
      </c>
      <c r="M52" s="1298">
        <v>170787.75</v>
      </c>
      <c r="N52" s="1298">
        <f t="shared" si="28"/>
        <v>185036.05000000005</v>
      </c>
      <c r="O52" s="1427">
        <f t="shared" si="6"/>
        <v>4830988.2</v>
      </c>
      <c r="P52" s="1435">
        <f>SUM('3 pr-2'!O54)</f>
        <v>0</v>
      </c>
      <c r="Q52" s="1432">
        <f>SUMIF('mokėjimų ataskaita'!$I$13:$I$600,C52,'mokėjimų ataskaita'!$AU$13:$AU$600)/2</f>
        <v>0</v>
      </c>
      <c r="R52" s="1298"/>
      <c r="S52" s="1298"/>
      <c r="T52" s="1432">
        <f>SUM(P52-Q52)</f>
        <v>0</v>
      </c>
      <c r="U52" s="1435">
        <f>SUM('3 pr-2'!R54)</f>
        <v>0</v>
      </c>
      <c r="V52" s="1432">
        <f>SUMIF('mokėjimų ataskaita'!$I$13:$I$600,C52,'mokėjimų ataskaita'!$AL$13:$AL$600)/2</f>
        <v>0</v>
      </c>
      <c r="W52" s="1298"/>
      <c r="X52" s="1298"/>
      <c r="Y52" s="1432">
        <f t="shared" si="43"/>
        <v>0</v>
      </c>
      <c r="Z52" s="1435">
        <f>SUM('3 pr-2'!U54)</f>
        <v>2294209</v>
      </c>
      <c r="AA52" s="1426">
        <f>SUMIF('mokėjimų ataskaita'!$I$13:$I$600,C52,'mokėjimų ataskaita'!$AW$13:$AW$600)/2</f>
        <v>112795.82</v>
      </c>
      <c r="AB52" s="1298">
        <v>82263.039999999994</v>
      </c>
      <c r="AC52" s="1298">
        <f t="shared" si="44"/>
        <v>30532.780000000013</v>
      </c>
      <c r="AD52" s="1427">
        <f t="shared" si="25"/>
        <v>2181413.1800000002</v>
      </c>
      <c r="AE52" s="1435">
        <f>SUM('3 pr-2'!X54)</f>
        <v>0</v>
      </c>
      <c r="AF52" s="1296">
        <f>SUMIF('mokėjimų ataskaita'!$I$13:$I$600,C52,'mokėjimų ataskaita'!$AV$13:$AV$600)/2+SUMIF('mokėjimų ataskaita'!$I$13:$I$600,C52,'mokėjimų ataskaita'!$AT$13:$AT$600)/2</f>
        <v>0</v>
      </c>
      <c r="AG52" s="1298"/>
      <c r="AH52" s="1298"/>
      <c r="AI52" s="1432">
        <f t="shared" si="45"/>
        <v>0</v>
      </c>
      <c r="AJ52" s="1435">
        <f>SUM('3 pr-2'!AA54)</f>
        <v>2892603</v>
      </c>
      <c r="AK52" s="1426">
        <f>SUMIF('mokėjimų ataskaita'!$I$13:$I$600,C52,'mokėjimų ataskaita'!$AK$13:$AK$600)/2</f>
        <v>243027.98</v>
      </c>
      <c r="AL52" s="1298">
        <v>88524.71</v>
      </c>
      <c r="AM52" s="1298">
        <f t="shared" si="46"/>
        <v>154503.27000000002</v>
      </c>
      <c r="AN52" s="1454">
        <f>IF(AJ52&gt;0,AJ52-AK52,0)</f>
        <v>2649575.02</v>
      </c>
      <c r="AO52" s="1296">
        <f>SUM('3 pr-2'!AB54)</f>
        <v>0</v>
      </c>
      <c r="AP52" s="1426">
        <v>0</v>
      </c>
    </row>
    <row r="53" spans="1:43" ht="37.5" thickBot="1" x14ac:dyDescent="0.3">
      <c r="A53" s="644" t="str">
        <f>CONCATENATE('3 pr-2'!A55)</f>
        <v>1.1.1.5.5.</v>
      </c>
      <c r="B53" s="657" t="str">
        <f>CONCATENATE('3 pr-2'!B55)</f>
        <v>R01-0014-060750-1155</v>
      </c>
      <c r="C53" s="653" t="str">
        <f>CONCATENATE('ketv. 6 '!C54)</f>
        <v>05.3.2-APVA-R-014-11-0005</v>
      </c>
      <c r="D53" s="182" t="str">
        <f>CONCATENATE('3 pr-2'!D55)</f>
        <v>Vandens tiekimo ir nuotekų tvarkymo infrastruktūros plėtra Alytaus rajone (Krokialaukyje)</v>
      </c>
      <c r="E53" s="182" t="str">
        <f>CONCATENATE('3 pr-2'!E55)</f>
        <v>SĮ „Simno komunalininkas“</v>
      </c>
      <c r="F53" s="182" t="str">
        <f>CONCATENATE('3 pr-2'!F55)</f>
        <v>Lietuvos Respublikos aplinkos ministerija</v>
      </c>
      <c r="G53" s="182" t="str">
        <f>CONCATENATE('3 pr-2'!G55)</f>
        <v>Alytaus r. sav.</v>
      </c>
      <c r="H53" s="182" t="str">
        <f>CONCATENATE('3 pr-2'!H55)</f>
        <v>05.3.2-APVA-R-014</v>
      </c>
      <c r="I53" s="182" t="str">
        <f>CONCATENATE('3 pr-2'!I55)</f>
        <v>R</v>
      </c>
      <c r="J53" s="182" t="str">
        <f>CONCATENATE('3 pr-2'!J55)</f>
        <v>-</v>
      </c>
      <c r="K53" s="1435">
        <f>SUM('3 pr-2'!L55)</f>
        <v>1571000</v>
      </c>
      <c r="L53" s="1426">
        <f t="shared" si="42"/>
        <v>7215.9000000000005</v>
      </c>
      <c r="M53" s="1298">
        <v>0</v>
      </c>
      <c r="N53" s="1298">
        <f t="shared" si="28"/>
        <v>7215.9000000000005</v>
      </c>
      <c r="O53" s="1427">
        <f t="shared" si="6"/>
        <v>1563784.1</v>
      </c>
      <c r="P53" s="1435">
        <f>SUM('3 pr-2'!O55)</f>
        <v>0</v>
      </c>
      <c r="Q53" s="1432">
        <f>SUMIF('mokėjimų ataskaita'!$I$13:$I$600,C53,'mokėjimų ataskaita'!$AU$13:$AU$600)/2</f>
        <v>0</v>
      </c>
      <c r="R53" s="1298"/>
      <c r="S53" s="1298"/>
      <c r="T53" s="1432">
        <f>SUM(P53-Q53)</f>
        <v>0</v>
      </c>
      <c r="U53" s="1435">
        <f>SUM('3 pr-2'!R55)</f>
        <v>0</v>
      </c>
      <c r="V53" s="1432">
        <f>SUMIF('mokėjimų ataskaita'!$I$13:$I$600,C53,'mokėjimų ataskaita'!$AL$13:$AL$600)/2</f>
        <v>0</v>
      </c>
      <c r="W53" s="1298"/>
      <c r="X53" s="1298"/>
      <c r="Y53" s="1432">
        <f t="shared" si="43"/>
        <v>0</v>
      </c>
      <c r="Z53" s="1435">
        <f>SUM('3 pr-2'!U55)</f>
        <v>650525</v>
      </c>
      <c r="AA53" s="1426">
        <f>SUMIF('mokėjimų ataskaita'!$I$13:$I$600,C53,'mokėjimų ataskaita'!$AW$13:$AW$600)/2</f>
        <v>2088.84</v>
      </c>
      <c r="AB53" s="1298">
        <v>0</v>
      </c>
      <c r="AC53" s="1298">
        <f t="shared" si="44"/>
        <v>2088.84</v>
      </c>
      <c r="AD53" s="1427">
        <f t="shared" si="25"/>
        <v>648436.16</v>
      </c>
      <c r="AE53" s="1435">
        <f>SUM('3 pr-2'!X55)</f>
        <v>0</v>
      </c>
      <c r="AF53" s="1296">
        <f>SUMIF('mokėjimų ataskaita'!$I$13:$I$600,C53,'mokėjimų ataskaita'!$AV$13:$AV$600)/2+SUMIF('mokėjimų ataskaita'!$I$13:$I$600,C53,'mokėjimų ataskaita'!$AT$13:$AT$600)/2</f>
        <v>0</v>
      </c>
      <c r="AG53" s="1298"/>
      <c r="AH53" s="1298"/>
      <c r="AI53" s="1432">
        <f t="shared" si="45"/>
        <v>0</v>
      </c>
      <c r="AJ53" s="1435">
        <f>SUM('3 pr-2'!AA55)</f>
        <v>920475</v>
      </c>
      <c r="AK53" s="1426">
        <f>SUMIF('mokėjimų ataskaita'!$I$13:$I$600,C53,'mokėjimų ataskaita'!$AK$13:$AK$600)/2</f>
        <v>5127.0600000000004</v>
      </c>
      <c r="AL53" s="1298">
        <v>0</v>
      </c>
      <c r="AM53" s="1298">
        <f t="shared" si="46"/>
        <v>5127.0600000000004</v>
      </c>
      <c r="AN53" s="1454">
        <f>IF(AJ53&gt;0,AJ53-AK53,0)</f>
        <v>915347.94</v>
      </c>
      <c r="AO53" s="1296">
        <f>SUM('3 pr-2'!AB55)</f>
        <v>0</v>
      </c>
      <c r="AP53" s="1426">
        <v>0</v>
      </c>
    </row>
    <row r="54" spans="1:43" ht="39" customHeight="1" thickBot="1" x14ac:dyDescent="0.3">
      <c r="A54" s="326" t="str">
        <f>CONCATENATE('3 pr-2'!A56)</f>
        <v>1.1.1.6</v>
      </c>
      <c r="B54" s="2025" t="str">
        <f>CONCATENATE('3 pr-2'!B56)</f>
        <v>Priemonė:
Paviršinių nuotekų sistemų tvarkymas</v>
      </c>
      <c r="C54" s="2026"/>
      <c r="D54" s="2026"/>
      <c r="E54" s="2026"/>
      <c r="F54" s="2026"/>
      <c r="G54" s="2026"/>
      <c r="H54" s="2026"/>
      <c r="I54" s="2026"/>
      <c r="J54" s="2027"/>
      <c r="K54" s="1293">
        <f t="shared" ref="K54:AJ54" si="47">SUM(K55)</f>
        <v>3999404.09</v>
      </c>
      <c r="L54" s="1293">
        <f t="shared" si="47"/>
        <v>1066231.3999999999</v>
      </c>
      <c r="M54" s="1293">
        <f t="shared" si="47"/>
        <v>915098.59000000008</v>
      </c>
      <c r="N54" s="1293">
        <f t="shared" si="47"/>
        <v>151132.80999999982</v>
      </c>
      <c r="O54" s="1293">
        <f t="shared" si="47"/>
        <v>2933172.69</v>
      </c>
      <c r="P54" s="1293">
        <f t="shared" si="47"/>
        <v>0</v>
      </c>
      <c r="Q54" s="1293">
        <f t="shared" si="47"/>
        <v>0</v>
      </c>
      <c r="R54" s="1293">
        <f t="shared" si="47"/>
        <v>0</v>
      </c>
      <c r="S54" s="1293">
        <f t="shared" si="47"/>
        <v>0</v>
      </c>
      <c r="T54" s="1293">
        <f t="shared" si="47"/>
        <v>0</v>
      </c>
      <c r="U54" s="1293">
        <f t="shared" si="47"/>
        <v>0</v>
      </c>
      <c r="V54" s="1293">
        <f t="shared" si="47"/>
        <v>0</v>
      </c>
      <c r="W54" s="1293">
        <f t="shared" si="47"/>
        <v>0</v>
      </c>
      <c r="X54" s="1293">
        <f t="shared" si="47"/>
        <v>0</v>
      </c>
      <c r="Y54" s="1293">
        <f t="shared" si="47"/>
        <v>0</v>
      </c>
      <c r="Z54" s="1293">
        <f t="shared" si="47"/>
        <v>599910.61</v>
      </c>
      <c r="AA54" s="1293">
        <f t="shared" si="47"/>
        <v>148509.40999999997</v>
      </c>
      <c r="AB54" s="1293">
        <f t="shared" si="47"/>
        <v>137264.79</v>
      </c>
      <c r="AC54" s="1293">
        <f t="shared" si="47"/>
        <v>11244.619999999966</v>
      </c>
      <c r="AD54" s="1293">
        <f t="shared" si="47"/>
        <v>451401.2</v>
      </c>
      <c r="AE54" s="1293">
        <f t="shared" si="47"/>
        <v>0</v>
      </c>
      <c r="AF54" s="1293">
        <f t="shared" si="47"/>
        <v>0</v>
      </c>
      <c r="AG54" s="1293">
        <f t="shared" si="47"/>
        <v>0</v>
      </c>
      <c r="AH54" s="1293">
        <f t="shared" si="47"/>
        <v>0</v>
      </c>
      <c r="AI54" s="1293">
        <f t="shared" si="47"/>
        <v>0</v>
      </c>
      <c r="AJ54" s="1293">
        <f t="shared" si="47"/>
        <v>3399493.48</v>
      </c>
      <c r="AK54" s="1293">
        <f>SUM(AK55)</f>
        <v>917721.99</v>
      </c>
      <c r="AL54" s="1293">
        <f t="shared" ref="AL54:AP54" si="48">SUM(AL55)</f>
        <v>777833.8</v>
      </c>
      <c r="AM54" s="1293">
        <f t="shared" si="48"/>
        <v>139888.18999999994</v>
      </c>
      <c r="AN54" s="1293">
        <f t="shared" si="48"/>
        <v>2481771.4900000002</v>
      </c>
      <c r="AO54" s="1293">
        <f t="shared" si="48"/>
        <v>0</v>
      </c>
      <c r="AP54" s="1293">
        <f t="shared" si="48"/>
        <v>0</v>
      </c>
      <c r="AQ54" s="256">
        <f>SUM(K54-'3 pr-2'!L56)</f>
        <v>0</v>
      </c>
    </row>
    <row r="55" spans="1:43" ht="49.5" customHeight="1" thickBot="1" x14ac:dyDescent="0.3">
      <c r="A55" s="644" t="str">
        <f>CONCATENATE('3 pr-2'!A57)</f>
        <v>1.1.1.6.1</v>
      </c>
      <c r="B55" s="657" t="str">
        <f>CONCATENATE('3 pr-2'!B57)</f>
        <v>R01-0007-080000-1161</v>
      </c>
      <c r="C55" s="653" t="str">
        <f>CONCATENATE('ketv. 6 '!C56)</f>
        <v>05.1.1-APVA-R-007-11-0001</v>
      </c>
      <c r="D55" s="182" t="str">
        <f>CONCATENATE('3 pr-2'!D57)</f>
        <v>Paviršinių nuotekų sistemų tvarkymas Alytaus mieste</v>
      </c>
      <c r="E55" s="182" t="str">
        <f>CONCATENATE('3 pr-2'!E57)</f>
        <v>UAB “Dzūkijos vandenys“</v>
      </c>
      <c r="F55" s="182" t="str">
        <f>CONCATENATE('3 pr-2'!F57)</f>
        <v>Lietuvos Respublikos aplinkos ministerija</v>
      </c>
      <c r="G55" s="182" t="str">
        <f>CONCATENATE('3 pr-2'!G57)</f>
        <v>Alytaus m. sav.</v>
      </c>
      <c r="H55" s="182" t="str">
        <f>CONCATENATE('3 pr-2'!H57)</f>
        <v>05.1.1-APVA-R-007</v>
      </c>
      <c r="I55" s="182" t="str">
        <f>CONCATENATE('3 pr-2'!I57)</f>
        <v>R</v>
      </c>
      <c r="J55" s="182" t="str">
        <f>CONCATENATE('3 pr-2'!J57)</f>
        <v>-</v>
      </c>
      <c r="K55" s="1435">
        <f>SUM('3 pr-2'!L57)</f>
        <v>3999404.09</v>
      </c>
      <c r="L55" s="1426">
        <f t="shared" ref="L55" si="49">SUM(Q55+V55+AA55+AF55+AK55)</f>
        <v>1066231.3999999999</v>
      </c>
      <c r="M55" s="1298">
        <v>915098.59000000008</v>
      </c>
      <c r="N55" s="1298">
        <f t="shared" si="28"/>
        <v>151132.80999999982</v>
      </c>
      <c r="O55" s="1432">
        <f t="shared" si="6"/>
        <v>2933172.69</v>
      </c>
      <c r="P55" s="1435">
        <f>SUM('3 pr-2'!O57)</f>
        <v>0</v>
      </c>
      <c r="Q55" s="1432">
        <f>SUMIF('mokėjimų ataskaita'!$I$13:$I$600,C55,'mokėjimų ataskaita'!$AU$13:$AU$600)/2</f>
        <v>0</v>
      </c>
      <c r="R55" s="1298"/>
      <c r="S55" s="1298"/>
      <c r="T55" s="1432">
        <f>SUM(P55-Q55)</f>
        <v>0</v>
      </c>
      <c r="U55" s="1435">
        <f>SUM('3 pr-2'!R57)</f>
        <v>0</v>
      </c>
      <c r="V55" s="1432">
        <f>SUMIF('mokėjimų ataskaita'!$I$13:$I$600,C55,'mokėjimų ataskaita'!$AL$13:$AL$600)/2</f>
        <v>0</v>
      </c>
      <c r="W55" s="1298"/>
      <c r="X55" s="1298"/>
      <c r="Y55" s="1432">
        <f t="shared" ref="Y55" si="50">SUM(U55-V55)</f>
        <v>0</v>
      </c>
      <c r="Z55" s="1435">
        <f>SUM('3 pr-2'!U57)</f>
        <v>599910.61</v>
      </c>
      <c r="AA55" s="1426">
        <f>SUMIF('mokėjimų ataskaita'!$I$13:$I$600,C55,'mokėjimų ataskaita'!$AW$13:$AW$600)/2</f>
        <v>148509.40999999997</v>
      </c>
      <c r="AB55" s="1298">
        <v>137264.79</v>
      </c>
      <c r="AC55" s="1298">
        <f t="shared" si="44"/>
        <v>11244.619999999966</v>
      </c>
      <c r="AD55" s="1427">
        <f t="shared" si="25"/>
        <v>451401.2</v>
      </c>
      <c r="AE55" s="1435">
        <f>SUM('3 pr-2'!X57)</f>
        <v>0</v>
      </c>
      <c r="AF55" s="1296">
        <f>SUMIF('mokėjimų ataskaita'!$I$13:$I$600,C55,'mokėjimų ataskaita'!$AV$13:$AV$600)/2+SUMIF('mokėjimų ataskaita'!$I$13:$I$600,C55,'mokėjimų ataskaita'!$AT$13:$AT$600)/2</f>
        <v>0</v>
      </c>
      <c r="AG55" s="1298"/>
      <c r="AH55" s="1298"/>
      <c r="AI55" s="1432">
        <f t="shared" si="26"/>
        <v>0</v>
      </c>
      <c r="AJ55" s="1435">
        <f>SUM('3 pr-2'!AA57)</f>
        <v>3399493.48</v>
      </c>
      <c r="AK55" s="1426">
        <f>SUMIF('mokėjimų ataskaita'!$I$13:$I$600,C55,'mokėjimų ataskaita'!$AK$13:$AK$600)/2</f>
        <v>917721.99</v>
      </c>
      <c r="AL55" s="1298">
        <v>777833.8</v>
      </c>
      <c r="AM55" s="1298">
        <f t="shared" ref="AM55" si="51">SUM(AK55-AL55)</f>
        <v>139888.18999999994</v>
      </c>
      <c r="AN55" s="1441">
        <f>SUM(AJ55-AK55)</f>
        <v>2481771.4900000002</v>
      </c>
      <c r="AO55" s="1296">
        <f>SUM('3 pr-2'!AB57)</f>
        <v>0</v>
      </c>
      <c r="AP55" s="1432">
        <v>0</v>
      </c>
    </row>
    <row r="56" spans="1:43" ht="38.25" customHeight="1" thickBot="1" x14ac:dyDescent="0.3">
      <c r="A56" s="326" t="str">
        <f>CONCATENATE('3 pr-2'!A58)</f>
        <v>1.1.1.7</v>
      </c>
      <c r="B56" s="2025" t="str">
        <f>CONCATENATE('3 pr-2'!B58)</f>
        <v>Priemonė:
Savivaldybes jungiančių turizmo trasų ir turizmo maršrutų informacinės infrastruktūros plėtra</v>
      </c>
      <c r="C56" s="2026"/>
      <c r="D56" s="2026"/>
      <c r="E56" s="2026"/>
      <c r="F56" s="2026"/>
      <c r="G56" s="2026"/>
      <c r="H56" s="2026"/>
      <c r="I56" s="2026"/>
      <c r="J56" s="2027"/>
      <c r="K56" s="1293">
        <f t="shared" ref="K56:AJ56" si="52">SUM(K57:K59)</f>
        <v>719317.64705882361</v>
      </c>
      <c r="L56" s="1293">
        <f t="shared" si="52"/>
        <v>56149.929999999993</v>
      </c>
      <c r="M56" s="1293">
        <f t="shared" si="52"/>
        <v>0</v>
      </c>
      <c r="N56" s="1293">
        <f t="shared" si="52"/>
        <v>0</v>
      </c>
      <c r="O56" s="1293">
        <f t="shared" si="52"/>
        <v>663167.71705882368</v>
      </c>
      <c r="P56" s="1293">
        <f t="shared" si="52"/>
        <v>107897.64705882352</v>
      </c>
      <c r="Q56" s="1293">
        <f t="shared" si="52"/>
        <v>8422.49</v>
      </c>
      <c r="R56" s="1293">
        <f t="shared" si="52"/>
        <v>0</v>
      </c>
      <c r="S56" s="1293">
        <f t="shared" si="52"/>
        <v>0</v>
      </c>
      <c r="T56" s="1293">
        <f t="shared" si="52"/>
        <v>99475.157058823534</v>
      </c>
      <c r="U56" s="1293">
        <f t="shared" si="52"/>
        <v>0</v>
      </c>
      <c r="V56" s="1293">
        <f t="shared" si="52"/>
        <v>0</v>
      </c>
      <c r="W56" s="1293">
        <f t="shared" si="52"/>
        <v>0</v>
      </c>
      <c r="X56" s="1293">
        <f t="shared" si="52"/>
        <v>0</v>
      </c>
      <c r="Y56" s="1293">
        <f t="shared" si="52"/>
        <v>0</v>
      </c>
      <c r="Z56" s="1293">
        <f t="shared" si="52"/>
        <v>0</v>
      </c>
      <c r="AA56" s="1293">
        <f t="shared" si="52"/>
        <v>0</v>
      </c>
      <c r="AB56" s="1293">
        <f t="shared" si="52"/>
        <v>0</v>
      </c>
      <c r="AC56" s="1293">
        <f t="shared" si="52"/>
        <v>0</v>
      </c>
      <c r="AD56" s="1293">
        <f t="shared" si="52"/>
        <v>0</v>
      </c>
      <c r="AE56" s="1293">
        <f t="shared" si="52"/>
        <v>0</v>
      </c>
      <c r="AF56" s="1293">
        <f t="shared" si="52"/>
        <v>0</v>
      </c>
      <c r="AG56" s="1293">
        <f t="shared" si="52"/>
        <v>0</v>
      </c>
      <c r="AH56" s="1293">
        <f t="shared" si="52"/>
        <v>0</v>
      </c>
      <c r="AI56" s="1293">
        <f t="shared" si="52"/>
        <v>0</v>
      </c>
      <c r="AJ56" s="1293">
        <f t="shared" si="52"/>
        <v>611420</v>
      </c>
      <c r="AK56" s="1293">
        <f>SUM(AK57:AK59)</f>
        <v>47727.439999999995</v>
      </c>
      <c r="AL56" s="1293">
        <f t="shared" ref="AL56:AP56" si="53">SUM(AL57:AL59)</f>
        <v>0</v>
      </c>
      <c r="AM56" s="1293">
        <f t="shared" si="53"/>
        <v>0</v>
      </c>
      <c r="AN56" s="1293">
        <f t="shared" si="53"/>
        <v>563692.56000000006</v>
      </c>
      <c r="AO56" s="1293">
        <f t="shared" si="53"/>
        <v>0</v>
      </c>
      <c r="AP56" s="1293">
        <f t="shared" si="53"/>
        <v>0</v>
      </c>
      <c r="AQ56" s="256">
        <f>SUM(K56-'3 pr-2'!L58)</f>
        <v>0</v>
      </c>
    </row>
    <row r="57" spans="1:43" ht="36.75" x14ac:dyDescent="0.25">
      <c r="A57" s="644" t="str">
        <f>CONCATENATE('3 pr-2'!A59)</f>
        <v>1.1.1.7.1</v>
      </c>
      <c r="B57" s="657" t="str">
        <f>CONCATENATE('3 pr-2'!B59)</f>
        <v>R01-8821-420000-1171</v>
      </c>
      <c r="C57" s="653" t="str">
        <f>CONCATENATE('ketv. 6 '!C58)</f>
        <v>05.4.1-LVPA-R-821-11-0002</v>
      </c>
      <c r="D57" s="182" t="str">
        <f>CONCATENATE('3 pr-2'!D59)</f>
        <v>Alytaus regiono turizmo informacinės infrastruktūros plėtra</v>
      </c>
      <c r="E57" s="182" t="str">
        <f>CONCATENATE('3 pr-2'!E59)</f>
        <v>Alytaus miesto savivaldybės administracija</v>
      </c>
      <c r="F57" s="182" t="str">
        <f>CONCATENATE('3 pr-2'!F59)</f>
        <v>Lietuvos Respublikos ūkio ministerija</v>
      </c>
      <c r="G57" s="182" t="str">
        <f>CONCATENATE('3 pr-2'!G59)</f>
        <v>Alytaus m. sav.</v>
      </c>
      <c r="H57" s="182" t="str">
        <f>CONCATENATE('3 pr-2'!H59)</f>
        <v>05.4.1-LVPA-R-821</v>
      </c>
      <c r="I57" s="182" t="str">
        <f>CONCATENATE('3 pr-2'!I59)</f>
        <v>R</v>
      </c>
      <c r="J57" s="182" t="str">
        <f>CONCATENATE('3 pr-2'!J59)</f>
        <v>-</v>
      </c>
      <c r="K57" s="1435">
        <f>SUM('3 pr-2'!L59)</f>
        <v>208223.52941176473</v>
      </c>
      <c r="L57" s="1426">
        <f t="shared" ref="L57:L59" si="54">SUM(Q57+V57+AA57+AF57+AK57)</f>
        <v>0</v>
      </c>
      <c r="M57" s="1298"/>
      <c r="N57" s="1298"/>
      <c r="O57" s="1427">
        <f t="shared" si="6"/>
        <v>208223.52941176473</v>
      </c>
      <c r="P57" s="1435">
        <f>SUM('3 pr-2'!O59)</f>
        <v>31233.529411764706</v>
      </c>
      <c r="Q57" s="1426">
        <f>SUMIF('mokėjimų ataskaita'!$I$13:$I$600,C57,'mokėjimų ataskaita'!$AU$13:$AU$600)/2</f>
        <v>0</v>
      </c>
      <c r="R57" s="1298"/>
      <c r="S57" s="1298"/>
      <c r="T57" s="1427">
        <f>SUM(P57-Q57)</f>
        <v>31233.529411764706</v>
      </c>
      <c r="U57" s="1435">
        <f>SUM('3 pr-2'!R59)</f>
        <v>0</v>
      </c>
      <c r="V57" s="1296">
        <f>SUMIF('mokėjimų ataskaita'!$I$13:$I$600,C57,'mokėjimų ataskaita'!$AL$13:$AL$600)/2</f>
        <v>0</v>
      </c>
      <c r="W57" s="1298"/>
      <c r="X57" s="1298"/>
      <c r="Y57" s="1427">
        <f t="shared" si="24"/>
        <v>0</v>
      </c>
      <c r="Z57" s="1435">
        <f>SUM('3 pr-2'!U59)</f>
        <v>0</v>
      </c>
      <c r="AA57" s="1296">
        <f>SUMIF('mokėjimų ataskaita'!$I$13:$I$600,C57,'mokėjimų ataskaita'!$AW$13:$AW$600)/2</f>
        <v>0</v>
      </c>
      <c r="AB57" s="1298"/>
      <c r="AC57" s="1298"/>
      <c r="AD57" s="1427">
        <f t="shared" si="25"/>
        <v>0</v>
      </c>
      <c r="AE57" s="1435">
        <f>SUM('3 pr-2'!X59)</f>
        <v>0</v>
      </c>
      <c r="AF57" s="1296">
        <f>SUMIF('mokėjimų ataskaita'!$I$13:$I$600,C57,'mokėjimų ataskaita'!$AV$13:$AV$600)/2+SUMIF('mokėjimų ataskaita'!$I$13:$I$600,C57,'mokėjimų ataskaita'!$AT$13:$AT$600)/2</f>
        <v>0</v>
      </c>
      <c r="AG57" s="1298"/>
      <c r="AH57" s="1298"/>
      <c r="AI57" s="1427">
        <f t="shared" si="26"/>
        <v>0</v>
      </c>
      <c r="AJ57" s="1435">
        <f>SUM('3 pr-2'!AA59)</f>
        <v>176990</v>
      </c>
      <c r="AK57" s="1426">
        <f>SUMIF('mokėjimų ataskaita'!$I$13:$I$600,C57,'mokėjimų ataskaita'!$AK$13:$AK$600)/2</f>
        <v>0</v>
      </c>
      <c r="AL57" s="1298"/>
      <c r="AM57" s="1298"/>
      <c r="AN57" s="1429">
        <f>SUM(AJ57-AK57)</f>
        <v>176990</v>
      </c>
      <c r="AO57" s="1296">
        <f>SUM('3 pr-2'!AB59)</f>
        <v>0</v>
      </c>
      <c r="AP57" s="1426">
        <v>0</v>
      </c>
    </row>
    <row r="58" spans="1:43" ht="48.75" x14ac:dyDescent="0.25">
      <c r="A58" s="644" t="str">
        <f>CONCATENATE('3 pr-2'!A60)</f>
        <v>1.1.1.7.2</v>
      </c>
      <c r="B58" s="657" t="str">
        <f>CONCATENATE('3 pr-2'!B60)</f>
        <v>R01-8821-420000-1172</v>
      </c>
      <c r="C58" s="653" t="str">
        <f>CONCATENATE('ketv. 6 '!C59)</f>
        <v>05.4.1-LVPA-R-821-11-0001</v>
      </c>
      <c r="D58" s="182" t="str">
        <f>CONCATENATE('3 pr-2'!D60)</f>
        <v>„Turizmo trasų ir maršrutų informacinės infrastruktūros plėtra  Lazdijų, Varėnos rajonų ir Druskininkų savivaldybėse“</v>
      </c>
      <c r="E58" s="182" t="str">
        <f>CONCATENATE('3 pr-2'!E60)</f>
        <v>Lazdijų rajono savivaldybės administracija</v>
      </c>
      <c r="F58" s="182" t="str">
        <f>CONCATENATE('3 pr-2'!F60)</f>
        <v>Lietuvos Respublikos ūkio ministerija</v>
      </c>
      <c r="G58" s="182" t="str">
        <f>CONCATENATE('3 pr-2'!G60)</f>
        <v xml:space="preserve">Lazdijų, Varėnos rajonų ir Druskininkų savivaldybės </v>
      </c>
      <c r="H58" s="182" t="str">
        <f>CONCATENATE('3 pr-2'!H60)</f>
        <v>05.4.1-LVPA-R-821</v>
      </c>
      <c r="I58" s="182" t="str">
        <f>CONCATENATE('3 pr-2'!I60)</f>
        <v>R</v>
      </c>
      <c r="J58" s="182" t="str">
        <f>CONCATENATE('3 pr-2'!J60)</f>
        <v>-</v>
      </c>
      <c r="K58" s="1435">
        <f>SUM('3 pr-2'!L60)</f>
        <v>288106</v>
      </c>
      <c r="L58" s="1426">
        <f t="shared" si="54"/>
        <v>56149.929999999993</v>
      </c>
      <c r="M58" s="1298"/>
      <c r="N58" s="1298"/>
      <c r="O58" s="1427">
        <f t="shared" si="6"/>
        <v>231956.07</v>
      </c>
      <c r="P58" s="1435">
        <f>SUM('3 pr-2'!O60)</f>
        <v>43215.9</v>
      </c>
      <c r="Q58" s="1426">
        <f>SUMIF('mokėjimų ataskaita'!$I$13:$I$600,C58,'mokėjimų ataskaita'!$AU$13:$AU$600)/2</f>
        <v>8422.49</v>
      </c>
      <c r="R58" s="1298"/>
      <c r="S58" s="1298"/>
      <c r="T58" s="1427">
        <f>SUM(P58-Q58)</f>
        <v>34793.410000000003</v>
      </c>
      <c r="U58" s="1435">
        <f>SUM('3 pr-2'!R60)</f>
        <v>0</v>
      </c>
      <c r="V58" s="1296">
        <f>SUMIF('mokėjimų ataskaita'!$I$13:$I$600,C58,'mokėjimų ataskaita'!$AL$13:$AL$600)/2</f>
        <v>0</v>
      </c>
      <c r="W58" s="1298"/>
      <c r="X58" s="1298"/>
      <c r="Y58" s="1427">
        <f t="shared" si="24"/>
        <v>0</v>
      </c>
      <c r="Z58" s="1435">
        <f>SUM('3 pr-2'!U60)</f>
        <v>0</v>
      </c>
      <c r="AA58" s="1296">
        <f>SUMIF('mokėjimų ataskaita'!$I$13:$I$600,C58,'mokėjimų ataskaita'!$AW$13:$AW$600)/2</f>
        <v>0</v>
      </c>
      <c r="AB58" s="1298"/>
      <c r="AC58" s="1298"/>
      <c r="AD58" s="1427">
        <f t="shared" si="25"/>
        <v>0</v>
      </c>
      <c r="AE58" s="1435">
        <f>SUM('3 pr-2'!X60)</f>
        <v>0</v>
      </c>
      <c r="AF58" s="1296">
        <f>SUMIF('mokėjimų ataskaita'!$I$13:$I$600,C58,'mokėjimų ataskaita'!$AV$13:$AV$600)/2+SUMIF('mokėjimų ataskaita'!$I$13:$I$600,C58,'mokėjimų ataskaita'!$AT$13:$AT$600)/2</f>
        <v>0</v>
      </c>
      <c r="AG58" s="1298"/>
      <c r="AH58" s="1298"/>
      <c r="AI58" s="1427">
        <f t="shared" si="26"/>
        <v>0</v>
      </c>
      <c r="AJ58" s="1435">
        <f>SUM('3 pr-2'!AA60)</f>
        <v>244890.1</v>
      </c>
      <c r="AK58" s="1426">
        <f>SUMIF('mokėjimų ataskaita'!$I$13:$I$600,C58,'mokėjimų ataskaita'!$AK$13:$AK$600)/2</f>
        <v>47727.439999999995</v>
      </c>
      <c r="AL58" s="1298"/>
      <c r="AM58" s="1298"/>
      <c r="AN58" s="1429">
        <f>SUM(AJ58-AK58)</f>
        <v>197162.66</v>
      </c>
      <c r="AO58" s="1296">
        <f>SUM('3 pr-2'!AB60)</f>
        <v>0</v>
      </c>
      <c r="AP58" s="1426">
        <v>0</v>
      </c>
    </row>
    <row r="59" spans="1:43" ht="61.5" thickBot="1" x14ac:dyDescent="0.3">
      <c r="A59" s="644" t="str">
        <f>CONCATENATE('3 pr-2'!A61)</f>
        <v>1.1.1.7.3</v>
      </c>
      <c r="B59" s="657" t="str">
        <f>CONCATENATE('3 pr-2'!B61)</f>
        <v>R01-8821-420000-1173</v>
      </c>
      <c r="C59" s="653" t="str">
        <f>CONCATENATE('ketv. 6 '!C60)</f>
        <v>-</v>
      </c>
      <c r="D59" s="182" t="str">
        <f>CONCATENATE('3 pr-2'!D61)</f>
        <v>„Turizmo trasų ir maršrutų informacinės infrastruktūros plėtra  Lazdijų, Varėnos rajonų ir Druskininkų savivaldybėse II etapas“</v>
      </c>
      <c r="E59" s="182" t="str">
        <f>CONCATENATE('3 pr-2'!E61)</f>
        <v>Lazdijų rajono savivaldybės administracija</v>
      </c>
      <c r="F59" s="182" t="str">
        <f>CONCATENATE('3 pr-2'!F61)</f>
        <v>Lietuvos Respublikos ūkio ministerija</v>
      </c>
      <c r="G59" s="182" t="str">
        <f>CONCATENATE('3 pr-2'!G61)</f>
        <v xml:space="preserve">Lazdijų, Varėnos rajonų ir Druskininkų savivaldybės </v>
      </c>
      <c r="H59" s="182" t="str">
        <f>CONCATENATE('3 pr-2'!H61)</f>
        <v>05.4.1-LVPA-R-821</v>
      </c>
      <c r="I59" s="182" t="str">
        <f>CONCATENATE('3 pr-2'!I61)</f>
        <v>R</v>
      </c>
      <c r="J59" s="182" t="str">
        <f>CONCATENATE('3 pr-2'!J61)</f>
        <v>-</v>
      </c>
      <c r="K59" s="1435">
        <f>SUM('3 pr-2'!L61)</f>
        <v>222988.11764705885</v>
      </c>
      <c r="L59" s="1296">
        <f t="shared" si="54"/>
        <v>0</v>
      </c>
      <c r="M59" s="1298"/>
      <c r="N59" s="1298"/>
      <c r="O59" s="1427">
        <f t="shared" si="6"/>
        <v>222988.11764705885</v>
      </c>
      <c r="P59" s="1435">
        <f>SUM('3 pr-2'!O61)</f>
        <v>33448.217647058824</v>
      </c>
      <c r="Q59" s="1296">
        <f>SUMIF('mokėjimų ataskaita'!$I$13:$I$600,C59,'mokėjimų ataskaita'!$AU$13:$AU$600)/2</f>
        <v>0</v>
      </c>
      <c r="R59" s="1298"/>
      <c r="S59" s="1298"/>
      <c r="T59" s="1427">
        <f>SUM(P59-Q59)</f>
        <v>33448.217647058824</v>
      </c>
      <c r="U59" s="1435">
        <f>SUM('3 pr-2'!R61)</f>
        <v>0</v>
      </c>
      <c r="V59" s="1296">
        <f>SUMIF('mokėjimų ataskaita'!$I$13:$I$600,C59,'mokėjimų ataskaita'!$AL$13:$AL$600)/2</f>
        <v>0</v>
      </c>
      <c r="W59" s="1298"/>
      <c r="X59" s="1298"/>
      <c r="Y59" s="1427">
        <f t="shared" si="24"/>
        <v>0</v>
      </c>
      <c r="Z59" s="1435">
        <f>SUM('3 pr-2'!U61)</f>
        <v>0</v>
      </c>
      <c r="AA59" s="1296">
        <f>SUMIF('mokėjimų ataskaita'!$I$13:$I$600,C59,'mokėjimų ataskaita'!$AW$13:$AW$600)/2</f>
        <v>0</v>
      </c>
      <c r="AB59" s="1298"/>
      <c r="AC59" s="1298"/>
      <c r="AD59" s="1427">
        <f t="shared" si="25"/>
        <v>0</v>
      </c>
      <c r="AE59" s="1435">
        <f>SUM('3 pr-2'!X61)</f>
        <v>0</v>
      </c>
      <c r="AF59" s="1296">
        <f>SUMIF('mokėjimų ataskaita'!$I$13:$I$600,C59,'mokėjimų ataskaita'!$AV$13:$AV$600)/2+SUMIF('mokėjimų ataskaita'!$I$13:$I$600,C59,'mokėjimų ataskaita'!$AT$13:$AT$600)/2</f>
        <v>0</v>
      </c>
      <c r="AG59" s="1298"/>
      <c r="AH59" s="1298"/>
      <c r="AI59" s="1427">
        <f t="shared" si="26"/>
        <v>0</v>
      </c>
      <c r="AJ59" s="1435">
        <f>SUM('3 pr-2'!AA61)</f>
        <v>189539.9</v>
      </c>
      <c r="AK59" s="1296">
        <f>SUMIF('mokėjimų ataskaita'!I17:I604,C59,'mokėjimų ataskaita'!AK17:AK604)/2</f>
        <v>0</v>
      </c>
      <c r="AL59" s="1298"/>
      <c r="AM59" s="1298"/>
      <c r="AN59" s="1447">
        <f>SUM(AJ59-AK59)</f>
        <v>189539.9</v>
      </c>
      <c r="AO59" s="1296">
        <f>SUM('3 pr-2'!AB61)</f>
        <v>0</v>
      </c>
      <c r="AP59" s="1432">
        <v>0</v>
      </c>
    </row>
    <row r="60" spans="1:43" ht="41.25" customHeight="1" thickBot="1" x14ac:dyDescent="0.3">
      <c r="A60" s="326" t="str">
        <f>CONCATENATE('3 pr-2'!A62)</f>
        <v>1.1.1.8</v>
      </c>
      <c r="B60" s="2025" t="str">
        <f>CONCATENATE('3 pr-2'!B62)</f>
        <v>Priemonė:
Modernizuoti savivaldybių kultūros infrastruktūrą</v>
      </c>
      <c r="C60" s="2026"/>
      <c r="D60" s="2026"/>
      <c r="E60" s="2026"/>
      <c r="F60" s="2026"/>
      <c r="G60" s="2026"/>
      <c r="H60" s="2026"/>
      <c r="I60" s="2026"/>
      <c r="J60" s="2027"/>
      <c r="K60" s="1293">
        <f t="shared" ref="K60:AJ60" si="55">SUM(K61:K64)</f>
        <v>1972835.5100000002</v>
      </c>
      <c r="L60" s="1293">
        <f t="shared" si="55"/>
        <v>1132712.5499999998</v>
      </c>
      <c r="M60" s="1293">
        <f t="shared" si="55"/>
        <v>284080.76</v>
      </c>
      <c r="N60" s="1293">
        <f t="shared" si="55"/>
        <v>848631.78999999992</v>
      </c>
      <c r="O60" s="1293">
        <f t="shared" si="55"/>
        <v>840122.96000000008</v>
      </c>
      <c r="P60" s="1293">
        <f t="shared" si="55"/>
        <v>422270.99</v>
      </c>
      <c r="Q60" s="1293">
        <f t="shared" si="55"/>
        <v>158734.94</v>
      </c>
      <c r="R60" s="1293">
        <f t="shared" si="55"/>
        <v>14354.630000000001</v>
      </c>
      <c r="S60" s="1293">
        <f t="shared" si="55"/>
        <v>144380.31</v>
      </c>
      <c r="T60" s="1293">
        <f t="shared" si="55"/>
        <v>263536.05000000005</v>
      </c>
      <c r="U60" s="1293">
        <f t="shared" si="55"/>
        <v>0</v>
      </c>
      <c r="V60" s="1293">
        <f t="shared" si="55"/>
        <v>0</v>
      </c>
      <c r="W60" s="1293">
        <f t="shared" si="55"/>
        <v>5651.88</v>
      </c>
      <c r="X60" s="1293">
        <f t="shared" si="55"/>
        <v>-5651.88</v>
      </c>
      <c r="Y60" s="1293">
        <f t="shared" si="55"/>
        <v>0</v>
      </c>
      <c r="Z60" s="1293">
        <f t="shared" si="55"/>
        <v>0</v>
      </c>
      <c r="AA60" s="1293">
        <f t="shared" si="55"/>
        <v>0</v>
      </c>
      <c r="AB60" s="1293">
        <f t="shared" si="55"/>
        <v>0</v>
      </c>
      <c r="AC60" s="1293">
        <f t="shared" si="55"/>
        <v>0</v>
      </c>
      <c r="AD60" s="1293">
        <f t="shared" si="55"/>
        <v>0</v>
      </c>
      <c r="AE60" s="1293">
        <f t="shared" si="55"/>
        <v>352400.82</v>
      </c>
      <c r="AF60" s="1293">
        <f t="shared" si="55"/>
        <v>284116.38</v>
      </c>
      <c r="AG60" s="1293">
        <f t="shared" si="55"/>
        <v>0</v>
      </c>
      <c r="AH60" s="1293">
        <f t="shared" si="55"/>
        <v>0</v>
      </c>
      <c r="AI60" s="1293">
        <f t="shared" si="55"/>
        <v>68284.44</v>
      </c>
      <c r="AJ60" s="1293">
        <f t="shared" si="55"/>
        <v>1198163.7</v>
      </c>
      <c r="AK60" s="1293">
        <f>SUM(AK61:AK64)</f>
        <v>689861.22999999986</v>
      </c>
      <c r="AL60" s="1293">
        <f t="shared" ref="AL60:AP60" si="56">SUM(AL61:AL64)</f>
        <v>264074.25</v>
      </c>
      <c r="AM60" s="1293">
        <f t="shared" si="56"/>
        <v>425786.97999999986</v>
      </c>
      <c r="AN60" s="1293">
        <f t="shared" si="56"/>
        <v>508302.47000000009</v>
      </c>
      <c r="AO60" s="1293">
        <f t="shared" si="56"/>
        <v>0</v>
      </c>
      <c r="AP60" s="1293">
        <f t="shared" si="56"/>
        <v>0</v>
      </c>
      <c r="AQ60" s="256">
        <f>SUM(K60-'3 pr-2'!L62)</f>
        <v>0</v>
      </c>
    </row>
    <row r="61" spans="1:43" ht="36.75" x14ac:dyDescent="0.25">
      <c r="A61" s="644" t="str">
        <f>CONCATENATE('3 pr-2'!A63)</f>
        <v>1.1.1.8.1</v>
      </c>
      <c r="B61" s="657" t="str">
        <f>CONCATENATE('3 pr-2'!B63)</f>
        <v>R01-3305-330000-1181</v>
      </c>
      <c r="C61" s="653" t="str">
        <f>CONCATENATE('ketv. 6 '!C62)</f>
        <v>07.1.1-CPVA-R-305-11-0001</v>
      </c>
      <c r="D61" s="182" t="str">
        <f>CONCATENATE('3 pr-2'!D63)</f>
        <v>Kultūros įstaigų infrastruktūros modernizavimas Varėnos mieste</v>
      </c>
      <c r="E61" s="182" t="str">
        <f>CONCATENATE('3 pr-2'!E63)</f>
        <v>Varėnos rajono savivaldybės administracija</v>
      </c>
      <c r="F61" s="182" t="str">
        <f>CONCATENATE('3 pr-2'!F63)</f>
        <v>Lietuvos Respublikos kultūros ministerija</v>
      </c>
      <c r="G61" s="182" t="str">
        <f>CONCATENATE('3 pr-2'!G63)</f>
        <v>Varėnos r. sav.</v>
      </c>
      <c r="H61" s="182" t="str">
        <f>CONCATENATE('3 pr-2'!H63)</f>
        <v>07.1.1-CPVA-R-305</v>
      </c>
      <c r="I61" s="182" t="str">
        <f>CONCATENATE('3 pr-2'!I63)</f>
        <v>R</v>
      </c>
      <c r="J61" s="182" t="str">
        <f>CONCATENATE('3 pr-2'!J63)</f>
        <v>ITI</v>
      </c>
      <c r="K61" s="1435">
        <f>SUM('3 pr-2'!L63)</f>
        <v>352401</v>
      </c>
      <c r="L61" s="1426">
        <f t="shared" ref="L61:L64" si="57">SUM(Q61+V61+AA61+AF61+AK61)</f>
        <v>307672.8</v>
      </c>
      <c r="M61" s="1298">
        <v>171518.59000000003</v>
      </c>
      <c r="N61" s="1298">
        <f>SUM(L61-M61)</f>
        <v>136154.20999999996</v>
      </c>
      <c r="O61" s="1432">
        <f t="shared" si="6"/>
        <v>44728.200000000012</v>
      </c>
      <c r="P61" s="1435">
        <f>SUM('3 pr-2'!O63)</f>
        <v>52860.15</v>
      </c>
      <c r="Q61" s="1426">
        <f>SUMIF('mokėjimų ataskaita'!$I$13:$I$600,C61,'mokėjimų ataskaita'!$AU$13:$AU$600)/2</f>
        <v>32671.580000000005</v>
      </c>
      <c r="R61" s="1298">
        <v>12248.45</v>
      </c>
      <c r="S61" s="1298">
        <f t="shared" ref="S61:S64" si="58">SUM(Q61-R61)</f>
        <v>20423.130000000005</v>
      </c>
      <c r="T61" s="1432">
        <f>SUM(P61-Q61)</f>
        <v>20188.569999999996</v>
      </c>
      <c r="U61" s="1435">
        <f>SUM('3 pr-2'!R63)</f>
        <v>0</v>
      </c>
      <c r="V61" s="1432">
        <f>SUMIF('mokėjimų ataskaita'!$I$13:$I$600,C61,'mokėjimų ataskaita'!$AL$13:$AL$600)/2</f>
        <v>0</v>
      </c>
      <c r="W61" s="1298">
        <v>0</v>
      </c>
      <c r="X61" s="1298">
        <f t="shared" ref="X61:X64" si="59">SUM(V61-W61)</f>
        <v>0</v>
      </c>
      <c r="Y61" s="1432">
        <f t="shared" ref="Y61:Y64" si="60">SUM(U61-V61)</f>
        <v>0</v>
      </c>
      <c r="Z61" s="1435">
        <f>SUM('3 pr-2'!U63)</f>
        <v>0</v>
      </c>
      <c r="AA61" s="1432">
        <f>SUMIF('mokėjimų ataskaita'!$I$13:$I$600,C61,'mokėjimų ataskaita'!$AW$13:$AW$600)/2</f>
        <v>0</v>
      </c>
      <c r="AB61" s="1298"/>
      <c r="AC61" s="1298"/>
      <c r="AD61" s="1432">
        <f t="shared" ref="AD61:AD64" si="61">SUM(Z61-AA61)</f>
        <v>0</v>
      </c>
      <c r="AE61" s="1435">
        <f>SUM('3 pr-2'!X63)</f>
        <v>0</v>
      </c>
      <c r="AF61" s="1296">
        <f>SUMIF('mokėjimų ataskaita'!$I$13:$I$600,C61,'mokėjimų ataskaita'!$AV$13:$AV$600)/2+SUMIF('mokėjimų ataskaita'!$I$13:$I$600,C61,'mokėjimų ataskaita'!$AT$13:$AT$600)/2</f>
        <v>0</v>
      </c>
      <c r="AG61" s="1298"/>
      <c r="AH61" s="1298"/>
      <c r="AI61" s="1432">
        <f t="shared" ref="AI61:AI64" si="62">SUM(AE61-AF61)</f>
        <v>0</v>
      </c>
      <c r="AJ61" s="1435">
        <f>SUM('3 pr-2'!AA63)</f>
        <v>299540.84999999998</v>
      </c>
      <c r="AK61" s="1426">
        <f>SUMIF('mokėjimų ataskaita'!$I$13:$I$600,C61,'mokėjimų ataskaita'!$AK$13:$AK$600)/2</f>
        <v>275001.21999999997</v>
      </c>
      <c r="AL61" s="1298">
        <v>159270.14000000001</v>
      </c>
      <c r="AM61" s="1298">
        <f t="shared" ref="AM61:AM64" si="63">SUM(AK61-AL61)</f>
        <v>115731.07999999996</v>
      </c>
      <c r="AN61" s="1454">
        <f>SUM(AJ61-AK61)</f>
        <v>24539.630000000005</v>
      </c>
      <c r="AO61" s="1296">
        <f>SUM('3 pr-2'!AB63)</f>
        <v>0</v>
      </c>
      <c r="AP61" s="1426">
        <v>0</v>
      </c>
    </row>
    <row r="62" spans="1:43" ht="48.75" x14ac:dyDescent="0.25">
      <c r="A62" s="644" t="str">
        <f>CONCATENATE('3 pr-2'!A64)</f>
        <v>1.1.1.8.2</v>
      </c>
      <c r="B62" s="657" t="str">
        <f>CONCATENATE('3 pr-2'!B64)</f>
        <v>R01-3305-330000-1182</v>
      </c>
      <c r="C62" s="653" t="str">
        <f>CONCATENATE('ketv. 6 '!C63)</f>
        <v>07.1.1-CPVA-R-305-11-0002</v>
      </c>
      <c r="D62" s="182" t="str">
        <f>CONCATENATE('3 pr-2'!D64)</f>
        <v>VšĮ Alytaus kultūros ir komunikacijos centro pastato Alytuje, Pramonės g. 1B, rekonstravimas</v>
      </c>
      <c r="E62" s="182" t="str">
        <f>CONCATENATE('3 pr-2'!E64)</f>
        <v>Alytaus miesto savivaldybės administracija</v>
      </c>
      <c r="F62" s="182" t="str">
        <f>CONCATENATE('3 pr-2'!F64)</f>
        <v>Lietuvos Respublikos kultūros ministerija</v>
      </c>
      <c r="G62" s="182" t="str">
        <f>CONCATENATE('3 pr-2'!G64)</f>
        <v>Alytaus m. sav.</v>
      </c>
      <c r="H62" s="182" t="str">
        <f>CONCATENATE('3 pr-2'!H64)</f>
        <v>07.1.1-CPVA-R-305</v>
      </c>
      <c r="I62" s="182" t="str">
        <f>CONCATENATE('3 pr-2'!I64)</f>
        <v>R</v>
      </c>
      <c r="J62" s="182" t="str">
        <f>CONCATENATE('3 pr-2'!J64)</f>
        <v>ITI</v>
      </c>
      <c r="K62" s="1435">
        <f>SUM('3 pr-2'!L64)</f>
        <v>783264.16</v>
      </c>
      <c r="L62" s="1426">
        <f t="shared" si="57"/>
        <v>685491.66999999993</v>
      </c>
      <c r="M62" s="1298">
        <v>92562.17</v>
      </c>
      <c r="N62" s="1298">
        <f t="shared" ref="N62:N64" si="64">SUM(L62-M62)</f>
        <v>592929.49999999988</v>
      </c>
      <c r="O62" s="1432">
        <f t="shared" ref="O62:O64" si="65">SUM(K62-L62)</f>
        <v>97772.490000000107</v>
      </c>
      <c r="P62" s="1435">
        <f>SUM('3 pr-2'!O64)</f>
        <v>131322.34</v>
      </c>
      <c r="Q62" s="1426">
        <f>SUMIF('mokėjimų ataskaita'!$I$13:$I$600,C62,'mokėjimų ataskaita'!$AU$13:$AU$600)/2</f>
        <v>105876.10999999999</v>
      </c>
      <c r="R62" s="1298">
        <v>2106.1799999999998</v>
      </c>
      <c r="S62" s="1298">
        <f t="shared" si="58"/>
        <v>103769.93</v>
      </c>
      <c r="T62" s="1432">
        <f>SUM(P62-Q62)</f>
        <v>25446.23000000001</v>
      </c>
      <c r="U62" s="1435">
        <f>SUM('3 pr-2'!R64)</f>
        <v>0</v>
      </c>
      <c r="V62" s="1426">
        <f>SUMIF('mokėjimų ataskaita'!$I$13:$I$600,C62,'mokėjimų ataskaita'!$AL$13:$AL$600)/2</f>
        <v>0</v>
      </c>
      <c r="W62" s="1298">
        <v>5651.88</v>
      </c>
      <c r="X62" s="1298">
        <f t="shared" si="59"/>
        <v>-5651.88</v>
      </c>
      <c r="Y62" s="1432">
        <f t="shared" si="60"/>
        <v>0</v>
      </c>
      <c r="Z62" s="1435">
        <f>SUM('3 pr-2'!U64)</f>
        <v>0</v>
      </c>
      <c r="AA62" s="1432">
        <f>SUMIF('mokėjimų ataskaita'!$I$13:$I$600,C62,'mokėjimų ataskaita'!$AW$13:$AW$600)/2</f>
        <v>0</v>
      </c>
      <c r="AB62" s="1298"/>
      <c r="AC62" s="1298"/>
      <c r="AD62" s="1432">
        <f t="shared" si="61"/>
        <v>0</v>
      </c>
      <c r="AE62" s="1435">
        <f>SUM('3 pr-2'!X64)</f>
        <v>352400.82</v>
      </c>
      <c r="AF62" s="1715">
        <f>SUMIF('mokėjimų ataskaita'!$I$13:$I$600,C62,'mokėjimų ataskaita'!$AV$13:$AV$600)/2+SUMIF('mokėjimų ataskaita'!$I$13:$I$600,C62,'mokėjimų ataskaita'!$AT$13:$AT$600)/2</f>
        <v>284116.38</v>
      </c>
      <c r="AG62" s="1298"/>
      <c r="AH62" s="1298"/>
      <c r="AI62" s="1432">
        <f t="shared" si="62"/>
        <v>68284.44</v>
      </c>
      <c r="AJ62" s="1435">
        <f>SUM('3 pr-2'!AA64)</f>
        <v>299541</v>
      </c>
      <c r="AK62" s="1426">
        <f>SUMIF('mokėjimų ataskaita'!$I$13:$I$600,C62,'mokėjimų ataskaita'!$AK$13:$AK$600)/2</f>
        <v>295499.17999999993</v>
      </c>
      <c r="AL62" s="1298">
        <v>84804.11</v>
      </c>
      <c r="AM62" s="1298">
        <f t="shared" si="63"/>
        <v>210695.06999999995</v>
      </c>
      <c r="AN62" s="1454">
        <f>SUM(AJ62-AK62)</f>
        <v>4041.8200000000652</v>
      </c>
      <c r="AO62" s="1296">
        <f>SUM('3 pr-2'!AB64)</f>
        <v>0</v>
      </c>
      <c r="AP62" s="1426">
        <v>0</v>
      </c>
    </row>
    <row r="63" spans="1:43" ht="48.75" x14ac:dyDescent="0.25">
      <c r="A63" s="644" t="str">
        <f>CONCATENATE('3 pr-2'!A65)</f>
        <v>1.1.1.8.3</v>
      </c>
      <c r="B63" s="657" t="str">
        <f>CONCATENATE('3 pr-2'!B65)</f>
        <v>R01-3305-330000-1183</v>
      </c>
      <c r="C63" s="653" t="str">
        <f>CONCATENATE('ketv. 6 '!C64)</f>
        <v>07.1.1-CPVA-R-305-11-0003</v>
      </c>
      <c r="D63" s="182" t="str">
        <f>CONCATENATE('3 pr-2'!D65)</f>
        <v>Druskininkų kultūros centro lauko scenos, Vilniaus al. 24, Druskininkai, modernizavimas ir pritaikymas kultūros  poreikiams</v>
      </c>
      <c r="E63" s="182" t="str">
        <f>CONCATENATE('3 pr-2'!E65)</f>
        <v xml:space="preserve">Druskininkų savivaldybės administracija  </v>
      </c>
      <c r="F63" s="182" t="str">
        <f>CONCATENATE('3 pr-2'!F65)</f>
        <v>Lietuvos Respublikos kultūros ministerija</v>
      </c>
      <c r="G63" s="182" t="str">
        <f>CONCATENATE('3 pr-2'!G65)</f>
        <v>Druskininkų sav.</v>
      </c>
      <c r="H63" s="182" t="str">
        <f>CONCATENATE('3 pr-2'!H65)</f>
        <v>07.1.1-CPVA-R-305</v>
      </c>
      <c r="I63" s="182" t="str">
        <f>CONCATENATE('3 pr-2'!I65)</f>
        <v>R</v>
      </c>
      <c r="J63" s="182" t="str">
        <f>CONCATENATE('3 pr-2'!J65)</f>
        <v>ITI</v>
      </c>
      <c r="K63" s="1435">
        <f>SUM('3 pr-2'!L65)</f>
        <v>352401</v>
      </c>
      <c r="L63" s="1426">
        <f t="shared" si="57"/>
        <v>116906.44</v>
      </c>
      <c r="M63" s="1298">
        <v>20000</v>
      </c>
      <c r="N63" s="1298">
        <f t="shared" si="64"/>
        <v>96906.44</v>
      </c>
      <c r="O63" s="1432">
        <f t="shared" si="65"/>
        <v>235494.56</v>
      </c>
      <c r="P63" s="1435">
        <f>SUM('3 pr-2'!O65)</f>
        <v>52860.15</v>
      </c>
      <c r="Q63" s="1426">
        <f>SUMIF('mokėjimų ataskaita'!$I$13:$I$600,C63,'mokėjimų ataskaita'!$AU$13:$AU$600)/2</f>
        <v>11535.970000000001</v>
      </c>
      <c r="R63" s="1298">
        <v>0</v>
      </c>
      <c r="S63" s="1298">
        <f t="shared" si="58"/>
        <v>11535.970000000001</v>
      </c>
      <c r="T63" s="1432">
        <f>SUM(P63-Q63)</f>
        <v>41324.18</v>
      </c>
      <c r="U63" s="1435">
        <f>SUM('3 pr-2'!R65)</f>
        <v>0</v>
      </c>
      <c r="V63" s="1432">
        <f>SUMIF('mokėjimų ataskaita'!$I$13:$I$600,C63,'mokėjimų ataskaita'!$AL$13:$AL$600)/2</f>
        <v>0</v>
      </c>
      <c r="W63" s="1298">
        <v>0</v>
      </c>
      <c r="X63" s="1298">
        <f t="shared" si="59"/>
        <v>0</v>
      </c>
      <c r="Y63" s="1432">
        <f t="shared" si="60"/>
        <v>0</v>
      </c>
      <c r="Z63" s="1435">
        <f>SUM('3 pr-2'!U65)</f>
        <v>0</v>
      </c>
      <c r="AA63" s="1432">
        <f>SUMIF('mokėjimų ataskaita'!$I$13:$I$600,C63,'mokėjimų ataskaita'!$AW$13:$AW$600)/2</f>
        <v>0</v>
      </c>
      <c r="AB63" s="1298"/>
      <c r="AC63" s="1298"/>
      <c r="AD63" s="1432">
        <f t="shared" si="61"/>
        <v>0</v>
      </c>
      <c r="AE63" s="1435">
        <f>SUM('3 pr-2'!X65)</f>
        <v>0</v>
      </c>
      <c r="AF63" s="1296">
        <f>SUMIF('mokėjimų ataskaita'!$I$13:$I$600,C63,'mokėjimų ataskaita'!$AV$13:$AV$600)/2+SUMIF('mokėjimų ataskaita'!$I$13:$I$600,C63,'mokėjimų ataskaita'!$AT$13:$AT$600)/2</f>
        <v>0</v>
      </c>
      <c r="AG63" s="1298"/>
      <c r="AH63" s="1298"/>
      <c r="AI63" s="1432">
        <f t="shared" si="62"/>
        <v>0</v>
      </c>
      <c r="AJ63" s="1435">
        <f>SUM('3 pr-2'!AA65)</f>
        <v>299540.84999999998</v>
      </c>
      <c r="AK63" s="1426">
        <f>SUMIF('mokėjimų ataskaita'!$I$13:$I$600,C63,'mokėjimų ataskaita'!$AK$13:$AK$600)/2</f>
        <v>105370.47</v>
      </c>
      <c r="AL63" s="1298">
        <v>20000</v>
      </c>
      <c r="AM63" s="1298">
        <f t="shared" si="63"/>
        <v>85370.47</v>
      </c>
      <c r="AN63" s="1454">
        <f>SUM(AJ63-AK63)</f>
        <v>194170.37999999998</v>
      </c>
      <c r="AO63" s="1296">
        <f>SUM('3 pr-2'!AB65)</f>
        <v>0</v>
      </c>
      <c r="AP63" s="1426">
        <v>0</v>
      </c>
    </row>
    <row r="64" spans="1:43" ht="49.5" thickBot="1" x14ac:dyDescent="0.3">
      <c r="A64" s="644" t="str">
        <f>CONCATENATE('3 pr-2'!A66)</f>
        <v>1.1.1.8.4</v>
      </c>
      <c r="B64" s="657" t="str">
        <f>CONCATENATE('3 pr-2'!B66)</f>
        <v>R01-3305-330200-1184</v>
      </c>
      <c r="C64" s="653" t="str">
        <f>CONCATENATE('ketv. 6 '!C65)</f>
        <v>07.1.1-CPVA-R-305-11-0004</v>
      </c>
      <c r="D64" s="182" t="str">
        <f>CONCATENATE('3 pr-2'!D66)</f>
        <v>Pastato rekonstrukcija ir pritaikymas kultūrinėms, muziejinėms ir edukacinėms reikmėms</v>
      </c>
      <c r="E64" s="182" t="str">
        <f>CONCATENATE('3 pr-2'!E66)</f>
        <v>Lazdijų rajono savivaldybės administracija</v>
      </c>
      <c r="F64" s="182" t="str">
        <f>CONCATENATE('3 pr-2'!F66)</f>
        <v>Lietuvos Respublikos kultūros ministerija</v>
      </c>
      <c r="G64" s="182" t="str">
        <f>CONCATENATE('3 pr-2'!G66)</f>
        <v>Lazdijų r. sav.</v>
      </c>
      <c r="H64" s="182" t="str">
        <f>CONCATENATE('3 pr-2'!H66)</f>
        <v>07.1.1-CPVA-R-305</v>
      </c>
      <c r="I64" s="182" t="str">
        <f>CONCATENATE('3 pr-2'!I66)</f>
        <v>R</v>
      </c>
      <c r="J64" s="182" t="str">
        <f>CONCATENATE('3 pr-2'!J66)</f>
        <v>ITI</v>
      </c>
      <c r="K64" s="1435">
        <f>SUM('3 pr-2'!L66)</f>
        <v>484769.35</v>
      </c>
      <c r="L64" s="1426">
        <f t="shared" si="57"/>
        <v>22641.64</v>
      </c>
      <c r="M64" s="1298">
        <v>0</v>
      </c>
      <c r="N64" s="1298">
        <f t="shared" si="64"/>
        <v>22641.64</v>
      </c>
      <c r="O64" s="1427">
        <f t="shared" si="65"/>
        <v>462127.70999999996</v>
      </c>
      <c r="P64" s="1435">
        <f>SUM('3 pr-2'!O66)</f>
        <v>185228.35</v>
      </c>
      <c r="Q64" s="1426">
        <f>SUMIF('mokėjimų ataskaita'!$I$13:$I$600,C64,'mokėjimų ataskaita'!$AU$13:$AU$600)/2</f>
        <v>8651.2800000000007</v>
      </c>
      <c r="R64" s="1298">
        <v>0</v>
      </c>
      <c r="S64" s="1298">
        <f t="shared" si="58"/>
        <v>8651.2800000000007</v>
      </c>
      <c r="T64" s="1427">
        <f>SUM(P64-Q64)</f>
        <v>176577.07</v>
      </c>
      <c r="U64" s="1435">
        <f>SUM('3 pr-2'!R66)</f>
        <v>0</v>
      </c>
      <c r="V64" s="1296">
        <f>SUMIF('mokėjimų ataskaita'!$I$13:$I$600,C64,'mokėjimų ataskaita'!$AL$13:$AL$600)/2</f>
        <v>0</v>
      </c>
      <c r="W64" s="1298">
        <v>0</v>
      </c>
      <c r="X64" s="1298">
        <f t="shared" si="59"/>
        <v>0</v>
      </c>
      <c r="Y64" s="1427">
        <f t="shared" si="60"/>
        <v>0</v>
      </c>
      <c r="Z64" s="1435">
        <f>SUM('3 pr-2'!U66)</f>
        <v>0</v>
      </c>
      <c r="AA64" s="1296">
        <f>SUMIF('mokėjimų ataskaita'!$I$13:$I$600,C64,'mokėjimų ataskaita'!$AW$13:$AW$600)/2</f>
        <v>0</v>
      </c>
      <c r="AB64" s="1298"/>
      <c r="AC64" s="1298"/>
      <c r="AD64" s="1427">
        <f t="shared" si="61"/>
        <v>0</v>
      </c>
      <c r="AE64" s="1435">
        <f>SUM('3 pr-2'!X66)</f>
        <v>0</v>
      </c>
      <c r="AF64" s="1296">
        <f>SUMIF('mokėjimų ataskaita'!$I$13:$I$600,C64,'mokėjimų ataskaita'!$AV$13:$AV$600)/2+SUMIF('mokėjimų ataskaita'!$I$13:$I$600,C64,'mokėjimų ataskaita'!$AT$13:$AT$600)/2</f>
        <v>0</v>
      </c>
      <c r="AG64" s="1298"/>
      <c r="AH64" s="1298"/>
      <c r="AI64" s="1427">
        <f t="shared" si="62"/>
        <v>0</v>
      </c>
      <c r="AJ64" s="1435">
        <f>SUM('3 pr-2'!AA66)</f>
        <v>299541</v>
      </c>
      <c r="AK64" s="1426">
        <f>SUMIF('mokėjimų ataskaita'!$I$13:$I$600,C64,'mokėjimų ataskaita'!$AK$13:$AK$600)/2</f>
        <v>13990.36</v>
      </c>
      <c r="AL64" s="1298">
        <v>0</v>
      </c>
      <c r="AM64" s="1298">
        <f t="shared" si="63"/>
        <v>13990.36</v>
      </c>
      <c r="AN64" s="1441">
        <f>SUM(AJ64-AK64)</f>
        <v>285550.64</v>
      </c>
      <c r="AO64" s="1296">
        <f>SUM('3 pr-2'!AB66)</f>
        <v>0</v>
      </c>
      <c r="AP64" s="1426">
        <v>0</v>
      </c>
    </row>
    <row r="65" spans="1:43" ht="38.25" customHeight="1" thickBot="1" x14ac:dyDescent="0.3">
      <c r="A65" s="326" t="str">
        <f>CONCATENATE('3 pr-2'!A67)</f>
        <v>1.1.1.9</v>
      </c>
      <c r="B65" s="2025" t="str">
        <f>CONCATENATE('3 pr-2'!B67)</f>
        <v>Priemonė:
Aktualizuoti savivaldybių kultūros paveldo objektus</v>
      </c>
      <c r="C65" s="2026"/>
      <c r="D65" s="2026"/>
      <c r="E65" s="2026"/>
      <c r="F65" s="2026"/>
      <c r="G65" s="2026"/>
      <c r="H65" s="2026"/>
      <c r="I65" s="2026"/>
      <c r="J65" s="2027"/>
      <c r="K65" s="1293">
        <f t="shared" ref="K65:AJ65" si="66">SUM(K66:K70)</f>
        <v>1487190.57</v>
      </c>
      <c r="L65" s="1293">
        <f t="shared" si="66"/>
        <v>26183.53</v>
      </c>
      <c r="M65" s="1293">
        <f t="shared" si="66"/>
        <v>0</v>
      </c>
      <c r="N65" s="1293">
        <f t="shared" si="66"/>
        <v>0</v>
      </c>
      <c r="O65" s="1293">
        <f t="shared" si="66"/>
        <v>1461007.0400000003</v>
      </c>
      <c r="P65" s="1293">
        <f t="shared" si="66"/>
        <v>456910.57</v>
      </c>
      <c r="Q65" s="1293">
        <f t="shared" si="66"/>
        <v>5469.05</v>
      </c>
      <c r="R65" s="1293">
        <f t="shared" si="66"/>
        <v>0</v>
      </c>
      <c r="S65" s="1293">
        <f t="shared" si="66"/>
        <v>0</v>
      </c>
      <c r="T65" s="1293">
        <f t="shared" si="66"/>
        <v>451441.52</v>
      </c>
      <c r="U65" s="1293">
        <f t="shared" si="66"/>
        <v>0</v>
      </c>
      <c r="V65" s="1293">
        <f t="shared" si="66"/>
        <v>0</v>
      </c>
      <c r="W65" s="1293">
        <f t="shared" si="66"/>
        <v>0</v>
      </c>
      <c r="X65" s="1293">
        <f t="shared" si="66"/>
        <v>0</v>
      </c>
      <c r="Y65" s="1293">
        <f t="shared" si="66"/>
        <v>0</v>
      </c>
      <c r="Z65" s="1293">
        <f t="shared" si="66"/>
        <v>0</v>
      </c>
      <c r="AA65" s="1293">
        <f t="shared" si="66"/>
        <v>0</v>
      </c>
      <c r="AB65" s="1293">
        <f t="shared" si="66"/>
        <v>0</v>
      </c>
      <c r="AC65" s="1293">
        <f t="shared" si="66"/>
        <v>0</v>
      </c>
      <c r="AD65" s="1293">
        <f t="shared" si="66"/>
        <v>0</v>
      </c>
      <c r="AE65" s="1293">
        <f t="shared" si="66"/>
        <v>0</v>
      </c>
      <c r="AF65" s="1293">
        <f t="shared" si="66"/>
        <v>0</v>
      </c>
      <c r="AG65" s="1293">
        <f t="shared" si="66"/>
        <v>0</v>
      </c>
      <c r="AH65" s="1293">
        <f t="shared" si="66"/>
        <v>0</v>
      </c>
      <c r="AI65" s="1293">
        <f t="shared" si="66"/>
        <v>0</v>
      </c>
      <c r="AJ65" s="1293">
        <f t="shared" si="66"/>
        <v>1030280</v>
      </c>
      <c r="AK65" s="1293">
        <f>SUM(AK66:AK70)</f>
        <v>20714.48</v>
      </c>
      <c r="AL65" s="1293">
        <f t="shared" ref="AL65:AP65" si="67">SUM(AL66:AL70)</f>
        <v>0</v>
      </c>
      <c r="AM65" s="1293">
        <f t="shared" si="67"/>
        <v>0</v>
      </c>
      <c r="AN65" s="1293">
        <f t="shared" si="67"/>
        <v>1009565.52</v>
      </c>
      <c r="AO65" s="1293">
        <f t="shared" si="67"/>
        <v>0</v>
      </c>
      <c r="AP65" s="1293">
        <f t="shared" si="67"/>
        <v>0</v>
      </c>
      <c r="AQ65" s="256">
        <f>SUM(K65-'3 pr-2'!L67)</f>
        <v>0</v>
      </c>
    </row>
    <row r="66" spans="1:43" ht="48.75" x14ac:dyDescent="0.25">
      <c r="A66" s="644" t="str">
        <f>CONCATENATE('3 pr-2'!A68)</f>
        <v>1.1.1.9.1</v>
      </c>
      <c r="B66" s="657" t="str">
        <f>CONCATENATE('3 pr-2'!B68)</f>
        <v>R01-3302-440000-1191</v>
      </c>
      <c r="C66" s="653" t="str">
        <f>CONCATENATE('ketv. 6 '!C67)</f>
        <v>05.4.1-CPVA-R-302-11-0003</v>
      </c>
      <c r="D66" s="182" t="str">
        <f>CONCATENATE('3 pr-2'!D68)</f>
        <v>Buvusios sinagogos pastato Kauno g. 9A Alytuje rekonstravimas ir aplinkinės teritorijos sutvarkymas</v>
      </c>
      <c r="E66" s="182" t="str">
        <f>CONCATENATE('3 pr-2'!E68)</f>
        <v>Alytaus miesto savivaldybės administracija</v>
      </c>
      <c r="F66" s="182" t="str">
        <f>CONCATENATE('3 pr-2'!F68)</f>
        <v>Lietuvos Respublikos kultūros ministerija</v>
      </c>
      <c r="G66" s="182" t="str">
        <f>CONCATENATE('3 pr-2'!G68)</f>
        <v>Alytaus m. sav.</v>
      </c>
      <c r="H66" s="182" t="str">
        <f>CONCATENATE('3 pr-2'!H68)</f>
        <v>05.4.1-CPVA-R-302</v>
      </c>
      <c r="I66" s="182" t="str">
        <f>CONCATENATE('3 pr-2'!I68)</f>
        <v>R</v>
      </c>
      <c r="J66" s="182" t="str">
        <f>CONCATENATE('3 pr-2'!J68)</f>
        <v>ITI</v>
      </c>
      <c r="K66" s="1435">
        <f>SUM('3 pr-2'!L68)</f>
        <v>444560.16000000003</v>
      </c>
      <c r="L66" s="1426">
        <f t="shared" ref="L66:L70" si="68">SUM(Q66+V66+AA66+AF66+AK66)</f>
        <v>0</v>
      </c>
      <c r="M66" s="1298"/>
      <c r="N66" s="1298"/>
      <c r="O66" s="1427">
        <f t="shared" si="6"/>
        <v>444560.16000000003</v>
      </c>
      <c r="P66" s="1435">
        <f>SUM('3 pr-2'!O68)</f>
        <v>238504.16</v>
      </c>
      <c r="Q66" s="1426">
        <f>SUMIF('mokėjimų ataskaita'!$I$13:$I$600,C66,'mokėjimų ataskaita'!$AU$13:$AU$600)/2</f>
        <v>0</v>
      </c>
      <c r="R66" s="1298"/>
      <c r="S66" s="1298"/>
      <c r="T66" s="1427">
        <f t="shared" ref="T66:T70" si="69">SUM(P66-Q66)</f>
        <v>238504.16</v>
      </c>
      <c r="U66" s="1435">
        <f>SUM('3 pr-2'!R68)</f>
        <v>0</v>
      </c>
      <c r="V66" s="1296">
        <f>SUMIF('mokėjimų ataskaita'!$I$13:$I$600,C66,'mokėjimų ataskaita'!$AL$13:$AL$600)/2</f>
        <v>0</v>
      </c>
      <c r="W66" s="1298"/>
      <c r="X66" s="1298"/>
      <c r="Y66" s="1427">
        <f t="shared" ref="Y66:Y70" si="70">SUM(U66-V66)</f>
        <v>0</v>
      </c>
      <c r="Z66" s="1435">
        <f>SUM('3 pr-2'!U68)</f>
        <v>0</v>
      </c>
      <c r="AA66" s="1296">
        <f>SUMIF('mokėjimų ataskaita'!$I$13:$I$600,C66,'mokėjimų ataskaita'!$AW$13:$AW$600)/2</f>
        <v>0</v>
      </c>
      <c r="AB66" s="1298"/>
      <c r="AC66" s="1298"/>
      <c r="AD66" s="1427">
        <f t="shared" ref="AD66:AD70" si="71">SUM(Z66-AA66)</f>
        <v>0</v>
      </c>
      <c r="AE66" s="1435">
        <f>SUM('3 pr-2'!X68)</f>
        <v>0</v>
      </c>
      <c r="AF66" s="1296">
        <f>SUMIF('mokėjimų ataskaita'!$I$13:$I$600,C66,'mokėjimų ataskaita'!$AV$13:$AV$600)/2+SUMIF('mokėjimų ataskaita'!$I$13:$I$600,C66,'mokėjimų ataskaita'!$AT$13:$AT$600)/2</f>
        <v>0</v>
      </c>
      <c r="AG66" s="1298"/>
      <c r="AH66" s="1298"/>
      <c r="AI66" s="1427">
        <f t="shared" ref="AI66:AI70" si="72">SUM(AE66-AF66)</f>
        <v>0</v>
      </c>
      <c r="AJ66" s="1435">
        <f>SUM('3 pr-2'!AA68)</f>
        <v>206056</v>
      </c>
      <c r="AK66" s="1426">
        <f>SUMIF('mokėjimų ataskaita'!$I$13:$I$600,C66,'mokėjimų ataskaita'!$AK$13:$AK$600)/2</f>
        <v>0</v>
      </c>
      <c r="AL66" s="1298"/>
      <c r="AM66" s="1298"/>
      <c r="AN66" s="1454">
        <f t="shared" ref="AN66:AN70" si="73">SUM(AJ66-AK66)</f>
        <v>206056</v>
      </c>
      <c r="AO66" s="1296">
        <f>SUM('3 pr-2'!AB68)</f>
        <v>0</v>
      </c>
      <c r="AP66" s="1426">
        <v>0</v>
      </c>
    </row>
    <row r="67" spans="1:43" ht="48.75" x14ac:dyDescent="0.25">
      <c r="A67" s="644" t="str">
        <f>CONCATENATE('3 pr-2'!A69)</f>
        <v>1.1.1.9.2</v>
      </c>
      <c r="B67" s="657" t="str">
        <f>CONCATENATE('3 pr-2'!B69)</f>
        <v>R01-3302-440000-1192</v>
      </c>
      <c r="C67" s="653" t="str">
        <f>CONCATENATE('ketv. 6 '!C68)</f>
        <v>05.4.1-CPVA-R-302-11-0002</v>
      </c>
      <c r="D67" s="182" t="str">
        <f>CONCATENATE('3 pr-2'!D69)</f>
        <v>Mažosios dailės galerijos, M.K.Čiurlionio g. 37, Druskininkai, modernizavimas ir pritaikymas kultūros poreikiams</v>
      </c>
      <c r="E67" s="182" t="str">
        <f>CONCATENATE('3 pr-2'!E69)</f>
        <v xml:space="preserve">Druskininkų savivaldybės administracija  </v>
      </c>
      <c r="F67" s="182" t="str">
        <f>CONCATENATE('3 pr-2'!F69)</f>
        <v>Lietuvos Respublikos kultūros ministerija</v>
      </c>
      <c r="G67" s="182" t="str">
        <f>CONCATENATE('3 pr-2'!G69)</f>
        <v>Druskininkų sav.</v>
      </c>
      <c r="H67" s="182" t="str">
        <f>CONCATENATE('3 pr-2'!H69)</f>
        <v>05.4.1-CPVA-R-302</v>
      </c>
      <c r="I67" s="182" t="str">
        <f>CONCATENATE('3 pr-2'!I69)</f>
        <v>R</v>
      </c>
      <c r="J67" s="182" t="str">
        <f>CONCATENATE('3 pr-2'!J69)</f>
        <v>-</v>
      </c>
      <c r="K67" s="1435">
        <f>SUM('3 pr-2'!L69)</f>
        <v>297670.41000000003</v>
      </c>
      <c r="L67" s="1426">
        <f t="shared" si="68"/>
        <v>10587.62</v>
      </c>
      <c r="M67" s="1298"/>
      <c r="N67" s="1298"/>
      <c r="O67" s="1427">
        <f t="shared" si="6"/>
        <v>287082.79000000004</v>
      </c>
      <c r="P67" s="1435">
        <f>SUM('3 pr-2'!O69)</f>
        <v>91614.41</v>
      </c>
      <c r="Q67" s="1426">
        <f>SUMIF('mokėjimų ataskaita'!$I$13:$I$600,C67,'mokėjimų ataskaita'!$AU$13:$AU$600)/2</f>
        <v>3258.57</v>
      </c>
      <c r="R67" s="1298"/>
      <c r="S67" s="1298"/>
      <c r="T67" s="1427">
        <f t="shared" si="69"/>
        <v>88355.839999999997</v>
      </c>
      <c r="U67" s="1435">
        <f>SUM('3 pr-2'!R69)</f>
        <v>0</v>
      </c>
      <c r="V67" s="1296">
        <f>SUMIF('mokėjimų ataskaita'!$I$13:$I$600,C67,'mokėjimų ataskaita'!$AL$13:$AL$600)/2</f>
        <v>0</v>
      </c>
      <c r="W67" s="1298"/>
      <c r="X67" s="1298"/>
      <c r="Y67" s="1427">
        <f t="shared" si="70"/>
        <v>0</v>
      </c>
      <c r="Z67" s="1435">
        <f>SUM('3 pr-2'!U69)</f>
        <v>0</v>
      </c>
      <c r="AA67" s="1296">
        <f>SUMIF('mokėjimų ataskaita'!$I$13:$I$600,C67,'mokėjimų ataskaita'!$AW$13:$AW$600)/2</f>
        <v>0</v>
      </c>
      <c r="AB67" s="1298"/>
      <c r="AC67" s="1298"/>
      <c r="AD67" s="1427">
        <f t="shared" si="71"/>
        <v>0</v>
      </c>
      <c r="AE67" s="1435">
        <f>SUM('3 pr-2'!X69)</f>
        <v>0</v>
      </c>
      <c r="AF67" s="1296">
        <f>SUMIF('mokėjimų ataskaita'!$I$13:$I$600,C67,'mokėjimų ataskaita'!$AV$13:$AV$600)/2+SUMIF('mokėjimų ataskaita'!$I$13:$I$600,C67,'mokėjimų ataskaita'!$AT$13:$AT$600)/2</f>
        <v>0</v>
      </c>
      <c r="AG67" s="1298"/>
      <c r="AH67" s="1298"/>
      <c r="AI67" s="1427">
        <f t="shared" si="72"/>
        <v>0</v>
      </c>
      <c r="AJ67" s="1435">
        <f>SUM('3 pr-2'!AA69)</f>
        <v>206056</v>
      </c>
      <c r="AK67" s="1426">
        <f>SUMIF('mokėjimų ataskaita'!$I$13:$I$600,C67,'mokėjimų ataskaita'!$AK$13:$AK$600)/2</f>
        <v>7329.05</v>
      </c>
      <c r="AL67" s="1298"/>
      <c r="AM67" s="1298"/>
      <c r="AN67" s="1454">
        <f t="shared" si="73"/>
        <v>198726.95</v>
      </c>
      <c r="AO67" s="1296">
        <f>SUM('3 pr-2'!AB69)</f>
        <v>0</v>
      </c>
      <c r="AP67" s="1426">
        <v>0</v>
      </c>
    </row>
    <row r="68" spans="1:43" ht="36.75" x14ac:dyDescent="0.25">
      <c r="A68" s="644" t="str">
        <f>CONCATENATE('3 pr-2'!A70)</f>
        <v>1.1.1.9.3</v>
      </c>
      <c r="B68" s="657" t="str">
        <f>CONCATENATE('3 pr-2'!B70)</f>
        <v>R01-3302-440200-1193</v>
      </c>
      <c r="C68" s="653" t="str">
        <f>CONCATENATE('ketv. 6 '!C69)</f>
        <v>05.4.1-CPVA-R-302-11-0001</v>
      </c>
      <c r="D68" s="182" t="str">
        <f>CONCATENATE('3 pr-2'!D70)</f>
        <v>Motiejaus  Gustaičio  memorialinio  namo  kompleksinis sutvarkymas</v>
      </c>
      <c r="E68" s="182" t="str">
        <f>CONCATENATE('3 pr-2'!E70)</f>
        <v>Lazdijų rajono savivaldybės administracija</v>
      </c>
      <c r="F68" s="182" t="str">
        <f>CONCATENATE('3 pr-2'!F70)</f>
        <v>Lietuvos Respublikos kultūros ministerija</v>
      </c>
      <c r="G68" s="182" t="str">
        <f>CONCATENATE('3 pr-2'!G70)</f>
        <v>Lazdijų r. sav.</v>
      </c>
      <c r="H68" s="182" t="str">
        <f>CONCATENATE('3 pr-2'!H70)</f>
        <v>05.4.1-CPVA-R-302</v>
      </c>
      <c r="I68" s="182" t="str">
        <f>CONCATENATE('3 pr-2'!I70)</f>
        <v>R</v>
      </c>
      <c r="J68" s="182" t="str">
        <f>CONCATENATE('3 pr-2'!J70)</f>
        <v>ITI</v>
      </c>
      <c r="K68" s="1435">
        <f>SUM('3 pr-2'!L70)</f>
        <v>242419</v>
      </c>
      <c r="L68" s="1426">
        <f t="shared" si="68"/>
        <v>0</v>
      </c>
      <c r="M68" s="1298"/>
      <c r="N68" s="1298"/>
      <c r="O68" s="1427">
        <f t="shared" si="6"/>
        <v>242419</v>
      </c>
      <c r="P68" s="1435">
        <f>SUM('3 pr-2'!O70)</f>
        <v>36363</v>
      </c>
      <c r="Q68" s="1426">
        <f>SUMIF('mokėjimų ataskaita'!$I$13:$I$600,C68,'mokėjimų ataskaita'!$AU$13:$AU$600)/2</f>
        <v>0</v>
      </c>
      <c r="R68" s="1298"/>
      <c r="S68" s="1298"/>
      <c r="T68" s="1427">
        <f t="shared" si="69"/>
        <v>36363</v>
      </c>
      <c r="U68" s="1435">
        <f>SUM('3 pr-2'!R70)</f>
        <v>0</v>
      </c>
      <c r="V68" s="1296">
        <f>SUMIF('mokėjimų ataskaita'!$I$13:$I$600,C68,'mokėjimų ataskaita'!$AL$13:$AL$600)/2</f>
        <v>0</v>
      </c>
      <c r="W68" s="1298"/>
      <c r="X68" s="1298"/>
      <c r="Y68" s="1427">
        <f t="shared" si="70"/>
        <v>0</v>
      </c>
      <c r="Z68" s="1435">
        <f>SUM('3 pr-2'!U70)</f>
        <v>0</v>
      </c>
      <c r="AA68" s="1296">
        <f>SUMIF('mokėjimų ataskaita'!$I$13:$I$600,C68,'mokėjimų ataskaita'!$AW$13:$AW$600)/2</f>
        <v>0</v>
      </c>
      <c r="AB68" s="1298"/>
      <c r="AC68" s="1298"/>
      <c r="AD68" s="1427">
        <f t="shared" si="71"/>
        <v>0</v>
      </c>
      <c r="AE68" s="1435">
        <f>SUM('3 pr-2'!X70)</f>
        <v>0</v>
      </c>
      <c r="AF68" s="1296">
        <f>SUMIF('mokėjimų ataskaita'!$I$13:$I$600,C68,'mokėjimų ataskaita'!$AV$13:$AV$600)/2+SUMIF('mokėjimų ataskaita'!$I$13:$I$600,C68,'mokėjimų ataskaita'!$AT$13:$AT$600)/2</f>
        <v>0</v>
      </c>
      <c r="AG68" s="1298"/>
      <c r="AH68" s="1298"/>
      <c r="AI68" s="1427">
        <f t="shared" si="72"/>
        <v>0</v>
      </c>
      <c r="AJ68" s="1435">
        <f>SUM('3 pr-2'!AA70)</f>
        <v>206056</v>
      </c>
      <c r="AK68" s="1426">
        <f>SUMIF('mokėjimų ataskaita'!$I$13:$I$600,C68,'mokėjimų ataskaita'!$AK$13:$AK$600)/2</f>
        <v>0</v>
      </c>
      <c r="AL68" s="1298"/>
      <c r="AM68" s="1298"/>
      <c r="AN68" s="1454">
        <f t="shared" si="73"/>
        <v>206056</v>
      </c>
      <c r="AO68" s="1296">
        <f>SUM('3 pr-2'!AB70)</f>
        <v>0</v>
      </c>
      <c r="AP68" s="1426">
        <v>0</v>
      </c>
    </row>
    <row r="69" spans="1:43" ht="48.75" x14ac:dyDescent="0.25">
      <c r="A69" s="644" t="str">
        <f>CONCATENATE('3 pr-2'!A71)</f>
        <v>1.1.1.9.4</v>
      </c>
      <c r="B69" s="657" t="str">
        <f>CONCATENATE('3 pr-2'!B71)</f>
        <v>R01-3302-440000-1194</v>
      </c>
      <c r="C69" s="653" t="str">
        <f>CONCATENATE('ketv. 6 '!C70)</f>
        <v>-</v>
      </c>
      <c r="D69" s="182" t="str">
        <f>CONCATENATE('3 pr-2'!D71)</f>
        <v>Kurnėnų Lauryno Radziukyno mokyklos pritaikymas kultūrinėms ir turistinėms reikmėms</v>
      </c>
      <c r="E69" s="182" t="str">
        <f>CONCATENATE('3 pr-2'!E71)</f>
        <v>Alytaus rajono savivaldybės administracija</v>
      </c>
      <c r="F69" s="182" t="str">
        <f>CONCATENATE('3 pr-2'!F71)</f>
        <v>Lietuvos Respublikos kultūros ministerija</v>
      </c>
      <c r="G69" s="182" t="str">
        <f>CONCATENATE('3 pr-2'!G71)</f>
        <v>Alytaus r. sav.</v>
      </c>
      <c r="H69" s="182" t="str">
        <f>CONCATENATE('3 pr-2'!H71)</f>
        <v>05.4.1-CPVA-R-302</v>
      </c>
      <c r="I69" s="182" t="str">
        <f>CONCATENATE('3 pr-2'!I71)</f>
        <v>R</v>
      </c>
      <c r="J69" s="182" t="str">
        <f>CONCATENATE('3 pr-2'!J71)</f>
        <v>-</v>
      </c>
      <c r="K69" s="1435">
        <f>SUM('3 pr-2'!L71)</f>
        <v>260122</v>
      </c>
      <c r="L69" s="1296">
        <f t="shared" si="68"/>
        <v>0</v>
      </c>
      <c r="M69" s="1298"/>
      <c r="N69" s="1298"/>
      <c r="O69" s="1427">
        <f t="shared" si="6"/>
        <v>260122</v>
      </c>
      <c r="P69" s="1435">
        <f>SUM('3 pr-2'!O71)</f>
        <v>54066</v>
      </c>
      <c r="Q69" s="1296">
        <f>SUMIF('mokėjimų ataskaita'!$I$13:$I$600,C69,'mokėjimų ataskaita'!$AU$13:$AU$600)/2</f>
        <v>0</v>
      </c>
      <c r="R69" s="1298"/>
      <c r="S69" s="1298"/>
      <c r="T69" s="1427">
        <f t="shared" si="69"/>
        <v>54066</v>
      </c>
      <c r="U69" s="1435">
        <f>SUM('3 pr-2'!R71)</f>
        <v>0</v>
      </c>
      <c r="V69" s="1296">
        <f>SUMIF('mokėjimų ataskaita'!$I$13:$I$600,C69,'mokėjimų ataskaita'!$AL$13:$AL$600)/2</f>
        <v>0</v>
      </c>
      <c r="W69" s="1298"/>
      <c r="X69" s="1298"/>
      <c r="Y69" s="1427">
        <f t="shared" si="70"/>
        <v>0</v>
      </c>
      <c r="Z69" s="1435">
        <f>SUM('3 pr-2'!U71)</f>
        <v>0</v>
      </c>
      <c r="AA69" s="1296">
        <f>SUMIF('mokėjimų ataskaita'!$I$13:$I$600,C69,'mokėjimų ataskaita'!$AW$13:$AW$600)/2</f>
        <v>0</v>
      </c>
      <c r="AB69" s="1298"/>
      <c r="AC69" s="1298"/>
      <c r="AD69" s="1427">
        <f t="shared" si="71"/>
        <v>0</v>
      </c>
      <c r="AE69" s="1435">
        <f>SUM('3 pr-2'!X71)</f>
        <v>0</v>
      </c>
      <c r="AF69" s="1296">
        <f>SUMIF('mokėjimų ataskaita'!$I$13:$I$600,C69,'mokėjimų ataskaita'!$AV$13:$AV$600)/2+SUMIF('mokėjimų ataskaita'!$I$13:$I$600,C69,'mokėjimų ataskaita'!$AT$13:$AT$600)/2</f>
        <v>0</v>
      </c>
      <c r="AG69" s="1298"/>
      <c r="AH69" s="1298"/>
      <c r="AI69" s="1427">
        <f t="shared" si="72"/>
        <v>0</v>
      </c>
      <c r="AJ69" s="1435">
        <f>SUM('3 pr-2'!AA71)</f>
        <v>206056</v>
      </c>
      <c r="AK69" s="1296">
        <v>0</v>
      </c>
      <c r="AL69" s="1298"/>
      <c r="AM69" s="1298"/>
      <c r="AN69" s="1454">
        <f t="shared" si="73"/>
        <v>206056</v>
      </c>
      <c r="AO69" s="1296">
        <f>SUM('3 pr-2'!AB71)</f>
        <v>0</v>
      </c>
      <c r="AP69" s="1432">
        <v>0</v>
      </c>
    </row>
    <row r="70" spans="1:43" ht="37.5" thickBot="1" x14ac:dyDescent="0.3">
      <c r="A70" s="644" t="str">
        <f>CONCATENATE('3 pr-2'!A72)</f>
        <v>1.1.1.9.5</v>
      </c>
      <c r="B70" s="657" t="str">
        <f>CONCATENATE('3 pr-2'!B72)</f>
        <v>R01-3302-440000-1195</v>
      </c>
      <c r="C70" s="653" t="str">
        <f>CONCATENATE('ketv. 6 '!C71)</f>
        <v>05.4.1-CPVA-R-302-11-0005</v>
      </c>
      <c r="D70" s="182" t="str">
        <f>CONCATENATE('3 pr-2'!D72)</f>
        <v>Vinco Krėvės-Mickevičiaus memorialinio muziejaus atnaujinimas</v>
      </c>
      <c r="E70" s="182" t="str">
        <f>CONCATENATE('3 pr-2'!E72)</f>
        <v>Varėnos rajono savivaldybės administracija</v>
      </c>
      <c r="F70" s="182" t="str">
        <f>CONCATENATE('3 pr-2'!F72)</f>
        <v>Lietuvos Respublikos kultūros ministerija</v>
      </c>
      <c r="G70" s="182" t="str">
        <f>CONCATENATE('3 pr-2'!G72)</f>
        <v>Varėnos r. sav.</v>
      </c>
      <c r="H70" s="182" t="str">
        <f>CONCATENATE('3 pr-2'!H72)</f>
        <v>05.4.1-CPVA-R-302</v>
      </c>
      <c r="I70" s="182" t="str">
        <f>CONCATENATE('3 pr-2'!I72)</f>
        <v>R</v>
      </c>
      <c r="J70" s="182" t="str">
        <f>CONCATENATE('3 pr-2'!J72)</f>
        <v>-</v>
      </c>
      <c r="K70" s="1435">
        <f>SUM('3 pr-2'!L72)</f>
        <v>242419</v>
      </c>
      <c r="L70" s="1426">
        <f t="shared" si="68"/>
        <v>15595.91</v>
      </c>
      <c r="M70" s="1298"/>
      <c r="N70" s="1298"/>
      <c r="O70" s="1427">
        <f t="shared" si="6"/>
        <v>226823.09</v>
      </c>
      <c r="P70" s="1435">
        <f>SUM('3 pr-2'!O72)</f>
        <v>36363</v>
      </c>
      <c r="Q70" s="1426">
        <f>SUMIF('mokėjimų ataskaita'!$I$13:$I$600,C70,'mokėjimų ataskaita'!$AU$13:$AU$600)/2</f>
        <v>2210.48</v>
      </c>
      <c r="R70" s="1298"/>
      <c r="S70" s="1298"/>
      <c r="T70" s="1427">
        <f t="shared" si="69"/>
        <v>34152.519999999997</v>
      </c>
      <c r="U70" s="1435">
        <f>SUM('3 pr-2'!R72)</f>
        <v>0</v>
      </c>
      <c r="V70" s="1296">
        <f>SUMIF('mokėjimų ataskaita'!$I$13:$I$600,C70,'mokėjimų ataskaita'!$AL$13:$AL$600)/2</f>
        <v>0</v>
      </c>
      <c r="W70" s="1298"/>
      <c r="X70" s="1298"/>
      <c r="Y70" s="1427">
        <f t="shared" si="70"/>
        <v>0</v>
      </c>
      <c r="Z70" s="1435">
        <f>SUM('3 pr-2'!U72)</f>
        <v>0</v>
      </c>
      <c r="AA70" s="1296">
        <f>SUMIF('mokėjimų ataskaita'!$I$13:$I$600,C70,'mokėjimų ataskaita'!$AW$13:$AW$600)/2</f>
        <v>0</v>
      </c>
      <c r="AB70" s="1298"/>
      <c r="AC70" s="1298"/>
      <c r="AD70" s="1427">
        <f t="shared" si="71"/>
        <v>0</v>
      </c>
      <c r="AE70" s="1435">
        <f>SUM('3 pr-2'!X72)</f>
        <v>0</v>
      </c>
      <c r="AF70" s="1296">
        <f>SUMIF('mokėjimų ataskaita'!$I$13:$I$600,C70,'mokėjimų ataskaita'!$AV$13:$AV$600)/2+SUMIF('mokėjimų ataskaita'!$I$13:$I$600,C70,'mokėjimų ataskaita'!$AT$13:$AT$600)/2</f>
        <v>0</v>
      </c>
      <c r="AG70" s="1298"/>
      <c r="AH70" s="1298"/>
      <c r="AI70" s="1427">
        <f t="shared" si="72"/>
        <v>0</v>
      </c>
      <c r="AJ70" s="1435">
        <f>SUM('3 pr-2'!AA72)</f>
        <v>206056</v>
      </c>
      <c r="AK70" s="1426">
        <f>SUMIF('mokėjimų ataskaita'!$I$13:$I$600,C70,'mokėjimų ataskaita'!$AK$13:$AK$600)/2</f>
        <v>13385.43</v>
      </c>
      <c r="AL70" s="1298"/>
      <c r="AM70" s="1298"/>
      <c r="AN70" s="1441">
        <f t="shared" si="73"/>
        <v>192670.57</v>
      </c>
      <c r="AO70" s="1296">
        <f>SUM('3 pr-2'!AB72)</f>
        <v>0</v>
      </c>
      <c r="AP70" s="1426">
        <v>0</v>
      </c>
    </row>
    <row r="71" spans="1:43" ht="38.25" customHeight="1" thickBot="1" x14ac:dyDescent="0.3">
      <c r="A71" s="447" t="str">
        <f>CONCATENATE('3 pr-2'!A73)</f>
        <v>1.1.2.</v>
      </c>
      <c r="B71" s="2022" t="str">
        <f>CONCATENATE('3 pr-2'!B73)</f>
        <v>Uždavinys:
Pagerinti darbo jėgos judėjimo galimybes gerinant susisiekimo sistemas</v>
      </c>
      <c r="C71" s="2023"/>
      <c r="D71" s="2023"/>
      <c r="E71" s="2023"/>
      <c r="F71" s="2023"/>
      <c r="G71" s="2023"/>
      <c r="H71" s="2023"/>
      <c r="I71" s="2023"/>
      <c r="J71" s="2024"/>
      <c r="K71" s="1490">
        <f t="shared" ref="K71:AJ71" si="74">SUM(K72+K77+K84+K90)</f>
        <v>9201751.620000001</v>
      </c>
      <c r="L71" s="1490">
        <f t="shared" si="74"/>
        <v>1524263.78</v>
      </c>
      <c r="M71" s="1490">
        <f t="shared" si="74"/>
        <v>959669.18</v>
      </c>
      <c r="N71" s="1490">
        <f t="shared" si="74"/>
        <v>564594.59999999986</v>
      </c>
      <c r="O71" s="1490">
        <f t="shared" si="74"/>
        <v>7677487.8399999999</v>
      </c>
      <c r="P71" s="1490">
        <f t="shared" si="74"/>
        <v>2376911.3899999997</v>
      </c>
      <c r="Q71" s="1490">
        <f t="shared" si="74"/>
        <v>185040.7</v>
      </c>
      <c r="R71" s="1490">
        <f t="shared" si="74"/>
        <v>111405.20999999999</v>
      </c>
      <c r="S71" s="1490">
        <f t="shared" si="74"/>
        <v>73635.489999999991</v>
      </c>
      <c r="T71" s="1490">
        <f t="shared" si="74"/>
        <v>2191870.69</v>
      </c>
      <c r="U71" s="1490">
        <f t="shared" si="74"/>
        <v>0</v>
      </c>
      <c r="V71" s="1490">
        <f t="shared" si="74"/>
        <v>0</v>
      </c>
      <c r="W71" s="1490">
        <f t="shared" si="74"/>
        <v>0</v>
      </c>
      <c r="X71" s="1490">
        <f t="shared" si="74"/>
        <v>0</v>
      </c>
      <c r="Y71" s="1490">
        <f t="shared" si="74"/>
        <v>0</v>
      </c>
      <c r="Z71" s="1490">
        <f t="shared" si="74"/>
        <v>422692</v>
      </c>
      <c r="AA71" s="1490">
        <f t="shared" si="74"/>
        <v>0</v>
      </c>
      <c r="AB71" s="1490">
        <f t="shared" si="74"/>
        <v>0</v>
      </c>
      <c r="AC71" s="1490">
        <f t="shared" si="74"/>
        <v>0</v>
      </c>
      <c r="AD71" s="1490">
        <f t="shared" si="74"/>
        <v>422692</v>
      </c>
      <c r="AE71" s="1490">
        <f t="shared" si="74"/>
        <v>62660</v>
      </c>
      <c r="AF71" s="1490">
        <f t="shared" si="74"/>
        <v>43770.87</v>
      </c>
      <c r="AG71" s="1490">
        <f t="shared" si="74"/>
        <v>32545.37</v>
      </c>
      <c r="AH71" s="1490">
        <f t="shared" si="74"/>
        <v>11225.500000000004</v>
      </c>
      <c r="AI71" s="1490">
        <f t="shared" si="74"/>
        <v>18889.129999999997</v>
      </c>
      <c r="AJ71" s="1490">
        <f t="shared" si="74"/>
        <v>6339488.2300000004</v>
      </c>
      <c r="AK71" s="1490">
        <f>SUM(AK72+AK77+AK84+AK90)</f>
        <v>1295452.21</v>
      </c>
      <c r="AL71" s="1490">
        <f t="shared" ref="AL71:AP71" si="75">SUM(AL72+AL77+AL84+AL90)</f>
        <v>815718.60000000009</v>
      </c>
      <c r="AM71" s="1490">
        <f t="shared" si="75"/>
        <v>479733.61</v>
      </c>
      <c r="AN71" s="1490">
        <f t="shared" si="75"/>
        <v>5044036.0199999996</v>
      </c>
      <c r="AO71" s="1490">
        <f t="shared" si="75"/>
        <v>0</v>
      </c>
      <c r="AP71" s="1490">
        <f t="shared" si="75"/>
        <v>0</v>
      </c>
      <c r="AQ71" s="256">
        <f>SUM(K71-'3 pr-2'!L73)</f>
        <v>0</v>
      </c>
    </row>
    <row r="72" spans="1:43" ht="45" customHeight="1" thickBot="1" x14ac:dyDescent="0.3">
      <c r="A72" s="326" t="str">
        <f>CONCATENATE('3 pr-2'!A74)</f>
        <v>1.1.2.1</v>
      </c>
      <c r="B72" s="2025" t="str">
        <f>CONCATENATE('3 pr-2'!B74)</f>
        <v>Priemonė:
Vietinio susisiekimo viešojo transporto priemonių parko atnaujinimas</v>
      </c>
      <c r="C72" s="2026"/>
      <c r="D72" s="2026"/>
      <c r="E72" s="2026"/>
      <c r="F72" s="2026"/>
      <c r="G72" s="2026"/>
      <c r="H72" s="2026"/>
      <c r="I72" s="2026"/>
      <c r="J72" s="2027"/>
      <c r="K72" s="1293">
        <f t="shared" ref="K72:AJ72" si="76">SUM(K73:K76)</f>
        <v>1835210</v>
      </c>
      <c r="L72" s="1293">
        <f t="shared" si="76"/>
        <v>0</v>
      </c>
      <c r="M72" s="1293">
        <f t="shared" si="76"/>
        <v>0</v>
      </c>
      <c r="N72" s="1293">
        <f t="shared" si="76"/>
        <v>0</v>
      </c>
      <c r="O72" s="1293">
        <f t="shared" si="76"/>
        <v>1835210</v>
      </c>
      <c r="P72" s="1293">
        <f t="shared" si="76"/>
        <v>149246</v>
      </c>
      <c r="Q72" s="1293">
        <f t="shared" si="76"/>
        <v>0</v>
      </c>
      <c r="R72" s="1293">
        <f t="shared" si="76"/>
        <v>0</v>
      </c>
      <c r="S72" s="1293">
        <f t="shared" si="76"/>
        <v>0</v>
      </c>
      <c r="T72" s="1293">
        <f t="shared" si="76"/>
        <v>149246</v>
      </c>
      <c r="U72" s="1293">
        <f t="shared" si="76"/>
        <v>0</v>
      </c>
      <c r="V72" s="1293">
        <f t="shared" si="76"/>
        <v>0</v>
      </c>
      <c r="W72" s="1293">
        <f t="shared" si="76"/>
        <v>0</v>
      </c>
      <c r="X72" s="1293">
        <f t="shared" si="76"/>
        <v>0</v>
      </c>
      <c r="Y72" s="1293">
        <f t="shared" si="76"/>
        <v>0</v>
      </c>
      <c r="Z72" s="1293">
        <f t="shared" si="76"/>
        <v>422692</v>
      </c>
      <c r="AA72" s="1293">
        <f t="shared" si="76"/>
        <v>0</v>
      </c>
      <c r="AB72" s="1293">
        <f t="shared" si="76"/>
        <v>0</v>
      </c>
      <c r="AC72" s="1293">
        <f t="shared" si="76"/>
        <v>0</v>
      </c>
      <c r="AD72" s="1293">
        <f t="shared" si="76"/>
        <v>422692</v>
      </c>
      <c r="AE72" s="1293">
        <f t="shared" si="76"/>
        <v>0</v>
      </c>
      <c r="AF72" s="1293">
        <f t="shared" si="76"/>
        <v>0</v>
      </c>
      <c r="AG72" s="1293">
        <f t="shared" si="76"/>
        <v>0</v>
      </c>
      <c r="AH72" s="1293">
        <f t="shared" si="76"/>
        <v>0</v>
      </c>
      <c r="AI72" s="1293">
        <f t="shared" si="76"/>
        <v>0</v>
      </c>
      <c r="AJ72" s="1293">
        <f t="shared" si="76"/>
        <v>1263272</v>
      </c>
      <c r="AK72" s="1293">
        <f>SUM(AK73:AK76)</f>
        <v>0</v>
      </c>
      <c r="AL72" s="1293">
        <f t="shared" ref="AL72:AP72" si="77">SUM(AL73:AL76)</f>
        <v>0</v>
      </c>
      <c r="AM72" s="1293">
        <f t="shared" si="77"/>
        <v>0</v>
      </c>
      <c r="AN72" s="1293">
        <f t="shared" si="77"/>
        <v>1263272</v>
      </c>
      <c r="AO72" s="1293">
        <f t="shared" si="77"/>
        <v>0</v>
      </c>
      <c r="AP72" s="1293">
        <f t="shared" si="77"/>
        <v>0</v>
      </c>
      <c r="AQ72" s="256">
        <f>SUM(K72-'3 pr-2'!L74)</f>
        <v>0</v>
      </c>
    </row>
    <row r="73" spans="1:43" ht="36.75" x14ac:dyDescent="0.25">
      <c r="A73" s="644" t="str">
        <f>CONCATENATE('3 pr-2'!A75)</f>
        <v>1.1.2.1.1</v>
      </c>
      <c r="B73" s="657" t="str">
        <f>CONCATENATE('3 pr-2'!B75)</f>
        <v>R01-5518-100000-1211</v>
      </c>
      <c r="C73" s="653" t="str">
        <f>CONCATENATE('ketv. 6 '!C74)</f>
        <v>-</v>
      </c>
      <c r="D73" s="182" t="str">
        <f>CONCATENATE('3 pr-2'!D75)</f>
        <v xml:space="preserve">Nekenksmingų aplinkai viešojo transporto priemonių įsigijimas Alytaus mieste </v>
      </c>
      <c r="E73" s="182" t="str">
        <f>CONCATENATE('3 pr-2'!E75)</f>
        <v>Alytaus miesto savivaldybės administracija</v>
      </c>
      <c r="F73" s="182" t="str">
        <f>CONCATENATE('3 pr-2'!F75)</f>
        <v>Lietuvos Respublikos susisiekimo ministerija</v>
      </c>
      <c r="G73" s="182" t="str">
        <f>CONCATENATE('3 pr-2'!G75)</f>
        <v>Alytaus m. sav.</v>
      </c>
      <c r="H73" s="182" t="str">
        <f>CONCATENATE('3 pr-2'!H75)</f>
        <v>04.5.1-TID-R-518</v>
      </c>
      <c r="I73" s="182" t="str">
        <f>CONCATENATE('3 pr-2'!I75)</f>
        <v>R</v>
      </c>
      <c r="J73" s="182" t="str">
        <f>CONCATENATE('3 pr-2'!J75)</f>
        <v>ITI</v>
      </c>
      <c r="K73" s="1435">
        <f>SUM('3 pr-2'!L75)</f>
        <v>406091</v>
      </c>
      <c r="L73" s="1296">
        <f t="shared" ref="L73:L76" si="78">SUM(Q73+V73+AA73+AF73+AK73)</f>
        <v>0</v>
      </c>
      <c r="M73" s="1298"/>
      <c r="N73" s="1298"/>
      <c r="O73" s="1427">
        <f t="shared" ref="O73:O138" si="79">SUM(K73-L73)</f>
        <v>406091</v>
      </c>
      <c r="P73" s="1435">
        <f>SUM('3 pr-2'!O75)</f>
        <v>60914</v>
      </c>
      <c r="Q73" s="1296">
        <f>SUMIF('mokėjimų ataskaita'!$I$13:$I$600,C73,'mokėjimų ataskaita'!$AU$13:$AU$600)/2</f>
        <v>0</v>
      </c>
      <c r="R73" s="1298"/>
      <c r="S73" s="1298"/>
      <c r="T73" s="1427">
        <f>SUM(P73-Q73)</f>
        <v>60914</v>
      </c>
      <c r="U73" s="1435">
        <f>SUM('3 pr-2'!R75)</f>
        <v>0</v>
      </c>
      <c r="V73" s="1296">
        <f>SUMIF('mokėjimų ataskaita'!$I$13:$I$600,C73,'mokėjimų ataskaita'!$AL$13:$AL$600)/2</f>
        <v>0</v>
      </c>
      <c r="W73" s="1298"/>
      <c r="X73" s="1298"/>
      <c r="Y73" s="1427">
        <f t="shared" ref="Y73:Y76" si="80">SUM(U73-V73)</f>
        <v>0</v>
      </c>
      <c r="Z73" s="1435">
        <f>SUM('3 pr-2'!U75)</f>
        <v>0</v>
      </c>
      <c r="AA73" s="1296">
        <f>SUMIF('mokėjimų ataskaita'!$I$13:$I$600,C73,'mokėjimų ataskaita'!$AW$13:$AW$600)/2</f>
        <v>0</v>
      </c>
      <c r="AB73" s="1298"/>
      <c r="AC73" s="1298"/>
      <c r="AD73" s="1427">
        <f t="shared" ref="AD73:AD76" si="81">SUM(Z73-AA73)</f>
        <v>0</v>
      </c>
      <c r="AE73" s="1435">
        <f>SUM('3 pr-2'!X75)</f>
        <v>0</v>
      </c>
      <c r="AF73" s="1296">
        <f>SUMIF('mokėjimų ataskaita'!$I$13:$I$600,C73,'mokėjimų ataskaita'!$AV$13:$AV$600)/2+SUMIF('mokėjimų ataskaita'!$I$13:$I$600,C73,'mokėjimų ataskaita'!$AT$13:$AT$600)/2</f>
        <v>0</v>
      </c>
      <c r="AG73" s="1298"/>
      <c r="AH73" s="1298"/>
      <c r="AI73" s="1427">
        <f t="shared" ref="AI73:AI76" si="82">SUM(AE73-AF73)</f>
        <v>0</v>
      </c>
      <c r="AJ73" s="1435">
        <f>SUM('3 pr-2'!AA75)</f>
        <v>345177</v>
      </c>
      <c r="AK73" s="1296">
        <f>SUMIF('mokėjimų ataskaita'!$I$13:$I$600,C73,'mokėjimų ataskaita'!$AK$13:$AK$600)/2</f>
        <v>0</v>
      </c>
      <c r="AL73" s="1298"/>
      <c r="AM73" s="1298"/>
      <c r="AN73" s="1454">
        <f>SUM(AJ73-AK73)</f>
        <v>345177</v>
      </c>
      <c r="AO73" s="1296">
        <f>SUM('3 pr-2'!AB75)</f>
        <v>0</v>
      </c>
      <c r="AP73" s="1296">
        <v>0</v>
      </c>
    </row>
    <row r="74" spans="1:43" ht="36.75" x14ac:dyDescent="0.25">
      <c r="A74" s="644" t="str">
        <f>CONCATENATE('3 pr-2'!A76)</f>
        <v>1.1.2.1.2</v>
      </c>
      <c r="B74" s="657" t="str">
        <f>CONCATENATE('3 pr-2'!B76)</f>
        <v>R01-5518-100000-1212</v>
      </c>
      <c r="C74" s="653" t="str">
        <f>CONCATENATE('ketv. 6 '!C75)</f>
        <v>-</v>
      </c>
      <c r="D74" s="182" t="str">
        <f>CONCATENATE('3 pr-2'!D76)</f>
        <v>Vietinio susisiekimo transporto priemonių įsigijimas</v>
      </c>
      <c r="E74" s="182" t="str">
        <f>CONCATENATE('3 pr-2'!E76)</f>
        <v>Alytaus rajono savivaldybės administracija</v>
      </c>
      <c r="F74" s="182" t="str">
        <f>CONCATENATE('3 pr-2'!F76)</f>
        <v>Lietuvos Respublikos susisiekimo ministerija</v>
      </c>
      <c r="G74" s="182" t="str">
        <f>CONCATENATE('3 pr-2'!G76)</f>
        <v>Alytaus r. sav.</v>
      </c>
      <c r="H74" s="182" t="str">
        <f>CONCATENATE('3 pr-2'!H76)</f>
        <v>04.5.1-TID-R-518</v>
      </c>
      <c r="I74" s="182" t="str">
        <f>CONCATENATE('3 pr-2'!I76)</f>
        <v>R</v>
      </c>
      <c r="J74" s="182" t="str">
        <f>CONCATENATE('3 pr-2'!J76)</f>
        <v>-</v>
      </c>
      <c r="K74" s="1435">
        <f>SUM('3 pr-2'!L76)</f>
        <v>326175</v>
      </c>
      <c r="L74" s="1296">
        <f t="shared" si="78"/>
        <v>0</v>
      </c>
      <c r="M74" s="1298"/>
      <c r="N74" s="1298"/>
      <c r="O74" s="1427">
        <f t="shared" si="79"/>
        <v>326175</v>
      </c>
      <c r="P74" s="1435">
        <f>SUM('3 pr-2'!O76)</f>
        <v>48926</v>
      </c>
      <c r="Q74" s="1296">
        <f>SUMIF('mokėjimų ataskaita'!$I$13:$I$600,C74,'mokėjimų ataskaita'!$AU$13:$AU$600)/2</f>
        <v>0</v>
      </c>
      <c r="R74" s="1298"/>
      <c r="S74" s="1298"/>
      <c r="T74" s="1427">
        <f>SUM(P74-Q74)</f>
        <v>48926</v>
      </c>
      <c r="U74" s="1435">
        <f>SUM('3 pr-2'!R76)</f>
        <v>0</v>
      </c>
      <c r="V74" s="1296">
        <f>SUMIF('mokėjimų ataskaita'!$I$13:$I$600,C74,'mokėjimų ataskaita'!$AL$13:$AL$600)/2</f>
        <v>0</v>
      </c>
      <c r="W74" s="1298"/>
      <c r="X74" s="1298"/>
      <c r="Y74" s="1427">
        <f t="shared" si="80"/>
        <v>0</v>
      </c>
      <c r="Z74" s="1435">
        <f>SUM('3 pr-2'!U76)</f>
        <v>0</v>
      </c>
      <c r="AA74" s="1296">
        <f>SUMIF('mokėjimų ataskaita'!$I$13:$I$600,C74,'mokėjimų ataskaita'!$AW$13:$AW$600)/2</f>
        <v>0</v>
      </c>
      <c r="AB74" s="1298"/>
      <c r="AC74" s="1298"/>
      <c r="AD74" s="1427">
        <f t="shared" si="81"/>
        <v>0</v>
      </c>
      <c r="AE74" s="1435">
        <f>SUM('3 pr-2'!X76)</f>
        <v>0</v>
      </c>
      <c r="AF74" s="1296">
        <f>SUMIF('mokėjimų ataskaita'!$I$13:$I$600,C74,'mokėjimų ataskaita'!$AV$13:$AV$600)/2+SUMIF('mokėjimų ataskaita'!$I$13:$I$600,C74,'mokėjimų ataskaita'!$AT$13:$AT$600)/2</f>
        <v>0</v>
      </c>
      <c r="AG74" s="1298"/>
      <c r="AH74" s="1298"/>
      <c r="AI74" s="1427">
        <f t="shared" si="82"/>
        <v>0</v>
      </c>
      <c r="AJ74" s="1435">
        <f>SUM('3 pr-2'!AA76)</f>
        <v>277249</v>
      </c>
      <c r="AK74" s="1296">
        <f>SUMIF('mokėjimų ataskaita'!$I$13:$I$600,C74,'mokėjimų ataskaita'!$AK$13:$AK$600)/2</f>
        <v>0</v>
      </c>
      <c r="AL74" s="1298"/>
      <c r="AM74" s="1298"/>
      <c r="AN74" s="1454">
        <f>SUM(AJ74-AK74)</f>
        <v>277249</v>
      </c>
      <c r="AO74" s="1296">
        <f>SUM('3 pr-2'!AB76)</f>
        <v>0</v>
      </c>
      <c r="AP74" s="1296">
        <v>0</v>
      </c>
    </row>
    <row r="75" spans="1:43" ht="36.75" x14ac:dyDescent="0.25">
      <c r="A75" s="644" t="str">
        <f>CONCATENATE('3 pr-2'!A77)</f>
        <v>1.1.2.1.3</v>
      </c>
      <c r="B75" s="657" t="str">
        <f>CONCATENATE('3 pr-2'!B77)</f>
        <v>R01-5518-100000-1213</v>
      </c>
      <c r="C75" s="653" t="str">
        <f>CONCATENATE('ketv. 6 '!C76)</f>
        <v>-</v>
      </c>
      <c r="D75" s="182" t="str">
        <f>CONCATENATE('3 pr-2'!D77)</f>
        <v>Ekologiškų transporto priemonių įsigijimas Druskininkų savivaldybėje</v>
      </c>
      <c r="E75" s="182" t="str">
        <f>CONCATENATE('3 pr-2'!E77)</f>
        <v xml:space="preserve">Druskininkų savivaldybės administracija  </v>
      </c>
      <c r="F75" s="182" t="str">
        <f>CONCATENATE('3 pr-2'!F77)</f>
        <v>Lietuvos Respublikos susisiekimo ministerija</v>
      </c>
      <c r="G75" s="182" t="str">
        <f>CONCATENATE('3 pr-2'!G77)</f>
        <v>Druskininkų sav.</v>
      </c>
      <c r="H75" s="182" t="str">
        <f>CONCATENATE('3 pr-2'!H77)</f>
        <v>04.5.1-TID-R-518</v>
      </c>
      <c r="I75" s="182" t="str">
        <f>CONCATENATE('3 pr-2'!I77)</f>
        <v>R</v>
      </c>
      <c r="J75" s="182" t="str">
        <f>CONCATENATE('3 pr-2'!J77)</f>
        <v>-</v>
      </c>
      <c r="K75" s="1435">
        <f>SUM('3 pr-2'!L77)</f>
        <v>840240</v>
      </c>
      <c r="L75" s="1296">
        <f t="shared" si="78"/>
        <v>0</v>
      </c>
      <c r="M75" s="1298"/>
      <c r="N75" s="1298"/>
      <c r="O75" s="1427">
        <f t="shared" si="79"/>
        <v>840240</v>
      </c>
      <c r="P75" s="1435">
        <f>SUM('3 pr-2'!O77)</f>
        <v>0</v>
      </c>
      <c r="Q75" s="1296">
        <f>SUMIF('mokėjimų ataskaita'!$I$13:$I$600,C75,'mokėjimų ataskaita'!$AU$13:$AU$600)/2</f>
        <v>0</v>
      </c>
      <c r="R75" s="1298"/>
      <c r="S75" s="1298"/>
      <c r="T75" s="1427">
        <f>SUM(P75-Q75)</f>
        <v>0</v>
      </c>
      <c r="U75" s="1435">
        <f>SUM('3 pr-2'!R77)</f>
        <v>0</v>
      </c>
      <c r="V75" s="1296">
        <f>SUMIF('mokėjimų ataskaita'!$I$13:$I$600,C75,'mokėjimų ataskaita'!$AL$13:$AL$600)/2</f>
        <v>0</v>
      </c>
      <c r="W75" s="1298"/>
      <c r="X75" s="1298"/>
      <c r="Y75" s="1427">
        <f t="shared" si="80"/>
        <v>0</v>
      </c>
      <c r="Z75" s="1435">
        <f>SUM('3 pr-2'!U77)</f>
        <v>422692</v>
      </c>
      <c r="AA75" s="1296">
        <f>SUMIF('mokėjimų ataskaita'!$I$13:$I$600,C75,'mokėjimų ataskaita'!$AW$13:$AW$600)/2</f>
        <v>0</v>
      </c>
      <c r="AB75" s="1298"/>
      <c r="AC75" s="1298"/>
      <c r="AD75" s="1427">
        <f t="shared" si="81"/>
        <v>422692</v>
      </c>
      <c r="AE75" s="1435">
        <f>SUM('3 pr-2'!X77)</f>
        <v>0</v>
      </c>
      <c r="AF75" s="1296">
        <f>SUMIF('mokėjimų ataskaita'!$I$13:$I$600,C75,'mokėjimų ataskaita'!$AV$13:$AV$600)/2+SUMIF('mokėjimų ataskaita'!$I$13:$I$600,C75,'mokėjimų ataskaita'!$AT$13:$AT$600)/2</f>
        <v>0</v>
      </c>
      <c r="AG75" s="1298"/>
      <c r="AH75" s="1298"/>
      <c r="AI75" s="1427">
        <f t="shared" si="82"/>
        <v>0</v>
      </c>
      <c r="AJ75" s="1435">
        <f>SUM('3 pr-2'!AA77)</f>
        <v>417548</v>
      </c>
      <c r="AK75" s="1296">
        <f>SUMIF('mokėjimų ataskaita'!$I$13:$I$600,C75,'mokėjimų ataskaita'!$AK$13:$AK$600)/2</f>
        <v>0</v>
      </c>
      <c r="AL75" s="1298"/>
      <c r="AM75" s="1298"/>
      <c r="AN75" s="1454">
        <f>SUM(AJ75-AK75)</f>
        <v>417548</v>
      </c>
      <c r="AO75" s="1296">
        <f>SUM('3 pr-2'!AB77)</f>
        <v>0</v>
      </c>
      <c r="AP75" s="1296">
        <v>0</v>
      </c>
    </row>
    <row r="76" spans="1:43" ht="37.5" thickBot="1" x14ac:dyDescent="0.3">
      <c r="A76" s="644" t="str">
        <f>CONCATENATE('3 pr-2'!A78)</f>
        <v>1.1.2.1.4</v>
      </c>
      <c r="B76" s="657" t="str">
        <f>CONCATENATE('3 pr-2'!B78)</f>
        <v>R01-5518-100000-1214</v>
      </c>
      <c r="C76" s="653" t="str">
        <f>CONCATENATE('ketv. 6 '!C77)</f>
        <v>-</v>
      </c>
      <c r="D76" s="182" t="str">
        <f>CONCATENATE('3 pr-2'!D78)</f>
        <v>Ekologiškų transporto priemonių įsigijimas  Lazdijų rajono savivaldybėje</v>
      </c>
      <c r="E76" s="182" t="str">
        <f>CONCATENATE('3 pr-2'!E78)</f>
        <v>Lazdijų rajono savivaldybės administracija</v>
      </c>
      <c r="F76" s="182" t="str">
        <f>CONCATENATE('3 pr-2'!F78)</f>
        <v>Lietuvos Respublikos susisiekimo ministerija</v>
      </c>
      <c r="G76" s="182" t="str">
        <f>CONCATENATE('3 pr-2'!G78)</f>
        <v>Lazdijų r. sav.</v>
      </c>
      <c r="H76" s="182" t="str">
        <f>CONCATENATE('3 pr-2'!H78)</f>
        <v>04.5.1-TID-R-518</v>
      </c>
      <c r="I76" s="182" t="str">
        <f>CONCATENATE('3 pr-2'!I78)</f>
        <v>R</v>
      </c>
      <c r="J76" s="182" t="str">
        <f>CONCATENATE('3 pr-2'!J78)</f>
        <v>-</v>
      </c>
      <c r="K76" s="1435">
        <f>SUM('3 pr-2'!L78)</f>
        <v>262704</v>
      </c>
      <c r="L76" s="1296">
        <f t="shared" si="78"/>
        <v>0</v>
      </c>
      <c r="M76" s="1298"/>
      <c r="N76" s="1298"/>
      <c r="O76" s="1427">
        <f t="shared" si="79"/>
        <v>262704</v>
      </c>
      <c r="P76" s="1435">
        <f>SUM('3 pr-2'!O78)</f>
        <v>39406</v>
      </c>
      <c r="Q76" s="1296">
        <f>SUMIF('mokėjimų ataskaita'!$I$13:$I$600,C76,'mokėjimų ataskaita'!$AU$13:$AU$600)/2</f>
        <v>0</v>
      </c>
      <c r="R76" s="1298"/>
      <c r="S76" s="1298"/>
      <c r="T76" s="1427">
        <f>SUM(P76-Q76)</f>
        <v>39406</v>
      </c>
      <c r="U76" s="1435">
        <f>SUM('3 pr-2'!R78)</f>
        <v>0</v>
      </c>
      <c r="V76" s="1296">
        <f>SUMIF('mokėjimų ataskaita'!$I$13:$I$600,C76,'mokėjimų ataskaita'!$AL$13:$AL$600)/2</f>
        <v>0</v>
      </c>
      <c r="W76" s="1298"/>
      <c r="X76" s="1298"/>
      <c r="Y76" s="1427">
        <f t="shared" si="80"/>
        <v>0</v>
      </c>
      <c r="Z76" s="1435">
        <f>SUM('3 pr-2'!U78)</f>
        <v>0</v>
      </c>
      <c r="AA76" s="1296">
        <f>SUMIF('mokėjimų ataskaita'!$I$13:$I$600,C76,'mokėjimų ataskaita'!$AW$13:$AW$600)/2</f>
        <v>0</v>
      </c>
      <c r="AB76" s="1298"/>
      <c r="AC76" s="1298"/>
      <c r="AD76" s="1427">
        <f t="shared" si="81"/>
        <v>0</v>
      </c>
      <c r="AE76" s="1435">
        <f>SUM('3 pr-2'!X78)</f>
        <v>0</v>
      </c>
      <c r="AF76" s="1296">
        <f>SUMIF('mokėjimų ataskaita'!$I$13:$I$600,C76,'mokėjimų ataskaita'!$AV$13:$AV$600)/2+SUMIF('mokėjimų ataskaita'!$I$13:$I$600,C76,'mokėjimų ataskaita'!$AT$13:$AT$600)/2</f>
        <v>0</v>
      </c>
      <c r="AG76" s="1298"/>
      <c r="AH76" s="1298"/>
      <c r="AI76" s="1427">
        <f t="shared" si="82"/>
        <v>0</v>
      </c>
      <c r="AJ76" s="1435">
        <f>SUM('3 pr-2'!AA78)</f>
        <v>223298</v>
      </c>
      <c r="AK76" s="1296">
        <f>SUMIF('mokėjimų ataskaita'!$I$13:$I$600,C76,'mokėjimų ataskaita'!$AK$13:$AK$600)/2</f>
        <v>0</v>
      </c>
      <c r="AL76" s="1298"/>
      <c r="AM76" s="1298"/>
      <c r="AN76" s="1441">
        <f>SUM(AJ76-AK76)</f>
        <v>223298</v>
      </c>
      <c r="AO76" s="1296">
        <f>SUM('3 pr-2'!AB78)</f>
        <v>0</v>
      </c>
      <c r="AP76" s="1296">
        <v>0</v>
      </c>
    </row>
    <row r="77" spans="1:43" ht="33" customHeight="1" thickBot="1" x14ac:dyDescent="0.3">
      <c r="A77" s="326" t="str">
        <f>CONCATENATE('3 pr-2'!A79)</f>
        <v>1.1.2.2</v>
      </c>
      <c r="B77" s="2025" t="str">
        <f>CONCATENATE('3 pr-2'!B79)</f>
        <v>Priemonė:
Darnaus judumo priemonių diegimas</v>
      </c>
      <c r="C77" s="2026"/>
      <c r="D77" s="2026"/>
      <c r="E77" s="2026"/>
      <c r="F77" s="2026"/>
      <c r="G77" s="2026"/>
      <c r="H77" s="2026"/>
      <c r="I77" s="2026"/>
      <c r="J77" s="2027"/>
      <c r="K77" s="1293">
        <f t="shared" ref="K77:AJ77" si="83">SUM(K78:K83)</f>
        <v>1894943.24</v>
      </c>
      <c r="L77" s="1293">
        <f t="shared" si="83"/>
        <v>37182.800000000003</v>
      </c>
      <c r="M77" s="1293">
        <f t="shared" si="83"/>
        <v>37182.800000000003</v>
      </c>
      <c r="N77" s="1293">
        <f t="shared" si="83"/>
        <v>0</v>
      </c>
      <c r="O77" s="1293">
        <f t="shared" si="83"/>
        <v>1857760.44</v>
      </c>
      <c r="P77" s="1293">
        <f t="shared" si="83"/>
        <v>284241.14</v>
      </c>
      <c r="Q77" s="1293">
        <f t="shared" si="83"/>
        <v>5577.42</v>
      </c>
      <c r="R77" s="1293">
        <f t="shared" si="83"/>
        <v>5577.42</v>
      </c>
      <c r="S77" s="1293">
        <f t="shared" si="83"/>
        <v>0</v>
      </c>
      <c r="T77" s="1293">
        <f t="shared" si="83"/>
        <v>278663.71999999997</v>
      </c>
      <c r="U77" s="1293">
        <f t="shared" si="83"/>
        <v>0</v>
      </c>
      <c r="V77" s="1293">
        <f t="shared" si="83"/>
        <v>0</v>
      </c>
      <c r="W77" s="1293">
        <f t="shared" si="83"/>
        <v>0</v>
      </c>
      <c r="X77" s="1293">
        <f t="shared" si="83"/>
        <v>0</v>
      </c>
      <c r="Y77" s="1293">
        <f t="shared" si="83"/>
        <v>0</v>
      </c>
      <c r="Z77" s="1293">
        <f t="shared" si="83"/>
        <v>0</v>
      </c>
      <c r="AA77" s="1293">
        <f t="shared" si="83"/>
        <v>0</v>
      </c>
      <c r="AB77" s="1293">
        <f t="shared" si="83"/>
        <v>0</v>
      </c>
      <c r="AC77" s="1293">
        <f t="shared" si="83"/>
        <v>0</v>
      </c>
      <c r="AD77" s="1293">
        <f t="shared" si="83"/>
        <v>0</v>
      </c>
      <c r="AE77" s="1293">
        <f t="shared" si="83"/>
        <v>0</v>
      </c>
      <c r="AF77" s="1293">
        <f t="shared" si="83"/>
        <v>0</v>
      </c>
      <c r="AG77" s="1293">
        <f t="shared" si="83"/>
        <v>0</v>
      </c>
      <c r="AH77" s="1293">
        <f t="shared" si="83"/>
        <v>0</v>
      </c>
      <c r="AI77" s="1293">
        <f t="shared" si="83"/>
        <v>0</v>
      </c>
      <c r="AJ77" s="1293">
        <f t="shared" si="83"/>
        <v>1610702.1</v>
      </c>
      <c r="AK77" s="1293">
        <f>SUM(AK78:AK83)</f>
        <v>31605.38</v>
      </c>
      <c r="AL77" s="1293">
        <f t="shared" ref="AL77:AP77" si="84">SUM(AL78:AL83)</f>
        <v>31605.38</v>
      </c>
      <c r="AM77" s="1293">
        <f t="shared" si="84"/>
        <v>0</v>
      </c>
      <c r="AN77" s="1293">
        <f t="shared" si="84"/>
        <v>1579096.72</v>
      </c>
      <c r="AO77" s="1293">
        <f t="shared" si="84"/>
        <v>0</v>
      </c>
      <c r="AP77" s="1293">
        <f t="shared" si="84"/>
        <v>0</v>
      </c>
      <c r="AQ77" s="256">
        <f>SUM(K77-'3 pr-2'!L79)</f>
        <v>0</v>
      </c>
    </row>
    <row r="78" spans="1:43" ht="36.75" x14ac:dyDescent="0.25">
      <c r="A78" s="644" t="str">
        <f>CONCATENATE('3 pr-2'!A80)</f>
        <v>1.1.2.2.1</v>
      </c>
      <c r="B78" s="657" t="str">
        <f>CONCATENATE('3 pr-2'!B80)</f>
        <v>R01-5514-190000-1221</v>
      </c>
      <c r="C78" s="653" t="str">
        <f>CONCATENATE('ketv. 6 '!C79)</f>
        <v>-</v>
      </c>
      <c r="D78" s="182" t="str">
        <f>CONCATENATE('3 pr-2'!D80)</f>
        <v>Darnaus judumo priemonių diegimas Alytaus mieste</v>
      </c>
      <c r="E78" s="182" t="str">
        <f>CONCATENATE('3 pr-2'!E80)</f>
        <v>Alytaus miesto savivaldybės administracija</v>
      </c>
      <c r="F78" s="182" t="str">
        <f>CONCATENATE('3 pr-2'!F80)</f>
        <v>Lietuvos Respublikos susisiekimo ministerija</v>
      </c>
      <c r="G78" s="182" t="str">
        <f>CONCATENATE('3 pr-2'!G80)</f>
        <v>Alytaus m. sav.</v>
      </c>
      <c r="H78" s="182" t="str">
        <f>CONCATENATE('3 pr-2'!H80)</f>
        <v>04.5.1.-TID-R-514</v>
      </c>
      <c r="I78" s="182" t="str">
        <f>CONCATENATE('3 pr-2'!I80)</f>
        <v>R</v>
      </c>
      <c r="J78" s="182" t="str">
        <f>CONCATENATE('3 pr-2'!J80)</f>
        <v>ITI</v>
      </c>
      <c r="K78" s="1435">
        <f>SUM('3 pr-2'!L80)</f>
        <v>1143469</v>
      </c>
      <c r="L78" s="1296">
        <f t="shared" ref="L78:L83" si="85">SUM(Q78+V78+AA78+AF78+AK78)</f>
        <v>0</v>
      </c>
      <c r="M78" s="1298">
        <v>0</v>
      </c>
      <c r="N78" s="1298">
        <f>SUM(L78-M78)</f>
        <v>0</v>
      </c>
      <c r="O78" s="1427">
        <f t="shared" ref="O78:O81" si="86">SUM(K78-L78)</f>
        <v>1143469</v>
      </c>
      <c r="P78" s="1435">
        <f>SUM('3 pr-2'!O80)</f>
        <v>171520</v>
      </c>
      <c r="Q78" s="1296">
        <f>SUMIF('mokėjimų ataskaita'!$I$13:$I$600,C78,'mokėjimų ataskaita'!$AU$13:$AU$600)/2</f>
        <v>0</v>
      </c>
      <c r="R78" s="1298">
        <v>0</v>
      </c>
      <c r="S78" s="1298">
        <f t="shared" ref="S78:S83" si="87">SUM(Q78-R78)</f>
        <v>0</v>
      </c>
      <c r="T78" s="1427">
        <f t="shared" ref="T78:T83" si="88">SUM(P78-Q78)</f>
        <v>171520</v>
      </c>
      <c r="U78" s="1435">
        <f>SUM('3 pr-2'!R80)</f>
        <v>0</v>
      </c>
      <c r="V78" s="1296">
        <f>SUMIF('mokėjimų ataskaita'!$I$13:$I$600,C78,'mokėjimų ataskaita'!$AL$13:$AL$600)/2</f>
        <v>0</v>
      </c>
      <c r="W78" s="1298"/>
      <c r="X78" s="1298"/>
      <c r="Y78" s="1427">
        <f t="shared" ref="Y78:Y81" si="89">SUM(U78-V78)</f>
        <v>0</v>
      </c>
      <c r="Z78" s="1435">
        <f>SUM('3 pr-2'!U80)</f>
        <v>0</v>
      </c>
      <c r="AA78" s="1296">
        <f>SUMIF('mokėjimų ataskaita'!$I$13:$I$600,C78,'mokėjimų ataskaita'!$AW$13:$AW$600)/2</f>
        <v>0</v>
      </c>
      <c r="AB78" s="1298"/>
      <c r="AC78" s="1298"/>
      <c r="AD78" s="1427">
        <f t="shared" ref="AD78:AD81" si="90">SUM(Z78-AA78)</f>
        <v>0</v>
      </c>
      <c r="AE78" s="1435">
        <f>SUM('3 pr-2'!X80)</f>
        <v>0</v>
      </c>
      <c r="AF78" s="1296">
        <f>SUMIF('mokėjimų ataskaita'!$I$13:$I$600,C78,'mokėjimų ataskaita'!$AV$13:$AV$600)/2+SUMIF('mokėjimų ataskaita'!$I$13:$I$600,C78,'mokėjimų ataskaita'!$AT$13:$AT$600)/2</f>
        <v>0</v>
      </c>
      <c r="AG78" s="1298"/>
      <c r="AH78" s="1298"/>
      <c r="AI78" s="1427">
        <f t="shared" ref="AI78:AI81" si="91">SUM(AE78-AF78)</f>
        <v>0</v>
      </c>
      <c r="AJ78" s="1435">
        <f>SUM('3 pr-2'!AA80)</f>
        <v>971949</v>
      </c>
      <c r="AK78" s="1296">
        <f>SUMIF('mokėjimų ataskaita'!$I$13:$I$600,C78,'mokėjimų ataskaita'!$AK$13:$AK$600)/2</f>
        <v>0</v>
      </c>
      <c r="AL78" s="1298">
        <v>0</v>
      </c>
      <c r="AM78" s="1298">
        <f t="shared" ref="AM78:AM83" si="92">SUM(AK78-AL78)</f>
        <v>0</v>
      </c>
      <c r="AN78" s="1454">
        <f t="shared" ref="AN78:AN83" si="93">SUM(AJ78-AK78)</f>
        <v>971949</v>
      </c>
      <c r="AO78" s="1296">
        <f>SUM('3 pr-2'!AB80)</f>
        <v>0</v>
      </c>
      <c r="AP78" s="1432">
        <v>0</v>
      </c>
    </row>
    <row r="79" spans="1:43" ht="36.75" x14ac:dyDescent="0.25">
      <c r="A79" s="644" t="str">
        <f>CONCATENATE('3 pr-2'!A81)</f>
        <v>1.1.2.2.2</v>
      </c>
      <c r="B79" s="657" t="str">
        <f>CONCATENATE('3 pr-2'!B81)</f>
        <v>R01-5514-190000-1222</v>
      </c>
      <c r="C79" s="653" t="str">
        <f>CONCATENATE('ketv. 6 '!C80)</f>
        <v>04.5.1-TID-V-513-01-0015</v>
      </c>
      <c r="D79" s="182" t="str">
        <f>CONCATENATE('3 pr-2'!D81)</f>
        <v>Alytaus miesto darnaus judumo plano parengimas</v>
      </c>
      <c r="E79" s="182" t="str">
        <f>CONCATENATE('3 pr-2'!E81)</f>
        <v>Alytaus miesto savivaldybės administracija</v>
      </c>
      <c r="F79" s="182" t="str">
        <f>CONCATENATE('3 pr-2'!F81)</f>
        <v>Lietuvos Respublikos susisiekimo ministerija</v>
      </c>
      <c r="G79" s="182" t="str">
        <f>CONCATENATE('3 pr-2'!G81)</f>
        <v>Alytaus m. sav.</v>
      </c>
      <c r="H79" s="182" t="str">
        <f>CONCATENATE('3 pr-2'!H81)</f>
        <v>04.5.1-TID-V-513</v>
      </c>
      <c r="I79" s="182" t="str">
        <f>CONCATENATE('3 pr-2'!I81)</f>
        <v>V</v>
      </c>
      <c r="J79" s="182" t="str">
        <f>CONCATENATE('3 pr-2'!J81)</f>
        <v>ITI</v>
      </c>
      <c r="K79" s="1435">
        <f>SUM('3 pr-2'!L81)</f>
        <v>33638</v>
      </c>
      <c r="L79" s="1426">
        <f t="shared" si="85"/>
        <v>20182.800000000003</v>
      </c>
      <c r="M79" s="1298">
        <v>20182.800000000003</v>
      </c>
      <c r="N79" s="1298">
        <f t="shared" ref="N79:N97" si="94">SUM(L79-M79)</f>
        <v>0</v>
      </c>
      <c r="O79" s="1427">
        <f t="shared" si="86"/>
        <v>13455.199999999997</v>
      </c>
      <c r="P79" s="1435">
        <f>SUM('3 pr-2'!O81)</f>
        <v>5045.7</v>
      </c>
      <c r="Q79" s="1426">
        <v>3027.42</v>
      </c>
      <c r="R79" s="1298">
        <v>3027.42</v>
      </c>
      <c r="S79" s="1298">
        <f t="shared" si="87"/>
        <v>0</v>
      </c>
      <c r="T79" s="1427">
        <f t="shared" si="88"/>
        <v>2018.2799999999997</v>
      </c>
      <c r="U79" s="1435">
        <f>SUM('3 pr-2'!R81)</f>
        <v>0</v>
      </c>
      <c r="V79" s="1296">
        <f>SUMIF('mokėjimų ataskaita'!$I$13:$I$600,C79,'mokėjimų ataskaita'!$AL$13:$AL$600)/2</f>
        <v>0</v>
      </c>
      <c r="W79" s="1298"/>
      <c r="X79" s="1298"/>
      <c r="Y79" s="1427">
        <f t="shared" si="89"/>
        <v>0</v>
      </c>
      <c r="Z79" s="1435">
        <f>SUM('3 pr-2'!U81)</f>
        <v>0</v>
      </c>
      <c r="AA79" s="1296">
        <f>SUMIF('mokėjimų ataskaita'!$I$13:$I$600,C79,'mokėjimų ataskaita'!$AW$13:$AW$600)/2</f>
        <v>0</v>
      </c>
      <c r="AB79" s="1298"/>
      <c r="AC79" s="1298"/>
      <c r="AD79" s="1427">
        <f t="shared" si="90"/>
        <v>0</v>
      </c>
      <c r="AE79" s="1435">
        <f>SUM('3 pr-2'!X81)</f>
        <v>0</v>
      </c>
      <c r="AF79" s="1296">
        <f>SUMIF('mokėjimų ataskaita'!$I$13:$I$600,C79,'mokėjimų ataskaita'!$AV$13:$AV$600)/2+SUMIF('mokėjimų ataskaita'!$I$13:$I$600,C79,'mokėjimų ataskaita'!$AT$13:$AT$600)/2</f>
        <v>0</v>
      </c>
      <c r="AG79" s="1298"/>
      <c r="AH79" s="1298"/>
      <c r="AI79" s="1427">
        <f t="shared" si="91"/>
        <v>0</v>
      </c>
      <c r="AJ79" s="1435">
        <f>SUM('3 pr-2'!AA81)</f>
        <v>28592.3</v>
      </c>
      <c r="AK79" s="1426">
        <v>17155.38</v>
      </c>
      <c r="AL79" s="1298">
        <v>17155.38</v>
      </c>
      <c r="AM79" s="1298">
        <f t="shared" si="92"/>
        <v>0</v>
      </c>
      <c r="AN79" s="1454">
        <f t="shared" si="93"/>
        <v>11436.919999999998</v>
      </c>
      <c r="AO79" s="1296">
        <f>SUM('3 pr-2'!AB81)</f>
        <v>0</v>
      </c>
      <c r="AP79" s="1426">
        <v>0</v>
      </c>
    </row>
    <row r="80" spans="1:43" ht="36.75" x14ac:dyDescent="0.25">
      <c r="A80" s="644" t="str">
        <f>CONCATENATE('3 pr-2'!A82)</f>
        <v>1.1.2.2.3</v>
      </c>
      <c r="B80" s="657" t="str">
        <f>CONCATENATE('3 pr-2'!B82)</f>
        <v>R01-5514-191800-1223</v>
      </c>
      <c r="C80" s="653" t="str">
        <f>CONCATENATE('ketv. 6 '!C81)</f>
        <v>-</v>
      </c>
      <c r="D80" s="182" t="str">
        <f>CONCATENATE('3 pr-2'!D82)</f>
        <v>Intelektinių transporto sistemų diegimas Druskininkuose</v>
      </c>
      <c r="E80" s="182" t="str">
        <f>CONCATENATE('3 pr-2'!E82)</f>
        <v>Druskininkų savivaldybės administracija</v>
      </c>
      <c r="F80" s="182" t="str">
        <f>CONCATENATE('3 pr-2'!F82)</f>
        <v>Lietuvos Respublikos susisiekimo ministerija</v>
      </c>
      <c r="G80" s="182" t="str">
        <f>CONCATENATE('3 pr-2'!G82)</f>
        <v>Druskininkų sav.</v>
      </c>
      <c r="H80" s="182" t="str">
        <f>CONCATENATE('3 pr-2'!H82)</f>
        <v>04.5.1.-TID-R-514</v>
      </c>
      <c r="I80" s="182" t="str">
        <f>CONCATENATE('3 pr-2'!I82)</f>
        <v>R</v>
      </c>
      <c r="J80" s="182" t="str">
        <f>CONCATENATE('3 pr-2'!J82)</f>
        <v>-</v>
      </c>
      <c r="K80" s="1435">
        <f>SUM('3 pr-2'!L82)</f>
        <v>160836.24</v>
      </c>
      <c r="L80" s="1296">
        <f t="shared" si="85"/>
        <v>0</v>
      </c>
      <c r="M80" s="1298">
        <v>0</v>
      </c>
      <c r="N80" s="1298">
        <f t="shared" si="94"/>
        <v>0</v>
      </c>
      <c r="O80" s="1427">
        <f t="shared" si="86"/>
        <v>160836.24</v>
      </c>
      <c r="P80" s="1435">
        <f>SUM('3 pr-2'!O82)</f>
        <v>24125.439999999999</v>
      </c>
      <c r="Q80" s="1296">
        <f>SUMIF('mokėjimų ataskaita'!$I$13:$I$600,C80,'mokėjimų ataskaita'!$AU$13:$AU$600)/2</f>
        <v>0</v>
      </c>
      <c r="R80" s="1298">
        <v>0</v>
      </c>
      <c r="S80" s="1298">
        <f t="shared" si="87"/>
        <v>0</v>
      </c>
      <c r="T80" s="1427">
        <f t="shared" si="88"/>
        <v>24125.439999999999</v>
      </c>
      <c r="U80" s="1435">
        <f>SUM('3 pr-2'!R82)</f>
        <v>0</v>
      </c>
      <c r="V80" s="1296">
        <f>SUMIF('mokėjimų ataskaita'!$I$13:$I$600,C80,'mokėjimų ataskaita'!$AL$13:$AL$600)/2</f>
        <v>0</v>
      </c>
      <c r="W80" s="1298"/>
      <c r="X80" s="1298"/>
      <c r="Y80" s="1427">
        <f t="shared" si="89"/>
        <v>0</v>
      </c>
      <c r="Z80" s="1435">
        <f>SUM('3 pr-2'!U82)</f>
        <v>0</v>
      </c>
      <c r="AA80" s="1296">
        <f>SUMIF('mokėjimų ataskaita'!$I$13:$I$600,C80,'mokėjimų ataskaita'!$AW$13:$AW$600)/2</f>
        <v>0</v>
      </c>
      <c r="AB80" s="1298"/>
      <c r="AC80" s="1298"/>
      <c r="AD80" s="1427">
        <f t="shared" si="90"/>
        <v>0</v>
      </c>
      <c r="AE80" s="1435">
        <f>SUM('3 pr-2'!X82)</f>
        <v>0</v>
      </c>
      <c r="AF80" s="1296">
        <f>SUMIF('mokėjimų ataskaita'!$I$13:$I$600,C80,'mokėjimų ataskaita'!$AV$13:$AV$600)/2+SUMIF('mokėjimų ataskaita'!$I$13:$I$600,C80,'mokėjimų ataskaita'!$AT$13:$AT$600)/2</f>
        <v>0</v>
      </c>
      <c r="AG80" s="1298"/>
      <c r="AH80" s="1298"/>
      <c r="AI80" s="1427">
        <f t="shared" si="91"/>
        <v>0</v>
      </c>
      <c r="AJ80" s="1435">
        <f>SUM('3 pr-2'!AA82)</f>
        <v>136710.79999999999</v>
      </c>
      <c r="AK80" s="1296">
        <f>SUMIF('mokėjimų ataskaita'!$I$13:$I$600,C80,'mokėjimų ataskaita'!$AK$13:$AK$600)/2</f>
        <v>0</v>
      </c>
      <c r="AL80" s="1298">
        <v>0</v>
      </c>
      <c r="AM80" s="1298">
        <f t="shared" si="92"/>
        <v>0</v>
      </c>
      <c r="AN80" s="1454">
        <f t="shared" si="93"/>
        <v>136710.79999999999</v>
      </c>
      <c r="AO80" s="1296">
        <f>SUM('3 pr-2'!AB82)</f>
        <v>0</v>
      </c>
      <c r="AP80" s="1432">
        <v>0</v>
      </c>
    </row>
    <row r="81" spans="1:43" ht="36.75" x14ac:dyDescent="0.25">
      <c r="A81" s="644" t="str">
        <f>CONCATENATE('3 pr-2'!A83)</f>
        <v>1.1.2.2.4</v>
      </c>
      <c r="B81" s="657" t="str">
        <f>CONCATENATE('3 pr-2'!B83)</f>
        <v>R01-5514-190000-1224</v>
      </c>
      <c r="C81" s="653" t="str">
        <f>CONCATENATE('ketv. 6 '!C82)</f>
        <v>04.5.1-TID-V-513-01-0006</v>
      </c>
      <c r="D81" s="182" t="str">
        <f>CONCATENATE('3 pr-2'!D83)</f>
        <v>Darnaus judumo plano Druskininkuose parengimas</v>
      </c>
      <c r="E81" s="182" t="str">
        <f>CONCATENATE('3 pr-2'!E83)</f>
        <v>Druskininkų savivaldybės administracija</v>
      </c>
      <c r="F81" s="182" t="str">
        <f>CONCATENATE('3 pr-2'!F83)</f>
        <v>Lietuvos Respublikos susisiekimo ministerija</v>
      </c>
      <c r="G81" s="182" t="str">
        <f>CONCATENATE('3 pr-2'!G83)</f>
        <v>Druskininkų sav.</v>
      </c>
      <c r="H81" s="182" t="str">
        <f>CONCATENATE('3 pr-2'!H83)</f>
        <v>04.5.1-TID-V-513</v>
      </c>
      <c r="I81" s="182" t="str">
        <f>CONCATENATE('3 pr-2'!I83)</f>
        <v>V</v>
      </c>
      <c r="J81" s="182" t="str">
        <f>CONCATENATE('3 pr-2'!J83)</f>
        <v>ITI</v>
      </c>
      <c r="K81" s="1435">
        <f>SUM('3 pr-2'!L83)</f>
        <v>17000</v>
      </c>
      <c r="L81" s="1426">
        <f t="shared" si="85"/>
        <v>17000</v>
      </c>
      <c r="M81" s="1298">
        <v>17000</v>
      </c>
      <c r="N81" s="1298">
        <f t="shared" si="94"/>
        <v>0</v>
      </c>
      <c r="O81" s="1427">
        <f t="shared" si="86"/>
        <v>0</v>
      </c>
      <c r="P81" s="1435">
        <f>SUM('3 pr-2'!O83)</f>
        <v>2550</v>
      </c>
      <c r="Q81" s="1426">
        <v>2550</v>
      </c>
      <c r="R81" s="1298">
        <v>2550</v>
      </c>
      <c r="S81" s="1298">
        <f t="shared" si="87"/>
        <v>0</v>
      </c>
      <c r="T81" s="1427">
        <f t="shared" si="88"/>
        <v>0</v>
      </c>
      <c r="U81" s="1435">
        <f>SUM('3 pr-2'!R83)</f>
        <v>0</v>
      </c>
      <c r="V81" s="1296">
        <f>SUMIF('mokėjimų ataskaita'!$I$13:$I$600,C81,'mokėjimų ataskaita'!$AL$13:$AL$600)/2</f>
        <v>0</v>
      </c>
      <c r="W81" s="1298"/>
      <c r="X81" s="1298"/>
      <c r="Y81" s="1427">
        <f t="shared" si="89"/>
        <v>0</v>
      </c>
      <c r="Z81" s="1435">
        <f>SUM('3 pr-2'!U83)</f>
        <v>0</v>
      </c>
      <c r="AA81" s="1296">
        <f>SUMIF('mokėjimų ataskaita'!$I$13:$I$600,C81,'mokėjimų ataskaita'!$AW$13:$AW$600)/2</f>
        <v>0</v>
      </c>
      <c r="AB81" s="1298"/>
      <c r="AC81" s="1298"/>
      <c r="AD81" s="1427">
        <f t="shared" si="90"/>
        <v>0</v>
      </c>
      <c r="AE81" s="1435">
        <f>SUM('3 pr-2'!X83)</f>
        <v>0</v>
      </c>
      <c r="AF81" s="1296">
        <f>SUMIF('mokėjimų ataskaita'!$I$13:$I$600,C81,'mokėjimų ataskaita'!$AV$13:$AV$600)/2+SUMIF('mokėjimų ataskaita'!$I$13:$I$600,C81,'mokėjimų ataskaita'!$AT$13:$AT$600)/2</f>
        <v>0</v>
      </c>
      <c r="AG81" s="1298"/>
      <c r="AH81" s="1298"/>
      <c r="AI81" s="1427">
        <f t="shared" si="91"/>
        <v>0</v>
      </c>
      <c r="AJ81" s="1435">
        <f>SUM('3 pr-2'!AA83)</f>
        <v>14450</v>
      </c>
      <c r="AK81" s="1426">
        <v>14450</v>
      </c>
      <c r="AL81" s="1298">
        <v>14450</v>
      </c>
      <c r="AM81" s="1298">
        <f t="shared" si="92"/>
        <v>0</v>
      </c>
      <c r="AN81" s="1441">
        <f t="shared" si="93"/>
        <v>0</v>
      </c>
      <c r="AO81" s="1296">
        <f>SUM('3 pr-2'!AB83)</f>
        <v>0</v>
      </c>
      <c r="AP81" s="1426">
        <v>0</v>
      </c>
    </row>
    <row r="82" spans="1:43" ht="48.75" x14ac:dyDescent="0.25">
      <c r="A82" s="644" t="str">
        <f>CONCATENATE('3 pr-2'!A84)</f>
        <v>1.1.2.2.5</v>
      </c>
      <c r="B82" s="657" t="str">
        <f>CONCATENATE('3 pr-2'!B84)</f>
        <v>R01-5514-190000-1225</v>
      </c>
      <c r="C82" s="653" t="str">
        <f>CONCATENATE('ketv. 6 '!C83)</f>
        <v>-</v>
      </c>
      <c r="D82" s="182" t="str">
        <f>CONCATENATE('3 pr-2'!D84)</f>
        <v>Viešojo transporto organizavimo tobulinimas rekonstruojant Druskininkų miesto gatvių infrastruktūrą</v>
      </c>
      <c r="E82" s="182" t="str">
        <f>CONCATENATE('3 pr-2'!E84)</f>
        <v>Druskininkų savivaldybės administracija</v>
      </c>
      <c r="F82" s="182" t="str">
        <f>CONCATENATE('3 pr-2'!F84)</f>
        <v>Lietuvos Respublikos susisiekimo ministerija</v>
      </c>
      <c r="G82" s="182" t="str">
        <f>CONCATENATE('3 pr-2'!G84)</f>
        <v>Druskininkų sav.</v>
      </c>
      <c r="H82" s="182" t="str">
        <f>CONCATENATE('3 pr-2'!H84)</f>
        <v>04.5.1.-TID-R-514</v>
      </c>
      <c r="I82" s="182" t="str">
        <f>CONCATENATE('3 pr-2'!I84)</f>
        <v>R</v>
      </c>
      <c r="J82" s="182" t="str">
        <f>CONCATENATE('3 pr-2'!J84)</f>
        <v>-</v>
      </c>
      <c r="K82" s="1435">
        <f>SUM('3 pr-2'!L84)</f>
        <v>290000</v>
      </c>
      <c r="L82" s="1432">
        <f t="shared" si="85"/>
        <v>0</v>
      </c>
      <c r="M82" s="1298"/>
      <c r="N82" s="1298">
        <f t="shared" si="94"/>
        <v>0</v>
      </c>
      <c r="O82" s="1427">
        <f t="shared" ref="O82" si="95">SUM(K82-L82)</f>
        <v>290000</v>
      </c>
      <c r="P82" s="1435">
        <f>SUM('3 pr-2'!O84)</f>
        <v>43500</v>
      </c>
      <c r="Q82" s="1432">
        <f>SUMIF('mokėjimų ataskaita'!$I$13:$I$600,C82,'mokėjimų ataskaita'!$AU$13:$AU$600)/2</f>
        <v>0</v>
      </c>
      <c r="R82" s="1298"/>
      <c r="S82" s="1298">
        <f t="shared" si="87"/>
        <v>0</v>
      </c>
      <c r="T82" s="1427">
        <f t="shared" si="88"/>
        <v>43500</v>
      </c>
      <c r="U82" s="1435">
        <f>SUM('3 pr-2'!R84)</f>
        <v>0</v>
      </c>
      <c r="V82" s="1296">
        <f>SUMIF('mokėjimų ataskaita'!$I$13:$I$600,C82,'mokėjimų ataskaita'!$AL$13:$AL$600)/2</f>
        <v>0</v>
      </c>
      <c r="W82" s="1298"/>
      <c r="X82" s="1298"/>
      <c r="Y82" s="1427">
        <f t="shared" ref="Y82" si="96">SUM(U82-V82)</f>
        <v>0</v>
      </c>
      <c r="Z82" s="1435">
        <f>SUM('3 pr-2'!U84)</f>
        <v>0</v>
      </c>
      <c r="AA82" s="1296">
        <f>SUMIF('mokėjimų ataskaita'!$I$13:$I$600,C82,'mokėjimų ataskaita'!$AW$13:$AW$600)/2</f>
        <v>0</v>
      </c>
      <c r="AB82" s="1298"/>
      <c r="AC82" s="1298"/>
      <c r="AD82" s="1427">
        <f t="shared" ref="AD82" si="97">SUM(Z82-AA82)</f>
        <v>0</v>
      </c>
      <c r="AE82" s="1435">
        <f>SUM('3 pr-2'!X84)</f>
        <v>0</v>
      </c>
      <c r="AF82" s="1296">
        <f>SUMIF('mokėjimų ataskaita'!$I$13:$I$600,C82,'mokėjimų ataskaita'!$AV$13:$AV$600)/2+SUMIF('mokėjimų ataskaita'!$I$13:$I$600,C82,'mokėjimų ataskaita'!$AT$13:$AT$600)/2</f>
        <v>0</v>
      </c>
      <c r="AG82" s="1298"/>
      <c r="AH82" s="1298"/>
      <c r="AI82" s="1427">
        <f t="shared" ref="AI82" si="98">SUM(AE82-AF82)</f>
        <v>0</v>
      </c>
      <c r="AJ82" s="1435">
        <f>SUM('3 pr-2'!AA84)</f>
        <v>246500</v>
      </c>
      <c r="AK82" s="1296">
        <f>SUMIF('mokėjimų ataskaita'!$I$13:$I$600,C82,'mokėjimų ataskaita'!$AK$13:$AK$600)/2</f>
        <v>0</v>
      </c>
      <c r="AL82" s="1298"/>
      <c r="AM82" s="1298">
        <f t="shared" si="92"/>
        <v>0</v>
      </c>
      <c r="AN82" s="1441">
        <f t="shared" si="93"/>
        <v>246500</v>
      </c>
      <c r="AO82" s="1296">
        <f>SUM('3 pr-2'!AB84)</f>
        <v>0</v>
      </c>
      <c r="AP82" s="1432">
        <v>0</v>
      </c>
    </row>
    <row r="83" spans="1:43" ht="37.5" thickBot="1" x14ac:dyDescent="0.3">
      <c r="A83" s="644" t="str">
        <f>CONCATENATE('3 pr-2'!A85)</f>
        <v>1.1.2.2.6</v>
      </c>
      <c r="B83" s="657" t="str">
        <f>CONCATENATE('3 pr-2'!B85)</f>
        <v>R01-5514-190000-1226</v>
      </c>
      <c r="C83" s="653" t="str">
        <f>CONCATENATE('ketv. 6 '!C84)</f>
        <v>-</v>
      </c>
      <c r="D83" s="182" t="str">
        <f>CONCATENATE('3 pr-2'!D85)</f>
        <v>Vandens transporto infrastruktūros įrengimas skatinant kitų rūšių transportą</v>
      </c>
      <c r="E83" s="182" t="str">
        <f>CONCATENATE('3 pr-2'!E85)</f>
        <v>Druskininkų savivaldybės administracija</v>
      </c>
      <c r="F83" s="182" t="str">
        <f>CONCATENATE('3 pr-2'!F85)</f>
        <v>Lietuvos Respublikos susisiekimo ministerija</v>
      </c>
      <c r="G83" s="182" t="str">
        <f>CONCATENATE('3 pr-2'!G85)</f>
        <v>Druskininkų sav.</v>
      </c>
      <c r="H83" s="182" t="str">
        <f>CONCATENATE('3 pr-2'!H85)</f>
        <v>04.5.1.-TID-R-514</v>
      </c>
      <c r="I83" s="182" t="str">
        <f>CONCATENATE('3 pr-2'!I85)</f>
        <v>R</v>
      </c>
      <c r="J83" s="182" t="str">
        <f>CONCATENATE('3 pr-2'!J85)</f>
        <v>-</v>
      </c>
      <c r="K83" s="1435">
        <f>SUM('3 pr-2'!L85)</f>
        <v>250000</v>
      </c>
      <c r="L83" s="1432">
        <f t="shared" si="85"/>
        <v>0</v>
      </c>
      <c r="M83" s="1298"/>
      <c r="N83" s="1298">
        <f t="shared" si="94"/>
        <v>0</v>
      </c>
      <c r="O83" s="1427">
        <f t="shared" ref="O83" si="99">SUM(K83-L83)</f>
        <v>250000</v>
      </c>
      <c r="P83" s="1435">
        <f>SUM('3 pr-2'!O85)</f>
        <v>37500</v>
      </c>
      <c r="Q83" s="1432">
        <f>SUMIF('mokėjimų ataskaita'!$I$13:$I$600,C83,'mokėjimų ataskaita'!$AU$13:$AU$600)/2</f>
        <v>0</v>
      </c>
      <c r="R83" s="1298"/>
      <c r="S83" s="1298">
        <f t="shared" si="87"/>
        <v>0</v>
      </c>
      <c r="T83" s="1427">
        <f t="shared" si="88"/>
        <v>37500</v>
      </c>
      <c r="U83" s="1435">
        <f>SUM('3 pr-2'!R85)</f>
        <v>0</v>
      </c>
      <c r="V83" s="1296">
        <f>SUMIF('mokėjimų ataskaita'!$I$13:$I$600,C83,'mokėjimų ataskaita'!$AL$13:$AL$600)/2</f>
        <v>0</v>
      </c>
      <c r="W83" s="1298"/>
      <c r="X83" s="1298"/>
      <c r="Y83" s="1427">
        <f t="shared" ref="Y83" si="100">SUM(U83-V83)</f>
        <v>0</v>
      </c>
      <c r="Z83" s="1435">
        <f>SUM('3 pr-2'!U85)</f>
        <v>0</v>
      </c>
      <c r="AA83" s="1296">
        <f>SUMIF('mokėjimų ataskaita'!$I$13:$I$600,C83,'mokėjimų ataskaita'!$AW$13:$AW$600)/2</f>
        <v>0</v>
      </c>
      <c r="AB83" s="1298"/>
      <c r="AC83" s="1298"/>
      <c r="AD83" s="1427">
        <f t="shared" ref="AD83" si="101">SUM(Z83-AA83)</f>
        <v>0</v>
      </c>
      <c r="AE83" s="1435">
        <f>SUM('3 pr-2'!X85)</f>
        <v>0</v>
      </c>
      <c r="AF83" s="1296">
        <f>SUMIF('mokėjimų ataskaita'!$I$13:$I$600,C83,'mokėjimų ataskaita'!$AV$13:$AV$600)/2+SUMIF('mokėjimų ataskaita'!$I$13:$I$600,C83,'mokėjimų ataskaita'!$AT$13:$AT$600)/2</f>
        <v>0</v>
      </c>
      <c r="AG83" s="1298"/>
      <c r="AH83" s="1298"/>
      <c r="AI83" s="1427">
        <f t="shared" ref="AI83" si="102">SUM(AE83-AF83)</f>
        <v>0</v>
      </c>
      <c r="AJ83" s="1435">
        <f>SUM('3 pr-2'!AA85)</f>
        <v>212500</v>
      </c>
      <c r="AK83" s="1296">
        <f>SUMIF('mokėjimų ataskaita'!$I$13:$I$600,C83,'mokėjimų ataskaita'!$AK$13:$AK$600)/2</f>
        <v>0</v>
      </c>
      <c r="AL83" s="1298"/>
      <c r="AM83" s="1298">
        <f t="shared" si="92"/>
        <v>0</v>
      </c>
      <c r="AN83" s="1441">
        <f t="shared" si="93"/>
        <v>212500</v>
      </c>
      <c r="AO83" s="1296">
        <f>SUM('3 pr-2'!AB85)</f>
        <v>0</v>
      </c>
      <c r="AP83" s="1432">
        <v>0</v>
      </c>
    </row>
    <row r="84" spans="1:43" ht="33.75" customHeight="1" thickBot="1" x14ac:dyDescent="0.3">
      <c r="A84" s="326" t="str">
        <f>CONCATENATE('3 pr-2'!A86)</f>
        <v>1.1.2.3</v>
      </c>
      <c r="B84" s="2025" t="str">
        <f>CONCATENATE('3 pr-2'!B86)</f>
        <v>Priemonė:
Pėsčiųjų ir dviračių takų rekonstrukcija ir plėtra</v>
      </c>
      <c r="C84" s="2026"/>
      <c r="D84" s="2026"/>
      <c r="E84" s="2026"/>
      <c r="F84" s="2026"/>
      <c r="G84" s="2026"/>
      <c r="H84" s="2026"/>
      <c r="I84" s="2026"/>
      <c r="J84" s="2027"/>
      <c r="K84" s="1293">
        <f t="shared" ref="K84:AJ84" si="103">SUM(K85:K89)</f>
        <v>490058.56</v>
      </c>
      <c r="L84" s="1293">
        <f t="shared" si="103"/>
        <v>115635.47999999998</v>
      </c>
      <c r="M84" s="1293">
        <f t="shared" si="103"/>
        <v>48895.060000000005</v>
      </c>
      <c r="N84" s="1293">
        <f t="shared" si="103"/>
        <v>66740.419999999984</v>
      </c>
      <c r="O84" s="1293">
        <f t="shared" si="103"/>
        <v>374423.08</v>
      </c>
      <c r="P84" s="1293">
        <f t="shared" si="103"/>
        <v>77351.429999999993</v>
      </c>
      <c r="Q84" s="1293">
        <f t="shared" si="103"/>
        <v>17517.05</v>
      </c>
      <c r="R84" s="1293">
        <f t="shared" si="103"/>
        <v>7334.26</v>
      </c>
      <c r="S84" s="1293">
        <f t="shared" si="103"/>
        <v>10182.790000000001</v>
      </c>
      <c r="T84" s="1293">
        <f t="shared" si="103"/>
        <v>59834.380000000005</v>
      </c>
      <c r="U84" s="1293">
        <f t="shared" si="103"/>
        <v>0</v>
      </c>
      <c r="V84" s="1293">
        <f t="shared" si="103"/>
        <v>0</v>
      </c>
      <c r="W84" s="1293">
        <f t="shared" si="103"/>
        <v>0</v>
      </c>
      <c r="X84" s="1293">
        <f t="shared" si="103"/>
        <v>0</v>
      </c>
      <c r="Y84" s="1293">
        <f t="shared" si="103"/>
        <v>0</v>
      </c>
      <c r="Z84" s="1293">
        <f t="shared" si="103"/>
        <v>0</v>
      </c>
      <c r="AA84" s="1293">
        <f t="shared" si="103"/>
        <v>0</v>
      </c>
      <c r="AB84" s="1293">
        <f t="shared" si="103"/>
        <v>0</v>
      </c>
      <c r="AC84" s="1293">
        <f t="shared" si="103"/>
        <v>0</v>
      </c>
      <c r="AD84" s="1293">
        <f t="shared" si="103"/>
        <v>0</v>
      </c>
      <c r="AE84" s="1293">
        <f t="shared" si="103"/>
        <v>0</v>
      </c>
      <c r="AF84" s="1293">
        <f t="shared" si="103"/>
        <v>0</v>
      </c>
      <c r="AG84" s="1293">
        <f t="shared" si="103"/>
        <v>0</v>
      </c>
      <c r="AH84" s="1293">
        <f t="shared" si="103"/>
        <v>0</v>
      </c>
      <c r="AI84" s="1293">
        <f t="shared" si="103"/>
        <v>0</v>
      </c>
      <c r="AJ84" s="1293">
        <f t="shared" si="103"/>
        <v>412707.13</v>
      </c>
      <c r="AK84" s="1293">
        <f>SUM(AK85:AK89)</f>
        <v>98118.43</v>
      </c>
      <c r="AL84" s="1293">
        <f t="shared" ref="AL84:AP84" si="104">SUM(AL85:AL89)</f>
        <v>41560.800000000003</v>
      </c>
      <c r="AM84" s="1293">
        <f t="shared" si="104"/>
        <v>56557.62999999999</v>
      </c>
      <c r="AN84" s="1293">
        <f t="shared" si="104"/>
        <v>314588.7</v>
      </c>
      <c r="AO84" s="1293">
        <f t="shared" si="104"/>
        <v>0</v>
      </c>
      <c r="AP84" s="1293">
        <f t="shared" si="104"/>
        <v>0</v>
      </c>
      <c r="AQ84" s="256">
        <f>SUM(K84-'3 pr-2'!L86)</f>
        <v>0</v>
      </c>
    </row>
    <row r="85" spans="1:43" ht="36.75" x14ac:dyDescent="0.25">
      <c r="A85" s="644" t="str">
        <f>CONCATENATE('3 pr-2'!A87)</f>
        <v>1.1.2.3.1</v>
      </c>
      <c r="B85" s="657" t="str">
        <f>CONCATENATE('3 pr-2'!B87)</f>
        <v>R01-5516-190000-1231</v>
      </c>
      <c r="C85" s="653" t="str">
        <f>CONCATENATE('ketv. 6 '!C86)</f>
        <v>04.5.1-TID-R-516-11-0004</v>
      </c>
      <c r="D85" s="182" t="str">
        <f>CONCATENATE('3 pr-2'!D87)</f>
        <v>Dviračių ir pėsčiųjų takų įrengimas Varėnos miesto J. Basanavičiaus ir Žiedo gatvėse</v>
      </c>
      <c r="E85" s="182" t="str">
        <f>CONCATENATE('3 pr-2'!E87)</f>
        <v>Varėnos rajono savivaldybės administracija</v>
      </c>
      <c r="F85" s="182" t="str">
        <f>CONCATENATE('3 pr-2'!F87)</f>
        <v>Lietuvos Respublikos susisiekimo ministerija</v>
      </c>
      <c r="G85" s="182" t="str">
        <f>CONCATENATE('3 pr-2'!G87)</f>
        <v>Varėnos r. sav.</v>
      </c>
      <c r="H85" s="182" t="str">
        <f>CONCATENATE('3 pr-2'!H87)</f>
        <v>04.5.1-TID-R-516</v>
      </c>
      <c r="I85" s="182" t="str">
        <f>CONCATENATE('3 pr-2'!I87)</f>
        <v>R</v>
      </c>
      <c r="J85" s="182" t="str">
        <f>CONCATENATE('3 pr-2'!J87)</f>
        <v>ITI</v>
      </c>
      <c r="K85" s="1435">
        <f>SUM('3 pr-2'!L87)</f>
        <v>96513</v>
      </c>
      <c r="L85" s="1426">
        <f t="shared" ref="L85:L89" si="105">SUM(Q85+V85+AA85+AF85+AK85)</f>
        <v>0</v>
      </c>
      <c r="M85" s="1298">
        <v>0</v>
      </c>
      <c r="N85" s="1298">
        <f t="shared" si="94"/>
        <v>0</v>
      </c>
      <c r="O85" s="1427">
        <f t="shared" ref="O85:O89" si="106">SUM(K85-L85)</f>
        <v>96513</v>
      </c>
      <c r="P85" s="1435">
        <f>SUM('3 pr-2'!O87)</f>
        <v>14477</v>
      </c>
      <c r="Q85" s="1426">
        <f>SUMIF('mokėjimų ataskaita'!$I$13:$I$600,C85,'mokėjimų ataskaita'!$AU$13:$AU$600)/2</f>
        <v>0</v>
      </c>
      <c r="R85" s="1298">
        <v>0</v>
      </c>
      <c r="S85" s="1298">
        <f t="shared" ref="S85:S89" si="107">SUM(Q85-R85)</f>
        <v>0</v>
      </c>
      <c r="T85" s="1427">
        <f>SUM(P85-Q85)</f>
        <v>14477</v>
      </c>
      <c r="U85" s="1435">
        <f>SUM('3 pr-2'!R87)</f>
        <v>0</v>
      </c>
      <c r="V85" s="1296">
        <f>SUMIF('mokėjimų ataskaita'!$I$13:$I$600,C85,'mokėjimų ataskaita'!$AL$13:$AL$600)/2</f>
        <v>0</v>
      </c>
      <c r="W85" s="1298"/>
      <c r="X85" s="1298"/>
      <c r="Y85" s="1427">
        <f t="shared" ref="Y85:Y89" si="108">SUM(U85-V85)</f>
        <v>0</v>
      </c>
      <c r="Z85" s="1435">
        <f>SUM('3 pr-2'!U87)</f>
        <v>0</v>
      </c>
      <c r="AA85" s="1296">
        <f>SUMIF('mokėjimų ataskaita'!$I$13:$I$600,C85,'mokėjimų ataskaita'!$AW$13:$AW$600)/2</f>
        <v>0</v>
      </c>
      <c r="AB85" s="1298"/>
      <c r="AC85" s="1298"/>
      <c r="AD85" s="1427">
        <f t="shared" ref="AD85:AD89" si="109">SUM(Z85-AA85)</f>
        <v>0</v>
      </c>
      <c r="AE85" s="1435">
        <f>SUM('3 pr-2'!X87)</f>
        <v>0</v>
      </c>
      <c r="AF85" s="1296">
        <f>SUMIF('mokėjimų ataskaita'!$I$13:$I$600,C85,'mokėjimų ataskaita'!$AV$13:$AV$600)/2+SUMIF('mokėjimų ataskaita'!$I$13:$I$600,C85,'mokėjimų ataskaita'!$AT$13:$AT$600)/2</f>
        <v>0</v>
      </c>
      <c r="AG85" s="1298"/>
      <c r="AH85" s="1298"/>
      <c r="AI85" s="1427">
        <f t="shared" ref="AI85:AI89" si="110">SUM(AE85-AF85)</f>
        <v>0</v>
      </c>
      <c r="AJ85" s="1435">
        <f>SUM('3 pr-2'!AA87)</f>
        <v>82036</v>
      </c>
      <c r="AK85" s="1426">
        <f>SUMIF('mokėjimų ataskaita'!$I$13:$I$600,C85,'mokėjimų ataskaita'!$AK$13:$AK$600)/2</f>
        <v>0</v>
      </c>
      <c r="AL85" s="1298">
        <v>0</v>
      </c>
      <c r="AM85" s="1298">
        <f t="shared" ref="AM85:AM89" si="111">SUM(AK85-AL85)</f>
        <v>0</v>
      </c>
      <c r="AN85" s="1454">
        <f>SUM(AJ85-AK85)</f>
        <v>82036</v>
      </c>
      <c r="AO85" s="1296">
        <f>SUM('3 pr-2'!AB87)</f>
        <v>0</v>
      </c>
      <c r="AP85" s="1426">
        <v>0</v>
      </c>
    </row>
    <row r="86" spans="1:43" ht="36.75" x14ac:dyDescent="0.25">
      <c r="A86" s="644" t="str">
        <f>CONCATENATE('3 pr-2'!A88)</f>
        <v>1.1.2.3.2</v>
      </c>
      <c r="B86" s="657" t="str">
        <f>CONCATENATE('3 pr-2'!B88)</f>
        <v>R01-5516-190000-1232</v>
      </c>
      <c r="C86" s="653" t="str">
        <f>CONCATENATE('ketv. 6 '!C87)</f>
        <v>04.5.1-TID-R-516-11-0001</v>
      </c>
      <c r="D86" s="182" t="str">
        <f>CONCATENATE('3 pr-2'!D88)</f>
        <v>Dviračių trasų infrastruktūros įrengimas nuo Putinų g. žiedo Pramonės gatvėje, Alytaus mieste</v>
      </c>
      <c r="E86" s="182" t="str">
        <f>CONCATENATE('3 pr-2'!E88)</f>
        <v>Alytaus miesto savivaldybės administracija</v>
      </c>
      <c r="F86" s="182" t="str">
        <f>CONCATENATE('3 pr-2'!F88)</f>
        <v>Lietuvos Respublikos susisiekimo ministerija</v>
      </c>
      <c r="G86" s="182" t="str">
        <f>CONCATENATE('3 pr-2'!G88)</f>
        <v>Alytaus m. sav.</v>
      </c>
      <c r="H86" s="182" t="str">
        <f>CONCATENATE('3 pr-2'!H88)</f>
        <v>04.5.1-TID-R-516</v>
      </c>
      <c r="I86" s="182" t="str">
        <f>CONCATENATE('3 pr-2'!I88)</f>
        <v>R</v>
      </c>
      <c r="J86" s="182" t="str">
        <f>CONCATENATE('3 pr-2'!J88)</f>
        <v>ITI</v>
      </c>
      <c r="K86" s="1435">
        <f>SUM('3 pr-2'!L88)</f>
        <v>135732</v>
      </c>
      <c r="L86" s="1426">
        <f t="shared" si="105"/>
        <v>96214.43</v>
      </c>
      <c r="M86" s="1298">
        <v>48895.060000000005</v>
      </c>
      <c r="N86" s="1298">
        <f t="shared" si="94"/>
        <v>47319.369999999988</v>
      </c>
      <c r="O86" s="1427">
        <f t="shared" si="106"/>
        <v>39517.570000000007</v>
      </c>
      <c r="P86" s="1435">
        <f>SUM('3 pr-2'!O88)</f>
        <v>20400</v>
      </c>
      <c r="Q86" s="1426">
        <f>SUMIF('mokėjimų ataskaita'!$I$13:$I$600,C86,'mokėjimų ataskaita'!$AU$13:$AU$600)/2</f>
        <v>14432.17</v>
      </c>
      <c r="R86" s="1298">
        <v>7334.26</v>
      </c>
      <c r="S86" s="1298">
        <f t="shared" si="107"/>
        <v>7097.91</v>
      </c>
      <c r="T86" s="1427">
        <f>SUM(P86-Q86)</f>
        <v>5967.83</v>
      </c>
      <c r="U86" s="1435">
        <f>SUM('3 pr-2'!R88)</f>
        <v>0</v>
      </c>
      <c r="V86" s="1296">
        <f>SUMIF('mokėjimų ataskaita'!$I$13:$I$600,C86,'mokėjimų ataskaita'!$AL$13:$AL$600)/2</f>
        <v>0</v>
      </c>
      <c r="W86" s="1298"/>
      <c r="X86" s="1298"/>
      <c r="Y86" s="1427">
        <f t="shared" si="108"/>
        <v>0</v>
      </c>
      <c r="Z86" s="1435">
        <f>SUM('3 pr-2'!U88)</f>
        <v>0</v>
      </c>
      <c r="AA86" s="1296">
        <f>SUMIF('mokėjimų ataskaita'!$I$13:$I$600,C86,'mokėjimų ataskaita'!$AW$13:$AW$600)/2</f>
        <v>0</v>
      </c>
      <c r="AB86" s="1298"/>
      <c r="AC86" s="1298"/>
      <c r="AD86" s="1427">
        <f t="shared" si="109"/>
        <v>0</v>
      </c>
      <c r="AE86" s="1435">
        <f>SUM('3 pr-2'!X88)</f>
        <v>0</v>
      </c>
      <c r="AF86" s="1296">
        <f>SUMIF('mokėjimų ataskaita'!$I$13:$I$600,C86,'mokėjimų ataskaita'!$AV$13:$AV$600)/2+SUMIF('mokėjimų ataskaita'!$I$13:$I$600,C86,'mokėjimų ataskaita'!$AT$13:$AT$600)/2</f>
        <v>0</v>
      </c>
      <c r="AG86" s="1298"/>
      <c r="AH86" s="1298"/>
      <c r="AI86" s="1427">
        <f t="shared" si="110"/>
        <v>0</v>
      </c>
      <c r="AJ86" s="1435">
        <f>SUM('3 pr-2'!AA88)</f>
        <v>115332</v>
      </c>
      <c r="AK86" s="1426">
        <f>SUMIF('mokėjimų ataskaita'!$I$13:$I$600,C86,'mokėjimų ataskaita'!$AK$13:$AK$600)/2</f>
        <v>81782.259999999995</v>
      </c>
      <c r="AL86" s="1298">
        <v>41560.800000000003</v>
      </c>
      <c r="AM86" s="1298">
        <f t="shared" si="111"/>
        <v>40221.459999999992</v>
      </c>
      <c r="AN86" s="1454">
        <f>SUM(AJ86-AK86)</f>
        <v>33549.740000000005</v>
      </c>
      <c r="AO86" s="1296">
        <f>SUM('3 pr-2'!AB88)</f>
        <v>0</v>
      </c>
      <c r="AP86" s="1426">
        <v>0</v>
      </c>
    </row>
    <row r="87" spans="1:43" ht="48.75" x14ac:dyDescent="0.25">
      <c r="A87" s="644" t="str">
        <f>CONCATENATE('3 pr-2'!A89)</f>
        <v>1.1.2.3.3</v>
      </c>
      <c r="B87" s="657" t="str">
        <f>CONCATENATE('3 pr-2'!B89)</f>
        <v>R01-5516-190000-1233</v>
      </c>
      <c r="C87" s="653" t="str">
        <f>CONCATENATE('ketv. 6 '!C88)</f>
        <v>04.5.1-TID-R-516-11-0002</v>
      </c>
      <c r="D87" s="182" t="str">
        <f>CONCATENATE('3 pr-2'!D89)</f>
        <v>Dviračių ir pėsčiųjų takų plėtra Lazdijų miesto Turistų gatvėje iki sodų bendrijos „Baltasis“ Lazdijų seniūnijoje</v>
      </c>
      <c r="E87" s="182" t="str">
        <f>CONCATENATE('3 pr-2'!E89)</f>
        <v>Lazdijų rajono savivaldybės administracija</v>
      </c>
      <c r="F87" s="182" t="str">
        <f>CONCATENATE('3 pr-2'!F89)</f>
        <v>Lietuvos Respublikos susisiekimo ministerija</v>
      </c>
      <c r="G87" s="182" t="str">
        <f>CONCATENATE('3 pr-2'!G89)</f>
        <v>Lazdijų r. sav.</v>
      </c>
      <c r="H87" s="182" t="str">
        <f>CONCATENATE('3 pr-2'!H89)</f>
        <v>04.5.1-TID-R-516</v>
      </c>
      <c r="I87" s="182" t="str">
        <f>CONCATENATE('3 pr-2'!I89)</f>
        <v>R</v>
      </c>
      <c r="J87" s="182" t="str">
        <f>CONCATENATE('3 pr-2'!J89)</f>
        <v>ITI</v>
      </c>
      <c r="K87" s="1435">
        <f>SUM('3 pr-2'!L89)</f>
        <v>87775</v>
      </c>
      <c r="L87" s="1426">
        <f t="shared" si="105"/>
        <v>2541.6499999999996</v>
      </c>
      <c r="M87" s="1298">
        <v>0</v>
      </c>
      <c r="N87" s="1298">
        <f t="shared" si="94"/>
        <v>2541.6499999999996</v>
      </c>
      <c r="O87" s="1427">
        <f t="shared" si="106"/>
        <v>85233.35</v>
      </c>
      <c r="P87" s="1435">
        <f>SUM('3 pr-2'!O89)</f>
        <v>13166</v>
      </c>
      <c r="Q87" s="1426">
        <f>SUMIF('mokėjimų ataskaita'!$I$13:$I$600,C87,'mokėjimų ataskaita'!$AU$13:$AU$600)/2</f>
        <v>552.97</v>
      </c>
      <c r="R87" s="1298">
        <v>0</v>
      </c>
      <c r="S87" s="1298">
        <f t="shared" si="107"/>
        <v>552.97</v>
      </c>
      <c r="T87" s="1427">
        <f>SUM(P87-Q87)</f>
        <v>12613.03</v>
      </c>
      <c r="U87" s="1435">
        <f>SUM('3 pr-2'!R89)</f>
        <v>0</v>
      </c>
      <c r="V87" s="1296">
        <f>SUMIF('mokėjimų ataskaita'!$I$13:$I$600,C87,'mokėjimų ataskaita'!$AL$13:$AL$600)/2</f>
        <v>0</v>
      </c>
      <c r="W87" s="1298"/>
      <c r="X87" s="1298"/>
      <c r="Y87" s="1427">
        <f t="shared" si="108"/>
        <v>0</v>
      </c>
      <c r="Z87" s="1435">
        <f>SUM('3 pr-2'!U89)</f>
        <v>0</v>
      </c>
      <c r="AA87" s="1296">
        <f>SUMIF('mokėjimų ataskaita'!$I$13:$I$600,C87,'mokėjimų ataskaita'!$AW$13:$AW$600)/2</f>
        <v>0</v>
      </c>
      <c r="AB87" s="1298"/>
      <c r="AC87" s="1298"/>
      <c r="AD87" s="1427">
        <f t="shared" si="109"/>
        <v>0</v>
      </c>
      <c r="AE87" s="1435">
        <f>SUM('3 pr-2'!X89)</f>
        <v>0</v>
      </c>
      <c r="AF87" s="1296">
        <f>SUMIF('mokėjimų ataskaita'!$I$13:$I$600,C87,'mokėjimų ataskaita'!$AV$13:$AV$600)/2+SUMIF('mokėjimų ataskaita'!$I$13:$I$600,C87,'mokėjimų ataskaita'!$AT$13:$AT$600)/2</f>
        <v>0</v>
      </c>
      <c r="AG87" s="1298"/>
      <c r="AH87" s="1298"/>
      <c r="AI87" s="1427">
        <f t="shared" si="110"/>
        <v>0</v>
      </c>
      <c r="AJ87" s="1435">
        <f>SUM('3 pr-2'!AA89)</f>
        <v>74609</v>
      </c>
      <c r="AK87" s="1426">
        <f>SUMIF('mokėjimų ataskaita'!$I$13:$I$600,C87,'mokėjimų ataskaita'!$AK$13:$AK$600)/2</f>
        <v>1988.6799999999998</v>
      </c>
      <c r="AL87" s="1298">
        <v>0</v>
      </c>
      <c r="AM87" s="1298">
        <f t="shared" si="111"/>
        <v>1988.6799999999998</v>
      </c>
      <c r="AN87" s="1454">
        <f>SUM(AJ87-AK87)</f>
        <v>72620.320000000007</v>
      </c>
      <c r="AO87" s="1296">
        <f>SUM('3 pr-2'!AB89)</f>
        <v>0</v>
      </c>
      <c r="AP87" s="1426">
        <v>0</v>
      </c>
    </row>
    <row r="88" spans="1:43" ht="36.75" x14ac:dyDescent="0.25">
      <c r="A88" s="644" t="str">
        <f>CONCATENATE('3 pr-2'!A90)</f>
        <v>1.1.2.3.4</v>
      </c>
      <c r="B88" s="657" t="str">
        <f>CONCATENATE('3 pr-2'!B90)</f>
        <v>R01-5516-190000-1234</v>
      </c>
      <c r="C88" s="653" t="str">
        <f>CONCATENATE('ketv. 6 '!C89)</f>
        <v>04.5.1-TID-R-516-11-0005</v>
      </c>
      <c r="D88" s="182" t="str">
        <f>CONCATENATE('3 pr-2'!D90)</f>
        <v>Pėsčiųjų ir dviračių takų plėtra Simno seniūnijoje</v>
      </c>
      <c r="E88" s="182" t="str">
        <f>CONCATENATE('3 pr-2'!E90)</f>
        <v>Alytaus rajono savivaldybės administracija</v>
      </c>
      <c r="F88" s="182" t="str">
        <f>CONCATENATE('3 pr-2'!F90)</f>
        <v>Lietuvos Respublikos susisiekimo ministerija</v>
      </c>
      <c r="G88" s="182" t="str">
        <f>CONCATENATE('3 pr-2'!G90)</f>
        <v>Alytaus r. sav.</v>
      </c>
      <c r="H88" s="182" t="str">
        <f>CONCATENATE('3 pr-2'!H90)</f>
        <v>04.5.1-TID-R-516</v>
      </c>
      <c r="I88" s="182" t="str">
        <f>CONCATENATE('3 pr-2'!I90)</f>
        <v>R</v>
      </c>
      <c r="J88" s="182" t="str">
        <f>CONCATENATE('3 pr-2'!J90)</f>
        <v>-</v>
      </c>
      <c r="K88" s="1435">
        <f>SUM('3 pr-2'!L90)</f>
        <v>98949.56</v>
      </c>
      <c r="L88" s="1426">
        <f t="shared" si="105"/>
        <v>16879.400000000001</v>
      </c>
      <c r="M88" s="1298">
        <v>0</v>
      </c>
      <c r="N88" s="1298">
        <f t="shared" si="94"/>
        <v>16879.400000000001</v>
      </c>
      <c r="O88" s="1427">
        <f t="shared" si="106"/>
        <v>82070.16</v>
      </c>
      <c r="P88" s="1435">
        <f>SUM('3 pr-2'!O90)</f>
        <v>14842.43</v>
      </c>
      <c r="Q88" s="1426">
        <f>SUMIF('mokėjimų ataskaita'!$I$13:$I$600,C88,'mokėjimų ataskaita'!$AU$13:$AU$600)/2</f>
        <v>2531.91</v>
      </c>
      <c r="R88" s="1298">
        <v>0</v>
      </c>
      <c r="S88" s="1298">
        <f t="shared" si="107"/>
        <v>2531.91</v>
      </c>
      <c r="T88" s="1427">
        <f>SUM(P88-Q88)</f>
        <v>12310.52</v>
      </c>
      <c r="U88" s="1435">
        <f>SUM('3 pr-2'!R90)</f>
        <v>0</v>
      </c>
      <c r="V88" s="1296">
        <f>SUMIF('mokėjimų ataskaita'!$I$13:$I$600,C88,'mokėjimų ataskaita'!$AL$13:$AL$600)/2</f>
        <v>0</v>
      </c>
      <c r="W88" s="1298"/>
      <c r="X88" s="1298"/>
      <c r="Y88" s="1427">
        <f t="shared" si="108"/>
        <v>0</v>
      </c>
      <c r="Z88" s="1435">
        <f>SUM('3 pr-2'!U90)</f>
        <v>0</v>
      </c>
      <c r="AA88" s="1296">
        <f>SUMIF('mokėjimų ataskaita'!$I$13:$I$600,C88,'mokėjimų ataskaita'!$AW$13:$AW$600)/2</f>
        <v>0</v>
      </c>
      <c r="AB88" s="1298"/>
      <c r="AC88" s="1298"/>
      <c r="AD88" s="1427">
        <f t="shared" si="109"/>
        <v>0</v>
      </c>
      <c r="AE88" s="1435">
        <f>SUM('3 pr-2'!X90)</f>
        <v>0</v>
      </c>
      <c r="AF88" s="1296">
        <f>SUMIF('mokėjimų ataskaita'!$I$13:$I$600,C88,'mokėjimų ataskaita'!$AV$13:$AV$600)/2+SUMIF('mokėjimų ataskaita'!$I$13:$I$600,C88,'mokėjimų ataskaita'!$AT$13:$AT$600)/2</f>
        <v>0</v>
      </c>
      <c r="AG88" s="1298"/>
      <c r="AH88" s="1298"/>
      <c r="AI88" s="1427">
        <f t="shared" si="110"/>
        <v>0</v>
      </c>
      <c r="AJ88" s="1435">
        <f>SUM('3 pr-2'!AA90)</f>
        <v>84107.13</v>
      </c>
      <c r="AK88" s="1426">
        <f>SUMIF('mokėjimų ataskaita'!$I$13:$I$600,C88,'mokėjimų ataskaita'!$AK$13:$AK$600)/2</f>
        <v>14347.49</v>
      </c>
      <c r="AL88" s="1298">
        <v>0</v>
      </c>
      <c r="AM88" s="1298">
        <f t="shared" si="111"/>
        <v>14347.49</v>
      </c>
      <c r="AN88" s="1454">
        <f>SUM(AJ88-AK88)</f>
        <v>69759.64</v>
      </c>
      <c r="AO88" s="1296">
        <f>SUM('3 pr-2'!AB90)</f>
        <v>0</v>
      </c>
      <c r="AP88" s="1426">
        <v>0</v>
      </c>
    </row>
    <row r="89" spans="1:43" ht="49.5" thickBot="1" x14ac:dyDescent="0.3">
      <c r="A89" s="644" t="str">
        <f>CONCATENATE('3 pr-2'!A91)</f>
        <v>1.1.2.3.5</v>
      </c>
      <c r="B89" s="657" t="str">
        <f>CONCATENATE('3 pr-2'!B91)</f>
        <v>R01-5516-190000-1235</v>
      </c>
      <c r="C89" s="653" t="str">
        <f>CONCATENATE('ketv. 6 '!C90)</f>
        <v>-</v>
      </c>
      <c r="D89" s="182" t="str">
        <f>CONCATENATE('3 pr-2'!D91)</f>
        <v>Dviračių ir pėsčiųjų tako, esančio šalia Ratnyčios upelio, Druskininkų mieste, rekonstrukcija</v>
      </c>
      <c r="E89" s="182" t="str">
        <f>CONCATENATE('3 pr-2'!E91)</f>
        <v xml:space="preserve">Druskininkų savivaldybės administracija  </v>
      </c>
      <c r="F89" s="182" t="str">
        <f>CONCATENATE('3 pr-2'!F91)</f>
        <v>Lietuvos Respublikos susisiekimo ministerija</v>
      </c>
      <c r="G89" s="182" t="str">
        <f>CONCATENATE('3 pr-2'!G91)</f>
        <v>Druskininkų sav.</v>
      </c>
      <c r="H89" s="182" t="str">
        <f>CONCATENATE('3 pr-2'!H91)</f>
        <v>04.5.1-TID-R-516</v>
      </c>
      <c r="I89" s="182" t="str">
        <f>CONCATENATE('3 pr-2'!I91)</f>
        <v>R</v>
      </c>
      <c r="J89" s="182" t="str">
        <f>CONCATENATE('3 pr-2'!J91)</f>
        <v>-</v>
      </c>
      <c r="K89" s="1435">
        <f>SUM('3 pr-2'!L91)</f>
        <v>71089</v>
      </c>
      <c r="L89" s="1296">
        <f t="shared" si="105"/>
        <v>0</v>
      </c>
      <c r="M89" s="1298">
        <v>0</v>
      </c>
      <c r="N89" s="1298">
        <f t="shared" si="94"/>
        <v>0</v>
      </c>
      <c r="O89" s="1427">
        <f t="shared" si="106"/>
        <v>71089</v>
      </c>
      <c r="P89" s="1435">
        <f>SUM('3 pr-2'!O91)</f>
        <v>14466</v>
      </c>
      <c r="Q89" s="1296">
        <f>SUMIF('mokėjimų ataskaita'!$I$13:$I$600,C89,'mokėjimų ataskaita'!$AU$13:$AU$600)/2</f>
        <v>0</v>
      </c>
      <c r="R89" s="1298">
        <v>0</v>
      </c>
      <c r="S89" s="1298">
        <f t="shared" si="107"/>
        <v>0</v>
      </c>
      <c r="T89" s="1427">
        <f>SUM(P89-Q89)</f>
        <v>14466</v>
      </c>
      <c r="U89" s="1435">
        <f>SUM('3 pr-2'!R91)</f>
        <v>0</v>
      </c>
      <c r="V89" s="1296">
        <f>SUMIF('mokėjimų ataskaita'!$I$13:$I$600,C89,'mokėjimų ataskaita'!$AL$13:$AL$600)/2</f>
        <v>0</v>
      </c>
      <c r="W89" s="1298"/>
      <c r="X89" s="1298"/>
      <c r="Y89" s="1427">
        <f t="shared" si="108"/>
        <v>0</v>
      </c>
      <c r="Z89" s="1435">
        <f>SUM('3 pr-2'!U91)</f>
        <v>0</v>
      </c>
      <c r="AA89" s="1296">
        <f>SUMIF('mokėjimų ataskaita'!$I$13:$I$600,C89,'mokėjimų ataskaita'!$AW$13:$AW$600)/2</f>
        <v>0</v>
      </c>
      <c r="AB89" s="1298"/>
      <c r="AC89" s="1298"/>
      <c r="AD89" s="1427">
        <f t="shared" si="109"/>
        <v>0</v>
      </c>
      <c r="AE89" s="1435">
        <f>SUM('3 pr-2'!X91)</f>
        <v>0</v>
      </c>
      <c r="AF89" s="1296">
        <f>SUMIF('mokėjimų ataskaita'!$I$13:$I$600,C89,'mokėjimų ataskaita'!$AV$13:$AV$600)/2+SUMIF('mokėjimų ataskaita'!$I$13:$I$600,C89,'mokėjimų ataskaita'!$AT$13:$AT$600)/2</f>
        <v>0</v>
      </c>
      <c r="AG89" s="1298"/>
      <c r="AH89" s="1298"/>
      <c r="AI89" s="1427">
        <f t="shared" si="110"/>
        <v>0</v>
      </c>
      <c r="AJ89" s="1435">
        <f>SUM('3 pr-2'!AA91)</f>
        <v>56623</v>
      </c>
      <c r="AK89" s="1296">
        <f>SUMIF('mokėjimų ataskaita'!$I$13:$I$600,C89,'mokėjimų ataskaita'!$AK$13:$AK$600)/2</f>
        <v>0</v>
      </c>
      <c r="AL89" s="1298">
        <v>0</v>
      </c>
      <c r="AM89" s="1298">
        <f t="shared" si="111"/>
        <v>0</v>
      </c>
      <c r="AN89" s="1441">
        <f>SUM(AJ89-AK89)</f>
        <v>56623</v>
      </c>
      <c r="AO89" s="1296">
        <f>SUM('3 pr-2'!AB91)</f>
        <v>0</v>
      </c>
      <c r="AP89" s="1432">
        <v>0</v>
      </c>
    </row>
    <row r="90" spans="1:43" ht="35.25" customHeight="1" thickBot="1" x14ac:dyDescent="0.3">
      <c r="A90" s="326" t="str">
        <f>CONCATENATE('3 pr-2'!A92)</f>
        <v>1.1.2.4</v>
      </c>
      <c r="B90" s="2025" t="str">
        <f>CONCATENATE('3 pr-2'!B92)</f>
        <v>Priemonė:
Vietinių kelių techninių parametrų ir eismo saugos gerinimas</v>
      </c>
      <c r="C90" s="2026"/>
      <c r="D90" s="2026"/>
      <c r="E90" s="2026"/>
      <c r="F90" s="2026"/>
      <c r="G90" s="2026"/>
      <c r="H90" s="2026"/>
      <c r="I90" s="2026"/>
      <c r="J90" s="2027"/>
      <c r="K90" s="1293">
        <f>SUM(K91:K97)</f>
        <v>4981539.82</v>
      </c>
      <c r="L90" s="1293">
        <f t="shared" ref="L90:AP90" si="112">SUM(L91:L97)</f>
        <v>1371445.5</v>
      </c>
      <c r="M90" s="1293">
        <f t="shared" si="112"/>
        <v>873591.32000000007</v>
      </c>
      <c r="N90" s="1293">
        <f t="shared" si="112"/>
        <v>497854.17999999993</v>
      </c>
      <c r="O90" s="1293">
        <f t="shared" si="112"/>
        <v>3610094.3200000003</v>
      </c>
      <c r="P90" s="1293">
        <f t="shared" si="112"/>
        <v>1866072.8199999998</v>
      </c>
      <c r="Q90" s="1293">
        <f t="shared" si="112"/>
        <v>161946.23000000001</v>
      </c>
      <c r="R90" s="1293">
        <f t="shared" si="112"/>
        <v>98493.53</v>
      </c>
      <c r="S90" s="1293">
        <f t="shared" si="112"/>
        <v>63452.7</v>
      </c>
      <c r="T90" s="1293">
        <f t="shared" si="112"/>
        <v>1704126.5899999999</v>
      </c>
      <c r="U90" s="1293">
        <f t="shared" si="112"/>
        <v>0</v>
      </c>
      <c r="V90" s="1293">
        <f t="shared" si="112"/>
        <v>0</v>
      </c>
      <c r="W90" s="1293">
        <f t="shared" si="112"/>
        <v>0</v>
      </c>
      <c r="X90" s="1293">
        <f t="shared" si="112"/>
        <v>0</v>
      </c>
      <c r="Y90" s="1293">
        <f t="shared" si="112"/>
        <v>0</v>
      </c>
      <c r="Z90" s="1293">
        <f t="shared" si="112"/>
        <v>0</v>
      </c>
      <c r="AA90" s="1293">
        <f t="shared" si="112"/>
        <v>0</v>
      </c>
      <c r="AB90" s="1293">
        <f t="shared" si="112"/>
        <v>0</v>
      </c>
      <c r="AC90" s="1293">
        <f t="shared" si="112"/>
        <v>0</v>
      </c>
      <c r="AD90" s="1293">
        <f t="shared" si="112"/>
        <v>0</v>
      </c>
      <c r="AE90" s="1293">
        <f t="shared" si="112"/>
        <v>62660</v>
      </c>
      <c r="AF90" s="1293">
        <f t="shared" si="112"/>
        <v>43770.87</v>
      </c>
      <c r="AG90" s="1293">
        <f t="shared" si="112"/>
        <v>32545.37</v>
      </c>
      <c r="AH90" s="1293">
        <f t="shared" si="112"/>
        <v>11225.500000000004</v>
      </c>
      <c r="AI90" s="1293">
        <f t="shared" si="112"/>
        <v>18889.129999999997</v>
      </c>
      <c r="AJ90" s="1293">
        <f t="shared" si="112"/>
        <v>3052807</v>
      </c>
      <c r="AK90" s="1293">
        <f t="shared" si="112"/>
        <v>1165728.3999999999</v>
      </c>
      <c r="AL90" s="1293">
        <f t="shared" si="112"/>
        <v>742552.42</v>
      </c>
      <c r="AM90" s="1293">
        <f t="shared" si="112"/>
        <v>423175.98</v>
      </c>
      <c r="AN90" s="1293">
        <f t="shared" si="112"/>
        <v>1887078.6</v>
      </c>
      <c r="AO90" s="1293">
        <f t="shared" si="112"/>
        <v>0</v>
      </c>
      <c r="AP90" s="1293">
        <f t="shared" si="112"/>
        <v>0</v>
      </c>
      <c r="AQ90" s="256">
        <f>SUM(K90-'3 pr-2'!L92)</f>
        <v>0</v>
      </c>
    </row>
    <row r="91" spans="1:43" ht="36.75" x14ac:dyDescent="0.25">
      <c r="A91" s="644" t="str">
        <f>CONCATENATE('3 pr-2'!A93)</f>
        <v>1.1.2.4.1</v>
      </c>
      <c r="B91" s="657" t="str">
        <f>CONCATENATE('3 pr-2'!B93)</f>
        <v>R01-5511-120000-1241</v>
      </c>
      <c r="C91" s="653" t="str">
        <f>CONCATENATE('ketv. 6 '!C92)</f>
        <v>06.2.1-TID-R-511-11-0002</v>
      </c>
      <c r="D91" s="254" t="str">
        <f>CONCATENATE('3 pr-2'!D93)</f>
        <v>Varėnos miesto J. Basanavičiaus, Savanorių ir M. K. Čiurlionio gatvių rekonstrukcija</v>
      </c>
      <c r="E91" s="182" t="str">
        <f>CONCATENATE('3 pr-2'!E93)</f>
        <v>Varėnos rajono savivaldybės administracija</v>
      </c>
      <c r="F91" s="182" t="str">
        <f>CONCATENATE('3 pr-2'!F93)</f>
        <v>Lietuvos Respublikos susisiekimo ministerija</v>
      </c>
      <c r="G91" s="182" t="str">
        <f>CONCATENATE('3 pr-2'!G93)</f>
        <v>Varėnos r. sav.</v>
      </c>
      <c r="H91" s="182" t="str">
        <f>CONCATENATE('3 pr-2'!H93)</f>
        <v>06.2.1-TID-R-511</v>
      </c>
      <c r="I91" s="182" t="str">
        <f>CONCATENATE('3 pr-2'!I93)</f>
        <v>R</v>
      </c>
      <c r="J91" s="182" t="str">
        <f>CONCATENATE('3 pr-2'!J93)</f>
        <v>ITI</v>
      </c>
      <c r="K91" s="1435">
        <f>SUM('3 pr-2'!L93)</f>
        <v>835464</v>
      </c>
      <c r="L91" s="1426">
        <f t="shared" ref="L91:L97" si="113">SUM(Q91+V91+AA91+AF91+AK91)</f>
        <v>583609.77</v>
      </c>
      <c r="M91" s="1298">
        <v>433936.89</v>
      </c>
      <c r="N91" s="1298">
        <f t="shared" si="94"/>
        <v>149672.88</v>
      </c>
      <c r="O91" s="1427">
        <f t="shared" si="79"/>
        <v>251854.22999999998</v>
      </c>
      <c r="P91" s="1435">
        <f>SUM('3 pr-2'!O93)</f>
        <v>62660</v>
      </c>
      <c r="Q91" s="1426">
        <f>SUMIF('mokėjimų ataskaita'!$I$13:$I$600,C91,'mokėjimų ataskaita'!$AU$13:$AU$600)/2</f>
        <v>43770.87</v>
      </c>
      <c r="R91" s="1298">
        <v>32545.37</v>
      </c>
      <c r="S91" s="1298">
        <f t="shared" ref="S91:S97" si="114">SUM(Q91-R91)</f>
        <v>11225.500000000004</v>
      </c>
      <c r="T91" s="1427">
        <f t="shared" ref="T91:T97" si="115">SUM(P91-Q91)</f>
        <v>18889.129999999997</v>
      </c>
      <c r="U91" s="1435">
        <f>SUM('3 pr-2'!R93)</f>
        <v>0</v>
      </c>
      <c r="V91" s="1426">
        <f>SUMIF('mokėjimų ataskaita'!$I$13:$I$600,C91,'mokėjimų ataskaita'!$AL$13:$AL$600)/2</f>
        <v>0</v>
      </c>
      <c r="W91" s="1298"/>
      <c r="X91" s="1298"/>
      <c r="Y91" s="1432">
        <f t="shared" ref="Y91:Y96" si="116">SUM(U91-V91)</f>
        <v>0</v>
      </c>
      <c r="Z91" s="1435">
        <f>SUM('3 pr-2'!U93)</f>
        <v>0</v>
      </c>
      <c r="AA91" s="1426">
        <f>SUMIF('mokėjimų ataskaita'!$I$13:$I$600,C91,'mokėjimų ataskaita'!$AW$13:$AW$600)/2</f>
        <v>0</v>
      </c>
      <c r="AB91" s="1298"/>
      <c r="AC91" s="1298"/>
      <c r="AD91" s="1432">
        <f t="shared" ref="AD91:AD96" si="117">SUM(Z91-AA91)</f>
        <v>0</v>
      </c>
      <c r="AE91" s="1435">
        <f>SUM('3 pr-2'!X93)</f>
        <v>62660</v>
      </c>
      <c r="AF91" s="1426">
        <f>SUMIF('mokėjimų ataskaita'!$I$13:$I$600,C91,'mokėjimų ataskaita'!$AV$13:$AV$600)/2+SUMIF('mokėjimų ataskaita'!$I$13:$I$600,C91,'mokėjimų ataskaita'!$AT$13:$AT$600)/2</f>
        <v>43770.87</v>
      </c>
      <c r="AG91" s="1298">
        <v>32545.37</v>
      </c>
      <c r="AH91" s="1298">
        <f t="shared" ref="AH91:AH97" si="118">SUM(AF91-AG91)</f>
        <v>11225.500000000004</v>
      </c>
      <c r="AI91" s="1432">
        <f t="shared" ref="AI91:AI96" si="119">SUM(AE91-AF91)</f>
        <v>18889.129999999997</v>
      </c>
      <c r="AJ91" s="1435">
        <f>SUM('3 pr-2'!AA93)</f>
        <v>710144</v>
      </c>
      <c r="AK91" s="1426">
        <f>SUMIF('mokėjimų ataskaita'!$I$13:$I$600,C91,'mokėjimų ataskaita'!$AK$13:$AK$600)/2</f>
        <v>496068.03</v>
      </c>
      <c r="AL91" s="1298">
        <v>368846.15</v>
      </c>
      <c r="AM91" s="1298">
        <f t="shared" ref="AM91:AM97" si="120">SUM(AK91-AL91)</f>
        <v>127221.88</v>
      </c>
      <c r="AN91" s="1454">
        <f t="shared" ref="AN91:AN97" si="121">SUM(AJ91-AK91)</f>
        <v>214075.96999999997</v>
      </c>
      <c r="AO91" s="1296">
        <f>SUM('3 pr-2'!AB93)</f>
        <v>0</v>
      </c>
      <c r="AP91" s="1426">
        <v>0</v>
      </c>
    </row>
    <row r="92" spans="1:43" ht="36.75" x14ac:dyDescent="0.25">
      <c r="A92" s="644" t="str">
        <f>CONCATENATE('3 pr-2'!A94)</f>
        <v>1.1.2.4.2</v>
      </c>
      <c r="B92" s="657" t="str">
        <f>CONCATENATE('3 pr-2'!B94)</f>
        <v>R01-5511-110000-1242</v>
      </c>
      <c r="C92" s="653" t="str">
        <f>CONCATENATE('ketv. 6 '!C93)</f>
        <v>06.2.1-TID-R-511-11-0001</v>
      </c>
      <c r="D92" s="254" t="str">
        <f>CONCATENATE('3 pr-2'!D94)</f>
        <v>Perspektyvinės gatvės nuo Pramonės g. iki Naujosios g. Alytuje įrengimas</v>
      </c>
      <c r="E92" s="182" t="str">
        <f>CONCATENATE('3 pr-2'!E94)</f>
        <v>Alytaus miesto savivaldybės administracija</v>
      </c>
      <c r="F92" s="182" t="str">
        <f>CONCATENATE('3 pr-2'!F94)</f>
        <v>Lietuvos Respublikos susisiekimo ministerija</v>
      </c>
      <c r="G92" s="182" t="str">
        <f>CONCATENATE('3 pr-2'!G94)</f>
        <v>Alytaus m. sav.</v>
      </c>
      <c r="H92" s="182" t="str">
        <f>CONCATENATE('3 pr-2'!H94)</f>
        <v>06.2.1-TID-R-511</v>
      </c>
      <c r="I92" s="182" t="str">
        <f>CONCATENATE('3 pr-2'!I94)</f>
        <v>R</v>
      </c>
      <c r="J92" s="182" t="str">
        <f>CONCATENATE('3 pr-2'!J94)</f>
        <v>ITI</v>
      </c>
      <c r="K92" s="1435">
        <f>SUM('3 pr-2'!L94)</f>
        <v>1402213</v>
      </c>
      <c r="L92" s="1426">
        <f t="shared" si="113"/>
        <v>787835.73</v>
      </c>
      <c r="M92" s="1298">
        <v>439654.43000000005</v>
      </c>
      <c r="N92" s="1298">
        <f t="shared" si="94"/>
        <v>348181.29999999993</v>
      </c>
      <c r="O92" s="1427">
        <f t="shared" si="79"/>
        <v>614377.27</v>
      </c>
      <c r="P92" s="1435">
        <f>SUM('3 pr-2'!O94)</f>
        <v>654275</v>
      </c>
      <c r="Q92" s="1426">
        <f>SUMIF('mokėjimų ataskaita'!$I$13:$I$600,C92,'mokėjimų ataskaita'!$AU$13:$AU$600)/2</f>
        <v>118175.36</v>
      </c>
      <c r="R92" s="1298">
        <v>65948.160000000003</v>
      </c>
      <c r="S92" s="1298">
        <f t="shared" si="114"/>
        <v>52227.199999999997</v>
      </c>
      <c r="T92" s="1427">
        <f t="shared" si="115"/>
        <v>536099.64</v>
      </c>
      <c r="U92" s="1435">
        <f>SUM('3 pr-2'!R94)</f>
        <v>0</v>
      </c>
      <c r="V92" s="1426">
        <f>SUMIF('mokėjimų ataskaita'!$I$13:$I$600,C92,'mokėjimų ataskaita'!$AL$13:$AL$600)/2</f>
        <v>0</v>
      </c>
      <c r="W92" s="1298"/>
      <c r="X92" s="1298"/>
      <c r="Y92" s="1432">
        <f t="shared" si="116"/>
        <v>0</v>
      </c>
      <c r="Z92" s="1435">
        <f>SUM('3 pr-2'!U94)</f>
        <v>0</v>
      </c>
      <c r="AA92" s="1426">
        <f>SUMIF('mokėjimų ataskaita'!$I$13:$I$600,C92,'mokėjimų ataskaita'!$AW$13:$AW$600)/2</f>
        <v>0</v>
      </c>
      <c r="AB92" s="1298"/>
      <c r="AC92" s="1298"/>
      <c r="AD92" s="1432">
        <f t="shared" si="117"/>
        <v>0</v>
      </c>
      <c r="AE92" s="1435">
        <f>SUM('3 pr-2'!X94)</f>
        <v>0</v>
      </c>
      <c r="AF92" s="1426">
        <f>SUMIF('mokėjimų ataskaita'!$I$13:$I$600,C92,'mokėjimų ataskaita'!$AV$13:$AV$600)/2+SUMIF('mokėjimų ataskaita'!$I$13:$I$600,C92,'mokėjimų ataskaita'!$AT$13:$AT$600)/2</f>
        <v>0</v>
      </c>
      <c r="AG92" s="1298">
        <v>0</v>
      </c>
      <c r="AH92" s="1298">
        <f t="shared" si="118"/>
        <v>0</v>
      </c>
      <c r="AI92" s="1432">
        <f t="shared" si="119"/>
        <v>0</v>
      </c>
      <c r="AJ92" s="1435">
        <f>SUM('3 pr-2'!AA94)</f>
        <v>747938</v>
      </c>
      <c r="AK92" s="1426">
        <f>SUMIF('mokėjimų ataskaita'!$I$13:$I$600,C92,'mokėjimų ataskaita'!$AK$13:$AK$600)/2</f>
        <v>669660.37</v>
      </c>
      <c r="AL92" s="1298">
        <v>373706.27</v>
      </c>
      <c r="AM92" s="1298">
        <f t="shared" si="120"/>
        <v>295954.09999999998</v>
      </c>
      <c r="AN92" s="1454">
        <f t="shared" si="121"/>
        <v>78277.63</v>
      </c>
      <c r="AO92" s="1296">
        <f>SUM('3 pr-2'!AB94)</f>
        <v>0</v>
      </c>
      <c r="AP92" s="1426">
        <v>0</v>
      </c>
    </row>
    <row r="93" spans="1:43" ht="36.75" x14ac:dyDescent="0.25">
      <c r="A93" s="644" t="str">
        <f>CONCATENATE('3 pr-2'!A95)</f>
        <v>1.1.2.4.3.</v>
      </c>
      <c r="B93" s="657" t="str">
        <f>CONCATENATE('3 pr-2'!B95)</f>
        <v>R01-5511-500000-1243</v>
      </c>
      <c r="C93" s="653" t="str">
        <f>CONCATENATE('ketv. 6 '!C94)</f>
        <v>-</v>
      </c>
      <c r="D93" s="254" t="str">
        <f>CONCATENATE('3 pr-2'!D95)</f>
        <v>Saugaus eismo priemonių diegimas Alytaus mieste</v>
      </c>
      <c r="E93" s="182" t="str">
        <f>CONCATENATE('3 pr-2'!E95)</f>
        <v>Alytaus miesto savivaldybės administracija</v>
      </c>
      <c r="F93" s="182" t="str">
        <f>CONCATENATE('3 pr-2'!F95)</f>
        <v>Lietuvos Respublikos susisiekimo ministerija</v>
      </c>
      <c r="G93" s="182" t="str">
        <f>CONCATENATE('3 pr-2'!G95)</f>
        <v>Alytaus m. sav.</v>
      </c>
      <c r="H93" s="182" t="str">
        <f>CONCATENATE('3 pr-2'!H95)</f>
        <v>06.2.1-TID-R-511</v>
      </c>
      <c r="I93" s="182" t="str">
        <f>CONCATENATE('3 pr-2'!I95)</f>
        <v>R</v>
      </c>
      <c r="J93" s="182" t="str">
        <f>CONCATENATE('3 pr-2'!J95)</f>
        <v>-</v>
      </c>
      <c r="K93" s="1435">
        <f>SUM('3 pr-2'!L95)</f>
        <v>315614.59999999998</v>
      </c>
      <c r="L93" s="1296">
        <f t="shared" si="113"/>
        <v>0</v>
      </c>
      <c r="M93" s="1298">
        <v>0</v>
      </c>
      <c r="N93" s="1298">
        <f t="shared" si="94"/>
        <v>0</v>
      </c>
      <c r="O93" s="1427">
        <f t="shared" si="79"/>
        <v>315614.59999999998</v>
      </c>
      <c r="P93" s="1435">
        <f>SUM('3 pr-2'!O95)</f>
        <v>65315.6</v>
      </c>
      <c r="Q93" s="1296">
        <f>SUMIF('mokėjimų ataskaita'!$I$13:$I$600,C93,'mokėjimų ataskaita'!$AU$13:$AU$600)/2</f>
        <v>0</v>
      </c>
      <c r="R93" s="1298">
        <v>0</v>
      </c>
      <c r="S93" s="1298">
        <f t="shared" si="114"/>
        <v>0</v>
      </c>
      <c r="T93" s="1427">
        <f t="shared" si="115"/>
        <v>65315.6</v>
      </c>
      <c r="U93" s="1435">
        <f>SUM('3 pr-2'!R95)</f>
        <v>0</v>
      </c>
      <c r="V93" s="1296">
        <f>SUMIF('mokėjimų ataskaita'!$I$13:$I$600,C93,'mokėjimų ataskaita'!$AL$13:$AL$600)/2</f>
        <v>0</v>
      </c>
      <c r="W93" s="1298"/>
      <c r="X93" s="1298"/>
      <c r="Y93" s="1427">
        <f t="shared" si="116"/>
        <v>0</v>
      </c>
      <c r="Z93" s="1435">
        <f>SUM('3 pr-2'!U95)</f>
        <v>0</v>
      </c>
      <c r="AA93" s="1296">
        <f>SUMIF('mokėjimų ataskaita'!$I$13:$I$600,C93,'mokėjimų ataskaita'!$AW$13:$AW$600)/2</f>
        <v>0</v>
      </c>
      <c r="AB93" s="1298"/>
      <c r="AC93" s="1298"/>
      <c r="AD93" s="1427">
        <f t="shared" si="117"/>
        <v>0</v>
      </c>
      <c r="AE93" s="1435">
        <f>SUM('3 pr-2'!X95)</f>
        <v>0</v>
      </c>
      <c r="AF93" s="1296">
        <f>SUMIF('mokėjimų ataskaita'!$I$13:$I$600,C93,'mokėjimų ataskaita'!$AV$13:$AV$600)/2+SUMIF('mokėjimų ataskaita'!$I$13:$I$600,C93,'mokėjimų ataskaita'!$AT$13:$AT$600)/2</f>
        <v>0</v>
      </c>
      <c r="AG93" s="1298">
        <v>0</v>
      </c>
      <c r="AH93" s="1298">
        <f t="shared" si="118"/>
        <v>0</v>
      </c>
      <c r="AI93" s="1427">
        <f t="shared" si="119"/>
        <v>0</v>
      </c>
      <c r="AJ93" s="1435">
        <f>SUM('3 pr-2'!AA95)</f>
        <v>250299</v>
      </c>
      <c r="AK93" s="1296">
        <f>SUMIF('mokėjimų ataskaita'!$I$13:$I$600,C93,'mokėjimų ataskaita'!$AK$13:$AK$600)/2</f>
        <v>0</v>
      </c>
      <c r="AL93" s="1298">
        <v>0</v>
      </c>
      <c r="AM93" s="1298">
        <f t="shared" si="120"/>
        <v>0</v>
      </c>
      <c r="AN93" s="1454">
        <f t="shared" si="121"/>
        <v>250299</v>
      </c>
      <c r="AO93" s="1296">
        <f>SUM('3 pr-2'!AB95)</f>
        <v>0</v>
      </c>
      <c r="AP93" s="1432">
        <v>0</v>
      </c>
    </row>
    <row r="94" spans="1:43" ht="36.75" x14ac:dyDescent="0.25">
      <c r="A94" s="644" t="str">
        <f>CONCATENATE('3 pr-2'!A96)</f>
        <v>1.1.2.4.4</v>
      </c>
      <c r="B94" s="657" t="str">
        <f>CONCATENATE('3 pr-2'!B96)</f>
        <v>R01-5511-500000-1244</v>
      </c>
      <c r="C94" s="653" t="str">
        <f>CONCATENATE('ketv. 6 '!C95)</f>
        <v>06.2.1-TID-R-511-11-0006</v>
      </c>
      <c r="D94" s="254" t="str">
        <f>CONCATENATE('3 pr-2'!D96)</f>
        <v>Eismo saugos priemonių diegimas Alytaus rajone</v>
      </c>
      <c r="E94" s="182" t="str">
        <f>CONCATENATE('3 pr-2'!E96)</f>
        <v>Alytaus rajono savivaldybės administracija</v>
      </c>
      <c r="F94" s="182" t="str">
        <f>CONCATENATE('3 pr-2'!F96)</f>
        <v>Lietuvos Respublikos susisiekimo ministerija</v>
      </c>
      <c r="G94" s="182" t="str">
        <f>CONCATENATE('3 pr-2'!G96)</f>
        <v>Alytaus r. sav.</v>
      </c>
      <c r="H94" s="182" t="str">
        <f>CONCATENATE('3 pr-2'!H96)</f>
        <v>06.2.1-TID-R-511</v>
      </c>
      <c r="I94" s="182" t="str">
        <f>CONCATENATE('3 pr-2'!I96)</f>
        <v>R</v>
      </c>
      <c r="J94" s="182" t="str">
        <f>CONCATENATE('3 pr-2'!J96)</f>
        <v>-</v>
      </c>
      <c r="K94" s="1435">
        <f>SUM('3 pr-2'!L96)</f>
        <v>274817.98</v>
      </c>
      <c r="L94" s="1426">
        <f t="shared" si="113"/>
        <v>0</v>
      </c>
      <c r="M94" s="1298">
        <v>0</v>
      </c>
      <c r="N94" s="1298">
        <f t="shared" si="94"/>
        <v>0</v>
      </c>
      <c r="O94" s="1427">
        <f t="shared" si="79"/>
        <v>274817.98</v>
      </c>
      <c r="P94" s="1435">
        <f>SUM('3 pr-2'!O96)</f>
        <v>73973.98</v>
      </c>
      <c r="Q94" s="1426">
        <f>SUMIF('mokėjimų ataskaita'!$I$13:$I$600,C94,'mokėjimų ataskaita'!$AU$13:$AU$600)/2</f>
        <v>0</v>
      </c>
      <c r="R94" s="1298">
        <v>0</v>
      </c>
      <c r="S94" s="1298">
        <f t="shared" si="114"/>
        <v>0</v>
      </c>
      <c r="T94" s="1427">
        <f t="shared" si="115"/>
        <v>73973.98</v>
      </c>
      <c r="U94" s="1435">
        <f>SUM('3 pr-2'!R96)</f>
        <v>0</v>
      </c>
      <c r="V94" s="1426">
        <f>SUMIF('mokėjimų ataskaita'!$I$13:$I$600,C94,'mokėjimų ataskaita'!$AL$13:$AL$600)/2</f>
        <v>0</v>
      </c>
      <c r="W94" s="1298"/>
      <c r="X94" s="1298"/>
      <c r="Y94" s="1427">
        <f t="shared" si="116"/>
        <v>0</v>
      </c>
      <c r="Z94" s="1435">
        <f>SUM('3 pr-2'!U96)</f>
        <v>0</v>
      </c>
      <c r="AA94" s="1426">
        <f>SUMIF('mokėjimų ataskaita'!$I$13:$I$600,C94,'mokėjimų ataskaita'!$AW$13:$AW$600)/2</f>
        <v>0</v>
      </c>
      <c r="AB94" s="1298"/>
      <c r="AC94" s="1298"/>
      <c r="AD94" s="1427">
        <f t="shared" si="117"/>
        <v>0</v>
      </c>
      <c r="AE94" s="1435">
        <f>SUM('3 pr-2'!X96)</f>
        <v>0</v>
      </c>
      <c r="AF94" s="1426">
        <f>SUMIF('mokėjimų ataskaita'!$I$13:$I$600,C94,'mokėjimų ataskaita'!$AV$13:$AV$600)/2+SUMIF('mokėjimų ataskaita'!$I$13:$I$600,C94,'mokėjimų ataskaita'!$AT$13:$AT$600)/2</f>
        <v>0</v>
      </c>
      <c r="AG94" s="1298">
        <v>0</v>
      </c>
      <c r="AH94" s="1298">
        <f t="shared" si="118"/>
        <v>0</v>
      </c>
      <c r="AI94" s="1427">
        <f t="shared" si="119"/>
        <v>0</v>
      </c>
      <c r="AJ94" s="1435">
        <f>SUM('3 pr-2'!AA96)</f>
        <v>200844</v>
      </c>
      <c r="AK94" s="1426">
        <f>SUMIF('mokėjimų ataskaita'!$I$13:$I$600,C94,'mokėjimų ataskaita'!$AK$13:$AK$600)/2</f>
        <v>0</v>
      </c>
      <c r="AL94" s="1298">
        <v>0</v>
      </c>
      <c r="AM94" s="1298">
        <f t="shared" si="120"/>
        <v>0</v>
      </c>
      <c r="AN94" s="1454">
        <f t="shared" si="121"/>
        <v>200844</v>
      </c>
      <c r="AO94" s="1296">
        <f>SUM('3 pr-2'!AB96)</f>
        <v>0</v>
      </c>
      <c r="AP94" s="1426">
        <v>0</v>
      </c>
    </row>
    <row r="95" spans="1:43" ht="36.75" x14ac:dyDescent="0.25">
      <c r="A95" s="644" t="str">
        <f>CONCATENATE('3 pr-2'!A97)</f>
        <v>1.1.2.4.5</v>
      </c>
      <c r="B95" s="657" t="str">
        <f>CONCATENATE('3 pr-2'!B97)</f>
        <v>R01-5511-120900-1245</v>
      </c>
      <c r="C95" s="653" t="str">
        <f>CONCATENATE('ketv. 6 '!C96)</f>
        <v>-</v>
      </c>
      <c r="D95" s="254" t="str">
        <f>CONCATENATE('3 pr-2'!D97)</f>
        <v>M. K. Čiurlionio gatvės atkarpos Druskininkų m. rekonstrukcija</v>
      </c>
      <c r="E95" s="182" t="str">
        <f>CONCATENATE('3 pr-2'!E97)</f>
        <v xml:space="preserve">Druskininkų savivaldybės administracija  </v>
      </c>
      <c r="F95" s="182" t="str">
        <f>CONCATENATE('3 pr-2'!F97)</f>
        <v>Lietuvos Respublikos susisiekimo ministerija</v>
      </c>
      <c r="G95" s="182" t="str">
        <f>CONCATENATE('3 pr-2'!G97)</f>
        <v>Druskininkų sav.</v>
      </c>
      <c r="H95" s="182" t="str">
        <f>CONCATENATE('3 pr-2'!H97)</f>
        <v>06.2.1-TID-R-511</v>
      </c>
      <c r="I95" s="182" t="str">
        <f>CONCATENATE('3 pr-2'!I97)</f>
        <v>R</v>
      </c>
      <c r="J95" s="182" t="str">
        <f>CONCATENATE('3 pr-2'!J97)</f>
        <v>-</v>
      </c>
      <c r="K95" s="1435">
        <f>SUM('3 pr-2'!L97)</f>
        <v>1258144.24</v>
      </c>
      <c r="L95" s="1296">
        <f t="shared" si="113"/>
        <v>0</v>
      </c>
      <c r="M95" s="1298">
        <v>0</v>
      </c>
      <c r="N95" s="1298">
        <f t="shared" si="94"/>
        <v>0</v>
      </c>
      <c r="O95" s="1427">
        <f t="shared" si="79"/>
        <v>1258144.24</v>
      </c>
      <c r="P95" s="1435">
        <f>SUM('3 pr-2'!O97)</f>
        <v>873495.24</v>
      </c>
      <c r="Q95" s="1296">
        <f>SUMIF('mokėjimų ataskaita'!$I$13:$I$600,C95,'mokėjimų ataskaita'!$AU$13:$AU$600)/2</f>
        <v>0</v>
      </c>
      <c r="R95" s="1298">
        <v>0</v>
      </c>
      <c r="S95" s="1298">
        <f t="shared" si="114"/>
        <v>0</v>
      </c>
      <c r="T95" s="1427">
        <f t="shared" si="115"/>
        <v>873495.24</v>
      </c>
      <c r="U95" s="1435">
        <f>SUM('3 pr-2'!R97)</f>
        <v>0</v>
      </c>
      <c r="V95" s="1296">
        <f>SUMIF('mokėjimų ataskaita'!$I$13:$I$600,C95,'mokėjimų ataskaita'!$AL$13:$AL$600)/2</f>
        <v>0</v>
      </c>
      <c r="W95" s="1298"/>
      <c r="X95" s="1298"/>
      <c r="Y95" s="1427">
        <f t="shared" si="116"/>
        <v>0</v>
      </c>
      <c r="Z95" s="1435">
        <f>SUM('3 pr-2'!U97)</f>
        <v>0</v>
      </c>
      <c r="AA95" s="1296">
        <f>SUMIF('mokėjimų ataskaita'!$I$13:$I$600,C95,'mokėjimų ataskaita'!$AW$13:$AW$600)/2</f>
        <v>0</v>
      </c>
      <c r="AB95" s="1298"/>
      <c r="AC95" s="1298"/>
      <c r="AD95" s="1427">
        <f t="shared" si="117"/>
        <v>0</v>
      </c>
      <c r="AE95" s="1435">
        <f>SUM('3 pr-2'!X97)</f>
        <v>0</v>
      </c>
      <c r="AF95" s="1296">
        <f>SUMIF('mokėjimų ataskaita'!$I$13:$I$600,C95,'mokėjimų ataskaita'!$AV$13:$AV$600)/2+SUMIF('mokėjimų ataskaita'!$I$13:$I$600,C95,'mokėjimų ataskaita'!$AT$13:$AT$600)/2</f>
        <v>0</v>
      </c>
      <c r="AG95" s="1298">
        <v>0</v>
      </c>
      <c r="AH95" s="1298">
        <f t="shared" si="118"/>
        <v>0</v>
      </c>
      <c r="AI95" s="1427">
        <f t="shared" si="119"/>
        <v>0</v>
      </c>
      <c r="AJ95" s="1435">
        <f>SUM('3 pr-2'!AA97)</f>
        <v>384649</v>
      </c>
      <c r="AK95" s="1296">
        <f>SUMIF('mokėjimų ataskaita'!$I$13:$I$600,C95,'mokėjimų ataskaita'!$AK$13:$AK$600)/2</f>
        <v>0</v>
      </c>
      <c r="AL95" s="1298">
        <v>0</v>
      </c>
      <c r="AM95" s="1298">
        <f t="shared" si="120"/>
        <v>0</v>
      </c>
      <c r="AN95" s="1454">
        <f t="shared" si="121"/>
        <v>384649</v>
      </c>
      <c r="AO95" s="1296">
        <f>SUM('3 pr-2'!AB97)</f>
        <v>0</v>
      </c>
      <c r="AP95" s="1432">
        <v>0</v>
      </c>
    </row>
    <row r="96" spans="1:43" ht="48.75" x14ac:dyDescent="0.25">
      <c r="A96" s="644" t="str">
        <f>CONCATENATE('3 pr-2'!A98)</f>
        <v>1.1.2.4.6</v>
      </c>
      <c r="B96" s="657" t="str">
        <f>CONCATENATE('3 pr-2'!B98)</f>
        <v>R01-5511-120000-1246</v>
      </c>
      <c r="C96" s="653" t="str">
        <f>CONCATENATE('ketv. 6 '!C97)</f>
        <v>06.2.1-TID-R-511-11-0004</v>
      </c>
      <c r="D96" s="254" t="str">
        <f>CONCATENATE('3 pr-2'!D98)</f>
        <v>Lazdijų miesto Seinų ir Lazdijos gatvių bei vietinės reikšmės kelio nuo Janonio gatvės iki Lazdijų hipodromo rekonstravimas</v>
      </c>
      <c r="E96" s="182" t="str">
        <f>CONCATENATE('3 pr-2'!E98)</f>
        <v>Lazdijų rajono savivaldybės administracija</v>
      </c>
      <c r="F96" s="182" t="str">
        <f>CONCATENATE('3 pr-2'!F98)</f>
        <v>Lietuvos Respublikos susisiekimo ministerija</v>
      </c>
      <c r="G96" s="182" t="str">
        <f>CONCATENATE('3 pr-2'!G98)</f>
        <v>Lazdijų r. sav.</v>
      </c>
      <c r="H96" s="182" t="str">
        <f>CONCATENATE('3 pr-2'!H98)</f>
        <v>06.2.1-TID-R-511</v>
      </c>
      <c r="I96" s="182" t="str">
        <f>CONCATENATE('3 pr-2'!I98)</f>
        <v>R</v>
      </c>
      <c r="J96" s="182" t="str">
        <f>CONCATENATE('3 pr-2'!J98)</f>
        <v>ITI</v>
      </c>
      <c r="K96" s="1435">
        <f>SUM('3 pr-2'!L98)</f>
        <v>759934</v>
      </c>
      <c r="L96" s="1426">
        <f t="shared" si="113"/>
        <v>0</v>
      </c>
      <c r="M96" s="1298">
        <v>0</v>
      </c>
      <c r="N96" s="1298">
        <f t="shared" si="94"/>
        <v>0</v>
      </c>
      <c r="O96" s="1427">
        <f t="shared" si="79"/>
        <v>759934</v>
      </c>
      <c r="P96" s="1435">
        <f>SUM('3 pr-2'!O98)</f>
        <v>113990</v>
      </c>
      <c r="Q96" s="1426">
        <f>SUMIF('mokėjimų ataskaita'!$I$13:$I$600,C96,'mokėjimų ataskaita'!$AU$13:$AU$600)/2</f>
        <v>0</v>
      </c>
      <c r="R96" s="1298">
        <v>0</v>
      </c>
      <c r="S96" s="1298">
        <f t="shared" si="114"/>
        <v>0</v>
      </c>
      <c r="T96" s="1427">
        <f t="shared" si="115"/>
        <v>113990</v>
      </c>
      <c r="U96" s="1435">
        <f>SUM('3 pr-2'!R98)</f>
        <v>0</v>
      </c>
      <c r="V96" s="1426">
        <f>SUMIF('mokėjimų ataskaita'!$I$13:$I$600,C96,'mokėjimų ataskaita'!$AL$13:$AL$600)/2</f>
        <v>0</v>
      </c>
      <c r="W96" s="1298"/>
      <c r="X96" s="1298"/>
      <c r="Y96" s="1427">
        <f t="shared" si="116"/>
        <v>0</v>
      </c>
      <c r="Z96" s="1435">
        <f>SUM('3 pr-2'!U98)</f>
        <v>0</v>
      </c>
      <c r="AA96" s="1426">
        <f>SUMIF('mokėjimų ataskaita'!$I$13:$I$600,C96,'mokėjimų ataskaita'!$AW$13:$AW$600)/2</f>
        <v>0</v>
      </c>
      <c r="AB96" s="1298"/>
      <c r="AC96" s="1298"/>
      <c r="AD96" s="1427">
        <f t="shared" si="117"/>
        <v>0</v>
      </c>
      <c r="AE96" s="1435">
        <f>SUM('3 pr-2'!X98)</f>
        <v>0</v>
      </c>
      <c r="AF96" s="1426">
        <f>SUMIF('mokėjimų ataskaita'!$I$13:$I$600,C96,'mokėjimų ataskaita'!$AV$13:$AV$600)/2+SUMIF('mokėjimų ataskaita'!$I$13:$I$600,C96,'mokėjimų ataskaita'!$AT$13:$AT$600)/2</f>
        <v>0</v>
      </c>
      <c r="AG96" s="1298">
        <v>0</v>
      </c>
      <c r="AH96" s="1298">
        <f t="shared" si="118"/>
        <v>0</v>
      </c>
      <c r="AI96" s="1427">
        <f t="shared" si="119"/>
        <v>0</v>
      </c>
      <c r="AJ96" s="1435">
        <f>SUM('3 pr-2'!AA98)</f>
        <v>645944</v>
      </c>
      <c r="AK96" s="1426">
        <f>SUMIF('mokėjimų ataskaita'!$I$13:$I$600,C96,'mokėjimų ataskaita'!$AK$13:$AK$600)/2</f>
        <v>0</v>
      </c>
      <c r="AL96" s="1298">
        <v>0</v>
      </c>
      <c r="AM96" s="1298">
        <f t="shared" si="120"/>
        <v>0</v>
      </c>
      <c r="AN96" s="1441">
        <f t="shared" si="121"/>
        <v>645944</v>
      </c>
      <c r="AO96" s="1296">
        <f>SUM('3 pr-2'!AB98)</f>
        <v>0</v>
      </c>
      <c r="AP96" s="1426">
        <v>0</v>
      </c>
    </row>
    <row r="97" spans="1:43" ht="37.5" thickBot="1" x14ac:dyDescent="0.3">
      <c r="A97" s="644" t="str">
        <f>CONCATENATE('3 pr-2'!A99)</f>
        <v>1.1.2.4.7</v>
      </c>
      <c r="B97" s="657" t="str">
        <f>CONCATENATE('3 pr-2'!B99)</f>
        <v>R01-5511-120000-1247</v>
      </c>
      <c r="C97" s="653" t="str">
        <f>CONCATENATE('ketv. 6 '!C98)</f>
        <v>-</v>
      </c>
      <c r="D97" s="254" t="str">
        <f>CONCATENATE('3 pr-2'!D99)</f>
        <v>Eismo saugumo priemonių diegimas Druskininkų savivaldybėje</v>
      </c>
      <c r="E97" s="182" t="str">
        <f>CONCATENATE('3 pr-2'!E99)</f>
        <v xml:space="preserve">Druskininkų savivaldybės administracija  </v>
      </c>
      <c r="F97" s="182" t="str">
        <f>CONCATENATE('3 pr-2'!F99)</f>
        <v>Lietuvos Respublikos susisiekimo ministerija</v>
      </c>
      <c r="G97" s="182" t="str">
        <f>CONCATENATE('3 pr-2'!G99)</f>
        <v>Druskininkų sav.</v>
      </c>
      <c r="H97" s="182" t="str">
        <f>CONCATENATE('3 pr-2'!H99)</f>
        <v>06.2.1-TID-R-511</v>
      </c>
      <c r="I97" s="182" t="str">
        <f>CONCATENATE('3 pr-2'!I99)</f>
        <v>R</v>
      </c>
      <c r="J97" s="182" t="str">
        <f>CONCATENATE('3 pr-2'!J99)</f>
        <v>-</v>
      </c>
      <c r="K97" s="1435">
        <f>SUM('3 pr-2'!L99)</f>
        <v>135352</v>
      </c>
      <c r="L97" s="1296">
        <f t="shared" si="113"/>
        <v>0</v>
      </c>
      <c r="M97" s="1298"/>
      <c r="N97" s="1298">
        <f t="shared" si="94"/>
        <v>0</v>
      </c>
      <c r="O97" s="1427">
        <f t="shared" ref="O97" si="122">SUM(K97-L97)</f>
        <v>135352</v>
      </c>
      <c r="P97" s="1435">
        <f>SUM('3 pr-2'!O99)</f>
        <v>22363</v>
      </c>
      <c r="Q97" s="1296">
        <f>SUMIF('mokėjimų ataskaita'!$I$13:$I$600,C97,'mokėjimų ataskaita'!$AU$13:$AU$600)/2</f>
        <v>0</v>
      </c>
      <c r="R97" s="1298"/>
      <c r="S97" s="1298">
        <f t="shared" si="114"/>
        <v>0</v>
      </c>
      <c r="T97" s="1427">
        <f t="shared" si="115"/>
        <v>22363</v>
      </c>
      <c r="U97" s="1435">
        <f>SUM('3 pr-2'!R99)</f>
        <v>0</v>
      </c>
      <c r="V97" s="1296">
        <f>SUMIF('mokėjimų ataskaita'!$I$13:$I$600,C97,'mokėjimų ataskaita'!$AL$13:$AL$600)/2</f>
        <v>0</v>
      </c>
      <c r="W97" s="1298"/>
      <c r="X97" s="1298"/>
      <c r="Y97" s="1427">
        <f t="shared" ref="Y97" si="123">SUM(U97-V97)</f>
        <v>0</v>
      </c>
      <c r="Z97" s="1435">
        <f>SUM('3 pr-2'!U99)</f>
        <v>0</v>
      </c>
      <c r="AA97" s="1296">
        <f>SUMIF('mokėjimų ataskaita'!$I$13:$I$600,C97,'mokėjimų ataskaita'!$AW$13:$AW$600)/2</f>
        <v>0</v>
      </c>
      <c r="AB97" s="1298"/>
      <c r="AC97" s="1298"/>
      <c r="AD97" s="1427">
        <f t="shared" ref="AD97" si="124">SUM(Z97-AA97)</f>
        <v>0</v>
      </c>
      <c r="AE97" s="1435">
        <f>SUM('3 pr-2'!X99)</f>
        <v>0</v>
      </c>
      <c r="AF97" s="1296">
        <f>SUMIF('mokėjimų ataskaita'!$I$13:$I$600,C97,'mokėjimų ataskaita'!$AV$13:$AV$600)/2+SUMIF('mokėjimų ataskaita'!$I$13:$I$600,C97,'mokėjimų ataskaita'!$AT$13:$AT$600)/2</f>
        <v>0</v>
      </c>
      <c r="AG97" s="1298"/>
      <c r="AH97" s="1298">
        <f t="shared" si="118"/>
        <v>0</v>
      </c>
      <c r="AI97" s="1427">
        <f t="shared" ref="AI97" si="125">SUM(AE97-AF97)</f>
        <v>0</v>
      </c>
      <c r="AJ97" s="1435">
        <f>SUM('3 pr-2'!AA99)</f>
        <v>112989</v>
      </c>
      <c r="AK97" s="1296">
        <f>SUMIF('mokėjimų ataskaita'!$I$13:$I$600,C97,'mokėjimų ataskaita'!$AK$13:$AK$600)/2</f>
        <v>0</v>
      </c>
      <c r="AL97" s="1298"/>
      <c r="AM97" s="1298">
        <f t="shared" si="120"/>
        <v>0</v>
      </c>
      <c r="AN97" s="1441">
        <f t="shared" si="121"/>
        <v>112989</v>
      </c>
      <c r="AO97" s="1296">
        <f>SUM('3 pr-2'!AB99)</f>
        <v>0</v>
      </c>
      <c r="AP97" s="1432">
        <v>0</v>
      </c>
    </row>
    <row r="98" spans="1:43" ht="57" customHeight="1" thickBot="1" x14ac:dyDescent="0.3">
      <c r="A98" s="448" t="str">
        <f>CONCATENATE('3 pr-2'!A100)</f>
        <v>2.1.</v>
      </c>
      <c r="B98" s="2028" t="str">
        <f>CONCATENATE('3 pr-2'!B100)</f>
        <v>Tikslas:
GERINTI VIEŠŲJŲ  PASLAUGŲ KOKYBĘ IR PRIEINAMUMĄ</v>
      </c>
      <c r="C98" s="2023"/>
      <c r="D98" s="2023"/>
      <c r="E98" s="2023"/>
      <c r="F98" s="2023"/>
      <c r="G98" s="2023"/>
      <c r="H98" s="2023"/>
      <c r="I98" s="2023"/>
      <c r="J98" s="2024"/>
      <c r="K98" s="1491">
        <f t="shared" ref="K98:AJ98" si="126">SUM(K99+K118+K145+K158)</f>
        <v>12593641.73</v>
      </c>
      <c r="L98" s="1491">
        <f t="shared" si="126"/>
        <v>3801471.39</v>
      </c>
      <c r="M98" s="1491">
        <f t="shared" si="126"/>
        <v>1443767.56</v>
      </c>
      <c r="N98" s="1491">
        <f t="shared" si="126"/>
        <v>1243740.52</v>
      </c>
      <c r="O98" s="1491">
        <f t="shared" si="126"/>
        <v>8792170.3399999999</v>
      </c>
      <c r="P98" s="1491">
        <f t="shared" si="126"/>
        <v>1894321.3399999999</v>
      </c>
      <c r="Q98" s="1491">
        <f t="shared" si="126"/>
        <v>539343.85</v>
      </c>
      <c r="R98" s="1491">
        <f t="shared" si="126"/>
        <v>139723</v>
      </c>
      <c r="S98" s="1491">
        <f t="shared" si="126"/>
        <v>349551.82999999996</v>
      </c>
      <c r="T98" s="1491">
        <f t="shared" si="126"/>
        <v>1354977.49</v>
      </c>
      <c r="U98" s="1491">
        <f t="shared" si="126"/>
        <v>411995.91</v>
      </c>
      <c r="V98" s="1491">
        <f t="shared" si="126"/>
        <v>69825.039999999994</v>
      </c>
      <c r="W98" s="1491">
        <f t="shared" si="126"/>
        <v>2764.7</v>
      </c>
      <c r="X98" s="1491">
        <f t="shared" si="126"/>
        <v>19026.879999999997</v>
      </c>
      <c r="Y98" s="1491">
        <f t="shared" si="126"/>
        <v>342170.87000000005</v>
      </c>
      <c r="Z98" s="1491">
        <f t="shared" si="126"/>
        <v>40158</v>
      </c>
      <c r="AA98" s="1491">
        <f t="shared" si="126"/>
        <v>0</v>
      </c>
      <c r="AB98" s="1491">
        <f t="shared" si="126"/>
        <v>0</v>
      </c>
      <c r="AC98" s="1491">
        <f t="shared" si="126"/>
        <v>0</v>
      </c>
      <c r="AD98" s="1491">
        <f t="shared" si="126"/>
        <v>40158</v>
      </c>
      <c r="AE98" s="1491">
        <f t="shared" si="126"/>
        <v>1299.95</v>
      </c>
      <c r="AF98" s="1491">
        <f t="shared" si="126"/>
        <v>0</v>
      </c>
      <c r="AG98" s="1491">
        <f t="shared" si="126"/>
        <v>0</v>
      </c>
      <c r="AH98" s="1491">
        <f t="shared" si="126"/>
        <v>0</v>
      </c>
      <c r="AI98" s="1491">
        <f t="shared" si="126"/>
        <v>1299.95</v>
      </c>
      <c r="AJ98" s="1491">
        <f t="shared" si="126"/>
        <v>10245866.530000001</v>
      </c>
      <c r="AK98" s="1491">
        <f>SUM(AK99+AK118+AK145+AK158)</f>
        <v>3192302.5000000005</v>
      </c>
      <c r="AL98" s="1491">
        <f t="shared" ref="AL98:AP98" si="127">SUM(AL99+AL118+AL145+AL158)</f>
        <v>1301279.8600000001</v>
      </c>
      <c r="AM98" s="1491">
        <f t="shared" si="127"/>
        <v>875161.80999999994</v>
      </c>
      <c r="AN98" s="1491">
        <f t="shared" si="127"/>
        <v>6883564.0299999993</v>
      </c>
      <c r="AO98" s="1491">
        <f t="shared" si="127"/>
        <v>0</v>
      </c>
      <c r="AP98" s="1491">
        <f t="shared" si="127"/>
        <v>0</v>
      </c>
      <c r="AQ98" s="256">
        <f>SUM(K98-'3 pr-2'!L100)</f>
        <v>0</v>
      </c>
    </row>
    <row r="99" spans="1:43" ht="56.25" customHeight="1" thickBot="1" x14ac:dyDescent="0.3">
      <c r="A99" s="261" t="str">
        <f>CONCATENATE('3 pr-2'!A101)</f>
        <v>2.1.1.</v>
      </c>
      <c r="B99" s="2022" t="str">
        <f>CONCATENATE('3 pr-2'!B101)</f>
        <v xml:space="preserve">Uždavinys:
Bendrojo ugdymo ir neformaliojo švietimo įstaigų (ypač vykdančių ikimokyklinio ir priešmokyklinio ugdymo programas) tinklo veiklos efektyvumo didinimas </v>
      </c>
      <c r="C99" s="2023"/>
      <c r="D99" s="2023"/>
      <c r="E99" s="2023"/>
      <c r="F99" s="2023"/>
      <c r="G99" s="2023"/>
      <c r="H99" s="2023"/>
      <c r="I99" s="2023"/>
      <c r="J99" s="2024"/>
      <c r="K99" s="1420">
        <f t="shared" ref="K99:AJ99" si="128">SUM(K100+K106+K112)</f>
        <v>4776867.3599999994</v>
      </c>
      <c r="L99" s="1420">
        <f t="shared" si="128"/>
        <v>783496.91</v>
      </c>
      <c r="M99" s="1420">
        <f t="shared" si="128"/>
        <v>0</v>
      </c>
      <c r="N99" s="1420">
        <f t="shared" si="128"/>
        <v>0</v>
      </c>
      <c r="O99" s="1420">
        <f t="shared" si="128"/>
        <v>3993370.4499999993</v>
      </c>
      <c r="P99" s="1420">
        <f t="shared" si="128"/>
        <v>808633.36</v>
      </c>
      <c r="Q99" s="1420">
        <f t="shared" si="128"/>
        <v>33017.56</v>
      </c>
      <c r="R99" s="1420">
        <f t="shared" si="128"/>
        <v>0</v>
      </c>
      <c r="S99" s="1420">
        <f t="shared" si="128"/>
        <v>0</v>
      </c>
      <c r="T99" s="1420">
        <f t="shared" si="128"/>
        <v>775615.79999999993</v>
      </c>
      <c r="U99" s="1420">
        <f t="shared" si="128"/>
        <v>201262</v>
      </c>
      <c r="V99" s="1420">
        <f t="shared" si="128"/>
        <v>34426.79</v>
      </c>
      <c r="W99" s="1420">
        <f t="shared" si="128"/>
        <v>0</v>
      </c>
      <c r="X99" s="1420">
        <f t="shared" si="128"/>
        <v>0</v>
      </c>
      <c r="Y99" s="1420">
        <f t="shared" si="128"/>
        <v>166835.21000000002</v>
      </c>
      <c r="Z99" s="1420">
        <f t="shared" si="128"/>
        <v>0</v>
      </c>
      <c r="AA99" s="1420">
        <f t="shared" si="128"/>
        <v>0</v>
      </c>
      <c r="AB99" s="1420">
        <f t="shared" si="128"/>
        <v>0</v>
      </c>
      <c r="AC99" s="1420">
        <f t="shared" si="128"/>
        <v>0</v>
      </c>
      <c r="AD99" s="1420">
        <f t="shared" si="128"/>
        <v>0</v>
      </c>
      <c r="AE99" s="1420">
        <f t="shared" si="128"/>
        <v>0</v>
      </c>
      <c r="AF99" s="1420">
        <f t="shared" si="128"/>
        <v>0</v>
      </c>
      <c r="AG99" s="1420">
        <f t="shared" si="128"/>
        <v>0</v>
      </c>
      <c r="AH99" s="1420">
        <f t="shared" si="128"/>
        <v>0</v>
      </c>
      <c r="AI99" s="1420">
        <f t="shared" si="128"/>
        <v>0</v>
      </c>
      <c r="AJ99" s="1420">
        <f t="shared" si="128"/>
        <v>3766972</v>
      </c>
      <c r="AK99" s="1420">
        <f>SUM(AK100+AK106+AK112)</f>
        <v>716052.56</v>
      </c>
      <c r="AL99" s="1420">
        <f t="shared" ref="AL99:AP99" si="129">SUM(AL100+AL106+AL112)</f>
        <v>0</v>
      </c>
      <c r="AM99" s="1420">
        <f t="shared" si="129"/>
        <v>0</v>
      </c>
      <c r="AN99" s="1420">
        <f t="shared" si="129"/>
        <v>3050919.44</v>
      </c>
      <c r="AO99" s="1420">
        <f t="shared" si="129"/>
        <v>0</v>
      </c>
      <c r="AP99" s="1420">
        <f t="shared" si="129"/>
        <v>0</v>
      </c>
      <c r="AQ99" s="256">
        <f>SUM(K99-'3 pr-2'!L101)</f>
        <v>0</v>
      </c>
    </row>
    <row r="100" spans="1:43" ht="30" customHeight="1" thickBot="1" x14ac:dyDescent="0.3">
      <c r="A100" s="326" t="str">
        <f>CONCATENATE('3 pr-2'!A102)</f>
        <v>2.1.1.1</v>
      </c>
      <c r="B100" s="2025" t="str">
        <f>CONCATENATE('3 pr-2'!B102)</f>
        <v>Priemonė:
Mokyklų tinklo efektyvumo didinimas</v>
      </c>
      <c r="C100" s="2026"/>
      <c r="D100" s="2026"/>
      <c r="E100" s="2026"/>
      <c r="F100" s="2026"/>
      <c r="G100" s="2026"/>
      <c r="H100" s="2026"/>
      <c r="I100" s="2026"/>
      <c r="J100" s="2027"/>
      <c r="K100" s="1293">
        <f t="shared" ref="K100:AJ100" si="130">SUM(K101:K105)</f>
        <v>1343975.4100000001</v>
      </c>
      <c r="L100" s="1293">
        <f t="shared" si="130"/>
        <v>354976.44</v>
      </c>
      <c r="M100" s="1293">
        <f t="shared" si="130"/>
        <v>0</v>
      </c>
      <c r="N100" s="1293">
        <f t="shared" si="130"/>
        <v>0</v>
      </c>
      <c r="O100" s="1293">
        <f t="shared" si="130"/>
        <v>988998.97</v>
      </c>
      <c r="P100" s="1293">
        <f t="shared" si="130"/>
        <v>100799.41</v>
      </c>
      <c r="Q100" s="1293">
        <f t="shared" si="130"/>
        <v>9969.5</v>
      </c>
      <c r="R100" s="1293">
        <f t="shared" si="130"/>
        <v>0</v>
      </c>
      <c r="S100" s="1293">
        <f t="shared" si="130"/>
        <v>0</v>
      </c>
      <c r="T100" s="1293">
        <f t="shared" si="130"/>
        <v>90829.909999999989</v>
      </c>
      <c r="U100" s="1293">
        <f t="shared" si="130"/>
        <v>100799</v>
      </c>
      <c r="V100" s="1293">
        <f t="shared" si="130"/>
        <v>27973.7</v>
      </c>
      <c r="W100" s="1293">
        <f t="shared" si="130"/>
        <v>0</v>
      </c>
      <c r="X100" s="1293">
        <f t="shared" si="130"/>
        <v>0</v>
      </c>
      <c r="Y100" s="1293">
        <f t="shared" si="130"/>
        <v>72825.3</v>
      </c>
      <c r="Z100" s="1293">
        <f t="shared" si="130"/>
        <v>0</v>
      </c>
      <c r="AA100" s="1293">
        <f t="shared" si="130"/>
        <v>0</v>
      </c>
      <c r="AB100" s="1293">
        <f t="shared" si="130"/>
        <v>0</v>
      </c>
      <c r="AC100" s="1293">
        <f t="shared" si="130"/>
        <v>0</v>
      </c>
      <c r="AD100" s="1293">
        <f t="shared" si="130"/>
        <v>0</v>
      </c>
      <c r="AE100" s="1293">
        <f t="shared" si="130"/>
        <v>0</v>
      </c>
      <c r="AF100" s="1293">
        <f t="shared" si="130"/>
        <v>0</v>
      </c>
      <c r="AG100" s="1293">
        <f t="shared" si="130"/>
        <v>0</v>
      </c>
      <c r="AH100" s="1293">
        <f t="shared" si="130"/>
        <v>0</v>
      </c>
      <c r="AI100" s="1293">
        <f t="shared" si="130"/>
        <v>0</v>
      </c>
      <c r="AJ100" s="1293">
        <f t="shared" si="130"/>
        <v>1142377</v>
      </c>
      <c r="AK100" s="1293">
        <f>SUM(AK101:AK105)</f>
        <v>317033.24</v>
      </c>
      <c r="AL100" s="1293">
        <f t="shared" ref="AL100:AP100" si="131">SUM(AL101:AL105)</f>
        <v>0</v>
      </c>
      <c r="AM100" s="1293">
        <f t="shared" si="131"/>
        <v>0</v>
      </c>
      <c r="AN100" s="1293">
        <f t="shared" si="131"/>
        <v>825343.76</v>
      </c>
      <c r="AO100" s="1293">
        <f t="shared" si="131"/>
        <v>0</v>
      </c>
      <c r="AP100" s="1293">
        <f t="shared" si="131"/>
        <v>0</v>
      </c>
      <c r="AQ100" s="256">
        <f>SUM(K100-'3 pr-2'!L102)</f>
        <v>0</v>
      </c>
    </row>
    <row r="101" spans="1:43" ht="60.75" x14ac:dyDescent="0.25">
      <c r="A101" s="644" t="str">
        <f>CONCATENATE('3 pr-2'!A103)</f>
        <v>2.1.1.1.1</v>
      </c>
      <c r="B101" s="657" t="str">
        <f>CONCATENATE('3 pr-2'!B103)</f>
        <v>R01-7724-220000-2111</v>
      </c>
      <c r="C101" s="653" t="str">
        <f>CONCATENATE('ketv. 6 '!C102)</f>
        <v>09.1.3-CPVA-R-724-11-0003</v>
      </c>
      <c r="D101" s="254" t="str">
        <f>CONCATENATE('3 pr-2'!D103)</f>
        <v>Varėnos r. Merkinės Vinco Krėvės gimnazijos laisvų patalpų pritaikymas ikimokyklinio ir priešmokyklinio ugdymo grupėms įrengti</v>
      </c>
      <c r="E101" s="182" t="str">
        <f>CONCATENATE('3 pr-2'!E103)</f>
        <v>Varėnos rajono savivaldybės administracija</v>
      </c>
      <c r="F101" s="182" t="str">
        <f>CONCATENATE('3 pr-2'!F103)</f>
        <v>Lietuvos Respublikos švietimo ir mokslo ministerija</v>
      </c>
      <c r="G101" s="182" t="str">
        <f>CONCATENATE('3 pr-2'!G103)</f>
        <v>Varėnos r. sav.</v>
      </c>
      <c r="H101" s="182" t="str">
        <f>CONCATENATE('3 pr-2'!H103)</f>
        <v>09.1.3-CPVA-R-724</v>
      </c>
      <c r="I101" s="182" t="str">
        <f>CONCATENATE('3 pr-2'!I103)</f>
        <v>R</v>
      </c>
      <c r="J101" s="182" t="str">
        <f>CONCATENATE('3 pr-2'!J103)</f>
        <v>-</v>
      </c>
      <c r="K101" s="1435">
        <f>SUM('3 pr-2'!L103)</f>
        <v>220453</v>
      </c>
      <c r="L101" s="1426">
        <f t="shared" ref="L101:L105" si="132">SUM(Q101+V101+AA101+AF101+AK101)</f>
        <v>0</v>
      </c>
      <c r="M101" s="1298"/>
      <c r="N101" s="1298"/>
      <c r="O101" s="1427">
        <f t="shared" ref="O101:O105" si="133">SUM(K101-L101)</f>
        <v>220453</v>
      </c>
      <c r="P101" s="1435">
        <f>SUM('3 pr-2'!O103)</f>
        <v>16534</v>
      </c>
      <c r="Q101" s="1426">
        <f>SUMIF('mokėjimų ataskaita'!$I$13:$I$600,C101,'mokėjimų ataskaita'!$AU$13:$AU$600)/2</f>
        <v>0</v>
      </c>
      <c r="R101" s="1298"/>
      <c r="S101" s="1298"/>
      <c r="T101" s="1427">
        <f>SUM(P101-Q101)</f>
        <v>16534</v>
      </c>
      <c r="U101" s="1435">
        <f>SUM('3 pr-2'!R103)</f>
        <v>16534</v>
      </c>
      <c r="V101" s="1426">
        <f>SUMIF('mokėjimų ataskaita'!$I$13:$I$600,C101,'mokėjimų ataskaita'!$AL$13:$AL$600)/2</f>
        <v>0</v>
      </c>
      <c r="W101" s="1298"/>
      <c r="X101" s="1298"/>
      <c r="Y101" s="1427">
        <f t="shared" ref="Y101:Y105" si="134">SUM(U101-V101)</f>
        <v>16534</v>
      </c>
      <c r="Z101" s="1435">
        <f>SUM('3 pr-2'!U103)</f>
        <v>0</v>
      </c>
      <c r="AA101" s="1296">
        <f>SUMIF('mokėjimų ataskaita'!$I$13:$I$600,C101,'mokėjimų ataskaita'!$AW$13:$AW$600)/2</f>
        <v>0</v>
      </c>
      <c r="AB101" s="1298"/>
      <c r="AC101" s="1298"/>
      <c r="AD101" s="1427">
        <f t="shared" ref="AD101:AD105" si="135">SUM(Z101-AA101)</f>
        <v>0</v>
      </c>
      <c r="AE101" s="1435">
        <f>SUM('3 pr-2'!X103)</f>
        <v>0</v>
      </c>
      <c r="AF101" s="1296">
        <f>SUMIF('mokėjimų ataskaita'!$I$13:$I$600,C101,'mokėjimų ataskaita'!$AV$13:$AV$600)/2+SUMIF('mokėjimų ataskaita'!$I$13:$I$600,C101,'mokėjimų ataskaita'!$AT$13:$AT$600)/2</f>
        <v>0</v>
      </c>
      <c r="AG101" s="1298"/>
      <c r="AH101" s="1298"/>
      <c r="AI101" s="1427">
        <f t="shared" ref="AI101:AI105" si="136">SUM(AE101-AF101)</f>
        <v>0</v>
      </c>
      <c r="AJ101" s="1435">
        <f>SUM('3 pr-2'!AA103)</f>
        <v>187385</v>
      </c>
      <c r="AK101" s="1426">
        <f>SUMIF('mokėjimų ataskaita'!$I$13:$I$600,C101,'mokėjimų ataskaita'!$AK$13:$AK$600)/2</f>
        <v>0</v>
      </c>
      <c r="AL101" s="1298"/>
      <c r="AM101" s="1298"/>
      <c r="AN101" s="1454">
        <f>SUM(AJ101-AK101)</f>
        <v>187385</v>
      </c>
      <c r="AO101" s="1296">
        <f>SUM('3 pr-2'!AB103)</f>
        <v>0</v>
      </c>
      <c r="AP101" s="1426">
        <v>0</v>
      </c>
    </row>
    <row r="102" spans="1:43" ht="48.75" x14ac:dyDescent="0.25">
      <c r="A102" s="644" t="str">
        <f>CONCATENATE('3 pr-2'!A104)</f>
        <v>2.1.1.1.2</v>
      </c>
      <c r="B102" s="657" t="str">
        <f>CONCATENATE('3 pr-2'!B104)</f>
        <v>R01-7724-220000-2112</v>
      </c>
      <c r="C102" s="653" t="str">
        <f>CONCATENATE('ketv. 6 '!C103)</f>
        <v>09.1.3-CPVA-R-724-11-0005</v>
      </c>
      <c r="D102" s="254" t="str">
        <f>CONCATENATE('3 pr-2'!D104)</f>
        <v>Alytaus rajono bendrojo ugdymo įstaigų aprūpinimas gamtos, technologijų, menų ir kitų mokslų laboratorijų įranga</v>
      </c>
      <c r="E102" s="182" t="str">
        <f>CONCATENATE('3 pr-2'!E104)</f>
        <v>Alytaus rajono savivaldybės administracija</v>
      </c>
      <c r="F102" s="182" t="str">
        <f>CONCATENATE('3 pr-2'!F104)</f>
        <v>Lietuvos Respublikos švietimo ir mokslo ministerija</v>
      </c>
      <c r="G102" s="182" t="str">
        <f>CONCATENATE('3 pr-2'!G104)</f>
        <v>Alytaus r. sav.</v>
      </c>
      <c r="H102" s="182" t="str">
        <f>CONCATENATE('3 pr-2'!H104)</f>
        <v>09.1.3-CPVA-R-724</v>
      </c>
      <c r="I102" s="182" t="str">
        <f>CONCATENATE('3 pr-2'!I104)</f>
        <v>R</v>
      </c>
      <c r="J102" s="182" t="str">
        <f>CONCATENATE('3 pr-2'!J104)</f>
        <v>-</v>
      </c>
      <c r="K102" s="1435">
        <f>SUM('3 pr-2'!L104)</f>
        <v>106845.41</v>
      </c>
      <c r="L102" s="1426">
        <f t="shared" si="132"/>
        <v>21022.23</v>
      </c>
      <c r="M102" s="1298"/>
      <c r="N102" s="1298"/>
      <c r="O102" s="1427">
        <f t="shared" si="133"/>
        <v>85823.180000000008</v>
      </c>
      <c r="P102" s="1435">
        <f>SUM('3 pr-2'!O104)</f>
        <v>8013.41</v>
      </c>
      <c r="Q102" s="1426">
        <f>SUMIF('mokėjimų ataskaita'!$I$13:$I$600,C102,'mokėjimų ataskaita'!$AU$13:$AU$600)/2</f>
        <v>1576.67</v>
      </c>
      <c r="R102" s="1298"/>
      <c r="S102" s="1298"/>
      <c r="T102" s="1427">
        <f>SUM(P102-Q102)</f>
        <v>6436.74</v>
      </c>
      <c r="U102" s="1435">
        <f>SUM('3 pr-2'!R104)</f>
        <v>8014</v>
      </c>
      <c r="V102" s="1426">
        <f>SUMIF('mokėjimų ataskaita'!$I$13:$I$600,C102,'mokėjimų ataskaita'!$AL$13:$AL$600)/2</f>
        <v>1576.78</v>
      </c>
      <c r="W102" s="1298"/>
      <c r="X102" s="1298"/>
      <c r="Y102" s="1427">
        <f t="shared" si="134"/>
        <v>6437.22</v>
      </c>
      <c r="Z102" s="1435">
        <f>SUM('3 pr-2'!U104)</f>
        <v>0</v>
      </c>
      <c r="AA102" s="1296">
        <f>SUMIF('mokėjimų ataskaita'!$I$13:$I$600,C102,'mokėjimų ataskaita'!$AW$13:$AW$600)/2</f>
        <v>0</v>
      </c>
      <c r="AB102" s="1298"/>
      <c r="AC102" s="1298"/>
      <c r="AD102" s="1427">
        <f t="shared" si="135"/>
        <v>0</v>
      </c>
      <c r="AE102" s="1435">
        <f>SUM('3 pr-2'!X104)</f>
        <v>0</v>
      </c>
      <c r="AF102" s="1296">
        <f>SUMIF('mokėjimų ataskaita'!$I$13:$I$600,C102,'mokėjimų ataskaita'!$AV$13:$AV$600)/2+SUMIF('mokėjimų ataskaita'!$I$13:$I$600,C102,'mokėjimų ataskaita'!$AT$13:$AT$600)/2</f>
        <v>0</v>
      </c>
      <c r="AG102" s="1298"/>
      <c r="AH102" s="1298"/>
      <c r="AI102" s="1427">
        <f t="shared" si="136"/>
        <v>0</v>
      </c>
      <c r="AJ102" s="1435">
        <f>SUM('3 pr-2'!AA104)</f>
        <v>90818</v>
      </c>
      <c r="AK102" s="1426">
        <f>SUMIF('mokėjimų ataskaita'!$I$13:$I$600,C102,'mokėjimų ataskaita'!$AK$13:$AK$600)/2</f>
        <v>17868.78</v>
      </c>
      <c r="AL102" s="1298"/>
      <c r="AM102" s="1298"/>
      <c r="AN102" s="1454">
        <f>SUM(AJ102-AK102)</f>
        <v>72949.22</v>
      </c>
      <c r="AO102" s="1296">
        <f>SUM('3 pr-2'!AB104)</f>
        <v>0</v>
      </c>
      <c r="AP102" s="1426">
        <v>0</v>
      </c>
    </row>
    <row r="103" spans="1:43" ht="36.75" x14ac:dyDescent="0.25">
      <c r="A103" s="644" t="str">
        <f>CONCATENATE('3 pr-2'!A105)</f>
        <v>2.1.1.1.3</v>
      </c>
      <c r="B103" s="657" t="str">
        <f>CONCATENATE('3 pr-2'!B105)</f>
        <v>R01-7724-220000-2113</v>
      </c>
      <c r="C103" s="653" t="str">
        <f>CONCATENATE('ketv. 6 '!C104)</f>
        <v>09.1.3-CPVA-R-724-11-0002</v>
      </c>
      <c r="D103" s="254" t="str">
        <f>CONCATENATE('3 pr-2'!D105)</f>
        <v>Modernių ir saugių erdvių kūrimas Dzūkijos pagrindinėje mokykloje, Alytuje</v>
      </c>
      <c r="E103" s="182" t="str">
        <f>CONCATENATE('3 pr-2'!E105)</f>
        <v>Alytaus miesto savivaldybės administracija</v>
      </c>
      <c r="F103" s="182" t="str">
        <f>CONCATENATE('3 pr-2'!F105)</f>
        <v>Lietuvos Respublikos švietimo ir mokslo ministerija</v>
      </c>
      <c r="G103" s="182" t="str">
        <f>CONCATENATE('3 pr-2'!G105)</f>
        <v>Alytaus m. sav.</v>
      </c>
      <c r="H103" s="182" t="str">
        <f>CONCATENATE('3 pr-2'!H105)</f>
        <v>09.1.3-CPVA-R-724</v>
      </c>
      <c r="I103" s="182" t="str">
        <f>CONCATENATE('3 pr-2'!I105)</f>
        <v>R</v>
      </c>
      <c r="J103" s="182" t="str">
        <f>CONCATENATE('3 pr-2'!J105)</f>
        <v>-</v>
      </c>
      <c r="K103" s="1435">
        <f>SUM('3 pr-2'!L105)</f>
        <v>657021</v>
      </c>
      <c r="L103" s="1426">
        <f t="shared" si="132"/>
        <v>127094.44000000002</v>
      </c>
      <c r="M103" s="1298"/>
      <c r="N103" s="1298"/>
      <c r="O103" s="1427">
        <f t="shared" si="133"/>
        <v>529926.55999999994</v>
      </c>
      <c r="P103" s="1435">
        <f>SUM('3 pr-2'!O105)</f>
        <v>49277</v>
      </c>
      <c r="Q103" s="1426">
        <f>SUMIF('mokėjimų ataskaita'!$I$13:$I$600,C103,'mokėjimų ataskaita'!$AU$13:$AU$600)/2</f>
        <v>363.41</v>
      </c>
      <c r="R103" s="1298"/>
      <c r="S103" s="1298"/>
      <c r="T103" s="1427">
        <f>SUM(P103-Q103)</f>
        <v>48913.59</v>
      </c>
      <c r="U103" s="1435">
        <f>SUM('3 pr-2'!R105)</f>
        <v>49277</v>
      </c>
      <c r="V103" s="1426">
        <f>SUMIF('mokėjimų ataskaita'!$I$13:$I$600,C103,'mokėjimų ataskaita'!$AL$13:$AL$600)/2</f>
        <v>10275.58</v>
      </c>
      <c r="W103" s="1298"/>
      <c r="X103" s="1298"/>
      <c r="Y103" s="1427">
        <f t="shared" si="134"/>
        <v>39001.42</v>
      </c>
      <c r="Z103" s="1435">
        <f>SUM('3 pr-2'!U105)</f>
        <v>0</v>
      </c>
      <c r="AA103" s="1296">
        <f>SUMIF('mokėjimų ataskaita'!$I$13:$I$600,C103,'mokėjimų ataskaita'!$AW$13:$AW$600)/2</f>
        <v>0</v>
      </c>
      <c r="AB103" s="1298"/>
      <c r="AC103" s="1298"/>
      <c r="AD103" s="1427">
        <f t="shared" si="135"/>
        <v>0</v>
      </c>
      <c r="AE103" s="1435">
        <f>SUM('3 pr-2'!X105)</f>
        <v>0</v>
      </c>
      <c r="AF103" s="1296">
        <f>SUMIF('mokėjimų ataskaita'!$I$13:$I$600,C103,'mokėjimų ataskaita'!$AV$13:$AV$600)/2+SUMIF('mokėjimų ataskaita'!$I$13:$I$600,C103,'mokėjimų ataskaita'!$AT$13:$AT$600)/2</f>
        <v>0</v>
      </c>
      <c r="AG103" s="1298"/>
      <c r="AH103" s="1298"/>
      <c r="AI103" s="1427">
        <f t="shared" si="136"/>
        <v>0</v>
      </c>
      <c r="AJ103" s="1435">
        <f>SUM('3 pr-2'!AA105)</f>
        <v>558467</v>
      </c>
      <c r="AK103" s="1426">
        <f>SUMIF('mokėjimų ataskaita'!$I$13:$I$600,C103,'mokėjimų ataskaita'!$AK$13:$AK$600)/2</f>
        <v>116455.45000000001</v>
      </c>
      <c r="AL103" s="1298"/>
      <c r="AM103" s="1298"/>
      <c r="AN103" s="1454">
        <f>SUM(AJ103-AK103)</f>
        <v>442011.55</v>
      </c>
      <c r="AO103" s="1296">
        <f>SUM('3 pr-2'!AB105)</f>
        <v>0</v>
      </c>
      <c r="AP103" s="1426">
        <v>0</v>
      </c>
    </row>
    <row r="104" spans="1:43" ht="36.75" x14ac:dyDescent="0.25">
      <c r="A104" s="644" t="str">
        <f>CONCATENATE('3 pr-2'!A106)</f>
        <v>2.1.1.1.4</v>
      </c>
      <c r="B104" s="657" t="str">
        <f>CONCATENATE('3 pr-2'!B106)</f>
        <v>R01-7724-220000-2114</v>
      </c>
      <c r="C104" s="653" t="str">
        <f>CONCATENATE('ketv. 6 '!C105)</f>
        <v>09.1.3-CPVA-R-724-11-0004</v>
      </c>
      <c r="D104" s="254" t="str">
        <f>CONCATENATE('3 pr-2'!D106)</f>
        <v>Modernių ir saugių erdvių sukūrimas bendrojo ugdymo mokyklose Druskininkų sav.</v>
      </c>
      <c r="E104" s="182" t="str">
        <f>CONCATENATE('3 pr-2'!E106)</f>
        <v>Druskininkų savivaldybės administracija</v>
      </c>
      <c r="F104" s="182" t="str">
        <f>CONCATENATE('3 pr-2'!F106)</f>
        <v>Lietuvos Respublikos švietimo ir mokslo ministerija</v>
      </c>
      <c r="G104" s="182" t="str">
        <f>CONCATENATE('3 pr-2'!G106)</f>
        <v>Druskininkų sav.</v>
      </c>
      <c r="H104" s="182" t="str">
        <f>CONCATENATE('3 pr-2'!H106)</f>
        <v>09.1.3-CPVA-R-724</v>
      </c>
      <c r="I104" s="182" t="str">
        <f>CONCATENATE('3 pr-2'!I106)</f>
        <v>R</v>
      </c>
      <c r="J104" s="182" t="str">
        <f>CONCATENATE('3 pr-2'!J106)</f>
        <v>-</v>
      </c>
      <c r="K104" s="1435">
        <f>SUM('3 pr-2'!L106)</f>
        <v>163877</v>
      </c>
      <c r="L104" s="1426">
        <f t="shared" si="132"/>
        <v>106596.08</v>
      </c>
      <c r="M104" s="1298"/>
      <c r="N104" s="1298"/>
      <c r="O104" s="1427">
        <f t="shared" si="133"/>
        <v>57280.92</v>
      </c>
      <c r="P104" s="1435">
        <f>SUM('3 pr-2'!O106)</f>
        <v>12291</v>
      </c>
      <c r="Q104" s="1426">
        <f>SUMIF('mokėjimų ataskaita'!$I$13:$I$600,C104,'mokėjimų ataskaita'!$AU$13:$AU$600)/2</f>
        <v>4584.1099999999997</v>
      </c>
      <c r="R104" s="1298"/>
      <c r="S104" s="1298"/>
      <c r="T104" s="1427">
        <f>SUM(P104-Q104)</f>
        <v>7706.89</v>
      </c>
      <c r="U104" s="1435">
        <f>SUM('3 pr-2'!R106)</f>
        <v>12291</v>
      </c>
      <c r="V104" s="1426">
        <f>SUMIF('mokėjimų ataskaita'!$I$13:$I$600,C104,'mokėjimų ataskaita'!$AL$13:$AL$600)/2</f>
        <v>8271.4</v>
      </c>
      <c r="W104" s="1298"/>
      <c r="X104" s="1298"/>
      <c r="Y104" s="1427">
        <f t="shared" si="134"/>
        <v>4019.6000000000004</v>
      </c>
      <c r="Z104" s="1435">
        <f>SUM('3 pr-2'!U106)</f>
        <v>0</v>
      </c>
      <c r="AA104" s="1296">
        <f>SUMIF('mokėjimų ataskaita'!$I$13:$I$600,C104,'mokėjimų ataskaita'!$AW$13:$AW$600)/2</f>
        <v>0</v>
      </c>
      <c r="AB104" s="1298"/>
      <c r="AC104" s="1298"/>
      <c r="AD104" s="1427">
        <f t="shared" si="135"/>
        <v>0</v>
      </c>
      <c r="AE104" s="1435">
        <f>SUM('3 pr-2'!X106)</f>
        <v>0</v>
      </c>
      <c r="AF104" s="1296">
        <f>SUMIF('mokėjimų ataskaita'!$I$13:$I$600,C104,'mokėjimų ataskaita'!$AV$13:$AV$600)/2+SUMIF('mokėjimų ataskaita'!$I$13:$I$600,C104,'mokėjimų ataskaita'!$AT$13:$AT$600)/2</f>
        <v>0</v>
      </c>
      <c r="AG104" s="1298"/>
      <c r="AH104" s="1298"/>
      <c r="AI104" s="1427">
        <f t="shared" si="136"/>
        <v>0</v>
      </c>
      <c r="AJ104" s="1435">
        <f>SUM('3 pr-2'!AA106)</f>
        <v>139295</v>
      </c>
      <c r="AK104" s="1426">
        <f>SUMIF('mokėjimų ataskaita'!$I$13:$I$600,C104,'mokėjimų ataskaita'!$AK$13:$AK$600)/2</f>
        <v>93740.57</v>
      </c>
      <c r="AL104" s="1298"/>
      <c r="AM104" s="1298"/>
      <c r="AN104" s="1454">
        <f>SUM(AJ104-AK104)</f>
        <v>45554.429999999993</v>
      </c>
      <c r="AO104" s="1296">
        <f>SUM('3 pr-2'!AB106)</f>
        <v>0</v>
      </c>
      <c r="AP104" s="1426">
        <v>0</v>
      </c>
    </row>
    <row r="105" spans="1:43" ht="49.5" thickBot="1" x14ac:dyDescent="0.3">
      <c r="A105" s="644" t="str">
        <f>CONCATENATE('3 pr-2'!A107)</f>
        <v>2.1.1.1.5</v>
      </c>
      <c r="B105" s="657" t="str">
        <f>CONCATENATE('3 pr-2'!B107)</f>
        <v>R01-7724-220000-2115</v>
      </c>
      <c r="C105" s="653" t="str">
        <f>CONCATENATE('ketv. 6 '!C106)</f>
        <v>09.1.3-CPVA-R-724-11-0001</v>
      </c>
      <c r="D105" s="254" t="str">
        <f>CONCATENATE('3 pr-2'!D107)</f>
        <v>Modernių ir saugių erdvių sukūrimas bendrojo ugdymo įstaigose Lazdijų rajono savivaldybėje</v>
      </c>
      <c r="E105" s="182" t="str">
        <f>CONCATENATE('3 pr-2'!E107)</f>
        <v>Lazdijų rajono savivaldybės administracija</v>
      </c>
      <c r="F105" s="182" t="str">
        <f>CONCATENATE('3 pr-2'!F107)</f>
        <v>Lietuvos Respublikos švietimo ir mokslo ministerija</v>
      </c>
      <c r="G105" s="182" t="str">
        <f>CONCATENATE('3 pr-2'!G107)</f>
        <v>Lazdijų r. sav.</v>
      </c>
      <c r="H105" s="182" t="str">
        <f>CONCATENATE('3 pr-2'!H107)</f>
        <v>09.1.3-CPVA-R-724</v>
      </c>
      <c r="I105" s="182" t="str">
        <f>CONCATENATE('3 pr-2'!I107)</f>
        <v>R</v>
      </c>
      <c r="J105" s="182" t="str">
        <f>CONCATENATE('3 pr-2'!J107)</f>
        <v>-</v>
      </c>
      <c r="K105" s="1435">
        <f>SUM('3 pr-2'!L107)</f>
        <v>195779</v>
      </c>
      <c r="L105" s="1426">
        <f t="shared" si="132"/>
        <v>100263.69</v>
      </c>
      <c r="M105" s="1298"/>
      <c r="N105" s="1298"/>
      <c r="O105" s="1427">
        <f t="shared" si="133"/>
        <v>95515.31</v>
      </c>
      <c r="P105" s="1435">
        <f>SUM('3 pr-2'!O107)</f>
        <v>14684</v>
      </c>
      <c r="Q105" s="1426">
        <f>SUMIF('mokėjimų ataskaita'!$I$13:$I$600,C105,'mokėjimų ataskaita'!$AU$13:$AU$600)/2</f>
        <v>3445.3100000000004</v>
      </c>
      <c r="R105" s="1298"/>
      <c r="S105" s="1298"/>
      <c r="T105" s="1427">
        <f>SUM(P105-Q105)</f>
        <v>11238.689999999999</v>
      </c>
      <c r="U105" s="1435">
        <f>SUM('3 pr-2'!R107)</f>
        <v>14683</v>
      </c>
      <c r="V105" s="1426">
        <f>SUMIF('mokėjimų ataskaita'!$I$13:$I$600,C105,'mokėjimų ataskaita'!$AL$13:$AL$600)/2</f>
        <v>7849.94</v>
      </c>
      <c r="W105" s="1298"/>
      <c r="X105" s="1298"/>
      <c r="Y105" s="1427">
        <f t="shared" si="134"/>
        <v>6833.06</v>
      </c>
      <c r="Z105" s="1435">
        <f>SUM('3 pr-2'!U107)</f>
        <v>0</v>
      </c>
      <c r="AA105" s="1296">
        <f>SUMIF('mokėjimų ataskaita'!$I$13:$I$600,C105,'mokėjimų ataskaita'!$AW$13:$AW$600)/2</f>
        <v>0</v>
      </c>
      <c r="AB105" s="1298"/>
      <c r="AC105" s="1298"/>
      <c r="AD105" s="1427">
        <f t="shared" si="135"/>
        <v>0</v>
      </c>
      <c r="AE105" s="1435">
        <f>SUM('3 pr-2'!X107)</f>
        <v>0</v>
      </c>
      <c r="AF105" s="1296">
        <f>SUMIF('mokėjimų ataskaita'!$I$13:$I$600,C105,'mokėjimų ataskaita'!$AV$13:$AV$600)/2+SUMIF('mokėjimų ataskaita'!$I$13:$I$600,C105,'mokėjimų ataskaita'!$AT$13:$AT$600)/2</f>
        <v>0</v>
      </c>
      <c r="AG105" s="1298"/>
      <c r="AH105" s="1298"/>
      <c r="AI105" s="1427">
        <f t="shared" si="136"/>
        <v>0</v>
      </c>
      <c r="AJ105" s="1435">
        <f>SUM('3 pr-2'!AA107)</f>
        <v>166412</v>
      </c>
      <c r="AK105" s="1426">
        <f>SUMIF('mokėjimų ataskaita'!$I$13:$I$600,C105,'mokėjimų ataskaita'!$AK$13:$AK$600)/2</f>
        <v>88968.44</v>
      </c>
      <c r="AL105" s="1298"/>
      <c r="AM105" s="1298"/>
      <c r="AN105" s="1441">
        <f>SUM(AJ105-AK105)</f>
        <v>77443.56</v>
      </c>
      <c r="AO105" s="1296">
        <f>SUM('3 pr-2'!AB107)</f>
        <v>0</v>
      </c>
      <c r="AP105" s="1426">
        <v>0</v>
      </c>
    </row>
    <row r="106" spans="1:43" ht="31.5" customHeight="1" thickBot="1" x14ac:dyDescent="0.3">
      <c r="A106" s="326" t="str">
        <f>CONCATENATE('3 pr-2'!A108)</f>
        <v>2.1.1.2</v>
      </c>
      <c r="B106" s="2025" t="str">
        <f>CONCATENATE('3 pr-2'!B108)</f>
        <v>Priemonė:
Neformaliojo švietimo infrastruktūros tobulinimas</v>
      </c>
      <c r="C106" s="2026"/>
      <c r="D106" s="2026"/>
      <c r="E106" s="2026"/>
      <c r="F106" s="2026"/>
      <c r="G106" s="2026"/>
      <c r="H106" s="2026"/>
      <c r="I106" s="2026"/>
      <c r="J106" s="2027"/>
      <c r="K106" s="1293">
        <f t="shared" ref="K106:AJ106" si="137">SUM(K107:K111)</f>
        <v>1973870.18</v>
      </c>
      <c r="L106" s="1293">
        <f t="shared" si="137"/>
        <v>345982.36</v>
      </c>
      <c r="M106" s="1293">
        <f t="shared" si="137"/>
        <v>0</v>
      </c>
      <c r="N106" s="1293">
        <f t="shared" si="137"/>
        <v>0</v>
      </c>
      <c r="O106" s="1293">
        <f t="shared" si="137"/>
        <v>1627887.8199999996</v>
      </c>
      <c r="P106" s="1293">
        <f t="shared" si="137"/>
        <v>487863.18</v>
      </c>
      <c r="Q106" s="1293">
        <f t="shared" si="137"/>
        <v>20097.23</v>
      </c>
      <c r="R106" s="1293">
        <f t="shared" si="137"/>
        <v>0</v>
      </c>
      <c r="S106" s="1293">
        <f t="shared" si="137"/>
        <v>0</v>
      </c>
      <c r="T106" s="1293">
        <f t="shared" si="137"/>
        <v>467765.94999999995</v>
      </c>
      <c r="U106" s="1293">
        <f t="shared" si="137"/>
        <v>0</v>
      </c>
      <c r="V106" s="1293">
        <f t="shared" si="137"/>
        <v>0</v>
      </c>
      <c r="W106" s="1293">
        <f t="shared" si="137"/>
        <v>0</v>
      </c>
      <c r="X106" s="1293">
        <f t="shared" si="137"/>
        <v>0</v>
      </c>
      <c r="Y106" s="1293">
        <f t="shared" si="137"/>
        <v>0</v>
      </c>
      <c r="Z106" s="1293">
        <f t="shared" si="137"/>
        <v>0</v>
      </c>
      <c r="AA106" s="1293">
        <f t="shared" si="137"/>
        <v>0</v>
      </c>
      <c r="AB106" s="1293">
        <f t="shared" si="137"/>
        <v>0</v>
      </c>
      <c r="AC106" s="1293">
        <f t="shared" si="137"/>
        <v>0</v>
      </c>
      <c r="AD106" s="1293">
        <f t="shared" si="137"/>
        <v>0</v>
      </c>
      <c r="AE106" s="1293">
        <f t="shared" si="137"/>
        <v>0</v>
      </c>
      <c r="AF106" s="1293">
        <f t="shared" si="137"/>
        <v>0</v>
      </c>
      <c r="AG106" s="1293">
        <f t="shared" si="137"/>
        <v>0</v>
      </c>
      <c r="AH106" s="1293">
        <f t="shared" si="137"/>
        <v>0</v>
      </c>
      <c r="AI106" s="1293">
        <f t="shared" si="137"/>
        <v>0</v>
      </c>
      <c r="AJ106" s="1293">
        <f t="shared" si="137"/>
        <v>1486007</v>
      </c>
      <c r="AK106" s="1293">
        <f>SUM(AK107:AK111)</f>
        <v>325885.13</v>
      </c>
      <c r="AL106" s="1293">
        <f t="shared" ref="AL106:AP106" si="138">SUM(AL107:AL111)</f>
        <v>0</v>
      </c>
      <c r="AM106" s="1293">
        <f t="shared" si="138"/>
        <v>0</v>
      </c>
      <c r="AN106" s="1293">
        <f t="shared" si="138"/>
        <v>1160121.8699999999</v>
      </c>
      <c r="AO106" s="1293">
        <f t="shared" si="138"/>
        <v>0</v>
      </c>
      <c r="AP106" s="1293">
        <f t="shared" si="138"/>
        <v>0</v>
      </c>
      <c r="AQ106" s="256">
        <f>SUM(K106-'3 pr-2'!L108)</f>
        <v>0</v>
      </c>
    </row>
    <row r="107" spans="1:43" ht="36.75" x14ac:dyDescent="0.25">
      <c r="A107" s="644" t="str">
        <f>CONCATENATE('3 pr-2'!A109)</f>
        <v>2.1.1.2.1</v>
      </c>
      <c r="B107" s="657" t="str">
        <f>CONCATENATE('3 pr-2'!B109)</f>
        <v>R01-7725-240000-2121</v>
      </c>
      <c r="C107" s="653" t="str">
        <f>CONCATENATE('ketv. 6 '!C108)</f>
        <v>09.1.3-CPVA-R-725-11-0003</v>
      </c>
      <c r="D107" s="254" t="str">
        <f>CONCATENATE('3 pr-2'!D109)</f>
        <v>Varėnos moksleivių kūrybos centro pastato J. Basanavičiaus g. 38, Varėnoje, modernizavimas</v>
      </c>
      <c r="E107" s="182" t="str">
        <f>CONCATENATE('3 pr-2'!E109)</f>
        <v>Varėnos rajono savivaldybės administracija</v>
      </c>
      <c r="F107" s="182" t="str">
        <f>CONCATENATE('3 pr-2'!F109)</f>
        <v>Lietuvos Respublikos švietimo ir mokslo ministerija</v>
      </c>
      <c r="G107" s="182" t="str">
        <f>CONCATENATE('3 pr-2'!G109)</f>
        <v>Varėnos r. sav.</v>
      </c>
      <c r="H107" s="182" t="str">
        <f>CONCATENATE('3 pr-2'!H109)</f>
        <v>09.13.CPVA-R-725</v>
      </c>
      <c r="I107" s="182" t="str">
        <f>CONCATENATE('3 pr-2'!I109)</f>
        <v>R</v>
      </c>
      <c r="J107" s="182" t="str">
        <f>CONCATENATE('3 pr-2'!J109)</f>
        <v>-</v>
      </c>
      <c r="K107" s="1435">
        <f>SUM('3 pr-2'!L109)</f>
        <v>437551</v>
      </c>
      <c r="L107" s="1426">
        <f t="shared" ref="L107:L111" si="139">SUM(Q107+V107+AA107+AF107+AK107)</f>
        <v>22355</v>
      </c>
      <c r="M107" s="1298"/>
      <c r="N107" s="1298"/>
      <c r="O107" s="1427">
        <f t="shared" si="79"/>
        <v>415196</v>
      </c>
      <c r="P107" s="1435">
        <f>SUM('3 pr-2'!O109)</f>
        <v>65633</v>
      </c>
      <c r="Q107" s="1426">
        <f>SUMIF('mokėjimų ataskaita'!$I$13:$I$600,C107,'mokėjimų ataskaita'!$AU$13:$AU$600)/2</f>
        <v>758.25</v>
      </c>
      <c r="R107" s="1298"/>
      <c r="S107" s="1298"/>
      <c r="T107" s="1427">
        <f>SUM(P107-Q107)</f>
        <v>64874.75</v>
      </c>
      <c r="U107" s="1435">
        <f>SUM('3 pr-2'!R109)</f>
        <v>0</v>
      </c>
      <c r="V107" s="1296">
        <f>SUMIF('mokėjimų ataskaita'!$I$13:$I$600,C107,'mokėjimų ataskaita'!$AL$13:$AL$600)/2</f>
        <v>0</v>
      </c>
      <c r="W107" s="1298"/>
      <c r="X107" s="1298"/>
      <c r="Y107" s="1427">
        <f t="shared" ref="Y107:Y111" si="140">SUM(U107-V107)</f>
        <v>0</v>
      </c>
      <c r="Z107" s="1435">
        <f>SUM('3 pr-2'!U109)</f>
        <v>0</v>
      </c>
      <c r="AA107" s="1296">
        <f>SUMIF('mokėjimų ataskaita'!$I$13:$I$600,C107,'mokėjimų ataskaita'!$AW$13:$AW$600)/2</f>
        <v>0</v>
      </c>
      <c r="AB107" s="1298"/>
      <c r="AC107" s="1298"/>
      <c r="AD107" s="1427">
        <f t="shared" ref="AD107:AD111" si="141">SUM(Z107-AA107)</f>
        <v>0</v>
      </c>
      <c r="AE107" s="1435">
        <f>SUM('3 pr-2'!X109)</f>
        <v>0</v>
      </c>
      <c r="AF107" s="1296">
        <f>SUMIF('mokėjimų ataskaita'!$I$13:$I$600,C107,'mokėjimų ataskaita'!$AV$13:$AV$600)/2+SUMIF('mokėjimų ataskaita'!$I$13:$I$600,C107,'mokėjimų ataskaita'!$AT$13:$AT$600)/2</f>
        <v>0</v>
      </c>
      <c r="AG107" s="1298"/>
      <c r="AH107" s="1298"/>
      <c r="AI107" s="1427">
        <f t="shared" ref="AI107:AI111" si="142">SUM(AE107-AF107)</f>
        <v>0</v>
      </c>
      <c r="AJ107" s="1435">
        <f>SUM('3 pr-2'!AA109)</f>
        <v>371918</v>
      </c>
      <c r="AK107" s="1426">
        <f>SUMIF('mokėjimų ataskaita'!$I$13:$I$600,C107,'mokėjimų ataskaita'!$AK$13:$AK$600)/2</f>
        <v>21596.75</v>
      </c>
      <c r="AL107" s="1298"/>
      <c r="AM107" s="1298"/>
      <c r="AN107" s="1454">
        <f>SUM(AJ107-AK107)</f>
        <v>350321.25</v>
      </c>
      <c r="AO107" s="1296">
        <f>SUM('3 pr-2'!AB109)</f>
        <v>0</v>
      </c>
      <c r="AP107" s="1426">
        <v>0</v>
      </c>
    </row>
    <row r="108" spans="1:43" ht="36.75" x14ac:dyDescent="0.25">
      <c r="A108" s="644" t="str">
        <f>CONCATENATE('3 pr-2'!A110)</f>
        <v>2.1.1.2.2</v>
      </c>
      <c r="B108" s="657" t="str">
        <f>CONCATENATE('3 pr-2'!B110)</f>
        <v>R01-7725-240000-2122</v>
      </c>
      <c r="C108" s="653" t="str">
        <f>CONCATENATE('ketv. 6 '!C109)</f>
        <v>09.1.3-CPVA-R-725-11-0005</v>
      </c>
      <c r="D108" s="254" t="str">
        <f>CONCATENATE('3 pr-2'!D110)</f>
        <v>Alytaus r. meno ir sporto mokyklos edukacinių erdvių įkūrimas ir atnaujinimas</v>
      </c>
      <c r="E108" s="182" t="str">
        <f>CONCATENATE('3 pr-2'!E110)</f>
        <v>Alytaus rajono savivaldybės administracija</v>
      </c>
      <c r="F108" s="182" t="str">
        <f>CONCATENATE('3 pr-2'!F110)</f>
        <v>Lietuvos Respublikos švietimo ir mokslo ministerija</v>
      </c>
      <c r="G108" s="182" t="str">
        <f>CONCATENATE('3 pr-2'!G110)</f>
        <v>Alytaus r. sav.</v>
      </c>
      <c r="H108" s="182" t="str">
        <f>CONCATENATE('3 pr-2'!H110)</f>
        <v>09.13.CPVA-R-725</v>
      </c>
      <c r="I108" s="182" t="str">
        <f>CONCATENATE('3 pr-2'!I110)</f>
        <v>R</v>
      </c>
      <c r="J108" s="182" t="str">
        <f>CONCATENATE('3 pr-2'!J110)</f>
        <v>-</v>
      </c>
      <c r="K108" s="1435">
        <f>SUM('3 pr-2'!L110)</f>
        <v>856424.88</v>
      </c>
      <c r="L108" s="1426">
        <f t="shared" si="139"/>
        <v>140000</v>
      </c>
      <c r="M108" s="1298"/>
      <c r="N108" s="1298"/>
      <c r="O108" s="1427">
        <f t="shared" si="79"/>
        <v>716424.88</v>
      </c>
      <c r="P108" s="1435">
        <f>SUM('3 pr-2'!O110)</f>
        <v>319813.88</v>
      </c>
      <c r="Q108" s="1426">
        <f>SUMIF('mokėjimų ataskaita'!$I$13:$I$600,C108,'mokėjimų ataskaita'!$AU$13:$AU$600)/2</f>
        <v>0</v>
      </c>
      <c r="R108" s="1298"/>
      <c r="S108" s="1298"/>
      <c r="T108" s="1427">
        <f>SUM(P108-Q108)</f>
        <v>319813.88</v>
      </c>
      <c r="U108" s="1435">
        <f>SUM('3 pr-2'!R110)</f>
        <v>0</v>
      </c>
      <c r="V108" s="1296">
        <f>SUMIF('mokėjimų ataskaita'!$I$13:$I$600,C108,'mokėjimų ataskaita'!$AL$13:$AL$600)/2</f>
        <v>0</v>
      </c>
      <c r="W108" s="1298"/>
      <c r="X108" s="1298"/>
      <c r="Y108" s="1427">
        <f t="shared" si="140"/>
        <v>0</v>
      </c>
      <c r="Z108" s="1435">
        <f>SUM('3 pr-2'!U110)</f>
        <v>0</v>
      </c>
      <c r="AA108" s="1296">
        <f>SUMIF('mokėjimų ataskaita'!$I$13:$I$600,C108,'mokėjimų ataskaita'!$AW$13:$AW$600)/2</f>
        <v>0</v>
      </c>
      <c r="AB108" s="1298"/>
      <c r="AC108" s="1298"/>
      <c r="AD108" s="1427">
        <f t="shared" si="141"/>
        <v>0</v>
      </c>
      <c r="AE108" s="1435">
        <f>SUM('3 pr-2'!X110)</f>
        <v>0</v>
      </c>
      <c r="AF108" s="1296">
        <f>SUMIF('mokėjimų ataskaita'!$I$13:$I$600,C108,'mokėjimų ataskaita'!$AV$13:$AV$600)/2+SUMIF('mokėjimų ataskaita'!$I$13:$I$600,C108,'mokėjimų ataskaita'!$AT$13:$AT$600)/2</f>
        <v>0</v>
      </c>
      <c r="AG108" s="1298"/>
      <c r="AH108" s="1298"/>
      <c r="AI108" s="1427">
        <f t="shared" si="142"/>
        <v>0</v>
      </c>
      <c r="AJ108" s="1435">
        <f>SUM('3 pr-2'!AA110)</f>
        <v>536611</v>
      </c>
      <c r="AK108" s="1426">
        <f>SUMIF('mokėjimų ataskaita'!$I$13:$I$600,C108,'mokėjimų ataskaita'!$AK$13:$AK$600)/2</f>
        <v>140000</v>
      </c>
      <c r="AL108" s="1298"/>
      <c r="AM108" s="1298"/>
      <c r="AN108" s="1454">
        <f>SUM(AJ108-AK108)</f>
        <v>396611</v>
      </c>
      <c r="AO108" s="1296">
        <f>SUM('3 pr-2'!AB110)</f>
        <v>0</v>
      </c>
      <c r="AP108" s="1426">
        <v>0</v>
      </c>
    </row>
    <row r="109" spans="1:43" ht="36.75" x14ac:dyDescent="0.25">
      <c r="A109" s="644" t="str">
        <f>CONCATENATE('3 pr-2'!A111)</f>
        <v>2.1.1.2.3</v>
      </c>
      <c r="B109" s="657" t="str">
        <f>CONCATENATE('3 pr-2'!B111)</f>
        <v>R01-7725-240000-2123</v>
      </c>
      <c r="C109" s="653" t="str">
        <f>CONCATENATE('ketv. 6 '!C110)</f>
        <v>09.1.3-CPVA-R-725-11-0004</v>
      </c>
      <c r="D109" s="254" t="str">
        <f>CONCATENATE('3 pr-2'!D111)</f>
        <v>Alytaus muzikos mokyklos pastato modernizavimas ir ugdymo aplinkos gerinimas</v>
      </c>
      <c r="E109" s="182" t="str">
        <f>CONCATENATE('3 pr-2'!E111)</f>
        <v>Alytaus miesto savivaldybės administracija</v>
      </c>
      <c r="F109" s="182" t="str">
        <f>CONCATENATE('3 pr-2'!F111)</f>
        <v>Lietuvos Respublikos švietimo ir mokslo ministerija</v>
      </c>
      <c r="G109" s="182" t="str">
        <f>CONCATENATE('3 pr-2'!G111)</f>
        <v>Alytaus m. sav.</v>
      </c>
      <c r="H109" s="182" t="str">
        <f>CONCATENATE('3 pr-2'!H111)</f>
        <v>09.13.CPVA-R-725</v>
      </c>
      <c r="I109" s="182" t="str">
        <f>CONCATENATE('3 pr-2'!I111)</f>
        <v>R</v>
      </c>
      <c r="J109" s="182" t="str">
        <f>CONCATENATE('3 pr-2'!J111)</f>
        <v>-</v>
      </c>
      <c r="K109" s="1435">
        <f>SUM('3 pr-2'!L111)</f>
        <v>397378</v>
      </c>
      <c r="L109" s="1426">
        <f t="shared" si="139"/>
        <v>7047.5999999999995</v>
      </c>
      <c r="M109" s="1298"/>
      <c r="N109" s="1298"/>
      <c r="O109" s="1427">
        <f t="shared" si="79"/>
        <v>390330.4</v>
      </c>
      <c r="P109" s="1435">
        <f>SUM('3 pr-2'!O111)</f>
        <v>59607</v>
      </c>
      <c r="Q109" s="1426">
        <f>SUMIF('mokėjimų ataskaita'!$I$13:$I$600,C109,'mokėjimų ataskaita'!$AU$13:$AU$600)/2</f>
        <v>532.14</v>
      </c>
      <c r="R109" s="1298"/>
      <c r="S109" s="1298"/>
      <c r="T109" s="1427">
        <f>SUM(P109-Q109)</f>
        <v>59074.86</v>
      </c>
      <c r="U109" s="1435">
        <f>SUM('3 pr-2'!R111)</f>
        <v>0</v>
      </c>
      <c r="V109" s="1296">
        <f>SUMIF('mokėjimų ataskaita'!$I$13:$I$600,C109,'mokėjimų ataskaita'!$AL$13:$AL$600)/2</f>
        <v>0</v>
      </c>
      <c r="W109" s="1298"/>
      <c r="X109" s="1298"/>
      <c r="Y109" s="1427">
        <f t="shared" si="140"/>
        <v>0</v>
      </c>
      <c r="Z109" s="1435">
        <f>SUM('3 pr-2'!U111)</f>
        <v>0</v>
      </c>
      <c r="AA109" s="1296">
        <f>SUMIF('mokėjimų ataskaita'!$I$13:$I$600,C109,'mokėjimų ataskaita'!$AW$13:$AW$600)/2</f>
        <v>0</v>
      </c>
      <c r="AB109" s="1298"/>
      <c r="AC109" s="1298"/>
      <c r="AD109" s="1427">
        <f t="shared" si="141"/>
        <v>0</v>
      </c>
      <c r="AE109" s="1435">
        <f>SUM('3 pr-2'!X111)</f>
        <v>0</v>
      </c>
      <c r="AF109" s="1296">
        <f>SUMIF('mokėjimų ataskaita'!$I$13:$I$600,C109,'mokėjimų ataskaita'!$AV$13:$AV$600)/2+SUMIF('mokėjimų ataskaita'!$I$13:$I$600,C109,'mokėjimų ataskaita'!$AT$13:$AT$600)/2</f>
        <v>0</v>
      </c>
      <c r="AG109" s="1298"/>
      <c r="AH109" s="1298"/>
      <c r="AI109" s="1427">
        <f t="shared" si="142"/>
        <v>0</v>
      </c>
      <c r="AJ109" s="1435">
        <f>SUM('3 pr-2'!AA111)</f>
        <v>337771</v>
      </c>
      <c r="AK109" s="1426">
        <f>SUMIF('mokėjimų ataskaita'!$I$13:$I$600,C109,'mokėjimų ataskaita'!$AK$13:$AK$600)/2</f>
        <v>6515.4599999999991</v>
      </c>
      <c r="AL109" s="1298"/>
      <c r="AM109" s="1298"/>
      <c r="AN109" s="1454">
        <f>SUM(AJ109-AK109)</f>
        <v>331255.53999999998</v>
      </c>
      <c r="AO109" s="1296">
        <f>SUM('3 pr-2'!AB111)</f>
        <v>0</v>
      </c>
      <c r="AP109" s="1426">
        <v>0</v>
      </c>
    </row>
    <row r="110" spans="1:43" ht="36.75" x14ac:dyDescent="0.25">
      <c r="A110" s="644" t="str">
        <f>CONCATENATE('3 pr-2'!A112)</f>
        <v>2.1.1.2.4</v>
      </c>
      <c r="B110" s="657" t="str">
        <f>CONCATENATE('3 pr-2'!B112)</f>
        <v>R01-7725-240000-2124</v>
      </c>
      <c r="C110" s="653" t="str">
        <f>CONCATENATE('ketv. 6 '!C111)</f>
        <v>09.1.3-CPVA-R-725-11-0002</v>
      </c>
      <c r="D110" s="254" t="str">
        <f>CONCATENATE('3 pr-2'!D112)</f>
        <v>Druskininkų M. K. Čiurlionio meno mokyklos infrastruktūros tobulinimas</v>
      </c>
      <c r="E110" s="182" t="str">
        <f>CONCATENATE('3 pr-2'!E112)</f>
        <v xml:space="preserve">Druskininkų savivaldybės administracija  </v>
      </c>
      <c r="F110" s="182" t="str">
        <f>CONCATENATE('3 pr-2'!F112)</f>
        <v>Lietuvos Respublikos švietimo ir mokslo ministerija</v>
      </c>
      <c r="G110" s="182" t="str">
        <f>CONCATENATE('3 pr-2'!G112)</f>
        <v>Druskininkų sav.</v>
      </c>
      <c r="H110" s="182" t="str">
        <f>CONCATENATE('3 pr-2'!H112)</f>
        <v>09.13.CPVA-R-725</v>
      </c>
      <c r="I110" s="182" t="str">
        <f>CONCATENATE('3 pr-2'!I112)</f>
        <v>R</v>
      </c>
      <c r="J110" s="182" t="str">
        <f>CONCATENATE('3 pr-2'!J112)</f>
        <v>-</v>
      </c>
      <c r="K110" s="1435">
        <f>SUM('3 pr-2'!L112)</f>
        <v>146702.29999999999</v>
      </c>
      <c r="L110" s="1426">
        <f t="shared" si="139"/>
        <v>60570.16</v>
      </c>
      <c r="M110" s="1298"/>
      <c r="N110" s="1298"/>
      <c r="O110" s="1427">
        <f t="shared" si="79"/>
        <v>86132.139999999985</v>
      </c>
      <c r="P110" s="1435">
        <f>SUM('3 pr-2'!O112)</f>
        <v>22436.3</v>
      </c>
      <c r="Q110" s="1426">
        <f>SUMIF('mokėjimų ataskaita'!$I$13:$I$600,C110,'mokėjimų ataskaita'!$AU$13:$AU$600)/2</f>
        <v>5889.83</v>
      </c>
      <c r="R110" s="1298"/>
      <c r="S110" s="1298"/>
      <c r="T110" s="1427">
        <f>SUM(P110-Q110)</f>
        <v>16546.47</v>
      </c>
      <c r="U110" s="1435">
        <f>SUM('3 pr-2'!R112)</f>
        <v>0</v>
      </c>
      <c r="V110" s="1296">
        <f>SUMIF('mokėjimų ataskaita'!$I$13:$I$600,C110,'mokėjimų ataskaita'!$AL$13:$AL$600)/2</f>
        <v>0</v>
      </c>
      <c r="W110" s="1298"/>
      <c r="X110" s="1298"/>
      <c r="Y110" s="1427">
        <f t="shared" si="140"/>
        <v>0</v>
      </c>
      <c r="Z110" s="1435">
        <f>SUM('3 pr-2'!U112)</f>
        <v>0</v>
      </c>
      <c r="AA110" s="1296">
        <f>SUMIF('mokėjimų ataskaita'!$I$13:$I$600,C110,'mokėjimų ataskaita'!$AW$13:$AW$600)/2</f>
        <v>0</v>
      </c>
      <c r="AB110" s="1298"/>
      <c r="AC110" s="1298"/>
      <c r="AD110" s="1427">
        <f t="shared" si="141"/>
        <v>0</v>
      </c>
      <c r="AE110" s="1435">
        <f>SUM('3 pr-2'!X112)</f>
        <v>0</v>
      </c>
      <c r="AF110" s="1296">
        <f>SUMIF('mokėjimų ataskaita'!$I$13:$I$600,C110,'mokėjimų ataskaita'!$AV$13:$AV$600)/2+SUMIF('mokėjimų ataskaita'!$I$13:$I$600,C110,'mokėjimų ataskaita'!$AT$13:$AT$600)/2</f>
        <v>0</v>
      </c>
      <c r="AG110" s="1298"/>
      <c r="AH110" s="1298"/>
      <c r="AI110" s="1427">
        <f t="shared" si="142"/>
        <v>0</v>
      </c>
      <c r="AJ110" s="1435">
        <f>SUM('3 pr-2'!AA112)</f>
        <v>124266</v>
      </c>
      <c r="AK110" s="1426">
        <f>SUMIF('mokėjimų ataskaita'!$I$13:$I$600,C110,'mokėjimų ataskaita'!$AK$13:$AK$600)/2</f>
        <v>54680.33</v>
      </c>
      <c r="AL110" s="1298"/>
      <c r="AM110" s="1298"/>
      <c r="AN110" s="1454">
        <f>SUM(AJ110-AK110)</f>
        <v>69585.67</v>
      </c>
      <c r="AO110" s="1296">
        <f>SUM('3 pr-2'!AB112)</f>
        <v>0</v>
      </c>
      <c r="AP110" s="1426">
        <v>0</v>
      </c>
    </row>
    <row r="111" spans="1:43" ht="37.5" thickBot="1" x14ac:dyDescent="0.3">
      <c r="A111" s="644" t="str">
        <f>CONCATENATE('3 pr-2'!A113)</f>
        <v>2.1.1.2.5</v>
      </c>
      <c r="B111" s="657" t="str">
        <f>CONCATENATE('3 pr-2'!B113)</f>
        <v>R01-7725-240000-2125</v>
      </c>
      <c r="C111" s="653" t="str">
        <f>CONCATENATE('ketv. 6 '!C112)</f>
        <v>09.1.3-CPVA-R-725-11-0001</v>
      </c>
      <c r="D111" s="254" t="str">
        <f>CONCATENATE('3 pr-2'!D113)</f>
        <v>Neformaliojo švietimo įstaigų Lazdijų rajono savivaldybėje infrastruktūros tobulinimas</v>
      </c>
      <c r="E111" s="182" t="str">
        <f>CONCATENATE('3 pr-2'!E113)</f>
        <v>VšĮ „Lazdijų sporto centras“</v>
      </c>
      <c r="F111" s="182" t="str">
        <f>CONCATENATE('3 pr-2'!F113)</f>
        <v>Lietuvos Respublikos švietimo ir mokslo ministerija</v>
      </c>
      <c r="G111" s="182" t="str">
        <f>CONCATENATE('3 pr-2'!G113)</f>
        <v>Lazdijų r. sav.</v>
      </c>
      <c r="H111" s="182" t="str">
        <f>CONCATENATE('3 pr-2'!H113)</f>
        <v>09.13.CPVA-R-725</v>
      </c>
      <c r="I111" s="182" t="str">
        <f>CONCATENATE('3 pr-2'!I113)</f>
        <v>R</v>
      </c>
      <c r="J111" s="182" t="str">
        <f>CONCATENATE('3 pr-2'!J113)</f>
        <v>-</v>
      </c>
      <c r="K111" s="1435">
        <f>SUM('3 pr-2'!L113)</f>
        <v>135814</v>
      </c>
      <c r="L111" s="1426">
        <f t="shared" si="139"/>
        <v>116009.59999999999</v>
      </c>
      <c r="M111" s="1298"/>
      <c r="N111" s="1298"/>
      <c r="O111" s="1427">
        <f t="shared" si="79"/>
        <v>19804.400000000009</v>
      </c>
      <c r="P111" s="1435">
        <f>SUM('3 pr-2'!O113)</f>
        <v>20373</v>
      </c>
      <c r="Q111" s="1426">
        <f>SUMIF('mokėjimų ataskaita'!$I$13:$I$600,C111,'mokėjimų ataskaita'!$AU$13:$AU$600)/2</f>
        <v>12917.01</v>
      </c>
      <c r="R111" s="1298"/>
      <c r="S111" s="1298"/>
      <c r="T111" s="1427">
        <f>SUM(P111-Q111)</f>
        <v>7455.99</v>
      </c>
      <c r="U111" s="1435">
        <f>SUM('3 pr-2'!R113)</f>
        <v>0</v>
      </c>
      <c r="V111" s="1296">
        <f>SUMIF('mokėjimų ataskaita'!$I$13:$I$600,C111,'mokėjimų ataskaita'!$AL$13:$AL$600)/2</f>
        <v>0</v>
      </c>
      <c r="W111" s="1298"/>
      <c r="X111" s="1298"/>
      <c r="Y111" s="1427">
        <f t="shared" si="140"/>
        <v>0</v>
      </c>
      <c r="Z111" s="1435">
        <f>SUM('3 pr-2'!U113)</f>
        <v>0</v>
      </c>
      <c r="AA111" s="1296">
        <f>SUMIF('mokėjimų ataskaita'!$I$13:$I$600,C111,'mokėjimų ataskaita'!$AW$13:$AW$600)/2</f>
        <v>0</v>
      </c>
      <c r="AB111" s="1298"/>
      <c r="AC111" s="1298"/>
      <c r="AD111" s="1427">
        <f t="shared" si="141"/>
        <v>0</v>
      </c>
      <c r="AE111" s="1435">
        <f>SUM('3 pr-2'!X113)</f>
        <v>0</v>
      </c>
      <c r="AF111" s="1296">
        <f>SUMIF('mokėjimų ataskaita'!$I$13:$I$600,C111,'mokėjimų ataskaita'!$AV$13:$AV$600)/2+SUMIF('mokėjimų ataskaita'!$I$13:$I$600,C111,'mokėjimų ataskaita'!$AT$13:$AT$600)/2</f>
        <v>0</v>
      </c>
      <c r="AG111" s="1298"/>
      <c r="AH111" s="1298"/>
      <c r="AI111" s="1427">
        <f t="shared" si="142"/>
        <v>0</v>
      </c>
      <c r="AJ111" s="1435">
        <f>SUM('3 pr-2'!AA113)</f>
        <v>115441</v>
      </c>
      <c r="AK111" s="1426">
        <f>SUMIF('mokėjimų ataskaita'!$I$13:$I$600,C111,'mokėjimų ataskaita'!$AK$13:$AK$600)/2</f>
        <v>103092.59</v>
      </c>
      <c r="AL111" s="1298"/>
      <c r="AM111" s="1298"/>
      <c r="AN111" s="1454">
        <f>SUM(AJ111-AK111)</f>
        <v>12348.410000000003</v>
      </c>
      <c r="AO111" s="1296">
        <f>SUM('3 pr-2'!AB113)</f>
        <v>0</v>
      </c>
      <c r="AP111" s="1426">
        <v>0</v>
      </c>
    </row>
    <row r="112" spans="1:43" ht="32.25" customHeight="1" thickBot="1" x14ac:dyDescent="0.3">
      <c r="A112" s="326" t="str">
        <f>CONCATENATE('3 pr-2'!A114)</f>
        <v>2.1.1.3</v>
      </c>
      <c r="B112" s="2025" t="str">
        <f>CONCATENATE('3 pr-2'!B114)</f>
        <v>Priemonė:
Ikimokyklinio ir priešmokyklinio ugdymo prieinamumo didinimas</v>
      </c>
      <c r="C112" s="2026"/>
      <c r="D112" s="2026"/>
      <c r="E112" s="2026"/>
      <c r="F112" s="2026"/>
      <c r="G112" s="2026"/>
      <c r="H112" s="2026"/>
      <c r="I112" s="2026"/>
      <c r="J112" s="2027"/>
      <c r="K112" s="1293">
        <f t="shared" ref="K112:AJ112" si="143">SUM(K113:K117)</f>
        <v>1459021.7699999998</v>
      </c>
      <c r="L112" s="1293">
        <f t="shared" si="143"/>
        <v>82538.11</v>
      </c>
      <c r="M112" s="1293">
        <f t="shared" si="143"/>
        <v>0</v>
      </c>
      <c r="N112" s="1293">
        <f t="shared" si="143"/>
        <v>0</v>
      </c>
      <c r="O112" s="1293">
        <f t="shared" si="143"/>
        <v>1376483.66</v>
      </c>
      <c r="P112" s="1293">
        <f t="shared" si="143"/>
        <v>219970.77</v>
      </c>
      <c r="Q112" s="1293">
        <f t="shared" si="143"/>
        <v>2950.83</v>
      </c>
      <c r="R112" s="1293">
        <f t="shared" si="143"/>
        <v>0</v>
      </c>
      <c r="S112" s="1293">
        <f t="shared" si="143"/>
        <v>0</v>
      </c>
      <c r="T112" s="1293">
        <f t="shared" si="143"/>
        <v>217019.93999999997</v>
      </c>
      <c r="U112" s="1293">
        <f t="shared" si="143"/>
        <v>100463</v>
      </c>
      <c r="V112" s="1293">
        <f t="shared" si="143"/>
        <v>6453.09</v>
      </c>
      <c r="W112" s="1293">
        <f t="shared" si="143"/>
        <v>0</v>
      </c>
      <c r="X112" s="1293">
        <f t="shared" si="143"/>
        <v>0</v>
      </c>
      <c r="Y112" s="1293">
        <f t="shared" si="143"/>
        <v>94009.91</v>
      </c>
      <c r="Z112" s="1293">
        <f t="shared" si="143"/>
        <v>0</v>
      </c>
      <c r="AA112" s="1293">
        <f t="shared" si="143"/>
        <v>0</v>
      </c>
      <c r="AB112" s="1293">
        <f t="shared" si="143"/>
        <v>0</v>
      </c>
      <c r="AC112" s="1293">
        <f t="shared" si="143"/>
        <v>0</v>
      </c>
      <c r="AD112" s="1293">
        <f t="shared" si="143"/>
        <v>0</v>
      </c>
      <c r="AE112" s="1293">
        <f t="shared" si="143"/>
        <v>0</v>
      </c>
      <c r="AF112" s="1293">
        <f t="shared" si="143"/>
        <v>0</v>
      </c>
      <c r="AG112" s="1293">
        <f t="shared" si="143"/>
        <v>0</v>
      </c>
      <c r="AH112" s="1293">
        <f t="shared" si="143"/>
        <v>0</v>
      </c>
      <c r="AI112" s="1293">
        <f t="shared" si="143"/>
        <v>0</v>
      </c>
      <c r="AJ112" s="1293">
        <f t="shared" si="143"/>
        <v>1138588</v>
      </c>
      <c r="AK112" s="1293">
        <f>SUM(AK113:AK117)</f>
        <v>73134.19</v>
      </c>
      <c r="AL112" s="1293">
        <f t="shared" ref="AL112:AP112" si="144">SUM(AL113:AL117)</f>
        <v>0</v>
      </c>
      <c r="AM112" s="1293">
        <f t="shared" si="144"/>
        <v>0</v>
      </c>
      <c r="AN112" s="1293">
        <f t="shared" si="144"/>
        <v>1065453.81</v>
      </c>
      <c r="AO112" s="1293">
        <f t="shared" si="144"/>
        <v>0</v>
      </c>
      <c r="AP112" s="1293">
        <f t="shared" si="144"/>
        <v>0</v>
      </c>
      <c r="AQ112" s="256">
        <f>SUM(K112-'3 pr-2'!L114)</f>
        <v>0</v>
      </c>
    </row>
    <row r="113" spans="1:43" ht="36.75" x14ac:dyDescent="0.25">
      <c r="A113" s="644" t="str">
        <f>CONCATENATE('3 pr-2'!A115)</f>
        <v>2.1.1.3.1</v>
      </c>
      <c r="B113" s="657" t="str">
        <f>CONCATENATE('3 pr-2'!B115)</f>
        <v>R01-7705-230000-2131</v>
      </c>
      <c r="C113" s="653" t="str">
        <f>CONCATENATE('ketv. 6 '!C114)</f>
        <v>09.1.3-CPVA-R-705-11-0003</v>
      </c>
      <c r="D113" s="254" t="str">
        <f>CONCATENATE('3 pr-2'!D115)</f>
        <v>Varėnos "Pasakos" vaikų lopšelio-darželio pastato modernizavimas</v>
      </c>
      <c r="E113" s="182" t="str">
        <f>CONCATENATE('3 pr-2'!E115)</f>
        <v>Varėnos rajono savivaldybės administracija</v>
      </c>
      <c r="F113" s="182" t="str">
        <f>CONCATENATE('3 pr-2'!F115)</f>
        <v>Lietuvos Respublikos švietimo ir mokslo ministerija</v>
      </c>
      <c r="G113" s="182" t="str">
        <f>CONCATENATE('3 pr-2'!G115)</f>
        <v>Varėnos r. sav.</v>
      </c>
      <c r="H113" s="182" t="str">
        <f>CONCATENATE('3 pr-2'!H115)</f>
        <v>09.1.3-CPVA-R-705</v>
      </c>
      <c r="I113" s="182" t="str">
        <f>CONCATENATE('3 pr-2'!I115)</f>
        <v>R</v>
      </c>
      <c r="J113" s="182" t="str">
        <f>CONCATENATE('3 pr-2'!J115)</f>
        <v>-</v>
      </c>
      <c r="K113" s="1435">
        <f>SUM('3 pr-2'!L115)</f>
        <v>370000</v>
      </c>
      <c r="L113" s="1426">
        <f t="shared" ref="L113:L117" si="145">SUM(Q113+V113+AA113+AF113+AK113)</f>
        <v>924.79</v>
      </c>
      <c r="M113" s="1298"/>
      <c r="N113" s="1298"/>
      <c r="O113" s="1427">
        <f t="shared" ref="O113:O117" si="146">SUM(K113-L113)</f>
        <v>369075.21</v>
      </c>
      <c r="P113" s="1435">
        <f>SUM('3 pr-2'!O115)</f>
        <v>57342</v>
      </c>
      <c r="Q113" s="1426">
        <f>SUMIF('mokėjimų ataskaita'!$I$13:$I$600,C113,'mokėjimų ataskaita'!$AU$13:$AU$600)/2</f>
        <v>143.33000000000001</v>
      </c>
      <c r="R113" s="1298"/>
      <c r="S113" s="1298"/>
      <c r="T113" s="1427">
        <f t="shared" ref="T113:T117" si="147">SUM(P113-Q113)</f>
        <v>57198.67</v>
      </c>
      <c r="U113" s="1435">
        <f>SUM('3 pr-2'!R115)</f>
        <v>25351</v>
      </c>
      <c r="V113" s="1426">
        <f>SUMIF('mokėjimų ataskaita'!$I$13:$I$600,C113,'mokėjimų ataskaita'!$AL$13:$AL$600)/2</f>
        <v>63.36</v>
      </c>
      <c r="W113" s="1298"/>
      <c r="X113" s="1298"/>
      <c r="Y113" s="1427">
        <f t="shared" ref="Y113:Y117" si="148">SUM(U113-V113)</f>
        <v>25287.64</v>
      </c>
      <c r="Z113" s="1435">
        <f>SUM('3 pr-2'!U115)</f>
        <v>0</v>
      </c>
      <c r="AA113" s="1296">
        <f>SUMIF('mokėjimų ataskaita'!$I$13:$I$600,C113,'mokėjimų ataskaita'!$AW$13:$AW$600)/2</f>
        <v>0</v>
      </c>
      <c r="AB113" s="1298"/>
      <c r="AC113" s="1298"/>
      <c r="AD113" s="1427">
        <f t="shared" ref="AD113:AD117" si="149">SUM(Z113-AA113)</f>
        <v>0</v>
      </c>
      <c r="AE113" s="1435">
        <f>SUM('3 pr-2'!X115)</f>
        <v>0</v>
      </c>
      <c r="AF113" s="1296">
        <f>SUMIF('mokėjimų ataskaita'!$I$13:$I$600,C113,'mokėjimų ataskaita'!$AV$13:$AV$600)/2+SUMIF('mokėjimų ataskaita'!$I$13:$I$600,C113,'mokėjimų ataskaita'!$AT$13:$AT$600)/2</f>
        <v>0</v>
      </c>
      <c r="AG113" s="1298"/>
      <c r="AH113" s="1298"/>
      <c r="AI113" s="1427">
        <f t="shared" ref="AI113:AI117" si="150">SUM(AE113-AF113)</f>
        <v>0</v>
      </c>
      <c r="AJ113" s="1435">
        <f>SUM('3 pr-2'!AA115)</f>
        <v>287307</v>
      </c>
      <c r="AK113" s="1426">
        <f>SUMIF('mokėjimų ataskaita'!$I$13:$I$600,C113,'mokėjimų ataskaita'!$AK$13:$AK$600)/2</f>
        <v>718.1</v>
      </c>
      <c r="AL113" s="1298"/>
      <c r="AM113" s="1298"/>
      <c r="AN113" s="1454">
        <f t="shared" ref="AN113:AN117" si="151">SUM(AJ113-AK113)</f>
        <v>286588.90000000002</v>
      </c>
      <c r="AO113" s="1296">
        <f>SUM('3 pr-2'!AB115)</f>
        <v>0</v>
      </c>
      <c r="AP113" s="1426">
        <v>0</v>
      </c>
    </row>
    <row r="114" spans="1:43" ht="48.75" x14ac:dyDescent="0.25">
      <c r="A114" s="644" t="str">
        <f>CONCATENATE('3 pr-2'!A116)</f>
        <v>2.1.1.3.2</v>
      </c>
      <c r="B114" s="657" t="str">
        <f>CONCATENATE('3 pr-2'!B116)</f>
        <v>R01-7705-230000-2132</v>
      </c>
      <c r="C114" s="653" t="str">
        <f>CONCATENATE('ketv. 6 '!C115)</f>
        <v>09.1.3-CPVA-R-705-11-0004</v>
      </c>
      <c r="D114" s="254" t="str">
        <f>CONCATENATE('3 pr-2'!D116)</f>
        <v>Alytaus r. ikimokyklinio ir priešmokyklinio ugdymo prieinamumo didinimas įkuriant ir atnaujinant edukacines erdves</v>
      </c>
      <c r="E114" s="182" t="str">
        <f>CONCATENATE('3 pr-2'!E116)</f>
        <v>Alytaus rajono savivaldybės administracija</v>
      </c>
      <c r="F114" s="182" t="str">
        <f>CONCATENATE('3 pr-2'!F116)</f>
        <v>Lietuvos Respublikos švietimo ir mokslo ministerija</v>
      </c>
      <c r="G114" s="182" t="str">
        <f>CONCATENATE('3 pr-2'!G116)</f>
        <v>Alytaus r. sav.</v>
      </c>
      <c r="H114" s="182" t="str">
        <f>CONCATENATE('3 pr-2'!H116)</f>
        <v>09.1.3-CPVA-R-705</v>
      </c>
      <c r="I114" s="182" t="str">
        <f>CONCATENATE('3 pr-2'!I116)</f>
        <v>R</v>
      </c>
      <c r="J114" s="182" t="str">
        <f>CONCATENATE('3 pr-2'!J116)</f>
        <v/>
      </c>
      <c r="K114" s="1435">
        <f>SUM('3 pr-2'!L116)</f>
        <v>597456.88</v>
      </c>
      <c r="L114" s="1426">
        <f t="shared" si="145"/>
        <v>0</v>
      </c>
      <c r="M114" s="1298"/>
      <c r="N114" s="1298"/>
      <c r="O114" s="1427">
        <f t="shared" si="146"/>
        <v>597456.88</v>
      </c>
      <c r="P114" s="1435">
        <f>SUM('3 pr-2'!O116)</f>
        <v>59861.88</v>
      </c>
      <c r="Q114" s="1426">
        <f>SUMIF('mokėjimų ataskaita'!$I$13:$I$600,C114,'mokėjimų ataskaita'!$AU$13:$AU$600)/2</f>
        <v>0</v>
      </c>
      <c r="R114" s="1298"/>
      <c r="S114" s="1298"/>
      <c r="T114" s="1427">
        <f t="shared" si="147"/>
        <v>59861.88</v>
      </c>
      <c r="U114" s="1435">
        <f>SUM('3 pr-2'!R116)</f>
        <v>43588</v>
      </c>
      <c r="V114" s="1426">
        <f>SUMIF('mokėjimų ataskaita'!$I$13:$I$600,C114,'mokėjimų ataskaita'!$AL$13:$AL$600)/2</f>
        <v>0</v>
      </c>
      <c r="W114" s="1298"/>
      <c r="X114" s="1298"/>
      <c r="Y114" s="1427">
        <f t="shared" si="148"/>
        <v>43588</v>
      </c>
      <c r="Z114" s="1435">
        <f>SUM('3 pr-2'!U116)</f>
        <v>0</v>
      </c>
      <c r="AA114" s="1296">
        <f>SUMIF('mokėjimų ataskaita'!$I$13:$I$600,C114,'mokėjimų ataskaita'!$AW$13:$AW$600)/2</f>
        <v>0</v>
      </c>
      <c r="AB114" s="1298"/>
      <c r="AC114" s="1298"/>
      <c r="AD114" s="1427">
        <f t="shared" si="149"/>
        <v>0</v>
      </c>
      <c r="AE114" s="1435">
        <f>SUM('3 pr-2'!X116)</f>
        <v>0</v>
      </c>
      <c r="AF114" s="1296">
        <f>SUMIF('mokėjimų ataskaita'!$I$13:$I$600,C114,'mokėjimų ataskaita'!$AV$13:$AV$600)/2+SUMIF('mokėjimų ataskaita'!$I$13:$I$600,C114,'mokėjimų ataskaita'!$AT$13:$AT$600)/2</f>
        <v>0</v>
      </c>
      <c r="AG114" s="1298"/>
      <c r="AH114" s="1298"/>
      <c r="AI114" s="1427">
        <f t="shared" si="150"/>
        <v>0</v>
      </c>
      <c r="AJ114" s="1435">
        <f>SUM('3 pr-2'!AA116)</f>
        <v>494007</v>
      </c>
      <c r="AK114" s="1426">
        <f>SUMIF('mokėjimų ataskaita'!$I$13:$I$600,C114,'mokėjimų ataskaita'!$AK$13:$AK$600)/2</f>
        <v>0</v>
      </c>
      <c r="AL114" s="1298"/>
      <c r="AM114" s="1298"/>
      <c r="AN114" s="1454">
        <f t="shared" si="151"/>
        <v>494007</v>
      </c>
      <c r="AO114" s="1296">
        <f>SUM('3 pr-2'!AB116)</f>
        <v>0</v>
      </c>
      <c r="AP114" s="1426">
        <v>0</v>
      </c>
    </row>
    <row r="115" spans="1:43" ht="36.75" x14ac:dyDescent="0.25">
      <c r="A115" s="644" t="str">
        <f>CONCATENATE('3 pr-2'!A117)</f>
        <v>2.1.1.3.3</v>
      </c>
      <c r="B115" s="657" t="str">
        <f>CONCATENATE('3 pr-2'!B117)</f>
        <v>R01-7705-230000-2133</v>
      </c>
      <c r="C115" s="653" t="str">
        <f>CONCATENATE('ketv. 6 '!C116)</f>
        <v>09.1.3-CPVA-R-705-11-0001</v>
      </c>
      <c r="D115" s="254" t="str">
        <f>CONCATENATE('3 pr-2'!D117)</f>
        <v>Alytaus lopšelio-darželio " Girinukas" ugdymo aplinkos modernizavimas</v>
      </c>
      <c r="E115" s="182" t="str">
        <f>CONCATENATE('3 pr-2'!E117)</f>
        <v>Alytaus miesto savivaldybės administracija</v>
      </c>
      <c r="F115" s="182" t="str">
        <f>CONCATENATE('3 pr-2'!F117)</f>
        <v>Lietuvos Respublikos švietimo ir mokslo ministerija</v>
      </c>
      <c r="G115" s="182" t="str">
        <f>CONCATENATE('3 pr-2'!G117)</f>
        <v>Alytaus m. sav.</v>
      </c>
      <c r="H115" s="182" t="str">
        <f>CONCATENATE('3 pr-2'!H117)</f>
        <v>09.1.3-CPVA-R-705</v>
      </c>
      <c r="I115" s="182" t="str">
        <f>CONCATENATE('3 pr-2'!I117)</f>
        <v>R</v>
      </c>
      <c r="J115" s="182" t="str">
        <f>CONCATENATE('3 pr-2'!J117)</f>
        <v>-</v>
      </c>
      <c r="K115" s="1435">
        <f>SUM('3 pr-2'!L117)</f>
        <v>181986</v>
      </c>
      <c r="L115" s="1426">
        <f t="shared" si="145"/>
        <v>36979</v>
      </c>
      <c r="M115" s="1298"/>
      <c r="N115" s="1298"/>
      <c r="O115" s="1427">
        <f t="shared" si="146"/>
        <v>145007</v>
      </c>
      <c r="P115" s="1435">
        <f>SUM('3 pr-2'!O117)</f>
        <v>13649</v>
      </c>
      <c r="Q115" s="1426">
        <f>SUMIF('mokėjimų ataskaita'!$I$13:$I$600,C115,'mokėjimų ataskaita'!$AU$13:$AU$600)/2</f>
        <v>0</v>
      </c>
      <c r="R115" s="1298"/>
      <c r="S115" s="1298"/>
      <c r="T115" s="1427">
        <f t="shared" si="147"/>
        <v>13649</v>
      </c>
      <c r="U115" s="1435">
        <f>SUM('3 pr-2'!R117)</f>
        <v>13649</v>
      </c>
      <c r="V115" s="1426">
        <f>SUMIF('mokėjimų ataskaita'!$I$13:$I$600,C115,'mokėjimų ataskaita'!$AL$13:$AL$600)/2</f>
        <v>2998.31</v>
      </c>
      <c r="W115" s="1298"/>
      <c r="X115" s="1298"/>
      <c r="Y115" s="1427">
        <f t="shared" si="148"/>
        <v>10650.69</v>
      </c>
      <c r="Z115" s="1435">
        <f>SUM('3 pr-2'!U117)</f>
        <v>0</v>
      </c>
      <c r="AA115" s="1296">
        <f>SUMIF('mokėjimų ataskaita'!$I$13:$I$600,C115,'mokėjimų ataskaita'!$AW$13:$AW$600)/2</f>
        <v>0</v>
      </c>
      <c r="AB115" s="1298"/>
      <c r="AC115" s="1298"/>
      <c r="AD115" s="1427">
        <f t="shared" si="149"/>
        <v>0</v>
      </c>
      <c r="AE115" s="1435">
        <f>SUM('3 pr-2'!X117)</f>
        <v>0</v>
      </c>
      <c r="AF115" s="1296">
        <f>SUMIF('mokėjimų ataskaita'!$I$13:$I$600,C115,'mokėjimų ataskaita'!$AV$13:$AV$600)/2+SUMIF('mokėjimų ataskaita'!$I$13:$I$600,C115,'mokėjimų ataskaita'!$AT$13:$AT$600)/2</f>
        <v>0</v>
      </c>
      <c r="AG115" s="1298"/>
      <c r="AH115" s="1298"/>
      <c r="AI115" s="1427">
        <f t="shared" si="150"/>
        <v>0</v>
      </c>
      <c r="AJ115" s="1435">
        <f>SUM('3 pr-2'!AA117)</f>
        <v>154688</v>
      </c>
      <c r="AK115" s="1426">
        <f>SUMIF('mokėjimų ataskaita'!$I$13:$I$600,C115,'mokėjimų ataskaita'!$AK$13:$AK$600)/2</f>
        <v>33980.69</v>
      </c>
      <c r="AL115" s="1298"/>
      <c r="AM115" s="1298"/>
      <c r="AN115" s="1454">
        <f t="shared" si="151"/>
        <v>120707.31</v>
      </c>
      <c r="AO115" s="1296">
        <f>SUM('3 pr-2'!AB117)</f>
        <v>0</v>
      </c>
      <c r="AP115" s="1426">
        <v>0</v>
      </c>
    </row>
    <row r="116" spans="1:43" ht="48.75" x14ac:dyDescent="0.25">
      <c r="A116" s="644" t="str">
        <f>CONCATENATE('3 pr-2'!A118)</f>
        <v>2.1.1.3.4</v>
      </c>
      <c r="B116" s="657" t="str">
        <f>CONCATENATE('3 pr-2'!B118)</f>
        <v>R01-7705-230000-2134</v>
      </c>
      <c r="C116" s="653" t="str">
        <f>CONCATENATE('ketv. 6 '!C117)</f>
        <v>09.1.3-CPVA-R-705-11-0006</v>
      </c>
      <c r="D116" s="254" t="str">
        <f>CONCATENATE('3 pr-2'!D118)</f>
        <v>Druskininkų sav. Viečiūnų progimnazijos ikimokyklinio ugdymo skyriaus „Linelis“ ugdymo prieinamumo didinimas</v>
      </c>
      <c r="E116" s="182" t="str">
        <f>CONCATENATE('3 pr-2'!E118)</f>
        <v xml:space="preserve">Druskininkų savivaldybės administracija  </v>
      </c>
      <c r="F116" s="182" t="str">
        <f>CONCATENATE('3 pr-2'!F118)</f>
        <v>Lietuvos Respublikos švietimo ir mokslo ministerija</v>
      </c>
      <c r="G116" s="182" t="str">
        <f>CONCATENATE('3 pr-2'!G118)</f>
        <v>Druskininkų sav.</v>
      </c>
      <c r="H116" s="182" t="str">
        <f>CONCATENATE('3 pr-2'!H118)</f>
        <v>09.1.3-CPVA-R-705</v>
      </c>
      <c r="I116" s="182" t="str">
        <f>CONCATENATE('3 pr-2'!I118)</f>
        <v>R</v>
      </c>
      <c r="J116" s="182" t="str">
        <f>CONCATENATE('3 pr-2'!J118)</f>
        <v>-</v>
      </c>
      <c r="K116" s="1435">
        <f>SUM('3 pr-2'!L118)</f>
        <v>176024.68</v>
      </c>
      <c r="L116" s="1426">
        <f t="shared" si="145"/>
        <v>5982</v>
      </c>
      <c r="M116" s="1298"/>
      <c r="N116" s="1298"/>
      <c r="O116" s="1427">
        <f t="shared" si="146"/>
        <v>170042.68</v>
      </c>
      <c r="P116" s="1435">
        <f>SUM('3 pr-2'!O118)</f>
        <v>79091.679999999993</v>
      </c>
      <c r="Q116" s="1426">
        <f>SUMIF('mokėjimų ataskaita'!$I$13:$I$600,C116,'mokėjimų ataskaita'!$AU$13:$AU$600)/2</f>
        <v>2687.84</v>
      </c>
      <c r="R116" s="1298"/>
      <c r="S116" s="1298"/>
      <c r="T116" s="1427">
        <f t="shared" si="147"/>
        <v>76403.839999999997</v>
      </c>
      <c r="U116" s="1435">
        <f>SUM('3 pr-2'!R118)</f>
        <v>7859</v>
      </c>
      <c r="V116" s="1426">
        <f>SUMIF('mokėjimų ataskaita'!$I$13:$I$600,C116,'mokėjimų ataskaita'!$AL$13:$AL$600)/2</f>
        <v>267.08</v>
      </c>
      <c r="W116" s="1298"/>
      <c r="X116" s="1298"/>
      <c r="Y116" s="1427">
        <f t="shared" si="148"/>
        <v>7591.92</v>
      </c>
      <c r="Z116" s="1435">
        <f>SUM('3 pr-2'!U118)</f>
        <v>0</v>
      </c>
      <c r="AA116" s="1296">
        <f>SUMIF('mokėjimų ataskaita'!$I$13:$I$600,C116,'mokėjimų ataskaita'!$AW$13:$AW$600)/2</f>
        <v>0</v>
      </c>
      <c r="AB116" s="1298"/>
      <c r="AC116" s="1298"/>
      <c r="AD116" s="1427">
        <f t="shared" si="149"/>
        <v>0</v>
      </c>
      <c r="AE116" s="1435">
        <f>SUM('3 pr-2'!X118)</f>
        <v>0</v>
      </c>
      <c r="AF116" s="1296">
        <f>SUMIF('mokėjimų ataskaita'!$I$13:$I$600,C116,'mokėjimų ataskaita'!$AV$13:$AV$600)/2+SUMIF('mokėjimų ataskaita'!$I$13:$I$600,C116,'mokėjimų ataskaita'!$AT$13:$AT$600)/2</f>
        <v>0</v>
      </c>
      <c r="AG116" s="1298"/>
      <c r="AH116" s="1298"/>
      <c r="AI116" s="1427">
        <f t="shared" si="150"/>
        <v>0</v>
      </c>
      <c r="AJ116" s="1435">
        <f>SUM('3 pr-2'!AA118)</f>
        <v>89074</v>
      </c>
      <c r="AK116" s="1426">
        <f>SUMIF('mokėjimų ataskaita'!$I$13:$I$600,C116,'mokėjimų ataskaita'!$AK$13:$AK$600)/2</f>
        <v>3027.08</v>
      </c>
      <c r="AL116" s="1298"/>
      <c r="AM116" s="1298"/>
      <c r="AN116" s="1454">
        <f t="shared" si="151"/>
        <v>86046.92</v>
      </c>
      <c r="AO116" s="1296">
        <f>SUM('3 pr-2'!AB118)</f>
        <v>0</v>
      </c>
      <c r="AP116" s="1426">
        <v>0</v>
      </c>
    </row>
    <row r="117" spans="1:43" ht="37.5" thickBot="1" x14ac:dyDescent="0.3">
      <c r="A117" s="644" t="str">
        <f>CONCATENATE('3 pr-2'!A119)</f>
        <v>2.1.1.3.5</v>
      </c>
      <c r="B117" s="657" t="str">
        <f>CONCATENATE('3 pr-2'!B119)</f>
        <v>R01-7705-230000-2135</v>
      </c>
      <c r="C117" s="653" t="str">
        <f>CONCATENATE('ketv. 6 '!C118)</f>
        <v>09.1.3-CPVA-R-705-11-0002</v>
      </c>
      <c r="D117" s="254" t="str">
        <f>CONCATENATE('3 pr-2'!D119)</f>
        <v>Ikimokyklinio ir priešmokyklinio ugdymo įstaigų Lazdijų rajono savivaldybėje modernizavimas</v>
      </c>
      <c r="E117" s="182" t="str">
        <f>CONCATENATE('3 pr-2'!E119)</f>
        <v>Lazdijų rajono savivaldybės administracija</v>
      </c>
      <c r="F117" s="182" t="str">
        <f>CONCATENATE('3 pr-2'!F119)</f>
        <v>Lietuvos Respublikos švietimo ir mokslo ministerija</v>
      </c>
      <c r="G117" s="182" t="str">
        <f>CONCATENATE('3 pr-2'!G119)</f>
        <v>Lazdijų r. sav.</v>
      </c>
      <c r="H117" s="182" t="str">
        <f>CONCATENATE('3 pr-2'!H119)</f>
        <v>09.1.3-CPVA-R-705</v>
      </c>
      <c r="I117" s="182" t="str">
        <f>CONCATENATE('3 pr-2'!I119)</f>
        <v>R</v>
      </c>
      <c r="J117" s="182" t="str">
        <f>CONCATENATE('3 pr-2'!J119)</f>
        <v>-</v>
      </c>
      <c r="K117" s="1435">
        <f>SUM('3 pr-2'!L119)</f>
        <v>133554.21</v>
      </c>
      <c r="L117" s="1426">
        <f t="shared" si="145"/>
        <v>38652.32</v>
      </c>
      <c r="M117" s="1298"/>
      <c r="N117" s="1298"/>
      <c r="O117" s="1427">
        <f t="shared" si="146"/>
        <v>94901.889999999985</v>
      </c>
      <c r="P117" s="1435">
        <f>SUM('3 pr-2'!O119)</f>
        <v>10026.209999999999</v>
      </c>
      <c r="Q117" s="1426">
        <f>SUMIF('mokėjimų ataskaita'!$I$13:$I$600,C117,'mokėjimų ataskaita'!$AU$13:$AU$600)/2</f>
        <v>119.66</v>
      </c>
      <c r="R117" s="1298"/>
      <c r="S117" s="1298"/>
      <c r="T117" s="1427">
        <f t="shared" si="147"/>
        <v>9906.5499999999993</v>
      </c>
      <c r="U117" s="1435">
        <f>SUM('3 pr-2'!R119)</f>
        <v>10016</v>
      </c>
      <c r="V117" s="1426">
        <f>SUMIF('mokėjimų ataskaita'!$I$13:$I$600,C117,'mokėjimų ataskaita'!$AL$13:$AL$600)/2</f>
        <v>3124.34</v>
      </c>
      <c r="W117" s="1298"/>
      <c r="X117" s="1298"/>
      <c r="Y117" s="1427">
        <f t="shared" si="148"/>
        <v>6891.66</v>
      </c>
      <c r="Z117" s="1435">
        <f>SUM('3 pr-2'!U119)</f>
        <v>0</v>
      </c>
      <c r="AA117" s="1296">
        <f>SUMIF('mokėjimų ataskaita'!$I$13:$I$600,C117,'mokėjimų ataskaita'!$AW$13:$AW$600)/2</f>
        <v>0</v>
      </c>
      <c r="AB117" s="1298"/>
      <c r="AC117" s="1298"/>
      <c r="AD117" s="1427">
        <f t="shared" si="149"/>
        <v>0</v>
      </c>
      <c r="AE117" s="1435">
        <f>SUM('3 pr-2'!X119)</f>
        <v>0</v>
      </c>
      <c r="AF117" s="1296">
        <f>SUMIF('mokėjimų ataskaita'!$I$13:$I$600,C117,'mokėjimų ataskaita'!$AV$13:$AV$600)/2+SUMIF('mokėjimų ataskaita'!$I$13:$I$600,C117,'mokėjimų ataskaita'!$AT$13:$AT$600)/2</f>
        <v>0</v>
      </c>
      <c r="AG117" s="1298"/>
      <c r="AH117" s="1298"/>
      <c r="AI117" s="1427">
        <f t="shared" si="150"/>
        <v>0</v>
      </c>
      <c r="AJ117" s="1435">
        <f>SUM('3 pr-2'!AA119)</f>
        <v>113512</v>
      </c>
      <c r="AK117" s="1426">
        <f>SUMIF('mokėjimų ataskaita'!$I$13:$I$600,C117,'mokėjimų ataskaita'!$AK$13:$AK$600)/2</f>
        <v>35408.32</v>
      </c>
      <c r="AL117" s="1298"/>
      <c r="AM117" s="1298"/>
      <c r="AN117" s="1454">
        <f t="shared" si="151"/>
        <v>78103.679999999993</v>
      </c>
      <c r="AO117" s="1296">
        <f>SUM('3 pr-2'!AB119)</f>
        <v>0</v>
      </c>
      <c r="AP117" s="1426">
        <v>0</v>
      </c>
    </row>
    <row r="118" spans="1:43" ht="69.75" customHeight="1" thickBot="1" x14ac:dyDescent="0.3">
      <c r="A118" s="447" t="str">
        <f>CONCATENATE('3 pr-2'!A120)</f>
        <v>2.1.2.</v>
      </c>
      <c r="B118" s="2022" t="str">
        <f>CONCATENATE('3 pr-2'!B120)</f>
        <v>Uždavinys:
Sveikatos netolygumų sumažinimas, gerinant sveikatos priežiūros kokybę ir prieinamumą tikslinėms gyventojų grupėms ir sveiko senėjimo skatinimas</v>
      </c>
      <c r="C118" s="2023"/>
      <c r="D118" s="2023"/>
      <c r="E118" s="2023"/>
      <c r="F118" s="2023"/>
      <c r="G118" s="2023"/>
      <c r="H118" s="2023"/>
      <c r="I118" s="2023"/>
      <c r="J118" s="2024"/>
      <c r="K118" s="1490">
        <f t="shared" ref="K118:AJ118" si="152">SUM(K119+K133+K139)</f>
        <v>2508263.7200000002</v>
      </c>
      <c r="L118" s="1490">
        <f t="shared" si="152"/>
        <v>167815.47</v>
      </c>
      <c r="M118" s="1490">
        <f t="shared" si="152"/>
        <v>0</v>
      </c>
      <c r="N118" s="1490">
        <f t="shared" si="152"/>
        <v>0</v>
      </c>
      <c r="O118" s="1490">
        <f t="shared" si="152"/>
        <v>2340448.25</v>
      </c>
      <c r="P118" s="1490">
        <f t="shared" si="152"/>
        <v>146668.16</v>
      </c>
      <c r="Q118" s="1490">
        <f t="shared" si="152"/>
        <v>0</v>
      </c>
      <c r="R118" s="1490">
        <f t="shared" si="152"/>
        <v>0</v>
      </c>
      <c r="S118" s="1490">
        <f t="shared" si="152"/>
        <v>0</v>
      </c>
      <c r="T118" s="1490">
        <f t="shared" si="152"/>
        <v>146668.16</v>
      </c>
      <c r="U118" s="1490">
        <f t="shared" si="152"/>
        <v>188786.06</v>
      </c>
      <c r="V118" s="1490">
        <f t="shared" si="152"/>
        <v>13606.669999999998</v>
      </c>
      <c r="W118" s="1490">
        <f t="shared" si="152"/>
        <v>0</v>
      </c>
      <c r="X118" s="1490">
        <f t="shared" si="152"/>
        <v>0</v>
      </c>
      <c r="Y118" s="1490">
        <f t="shared" si="152"/>
        <v>175179.39</v>
      </c>
      <c r="Z118" s="1490">
        <f t="shared" si="152"/>
        <v>40158</v>
      </c>
      <c r="AA118" s="1490">
        <f t="shared" si="152"/>
        <v>0</v>
      </c>
      <c r="AB118" s="1490">
        <f t="shared" si="152"/>
        <v>0</v>
      </c>
      <c r="AC118" s="1490">
        <f t="shared" si="152"/>
        <v>0</v>
      </c>
      <c r="AD118" s="1490">
        <f t="shared" si="152"/>
        <v>40158</v>
      </c>
      <c r="AE118" s="1490">
        <f t="shared" si="152"/>
        <v>1299.95</v>
      </c>
      <c r="AF118" s="1490">
        <f t="shared" si="152"/>
        <v>0</v>
      </c>
      <c r="AG118" s="1490">
        <f t="shared" si="152"/>
        <v>0</v>
      </c>
      <c r="AH118" s="1490">
        <f t="shared" si="152"/>
        <v>0</v>
      </c>
      <c r="AI118" s="1490">
        <f t="shared" si="152"/>
        <v>1299.95</v>
      </c>
      <c r="AJ118" s="1490">
        <f t="shared" si="152"/>
        <v>2131351.5500000003</v>
      </c>
      <c r="AK118" s="1490">
        <f>SUM(AK119+AK133+AK139)</f>
        <v>154208.79999999999</v>
      </c>
      <c r="AL118" s="1490">
        <f t="shared" ref="AL118:AP118" si="153">SUM(AL119+AL133+AL139)</f>
        <v>0</v>
      </c>
      <c r="AM118" s="1490">
        <f t="shared" si="153"/>
        <v>0</v>
      </c>
      <c r="AN118" s="1490">
        <f t="shared" si="153"/>
        <v>1977142.75</v>
      </c>
      <c r="AO118" s="1490">
        <f t="shared" si="153"/>
        <v>0</v>
      </c>
      <c r="AP118" s="1490">
        <f t="shared" si="153"/>
        <v>0</v>
      </c>
      <c r="AQ118" s="256">
        <f>SUM(K118-'3 pr-2'!L120)</f>
        <v>0</v>
      </c>
    </row>
    <row r="119" spans="1:43" ht="46.5" customHeight="1" thickBot="1" x14ac:dyDescent="0.3">
      <c r="A119" s="326" t="str">
        <f>CONCATENATE('3 pr-2'!A121)</f>
        <v>2.1.2.1</v>
      </c>
      <c r="B119" s="2025" t="str">
        <f>CONCATENATE('3 pr-2'!B121)</f>
        <v>Priemonė:
Pirminės asmens ir visuomenės sveikatos priežiūros veiklos efektyvumo didinimas gerinant jų infrastruktūrą</v>
      </c>
      <c r="C119" s="2026"/>
      <c r="D119" s="2026"/>
      <c r="E119" s="2026"/>
      <c r="F119" s="2026"/>
      <c r="G119" s="2026"/>
      <c r="H119" s="2026"/>
      <c r="I119" s="2026"/>
      <c r="J119" s="2027"/>
      <c r="K119" s="1293">
        <f>SUM(K120:K132)</f>
        <v>1448066</v>
      </c>
      <c r="L119" s="1293">
        <f t="shared" ref="L119:AP119" si="154">SUM(L120:L132)</f>
        <v>0</v>
      </c>
      <c r="M119" s="1293">
        <f t="shared" si="154"/>
        <v>0</v>
      </c>
      <c r="N119" s="1293">
        <f t="shared" si="154"/>
        <v>0</v>
      </c>
      <c r="O119" s="1293">
        <f t="shared" si="154"/>
        <v>1448066</v>
      </c>
      <c r="P119" s="1293">
        <f t="shared" si="154"/>
        <v>68448</v>
      </c>
      <c r="Q119" s="1293">
        <f t="shared" si="154"/>
        <v>0</v>
      </c>
      <c r="R119" s="1293">
        <f t="shared" si="154"/>
        <v>0</v>
      </c>
      <c r="S119" s="1293">
        <f t="shared" si="154"/>
        <v>0</v>
      </c>
      <c r="T119" s="1293">
        <f t="shared" si="154"/>
        <v>68448</v>
      </c>
      <c r="U119" s="1293">
        <f t="shared" si="154"/>
        <v>108606</v>
      </c>
      <c r="V119" s="1293">
        <f t="shared" si="154"/>
        <v>0</v>
      </c>
      <c r="W119" s="1293">
        <f t="shared" si="154"/>
        <v>0</v>
      </c>
      <c r="X119" s="1293">
        <f t="shared" si="154"/>
        <v>0</v>
      </c>
      <c r="Y119" s="1293">
        <f t="shared" si="154"/>
        <v>108606</v>
      </c>
      <c r="Z119" s="1293">
        <f t="shared" si="154"/>
        <v>40158</v>
      </c>
      <c r="AA119" s="1293">
        <f t="shared" si="154"/>
        <v>0</v>
      </c>
      <c r="AB119" s="1293">
        <f t="shared" si="154"/>
        <v>0</v>
      </c>
      <c r="AC119" s="1293">
        <f t="shared" si="154"/>
        <v>0</v>
      </c>
      <c r="AD119" s="1293">
        <f t="shared" si="154"/>
        <v>40158</v>
      </c>
      <c r="AE119" s="1293">
        <f t="shared" si="154"/>
        <v>0</v>
      </c>
      <c r="AF119" s="1293">
        <f t="shared" si="154"/>
        <v>0</v>
      </c>
      <c r="AG119" s="1293">
        <f t="shared" si="154"/>
        <v>0</v>
      </c>
      <c r="AH119" s="1293">
        <f t="shared" si="154"/>
        <v>0</v>
      </c>
      <c r="AI119" s="1293">
        <f t="shared" si="154"/>
        <v>0</v>
      </c>
      <c r="AJ119" s="1293">
        <f t="shared" si="154"/>
        <v>1230854</v>
      </c>
      <c r="AK119" s="1293">
        <f t="shared" si="154"/>
        <v>0</v>
      </c>
      <c r="AL119" s="1293">
        <f t="shared" si="154"/>
        <v>0</v>
      </c>
      <c r="AM119" s="1293">
        <f t="shared" si="154"/>
        <v>0</v>
      </c>
      <c r="AN119" s="1293">
        <f t="shared" si="154"/>
        <v>1230854</v>
      </c>
      <c r="AO119" s="1293">
        <f t="shared" si="154"/>
        <v>0</v>
      </c>
      <c r="AP119" s="1293">
        <f t="shared" si="154"/>
        <v>0</v>
      </c>
      <c r="AQ119" s="256">
        <f>SUM(K119-'3 pr-2'!L121)</f>
        <v>0</v>
      </c>
    </row>
    <row r="120" spans="1:43" ht="48.75" x14ac:dyDescent="0.25">
      <c r="A120" s="644" t="str">
        <f>CONCATENATE('3 pr-2'!A122)</f>
        <v>2.1.2.1.1</v>
      </c>
      <c r="B120" s="657" t="str">
        <f>CONCATENATE('3 pr-2'!B122)</f>
        <v>R01-6609-274710-2211</v>
      </c>
      <c r="C120" s="653" t="str">
        <f>CONCATENATE('ketv. 6 '!C121)</f>
        <v>-</v>
      </c>
      <c r="D120" s="254" t="str">
        <f>CONCATENATE('3 pr-2'!D122)</f>
        <v xml:space="preserve">Alytaus poliklinikos teikiamų pirminės sveikatos priežiūros paslaugų prieinamumo didinimas ir kokybės gerinimas </v>
      </c>
      <c r="E120" s="182" t="str">
        <f>CONCATENATE('3 pr-2'!E122)</f>
        <v>VšĮ Alytaus poliklinika</v>
      </c>
      <c r="F120" s="182" t="str">
        <f>CONCATENATE('3 pr-2'!F122)</f>
        <v>Lietuvos Respublikos Sveikatos apsaugos ministerija</v>
      </c>
      <c r="G120" s="182" t="str">
        <f>CONCATENATE('3 pr-2'!G122)</f>
        <v>Alytaus m. sav.</v>
      </c>
      <c r="H120" s="182" t="str">
        <f>CONCATENATE('3 pr-2'!H122)</f>
        <v>08.1.3-CPVA-R-609</v>
      </c>
      <c r="I120" s="182" t="str">
        <f>CONCATENATE('3 pr-2'!I122)</f>
        <v>R</v>
      </c>
      <c r="J120" s="182" t="str">
        <f>CONCATENATE('3 pr-2'!J122)</f>
        <v>-</v>
      </c>
      <c r="K120" s="1435">
        <f>SUM('3 pr-2'!L122)</f>
        <v>458183</v>
      </c>
      <c r="L120" s="1296">
        <f t="shared" ref="L120:L132" si="155">SUM(Q120+V120+AA120+AF120+AK120)</f>
        <v>0</v>
      </c>
      <c r="M120" s="1298"/>
      <c r="N120" s="1298"/>
      <c r="O120" s="1427">
        <f t="shared" ref="O120:O127" si="156">SUM(K120-L120)</f>
        <v>458183</v>
      </c>
      <c r="P120" s="1435">
        <f>SUM('3 pr-2'!O122)</f>
        <v>34364</v>
      </c>
      <c r="Q120" s="1296">
        <f>SUMIF('mokėjimų ataskaita'!$I$13:$I$600,C120,'mokėjimų ataskaita'!$AU$13:$AU$600)/2</f>
        <v>0</v>
      </c>
      <c r="R120" s="1298"/>
      <c r="S120" s="1298"/>
      <c r="T120" s="1427">
        <f t="shared" ref="T120:T131" si="157">SUM(P120-Q120)</f>
        <v>34364</v>
      </c>
      <c r="U120" s="1435">
        <f>SUM('3 pr-2'!R122)</f>
        <v>34363</v>
      </c>
      <c r="V120" s="1296">
        <f>SUMIF('mokėjimų ataskaita'!$I$13:$I$600,C120,'mokėjimų ataskaita'!$AL$13:$AL$600)/2</f>
        <v>0</v>
      </c>
      <c r="W120" s="1298"/>
      <c r="X120" s="1298"/>
      <c r="Y120" s="1427">
        <f t="shared" ref="Y120:Y127" si="158">SUM(U120-V120)</f>
        <v>34363</v>
      </c>
      <c r="Z120" s="1435">
        <f>SUM('3 pr-2'!U122)</f>
        <v>0</v>
      </c>
      <c r="AA120" s="1296">
        <f>SUMIF('mokėjimų ataskaita'!$I$13:$I$600,C120,'mokėjimų ataskaita'!$AW$13:$AW$600)/2</f>
        <v>0</v>
      </c>
      <c r="AB120" s="1298"/>
      <c r="AC120" s="1298"/>
      <c r="AD120" s="1427">
        <f t="shared" ref="AD120:AD127" si="159">SUM(Z120-AA120)</f>
        <v>0</v>
      </c>
      <c r="AE120" s="1435">
        <f>SUM('3 pr-2'!X122)</f>
        <v>0</v>
      </c>
      <c r="AF120" s="1296">
        <f>SUMIF('mokėjimų ataskaita'!$I$13:$I$600,C120,'mokėjimų ataskaita'!$AV$13:$AV$600)/2+SUMIF('mokėjimų ataskaita'!$I$13:$I$600,C120,'mokėjimų ataskaita'!$AT$13:$AT$600)/2</f>
        <v>0</v>
      </c>
      <c r="AG120" s="1298"/>
      <c r="AH120" s="1298"/>
      <c r="AI120" s="1427">
        <f t="shared" ref="AI120:AI127" si="160">SUM(AE120-AF120)</f>
        <v>0</v>
      </c>
      <c r="AJ120" s="1435">
        <f>SUM('3 pr-2'!AA122)</f>
        <v>389456</v>
      </c>
      <c r="AK120" s="1296">
        <f>SUMIF('mokėjimų ataskaita'!$I$13:$I$600,C120,'mokėjimų ataskaita'!$AK$13:$AK$600)/2</f>
        <v>0</v>
      </c>
      <c r="AL120" s="1298"/>
      <c r="AM120" s="1298"/>
      <c r="AN120" s="1454">
        <f t="shared" ref="AN120:AN131" si="161">SUM(AJ120-AK120)</f>
        <v>389456</v>
      </c>
      <c r="AO120" s="1296">
        <f>SUM('3 pr-2'!AB122)</f>
        <v>0</v>
      </c>
      <c r="AP120" s="1296">
        <v>0</v>
      </c>
    </row>
    <row r="121" spans="1:43" ht="72.75" x14ac:dyDescent="0.25">
      <c r="A121" s="644" t="str">
        <f>CONCATENATE('3 pr-2'!A123)</f>
        <v>2.1.2.1.2</v>
      </c>
      <c r="B121" s="657" t="str">
        <f>CONCATENATE('3 pr-2'!B123)</f>
        <v>R01-6609-274710-2212</v>
      </c>
      <c r="C121" s="653" t="str">
        <f>CONCATENATE('ketv. 6 '!C122)</f>
        <v>-</v>
      </c>
      <c r="D121" s="254" t="str">
        <f>CONCATENATE('3 pr-2'!D123)</f>
        <v>Sveikatos priežiūros paslaugų modernizavimas bei optimizavimas pirminės sveikatos priežiūros centre</v>
      </c>
      <c r="E121" s="182" t="str">
        <f>CONCATENATE('3 pr-2'!E123)</f>
        <v xml:space="preserve">VšĮ Alytaus miesto savivaldybės pirminės sveikatos priežiūros centras </v>
      </c>
      <c r="F121" s="182" t="str">
        <f>CONCATENATE('3 pr-2'!F123)</f>
        <v>Lietuvos Respublikos Sveikatos apsaugos ministerija</v>
      </c>
      <c r="G121" s="182" t="str">
        <f>CONCATENATE('3 pr-2'!G123)</f>
        <v>Alytaus m. sav.</v>
      </c>
      <c r="H121" s="182" t="str">
        <f>CONCATENATE('3 pr-2'!H123)</f>
        <v>08.1.3-CPVA-R-609</v>
      </c>
      <c r="I121" s="182" t="str">
        <f>CONCATENATE('3 pr-2'!I123)</f>
        <v>R</v>
      </c>
      <c r="J121" s="182" t="str">
        <f>CONCATENATE('3 pr-2'!J123)</f>
        <v>-</v>
      </c>
      <c r="K121" s="1435">
        <f>SUM('3 pr-2'!L123)</f>
        <v>50356</v>
      </c>
      <c r="L121" s="1296">
        <f t="shared" si="155"/>
        <v>0</v>
      </c>
      <c r="M121" s="1298"/>
      <c r="N121" s="1298"/>
      <c r="O121" s="1427">
        <f t="shared" si="156"/>
        <v>50356</v>
      </c>
      <c r="P121" s="1435">
        <f>SUM('3 pr-2'!O123)</f>
        <v>3777</v>
      </c>
      <c r="Q121" s="1296">
        <f>SUMIF('mokėjimų ataskaita'!$I$13:$I$600,C121,'mokėjimų ataskaita'!$AU$13:$AU$600)/2</f>
        <v>0</v>
      </c>
      <c r="R121" s="1298"/>
      <c r="S121" s="1298"/>
      <c r="T121" s="1427">
        <f t="shared" si="157"/>
        <v>3777</v>
      </c>
      <c r="U121" s="1435">
        <f>SUM('3 pr-2'!R123)</f>
        <v>3777</v>
      </c>
      <c r="V121" s="1296">
        <f>SUMIF('mokėjimų ataskaita'!$I$13:$I$600,C121,'mokėjimų ataskaita'!$AL$13:$AL$600)/2</f>
        <v>0</v>
      </c>
      <c r="W121" s="1298"/>
      <c r="X121" s="1298"/>
      <c r="Y121" s="1427">
        <f t="shared" si="158"/>
        <v>3777</v>
      </c>
      <c r="Z121" s="1435">
        <f>SUM('3 pr-2'!U123)</f>
        <v>0</v>
      </c>
      <c r="AA121" s="1296">
        <f>SUMIF('mokėjimų ataskaita'!$I$13:$I$600,C121,'mokėjimų ataskaita'!$AW$13:$AW$600)/2</f>
        <v>0</v>
      </c>
      <c r="AB121" s="1298"/>
      <c r="AC121" s="1298"/>
      <c r="AD121" s="1427">
        <f t="shared" si="159"/>
        <v>0</v>
      </c>
      <c r="AE121" s="1435">
        <f>SUM('3 pr-2'!X123)</f>
        <v>0</v>
      </c>
      <c r="AF121" s="1296">
        <f>SUMIF('mokėjimų ataskaita'!$I$13:$I$600,C121,'mokėjimų ataskaita'!$AV$13:$AV$600)/2+SUMIF('mokėjimų ataskaita'!$I$13:$I$600,C121,'mokėjimų ataskaita'!$AT$13:$AT$600)/2</f>
        <v>0</v>
      </c>
      <c r="AG121" s="1298"/>
      <c r="AH121" s="1298"/>
      <c r="AI121" s="1427">
        <f t="shared" si="160"/>
        <v>0</v>
      </c>
      <c r="AJ121" s="1435">
        <f>SUM('3 pr-2'!AA123)</f>
        <v>42802</v>
      </c>
      <c r="AK121" s="1296">
        <f>SUMIF('mokėjimų ataskaita'!$I$13:$I$600,C121,'mokėjimų ataskaita'!$AK$13:$AK$600)/2</f>
        <v>0</v>
      </c>
      <c r="AL121" s="1298"/>
      <c r="AM121" s="1298"/>
      <c r="AN121" s="1454">
        <f t="shared" si="161"/>
        <v>42802</v>
      </c>
      <c r="AO121" s="1296">
        <f>SUM('3 pr-2'!AB123)</f>
        <v>0</v>
      </c>
      <c r="AP121" s="1296">
        <v>0</v>
      </c>
    </row>
    <row r="122" spans="1:43" ht="60.75" x14ac:dyDescent="0.25">
      <c r="A122" s="644" t="str">
        <f>CONCATENATE('3 pr-2'!A124)</f>
        <v>2.1.2.1.3</v>
      </c>
      <c r="B122" s="657" t="str">
        <f>CONCATENATE('3 pr-2'!B124)</f>
        <v>R01-6609-274700-2213</v>
      </c>
      <c r="C122" s="653" t="str">
        <f>CONCATENATE('ketv. 6 '!C123)</f>
        <v>-</v>
      </c>
      <c r="D122" s="254" t="str">
        <f>CONCATENATE('3 pr-2'!D124)</f>
        <v>UAB „MediCA klinika“ teikiamų pirminės asmens sveikatos priežiūros paslaugų efektyvumo didinimas Alytaus miesto savivaldybėje</v>
      </c>
      <c r="E122" s="182" t="str">
        <f>CONCATENATE('3 pr-2'!E124)</f>
        <v>UAB „MediCA klinika“</v>
      </c>
      <c r="F122" s="182" t="str">
        <f>CONCATENATE('3 pr-2'!F124)</f>
        <v>Lietuvos Respublikos Sveikatos apsaugos ministerija</v>
      </c>
      <c r="G122" s="182" t="str">
        <f>CONCATENATE('3 pr-2'!G124)</f>
        <v>Alytaus m. sav.</v>
      </c>
      <c r="H122" s="182" t="str">
        <f>CONCATENATE('3 pr-2'!H124)</f>
        <v>08.1.3-CPVA-R-609</v>
      </c>
      <c r="I122" s="182" t="str">
        <f>CONCATENATE('3 pr-2'!I124)</f>
        <v>R</v>
      </c>
      <c r="J122" s="182" t="str">
        <f>CONCATENATE('3 pr-2'!J124)</f>
        <v>-</v>
      </c>
      <c r="K122" s="1435">
        <f>SUM('3 pr-2'!L124)</f>
        <v>83468</v>
      </c>
      <c r="L122" s="1296">
        <f t="shared" si="155"/>
        <v>0</v>
      </c>
      <c r="M122" s="1298"/>
      <c r="N122" s="1298"/>
      <c r="O122" s="1427">
        <f t="shared" si="156"/>
        <v>83468</v>
      </c>
      <c r="P122" s="1435">
        <f>SUM('3 pr-2'!O124)</f>
        <v>0</v>
      </c>
      <c r="Q122" s="1296">
        <f>SUMIF('mokėjimų ataskaita'!$I$13:$I$600,C122,'mokėjimų ataskaita'!$AU$13:$AU$600)/2</f>
        <v>0</v>
      </c>
      <c r="R122" s="1298"/>
      <c r="S122" s="1298"/>
      <c r="T122" s="1427">
        <f t="shared" si="157"/>
        <v>0</v>
      </c>
      <c r="U122" s="1435">
        <f>SUM('3 pr-2'!R124)</f>
        <v>6260</v>
      </c>
      <c r="V122" s="1296">
        <f>SUMIF('mokėjimų ataskaita'!$I$13:$I$600,C122,'mokėjimų ataskaita'!$AL$13:$AL$600)/2</f>
        <v>0</v>
      </c>
      <c r="W122" s="1298"/>
      <c r="X122" s="1298"/>
      <c r="Y122" s="1427">
        <f t="shared" si="158"/>
        <v>6260</v>
      </c>
      <c r="Z122" s="1435">
        <f>SUM('3 pr-2'!U124)</f>
        <v>6260</v>
      </c>
      <c r="AA122" s="1296">
        <f>SUMIF('mokėjimų ataskaita'!$I$13:$I$600,C122,'mokėjimų ataskaita'!$AW$13:$AW$600)/2</f>
        <v>0</v>
      </c>
      <c r="AB122" s="1298"/>
      <c r="AC122" s="1298"/>
      <c r="AD122" s="1427">
        <f t="shared" si="159"/>
        <v>6260</v>
      </c>
      <c r="AE122" s="1435">
        <f>SUM('3 pr-2'!X124)</f>
        <v>0</v>
      </c>
      <c r="AF122" s="1296">
        <f>SUMIF('mokėjimų ataskaita'!$I$13:$I$600,C122,'mokėjimų ataskaita'!$AV$13:$AV$600)/2+SUMIF('mokėjimų ataskaita'!$I$13:$I$600,C122,'mokėjimų ataskaita'!$AT$13:$AT$600)/2</f>
        <v>0</v>
      </c>
      <c r="AG122" s="1298"/>
      <c r="AH122" s="1298"/>
      <c r="AI122" s="1427">
        <f t="shared" si="160"/>
        <v>0</v>
      </c>
      <c r="AJ122" s="1435">
        <f>SUM('3 pr-2'!AA124)</f>
        <v>70948</v>
      </c>
      <c r="AK122" s="1296">
        <f>SUMIF('mokėjimų ataskaita'!$I$13:$I$600,C122,'mokėjimų ataskaita'!$AK$13:$AK$600)/2</f>
        <v>0</v>
      </c>
      <c r="AL122" s="1298"/>
      <c r="AM122" s="1298"/>
      <c r="AN122" s="1454">
        <f t="shared" si="161"/>
        <v>70948</v>
      </c>
      <c r="AO122" s="1296">
        <f>SUM('3 pr-2'!AB124)</f>
        <v>0</v>
      </c>
      <c r="AP122" s="1296">
        <v>0</v>
      </c>
    </row>
    <row r="123" spans="1:43" ht="36.75" x14ac:dyDescent="0.25">
      <c r="A123" s="644" t="str">
        <f>CONCATENATE('3 pr-2'!A125)</f>
        <v>2.1.2.1.4</v>
      </c>
      <c r="B123" s="657" t="str">
        <f>CONCATENATE('3 pr-2'!B125)</f>
        <v>R01-6609-274710-2214</v>
      </c>
      <c r="C123" s="653" t="str">
        <f>CONCATENATE('ketv. 6 '!C124)</f>
        <v>-</v>
      </c>
      <c r="D123" s="254" t="str">
        <f>CONCATENATE('3 pr-2'!D125)</f>
        <v>UAB "Pagalba ligoniui" teikiamų paslaugų efektyvumo didinimas</v>
      </c>
      <c r="E123" s="182" t="str">
        <f>CONCATENATE('3 pr-2'!E125)</f>
        <v>UAB „Pagalba ligoniui“, Alytaus filialas</v>
      </c>
      <c r="F123" s="182" t="str">
        <f>CONCATENATE('3 pr-2'!F125)</f>
        <v>Lietuvos Respublikos Sveikatos apsaugos ministerija</v>
      </c>
      <c r="G123" s="182" t="str">
        <f>CONCATENATE('3 pr-2'!G125)</f>
        <v>Alytaus m. sav.</v>
      </c>
      <c r="H123" s="182" t="str">
        <f>CONCATENATE('3 pr-2'!H125)</f>
        <v>08.1.3-CPVA-R-609</v>
      </c>
      <c r="I123" s="182" t="str">
        <f>CONCATENATE('3 pr-2'!I125)</f>
        <v>R</v>
      </c>
      <c r="J123" s="182" t="str">
        <f>CONCATENATE('3 pr-2'!J125)</f>
        <v>-</v>
      </c>
      <c r="K123" s="1435">
        <f>SUM('3 pr-2'!L125)</f>
        <v>44091</v>
      </c>
      <c r="L123" s="1296">
        <f t="shared" si="155"/>
        <v>0</v>
      </c>
      <c r="M123" s="1298"/>
      <c r="N123" s="1298"/>
      <c r="O123" s="1427">
        <f t="shared" si="156"/>
        <v>44091</v>
      </c>
      <c r="P123" s="1435">
        <f>SUM('3 pr-2'!O125)</f>
        <v>0</v>
      </c>
      <c r="Q123" s="1296">
        <f>SUMIF('mokėjimų ataskaita'!$I$13:$I$600,C123,'mokėjimų ataskaita'!$AU$13:$AU$600)/2</f>
        <v>0</v>
      </c>
      <c r="R123" s="1298"/>
      <c r="S123" s="1298"/>
      <c r="T123" s="1427">
        <f t="shared" si="157"/>
        <v>0</v>
      </c>
      <c r="U123" s="1435">
        <f>SUM('3 pr-2'!R125)</f>
        <v>3307</v>
      </c>
      <c r="V123" s="1296">
        <f>SUMIF('mokėjimų ataskaita'!$I$13:$I$600,C123,'mokėjimų ataskaita'!$AL$13:$AL$600)/2</f>
        <v>0</v>
      </c>
      <c r="W123" s="1298"/>
      <c r="X123" s="1298"/>
      <c r="Y123" s="1427">
        <f t="shared" si="158"/>
        <v>3307</v>
      </c>
      <c r="Z123" s="1435">
        <f>SUM('3 pr-2'!U125)</f>
        <v>3306</v>
      </c>
      <c r="AA123" s="1296">
        <f>SUMIF('mokėjimų ataskaita'!$I$13:$I$600,C123,'mokėjimų ataskaita'!$AW$13:$AW$600)/2</f>
        <v>0</v>
      </c>
      <c r="AB123" s="1298"/>
      <c r="AC123" s="1298"/>
      <c r="AD123" s="1427">
        <f t="shared" si="159"/>
        <v>3306</v>
      </c>
      <c r="AE123" s="1435">
        <f>SUM('3 pr-2'!X125)</f>
        <v>0</v>
      </c>
      <c r="AF123" s="1296">
        <f>SUMIF('mokėjimų ataskaita'!$I$13:$I$600,C123,'mokėjimų ataskaita'!$AV$13:$AV$600)/2+SUMIF('mokėjimų ataskaita'!$I$13:$I$600,C123,'mokėjimų ataskaita'!$AT$13:$AT$600)/2</f>
        <v>0</v>
      </c>
      <c r="AG123" s="1298"/>
      <c r="AH123" s="1298"/>
      <c r="AI123" s="1427">
        <f t="shared" si="160"/>
        <v>0</v>
      </c>
      <c r="AJ123" s="1435">
        <f>SUM('3 pr-2'!AA125)</f>
        <v>37478</v>
      </c>
      <c r="AK123" s="1296">
        <f>SUMIF('mokėjimų ataskaita'!$I$13:$I$600,C123,'mokėjimų ataskaita'!$AK$13:$AK$600)/2</f>
        <v>0</v>
      </c>
      <c r="AL123" s="1298"/>
      <c r="AM123" s="1298"/>
      <c r="AN123" s="1454">
        <f t="shared" si="161"/>
        <v>37478</v>
      </c>
      <c r="AO123" s="1296">
        <f>SUM('3 pr-2'!AB125)</f>
        <v>0</v>
      </c>
      <c r="AP123" s="1296">
        <v>0</v>
      </c>
    </row>
    <row r="124" spans="1:43" ht="72.75" x14ac:dyDescent="0.25">
      <c r="A124" s="644" t="str">
        <f>CONCATENATE('3 pr-2'!A126)</f>
        <v>2.1.2.1.5</v>
      </c>
      <c r="B124" s="657" t="str">
        <f>CONCATENATE('3 pr-2'!B126)</f>
        <v>R01-6609-274710-2215</v>
      </c>
      <c r="C124" s="653" t="str">
        <f>CONCATENATE('ketv. 6 '!C125)</f>
        <v>-</v>
      </c>
      <c r="D124" s="254" t="str">
        <f>CONCATENATE('3 pr-2'!D126)</f>
        <v>Pirminės asmens sveikatos priežiūros veiklos efektyvumo didinimas Alytaus rajono savivaldybėje</v>
      </c>
      <c r="E124" s="182" t="str">
        <f>CONCATENATE('3 pr-2'!E126)</f>
        <v>VšĮ Alytaus rajono savivaldybės pirminės sveikatos priežiūros centras</v>
      </c>
      <c r="F124" s="182" t="str">
        <f>CONCATENATE('3 pr-2'!F126)</f>
        <v>Lietuvos Respublikos Sveikatos apsaugos ministerija</v>
      </c>
      <c r="G124" s="182" t="str">
        <f>CONCATENATE('3 pr-2'!G126)</f>
        <v>Alytaus r. sav.</v>
      </c>
      <c r="H124" s="182" t="str">
        <f>CONCATENATE('3 pr-2'!H126)</f>
        <v>08.1.3-CPVA-R-609</v>
      </c>
      <c r="I124" s="182" t="str">
        <f>CONCATENATE('3 pr-2'!I126)</f>
        <v>R</v>
      </c>
      <c r="J124" s="182" t="str">
        <f>CONCATENATE('3 pr-2'!J126)</f>
        <v>-</v>
      </c>
      <c r="K124" s="1435">
        <f>SUM('3 pr-2'!L126)</f>
        <v>171636</v>
      </c>
      <c r="L124" s="1296">
        <f t="shared" si="155"/>
        <v>0</v>
      </c>
      <c r="M124" s="1298"/>
      <c r="N124" s="1298"/>
      <c r="O124" s="1427">
        <f t="shared" si="156"/>
        <v>171636</v>
      </c>
      <c r="P124" s="1435">
        <f>SUM('3 pr-2'!O126)</f>
        <v>12873</v>
      </c>
      <c r="Q124" s="1296">
        <f>SUMIF('mokėjimų ataskaita'!$I$13:$I$600,C124,'mokėjimų ataskaita'!$AU$13:$AU$600)/2</f>
        <v>0</v>
      </c>
      <c r="R124" s="1298"/>
      <c r="S124" s="1298"/>
      <c r="T124" s="1427">
        <f t="shared" si="157"/>
        <v>12873</v>
      </c>
      <c r="U124" s="1435">
        <f>SUM('3 pr-2'!R126)</f>
        <v>12873</v>
      </c>
      <c r="V124" s="1296">
        <f>SUMIF('mokėjimų ataskaita'!$I$13:$I$600,C124,'mokėjimų ataskaita'!$AL$13:$AL$600)/2</f>
        <v>0</v>
      </c>
      <c r="W124" s="1298"/>
      <c r="X124" s="1298"/>
      <c r="Y124" s="1427">
        <f t="shared" si="158"/>
        <v>12873</v>
      </c>
      <c r="Z124" s="1435">
        <f>SUM('3 pr-2'!U126)</f>
        <v>0</v>
      </c>
      <c r="AA124" s="1296">
        <f>SUMIF('mokėjimų ataskaita'!$I$13:$I$600,C124,'mokėjimų ataskaita'!$AW$13:$AW$600)/2</f>
        <v>0</v>
      </c>
      <c r="AB124" s="1298"/>
      <c r="AC124" s="1298"/>
      <c r="AD124" s="1427">
        <f t="shared" si="159"/>
        <v>0</v>
      </c>
      <c r="AE124" s="1435">
        <f>SUM('3 pr-2'!X126)</f>
        <v>0</v>
      </c>
      <c r="AF124" s="1296">
        <f>SUMIF('mokėjimų ataskaita'!$I$13:$I$600,C124,'mokėjimų ataskaita'!$AV$13:$AV$600)/2+SUMIF('mokėjimų ataskaita'!$I$13:$I$600,C124,'mokėjimų ataskaita'!$AT$13:$AT$600)/2</f>
        <v>0</v>
      </c>
      <c r="AG124" s="1298"/>
      <c r="AH124" s="1298"/>
      <c r="AI124" s="1427">
        <f t="shared" si="160"/>
        <v>0</v>
      </c>
      <c r="AJ124" s="1435">
        <f>SUM('3 pr-2'!AA126)</f>
        <v>145890</v>
      </c>
      <c r="AK124" s="1296">
        <f>SUMIF('mokėjimų ataskaita'!$I$13:$I$600,C124,'mokėjimų ataskaita'!$AK$13:$AK$600)/2</f>
        <v>0</v>
      </c>
      <c r="AL124" s="1298"/>
      <c r="AM124" s="1298"/>
      <c r="AN124" s="1454">
        <f t="shared" si="161"/>
        <v>145890</v>
      </c>
      <c r="AO124" s="1296">
        <f>SUM('3 pr-2'!AB126)</f>
        <v>0</v>
      </c>
      <c r="AP124" s="1296">
        <v>0</v>
      </c>
    </row>
    <row r="125" spans="1:43" ht="36.75" x14ac:dyDescent="0.25">
      <c r="A125" s="644" t="str">
        <f>CONCATENATE('3 pr-2'!A127)</f>
        <v>2.1.2.1.6</v>
      </c>
      <c r="B125" s="657" t="str">
        <f>CONCATENATE('3 pr-2'!B127)</f>
        <v>R01-6609-471000-2216</v>
      </c>
      <c r="C125" s="653" t="str">
        <f>CONCATENATE('ketv. 6 '!C126)</f>
        <v>-</v>
      </c>
      <c r="D125" s="254" t="str">
        <f>CONCATENATE('3 pr-2'!D127)</f>
        <v>Sveikatos priežiūros paslaugų gerinimas "UAB "Disolis"</v>
      </c>
      <c r="E125" s="182" t="str">
        <f>CONCATENATE('3 pr-2'!E127)</f>
        <v>UAB „Disolis“</v>
      </c>
      <c r="F125" s="182" t="str">
        <f>CONCATENATE('3 pr-2'!F127)</f>
        <v>Lietuvos Respublikos Sveikatos apsaugos ministerija</v>
      </c>
      <c r="G125" s="182" t="str">
        <f>CONCATENATE('3 pr-2'!G127)</f>
        <v>Alytaus r. sav.</v>
      </c>
      <c r="H125" s="182" t="str">
        <f>CONCATENATE('3 pr-2'!H127)</f>
        <v>08.1.3-CPVA-R-609</v>
      </c>
      <c r="I125" s="182" t="str">
        <f>CONCATENATE('3 pr-2'!I127)</f>
        <v>R</v>
      </c>
      <c r="J125" s="182" t="str">
        <f>CONCATENATE('3 pr-2'!J127)</f>
        <v>-</v>
      </c>
      <c r="K125" s="1435">
        <f>SUM('3 pr-2'!L127)</f>
        <v>17386</v>
      </c>
      <c r="L125" s="1296">
        <f t="shared" si="155"/>
        <v>0</v>
      </c>
      <c r="M125" s="1298"/>
      <c r="N125" s="1298"/>
      <c r="O125" s="1427">
        <f t="shared" si="156"/>
        <v>17386</v>
      </c>
      <c r="P125" s="1435">
        <f>SUM('3 pr-2'!O127)</f>
        <v>0</v>
      </c>
      <c r="Q125" s="1296">
        <f>SUMIF('mokėjimų ataskaita'!$I$13:$I$600,C125,'mokėjimų ataskaita'!$AU$13:$AU$600)/2</f>
        <v>0</v>
      </c>
      <c r="R125" s="1298"/>
      <c r="S125" s="1298"/>
      <c r="T125" s="1427">
        <f t="shared" si="157"/>
        <v>0</v>
      </c>
      <c r="U125" s="1435">
        <f>SUM('3 pr-2'!R127)</f>
        <v>1304</v>
      </c>
      <c r="V125" s="1296">
        <f>SUMIF('mokėjimų ataskaita'!$I$13:$I$600,C125,'mokėjimų ataskaita'!$AL$13:$AL$600)/2</f>
        <v>0</v>
      </c>
      <c r="W125" s="1298"/>
      <c r="X125" s="1298"/>
      <c r="Y125" s="1427">
        <f t="shared" si="158"/>
        <v>1304</v>
      </c>
      <c r="Z125" s="1435">
        <f>SUM('3 pr-2'!U127)</f>
        <v>1304</v>
      </c>
      <c r="AA125" s="1296">
        <f>SUMIF('mokėjimų ataskaita'!$I$13:$I$600,C125,'mokėjimų ataskaita'!$AW$13:$AW$600)/2</f>
        <v>0</v>
      </c>
      <c r="AB125" s="1298"/>
      <c r="AC125" s="1298"/>
      <c r="AD125" s="1427">
        <f t="shared" si="159"/>
        <v>1304</v>
      </c>
      <c r="AE125" s="1435">
        <f>SUM('3 pr-2'!X127)</f>
        <v>0</v>
      </c>
      <c r="AF125" s="1296">
        <f>SUMIF('mokėjimų ataskaita'!$I$13:$I$600,C125,'mokėjimų ataskaita'!$AV$13:$AV$600)/2+SUMIF('mokėjimų ataskaita'!$I$13:$I$600,C125,'mokėjimų ataskaita'!$AT$13:$AT$600)/2</f>
        <v>0</v>
      </c>
      <c r="AG125" s="1298"/>
      <c r="AH125" s="1298"/>
      <c r="AI125" s="1427">
        <f t="shared" si="160"/>
        <v>0</v>
      </c>
      <c r="AJ125" s="1435">
        <f>SUM('3 pr-2'!AA127)</f>
        <v>14778</v>
      </c>
      <c r="AK125" s="1296">
        <f>SUMIF('mokėjimų ataskaita'!$I$13:$I$600,C125,'mokėjimų ataskaita'!$AK$13:$AK$600)/2</f>
        <v>0</v>
      </c>
      <c r="AL125" s="1298"/>
      <c r="AM125" s="1298"/>
      <c r="AN125" s="1454">
        <f t="shared" si="161"/>
        <v>14778</v>
      </c>
      <c r="AO125" s="1296">
        <f>SUM('3 pr-2'!AB127)</f>
        <v>0</v>
      </c>
      <c r="AP125" s="1296">
        <v>0</v>
      </c>
    </row>
    <row r="126" spans="1:43" ht="48.75" x14ac:dyDescent="0.25">
      <c r="A126" s="644" t="str">
        <f>CONCATENATE('3 pr-2'!A128)</f>
        <v>2.1.2.1.7</v>
      </c>
      <c r="B126" s="657" t="str">
        <f>CONCATENATE('3 pr-2'!B128)</f>
        <v>R01-6609-274710-2217</v>
      </c>
      <c r="C126" s="653" t="str">
        <f>CONCATENATE('ketv. 6 '!C127)</f>
        <v>-</v>
      </c>
      <c r="D126" s="254" t="str">
        <f>CONCATENATE('3 pr-2'!D128)</f>
        <v>Pirminės asmens sveikatos priežiūros kokybės ir prieinamumo gerinimas Druskininkų savivaldybėje</v>
      </c>
      <c r="E126" s="182" t="str">
        <f>CONCATENATE('3 pr-2'!E128)</f>
        <v>VšĮ Druskininkų pirminės sveikatos priežiūros centras</v>
      </c>
      <c r="F126" s="182" t="str">
        <f>CONCATENATE('3 pr-2'!F128)</f>
        <v>Lietuvos Respublikos Sveikatos apsaugos ministerija</v>
      </c>
      <c r="G126" s="182" t="str">
        <f>CONCATENATE('3 pr-2'!G128)</f>
        <v>Druskininkų sav.</v>
      </c>
      <c r="H126" s="182" t="str">
        <f>CONCATENATE('3 pr-2'!H128)</f>
        <v>08.1.3-CPVA-R-609</v>
      </c>
      <c r="I126" s="182" t="str">
        <f>CONCATENATE('3 pr-2'!I128)</f>
        <v>R</v>
      </c>
      <c r="J126" s="182" t="str">
        <f>CONCATENATE('3 pr-2'!J128)</f>
        <v>-</v>
      </c>
      <c r="K126" s="1435">
        <f>SUM('3 pr-2'!L128)</f>
        <v>163532</v>
      </c>
      <c r="L126" s="1296">
        <f t="shared" si="155"/>
        <v>0</v>
      </c>
      <c r="M126" s="1298"/>
      <c r="N126" s="1298"/>
      <c r="O126" s="1427">
        <f t="shared" si="156"/>
        <v>163532</v>
      </c>
      <c r="P126" s="1435">
        <f>SUM('3 pr-2'!O128)</f>
        <v>0</v>
      </c>
      <c r="Q126" s="1296">
        <f>SUMIF('mokėjimų ataskaita'!$I$13:$I$600,C126,'mokėjimų ataskaita'!$AU$13:$AU$600)/2</f>
        <v>0</v>
      </c>
      <c r="R126" s="1298"/>
      <c r="S126" s="1298"/>
      <c r="T126" s="1427">
        <f t="shared" si="157"/>
        <v>0</v>
      </c>
      <c r="U126" s="1435">
        <f>SUM('3 pr-2'!R128)</f>
        <v>12265</v>
      </c>
      <c r="V126" s="1296">
        <f>SUMIF('mokėjimų ataskaita'!$I$13:$I$600,C126,'mokėjimų ataskaita'!$AL$13:$AL$600)/2</f>
        <v>0</v>
      </c>
      <c r="W126" s="1298"/>
      <c r="X126" s="1298"/>
      <c r="Y126" s="1427">
        <f t="shared" si="158"/>
        <v>12265</v>
      </c>
      <c r="Z126" s="1435">
        <f>SUM('3 pr-2'!U128)</f>
        <v>12265</v>
      </c>
      <c r="AA126" s="1296">
        <f>SUMIF('mokėjimų ataskaita'!$I$13:$I$600,C126,'mokėjimų ataskaita'!$AW$13:$AW$600)/2</f>
        <v>0</v>
      </c>
      <c r="AB126" s="1298"/>
      <c r="AC126" s="1298"/>
      <c r="AD126" s="1427">
        <f t="shared" si="159"/>
        <v>12265</v>
      </c>
      <c r="AE126" s="1435">
        <f>SUM('3 pr-2'!X128)</f>
        <v>0</v>
      </c>
      <c r="AF126" s="1296">
        <f>SUMIF('mokėjimų ataskaita'!$I$13:$I$600,C126,'mokėjimų ataskaita'!$AV$13:$AV$600)/2+SUMIF('mokėjimų ataskaita'!$I$13:$I$600,C126,'mokėjimų ataskaita'!$AT$13:$AT$600)/2</f>
        <v>0</v>
      </c>
      <c r="AG126" s="1298"/>
      <c r="AH126" s="1298"/>
      <c r="AI126" s="1427">
        <f t="shared" si="160"/>
        <v>0</v>
      </c>
      <c r="AJ126" s="1435">
        <f>SUM('3 pr-2'!AA128)</f>
        <v>139002</v>
      </c>
      <c r="AK126" s="1296">
        <f>SUMIF('mokėjimų ataskaita'!$I$13:$I$600,C126,'mokėjimų ataskaita'!$AK$13:$AK$600)/2</f>
        <v>0</v>
      </c>
      <c r="AL126" s="1298"/>
      <c r="AM126" s="1298"/>
      <c r="AN126" s="1454">
        <f t="shared" si="161"/>
        <v>139002</v>
      </c>
      <c r="AO126" s="1296">
        <f>SUM('3 pr-2'!AB128)</f>
        <v>0</v>
      </c>
      <c r="AP126" s="1296">
        <v>0</v>
      </c>
    </row>
    <row r="127" spans="1:43" ht="48.75" x14ac:dyDescent="0.25">
      <c r="A127" s="644" t="str">
        <f>CONCATENATE('3 pr-2'!A129)</f>
        <v>2.1.2.1.8</v>
      </c>
      <c r="B127" s="657" t="str">
        <f>CONCATENATE('3 pr-2'!B129)</f>
        <v>R01-6609-104700-2218</v>
      </c>
      <c r="C127" s="653" t="str">
        <f>CONCATENATE('ketv. 6 '!C128)</f>
        <v>-</v>
      </c>
      <c r="D127" s="254" t="str">
        <f>CONCATENATE('3 pr-2'!D129)</f>
        <v>UAB "Druskininkų šeimos klinika" asmens sveikatos priežiūros paslaugų prieinamumo ir efektyvumo didinimas</v>
      </c>
      <c r="E127" s="182" t="str">
        <f>CONCATENATE('3 pr-2'!E129)</f>
        <v>UAB „Druskininkų šeimos klinika“</v>
      </c>
      <c r="F127" s="182" t="str">
        <f>CONCATENATE('3 pr-2'!F129)</f>
        <v>Lietuvos Respublikos Sveikatos apsaugos ministerija</v>
      </c>
      <c r="G127" s="182" t="str">
        <f>CONCATENATE('3 pr-2'!G129)</f>
        <v>Druskininkų sav.</v>
      </c>
      <c r="H127" s="182" t="str">
        <f>CONCATENATE('3 pr-2'!H129)</f>
        <v>08.1.3-CPVA-R-609</v>
      </c>
      <c r="I127" s="182" t="str">
        <f>CONCATENATE('3 pr-2'!I129)</f>
        <v>R</v>
      </c>
      <c r="J127" s="182" t="str">
        <f>CONCATENATE('3 pr-2'!J129)</f>
        <v>-</v>
      </c>
      <c r="K127" s="1435">
        <f>SUM('3 pr-2'!L129)</f>
        <v>12289</v>
      </c>
      <c r="L127" s="1296">
        <f t="shared" si="155"/>
        <v>0</v>
      </c>
      <c r="M127" s="1298"/>
      <c r="N127" s="1298"/>
      <c r="O127" s="1427">
        <f t="shared" si="156"/>
        <v>12289</v>
      </c>
      <c r="P127" s="1435">
        <f>SUM('3 pr-2'!O129)</f>
        <v>0</v>
      </c>
      <c r="Q127" s="1296">
        <f>SUMIF('mokėjimų ataskaita'!$I$13:$I$600,C127,'mokėjimų ataskaita'!$AU$13:$AU$600)/2</f>
        <v>0</v>
      </c>
      <c r="R127" s="1298"/>
      <c r="S127" s="1298"/>
      <c r="T127" s="1427">
        <f t="shared" si="157"/>
        <v>0</v>
      </c>
      <c r="U127" s="1435">
        <f>SUM('3 pr-2'!R129)</f>
        <v>922</v>
      </c>
      <c r="V127" s="1296">
        <f>SUMIF('mokėjimų ataskaita'!$I$13:$I$600,C127,'mokėjimų ataskaita'!$AL$13:$AL$600)/2</f>
        <v>0</v>
      </c>
      <c r="W127" s="1298"/>
      <c r="X127" s="1298"/>
      <c r="Y127" s="1427">
        <f t="shared" si="158"/>
        <v>922</v>
      </c>
      <c r="Z127" s="1435">
        <f>SUM('3 pr-2'!U129)</f>
        <v>922</v>
      </c>
      <c r="AA127" s="1296">
        <f>SUMIF('mokėjimų ataskaita'!$I$13:$I$600,C127,'mokėjimų ataskaita'!$AW$13:$AW$600)/2</f>
        <v>0</v>
      </c>
      <c r="AB127" s="1298"/>
      <c r="AC127" s="1298"/>
      <c r="AD127" s="1427">
        <f t="shared" si="159"/>
        <v>922</v>
      </c>
      <c r="AE127" s="1435">
        <f>SUM('3 pr-2'!X129)</f>
        <v>0</v>
      </c>
      <c r="AF127" s="1296">
        <f>SUMIF('mokėjimų ataskaita'!$I$13:$I$600,C127,'mokėjimų ataskaita'!$AV$13:$AV$600)/2+SUMIF('mokėjimų ataskaita'!$I$13:$I$600,C127,'mokėjimų ataskaita'!$AT$13:$AT$600)/2</f>
        <v>0</v>
      </c>
      <c r="AG127" s="1298"/>
      <c r="AH127" s="1298"/>
      <c r="AI127" s="1427">
        <f t="shared" si="160"/>
        <v>0</v>
      </c>
      <c r="AJ127" s="1435">
        <f>SUM('3 pr-2'!AA129)</f>
        <v>10445</v>
      </c>
      <c r="AK127" s="1296">
        <f>SUMIF('mokėjimų ataskaita'!$I$13:$I$600,C127,'mokėjimų ataskaita'!$AK$13:$AK$600)/2</f>
        <v>0</v>
      </c>
      <c r="AL127" s="1298"/>
      <c r="AM127" s="1298"/>
      <c r="AN127" s="1454">
        <f t="shared" si="161"/>
        <v>10445</v>
      </c>
      <c r="AO127" s="1296">
        <f>SUM('3 pr-2'!AB129)</f>
        <v>0</v>
      </c>
      <c r="AP127" s="1296">
        <v>0</v>
      </c>
    </row>
    <row r="128" spans="1:43" ht="60.75" x14ac:dyDescent="0.25">
      <c r="A128" s="644" t="str">
        <f>CONCATENATE('3 pr-2'!A130)</f>
        <v>2.1.2.1.9</v>
      </c>
      <c r="B128" s="657" t="str">
        <f>CONCATENATE('3 pr-2'!B130)</f>
        <v>R01-6609-274710-2219</v>
      </c>
      <c r="C128" s="653" t="str">
        <f>CONCATENATE('ketv. 6 '!C129)</f>
        <v>-</v>
      </c>
      <c r="D128" s="254" t="str">
        <f>CONCATENATE('3 pr-2'!D130)</f>
        <v>I. S. Kavaliauskienės įmonės teikiamų pirminės ambulatorinės asmens sveikatos priežiūros paslaugų kokybės ir prieinamumo gerinimas.</v>
      </c>
      <c r="E128" s="182" t="str">
        <f>CONCATENATE('3 pr-2'!E130)</f>
        <v>Irenos Stanislavos Kavaliauskienės įmonė</v>
      </c>
      <c r="F128" s="182" t="str">
        <f>CONCATENATE('3 pr-2'!F130)</f>
        <v>Lietuvos Respublikos Sveikatos apsaugos ministerija</v>
      </c>
      <c r="G128" s="182" t="str">
        <f>CONCATENATE('3 pr-2'!G130)</f>
        <v>Druskininkų sav.</v>
      </c>
      <c r="H128" s="182" t="str">
        <f>CONCATENATE('3 pr-2'!H130)</f>
        <v>08.1.3-CPVA-R-609</v>
      </c>
      <c r="I128" s="182" t="str">
        <f>CONCATENATE('3 pr-2'!I130)</f>
        <v>R</v>
      </c>
      <c r="J128" s="182" t="str">
        <f>CONCATENATE('3 pr-2'!J130)</f>
        <v>-</v>
      </c>
      <c r="K128" s="1435">
        <f>SUM('3 pr-2'!L130)</f>
        <v>25517</v>
      </c>
      <c r="L128" s="1296">
        <f t="shared" si="155"/>
        <v>0</v>
      </c>
      <c r="M128" s="1298"/>
      <c r="N128" s="1298"/>
      <c r="O128" s="1427">
        <f t="shared" ref="O128:O131" si="162">SUM(K128-L128)</f>
        <v>25517</v>
      </c>
      <c r="P128" s="1435">
        <f>SUM('3 pr-2'!O130)</f>
        <v>0</v>
      </c>
      <c r="Q128" s="1296">
        <f>SUMIF('mokėjimų ataskaita'!$I$13:$I$600,C128,'mokėjimų ataskaita'!$AU$13:$AU$600)/2</f>
        <v>0</v>
      </c>
      <c r="R128" s="1298"/>
      <c r="S128" s="1298"/>
      <c r="T128" s="1427">
        <f t="shared" si="157"/>
        <v>0</v>
      </c>
      <c r="U128" s="1435">
        <f>SUM('3 pr-2'!R130)</f>
        <v>1914</v>
      </c>
      <c r="V128" s="1296">
        <f>SUMIF('mokėjimų ataskaita'!$I$13:$I$600,C128,'mokėjimų ataskaita'!$AL$13:$AL$600)/2</f>
        <v>0</v>
      </c>
      <c r="W128" s="1298"/>
      <c r="X128" s="1298"/>
      <c r="Y128" s="1427">
        <f t="shared" ref="Y128:Y131" si="163">SUM(U128-V128)</f>
        <v>1914</v>
      </c>
      <c r="Z128" s="1435">
        <f>SUM('3 pr-2'!U130)</f>
        <v>1914</v>
      </c>
      <c r="AA128" s="1296">
        <f>SUMIF('mokėjimų ataskaita'!$I$13:$I$600,C128,'mokėjimų ataskaita'!$AW$13:$AW$600)/2</f>
        <v>0</v>
      </c>
      <c r="AB128" s="1298"/>
      <c r="AC128" s="1298"/>
      <c r="AD128" s="1427">
        <f t="shared" ref="AD128:AD131" si="164">SUM(Z128-AA128)</f>
        <v>1914</v>
      </c>
      <c r="AE128" s="1435">
        <f>SUM('3 pr-2'!X130)</f>
        <v>0</v>
      </c>
      <c r="AF128" s="1296">
        <f>SUMIF('mokėjimų ataskaita'!$I$13:$I$600,C128,'mokėjimų ataskaita'!$AV$13:$AV$600)/2+SUMIF('mokėjimų ataskaita'!$I$13:$I$600,C128,'mokėjimų ataskaita'!$AT$13:$AT$600)/2</f>
        <v>0</v>
      </c>
      <c r="AG128" s="1298"/>
      <c r="AH128" s="1298"/>
      <c r="AI128" s="1427">
        <f t="shared" ref="AI128:AI131" si="165">SUM(AE128-AF128)</f>
        <v>0</v>
      </c>
      <c r="AJ128" s="1435">
        <f>SUM('3 pr-2'!AA130)</f>
        <v>21689</v>
      </c>
      <c r="AK128" s="1296">
        <f>SUMIF('mokėjimų ataskaita'!$I$13:$I$600,C128,'mokėjimų ataskaita'!$AK$13:$AK$600)/2</f>
        <v>0</v>
      </c>
      <c r="AL128" s="1298"/>
      <c r="AM128" s="1298"/>
      <c r="AN128" s="1454">
        <f t="shared" si="161"/>
        <v>21689</v>
      </c>
      <c r="AO128" s="1296">
        <f>SUM('3 pr-2'!AB130)</f>
        <v>0</v>
      </c>
      <c r="AP128" s="1296">
        <v>0</v>
      </c>
    </row>
    <row r="129" spans="1:43" ht="60.75" x14ac:dyDescent="0.25">
      <c r="A129" s="644" t="str">
        <f>CONCATENATE('3 pr-2'!A131)</f>
        <v>2.1.2.1.10</v>
      </c>
      <c r="B129" s="657" t="str">
        <f>CONCATENATE('3 pr-2'!B131)</f>
        <v>R01-6609-274710-2220</v>
      </c>
      <c r="C129" s="653" t="str">
        <f>CONCATENATE('ketv. 6 '!C130)</f>
        <v>-</v>
      </c>
      <c r="D129" s="254" t="str">
        <f>CONCATENATE('3 pr-2'!D131)</f>
        <v>Pirminės ambulatorinės asmens sveikatos priežiūros efektyvumo didinimas R.Ambrazaitienės ir L. Puzinovienės šeimos gydytojų kabinetuose</v>
      </c>
      <c r="E129" s="182" t="str">
        <f>CONCATENATE('3 pr-2'!E131)</f>
        <v>UAB „Rasos Ambrazaitienės šeimos gydytojo kabinetas“</v>
      </c>
      <c r="F129" s="182" t="str">
        <f>CONCATENATE('3 pr-2'!F131)</f>
        <v>Lietuvos Respublikos Sveikatos apsaugos ministerija</v>
      </c>
      <c r="G129" s="182" t="str">
        <f>CONCATENATE('3 pr-2'!G131)</f>
        <v>Druskininkų sav.</v>
      </c>
      <c r="H129" s="182" t="str">
        <f>CONCATENATE('3 pr-2'!H131)</f>
        <v>08.1.3-CPVA-R-609</v>
      </c>
      <c r="I129" s="182" t="str">
        <f>CONCATENATE('3 pr-2'!I131)</f>
        <v>R</v>
      </c>
      <c r="J129" s="182" t="str">
        <f>CONCATENATE('3 pr-2'!J131)</f>
        <v>-</v>
      </c>
      <c r="K129" s="1435">
        <f>SUM('3 pr-2'!L131)</f>
        <v>27906</v>
      </c>
      <c r="L129" s="1296">
        <f t="shared" si="155"/>
        <v>0</v>
      </c>
      <c r="M129" s="1298"/>
      <c r="N129" s="1298"/>
      <c r="O129" s="1427">
        <f t="shared" si="162"/>
        <v>27906</v>
      </c>
      <c r="P129" s="1435">
        <f>SUM('3 pr-2'!O131)</f>
        <v>0</v>
      </c>
      <c r="Q129" s="1296">
        <f>SUMIF('mokėjimų ataskaita'!$I$13:$I$600,C129,'mokėjimų ataskaita'!$AU$13:$AU$600)/2</f>
        <v>0</v>
      </c>
      <c r="R129" s="1298"/>
      <c r="S129" s="1298"/>
      <c r="T129" s="1427">
        <f t="shared" si="157"/>
        <v>0</v>
      </c>
      <c r="U129" s="1435">
        <f>SUM('3 pr-2'!R131)</f>
        <v>2093</v>
      </c>
      <c r="V129" s="1296">
        <f>SUMIF('mokėjimų ataskaita'!$I$13:$I$600,C129,'mokėjimų ataskaita'!$AL$13:$AL$600)/2</f>
        <v>0</v>
      </c>
      <c r="W129" s="1298"/>
      <c r="X129" s="1298"/>
      <c r="Y129" s="1427">
        <f t="shared" si="163"/>
        <v>2093</v>
      </c>
      <c r="Z129" s="1435">
        <f>SUM('3 pr-2'!U131)</f>
        <v>2093</v>
      </c>
      <c r="AA129" s="1296">
        <f>SUMIF('mokėjimų ataskaita'!$I$13:$I$600,C129,'mokėjimų ataskaita'!$AW$13:$AW$600)/2</f>
        <v>0</v>
      </c>
      <c r="AB129" s="1298"/>
      <c r="AC129" s="1298"/>
      <c r="AD129" s="1427">
        <f t="shared" si="164"/>
        <v>2093</v>
      </c>
      <c r="AE129" s="1435">
        <f>SUM('3 pr-2'!X131)</f>
        <v>0</v>
      </c>
      <c r="AF129" s="1296">
        <f>SUMIF('mokėjimų ataskaita'!$I$13:$I$600,C129,'mokėjimų ataskaita'!$AV$13:$AV$600)/2+SUMIF('mokėjimų ataskaita'!$I$13:$I$600,C129,'mokėjimų ataskaita'!$AT$13:$AT$600)/2</f>
        <v>0</v>
      </c>
      <c r="AG129" s="1298"/>
      <c r="AH129" s="1298"/>
      <c r="AI129" s="1427">
        <f t="shared" si="165"/>
        <v>0</v>
      </c>
      <c r="AJ129" s="1435">
        <f>SUM('3 pr-2'!AA131)</f>
        <v>23720</v>
      </c>
      <c r="AK129" s="1296">
        <f>SUMIF('mokėjimų ataskaita'!$I$13:$I$600,C129,'mokėjimų ataskaita'!$AK$13:$AK$600)/2</f>
        <v>0</v>
      </c>
      <c r="AL129" s="1298"/>
      <c r="AM129" s="1298"/>
      <c r="AN129" s="1454">
        <f t="shared" si="161"/>
        <v>23720</v>
      </c>
      <c r="AO129" s="1296">
        <f>SUM('3 pr-2'!AB131)</f>
        <v>0</v>
      </c>
      <c r="AP129" s="1296">
        <v>0</v>
      </c>
    </row>
    <row r="130" spans="1:43" ht="48.75" x14ac:dyDescent="0.25">
      <c r="A130" s="644" t="str">
        <f>CONCATENATE('3 pr-2'!A132)</f>
        <v>2.1.2.1.11</v>
      </c>
      <c r="B130" s="657" t="str">
        <f>CONCATENATE('3 pr-2'!B132)</f>
        <v>R01-6609-274700-2221</v>
      </c>
      <c r="C130" s="653" t="str">
        <f>CONCATENATE('ketv. 6 '!C131)</f>
        <v>-</v>
      </c>
      <c r="D130" s="254" t="str">
        <f>CONCATENATE('3 pr-2'!D132)</f>
        <v xml:space="preserve">Pirminės asmens sveikatos priežiūros veiklos efektyvumo didinimas Lazdijų rajono savivaldybėje </v>
      </c>
      <c r="E130" s="182" t="str">
        <f>CONCATENATE('3 pr-2'!E132)</f>
        <v>Lazdijų rajono savivaldybės administracija</v>
      </c>
      <c r="F130" s="182" t="str">
        <f>CONCATENATE('3 pr-2'!F132)</f>
        <v>Lietuvos Respublikos Sveikatos apsaugos ministerija</v>
      </c>
      <c r="G130" s="182" t="str">
        <f>CONCATENATE('3 pr-2'!G132)</f>
        <v>Lazdijų r. sav.</v>
      </c>
      <c r="H130" s="182" t="str">
        <f>CONCATENATE('3 pr-2'!H132)</f>
        <v>08.1.3-CPVA-R-609</v>
      </c>
      <c r="I130" s="182" t="str">
        <f>CONCATENATE('3 pr-2'!I132)</f>
        <v>R</v>
      </c>
      <c r="J130" s="182" t="str">
        <f>CONCATENATE('3 pr-2'!J132)</f>
        <v>-</v>
      </c>
      <c r="K130" s="1435">
        <f>SUM('3 pr-2'!L132)</f>
        <v>192719</v>
      </c>
      <c r="L130" s="1296">
        <f t="shared" si="155"/>
        <v>0</v>
      </c>
      <c r="M130" s="1298"/>
      <c r="N130" s="1298"/>
      <c r="O130" s="1427">
        <f t="shared" si="162"/>
        <v>192719</v>
      </c>
      <c r="P130" s="1435">
        <f>SUM('3 pr-2'!O132)</f>
        <v>2983</v>
      </c>
      <c r="Q130" s="1296">
        <f>SUMIF('mokėjimų ataskaita'!$I$13:$I$600,C130,'mokėjimų ataskaita'!$AU$13:$AU$600)/2</f>
        <v>0</v>
      </c>
      <c r="R130" s="1298"/>
      <c r="S130" s="1298"/>
      <c r="T130" s="1427">
        <f t="shared" si="157"/>
        <v>2983</v>
      </c>
      <c r="U130" s="1435">
        <f>SUM('3 pr-2'!R132)</f>
        <v>14454</v>
      </c>
      <c r="V130" s="1296">
        <f>SUMIF('mokėjimų ataskaita'!$I$13:$I$600,C130,'mokėjimų ataskaita'!$AL$13:$AL$600)/2</f>
        <v>0</v>
      </c>
      <c r="W130" s="1298"/>
      <c r="X130" s="1298"/>
      <c r="Y130" s="1427">
        <f t="shared" si="163"/>
        <v>14454</v>
      </c>
      <c r="Z130" s="1435">
        <f>SUM('3 pr-2'!U132)</f>
        <v>11471</v>
      </c>
      <c r="AA130" s="1296">
        <f>SUMIF('mokėjimų ataskaita'!$I$13:$I$600,C130,'mokėjimų ataskaita'!$AW$13:$AW$600)/2</f>
        <v>0</v>
      </c>
      <c r="AB130" s="1298"/>
      <c r="AC130" s="1298"/>
      <c r="AD130" s="1427">
        <f t="shared" si="164"/>
        <v>11471</v>
      </c>
      <c r="AE130" s="1435">
        <f>SUM('3 pr-2'!X132)</f>
        <v>0</v>
      </c>
      <c r="AF130" s="1296">
        <f>SUMIF('mokėjimų ataskaita'!$I$13:$I$600,C130,'mokėjimų ataskaita'!$AV$13:$AV$600)/2+SUMIF('mokėjimų ataskaita'!$I$13:$I$600,C130,'mokėjimų ataskaita'!$AT$13:$AT$600)/2</f>
        <v>0</v>
      </c>
      <c r="AG130" s="1298"/>
      <c r="AH130" s="1298"/>
      <c r="AI130" s="1427">
        <f t="shared" si="165"/>
        <v>0</v>
      </c>
      <c r="AJ130" s="1435">
        <f>SUM('3 pr-2'!AA132)</f>
        <v>163811</v>
      </c>
      <c r="AK130" s="1296">
        <f>SUMIF('mokėjimų ataskaita'!$I$13:$I$600,C130,'mokėjimų ataskaita'!$AK$13:$AK$600)/2</f>
        <v>0</v>
      </c>
      <c r="AL130" s="1298"/>
      <c r="AM130" s="1298"/>
      <c r="AN130" s="1454">
        <f t="shared" si="161"/>
        <v>163811</v>
      </c>
      <c r="AO130" s="1296">
        <f>SUM('3 pr-2'!AB132)</f>
        <v>0</v>
      </c>
      <c r="AP130" s="1296">
        <v>0</v>
      </c>
    </row>
    <row r="131" spans="1:43" ht="48.75" x14ac:dyDescent="0.25">
      <c r="A131" s="644" t="str">
        <f>CONCATENATE('3 pr-2'!A133)</f>
        <v>2.1.2.1.12</v>
      </c>
      <c r="B131" s="657" t="str">
        <f>CONCATENATE('3 pr-2'!B133)</f>
        <v>R01-6609-274710-2222</v>
      </c>
      <c r="C131" s="653" t="str">
        <f>CONCATENATE('ketv. 6 '!C132)</f>
        <v>-</v>
      </c>
      <c r="D131" s="254" t="str">
        <f>CONCATENATE('3 pr-2'!D133)</f>
        <v>Pirminės asmens sveikatos priežiūros veiklos efektyvumo didinimas Varėnos rajono savivaldybėje</v>
      </c>
      <c r="E131" s="182" t="str">
        <f>CONCATENATE('3 pr-2'!E133)</f>
        <v>VšĮ Varėnos pirminės sveikatos priežiūros centras</v>
      </c>
      <c r="F131" s="182" t="str">
        <f>CONCATENATE('3 pr-2'!F133)</f>
        <v>Lietuvos Respublikos Sveikatos apsaugos ministerija</v>
      </c>
      <c r="G131" s="182" t="str">
        <f>CONCATENATE('3 pr-2'!G133)</f>
        <v>Varėnos r. sav.</v>
      </c>
      <c r="H131" s="182" t="str">
        <f>CONCATENATE('3 pr-2'!H133)</f>
        <v>08.1.3-CPVA-R-609</v>
      </c>
      <c r="I131" s="182" t="str">
        <f>CONCATENATE('3 pr-2'!I133)</f>
        <v>R</v>
      </c>
      <c r="J131" s="182" t="str">
        <f>CONCATENATE('3 pr-2'!J133)</f>
        <v>-</v>
      </c>
      <c r="K131" s="1435">
        <f>SUM('3 pr-2'!L133)</f>
        <v>192678</v>
      </c>
      <c r="L131" s="1296">
        <f t="shared" si="155"/>
        <v>0</v>
      </c>
      <c r="M131" s="1298"/>
      <c r="N131" s="1298"/>
      <c r="O131" s="1427">
        <f t="shared" si="162"/>
        <v>192678</v>
      </c>
      <c r="P131" s="1435">
        <f>SUM('3 pr-2'!O133)</f>
        <v>14451</v>
      </c>
      <c r="Q131" s="1296">
        <f>SUMIF('mokėjimų ataskaita'!$I$13:$I$600,C131,'mokėjimų ataskaita'!$AU$13:$AU$600)/2</f>
        <v>0</v>
      </c>
      <c r="R131" s="1298"/>
      <c r="S131" s="1298"/>
      <c r="T131" s="1427">
        <f t="shared" si="157"/>
        <v>14451</v>
      </c>
      <c r="U131" s="1435">
        <f>SUM('3 pr-2'!R133)</f>
        <v>14451</v>
      </c>
      <c r="V131" s="1296">
        <f>SUMIF('mokėjimų ataskaita'!$I$13:$I$600,C131,'mokėjimų ataskaita'!$AL$13:$AL$600)/2</f>
        <v>0</v>
      </c>
      <c r="W131" s="1298"/>
      <c r="X131" s="1298"/>
      <c r="Y131" s="1427">
        <f t="shared" si="163"/>
        <v>14451</v>
      </c>
      <c r="Z131" s="1435">
        <f>SUM('3 pr-2'!U133)</f>
        <v>0</v>
      </c>
      <c r="AA131" s="1296">
        <f>SUMIF('mokėjimų ataskaita'!$I$13:$I$600,C131,'mokėjimų ataskaita'!$AW$13:$AW$600)/2</f>
        <v>0</v>
      </c>
      <c r="AB131" s="1298"/>
      <c r="AC131" s="1298"/>
      <c r="AD131" s="1427">
        <f t="shared" si="164"/>
        <v>0</v>
      </c>
      <c r="AE131" s="1435">
        <f>SUM('3 pr-2'!X133)</f>
        <v>0</v>
      </c>
      <c r="AF131" s="1296">
        <f>SUMIF('mokėjimų ataskaita'!$I$13:$I$600,C131,'mokėjimų ataskaita'!$AV$13:$AV$600)/2+SUMIF('mokėjimų ataskaita'!$I$13:$I$600,C131,'mokėjimų ataskaita'!$AT$13:$AT$600)/2</f>
        <v>0</v>
      </c>
      <c r="AG131" s="1298"/>
      <c r="AH131" s="1298"/>
      <c r="AI131" s="1427">
        <f t="shared" si="165"/>
        <v>0</v>
      </c>
      <c r="AJ131" s="1435">
        <f>SUM('3 pr-2'!AA133)</f>
        <v>163776</v>
      </c>
      <c r="AK131" s="1296">
        <f>SUMIF('mokėjimų ataskaita'!$I$13:$I$600,C131,'mokėjimų ataskaita'!$AK$13:$AK$600)/2</f>
        <v>0</v>
      </c>
      <c r="AL131" s="1298"/>
      <c r="AM131" s="1298"/>
      <c r="AN131" s="1454">
        <f t="shared" si="161"/>
        <v>163776</v>
      </c>
      <c r="AO131" s="1296">
        <f>SUM('3 pr-2'!AB133)</f>
        <v>0</v>
      </c>
      <c r="AP131" s="1296">
        <v>0</v>
      </c>
    </row>
    <row r="132" spans="1:43" ht="49.5" thickBot="1" x14ac:dyDescent="0.3">
      <c r="A132" s="644" t="str">
        <f>CONCATENATE('3 pr-2'!A134)</f>
        <v>2.1.2.1.13</v>
      </c>
      <c r="B132" s="657" t="str">
        <f>CONCATENATE('3 pr-2'!B134)</f>
        <v>R01-6609-470000-2223</v>
      </c>
      <c r="C132" s="653" t="str">
        <f>CONCATENATE('ketv. 6 '!C133)</f>
        <v>-</v>
      </c>
      <c r="D132" s="254" t="str">
        <f>CONCATENATE('3 pr-2'!D134)</f>
        <v>Pirminės asmens sveikatos priežiūros veiklos efektyvumo didinimas N. Jarašienės personalinėje įmonėje</v>
      </c>
      <c r="E132" s="182" t="str">
        <f>CONCATENATE('3 pr-2'!E134)</f>
        <v>N. Jarašienės personalinė įmonė</v>
      </c>
      <c r="F132" s="182" t="str">
        <f>CONCATENATE('3 pr-2'!F134)</f>
        <v>Lietuvos Respublikos Sveikatos apsaugos ministerija</v>
      </c>
      <c r="G132" s="182" t="str">
        <f>CONCATENATE('3 pr-2'!G134)</f>
        <v>Varėnos r. sav.</v>
      </c>
      <c r="H132" s="182" t="str">
        <f>CONCATENATE('3 pr-2'!H134)</f>
        <v>08.1.3-CPVA-R-609</v>
      </c>
      <c r="I132" s="182" t="str">
        <f>CONCATENATE('3 pr-2'!I134)</f>
        <v>R</v>
      </c>
      <c r="J132" s="182" t="str">
        <f>CONCATENATE('3 pr-2'!J134)</f>
        <v>-</v>
      </c>
      <c r="K132" s="1435">
        <f>SUM('3 pr-2'!L134)</f>
        <v>8305</v>
      </c>
      <c r="L132" s="1296">
        <f t="shared" si="155"/>
        <v>0</v>
      </c>
      <c r="M132" s="1298"/>
      <c r="N132" s="1298"/>
      <c r="O132" s="1427">
        <f t="shared" ref="O132" si="166">SUM(K132-L132)</f>
        <v>8305</v>
      </c>
      <c r="P132" s="1435">
        <f>SUM('3 pr-2'!O134)</f>
        <v>0</v>
      </c>
      <c r="Q132" s="1296">
        <f>SUMIF('mokėjimų ataskaita'!$I$13:$I$600,C132,'mokėjimų ataskaita'!$AU$13:$AU$600)/2</f>
        <v>0</v>
      </c>
      <c r="R132" s="1298"/>
      <c r="S132" s="1298"/>
      <c r="T132" s="1427">
        <f t="shared" ref="T132" si="167">SUM(P132-Q132)</f>
        <v>0</v>
      </c>
      <c r="U132" s="1435">
        <f>SUM('3 pr-2'!R134)</f>
        <v>623</v>
      </c>
      <c r="V132" s="1296">
        <f>SUMIF('mokėjimų ataskaita'!$I$13:$I$600,C132,'mokėjimų ataskaita'!$AL$13:$AL$600)/2</f>
        <v>0</v>
      </c>
      <c r="W132" s="1298"/>
      <c r="X132" s="1298"/>
      <c r="Y132" s="1427">
        <f t="shared" ref="Y132" si="168">SUM(U132-V132)</f>
        <v>623</v>
      </c>
      <c r="Z132" s="1435">
        <f>SUM('3 pr-2'!U134)</f>
        <v>623</v>
      </c>
      <c r="AA132" s="1296">
        <f>SUMIF('mokėjimų ataskaita'!$I$13:$I$600,C132,'mokėjimų ataskaita'!$AW$13:$AW$600)/2</f>
        <v>0</v>
      </c>
      <c r="AB132" s="1298"/>
      <c r="AC132" s="1298"/>
      <c r="AD132" s="1427">
        <f t="shared" ref="AD132" si="169">SUM(Z132-AA132)</f>
        <v>623</v>
      </c>
      <c r="AE132" s="1435">
        <f>SUM('3 pr-2'!X134)</f>
        <v>0</v>
      </c>
      <c r="AF132" s="1296">
        <f>SUMIF('mokėjimų ataskaita'!$I$13:$I$600,C132,'mokėjimų ataskaita'!$AV$13:$AV$600)/2+SUMIF('mokėjimų ataskaita'!$I$13:$I$600,C132,'mokėjimų ataskaita'!$AT$13:$AT$600)/2</f>
        <v>0</v>
      </c>
      <c r="AG132" s="1298"/>
      <c r="AH132" s="1298"/>
      <c r="AI132" s="1427">
        <f t="shared" ref="AI132" si="170">SUM(AE132-AF132)</f>
        <v>0</v>
      </c>
      <c r="AJ132" s="1435">
        <f>SUM('3 pr-2'!AA134)</f>
        <v>7059</v>
      </c>
      <c r="AK132" s="1296">
        <f>SUMIF('mokėjimų ataskaita'!$I$13:$I$600,C132,'mokėjimų ataskaita'!$AK$13:$AK$600)/2</f>
        <v>0</v>
      </c>
      <c r="AL132" s="1298"/>
      <c r="AM132" s="1298"/>
      <c r="AN132" s="1454">
        <f t="shared" ref="AN132" si="171">SUM(AJ132-AK132)</f>
        <v>7059</v>
      </c>
      <c r="AO132" s="1296">
        <f>SUM('3 pr-2'!AB134)</f>
        <v>0</v>
      </c>
      <c r="AP132" s="1296">
        <v>0</v>
      </c>
    </row>
    <row r="133" spans="1:43" ht="35.25" customHeight="1" thickBot="1" x14ac:dyDescent="0.3">
      <c r="A133" s="326" t="str">
        <f>CONCATENATE('3 pr-2'!A135)</f>
        <v>2.1.2.2</v>
      </c>
      <c r="B133" s="2025" t="str">
        <f>CONCATENATE('3 pr-2'!B135)</f>
        <v>Priemonė:
Sveikos gyvensenos skatinimas regioniniu lygiu</v>
      </c>
      <c r="C133" s="2026"/>
      <c r="D133" s="2026"/>
      <c r="E133" s="2026"/>
      <c r="F133" s="2026"/>
      <c r="G133" s="2026"/>
      <c r="H133" s="2026"/>
      <c r="I133" s="2026"/>
      <c r="J133" s="2027"/>
      <c r="K133" s="1455">
        <f t="shared" ref="K133:AJ133" si="172">SUM(K134:K138)</f>
        <v>994984.5399999998</v>
      </c>
      <c r="L133" s="1455">
        <f t="shared" si="172"/>
        <v>167815.47</v>
      </c>
      <c r="M133" s="1455">
        <f t="shared" si="172"/>
        <v>0</v>
      </c>
      <c r="N133" s="1455">
        <f t="shared" si="172"/>
        <v>0</v>
      </c>
      <c r="O133" s="1455">
        <f t="shared" si="172"/>
        <v>827169.06999999983</v>
      </c>
      <c r="P133" s="1455">
        <f t="shared" si="172"/>
        <v>74624.070000000007</v>
      </c>
      <c r="Q133" s="1455">
        <f t="shared" si="172"/>
        <v>0</v>
      </c>
      <c r="R133" s="1455">
        <f t="shared" si="172"/>
        <v>0</v>
      </c>
      <c r="S133" s="1455">
        <f t="shared" si="172"/>
        <v>0</v>
      </c>
      <c r="T133" s="1455">
        <f t="shared" si="172"/>
        <v>74624.070000000007</v>
      </c>
      <c r="U133" s="1455">
        <f t="shared" si="172"/>
        <v>74623.62</v>
      </c>
      <c r="V133" s="1455">
        <f t="shared" si="172"/>
        <v>13606.669999999998</v>
      </c>
      <c r="W133" s="1455">
        <f t="shared" si="172"/>
        <v>0</v>
      </c>
      <c r="X133" s="1455">
        <f t="shared" si="172"/>
        <v>0</v>
      </c>
      <c r="Y133" s="1455">
        <f t="shared" si="172"/>
        <v>61016.950000000012</v>
      </c>
      <c r="Z133" s="1455">
        <f t="shared" si="172"/>
        <v>0</v>
      </c>
      <c r="AA133" s="1455">
        <f t="shared" si="172"/>
        <v>0</v>
      </c>
      <c r="AB133" s="1455">
        <f t="shared" si="172"/>
        <v>0</v>
      </c>
      <c r="AC133" s="1455">
        <f t="shared" si="172"/>
        <v>0</v>
      </c>
      <c r="AD133" s="1455">
        <f t="shared" si="172"/>
        <v>0</v>
      </c>
      <c r="AE133" s="1455">
        <f t="shared" si="172"/>
        <v>0</v>
      </c>
      <c r="AF133" s="1455">
        <f t="shared" si="172"/>
        <v>0</v>
      </c>
      <c r="AG133" s="1455">
        <f t="shared" si="172"/>
        <v>0</v>
      </c>
      <c r="AH133" s="1455">
        <f t="shared" si="172"/>
        <v>0</v>
      </c>
      <c r="AI133" s="1455">
        <f t="shared" si="172"/>
        <v>0</v>
      </c>
      <c r="AJ133" s="1455">
        <f t="shared" si="172"/>
        <v>845736.85</v>
      </c>
      <c r="AK133" s="1455">
        <f>SUM(AK134:AK138)</f>
        <v>154208.79999999999</v>
      </c>
      <c r="AL133" s="1455">
        <f t="shared" ref="AL133:AP133" si="173">SUM(AL134:AL138)</f>
        <v>0</v>
      </c>
      <c r="AM133" s="1455">
        <f t="shared" si="173"/>
        <v>0</v>
      </c>
      <c r="AN133" s="1455">
        <f t="shared" si="173"/>
        <v>691528.05</v>
      </c>
      <c r="AO133" s="1455">
        <f t="shared" si="173"/>
        <v>0</v>
      </c>
      <c r="AP133" s="1455">
        <f t="shared" si="173"/>
        <v>0</v>
      </c>
      <c r="AQ133" s="256">
        <f>SUM(K133-'3 pr-2'!L135)</f>
        <v>0</v>
      </c>
    </row>
    <row r="134" spans="1:43" ht="48.75" x14ac:dyDescent="0.25">
      <c r="A134" s="644" t="str">
        <f>CONCATENATE('3 pr-2'!A136)</f>
        <v>2.1.2.2.1</v>
      </c>
      <c r="B134" s="657" t="str">
        <f>CONCATENATE('3 pr-2'!B136)</f>
        <v>R01-6630-475000-2221</v>
      </c>
      <c r="C134" s="276" t="str">
        <f>CONCATENATE('ketv. 6 '!C135)</f>
        <v>08.4.2-ESFA-R-630-11-0004</v>
      </c>
      <c r="D134" s="650" t="str">
        <f>CONCATENATE('3 pr-2'!D136)</f>
        <v>Sveikos gyvensenos skatinimas Alytaus rajone</v>
      </c>
      <c r="E134" s="644" t="str">
        <f>CONCATENATE('3 pr-2'!E136)</f>
        <v>Alytaus rajono savivaldybės visuomenės sveikatos biuras</v>
      </c>
      <c r="F134" s="644" t="str">
        <f>CONCATENATE('3 pr-2'!F136)</f>
        <v>Lietuvos Respublikos Sveikatos apsaugos ministerija</v>
      </c>
      <c r="G134" s="644" t="str">
        <f>CONCATENATE('3 pr-2'!G136)</f>
        <v>Alytaus r. sav.</v>
      </c>
      <c r="H134" s="644" t="str">
        <f>CONCATENATE('3 pr-2'!H136)</f>
        <v>08.4.2-ESFA-R-630</v>
      </c>
      <c r="I134" s="644" t="str">
        <f>CONCATENATE('3 pr-2'!I136)</f>
        <v>R</v>
      </c>
      <c r="J134" s="644" t="str">
        <f>CONCATENATE('3 pr-2'!J136)</f>
        <v>-</v>
      </c>
      <c r="K134" s="1435">
        <f>SUM('3 pr-2'!L136)</f>
        <v>198997.18</v>
      </c>
      <c r="L134" s="1431">
        <f t="shared" ref="L134:L138" si="174">SUM(Q134+V134+AA134+AF134+AK134)</f>
        <v>12103.75</v>
      </c>
      <c r="M134" s="1492"/>
      <c r="N134" s="1492"/>
      <c r="O134" s="1461">
        <f t="shared" si="79"/>
        <v>186893.43</v>
      </c>
      <c r="P134" s="1435">
        <f>SUM('3 pr-2'!O136)</f>
        <v>14924.79</v>
      </c>
      <c r="Q134" s="1431">
        <f>SUMIF('mokėjimų ataskaita'!$I$13:$I$600,C134,'mokėjimų ataskaita'!$AU$13:$AU$600)/2</f>
        <v>0</v>
      </c>
      <c r="R134" s="1492"/>
      <c r="S134" s="1492"/>
      <c r="T134" s="1461">
        <f>SUM(P134-Q134)</f>
        <v>14924.79</v>
      </c>
      <c r="U134" s="1435">
        <f>SUM('3 pr-2'!R136)</f>
        <v>14924.79</v>
      </c>
      <c r="V134" s="1431">
        <f>SUMIF('mokėjimų ataskaita'!$I$13:$I$600,C134,'mokėjimų ataskaita'!$AL$13:$AL$600)/2</f>
        <v>981.39</v>
      </c>
      <c r="W134" s="1492"/>
      <c r="X134" s="1492"/>
      <c r="Y134" s="1461">
        <f t="shared" ref="Y134:Y138" si="175">SUM(U134-V134)</f>
        <v>13943.400000000001</v>
      </c>
      <c r="Z134" s="1435">
        <f>SUM('3 pr-2'!U136)</f>
        <v>0</v>
      </c>
      <c r="AA134" s="1460">
        <f>SUMIF('mokėjimų ataskaita'!$I$13:$I$600,C134,'mokėjimų ataskaita'!$AW$13:$AW$600)/2</f>
        <v>0</v>
      </c>
      <c r="AB134" s="1492"/>
      <c r="AC134" s="1492"/>
      <c r="AD134" s="1461">
        <f t="shared" ref="AD134:AD138" si="176">SUM(Z134-AA134)</f>
        <v>0</v>
      </c>
      <c r="AE134" s="1435">
        <f>SUM('3 pr-2'!X136)</f>
        <v>0</v>
      </c>
      <c r="AF134" s="1460">
        <f>SUMIF('mokėjimų ataskaita'!$I$13:$I$600,C134,'mokėjimų ataskaita'!$AV$13:$AV$600)/2+SUMIF('mokėjimų ataskaita'!$I$13:$I$600,C134,'mokėjimų ataskaita'!$AT$13:$AT$600)/2</f>
        <v>0</v>
      </c>
      <c r="AG134" s="1492"/>
      <c r="AH134" s="1492"/>
      <c r="AI134" s="1461">
        <f t="shared" ref="AI134:AI138" si="177">SUM(AE134-AF134)</f>
        <v>0</v>
      </c>
      <c r="AJ134" s="1435">
        <f>SUM('3 pr-2'!AA136)</f>
        <v>169147.6</v>
      </c>
      <c r="AK134" s="1426">
        <f>SUMIF('mokėjimų ataskaita'!$I$13:$I$600,C134,'mokėjimų ataskaita'!$AK$13:$AK$600)/2</f>
        <v>11122.36</v>
      </c>
      <c r="AL134" s="1492"/>
      <c r="AM134" s="1492"/>
      <c r="AN134" s="1454">
        <f>SUM(AJ134-AK134)</f>
        <v>158025.24</v>
      </c>
      <c r="AO134" s="1296">
        <f>SUM('3 pr-2'!AB136)</f>
        <v>0</v>
      </c>
      <c r="AP134" s="1426">
        <v>0</v>
      </c>
    </row>
    <row r="135" spans="1:43" ht="36.75" x14ac:dyDescent="0.25">
      <c r="A135" s="644" t="str">
        <f>CONCATENATE('3 pr-2'!A137)</f>
        <v>2.1.2.2.2</v>
      </c>
      <c r="B135" s="657" t="str">
        <f>CONCATENATE('3 pr-2'!B137)</f>
        <v>R01-6630-470000-2222</v>
      </c>
      <c r="C135" s="276" t="str">
        <f>CONCATENATE('ketv. 6 '!C136)</f>
        <v>08.4.2-ESFA-R-630-11-0001</v>
      </c>
      <c r="D135" s="650" t="str">
        <f>CONCATENATE('3 pr-2'!D137)</f>
        <v>Mažais žingsneliais – sveikos gyvensenos link</v>
      </c>
      <c r="E135" s="644" t="str">
        <f>CONCATENATE('3 pr-2'!E137)</f>
        <v>Alytaus miesto savivaldybės administracija</v>
      </c>
      <c r="F135" s="644" t="str">
        <f>CONCATENATE('3 pr-2'!F137)</f>
        <v>Lietuvos Respublikos Sveikatos apsaugos ministerija</v>
      </c>
      <c r="G135" s="644" t="str">
        <f>CONCATENATE('3 pr-2'!G137)</f>
        <v>Alytaus m. sav.</v>
      </c>
      <c r="H135" s="644" t="str">
        <f>CONCATENATE('3 pr-2'!H137)</f>
        <v>08.4.2-ESFA-R-630</v>
      </c>
      <c r="I135" s="644" t="str">
        <f>CONCATENATE('3 pr-2'!I137)</f>
        <v>R</v>
      </c>
      <c r="J135" s="644" t="str">
        <f>CONCATENATE('3 pr-2'!J137)</f>
        <v>-</v>
      </c>
      <c r="K135" s="1435">
        <f>SUM('3 pr-2'!L137)</f>
        <v>198996</v>
      </c>
      <c r="L135" s="1431">
        <f t="shared" si="174"/>
        <v>45490</v>
      </c>
      <c r="M135" s="1492"/>
      <c r="N135" s="1492"/>
      <c r="O135" s="1461">
        <f t="shared" si="79"/>
        <v>153506</v>
      </c>
      <c r="P135" s="1435">
        <f>SUM('3 pr-2'!O137)</f>
        <v>14924.7</v>
      </c>
      <c r="Q135" s="1431">
        <f>SUMIF('mokėjimų ataskaita'!$I$13:$I$600,C135,'mokėjimų ataskaita'!$AU$13:$AU$600)/2</f>
        <v>0</v>
      </c>
      <c r="R135" s="1492"/>
      <c r="S135" s="1492"/>
      <c r="T135" s="1461">
        <f>SUM(P135-Q135)</f>
        <v>14924.7</v>
      </c>
      <c r="U135" s="1435">
        <f>SUM('3 pr-2'!R137)</f>
        <v>14924.7</v>
      </c>
      <c r="V135" s="1431">
        <f>SUMIF('mokėjimų ataskaita'!$I$13:$I$600,C135,'mokėjimų ataskaita'!$AL$13:$AL$600)/2</f>
        <v>3688.38</v>
      </c>
      <c r="W135" s="1492"/>
      <c r="X135" s="1492"/>
      <c r="Y135" s="1461">
        <f t="shared" si="175"/>
        <v>11236.32</v>
      </c>
      <c r="Z135" s="1435">
        <f>SUM('3 pr-2'!U137)</f>
        <v>0</v>
      </c>
      <c r="AA135" s="1460">
        <f>SUMIF('mokėjimų ataskaita'!$I$13:$I$600,C135,'mokėjimų ataskaita'!$AW$13:$AW$600)/2</f>
        <v>0</v>
      </c>
      <c r="AB135" s="1492"/>
      <c r="AC135" s="1492"/>
      <c r="AD135" s="1461">
        <f t="shared" si="176"/>
        <v>0</v>
      </c>
      <c r="AE135" s="1435">
        <f>SUM('3 pr-2'!X137)</f>
        <v>0</v>
      </c>
      <c r="AF135" s="1460">
        <f>SUMIF('mokėjimų ataskaita'!$I$13:$I$600,C135,'mokėjimų ataskaita'!$AV$13:$AV$600)/2+SUMIF('mokėjimų ataskaita'!$I$13:$I$600,C135,'mokėjimų ataskaita'!$AT$13:$AT$600)/2</f>
        <v>0</v>
      </c>
      <c r="AG135" s="1492"/>
      <c r="AH135" s="1492"/>
      <c r="AI135" s="1461">
        <f t="shared" si="177"/>
        <v>0</v>
      </c>
      <c r="AJ135" s="1435">
        <f>SUM('3 pr-2'!AA137)</f>
        <v>169146.6</v>
      </c>
      <c r="AK135" s="1426">
        <f>SUMIF('mokėjimų ataskaita'!$I$13:$I$600,C135,'mokėjimų ataskaita'!$AK$13:$AK$600)/2</f>
        <v>41801.620000000003</v>
      </c>
      <c r="AL135" s="1492"/>
      <c r="AM135" s="1492"/>
      <c r="AN135" s="1454">
        <f>SUM(AJ135-AK135)</f>
        <v>127344.98000000001</v>
      </c>
      <c r="AO135" s="1296">
        <f>SUM('3 pr-2'!AB137)</f>
        <v>0</v>
      </c>
      <c r="AP135" s="1426">
        <v>0</v>
      </c>
    </row>
    <row r="136" spans="1:43" ht="48.75" x14ac:dyDescent="0.25">
      <c r="A136" s="644" t="str">
        <f>CONCATENATE('3 pr-2'!A138)</f>
        <v>2.1.2.2.3</v>
      </c>
      <c r="B136" s="657" t="str">
        <f>CONCATENATE('3 pr-2'!B138)</f>
        <v>R01-6630-470000-2223</v>
      </c>
      <c r="C136" s="276" t="str">
        <f>CONCATENATE('ketv. 6 '!C137)</f>
        <v>08.4.2-ESFA-R-630-11-0005</v>
      </c>
      <c r="D136" s="650" t="str">
        <f>CONCATENATE('3 pr-2'!D138)</f>
        <v>Sveikos gyvensenos skatinimas Varėnos rajono savivaldybėje</v>
      </c>
      <c r="E136" s="644" t="str">
        <f>CONCATENATE('3 pr-2'!E138)</f>
        <v>Varėnos rajono savivaldybės visuomenės sveikatos biuras</v>
      </c>
      <c r="F136" s="644" t="str">
        <f>CONCATENATE('3 pr-2'!F138)</f>
        <v>Lietuvos Respublikos Sveikatos apsaugos ministerija</v>
      </c>
      <c r="G136" s="644" t="str">
        <f>CONCATENATE('3 pr-2'!G138)</f>
        <v>Varėnos r. sav.</v>
      </c>
      <c r="H136" s="644" t="str">
        <f>CONCATENATE('3 pr-2'!H138)</f>
        <v>08.4.2-ESFA-R-630</v>
      </c>
      <c r="I136" s="644" t="str">
        <f>CONCATENATE('3 pr-2'!I138)</f>
        <v>R</v>
      </c>
      <c r="J136" s="644" t="str">
        <f>CONCATENATE('3 pr-2'!J138)</f>
        <v>-</v>
      </c>
      <c r="K136" s="1435">
        <f>SUM('3 pr-2'!L138)</f>
        <v>198997</v>
      </c>
      <c r="L136" s="1431">
        <f t="shared" si="174"/>
        <v>0</v>
      </c>
      <c r="M136" s="1492"/>
      <c r="N136" s="1492"/>
      <c r="O136" s="1461">
        <f t="shared" si="79"/>
        <v>198997</v>
      </c>
      <c r="P136" s="1435">
        <f>SUM('3 pr-2'!O138)</f>
        <v>14925</v>
      </c>
      <c r="Q136" s="1431">
        <f>SUMIF('mokėjimų ataskaita'!$I$13:$I$600,C136,'mokėjimų ataskaita'!$AU$13:$AU$600)/2</f>
        <v>0</v>
      </c>
      <c r="R136" s="1492"/>
      <c r="S136" s="1492"/>
      <c r="T136" s="1461">
        <f>SUM(P136-Q136)</f>
        <v>14925</v>
      </c>
      <c r="U136" s="1435">
        <f>SUM('3 pr-2'!R138)</f>
        <v>14924.55</v>
      </c>
      <c r="V136" s="1431">
        <f>SUMIF('mokėjimų ataskaita'!$I$13:$I$600,C136,'mokėjimų ataskaita'!$AL$13:$AL$600)/2</f>
        <v>0</v>
      </c>
      <c r="W136" s="1492"/>
      <c r="X136" s="1492"/>
      <c r="Y136" s="1461">
        <f t="shared" si="175"/>
        <v>14924.55</v>
      </c>
      <c r="Z136" s="1435">
        <f>SUM('3 pr-2'!U138)</f>
        <v>0</v>
      </c>
      <c r="AA136" s="1460">
        <f>SUMIF('mokėjimų ataskaita'!$I$13:$I$600,C136,'mokėjimų ataskaita'!$AW$13:$AW$600)/2</f>
        <v>0</v>
      </c>
      <c r="AB136" s="1492"/>
      <c r="AC136" s="1492"/>
      <c r="AD136" s="1461">
        <f t="shared" si="176"/>
        <v>0</v>
      </c>
      <c r="AE136" s="1435">
        <f>SUM('3 pr-2'!X138)</f>
        <v>0</v>
      </c>
      <c r="AF136" s="1460">
        <f>SUMIF('mokėjimų ataskaita'!$I$13:$I$600,C136,'mokėjimų ataskaita'!$AV$13:$AV$600)/2+SUMIF('mokėjimų ataskaita'!$I$13:$I$600,C136,'mokėjimų ataskaita'!$AT$13:$AT$600)/2</f>
        <v>0</v>
      </c>
      <c r="AG136" s="1492"/>
      <c r="AH136" s="1492"/>
      <c r="AI136" s="1461">
        <f t="shared" si="177"/>
        <v>0</v>
      </c>
      <c r="AJ136" s="1435">
        <f>SUM('3 pr-2'!AA138)</f>
        <v>169147.45</v>
      </c>
      <c r="AK136" s="1426">
        <f>SUMIF('mokėjimų ataskaita'!$I$13:$I$600,C136,'mokėjimų ataskaita'!$AK$13:$AK$600)/2</f>
        <v>0</v>
      </c>
      <c r="AL136" s="1492"/>
      <c r="AM136" s="1492"/>
      <c r="AN136" s="1454">
        <f>SUM(AJ136-AK136)</f>
        <v>169147.45</v>
      </c>
      <c r="AO136" s="1296">
        <f>SUM('3 pr-2'!AB138)</f>
        <v>0</v>
      </c>
      <c r="AP136" s="1426">
        <v>0</v>
      </c>
    </row>
    <row r="137" spans="1:43" ht="48.75" x14ac:dyDescent="0.25">
      <c r="A137" s="644" t="str">
        <f>CONCATENATE('3 pr-2'!A139)</f>
        <v>2.1.2.2.4.</v>
      </c>
      <c r="B137" s="657" t="str">
        <f>CONCATENATE('3 pr-2'!B139)</f>
        <v>R01-6630-470000-2224</v>
      </c>
      <c r="C137" s="276" t="str">
        <f>CONCATENATE('ketv. 6 '!C138)</f>
        <v>08.4.2-ESFA-R-630-11-0003</v>
      </c>
      <c r="D137" s="650" t="str">
        <f>CONCATENATE('3 pr-2'!D139)</f>
        <v>Sveika bendruomenė – stipri visuomenė</v>
      </c>
      <c r="E137" s="644" t="str">
        <f>CONCATENATE('3 pr-2'!E139)</f>
        <v>Druskininkų savivaldybės visuomenės sveikatos biuras</v>
      </c>
      <c r="F137" s="644" t="str">
        <f>CONCATENATE('3 pr-2'!F139)</f>
        <v>Lietuvos Respublikos Sveikatos apsaugos ministerija</v>
      </c>
      <c r="G137" s="644" t="str">
        <f>CONCATENATE('3 pr-2'!G139)</f>
        <v>Druskininkų sav.</v>
      </c>
      <c r="H137" s="644" t="str">
        <f>CONCATENATE('3 pr-2'!H139)</f>
        <v>08.4.2-ESFA-R-630</v>
      </c>
      <c r="I137" s="644" t="str">
        <f>CONCATENATE('3 pr-2'!I139)</f>
        <v>R</v>
      </c>
      <c r="J137" s="644" t="str">
        <f>CONCATENATE('3 pr-2'!J139)</f>
        <v>-</v>
      </c>
      <c r="K137" s="1435">
        <f>SUM('3 pr-2'!L139)</f>
        <v>198997.18</v>
      </c>
      <c r="L137" s="1431">
        <f t="shared" si="174"/>
        <v>55000</v>
      </c>
      <c r="M137" s="1492"/>
      <c r="N137" s="1492"/>
      <c r="O137" s="1461">
        <f t="shared" si="79"/>
        <v>143997.18</v>
      </c>
      <c r="P137" s="1435">
        <f>SUM('3 pr-2'!O139)</f>
        <v>14924.79</v>
      </c>
      <c r="Q137" s="1431">
        <f>SUMIF('mokėjimų ataskaita'!$I$13:$I$600,C137,'mokėjimų ataskaita'!$AU$13:$AU$600)/2</f>
        <v>0</v>
      </c>
      <c r="R137" s="1492"/>
      <c r="S137" s="1492"/>
      <c r="T137" s="1461">
        <f>SUM(P137-Q137)</f>
        <v>14924.79</v>
      </c>
      <c r="U137" s="1435">
        <f>SUM('3 pr-2'!R139)</f>
        <v>14924.79</v>
      </c>
      <c r="V137" s="1431">
        <f>SUMIF('mokėjimų ataskaita'!$I$13:$I$600,C137,'mokėjimų ataskaita'!$AL$13:$AL$600)/2</f>
        <v>4459.46</v>
      </c>
      <c r="W137" s="1492"/>
      <c r="X137" s="1492"/>
      <c r="Y137" s="1461">
        <f t="shared" si="175"/>
        <v>10465.330000000002</v>
      </c>
      <c r="Z137" s="1435">
        <f>SUM('3 pr-2'!U139)</f>
        <v>0</v>
      </c>
      <c r="AA137" s="1460">
        <f>SUMIF('mokėjimų ataskaita'!$I$13:$I$600,C137,'mokėjimų ataskaita'!$AW$13:$AW$600)/2</f>
        <v>0</v>
      </c>
      <c r="AB137" s="1492"/>
      <c r="AC137" s="1492"/>
      <c r="AD137" s="1461">
        <f t="shared" si="176"/>
        <v>0</v>
      </c>
      <c r="AE137" s="1435">
        <f>SUM('3 pr-2'!X139)</f>
        <v>0</v>
      </c>
      <c r="AF137" s="1460">
        <f>SUMIF('mokėjimų ataskaita'!$I$13:$I$600,C137,'mokėjimų ataskaita'!$AV$13:$AV$600)/2+SUMIF('mokėjimų ataskaita'!$I$13:$I$600,C137,'mokėjimų ataskaita'!$AT$13:$AT$600)/2</f>
        <v>0</v>
      </c>
      <c r="AG137" s="1492"/>
      <c r="AH137" s="1492"/>
      <c r="AI137" s="1461">
        <f t="shared" si="177"/>
        <v>0</v>
      </c>
      <c r="AJ137" s="1435">
        <f>SUM('3 pr-2'!AA139)</f>
        <v>169147.6</v>
      </c>
      <c r="AK137" s="1426">
        <f>SUMIF('mokėjimų ataskaita'!$I$13:$I$600,C137,'mokėjimų ataskaita'!$AK$13:$AK$600)/2</f>
        <v>50540.54</v>
      </c>
      <c r="AL137" s="1492"/>
      <c r="AM137" s="1492"/>
      <c r="AN137" s="1454">
        <f>SUM(AJ137-AK137)</f>
        <v>118607.06</v>
      </c>
      <c r="AO137" s="1296">
        <f>SUM('3 pr-2'!AB139)</f>
        <v>0</v>
      </c>
      <c r="AP137" s="1426">
        <v>0</v>
      </c>
    </row>
    <row r="138" spans="1:43" ht="49.5" thickBot="1" x14ac:dyDescent="0.3">
      <c r="A138" s="644" t="str">
        <f>CONCATENATE('3 pr-2'!A140)</f>
        <v>2.1.2.2.5</v>
      </c>
      <c r="B138" s="657" t="str">
        <f>CONCATENATE('3 pr-2'!B140)</f>
        <v>R01-6630-470000-2225</v>
      </c>
      <c r="C138" s="276" t="str">
        <f>CONCATENATE('ketv. 6 '!C139)</f>
        <v>08.4.2-ESFA-R-630-11-0002</v>
      </c>
      <c r="D138" s="650" t="str">
        <f>CONCATENATE('3 pr-2'!D140)</f>
        <v>Sveikos gyvensenos skatinimas Lazdijų rajono savivaldybėje</v>
      </c>
      <c r="E138" s="644" t="str">
        <f>CONCATENATE('3 pr-2'!E140)</f>
        <v>Lazdijų rajono savivaldybės visuomenės sveikatos biuras</v>
      </c>
      <c r="F138" s="644" t="str">
        <f>CONCATENATE('3 pr-2'!F140)</f>
        <v>Lietuvos Respublikos Sveikatos apsaugos ministerija</v>
      </c>
      <c r="G138" s="644" t="str">
        <f>CONCATENATE('3 pr-2'!G140)</f>
        <v>Lazdijų r. sav.</v>
      </c>
      <c r="H138" s="644" t="str">
        <f>CONCATENATE('3 pr-2'!H140)</f>
        <v>08.4.2-ESFA-R-630</v>
      </c>
      <c r="I138" s="644" t="str">
        <f>CONCATENATE('3 pr-2'!I140)</f>
        <v>R</v>
      </c>
      <c r="J138" s="644" t="str">
        <f>CONCATENATE('3 pr-2'!J140)</f>
        <v>-</v>
      </c>
      <c r="K138" s="1435">
        <f>SUM('3 pr-2'!L140)</f>
        <v>198997.18</v>
      </c>
      <c r="L138" s="1431">
        <f t="shared" si="174"/>
        <v>55221.72</v>
      </c>
      <c r="M138" s="1492"/>
      <c r="N138" s="1492"/>
      <c r="O138" s="1461">
        <f t="shared" si="79"/>
        <v>143775.46</v>
      </c>
      <c r="P138" s="1435">
        <f>SUM('3 pr-2'!O140)</f>
        <v>14924.79</v>
      </c>
      <c r="Q138" s="1431">
        <f>SUMIF('mokėjimų ataskaita'!$I$13:$I$600,C138,'mokėjimų ataskaita'!$AU$13:$AU$600)/2</f>
        <v>0</v>
      </c>
      <c r="R138" s="1492"/>
      <c r="S138" s="1492"/>
      <c r="T138" s="1461">
        <f>SUM(P138-Q138)</f>
        <v>14924.79</v>
      </c>
      <c r="U138" s="1435">
        <f>SUM('3 pr-2'!R140)</f>
        <v>14924.79</v>
      </c>
      <c r="V138" s="1431">
        <f>SUMIF('mokėjimų ataskaita'!$I$13:$I$600,C138,'mokėjimų ataskaita'!$AL$13:$AL$600)/2</f>
        <v>4477.4399999999996</v>
      </c>
      <c r="W138" s="1492"/>
      <c r="X138" s="1492"/>
      <c r="Y138" s="1461">
        <f t="shared" si="175"/>
        <v>10447.350000000002</v>
      </c>
      <c r="Z138" s="1435">
        <f>SUM('3 pr-2'!U140)</f>
        <v>0</v>
      </c>
      <c r="AA138" s="1460">
        <f>SUMIF('mokėjimų ataskaita'!$I$13:$I$600,C138,'mokėjimų ataskaita'!$AW$13:$AW$600)/2</f>
        <v>0</v>
      </c>
      <c r="AB138" s="1492"/>
      <c r="AC138" s="1492"/>
      <c r="AD138" s="1461">
        <f t="shared" si="176"/>
        <v>0</v>
      </c>
      <c r="AE138" s="1435">
        <f>SUM('3 pr-2'!X140)</f>
        <v>0</v>
      </c>
      <c r="AF138" s="1460">
        <f>SUMIF('mokėjimų ataskaita'!$I$13:$I$600,C138,'mokėjimų ataskaita'!$AV$13:$AV$600)/2+SUMIF('mokėjimų ataskaita'!$I$13:$I$600,C138,'mokėjimų ataskaita'!$AT$13:$AT$600)/2</f>
        <v>0</v>
      </c>
      <c r="AG138" s="1492"/>
      <c r="AH138" s="1492"/>
      <c r="AI138" s="1461">
        <f t="shared" si="177"/>
        <v>0</v>
      </c>
      <c r="AJ138" s="1435">
        <f>SUM('3 pr-2'!AA140)</f>
        <v>169147.6</v>
      </c>
      <c r="AK138" s="1426">
        <f>SUMIF('mokėjimų ataskaita'!$I$13:$I$600,C138,'mokėjimų ataskaita'!$AK$13:$AK$600)/2</f>
        <v>50744.28</v>
      </c>
      <c r="AL138" s="1492"/>
      <c r="AM138" s="1492"/>
      <c r="AN138" s="1454">
        <f>SUM(AJ138-AK138)</f>
        <v>118403.32</v>
      </c>
      <c r="AO138" s="1296">
        <f>SUM('3 pr-2'!AB140)</f>
        <v>0</v>
      </c>
      <c r="AP138" s="1426">
        <v>0</v>
      </c>
    </row>
    <row r="139" spans="1:43" ht="35.25" customHeight="1" thickBot="1" x14ac:dyDescent="0.3">
      <c r="A139" s="326" t="str">
        <f>CONCATENATE('3 pr-2'!A141)</f>
        <v>2.1.2.3</v>
      </c>
      <c r="B139" s="2025" t="str">
        <f>CONCATENATE('3 pr-2'!B141)</f>
        <v>Priemonė:
Priemonių, gerinančių ambulatorinių sveikatos priežiūros paslaugų prieinamumą tuberkulioze sergantiems pacientams, įgyvendinimas</v>
      </c>
      <c r="C139" s="2026"/>
      <c r="D139" s="2026"/>
      <c r="E139" s="2026"/>
      <c r="F139" s="2026"/>
      <c r="G139" s="2026"/>
      <c r="H139" s="2026"/>
      <c r="I139" s="2026"/>
      <c r="J139" s="2027"/>
      <c r="K139" s="1455">
        <f t="shared" ref="K139:AJ139" si="178">SUM(K140:K144)</f>
        <v>65213.18</v>
      </c>
      <c r="L139" s="1455">
        <f t="shared" si="178"/>
        <v>0</v>
      </c>
      <c r="M139" s="1455">
        <f t="shared" si="178"/>
        <v>0</v>
      </c>
      <c r="N139" s="1455">
        <f t="shared" si="178"/>
        <v>0</v>
      </c>
      <c r="O139" s="1455">
        <f t="shared" si="178"/>
        <v>65213.18</v>
      </c>
      <c r="P139" s="1455">
        <f t="shared" si="178"/>
        <v>3596.09</v>
      </c>
      <c r="Q139" s="1455">
        <f t="shared" si="178"/>
        <v>0</v>
      </c>
      <c r="R139" s="1455">
        <f t="shared" si="178"/>
        <v>0</v>
      </c>
      <c r="S139" s="1455">
        <f t="shared" si="178"/>
        <v>0</v>
      </c>
      <c r="T139" s="1455">
        <f t="shared" si="178"/>
        <v>3596.09</v>
      </c>
      <c r="U139" s="1455">
        <f t="shared" si="178"/>
        <v>5556.4400000000005</v>
      </c>
      <c r="V139" s="1455">
        <f t="shared" si="178"/>
        <v>0</v>
      </c>
      <c r="W139" s="1455">
        <f t="shared" si="178"/>
        <v>0</v>
      </c>
      <c r="X139" s="1455">
        <f t="shared" si="178"/>
        <v>0</v>
      </c>
      <c r="Y139" s="1455">
        <f t="shared" si="178"/>
        <v>5556.4400000000005</v>
      </c>
      <c r="Z139" s="1455">
        <f t="shared" si="178"/>
        <v>0</v>
      </c>
      <c r="AA139" s="1455">
        <f t="shared" si="178"/>
        <v>0</v>
      </c>
      <c r="AB139" s="1455">
        <f t="shared" si="178"/>
        <v>0</v>
      </c>
      <c r="AC139" s="1455">
        <f t="shared" si="178"/>
        <v>0</v>
      </c>
      <c r="AD139" s="1455">
        <f t="shared" si="178"/>
        <v>0</v>
      </c>
      <c r="AE139" s="1455">
        <f t="shared" si="178"/>
        <v>1299.95</v>
      </c>
      <c r="AF139" s="1455">
        <f t="shared" si="178"/>
        <v>0</v>
      </c>
      <c r="AG139" s="1455">
        <f t="shared" si="178"/>
        <v>0</v>
      </c>
      <c r="AH139" s="1455">
        <f t="shared" si="178"/>
        <v>0</v>
      </c>
      <c r="AI139" s="1455">
        <f t="shared" si="178"/>
        <v>1299.95</v>
      </c>
      <c r="AJ139" s="1455">
        <f t="shared" si="178"/>
        <v>54760.7</v>
      </c>
      <c r="AK139" s="1455">
        <f>SUM(AK140:AK144)</f>
        <v>0</v>
      </c>
      <c r="AL139" s="1455">
        <f t="shared" ref="AL139:AP139" si="179">SUM(AL140:AL144)</f>
        <v>0</v>
      </c>
      <c r="AM139" s="1455">
        <f t="shared" si="179"/>
        <v>0</v>
      </c>
      <c r="AN139" s="1455">
        <f t="shared" si="179"/>
        <v>54760.7</v>
      </c>
      <c r="AO139" s="1455">
        <f t="shared" si="179"/>
        <v>0</v>
      </c>
      <c r="AP139" s="1455">
        <f t="shared" si="179"/>
        <v>0</v>
      </c>
      <c r="AQ139" s="256">
        <f>SUM(K139-'3 pr-2'!L141)</f>
        <v>0</v>
      </c>
    </row>
    <row r="140" spans="1:43" ht="72.75" x14ac:dyDescent="0.25">
      <c r="A140" s="644" t="str">
        <f>CONCATENATE('3 pr-2'!A142)</f>
        <v>2.1.2.3.1</v>
      </c>
      <c r="B140" s="657" t="str">
        <f>CONCATENATE('3 pr-2'!B142)</f>
        <v>R01-6615-475000-2231</v>
      </c>
      <c r="C140" s="276" t="str">
        <f>CONCATENATE('ketv. 6 '!C141)</f>
        <v>08.4.2-ESFA-R-615-11-0004</v>
      </c>
      <c r="D140" s="650" t="str">
        <f>CONCATENATE('3 pr-2'!D142)</f>
        <v>Priemonių gerinančių ambulatorinių sveikatos priežiūros paslaugų prieinamumą tuberkulioze sergantiems asmenims, Alytaus rajone įgyvendinimas</v>
      </c>
      <c r="E140" s="644" t="str">
        <f>CONCATENATE('3 pr-2'!E142)</f>
        <v>VšĮ Alytaus rajono savivaldybės pirminės sveikatos priežiūros centras</v>
      </c>
      <c r="F140" s="644" t="str">
        <f>CONCATENATE('3 pr-2'!F142)</f>
        <v>Lietuvos Respublikos Sveikatos apsaugos ministerija</v>
      </c>
      <c r="G140" s="644" t="str">
        <f>CONCATENATE('3 pr-2'!G142)</f>
        <v>Alytaus r. sav.</v>
      </c>
      <c r="H140" s="644" t="str">
        <f>CONCATENATE('3 pr-2'!H142)</f>
        <v>08.4.2-ESFA-R-615</v>
      </c>
      <c r="I140" s="644" t="str">
        <f>CONCATENATE('3 pr-2'!I142)</f>
        <v>R</v>
      </c>
      <c r="J140" s="644" t="str">
        <f>CONCATENATE('3 pr-2'!J142)</f>
        <v>-</v>
      </c>
      <c r="K140" s="1435">
        <f>SUM('3 pr-2'!L142)</f>
        <v>10453</v>
      </c>
      <c r="L140" s="1460">
        <f t="shared" ref="L140:L144" si="180">SUM(Q140+V140+AA140+AF140+AK140)</f>
        <v>0</v>
      </c>
      <c r="M140" s="1492"/>
      <c r="N140" s="1492"/>
      <c r="O140" s="1461">
        <f t="shared" ref="O140:O144" si="181">SUM(K140-L140)</f>
        <v>10453</v>
      </c>
      <c r="P140" s="1435">
        <f>SUM('3 pr-2'!O142)</f>
        <v>0</v>
      </c>
      <c r="Q140" s="1460">
        <f>SUMIF('mokėjimų ataskaita'!$I$13:$I$600,C140,'mokėjimų ataskaita'!$AU$13:$AU$600)/2</f>
        <v>0</v>
      </c>
      <c r="R140" s="1492"/>
      <c r="S140" s="1492"/>
      <c r="T140" s="1461">
        <f t="shared" ref="T140:T144" si="182">SUM(P140-Q140)</f>
        <v>0</v>
      </c>
      <c r="U140" s="1435">
        <f>SUM('3 pr-2'!R142)</f>
        <v>1449.64</v>
      </c>
      <c r="V140" s="1460">
        <f>SUMIF('mokėjimų ataskaita'!$I$13:$I$600,C140,'mokėjimų ataskaita'!$AL$13:$AL$600)/2</f>
        <v>0</v>
      </c>
      <c r="W140" s="1492"/>
      <c r="X140" s="1492"/>
      <c r="Y140" s="1461">
        <f t="shared" ref="Y140:Y144" si="183">SUM(U140-V140)</f>
        <v>1449.64</v>
      </c>
      <c r="Z140" s="1435">
        <f>SUM('3 pr-2'!U142)</f>
        <v>0</v>
      </c>
      <c r="AA140" s="1460">
        <f>SUMIF('mokėjimų ataskaita'!$I$13:$I$600,C140,'mokėjimų ataskaita'!$AW$13:$AW$600)/2</f>
        <v>0</v>
      </c>
      <c r="AB140" s="1492"/>
      <c r="AC140" s="1492"/>
      <c r="AD140" s="1461">
        <f t="shared" ref="AD140:AD144" si="184">SUM(Z140-AA140)</f>
        <v>0</v>
      </c>
      <c r="AE140" s="1435">
        <f>SUM('3 pr-2'!X142)</f>
        <v>788.75</v>
      </c>
      <c r="AF140" s="1460">
        <f>SUMIF('mokėjimų ataskaita'!$I$13:$I$600,C140,'mokėjimų ataskaita'!$AV$13:$AV$600)/2+SUMIF('mokėjimų ataskaita'!$I$13:$I$600,C140,'mokėjimų ataskaita'!$AT$13:$AT$600)/2</f>
        <v>0</v>
      </c>
      <c r="AG140" s="1492"/>
      <c r="AH140" s="1492"/>
      <c r="AI140" s="1461">
        <f t="shared" ref="AI140:AI144" si="185">SUM(AE140-AF140)</f>
        <v>788.75</v>
      </c>
      <c r="AJ140" s="1435">
        <f>SUM('3 pr-2'!AA142)</f>
        <v>8214.61</v>
      </c>
      <c r="AK140" s="1460">
        <f>SUMIF('mokėjimų ataskaita'!$I$13:$I$600,C140,'mokėjimų ataskaita'!$AK$13:$AK$600)/2</f>
        <v>0</v>
      </c>
      <c r="AL140" s="1492"/>
      <c r="AM140" s="1492"/>
      <c r="AN140" s="1454">
        <f t="shared" ref="AN140:AN144" si="186">SUM(AJ140-AK140)</f>
        <v>8214.61</v>
      </c>
      <c r="AO140" s="1296">
        <f>SUM('3 pr-2'!AB142)</f>
        <v>0</v>
      </c>
      <c r="AP140" s="1460">
        <v>0</v>
      </c>
    </row>
    <row r="141" spans="1:43" ht="48.75" x14ac:dyDescent="0.25">
      <c r="A141" s="644" t="str">
        <f>CONCATENATE('3 pr-2'!A143)</f>
        <v>2.1.2.3.2</v>
      </c>
      <c r="B141" s="657" t="str">
        <f>CONCATENATE('3 pr-2'!B143)</f>
        <v>R01-6615-470000-2232</v>
      </c>
      <c r="C141" s="276" t="str">
        <f>CONCATENATE('ketv. 6 '!C142)</f>
        <v>08.4.2-ESFA-R-615-11-0005</v>
      </c>
      <c r="D141" s="650" t="str">
        <f>CONCATENATE('3 pr-2'!D143)</f>
        <v>Ambulatorinių sveikatos priežiūros paslaugų gerinimas tuberkulioze sergantiems asmenims</v>
      </c>
      <c r="E141" s="644" t="str">
        <f>CONCATENATE('3 pr-2'!E143)</f>
        <v>Alytaus miesto savivaldybės administracija</v>
      </c>
      <c r="F141" s="644" t="str">
        <f>CONCATENATE('3 pr-2'!F143)</f>
        <v>Lietuvos Respublikos Sveikatos apsaugos ministerija</v>
      </c>
      <c r="G141" s="644" t="str">
        <f>CONCATENATE('3 pr-2'!G143)</f>
        <v>Alytaus m. sav.</v>
      </c>
      <c r="H141" s="644" t="str">
        <f>CONCATENATE('3 pr-2'!H143)</f>
        <v>08.4.2-ESFA-R-615</v>
      </c>
      <c r="I141" s="644" t="str">
        <f>CONCATENATE('3 pr-2'!I143)</f>
        <v>R</v>
      </c>
      <c r="J141" s="644" t="str">
        <f>CONCATENATE('3 pr-2'!J143)</f>
        <v>-</v>
      </c>
      <c r="K141" s="1435">
        <f>SUM('3 pr-2'!L143)</f>
        <v>17041.18</v>
      </c>
      <c r="L141" s="1431">
        <f t="shared" si="180"/>
        <v>0</v>
      </c>
      <c r="M141" s="1492"/>
      <c r="N141" s="1492"/>
      <c r="O141" s="1461">
        <f t="shared" si="181"/>
        <v>17041.18</v>
      </c>
      <c r="P141" s="1435">
        <f>SUM('3 pr-2'!O143)</f>
        <v>1278.0899999999999</v>
      </c>
      <c r="Q141" s="1431">
        <f>SUMIF('mokėjimų ataskaita'!$I$13:$I$600,C141,'mokėjimų ataskaita'!$AU$13:$AU$600)/2</f>
        <v>0</v>
      </c>
      <c r="R141" s="1492"/>
      <c r="S141" s="1492"/>
      <c r="T141" s="1461">
        <f t="shared" si="182"/>
        <v>1278.0899999999999</v>
      </c>
      <c r="U141" s="1435">
        <f>SUM('3 pr-2'!R143)</f>
        <v>1278</v>
      </c>
      <c r="V141" s="1431">
        <f>SUMIF('mokėjimų ataskaita'!$I$13:$I$600,C141,'mokėjimų ataskaita'!$AL$13:$AL$600)/2</f>
        <v>0</v>
      </c>
      <c r="W141" s="1492"/>
      <c r="X141" s="1492"/>
      <c r="Y141" s="1461">
        <f t="shared" si="183"/>
        <v>1278</v>
      </c>
      <c r="Z141" s="1435">
        <f>SUM('3 pr-2'!U143)</f>
        <v>0</v>
      </c>
      <c r="AA141" s="1431">
        <f>SUMIF('mokėjimų ataskaita'!$I$13:$I$600,C141,'mokėjimų ataskaita'!$AW$13:$AW$600)/2</f>
        <v>0</v>
      </c>
      <c r="AB141" s="1492"/>
      <c r="AC141" s="1492"/>
      <c r="AD141" s="1461">
        <f t="shared" si="184"/>
        <v>0</v>
      </c>
      <c r="AE141" s="1435">
        <f>SUM('3 pr-2'!X143)</f>
        <v>0</v>
      </c>
      <c r="AF141" s="1431">
        <f>SUMIF('mokėjimų ataskaita'!$I$13:$I$600,C141,'mokėjimų ataskaita'!$AV$13:$AV$600)/2+SUMIF('mokėjimų ataskaita'!$I$13:$I$600,C141,'mokėjimų ataskaita'!$AT$13:$AT$600)/2</f>
        <v>0</v>
      </c>
      <c r="AG141" s="1492"/>
      <c r="AH141" s="1492"/>
      <c r="AI141" s="1461">
        <f t="shared" si="185"/>
        <v>0</v>
      </c>
      <c r="AJ141" s="1435">
        <f>SUM('3 pr-2'!AA143)</f>
        <v>14485.09</v>
      </c>
      <c r="AK141" s="1431">
        <f>SUMIF('mokėjimų ataskaita'!$I$13:$I$600,C141,'mokėjimų ataskaita'!$AK$13:$AK$600)/2</f>
        <v>0</v>
      </c>
      <c r="AL141" s="1492"/>
      <c r="AM141" s="1492"/>
      <c r="AN141" s="1454">
        <f t="shared" si="186"/>
        <v>14485.09</v>
      </c>
      <c r="AO141" s="1296">
        <f>SUM('3 pr-2'!AB143)</f>
        <v>0</v>
      </c>
      <c r="AP141" s="1426">
        <v>0</v>
      </c>
    </row>
    <row r="142" spans="1:43" ht="36.75" x14ac:dyDescent="0.25">
      <c r="A142" s="644" t="str">
        <f>CONCATENATE('3 pr-2'!A144)</f>
        <v>2.1.2.3.3</v>
      </c>
      <c r="B142" s="657" t="str">
        <f>CONCATENATE('3 pr-2'!B144)</f>
        <v>R01-6615-470000-2233</v>
      </c>
      <c r="C142" s="276" t="str">
        <f>CONCATENATE('ketv. 6 '!C143)</f>
        <v>08.4.2-ESFA-R-615-11-0001</v>
      </c>
      <c r="D142" s="650" t="str">
        <f>CONCATENATE('3 pr-2'!D144)</f>
        <v xml:space="preserve">Paslaugų tuberkulioze sergantiems asmenims gerinimas Lazdijų rajono savivaldybėje </v>
      </c>
      <c r="E142" s="644" t="str">
        <f>CONCATENATE('3 pr-2'!E144)</f>
        <v>Lazdijų rajono savivaldybės administracija</v>
      </c>
      <c r="F142" s="644" t="str">
        <f>CONCATENATE('3 pr-2'!F144)</f>
        <v>Lietuvos Respublikos Sveikatos apsaugos ministerija</v>
      </c>
      <c r="G142" s="644" t="str">
        <f>CONCATENATE('3 pr-2'!G144)</f>
        <v>Lazdijų r. sav.</v>
      </c>
      <c r="H142" s="644" t="str">
        <f>CONCATENATE('3 pr-2'!H144)</f>
        <v>08.4.2-ESFA-R-615</v>
      </c>
      <c r="I142" s="644" t="str">
        <f>CONCATENATE('3 pr-2'!I144)</f>
        <v>R</v>
      </c>
      <c r="J142" s="644" t="str">
        <f>CONCATENATE('3 pr-2'!J144)</f>
        <v>-</v>
      </c>
      <c r="K142" s="1435">
        <f>SUM('3 pr-2'!L144)</f>
        <v>15224</v>
      </c>
      <c r="L142" s="1431">
        <f t="shared" si="180"/>
        <v>0</v>
      </c>
      <c r="M142" s="1492"/>
      <c r="N142" s="1492"/>
      <c r="O142" s="1461">
        <f t="shared" si="181"/>
        <v>15224</v>
      </c>
      <c r="P142" s="1435">
        <f>SUM('3 pr-2'!O144)</f>
        <v>1142</v>
      </c>
      <c r="Q142" s="1431">
        <f>SUMIF('mokėjimų ataskaita'!$I$13:$I$600,C142,'mokėjimų ataskaita'!$AU$13:$AU$600)/2</f>
        <v>0</v>
      </c>
      <c r="R142" s="1492"/>
      <c r="S142" s="1492"/>
      <c r="T142" s="1461">
        <f t="shared" si="182"/>
        <v>1142</v>
      </c>
      <c r="U142" s="1435">
        <f>SUM('3 pr-2'!R144)</f>
        <v>1141.5999999999999</v>
      </c>
      <c r="V142" s="1431">
        <f>SUMIF('mokėjimų ataskaita'!$I$13:$I$600,C142,'mokėjimų ataskaita'!$AL$13:$AL$600)/2</f>
        <v>0</v>
      </c>
      <c r="W142" s="1492"/>
      <c r="X142" s="1492"/>
      <c r="Y142" s="1461">
        <f t="shared" si="183"/>
        <v>1141.5999999999999</v>
      </c>
      <c r="Z142" s="1435">
        <f>SUM('3 pr-2'!U144)</f>
        <v>0</v>
      </c>
      <c r="AA142" s="1431">
        <f>SUMIF('mokėjimų ataskaita'!$I$13:$I$600,C142,'mokėjimų ataskaita'!$AW$13:$AW$600)/2</f>
        <v>0</v>
      </c>
      <c r="AB142" s="1492"/>
      <c r="AC142" s="1492"/>
      <c r="AD142" s="1461">
        <f t="shared" si="184"/>
        <v>0</v>
      </c>
      <c r="AE142" s="1435">
        <f>SUM('3 pr-2'!X144)</f>
        <v>0</v>
      </c>
      <c r="AF142" s="1431">
        <f>SUMIF('mokėjimų ataskaita'!$I$13:$I$600,C142,'mokėjimų ataskaita'!$AV$13:$AV$600)/2+SUMIF('mokėjimų ataskaita'!$I$13:$I$600,C142,'mokėjimų ataskaita'!$AT$13:$AT$600)/2</f>
        <v>0</v>
      </c>
      <c r="AG142" s="1492"/>
      <c r="AH142" s="1492"/>
      <c r="AI142" s="1461">
        <f t="shared" si="185"/>
        <v>0</v>
      </c>
      <c r="AJ142" s="1435">
        <f>SUM('3 pr-2'!AA144)</f>
        <v>12940.4</v>
      </c>
      <c r="AK142" s="1431">
        <f>SUMIF('mokėjimų ataskaita'!$I$13:$I$600,C142,'mokėjimų ataskaita'!$AK$13:$AK$600)/2</f>
        <v>0</v>
      </c>
      <c r="AL142" s="1492"/>
      <c r="AM142" s="1492"/>
      <c r="AN142" s="1454">
        <f t="shared" si="186"/>
        <v>12940.4</v>
      </c>
      <c r="AO142" s="1296">
        <f>SUM('3 pr-2'!AB144)</f>
        <v>0</v>
      </c>
      <c r="AP142" s="1426">
        <v>0</v>
      </c>
    </row>
    <row r="143" spans="1:43" ht="60.75" x14ac:dyDescent="0.25">
      <c r="A143" s="644" t="str">
        <f>CONCATENATE('3 pr-2'!A145)</f>
        <v>2.1.2.3.4</v>
      </c>
      <c r="B143" s="657" t="str">
        <f>CONCATENATE('3 pr-2'!B145)</f>
        <v>R01-6615-470000-2234</v>
      </c>
      <c r="C143" s="276" t="str">
        <f>CONCATENATE('ketv. 6 '!C144)</f>
        <v>08.4.2-ESFA-R-615-11-0002</v>
      </c>
      <c r="D143" s="650" t="str">
        <f>CONCATENATE('3 pr-2'!D145)</f>
        <v>Ambulatorinių sveikatos priežiūros paslaugų tuberkulioze sergantiems asmenims prieinamumo gerinimas Druskininkų savivaldybėje</v>
      </c>
      <c r="E143" s="644" t="str">
        <f>CONCATENATE('3 pr-2'!E145)</f>
        <v>Druskininkų pirminės sveikatos priežiūros centras</v>
      </c>
      <c r="F143" s="644" t="str">
        <f>CONCATENATE('3 pr-2'!F145)</f>
        <v>Lietuvos Respublikos Sveikatos apsaugos ministerija</v>
      </c>
      <c r="G143" s="644" t="str">
        <f>CONCATENATE('3 pr-2'!G145)</f>
        <v>Druskininkų sav.</v>
      </c>
      <c r="H143" s="644" t="str">
        <f>CONCATENATE('3 pr-2'!H145)</f>
        <v>08.4.2-ESFA-R-615</v>
      </c>
      <c r="I143" s="644" t="str">
        <f>CONCATENATE('3 pr-2'!I145)</f>
        <v>R</v>
      </c>
      <c r="J143" s="644" t="str">
        <f>CONCATENATE('3 pr-2'!J145)</f>
        <v>-</v>
      </c>
      <c r="K143" s="1435">
        <f>SUM('3 pr-2'!L145)</f>
        <v>6816</v>
      </c>
      <c r="L143" s="1431">
        <f t="shared" si="180"/>
        <v>0</v>
      </c>
      <c r="M143" s="1492"/>
      <c r="N143" s="1492"/>
      <c r="O143" s="1461">
        <f t="shared" si="181"/>
        <v>6816</v>
      </c>
      <c r="P143" s="1435">
        <f>SUM('3 pr-2'!O145)</f>
        <v>0</v>
      </c>
      <c r="Q143" s="1431">
        <f>SUMIF('mokėjimų ataskaita'!$I$13:$I$600,C143,'mokėjimų ataskaita'!$AU$13:$AU$600)/2</f>
        <v>0</v>
      </c>
      <c r="R143" s="1492"/>
      <c r="S143" s="1492"/>
      <c r="T143" s="1461">
        <f t="shared" si="182"/>
        <v>0</v>
      </c>
      <c r="U143" s="1435">
        <f>SUM('3 pr-2'!R145)</f>
        <v>511.2</v>
      </c>
      <c r="V143" s="1431">
        <f>SUMIF('mokėjimų ataskaita'!$I$13:$I$600,C143,'mokėjimų ataskaita'!$AL$13:$AL$600)/2</f>
        <v>0</v>
      </c>
      <c r="W143" s="1492"/>
      <c r="X143" s="1492"/>
      <c r="Y143" s="1461">
        <f t="shared" si="183"/>
        <v>511.2</v>
      </c>
      <c r="Z143" s="1435">
        <f>SUM('3 pr-2'!U145)</f>
        <v>0</v>
      </c>
      <c r="AA143" s="1431">
        <f>SUMIF('mokėjimų ataskaita'!$I$13:$I$600,C143,'mokėjimų ataskaita'!$AW$13:$AW$600)/2</f>
        <v>0</v>
      </c>
      <c r="AB143" s="1492"/>
      <c r="AC143" s="1492"/>
      <c r="AD143" s="1461">
        <f t="shared" si="184"/>
        <v>0</v>
      </c>
      <c r="AE143" s="1435">
        <f>SUM('3 pr-2'!X145)</f>
        <v>511.2</v>
      </c>
      <c r="AF143" s="1431">
        <f>SUMIF('mokėjimų ataskaita'!$I$13:$I$600,C143,'mokėjimų ataskaita'!$AV$13:$AV$600)/2+SUMIF('mokėjimų ataskaita'!$I$13:$I$600,C143,'mokėjimų ataskaita'!$AT$13:$AT$600)/2</f>
        <v>0</v>
      </c>
      <c r="AG143" s="1492"/>
      <c r="AH143" s="1492"/>
      <c r="AI143" s="1461">
        <f t="shared" si="185"/>
        <v>511.2</v>
      </c>
      <c r="AJ143" s="1435">
        <f>SUM('3 pr-2'!AA145)</f>
        <v>5793.6</v>
      </c>
      <c r="AK143" s="1431">
        <f>SUMIF('mokėjimų ataskaita'!$I$13:$I$600,C143,'mokėjimų ataskaita'!$AK$13:$AK$600)/2</f>
        <v>0</v>
      </c>
      <c r="AL143" s="1492"/>
      <c r="AM143" s="1492"/>
      <c r="AN143" s="1454">
        <f t="shared" si="186"/>
        <v>5793.6</v>
      </c>
      <c r="AO143" s="1296">
        <f>SUM('3 pr-2'!AB145)</f>
        <v>0</v>
      </c>
      <c r="AP143" s="1426">
        <v>0</v>
      </c>
    </row>
    <row r="144" spans="1:43" ht="61.5" thickBot="1" x14ac:dyDescent="0.3">
      <c r="A144" s="644" t="str">
        <f>CONCATENATE('3 pr-2'!A146)</f>
        <v>2.1.2.3.5</v>
      </c>
      <c r="B144" s="657" t="str">
        <f>CONCATENATE('3 pr-2'!B146)</f>
        <v>R01-6615-470000-2235</v>
      </c>
      <c r="C144" s="276" t="str">
        <f>CONCATENATE('ketv. 6 '!C145)</f>
        <v>08.4.2-ESFA-R-615-11-0003</v>
      </c>
      <c r="D144" s="650" t="str">
        <f>CONCATENATE('3 pr-2'!D146)</f>
        <v>Ambulatorinių sveikatos priežiūros paslaugų prieinamumo gerinimas tuberkulioze sergantiems asmenims Varėnos rajono savivaldybėje</v>
      </c>
      <c r="E144" s="644" t="str">
        <f>CONCATENATE('3 pr-2'!E146)</f>
        <v>Varėnos rajono savivaldybės administracija</v>
      </c>
      <c r="F144" s="644" t="str">
        <f>CONCATENATE('3 pr-2'!F146)</f>
        <v>Lietuvos Respublikos Sveikatos apsaugos ministerija</v>
      </c>
      <c r="G144" s="644" t="str">
        <f>CONCATENATE('3 pr-2'!G146)</f>
        <v>Varėnos r. sav.</v>
      </c>
      <c r="H144" s="644" t="str">
        <f>CONCATENATE('3 pr-2'!H146)</f>
        <v>08.4.2-ESFA-R-615</v>
      </c>
      <c r="I144" s="644" t="str">
        <f>CONCATENATE('3 pr-2'!I146)</f>
        <v>R</v>
      </c>
      <c r="J144" s="644" t="str">
        <f>CONCATENATE('3 pr-2'!J146)</f>
        <v>-</v>
      </c>
      <c r="K144" s="1435">
        <f>SUM('3 pr-2'!L146)</f>
        <v>15679</v>
      </c>
      <c r="L144" s="1431">
        <f t="shared" si="180"/>
        <v>0</v>
      </c>
      <c r="M144" s="1492"/>
      <c r="N144" s="1492"/>
      <c r="O144" s="1461">
        <f t="shared" si="181"/>
        <v>15679</v>
      </c>
      <c r="P144" s="1435">
        <f>SUM('3 pr-2'!O146)</f>
        <v>1176</v>
      </c>
      <c r="Q144" s="1431">
        <f>SUMIF('mokėjimų ataskaita'!$I$13:$I$600,C144,'mokėjimų ataskaita'!$AU$13:$AU$600)/2</f>
        <v>0</v>
      </c>
      <c r="R144" s="1492"/>
      <c r="S144" s="1492"/>
      <c r="T144" s="1461">
        <f t="shared" si="182"/>
        <v>1176</v>
      </c>
      <c r="U144" s="1435">
        <f>SUM('3 pr-2'!R146)</f>
        <v>1176</v>
      </c>
      <c r="V144" s="1431">
        <f>SUMIF('mokėjimų ataskaita'!$I$13:$I$600,C144,'mokėjimų ataskaita'!$AL$13:$AL$600)/2</f>
        <v>0</v>
      </c>
      <c r="W144" s="1492"/>
      <c r="X144" s="1492"/>
      <c r="Y144" s="1461">
        <f t="shared" si="183"/>
        <v>1176</v>
      </c>
      <c r="Z144" s="1435">
        <f>SUM('3 pr-2'!U146)</f>
        <v>0</v>
      </c>
      <c r="AA144" s="1431">
        <f>SUMIF('mokėjimų ataskaita'!$I$13:$I$600,C144,'mokėjimų ataskaita'!$AW$13:$AW$600)/2</f>
        <v>0</v>
      </c>
      <c r="AB144" s="1492"/>
      <c r="AC144" s="1492"/>
      <c r="AD144" s="1461">
        <f t="shared" si="184"/>
        <v>0</v>
      </c>
      <c r="AE144" s="1435">
        <f>SUM('3 pr-2'!X146)</f>
        <v>0</v>
      </c>
      <c r="AF144" s="1431">
        <f>SUMIF('mokėjimų ataskaita'!$I$13:$I$600,C144,'mokėjimų ataskaita'!$AV$13:$AV$600)/2+SUMIF('mokėjimų ataskaita'!$I$13:$I$600,C144,'mokėjimų ataskaita'!$AT$13:$AT$600)/2</f>
        <v>0</v>
      </c>
      <c r="AG144" s="1492"/>
      <c r="AH144" s="1492"/>
      <c r="AI144" s="1461">
        <f t="shared" si="185"/>
        <v>0</v>
      </c>
      <c r="AJ144" s="1435">
        <f>SUM('3 pr-2'!AA146)</f>
        <v>13327</v>
      </c>
      <c r="AK144" s="1431">
        <f>SUMIF('mokėjimų ataskaita'!$I$13:$I$600,C144,'mokėjimų ataskaita'!$AK$13:$AK$600)/2</f>
        <v>0</v>
      </c>
      <c r="AL144" s="1492"/>
      <c r="AM144" s="1492"/>
      <c r="AN144" s="1454">
        <f t="shared" si="186"/>
        <v>13327</v>
      </c>
      <c r="AO144" s="1296">
        <f>SUM('3 pr-2'!AB146)</f>
        <v>0</v>
      </c>
      <c r="AP144" s="1426">
        <v>0</v>
      </c>
    </row>
    <row r="145" spans="1:43" ht="53.25" customHeight="1" thickBot="1" x14ac:dyDescent="0.3">
      <c r="A145" s="447" t="str">
        <f>CONCATENATE('3 pr-2'!A147)</f>
        <v>2.1.3.</v>
      </c>
      <c r="B145" s="2022" t="str">
        <f>CONCATENATE('3 pr-2'!B147)</f>
        <v>Uždavinys:
Socialinio būsto ir socialinių paslaugų prieinamumo pažeidžiamiausioms gyventojų grupėms padidinimas</v>
      </c>
      <c r="C145" s="2023"/>
      <c r="D145" s="2023"/>
      <c r="E145" s="2023"/>
      <c r="F145" s="2023"/>
      <c r="G145" s="2023"/>
      <c r="H145" s="2023"/>
      <c r="I145" s="2023"/>
      <c r="J145" s="2024"/>
      <c r="K145" s="1490">
        <f t="shared" ref="K145:AJ145" si="187">SUM(K146+K152)</f>
        <v>4201522.92</v>
      </c>
      <c r="L145" s="1490">
        <f t="shared" si="187"/>
        <v>2687508.08</v>
      </c>
      <c r="M145" s="1490">
        <f t="shared" si="187"/>
        <v>1443767.56</v>
      </c>
      <c r="N145" s="1490">
        <f t="shared" si="187"/>
        <v>1243740.52</v>
      </c>
      <c r="O145" s="1490">
        <f t="shared" si="187"/>
        <v>1514014.84</v>
      </c>
      <c r="P145" s="1490">
        <f t="shared" si="187"/>
        <v>772839.92999999993</v>
      </c>
      <c r="Q145" s="1490">
        <f t="shared" si="187"/>
        <v>489274.82999999996</v>
      </c>
      <c r="R145" s="1490">
        <f t="shared" si="187"/>
        <v>139723</v>
      </c>
      <c r="S145" s="1490">
        <f t="shared" si="187"/>
        <v>349551.82999999996</v>
      </c>
      <c r="T145" s="1490">
        <f t="shared" si="187"/>
        <v>283565.10000000003</v>
      </c>
      <c r="U145" s="1490">
        <f t="shared" si="187"/>
        <v>21947.85</v>
      </c>
      <c r="V145" s="1490">
        <f t="shared" si="187"/>
        <v>21791.579999999998</v>
      </c>
      <c r="W145" s="1490">
        <f t="shared" si="187"/>
        <v>2764.7</v>
      </c>
      <c r="X145" s="1490">
        <f t="shared" si="187"/>
        <v>19026.879999999997</v>
      </c>
      <c r="Y145" s="1490">
        <f t="shared" si="187"/>
        <v>156.27000000000044</v>
      </c>
      <c r="Z145" s="1490">
        <f t="shared" si="187"/>
        <v>0</v>
      </c>
      <c r="AA145" s="1490">
        <f t="shared" si="187"/>
        <v>0</v>
      </c>
      <c r="AB145" s="1490">
        <f t="shared" si="187"/>
        <v>0</v>
      </c>
      <c r="AC145" s="1490">
        <f t="shared" si="187"/>
        <v>0</v>
      </c>
      <c r="AD145" s="1490">
        <f t="shared" si="187"/>
        <v>0</v>
      </c>
      <c r="AE145" s="1490">
        <f t="shared" si="187"/>
        <v>0</v>
      </c>
      <c r="AF145" s="1490">
        <f t="shared" si="187"/>
        <v>0</v>
      </c>
      <c r="AG145" s="1490">
        <f t="shared" si="187"/>
        <v>0</v>
      </c>
      <c r="AH145" s="1490">
        <f t="shared" si="187"/>
        <v>0</v>
      </c>
      <c r="AI145" s="1490">
        <f t="shared" si="187"/>
        <v>0</v>
      </c>
      <c r="AJ145" s="1490">
        <f t="shared" si="187"/>
        <v>3406735.14</v>
      </c>
      <c r="AK145" s="1490">
        <f>SUM(AK146+AK152)</f>
        <v>2176441.67</v>
      </c>
      <c r="AL145" s="1490">
        <f t="shared" ref="AL145:AP145" si="188">SUM(AL146+AL152)</f>
        <v>1301279.8600000001</v>
      </c>
      <c r="AM145" s="1490">
        <f t="shared" si="188"/>
        <v>875161.80999999994</v>
      </c>
      <c r="AN145" s="1490">
        <f t="shared" si="188"/>
        <v>1230293.47</v>
      </c>
      <c r="AO145" s="1490">
        <f t="shared" si="188"/>
        <v>0</v>
      </c>
      <c r="AP145" s="1490">
        <f t="shared" si="188"/>
        <v>0</v>
      </c>
      <c r="AQ145" s="256">
        <f>SUM(K145-'3 pr-2'!L147)</f>
        <v>0</v>
      </c>
    </row>
    <row r="146" spans="1:43" ht="36" customHeight="1" thickBot="1" x14ac:dyDescent="0.3">
      <c r="A146" s="326" t="str">
        <f>CONCATENATE('3 pr-2'!A148)</f>
        <v>2.1.3.1</v>
      </c>
      <c r="B146" s="2025" t="str">
        <f>CONCATENATE('3 pr-2'!B148)</f>
        <v>Priemonė:
Socialinių paslaugų infrastruktūros plėtra</v>
      </c>
      <c r="C146" s="2026"/>
      <c r="D146" s="2026"/>
      <c r="E146" s="2026"/>
      <c r="F146" s="2026"/>
      <c r="G146" s="2026"/>
      <c r="H146" s="2026"/>
      <c r="I146" s="2026"/>
      <c r="J146" s="2027"/>
      <c r="K146" s="1293">
        <f t="shared" ref="K146:AJ146" si="189">SUM(K147:K151)</f>
        <v>1235321.8</v>
      </c>
      <c r="L146" s="1293">
        <f t="shared" si="189"/>
        <v>775015.91999999993</v>
      </c>
      <c r="M146" s="1293">
        <f t="shared" si="189"/>
        <v>25688.32</v>
      </c>
      <c r="N146" s="1293">
        <f t="shared" si="189"/>
        <v>749327.6</v>
      </c>
      <c r="O146" s="1293">
        <f t="shared" si="189"/>
        <v>460305.88000000012</v>
      </c>
      <c r="P146" s="1293">
        <f t="shared" si="189"/>
        <v>327612.79999999999</v>
      </c>
      <c r="Q146" s="1293">
        <f t="shared" si="189"/>
        <v>275380.95999999996</v>
      </c>
      <c r="R146" s="1293">
        <f t="shared" si="189"/>
        <v>0</v>
      </c>
      <c r="S146" s="1293">
        <f t="shared" si="189"/>
        <v>275380.95999999996</v>
      </c>
      <c r="T146" s="1293">
        <f t="shared" si="189"/>
        <v>52231.840000000011</v>
      </c>
      <c r="U146" s="1293">
        <f t="shared" si="189"/>
        <v>21947.85</v>
      </c>
      <c r="V146" s="1293">
        <f t="shared" si="189"/>
        <v>21791.579999999998</v>
      </c>
      <c r="W146" s="1293">
        <f t="shared" si="189"/>
        <v>2764.7</v>
      </c>
      <c r="X146" s="1293">
        <f t="shared" si="189"/>
        <v>19026.879999999997</v>
      </c>
      <c r="Y146" s="1293">
        <f t="shared" si="189"/>
        <v>156.27000000000044</v>
      </c>
      <c r="Z146" s="1293">
        <f t="shared" si="189"/>
        <v>0</v>
      </c>
      <c r="AA146" s="1293">
        <f t="shared" si="189"/>
        <v>0</v>
      </c>
      <c r="AB146" s="1293">
        <f t="shared" si="189"/>
        <v>0</v>
      </c>
      <c r="AC146" s="1293">
        <f t="shared" si="189"/>
        <v>0</v>
      </c>
      <c r="AD146" s="1293">
        <f t="shared" si="189"/>
        <v>0</v>
      </c>
      <c r="AE146" s="1293">
        <f t="shared" si="189"/>
        <v>0</v>
      </c>
      <c r="AF146" s="1293">
        <f t="shared" si="189"/>
        <v>0</v>
      </c>
      <c r="AG146" s="1293">
        <f t="shared" si="189"/>
        <v>0</v>
      </c>
      <c r="AH146" s="1293">
        <f t="shared" si="189"/>
        <v>0</v>
      </c>
      <c r="AI146" s="1293">
        <f t="shared" si="189"/>
        <v>0</v>
      </c>
      <c r="AJ146" s="1293">
        <f t="shared" si="189"/>
        <v>885761.15</v>
      </c>
      <c r="AK146" s="1293">
        <f>SUM(AK147:AK151)</f>
        <v>477843.38</v>
      </c>
      <c r="AL146" s="1293">
        <f t="shared" ref="AL146:AP146" si="190">SUM(AL147:AL151)</f>
        <v>22923.620000000003</v>
      </c>
      <c r="AM146" s="1293">
        <f t="shared" si="190"/>
        <v>454919.76</v>
      </c>
      <c r="AN146" s="1293">
        <f t="shared" si="190"/>
        <v>407917.76999999996</v>
      </c>
      <c r="AO146" s="1293">
        <f t="shared" si="190"/>
        <v>0</v>
      </c>
      <c r="AP146" s="1293">
        <f t="shared" si="190"/>
        <v>0</v>
      </c>
      <c r="AQ146" s="256">
        <f>SUM(K146-'3 pr-2'!L148)</f>
        <v>0</v>
      </c>
    </row>
    <row r="147" spans="1:43" ht="36.75" x14ac:dyDescent="0.25">
      <c r="A147" s="644" t="str">
        <f>CONCATENATE('3 pr-2'!A149)</f>
        <v>2.1.3.1.1</v>
      </c>
      <c r="B147" s="657" t="str">
        <f>CONCATENATE('3 pr-2'!B149)</f>
        <v>R01-4407-270000-2311</v>
      </c>
      <c r="C147" s="653" t="str">
        <f>CONCATENATE('ketv. 6 '!C148)</f>
        <v>08.1.1-CPVA-R-407-11-0002</v>
      </c>
      <c r="D147" s="254" t="str">
        <f>CONCATENATE('3 pr-2'!D149)</f>
        <v>Socialinių paslaugų infrastruktūros plėtra Varėnos rajono savivaldybėje</v>
      </c>
      <c r="E147" s="182" t="str">
        <f>CONCATENATE('3 pr-2'!E149)</f>
        <v>Varėnos rajono savivaldybės administracija</v>
      </c>
      <c r="F147" s="182" t="str">
        <f>CONCATENATE('3 pr-2'!F149)</f>
        <v>Lietuvos Respublikos socialinės apsaugos ir darbo ministerija</v>
      </c>
      <c r="G147" s="182" t="str">
        <f>CONCATENATE('3 pr-2'!G149)</f>
        <v>Varėnos r. sav.</v>
      </c>
      <c r="H147" s="182" t="str">
        <f>CONCATENATE('3 pr-2'!H149)</f>
        <v>08.1.2-CPVA-R-407</v>
      </c>
      <c r="I147" s="182" t="str">
        <f>CONCATENATE('3 pr-2'!I149)</f>
        <v>R</v>
      </c>
      <c r="J147" s="182" t="str">
        <f>CONCATENATE('3 pr-2'!J149)</f>
        <v>-</v>
      </c>
      <c r="K147" s="1435">
        <f>SUM('3 pr-2'!L149)</f>
        <v>148480</v>
      </c>
      <c r="L147" s="1426">
        <f t="shared" ref="L147:L151" si="191">SUM(Q147+V147+AA147+AF147+AK147)</f>
        <v>13639.25</v>
      </c>
      <c r="M147" s="1298">
        <v>0</v>
      </c>
      <c r="N147" s="1298">
        <f>SUM(L147-M147)</f>
        <v>13639.25</v>
      </c>
      <c r="O147" s="1427">
        <f>SUM(K147-L147)</f>
        <v>134840.75</v>
      </c>
      <c r="P147" s="1435">
        <f>SUM('3 pr-2'!O149)</f>
        <v>22272</v>
      </c>
      <c r="Q147" s="1426">
        <f>SUMIF('mokėjimų ataskaita'!$I$13:$I$600,C147,'mokėjimų ataskaita'!$AU$13:$AU$600)/2</f>
        <v>882.79</v>
      </c>
      <c r="R147" s="1298">
        <v>0</v>
      </c>
      <c r="S147" s="1298">
        <f t="shared" ref="S147:S151" si="192">SUM(Q147-R147)</f>
        <v>882.79</v>
      </c>
      <c r="T147" s="1427">
        <f>SUM(P147-Q147)</f>
        <v>21389.21</v>
      </c>
      <c r="U147" s="1435">
        <f>SUM('3 pr-2'!R149)</f>
        <v>0</v>
      </c>
      <c r="V147" s="1296">
        <f>SUMIF('mokėjimų ataskaita'!$I$13:$I$600,C147,'mokėjimų ataskaita'!$AL$13:$AL$600)/2</f>
        <v>0</v>
      </c>
      <c r="W147" s="1298">
        <v>0</v>
      </c>
      <c r="X147" s="1298">
        <f t="shared" ref="X147:X151" si="193">SUM(V147-W147)</f>
        <v>0</v>
      </c>
      <c r="Y147" s="1427">
        <f t="shared" ref="Y147:Y150" si="194">SUM(U147-V147)</f>
        <v>0</v>
      </c>
      <c r="Z147" s="1435">
        <f>SUM('3 pr-2'!U149)</f>
        <v>0</v>
      </c>
      <c r="AA147" s="1296">
        <f>SUMIF('mokėjimų ataskaita'!$I$13:$I$600,C147,'mokėjimų ataskaita'!$AW$13:$AW$600)/2</f>
        <v>0</v>
      </c>
      <c r="AB147" s="1298"/>
      <c r="AC147" s="1298"/>
      <c r="AD147" s="1427">
        <f t="shared" ref="AD147:AD151" si="195">SUM(Z147-AA147)</f>
        <v>0</v>
      </c>
      <c r="AE147" s="1435">
        <f>SUM('3 pr-2'!X149)</f>
        <v>0</v>
      </c>
      <c r="AF147" s="1296">
        <f>SUMIF('mokėjimų ataskaita'!$I$13:$I$600,C147,'mokėjimų ataskaita'!$AV$13:$AV$600)/2+SUMIF('mokėjimų ataskaita'!$I$13:$I$600,C147,'mokėjimų ataskaita'!$AT$13:$AT$600)/2</f>
        <v>0</v>
      </c>
      <c r="AG147" s="1298"/>
      <c r="AH147" s="1298"/>
      <c r="AI147" s="1427">
        <f t="shared" ref="AI147:AI151" si="196">SUM(AE147-AF147)</f>
        <v>0</v>
      </c>
      <c r="AJ147" s="1435">
        <f>SUM('3 pr-2'!AA149)</f>
        <v>126208</v>
      </c>
      <c r="AK147" s="1426">
        <f>SUMIF('mokėjimų ataskaita'!$I$13:$I$600,C147,'mokėjimų ataskaita'!$AK$13:$AK$600)/2</f>
        <v>12756.46</v>
      </c>
      <c r="AL147" s="1298">
        <v>0</v>
      </c>
      <c r="AM147" s="1298">
        <f t="shared" ref="AM147:AM151" si="197">SUM(AK147-AL147)</f>
        <v>12756.46</v>
      </c>
      <c r="AN147" s="1454">
        <f>SUM(AJ147-AK147)</f>
        <v>113451.54000000001</v>
      </c>
      <c r="AO147" s="1296">
        <f>SUM('3 pr-2'!AB312)</f>
        <v>0</v>
      </c>
      <c r="AP147" s="1426">
        <v>0</v>
      </c>
    </row>
    <row r="148" spans="1:43" ht="36.75" x14ac:dyDescent="0.25">
      <c r="A148" s="644" t="str">
        <f>CONCATENATE('3 pr-2'!A150)</f>
        <v>2.1.3.1.2</v>
      </c>
      <c r="B148" s="657" t="str">
        <f>CONCATENATE('3 pr-2'!B150)</f>
        <v>R01-4407-274800-2312</v>
      </c>
      <c r="C148" s="653" t="str">
        <f>CONCATENATE('ketv. 6 '!C149)</f>
        <v>08.1.1-CPVA-R-407-11-0004</v>
      </c>
      <c r="D148" s="254" t="str">
        <f>CONCATENATE('3 pr-2'!D150)</f>
        <v>Psichosocialinės pagalbos centro įkūrimas</v>
      </c>
      <c r="E148" s="182" t="str">
        <f>CONCATENATE('3 pr-2'!E150)</f>
        <v>Alytaus rajono savivaldybės administracija</v>
      </c>
      <c r="F148" s="182" t="str">
        <f>CONCATENATE('3 pr-2'!F150)</f>
        <v>Lietuvos Respublikos socialinės apsaugos ir darbo ministerija</v>
      </c>
      <c r="G148" s="182" t="str">
        <f>CONCATENATE('3 pr-2'!G150)</f>
        <v>Alytaus r. sav.</v>
      </c>
      <c r="H148" s="182" t="str">
        <f>CONCATENATE('3 pr-2'!H150)</f>
        <v>08.1.2-CPVA-R-407</v>
      </c>
      <c r="I148" s="182" t="str">
        <f>CONCATENATE('3 pr-2'!I150)</f>
        <v>R</v>
      </c>
      <c r="J148" s="182" t="str">
        <f>CONCATENATE('3 pr-2'!J150)</f>
        <v/>
      </c>
      <c r="K148" s="1435">
        <f>SUM('3 pr-2'!L150)</f>
        <v>188353</v>
      </c>
      <c r="L148" s="1426">
        <f t="shared" si="191"/>
        <v>2050.56</v>
      </c>
      <c r="M148" s="1298">
        <v>0</v>
      </c>
      <c r="N148" s="1298">
        <f t="shared" ref="N148:N157" si="198">SUM(L148-M148)</f>
        <v>2050.56</v>
      </c>
      <c r="O148" s="1427">
        <f t="shared" ref="O148:O172" si="199">SUM(K148-L148)</f>
        <v>186302.44</v>
      </c>
      <c r="P148" s="1435">
        <f>SUM('3 pr-2'!O150)</f>
        <v>28253</v>
      </c>
      <c r="Q148" s="1426">
        <f>SUMIF('mokėjimų ataskaita'!$I$13:$I$600,C148,'mokėjimų ataskaita'!$AU$13:$AU$600)/2</f>
        <v>0</v>
      </c>
      <c r="R148" s="1298">
        <v>0</v>
      </c>
      <c r="S148" s="1298">
        <f t="shared" si="192"/>
        <v>0</v>
      </c>
      <c r="T148" s="1427">
        <f>SUM(P148-Q148)</f>
        <v>28253</v>
      </c>
      <c r="U148" s="1435">
        <f>SUM('3 pr-2'!R150)</f>
        <v>0</v>
      </c>
      <c r="V148" s="1296">
        <f>SUMIF('mokėjimų ataskaita'!$I$13:$I$600,C148,'mokėjimų ataskaita'!$AL$13:$AL$600)/2</f>
        <v>0</v>
      </c>
      <c r="W148" s="1298">
        <v>0</v>
      </c>
      <c r="X148" s="1298">
        <f t="shared" si="193"/>
        <v>0</v>
      </c>
      <c r="Y148" s="1427">
        <f t="shared" si="194"/>
        <v>0</v>
      </c>
      <c r="Z148" s="1435">
        <f>SUM('3 pr-2'!U150)</f>
        <v>0</v>
      </c>
      <c r="AA148" s="1296">
        <f>SUMIF('mokėjimų ataskaita'!$I$13:$I$600,C148,'mokėjimų ataskaita'!$AW$13:$AW$600)/2</f>
        <v>0</v>
      </c>
      <c r="AB148" s="1298"/>
      <c r="AC148" s="1298"/>
      <c r="AD148" s="1427">
        <f t="shared" si="195"/>
        <v>0</v>
      </c>
      <c r="AE148" s="1435">
        <f>SUM('3 pr-2'!X150)</f>
        <v>0</v>
      </c>
      <c r="AF148" s="1296">
        <f>SUMIF('mokėjimų ataskaita'!$I$13:$I$600,C148,'mokėjimų ataskaita'!$AV$13:$AV$600)/2+SUMIF('mokėjimų ataskaita'!$I$13:$I$600,C148,'mokėjimų ataskaita'!$AT$13:$AT$600)/2</f>
        <v>0</v>
      </c>
      <c r="AG148" s="1298"/>
      <c r="AH148" s="1298"/>
      <c r="AI148" s="1427">
        <f t="shared" si="196"/>
        <v>0</v>
      </c>
      <c r="AJ148" s="1435">
        <f>SUM('3 pr-2'!AA150)</f>
        <v>160100</v>
      </c>
      <c r="AK148" s="1426">
        <f>SUMIF('mokėjimų ataskaita'!$I$13:$I$600,C148,'mokėjimų ataskaita'!$AK$13:$AK$600)/2</f>
        <v>2050.56</v>
      </c>
      <c r="AL148" s="1298">
        <v>0</v>
      </c>
      <c r="AM148" s="1298">
        <f t="shared" si="197"/>
        <v>2050.56</v>
      </c>
      <c r="AN148" s="1454">
        <f>SUM(AJ148-AK148)</f>
        <v>158049.44</v>
      </c>
      <c r="AO148" s="1296">
        <f>SUM('3 pr-2'!AB313)</f>
        <v>0</v>
      </c>
      <c r="AP148" s="1426">
        <v>0</v>
      </c>
    </row>
    <row r="149" spans="1:43" ht="36.75" x14ac:dyDescent="0.25">
      <c r="A149" s="644" t="str">
        <f>CONCATENATE('3 pr-2'!A151)</f>
        <v>2.1.3.1.3</v>
      </c>
      <c r="B149" s="657" t="str">
        <f>CONCATENATE('3 pr-2'!B151)</f>
        <v>R01-4407-270000-2313</v>
      </c>
      <c r="C149" s="653" t="str">
        <f>CONCATENATE('ketv. 6 '!C150)</f>
        <v>08.1.1-CPVA-R-407-11-0005</v>
      </c>
      <c r="D149" s="254" t="str">
        <f>CONCATENATE('3 pr-2'!D151)</f>
        <v>Socialinių paslaugų plėtra Alytaus mieste</v>
      </c>
      <c r="E149" s="182" t="str">
        <f>CONCATENATE('3 pr-2'!E151)</f>
        <v>Alytaus miesto savivaldybės administracija</v>
      </c>
      <c r="F149" s="182" t="str">
        <f>CONCATENATE('3 pr-2'!F151)</f>
        <v>Lietuvos Respublikos socialinės apsaugos ir darbo ministerija</v>
      </c>
      <c r="G149" s="182" t="str">
        <f>CONCATENATE('3 pr-2'!G151)</f>
        <v>Alytaus m. sav.</v>
      </c>
      <c r="H149" s="182" t="str">
        <f>CONCATENATE('3 pr-2'!H151)</f>
        <v>08.1.2-CPVA-R-407</v>
      </c>
      <c r="I149" s="182" t="str">
        <f>CONCATENATE('3 pr-2'!I151)</f>
        <v>R</v>
      </c>
      <c r="J149" s="182" t="str">
        <f>CONCATENATE('3 pr-2'!J151)</f>
        <v>-</v>
      </c>
      <c r="K149" s="1435">
        <f>SUM('3 pr-2'!L151)</f>
        <v>600732.80000000005</v>
      </c>
      <c r="L149" s="1426">
        <f t="shared" si="191"/>
        <v>599534.93999999994</v>
      </c>
      <c r="M149" s="1298">
        <v>0</v>
      </c>
      <c r="N149" s="1298">
        <f t="shared" si="198"/>
        <v>599534.93999999994</v>
      </c>
      <c r="O149" s="1427">
        <f>SUM(K149-L149)</f>
        <v>1197.8600000001024</v>
      </c>
      <c r="P149" s="1435">
        <f>SUM('3 pr-2'!O151)</f>
        <v>254371.8</v>
      </c>
      <c r="Q149" s="1426">
        <f>SUMIF('mokėjimų ataskaita'!$I$13:$I$600,C149,'mokėjimų ataskaita'!$AU$13:$AU$600)/2</f>
        <v>273409.59999999998</v>
      </c>
      <c r="R149" s="1298">
        <v>0</v>
      </c>
      <c r="S149" s="1298">
        <f t="shared" si="192"/>
        <v>273409.59999999998</v>
      </c>
      <c r="T149" s="1427">
        <f>SUM(P149-Q149)</f>
        <v>-19037.799999999988</v>
      </c>
      <c r="U149" s="1435">
        <f>SUM('3 pr-2'!R151)</f>
        <v>0</v>
      </c>
      <c r="V149" s="1296">
        <f>SUMIF('mokėjimų ataskaita'!$I$13:$I$600,C149,'mokėjimų ataskaita'!$AL$13:$AL$600)/2</f>
        <v>0</v>
      </c>
      <c r="W149" s="1298">
        <v>0</v>
      </c>
      <c r="X149" s="1298">
        <f t="shared" si="193"/>
        <v>0</v>
      </c>
      <c r="Y149" s="1427">
        <f t="shared" si="194"/>
        <v>0</v>
      </c>
      <c r="Z149" s="1435">
        <f>SUM('3 pr-2'!U151)</f>
        <v>0</v>
      </c>
      <c r="AA149" s="1296">
        <f>SUMIF('mokėjimų ataskaita'!$I$13:$I$600,C149,'mokėjimų ataskaita'!$AW$13:$AW$600)/2</f>
        <v>0</v>
      </c>
      <c r="AB149" s="1298"/>
      <c r="AC149" s="1298"/>
      <c r="AD149" s="1427">
        <f t="shared" si="195"/>
        <v>0</v>
      </c>
      <c r="AE149" s="1435">
        <f>SUM('3 pr-2'!X151)</f>
        <v>0</v>
      </c>
      <c r="AF149" s="1296">
        <f>SUMIF('mokėjimų ataskaita'!$I$13:$I$600,C149,'mokėjimų ataskaita'!$AV$13:$AV$600)/2+SUMIF('mokėjimų ataskaita'!$I$13:$I$600,C149,'mokėjimų ataskaita'!$AT$13:$AT$600)/2</f>
        <v>0</v>
      </c>
      <c r="AG149" s="1298"/>
      <c r="AH149" s="1298"/>
      <c r="AI149" s="1427">
        <f t="shared" si="196"/>
        <v>0</v>
      </c>
      <c r="AJ149" s="1435">
        <f>SUM('3 pr-2'!AA151)</f>
        <v>346361</v>
      </c>
      <c r="AK149" s="1426">
        <f>SUMIF('mokėjimų ataskaita'!$I$13:$I$600,C149,'mokėjimų ataskaita'!$AK$13:$AK$600)/2</f>
        <v>326125.34000000003</v>
      </c>
      <c r="AL149" s="1298">
        <v>0</v>
      </c>
      <c r="AM149" s="1298">
        <f t="shared" si="197"/>
        <v>326125.34000000003</v>
      </c>
      <c r="AN149" s="1454">
        <f>SUM(AJ149-AK149)</f>
        <v>20235.659999999974</v>
      </c>
      <c r="AO149" s="1296">
        <f>SUM('3 pr-2'!AB314)</f>
        <v>0</v>
      </c>
      <c r="AP149" s="1426">
        <v>0</v>
      </c>
    </row>
    <row r="150" spans="1:43" ht="36.75" x14ac:dyDescent="0.25">
      <c r="A150" s="644" t="str">
        <f>CONCATENATE('3 pr-2'!A152)</f>
        <v>2.1.3.1.4</v>
      </c>
      <c r="B150" s="657" t="str">
        <f>CONCATENATE('3 pr-2'!B152)</f>
        <v>R01-4407-270000-2314</v>
      </c>
      <c r="C150" s="653" t="str">
        <f>CONCATENATE('ketv. 6 '!C151)</f>
        <v>08.1.1-CPVA-R-407-11-0001</v>
      </c>
      <c r="D150" s="254" t="str">
        <f>CONCATENATE('3 pr-2'!D152)</f>
        <v>Socialinių paslaugų infrastruktūros plėtra Druskininkų savivaldybėje</v>
      </c>
      <c r="E150" s="182" t="str">
        <f>CONCATENATE('3 pr-2'!E152)</f>
        <v>Druskininkų savivaldybės administracija</v>
      </c>
      <c r="F150" s="182" t="str">
        <f>CONCATENATE('3 pr-2'!F152)</f>
        <v>Lietuvos Respublikos socialinės apsaugos ir darbo ministerija</v>
      </c>
      <c r="G150" s="182" t="str">
        <f>CONCATENATE('3 pr-2'!G152)</f>
        <v>Druskininkų sav.</v>
      </c>
      <c r="H150" s="182" t="str">
        <f>CONCATENATE('3 pr-2'!H152)</f>
        <v>08.1.2-CPVA-R-407</v>
      </c>
      <c r="I150" s="182" t="str">
        <f>CONCATENATE('3 pr-2'!I152)</f>
        <v>R</v>
      </c>
      <c r="J150" s="182" t="str">
        <f>CONCATENATE('3 pr-2'!J152)</f>
        <v>-</v>
      </c>
      <c r="K150" s="1435">
        <f>SUM('3 pr-2'!L152)</f>
        <v>151437</v>
      </c>
      <c r="L150" s="1426">
        <f t="shared" si="191"/>
        <v>14514</v>
      </c>
      <c r="M150" s="1298">
        <v>7257</v>
      </c>
      <c r="N150" s="1298">
        <f t="shared" si="198"/>
        <v>7257</v>
      </c>
      <c r="O150" s="1427">
        <f>SUM(K150-L150)</f>
        <v>136923</v>
      </c>
      <c r="P150" s="1435">
        <f>SUM('3 pr-2'!O152)</f>
        <v>22716</v>
      </c>
      <c r="Q150" s="1426">
        <f>SUMIF('mokėjimų ataskaita'!$I$13:$I$600,C150,'mokėjimų ataskaita'!$AU$13:$AU$600)/2</f>
        <v>1088.57</v>
      </c>
      <c r="R150" s="1298">
        <v>0</v>
      </c>
      <c r="S150" s="1298">
        <f t="shared" si="192"/>
        <v>1088.57</v>
      </c>
      <c r="T150" s="1427">
        <f>SUM(P150-Q150)</f>
        <v>21627.43</v>
      </c>
      <c r="U150" s="1435">
        <f>SUM('3 pr-2'!R152)</f>
        <v>0</v>
      </c>
      <c r="V150" s="1432">
        <f>SUMIF('mokėjimų ataskaita'!$I$13:$I$600,C150,'mokėjimų ataskaita'!$AL$13:$AL$600)/2</f>
        <v>0</v>
      </c>
      <c r="W150" s="1298">
        <v>0</v>
      </c>
      <c r="X150" s="1298">
        <f t="shared" si="193"/>
        <v>0</v>
      </c>
      <c r="Y150" s="1427">
        <f t="shared" si="194"/>
        <v>0</v>
      </c>
      <c r="Z150" s="1435">
        <f>SUM('3 pr-2'!U152)</f>
        <v>0</v>
      </c>
      <c r="AA150" s="1296">
        <f>SUMIF('mokėjimų ataskaita'!$I$13:$I$600,C150,'mokėjimų ataskaita'!$AW$13:$AW$600)/2</f>
        <v>0</v>
      </c>
      <c r="AB150" s="1298"/>
      <c r="AC150" s="1298"/>
      <c r="AD150" s="1427">
        <f t="shared" si="195"/>
        <v>0</v>
      </c>
      <c r="AE150" s="1435">
        <f>SUM('3 pr-2'!X152)</f>
        <v>0</v>
      </c>
      <c r="AF150" s="1296">
        <f>SUMIF('mokėjimų ataskaita'!$I$13:$I$600,C150,'mokėjimų ataskaita'!$AV$13:$AV$600)/2+SUMIF('mokėjimų ataskaita'!$I$13:$I$600,C150,'mokėjimų ataskaita'!$AT$13:$AT$600)/2</f>
        <v>0</v>
      </c>
      <c r="AG150" s="1298"/>
      <c r="AH150" s="1298"/>
      <c r="AI150" s="1427">
        <f t="shared" si="196"/>
        <v>0</v>
      </c>
      <c r="AJ150" s="1435">
        <f>SUM('3 pr-2'!AA152)</f>
        <v>128721</v>
      </c>
      <c r="AK150" s="1426">
        <f>SUMIF('mokėjimų ataskaita'!$I$13:$I$600,C150,'mokėjimų ataskaita'!$AK$13:$AK$600)/2</f>
        <v>13425.43</v>
      </c>
      <c r="AL150" s="1298">
        <v>7257</v>
      </c>
      <c r="AM150" s="1298">
        <f t="shared" si="197"/>
        <v>6168.43</v>
      </c>
      <c r="AN150" s="1454">
        <f>SUM(AJ150-AK150)</f>
        <v>115295.57</v>
      </c>
      <c r="AO150" s="1296">
        <f>SUM('3 pr-2'!AB315)</f>
        <v>0</v>
      </c>
      <c r="AP150" s="1426">
        <v>0</v>
      </c>
    </row>
    <row r="151" spans="1:43" ht="49.5" thickBot="1" x14ac:dyDescent="0.3">
      <c r="A151" s="644" t="str">
        <f>CONCATENATE('3 pr-2'!A153)</f>
        <v>2.1.3.1.5</v>
      </c>
      <c r="B151" s="657" t="str">
        <f>CONCATENATE('3 pr-2'!B153)</f>
        <v>R01-4407-270000-2315</v>
      </c>
      <c r="C151" s="653" t="str">
        <f>CONCATENATE('ketv. 6 '!C152)</f>
        <v>08.1.1-CPVA-R-407-11-0003</v>
      </c>
      <c r="D151" s="254" t="str">
        <f>CONCATENATE('3 pr-2'!D153)</f>
        <v>Socialinių paslaugų infrastruktūros modernizavimas ir plėtra VšĮ Kapčiamiesčio globos namuose</v>
      </c>
      <c r="E151" s="182" t="str">
        <f>CONCATENATE('3 pr-2'!E153)</f>
        <v>VšĮ Kapčiamiesčio globos namai</v>
      </c>
      <c r="F151" s="182" t="str">
        <f>CONCATENATE('3 pr-2'!F153)</f>
        <v>Lietuvos Respublikos socialinės apsaugos ir darbo ministerija</v>
      </c>
      <c r="G151" s="182" t="str">
        <f>CONCATENATE('3 pr-2'!G153)</f>
        <v>Lazdijų r. sav.</v>
      </c>
      <c r="H151" s="182" t="str">
        <f>CONCATENATE('3 pr-2'!H153)</f>
        <v>08.1.2-CPVA-R-407</v>
      </c>
      <c r="I151" s="182" t="str">
        <f>CONCATENATE('3 pr-2'!I153)</f>
        <v>R</v>
      </c>
      <c r="J151" s="182" t="str">
        <f>CONCATENATE('3 pr-2'!J153)</f>
        <v>-</v>
      </c>
      <c r="K151" s="1435">
        <f>SUM('3 pr-2'!L153)</f>
        <v>146319</v>
      </c>
      <c r="L151" s="1426">
        <f t="shared" si="191"/>
        <v>145277.16999999998</v>
      </c>
      <c r="M151" s="1298">
        <v>18431.32</v>
      </c>
      <c r="N151" s="1298">
        <f t="shared" si="198"/>
        <v>126845.84999999998</v>
      </c>
      <c r="O151" s="1427">
        <f t="shared" si="199"/>
        <v>1041.8300000000163</v>
      </c>
      <c r="P151" s="1435">
        <f>SUM('3 pr-2'!O153)</f>
        <v>0</v>
      </c>
      <c r="Q151" s="1426">
        <f>SUMIF('mokėjimų ataskaita'!$I$13:$I$600,C151,'mokėjimų ataskaita'!$AU$13:$AU$600)/2</f>
        <v>0</v>
      </c>
      <c r="R151" s="1298">
        <v>0</v>
      </c>
      <c r="S151" s="1298">
        <f t="shared" si="192"/>
        <v>0</v>
      </c>
      <c r="T151" s="1427">
        <f>SUM(P151-Q151)</f>
        <v>0</v>
      </c>
      <c r="U151" s="1435">
        <f>SUM('3 pr-2'!R153)</f>
        <v>21947.85</v>
      </c>
      <c r="V151" s="1426">
        <f>SUMIF('mokėjimų ataskaita'!$I$13:$I$600,C151,'mokėjimų ataskaita'!$AL$13:$AL$600)/2</f>
        <v>21791.579999999998</v>
      </c>
      <c r="W151" s="1298">
        <v>2764.7</v>
      </c>
      <c r="X151" s="1298">
        <f t="shared" si="193"/>
        <v>19026.879999999997</v>
      </c>
      <c r="Y151" s="1427">
        <f t="shared" ref="Y151:Y179" si="200">SUM(U151-V151)</f>
        <v>156.27000000000044</v>
      </c>
      <c r="Z151" s="1435">
        <f>SUM('3 pr-2'!U153)</f>
        <v>0</v>
      </c>
      <c r="AA151" s="1432">
        <f>SUMIF('mokėjimų ataskaita'!$I$13:$I$600,C151,'mokėjimų ataskaita'!$AW$13:$AW$600)/2</f>
        <v>0</v>
      </c>
      <c r="AB151" s="1298"/>
      <c r="AC151" s="1298"/>
      <c r="AD151" s="1432">
        <f t="shared" si="195"/>
        <v>0</v>
      </c>
      <c r="AE151" s="1435">
        <f>SUM('3 pr-2'!X153)</f>
        <v>0</v>
      </c>
      <c r="AF151" s="1432">
        <f>SUMIF('mokėjimų ataskaita'!$I$13:$I$600,C151,'mokėjimų ataskaita'!$AV$13:$AV$600)/2+SUMIF('mokėjimų ataskaita'!$I$13:$I$600,C151,'mokėjimų ataskaita'!$AT$13:$AT$600)/2</f>
        <v>0</v>
      </c>
      <c r="AG151" s="1298"/>
      <c r="AH151" s="1298"/>
      <c r="AI151" s="1432">
        <f t="shared" si="196"/>
        <v>0</v>
      </c>
      <c r="AJ151" s="1435">
        <f>SUM('3 pr-2'!AA153)</f>
        <v>124371.15</v>
      </c>
      <c r="AK151" s="1426">
        <f>SUMIF('mokėjimų ataskaita'!$I$13:$I$600,C151,'mokėjimų ataskaita'!$AK$13:$AK$600)/2</f>
        <v>123485.59</v>
      </c>
      <c r="AL151" s="1298">
        <v>15666.62</v>
      </c>
      <c r="AM151" s="1298">
        <f t="shared" si="197"/>
        <v>107818.97</v>
      </c>
      <c r="AN151" s="1429">
        <f>SUM(AJ151-AK151)</f>
        <v>885.55999999999767</v>
      </c>
      <c r="AO151" s="1296">
        <f>SUM('3 pr-2'!AB316)</f>
        <v>0</v>
      </c>
      <c r="AP151" s="1426">
        <v>0</v>
      </c>
    </row>
    <row r="152" spans="1:43" ht="39.75" customHeight="1" thickBot="1" x14ac:dyDescent="0.3">
      <c r="A152" s="326" t="str">
        <f>CONCATENATE('3 pr-2'!A154)</f>
        <v>2.1.3.2</v>
      </c>
      <c r="B152" s="2025" t="str">
        <f>CONCATENATE('3 pr-2'!B154)</f>
        <v>Priemonė:
Socialinio būsto fondo plėtra</v>
      </c>
      <c r="C152" s="2026"/>
      <c r="D152" s="2026"/>
      <c r="E152" s="2026"/>
      <c r="F152" s="2026"/>
      <c r="G152" s="2026"/>
      <c r="H152" s="2026"/>
      <c r="I152" s="2026"/>
      <c r="J152" s="2027"/>
      <c r="K152" s="1293">
        <f t="shared" ref="K152:AJ152" si="201">SUM(K153:K157)</f>
        <v>2966201.12</v>
      </c>
      <c r="L152" s="1293">
        <f t="shared" si="201"/>
        <v>1912492.16</v>
      </c>
      <c r="M152" s="1293">
        <f t="shared" si="201"/>
        <v>1418079.24</v>
      </c>
      <c r="N152" s="1293">
        <f t="shared" si="201"/>
        <v>494412.92</v>
      </c>
      <c r="O152" s="1293">
        <f t="shared" si="201"/>
        <v>1053708.96</v>
      </c>
      <c r="P152" s="1293">
        <f t="shared" si="201"/>
        <v>445227.13</v>
      </c>
      <c r="Q152" s="1293">
        <f t="shared" si="201"/>
        <v>213893.87</v>
      </c>
      <c r="R152" s="1293">
        <f t="shared" si="201"/>
        <v>139723</v>
      </c>
      <c r="S152" s="1293">
        <f t="shared" si="201"/>
        <v>74170.87</v>
      </c>
      <c r="T152" s="1293">
        <f t="shared" si="201"/>
        <v>231333.26</v>
      </c>
      <c r="U152" s="1293">
        <f t="shared" si="201"/>
        <v>0</v>
      </c>
      <c r="V152" s="1293">
        <f t="shared" si="201"/>
        <v>0</v>
      </c>
      <c r="W152" s="1293">
        <f t="shared" si="201"/>
        <v>0</v>
      </c>
      <c r="X152" s="1293">
        <f t="shared" si="201"/>
        <v>0</v>
      </c>
      <c r="Y152" s="1293">
        <f t="shared" si="201"/>
        <v>0</v>
      </c>
      <c r="Z152" s="1293">
        <f t="shared" si="201"/>
        <v>0</v>
      </c>
      <c r="AA152" s="1293">
        <f t="shared" si="201"/>
        <v>0</v>
      </c>
      <c r="AB152" s="1293">
        <f t="shared" si="201"/>
        <v>0</v>
      </c>
      <c r="AC152" s="1293">
        <f t="shared" si="201"/>
        <v>0</v>
      </c>
      <c r="AD152" s="1293">
        <f t="shared" si="201"/>
        <v>0</v>
      </c>
      <c r="AE152" s="1293">
        <f t="shared" si="201"/>
        <v>0</v>
      </c>
      <c r="AF152" s="1293">
        <f t="shared" si="201"/>
        <v>0</v>
      </c>
      <c r="AG152" s="1293">
        <f t="shared" si="201"/>
        <v>0</v>
      </c>
      <c r="AH152" s="1293">
        <f t="shared" si="201"/>
        <v>0</v>
      </c>
      <c r="AI152" s="1293">
        <f t="shared" si="201"/>
        <v>0</v>
      </c>
      <c r="AJ152" s="1293">
        <f t="shared" si="201"/>
        <v>2520973.9900000002</v>
      </c>
      <c r="AK152" s="1293">
        <f>SUM(AK153:AK157)</f>
        <v>1698598.29</v>
      </c>
      <c r="AL152" s="1293">
        <f t="shared" ref="AL152:AP152" si="202">SUM(AL153:AL157)</f>
        <v>1278356.24</v>
      </c>
      <c r="AM152" s="1293">
        <f t="shared" si="202"/>
        <v>420242.04999999993</v>
      </c>
      <c r="AN152" s="1293">
        <f t="shared" si="202"/>
        <v>822375.7</v>
      </c>
      <c r="AO152" s="1293">
        <f t="shared" si="202"/>
        <v>0</v>
      </c>
      <c r="AP152" s="1293">
        <f t="shared" si="202"/>
        <v>0</v>
      </c>
      <c r="AQ152" s="256">
        <f>SUM(K152-'3 pr-2'!L154)</f>
        <v>0</v>
      </c>
    </row>
    <row r="153" spans="1:43" ht="36.75" x14ac:dyDescent="0.25">
      <c r="A153" s="644" t="str">
        <f>CONCATENATE('3 pr-2'!A155)</f>
        <v>2.1.3.2.1</v>
      </c>
      <c r="B153" s="657" t="str">
        <f>CONCATENATE('3 pr-2'!B155)</f>
        <v>R01-4408-260000-2321</v>
      </c>
      <c r="C153" s="653" t="str">
        <f>CONCATENATE('ketv. 6 '!C154)</f>
        <v>08.1.2-CPVA-R-408-11-0001</v>
      </c>
      <c r="D153" s="254" t="str">
        <f>CONCATENATE('3 pr-2'!D155)</f>
        <v>Socialinio būsto plėtra Varėnos rajone</v>
      </c>
      <c r="E153" s="182" t="str">
        <f>CONCATENATE('3 pr-2'!E155)</f>
        <v>Varėnos rajono savivaldybės administracija</v>
      </c>
      <c r="F153" s="182" t="str">
        <f>CONCATENATE('3 pr-2'!F155)</f>
        <v>Lietuvos Respublikos socialinės apsaugos ir darbo ministerija</v>
      </c>
      <c r="G153" s="182" t="str">
        <f>CONCATENATE('3 pr-2'!G155)</f>
        <v>Varėnos r. sav.</v>
      </c>
      <c r="H153" s="182" t="str">
        <f>CONCATENATE('3 pr-2'!H155)</f>
        <v>08.1.1-CPVA·R-408</v>
      </c>
      <c r="I153" s="182" t="str">
        <f>CONCATENATE('3 pr-2'!I155)</f>
        <v>R</v>
      </c>
      <c r="J153" s="182" t="str">
        <f>CONCATENATE('3 pr-2'!J155)</f>
        <v>-</v>
      </c>
      <c r="K153" s="1435">
        <f>SUM('3 pr-2'!L155)</f>
        <v>736499</v>
      </c>
      <c r="L153" s="1426">
        <f t="shared" ref="L153:L157" si="203">SUM(Q153+V153+AA153+AF153+AK153)</f>
        <v>492608.49999999994</v>
      </c>
      <c r="M153" s="1298">
        <v>418850.32</v>
      </c>
      <c r="N153" s="1298">
        <f t="shared" si="198"/>
        <v>73758.179999999935</v>
      </c>
      <c r="O153" s="1432">
        <f t="shared" si="199"/>
        <v>243890.50000000006</v>
      </c>
      <c r="P153" s="1435">
        <f>SUM('3 pr-2'!O155)</f>
        <v>110475</v>
      </c>
      <c r="Q153" s="1426">
        <f>SUMIF('mokėjimų ataskaita'!$I$13:$I$600,C153,'mokėjimų ataskaita'!$AU$13:$AU$600)/2</f>
        <v>53902.67</v>
      </c>
      <c r="R153" s="1298">
        <v>42838.93</v>
      </c>
      <c r="S153" s="1298">
        <f t="shared" ref="S153:S157" si="204">SUM(Q153-R153)</f>
        <v>11063.739999999998</v>
      </c>
      <c r="T153" s="1432">
        <f t="shared" ref="T153:T157" si="205">SUM(P153-Q153)</f>
        <v>56572.33</v>
      </c>
      <c r="U153" s="1435">
        <f>SUM('3 pr-2'!R155)</f>
        <v>0</v>
      </c>
      <c r="V153" s="1432">
        <f>SUMIF('mokėjimų ataskaita'!$I$13:$I$600,C153,'mokėjimų ataskaita'!$AL$13:$AL$600)/2</f>
        <v>0</v>
      </c>
      <c r="W153" s="1298"/>
      <c r="X153" s="1298"/>
      <c r="Y153" s="1432">
        <f t="shared" ref="Y153:Y157" si="206">SUM(U153-V153)</f>
        <v>0</v>
      </c>
      <c r="Z153" s="1435">
        <f>SUM('3 pr-2'!U155)</f>
        <v>0</v>
      </c>
      <c r="AA153" s="1432">
        <f>SUMIF('mokėjimų ataskaita'!$I$13:$I$600,C153,'mokėjimų ataskaita'!$AW$13:$AW$600)/2</f>
        <v>0</v>
      </c>
      <c r="AB153" s="1298"/>
      <c r="AC153" s="1298"/>
      <c r="AD153" s="1432">
        <f t="shared" ref="AD153:AD157" si="207">SUM(Z153-AA153)</f>
        <v>0</v>
      </c>
      <c r="AE153" s="1435">
        <f>SUM('3 pr-2'!X155)</f>
        <v>0</v>
      </c>
      <c r="AF153" s="1432">
        <f>SUMIF('mokėjimų ataskaita'!$I$13:$I$600,C153,'mokėjimų ataskaita'!$AV$13:$AV$600)/2+SUMIF('mokėjimų ataskaita'!$I$13:$I$600,C153,'mokėjimų ataskaita'!$AT$13:$AT$600)/2</f>
        <v>0</v>
      </c>
      <c r="AG153" s="1298"/>
      <c r="AH153" s="1298"/>
      <c r="AI153" s="1432">
        <f t="shared" ref="AI153:AI157" si="208">SUM(AE153-AF153)</f>
        <v>0</v>
      </c>
      <c r="AJ153" s="1435">
        <f>SUM('3 pr-2'!AA155)</f>
        <v>626024</v>
      </c>
      <c r="AK153" s="1426">
        <f>SUMIF('mokėjimų ataskaita'!$I$13:$I$600,C153,'mokėjimų ataskaita'!$AK$13:$AK$600)/2</f>
        <v>438705.82999999996</v>
      </c>
      <c r="AL153" s="1298">
        <v>376011.39</v>
      </c>
      <c r="AM153" s="1298">
        <f t="shared" ref="AM153:AM157" si="209">SUM(AK153-AL153)</f>
        <v>62694.439999999944</v>
      </c>
      <c r="AN153" s="1429">
        <f t="shared" ref="AN153:AN157" si="210">SUM(AJ153-AK153)</f>
        <v>187318.17000000004</v>
      </c>
      <c r="AO153" s="1296">
        <f>SUM('3 pr-2'!AB318)</f>
        <v>0</v>
      </c>
      <c r="AP153" s="1426">
        <v>0</v>
      </c>
    </row>
    <row r="154" spans="1:43" ht="48.75" x14ac:dyDescent="0.25">
      <c r="A154" s="644" t="str">
        <f>CONCATENATE('3 pr-2'!A156)</f>
        <v>2.1.3.2.2</v>
      </c>
      <c r="B154" s="657" t="str">
        <f>CONCATENATE('3 pr-2'!B156)</f>
        <v>R01-4408-250000-2322</v>
      </c>
      <c r="C154" s="653" t="str">
        <f>CONCATENATE('ketv. 6 '!C155)</f>
        <v>08.1.2-CPVA-R-408-11-0005</v>
      </c>
      <c r="D154" s="254" t="str">
        <f>CONCATENATE('3 pr-2'!D156)</f>
        <v>Būsto prieinamumo pažeidžiamoms gyventojų grupėms didinimas Alytaus rajone</v>
      </c>
      <c r="E154" s="182" t="str">
        <f>CONCATENATE('3 pr-2'!E156)</f>
        <v>Alytaus rajono savivaldybės administracija</v>
      </c>
      <c r="F154" s="182" t="str">
        <f>CONCATENATE('3 pr-2'!F156)</f>
        <v>Lietuvos Respublikos socialinės apsaugos ir darbo ministerija</v>
      </c>
      <c r="G154" s="182" t="str">
        <f>CONCATENATE('3 pr-2'!G156)</f>
        <v>Alytaus r. sav.</v>
      </c>
      <c r="H154" s="182" t="str">
        <f>CONCATENATE('3 pr-2'!H156)</f>
        <v>08.1.1-CPVA·R-408</v>
      </c>
      <c r="I154" s="182" t="str">
        <f>CONCATENATE('3 pr-2'!I156)</f>
        <v>R</v>
      </c>
      <c r="J154" s="182" t="str">
        <f>CONCATENATE('3 pr-2'!J156)</f>
        <v>-</v>
      </c>
      <c r="K154" s="1435">
        <f>SUM('3 pr-2'!L156)</f>
        <v>241889</v>
      </c>
      <c r="L154" s="1426">
        <f t="shared" si="203"/>
        <v>231780.78</v>
      </c>
      <c r="M154" s="1298">
        <v>104787.71</v>
      </c>
      <c r="N154" s="1298">
        <f t="shared" si="198"/>
        <v>126993.06999999999</v>
      </c>
      <c r="O154" s="1432">
        <f t="shared" ref="O154" si="211">SUM(K154-L154)</f>
        <v>10108.220000000001</v>
      </c>
      <c r="P154" s="1435">
        <f>SUM('3 pr-2'!O156)</f>
        <v>36283</v>
      </c>
      <c r="Q154" s="1426">
        <f>SUMIF('mokėjimų ataskaita'!$I$13:$I$600,C154,'mokėjimų ataskaita'!$AU$13:$AU$600)/2</f>
        <v>34767.120000000003</v>
      </c>
      <c r="R154" s="1298">
        <v>15718.16</v>
      </c>
      <c r="S154" s="1298">
        <f t="shared" si="204"/>
        <v>19048.960000000003</v>
      </c>
      <c r="T154" s="1432">
        <f t="shared" si="205"/>
        <v>1515.8799999999974</v>
      </c>
      <c r="U154" s="1435">
        <f>SUM('3 pr-2'!R156)</f>
        <v>0</v>
      </c>
      <c r="V154" s="1432">
        <f>SUMIF('mokėjimų ataskaita'!$I$13:$I$600,C154,'mokėjimų ataskaita'!$AL$13:$AL$600)/2</f>
        <v>0</v>
      </c>
      <c r="W154" s="1298"/>
      <c r="X154" s="1298"/>
      <c r="Y154" s="1432">
        <f t="shared" si="206"/>
        <v>0</v>
      </c>
      <c r="Z154" s="1435">
        <f>SUM('3 pr-2'!U156)</f>
        <v>0</v>
      </c>
      <c r="AA154" s="1432">
        <f>SUMIF('mokėjimų ataskaita'!$I$13:$I$600,C154,'mokėjimų ataskaita'!$AW$13:$AW$600)/2</f>
        <v>0</v>
      </c>
      <c r="AB154" s="1298"/>
      <c r="AC154" s="1298"/>
      <c r="AD154" s="1432">
        <f t="shared" si="207"/>
        <v>0</v>
      </c>
      <c r="AE154" s="1435">
        <f>SUM('3 pr-2'!X156)</f>
        <v>0</v>
      </c>
      <c r="AF154" s="1432">
        <f>SUMIF('mokėjimų ataskaita'!$I$13:$I$600,C154,'mokėjimų ataskaita'!$AV$13:$AV$600)/2+SUMIF('mokėjimų ataskaita'!$I$13:$I$600,C154,'mokėjimų ataskaita'!$AT$13:$AT$600)/2</f>
        <v>0</v>
      </c>
      <c r="AG154" s="1298"/>
      <c r="AH154" s="1298"/>
      <c r="AI154" s="1432">
        <f t="shared" si="208"/>
        <v>0</v>
      </c>
      <c r="AJ154" s="1435">
        <f>SUM('3 pr-2'!AA156)</f>
        <v>205606</v>
      </c>
      <c r="AK154" s="1426">
        <f>SUMIF('mokėjimų ataskaita'!$I$13:$I$600,C154,'mokėjimų ataskaita'!$AK$13:$AK$600)/2</f>
        <v>197013.66</v>
      </c>
      <c r="AL154" s="1298">
        <v>89069.55</v>
      </c>
      <c r="AM154" s="1298">
        <f t="shared" si="209"/>
        <v>107944.11</v>
      </c>
      <c r="AN154" s="1454">
        <f t="shared" si="210"/>
        <v>8592.3399999999965</v>
      </c>
      <c r="AO154" s="1296">
        <f>SUM('3 pr-2'!AB319)</f>
        <v>0</v>
      </c>
      <c r="AP154" s="1426">
        <v>0</v>
      </c>
    </row>
    <row r="155" spans="1:43" ht="36.75" x14ac:dyDescent="0.25">
      <c r="A155" s="644" t="str">
        <f>CONCATENATE('3 pr-2'!A157)</f>
        <v>2.1.3.1.3</v>
      </c>
      <c r="B155" s="657" t="str">
        <f>CONCATENATE('3 pr-2'!B157)</f>
        <v>R01-4408-260000-2323</v>
      </c>
      <c r="C155" s="653" t="str">
        <f>CONCATENATE('ketv. 6 '!C156)</f>
        <v>08.1.2-CPVA-R-408-11-0002</v>
      </c>
      <c r="D155" s="254" t="str">
        <f>CONCATENATE('3 pr-2'!D157)</f>
        <v>Socialinio būsto plėtra Alytaus mieste</v>
      </c>
      <c r="E155" s="182" t="str">
        <f>CONCATENATE('3 pr-2'!E157)</f>
        <v>Alytaus miesto savivaldybės administracija</v>
      </c>
      <c r="F155" s="182" t="str">
        <f>CONCATENATE('3 pr-2'!F157)</f>
        <v>Lietuvos Respublikos socialinės apsaugos ir darbo ministerija</v>
      </c>
      <c r="G155" s="182" t="str">
        <f>CONCATENATE('3 pr-2'!G157)</f>
        <v>Alytaus m. sav.</v>
      </c>
      <c r="H155" s="182" t="str">
        <f>CONCATENATE('3 pr-2'!H157)</f>
        <v>08.1.1-CPVA·R-408</v>
      </c>
      <c r="I155" s="182" t="str">
        <f>CONCATENATE('3 pr-2'!I157)</f>
        <v>R</v>
      </c>
      <c r="J155" s="182" t="str">
        <f>CONCATENATE('3 pr-2'!J157)</f>
        <v>-</v>
      </c>
      <c r="K155" s="1435">
        <f>SUM('3 pr-2'!L157)</f>
        <v>891741.17999999993</v>
      </c>
      <c r="L155" s="1426">
        <f t="shared" si="203"/>
        <v>664377.61</v>
      </c>
      <c r="M155" s="1298">
        <v>591608.44999999995</v>
      </c>
      <c r="N155" s="1298">
        <f t="shared" si="198"/>
        <v>72769.160000000033</v>
      </c>
      <c r="O155" s="1432">
        <f t="shared" si="199"/>
        <v>227363.56999999995</v>
      </c>
      <c r="P155" s="1435">
        <f>SUM('3 pr-2'!O157)</f>
        <v>133761.18</v>
      </c>
      <c r="Q155" s="1426">
        <f>SUMIF('mokėjimų ataskaita'!$I$13:$I$600,C155,'mokėjimų ataskaita'!$AU$13:$AU$600)/2</f>
        <v>78520.14</v>
      </c>
      <c r="R155" s="1298">
        <v>67604.77</v>
      </c>
      <c r="S155" s="1298">
        <f t="shared" si="204"/>
        <v>10915.369999999995</v>
      </c>
      <c r="T155" s="1432">
        <f t="shared" si="205"/>
        <v>55241.039999999994</v>
      </c>
      <c r="U155" s="1435">
        <f>SUM('3 pr-2'!R157)</f>
        <v>0</v>
      </c>
      <c r="V155" s="1432">
        <f>SUMIF('mokėjimų ataskaita'!$I$13:$I$600,C155,'mokėjimų ataskaita'!$AL$13:$AL$600)/2</f>
        <v>0</v>
      </c>
      <c r="W155" s="1298"/>
      <c r="X155" s="1298"/>
      <c r="Y155" s="1432">
        <f t="shared" si="206"/>
        <v>0</v>
      </c>
      <c r="Z155" s="1435">
        <f>SUM('3 pr-2'!U157)</f>
        <v>0</v>
      </c>
      <c r="AA155" s="1432">
        <f>SUMIF('mokėjimų ataskaita'!$I$13:$I$600,C155,'mokėjimų ataskaita'!$AW$13:$AW$600)/2</f>
        <v>0</v>
      </c>
      <c r="AB155" s="1298"/>
      <c r="AC155" s="1298"/>
      <c r="AD155" s="1432">
        <f t="shared" si="207"/>
        <v>0</v>
      </c>
      <c r="AE155" s="1435">
        <f>SUM('3 pr-2'!X157)</f>
        <v>0</v>
      </c>
      <c r="AF155" s="1432">
        <f>SUMIF('mokėjimų ataskaita'!$I$13:$I$600,C155,'mokėjimų ataskaita'!$AV$13:$AV$600)/2+SUMIF('mokėjimų ataskaita'!$I$13:$I$600,C155,'mokėjimų ataskaita'!$AT$13:$AT$600)/2</f>
        <v>0</v>
      </c>
      <c r="AG155" s="1298"/>
      <c r="AH155" s="1298"/>
      <c r="AI155" s="1432">
        <f t="shared" si="208"/>
        <v>0</v>
      </c>
      <c r="AJ155" s="1435">
        <f>SUM('3 pr-2'!AA157)</f>
        <v>757980</v>
      </c>
      <c r="AK155" s="1426">
        <f>SUMIF('mokėjimų ataskaita'!$I$13:$I$600,C155,'mokėjimų ataskaita'!$AK$13:$AK$600)/2</f>
        <v>585857.47</v>
      </c>
      <c r="AL155" s="1298">
        <v>524003.68</v>
      </c>
      <c r="AM155" s="1298">
        <f t="shared" si="209"/>
        <v>61853.789999999979</v>
      </c>
      <c r="AN155" s="1429">
        <f t="shared" si="210"/>
        <v>172122.53000000003</v>
      </c>
      <c r="AO155" s="1296">
        <f>SUM('3 pr-2'!AB320)</f>
        <v>0</v>
      </c>
      <c r="AP155" s="1426">
        <v>0</v>
      </c>
    </row>
    <row r="156" spans="1:43" ht="36.75" x14ac:dyDescent="0.25">
      <c r="A156" s="644" t="str">
        <f>CONCATENATE('3 pr-2'!A158)</f>
        <v>2.1.3.2.4</v>
      </c>
      <c r="B156" s="657" t="str">
        <f>CONCATENATE('3 pr-2'!B158)</f>
        <v>R01-4408-260000-2324</v>
      </c>
      <c r="C156" s="653" t="str">
        <f>CONCATENATE('ketv. 6 '!C157)</f>
        <v>08.1.2-CPVA-R-408-11-0003</v>
      </c>
      <c r="D156" s="254" t="str">
        <f>CONCATENATE('3 pr-2'!D158)</f>
        <v>Socialinio būsto fondo plėtra Druskininkų savivaldybėje</v>
      </c>
      <c r="E156" s="182" t="str">
        <f>CONCATENATE('3 pr-2'!E158)</f>
        <v>Druskininkų savivaldybės administracija</v>
      </c>
      <c r="F156" s="182" t="str">
        <f>CONCATENATE('3 pr-2'!F158)</f>
        <v>Lietuvos Respublikos socialinės apsaugos ir darbo ministerija</v>
      </c>
      <c r="G156" s="182" t="str">
        <f>CONCATENATE('3 pr-2'!G158)</f>
        <v>Druskininkų sav.</v>
      </c>
      <c r="H156" s="182" t="str">
        <f>CONCATENATE('3 pr-2'!H158)</f>
        <v>08.1.1-CPVA·R-408</v>
      </c>
      <c r="I156" s="182" t="str">
        <f>CONCATENATE('3 pr-2'!I158)</f>
        <v>R</v>
      </c>
      <c r="J156" s="182" t="str">
        <f>CONCATENATE('3 pr-2'!J158)</f>
        <v>-</v>
      </c>
      <c r="K156" s="1435">
        <f>SUM('3 pr-2'!L158)</f>
        <v>727472.94</v>
      </c>
      <c r="L156" s="1426">
        <f t="shared" si="203"/>
        <v>363542.92</v>
      </c>
      <c r="M156" s="1298">
        <v>153706.56</v>
      </c>
      <c r="N156" s="1298">
        <f t="shared" si="198"/>
        <v>209836.36</v>
      </c>
      <c r="O156" s="1432">
        <f t="shared" si="199"/>
        <v>363930.01999999996</v>
      </c>
      <c r="P156" s="1435">
        <f>SUM('3 pr-2'!O158)</f>
        <v>109120.95</v>
      </c>
      <c r="Q156" s="1426">
        <f>SUMIF('mokėjimų ataskaita'!$I$13:$I$600,C156,'mokėjimų ataskaita'!$AU$13:$AU$600)/2</f>
        <v>34236.44</v>
      </c>
      <c r="R156" s="1298">
        <v>2760.98</v>
      </c>
      <c r="S156" s="1298">
        <f t="shared" si="204"/>
        <v>31475.460000000003</v>
      </c>
      <c r="T156" s="1432">
        <f t="shared" si="205"/>
        <v>74884.509999999995</v>
      </c>
      <c r="U156" s="1435">
        <f>SUM('3 pr-2'!R158)</f>
        <v>0</v>
      </c>
      <c r="V156" s="1432">
        <f>SUMIF('mokėjimų ataskaita'!$I$13:$I$600,C156,'mokėjimų ataskaita'!$AL$13:$AL$600)/2</f>
        <v>0</v>
      </c>
      <c r="W156" s="1298"/>
      <c r="X156" s="1298"/>
      <c r="Y156" s="1432">
        <f t="shared" si="206"/>
        <v>0</v>
      </c>
      <c r="Z156" s="1435">
        <f>SUM('3 pr-2'!U158)</f>
        <v>0</v>
      </c>
      <c r="AA156" s="1432">
        <f>SUMIF('mokėjimų ataskaita'!$I$13:$I$600,C156,'mokėjimų ataskaita'!$AW$13:$AW$600)/2</f>
        <v>0</v>
      </c>
      <c r="AB156" s="1298"/>
      <c r="AC156" s="1298"/>
      <c r="AD156" s="1432">
        <f t="shared" si="207"/>
        <v>0</v>
      </c>
      <c r="AE156" s="1435">
        <f>SUM('3 pr-2'!X158)</f>
        <v>0</v>
      </c>
      <c r="AF156" s="1432">
        <f>SUMIF('mokėjimų ataskaita'!$I$13:$I$600,C156,'mokėjimų ataskaita'!$AV$13:$AV$600)/2+SUMIF('mokėjimų ataskaita'!$I$13:$I$600,C156,'mokėjimų ataskaita'!$AT$13:$AT$600)/2</f>
        <v>0</v>
      </c>
      <c r="AG156" s="1298"/>
      <c r="AH156" s="1298"/>
      <c r="AI156" s="1432">
        <f t="shared" si="208"/>
        <v>0</v>
      </c>
      <c r="AJ156" s="1435">
        <f>SUM('3 pr-2'!AA158)</f>
        <v>618351.99</v>
      </c>
      <c r="AK156" s="1426">
        <f>SUMIF('mokėjimų ataskaita'!$I$13:$I$600,C156,'mokėjimų ataskaita'!$AK$13:$AK$600)/2</f>
        <v>329306.48</v>
      </c>
      <c r="AL156" s="1298">
        <v>150945.57999999999</v>
      </c>
      <c r="AM156" s="1298">
        <f t="shared" si="209"/>
        <v>178360.9</v>
      </c>
      <c r="AN156" s="1429">
        <f t="shared" si="210"/>
        <v>289045.51</v>
      </c>
      <c r="AO156" s="1296">
        <f>SUM('3 pr-2'!AB321)</f>
        <v>0</v>
      </c>
      <c r="AP156" s="1426">
        <v>0</v>
      </c>
    </row>
    <row r="157" spans="1:43" ht="37.5" thickBot="1" x14ac:dyDescent="0.3">
      <c r="A157" s="644" t="str">
        <f>CONCATENATE('3 pr-2'!A159)</f>
        <v>2.1.3.2.5</v>
      </c>
      <c r="B157" s="657" t="str">
        <f>CONCATENATE('3 pr-2'!B159)</f>
        <v>R01-4408-252600-2325</v>
      </c>
      <c r="C157" s="653" t="str">
        <f>CONCATENATE('ketv. 6 '!C158)</f>
        <v>08.1.2-CPVA-R-408-11-0004</v>
      </c>
      <c r="D157" s="254" t="str">
        <f>CONCATENATE('3 pr-2'!D159)</f>
        <v>Socialinio būsto fondo plėtra Lazdijų rajono savivaldybėje</v>
      </c>
      <c r="E157" s="182" t="str">
        <f>CONCATENATE('3 pr-2'!E159)</f>
        <v>Lazdijų rajono savivaldybės administracija</v>
      </c>
      <c r="F157" s="182" t="str">
        <f>CONCATENATE('3 pr-2'!F159)</f>
        <v>Lietuvos Respublikos socialinės apsaugos ir darbo ministerija</v>
      </c>
      <c r="G157" s="182" t="str">
        <f>CONCATENATE('3 pr-2'!G159)</f>
        <v>Lazdijų r. sav.</v>
      </c>
      <c r="H157" s="182" t="str">
        <f>CONCATENATE('3 pr-2'!H159)</f>
        <v>08.1.1-CPVA·R-408</v>
      </c>
      <c r="I157" s="182" t="str">
        <f>CONCATENATE('3 pr-2'!I159)</f>
        <v>R</v>
      </c>
      <c r="J157" s="182" t="str">
        <f>CONCATENATE('3 pr-2'!J159)</f>
        <v>-</v>
      </c>
      <c r="K157" s="1435">
        <f>SUM('3 pr-2'!L159)</f>
        <v>368599</v>
      </c>
      <c r="L157" s="1426">
        <f t="shared" si="203"/>
        <v>160182.35000000003</v>
      </c>
      <c r="M157" s="1298">
        <v>149126.20000000001</v>
      </c>
      <c r="N157" s="1298">
        <f t="shared" si="198"/>
        <v>11056.150000000023</v>
      </c>
      <c r="O157" s="1432">
        <f t="shared" si="199"/>
        <v>208416.64999999997</v>
      </c>
      <c r="P157" s="1435">
        <f>SUM('3 pr-2'!O159)</f>
        <v>55587</v>
      </c>
      <c r="Q157" s="1426">
        <f>SUMIF('mokėjimų ataskaita'!$I$13:$I$600,C157,'mokėjimų ataskaita'!$AU$13:$AU$600)/2</f>
        <v>12467.499999999998</v>
      </c>
      <c r="R157" s="1298">
        <v>10800.16</v>
      </c>
      <c r="S157" s="1298">
        <f t="shared" si="204"/>
        <v>1667.3399999999983</v>
      </c>
      <c r="T157" s="1432">
        <f t="shared" si="205"/>
        <v>43119.5</v>
      </c>
      <c r="U157" s="1435">
        <f>SUM('3 pr-2'!R159)</f>
        <v>0</v>
      </c>
      <c r="V157" s="1432">
        <f>SUMIF('mokėjimų ataskaita'!$I$13:$I$600,C157,'mokėjimų ataskaita'!$AL$13:$AL$600)/2</f>
        <v>0</v>
      </c>
      <c r="W157" s="1298"/>
      <c r="X157" s="1298"/>
      <c r="Y157" s="1432">
        <f t="shared" si="206"/>
        <v>0</v>
      </c>
      <c r="Z157" s="1435">
        <f>SUM('3 pr-2'!U159)</f>
        <v>0</v>
      </c>
      <c r="AA157" s="1432">
        <f>SUMIF('mokėjimų ataskaita'!$I$13:$I$600,C157,'mokėjimų ataskaita'!$AW$13:$AW$600)/2</f>
        <v>0</v>
      </c>
      <c r="AB157" s="1298"/>
      <c r="AC157" s="1298"/>
      <c r="AD157" s="1432">
        <f t="shared" si="207"/>
        <v>0</v>
      </c>
      <c r="AE157" s="1435">
        <f>SUM('3 pr-2'!X159)</f>
        <v>0</v>
      </c>
      <c r="AF157" s="1432">
        <f>SUMIF('mokėjimų ataskaita'!$I$13:$I$600,C157,'mokėjimų ataskaita'!$AV$13:$AV$600)/2+SUMIF('mokėjimų ataskaita'!$I$13:$I$600,C157,'mokėjimų ataskaita'!$AT$13:$AT$600)/2</f>
        <v>0</v>
      </c>
      <c r="AG157" s="1298"/>
      <c r="AH157" s="1298"/>
      <c r="AI157" s="1432">
        <f t="shared" si="208"/>
        <v>0</v>
      </c>
      <c r="AJ157" s="1435">
        <f>SUM('3 pr-2'!AA159)</f>
        <v>313012</v>
      </c>
      <c r="AK157" s="1426">
        <f>SUMIF('mokėjimų ataskaita'!$I$13:$I$600,C157,'mokėjimų ataskaita'!$AK$13:$AK$600)/2</f>
        <v>147714.85000000003</v>
      </c>
      <c r="AL157" s="1298">
        <v>138326.04</v>
      </c>
      <c r="AM157" s="1298">
        <f t="shared" si="209"/>
        <v>9388.8100000000268</v>
      </c>
      <c r="AN157" s="1429">
        <f t="shared" si="210"/>
        <v>165297.14999999997</v>
      </c>
      <c r="AO157" s="1296">
        <f>SUM('3 pr-2'!AB322)</f>
        <v>0</v>
      </c>
      <c r="AP157" s="1426">
        <v>0</v>
      </c>
    </row>
    <row r="158" spans="1:43" ht="49.5" customHeight="1" thickBot="1" x14ac:dyDescent="0.3">
      <c r="A158" s="447" t="str">
        <f>CONCATENATE('3 pr-2'!A160)</f>
        <v>2.1.4.</v>
      </c>
      <c r="B158" s="2022" t="str">
        <f>CONCATENATE('3 pr-2'!B160)</f>
        <v>Uždavinys:
Visuomenei teikiamų paslaugų kokybės, didinant jų atitikimo visuomenės poreikiams pagerinimas</v>
      </c>
      <c r="C158" s="2023"/>
      <c r="D158" s="2023"/>
      <c r="E158" s="2023"/>
      <c r="F158" s="2023"/>
      <c r="G158" s="2023"/>
      <c r="H158" s="2023"/>
      <c r="I158" s="2023"/>
      <c r="J158" s="2024"/>
      <c r="K158" s="1490">
        <f t="shared" ref="K158:AJ158" si="212">SUM(K159)</f>
        <v>1106987.73</v>
      </c>
      <c r="L158" s="1490">
        <f t="shared" si="212"/>
        <v>162650.93</v>
      </c>
      <c r="M158" s="1490">
        <f t="shared" si="212"/>
        <v>0</v>
      </c>
      <c r="N158" s="1490">
        <f t="shared" si="212"/>
        <v>0</v>
      </c>
      <c r="O158" s="1490">
        <f t="shared" si="212"/>
        <v>944336.79999999993</v>
      </c>
      <c r="P158" s="1490">
        <f t="shared" si="212"/>
        <v>166179.88999999998</v>
      </c>
      <c r="Q158" s="1490">
        <f t="shared" si="212"/>
        <v>17051.46</v>
      </c>
      <c r="R158" s="1490">
        <f t="shared" si="212"/>
        <v>0</v>
      </c>
      <c r="S158" s="1490">
        <f t="shared" si="212"/>
        <v>0</v>
      </c>
      <c r="T158" s="1490">
        <f t="shared" si="212"/>
        <v>149128.43</v>
      </c>
      <c r="U158" s="1490">
        <f t="shared" si="212"/>
        <v>0</v>
      </c>
      <c r="V158" s="1490">
        <f t="shared" si="212"/>
        <v>0</v>
      </c>
      <c r="W158" s="1490">
        <f t="shared" si="212"/>
        <v>0</v>
      </c>
      <c r="X158" s="1490">
        <f t="shared" si="212"/>
        <v>0</v>
      </c>
      <c r="Y158" s="1490">
        <f t="shared" si="212"/>
        <v>0</v>
      </c>
      <c r="Z158" s="1490">
        <f t="shared" si="212"/>
        <v>0</v>
      </c>
      <c r="AA158" s="1490">
        <f t="shared" si="212"/>
        <v>0</v>
      </c>
      <c r="AB158" s="1490">
        <f t="shared" si="212"/>
        <v>0</v>
      </c>
      <c r="AC158" s="1490">
        <f t="shared" si="212"/>
        <v>0</v>
      </c>
      <c r="AD158" s="1490">
        <f t="shared" si="212"/>
        <v>0</v>
      </c>
      <c r="AE158" s="1490">
        <f t="shared" si="212"/>
        <v>0</v>
      </c>
      <c r="AF158" s="1490">
        <f t="shared" si="212"/>
        <v>0</v>
      </c>
      <c r="AG158" s="1490">
        <f t="shared" si="212"/>
        <v>0</v>
      </c>
      <c r="AH158" s="1490">
        <f t="shared" si="212"/>
        <v>0</v>
      </c>
      <c r="AI158" s="1490">
        <f t="shared" si="212"/>
        <v>0</v>
      </c>
      <c r="AJ158" s="1490">
        <f t="shared" si="212"/>
        <v>940807.84000000008</v>
      </c>
      <c r="AK158" s="1490">
        <f>SUM(AK159)</f>
        <v>145599.47</v>
      </c>
      <c r="AL158" s="1490">
        <f t="shared" ref="AL158:AP158" si="213">SUM(AL159)</f>
        <v>0</v>
      </c>
      <c r="AM158" s="1490">
        <f t="shared" si="213"/>
        <v>0</v>
      </c>
      <c r="AN158" s="1490">
        <f t="shared" si="213"/>
        <v>625208.37</v>
      </c>
      <c r="AO158" s="1490">
        <f t="shared" si="213"/>
        <v>0</v>
      </c>
      <c r="AP158" s="1490">
        <f t="shared" si="213"/>
        <v>0</v>
      </c>
      <c r="AQ158" s="256">
        <f>SUM(K158-'3 pr-2'!L160)</f>
        <v>0</v>
      </c>
    </row>
    <row r="159" spans="1:43" ht="37.5" customHeight="1" thickBot="1" x14ac:dyDescent="0.3">
      <c r="A159" s="326" t="str">
        <f>CONCATENATE('3 pr-2'!A161)</f>
        <v>2.1.4.1</v>
      </c>
      <c r="B159" s="2025" t="str">
        <f>CONCATENATE('3 pr-2'!B161)</f>
        <v>Priemonė:
Paslaugų teikimo ir asmenų aptarnavimo kokybės gerinimas savivaldybėse</v>
      </c>
      <c r="C159" s="2026"/>
      <c r="D159" s="2026"/>
      <c r="E159" s="2026"/>
      <c r="F159" s="2026"/>
      <c r="G159" s="2026"/>
      <c r="H159" s="2026"/>
      <c r="I159" s="2026"/>
      <c r="J159" s="2027"/>
      <c r="K159" s="1293">
        <f t="shared" ref="K159:AI159" si="214">SUM(K160:K165)</f>
        <v>1106987.73</v>
      </c>
      <c r="L159" s="1293">
        <f t="shared" si="214"/>
        <v>162650.93</v>
      </c>
      <c r="M159" s="1293">
        <f t="shared" si="214"/>
        <v>0</v>
      </c>
      <c r="N159" s="1293">
        <f t="shared" si="214"/>
        <v>0</v>
      </c>
      <c r="O159" s="1293">
        <f t="shared" si="214"/>
        <v>944336.79999999993</v>
      </c>
      <c r="P159" s="1293">
        <f t="shared" si="214"/>
        <v>166179.88999999998</v>
      </c>
      <c r="Q159" s="1293">
        <f t="shared" si="214"/>
        <v>17051.46</v>
      </c>
      <c r="R159" s="1293">
        <f t="shared" si="214"/>
        <v>0</v>
      </c>
      <c r="S159" s="1293">
        <f t="shared" si="214"/>
        <v>0</v>
      </c>
      <c r="T159" s="1293">
        <f t="shared" si="214"/>
        <v>149128.43</v>
      </c>
      <c r="U159" s="1293">
        <f t="shared" si="214"/>
        <v>0</v>
      </c>
      <c r="V159" s="1293">
        <f t="shared" si="214"/>
        <v>0</v>
      </c>
      <c r="W159" s="1293">
        <f t="shared" si="214"/>
        <v>0</v>
      </c>
      <c r="X159" s="1293">
        <f t="shared" si="214"/>
        <v>0</v>
      </c>
      <c r="Y159" s="1293">
        <f t="shared" si="214"/>
        <v>0</v>
      </c>
      <c r="Z159" s="1293">
        <f t="shared" si="214"/>
        <v>0</v>
      </c>
      <c r="AA159" s="1293">
        <f t="shared" si="214"/>
        <v>0</v>
      </c>
      <c r="AB159" s="1293">
        <f t="shared" si="214"/>
        <v>0</v>
      </c>
      <c r="AC159" s="1293">
        <f t="shared" si="214"/>
        <v>0</v>
      </c>
      <c r="AD159" s="1293">
        <f t="shared" si="214"/>
        <v>0</v>
      </c>
      <c r="AE159" s="1293">
        <f t="shared" si="214"/>
        <v>0</v>
      </c>
      <c r="AF159" s="1293">
        <f t="shared" si="214"/>
        <v>0</v>
      </c>
      <c r="AG159" s="1293">
        <f t="shared" si="214"/>
        <v>0</v>
      </c>
      <c r="AH159" s="1293">
        <f t="shared" si="214"/>
        <v>0</v>
      </c>
      <c r="AI159" s="1293">
        <f t="shared" si="214"/>
        <v>0</v>
      </c>
      <c r="AJ159" s="1293">
        <f>SUM(AJ160:AJ165)</f>
        <v>940807.84000000008</v>
      </c>
      <c r="AK159" s="1293">
        <f t="shared" ref="AK159:AP159" si="215">SUM(AK160:AK165)</f>
        <v>145599.47</v>
      </c>
      <c r="AL159" s="1293">
        <f t="shared" si="215"/>
        <v>0</v>
      </c>
      <c r="AM159" s="1293">
        <f t="shared" si="215"/>
        <v>0</v>
      </c>
      <c r="AN159" s="1293">
        <f t="shared" si="215"/>
        <v>625208.37</v>
      </c>
      <c r="AO159" s="1293">
        <f t="shared" si="215"/>
        <v>0</v>
      </c>
      <c r="AP159" s="1293">
        <f t="shared" si="215"/>
        <v>0</v>
      </c>
      <c r="AQ159" s="256">
        <f>SUM(K159-'3 pr-2'!L161)</f>
        <v>0</v>
      </c>
    </row>
    <row r="160" spans="1:43" ht="36.75" x14ac:dyDescent="0.25">
      <c r="A160" s="644" t="str">
        <f>CONCATENATE('3 pr-2'!A162)</f>
        <v>2.1.4.1.1</v>
      </c>
      <c r="B160" s="657" t="str">
        <f>CONCATENATE('3 pr-2'!B162)</f>
        <v>R01-9920-490000-2411</v>
      </c>
      <c r="C160" s="653" t="str">
        <f>CONCATENATE('ketv. 6 '!C161)</f>
        <v>10.1.3-ESFA-R-920-11-0001</v>
      </c>
      <c r="D160" s="254" t="str">
        <f>CONCATENATE('3 pr-2'!D162)</f>
        <v>Paslaugų teikimo ir asmenų aptarnavimo kokybės gerinimas Varėnos rajono savivaldybėje</v>
      </c>
      <c r="E160" s="182" t="str">
        <f>CONCATENATE('3 pr-2'!E162)</f>
        <v>Varėnos rajono savivaldybės administracija</v>
      </c>
      <c r="F160" s="182" t="str">
        <f>CONCATENATE('3 pr-2'!F162)</f>
        <v>Lietuvos Respublikos vidaus reikalų ministerija</v>
      </c>
      <c r="G160" s="182" t="str">
        <f>CONCATENATE('3 pr-2'!G162)</f>
        <v>Varėnos r. sav.</v>
      </c>
      <c r="H160" s="182" t="str">
        <f>CONCATENATE('3 pr-2'!H162)</f>
        <v>10.1.3-ESFA-R-920</v>
      </c>
      <c r="I160" s="182" t="str">
        <f>CONCATENATE('3 pr-2'!I162)</f>
        <v>R</v>
      </c>
      <c r="J160" s="182" t="str">
        <f>CONCATENATE('3 pr-2'!J162)</f>
        <v>-</v>
      </c>
      <c r="K160" s="1435">
        <f>SUM('3 pr-2'!L162)</f>
        <v>172733.52</v>
      </c>
      <c r="L160" s="1426">
        <f t="shared" ref="L160:L162" si="216">SUM(Q160+V160+AA160+AF160+AK160)</f>
        <v>41509.26</v>
      </c>
      <c r="M160" s="1298"/>
      <c r="N160" s="1298"/>
      <c r="O160" s="1427">
        <f t="shared" si="199"/>
        <v>131224.25999999998</v>
      </c>
      <c r="P160" s="1435">
        <f>SUM('3 pr-2'!O162)</f>
        <v>25910.03</v>
      </c>
      <c r="Q160" s="1426">
        <f>SUMIF('mokėjimų ataskaita'!$I$13:$I$600,C160,'mokėjimų ataskaita'!$AU$13:$AU$600)/2</f>
        <v>5125.2099999999991</v>
      </c>
      <c r="R160" s="1298"/>
      <c r="S160" s="1298"/>
      <c r="T160" s="1427">
        <f t="shared" ref="T160:T165" si="217">SUM(P160-Q160)</f>
        <v>20784.82</v>
      </c>
      <c r="U160" s="1435">
        <f>SUM('3 pr-2'!R162)</f>
        <v>0</v>
      </c>
      <c r="V160" s="1296">
        <f>SUMIF('mokėjimų ataskaita'!$I$13:$I$600,C160,'mokėjimų ataskaita'!$AL$13:$AL$600)/2</f>
        <v>0</v>
      </c>
      <c r="W160" s="1298"/>
      <c r="X160" s="1298"/>
      <c r="Y160" s="1427">
        <f t="shared" ref="Y160:Y164" si="218">SUM(U160-V160)</f>
        <v>0</v>
      </c>
      <c r="Z160" s="1435">
        <f>SUM('3 pr-2'!U162)</f>
        <v>0</v>
      </c>
      <c r="AA160" s="1296">
        <f>SUMIF('mokėjimų ataskaita'!$I$13:$I$600,C160,'mokėjimų ataskaita'!$AW$13:$AW$600)/2</f>
        <v>0</v>
      </c>
      <c r="AB160" s="1298"/>
      <c r="AC160" s="1298"/>
      <c r="AD160" s="1427">
        <f t="shared" ref="AD160:AD164" si="219">SUM(Z160-AA160)</f>
        <v>0</v>
      </c>
      <c r="AE160" s="1435">
        <f>SUM('3 pr-2'!X162)</f>
        <v>0</v>
      </c>
      <c r="AF160" s="1296">
        <f>SUMIF('mokėjimų ataskaita'!$I$13:$I$600,C160,'mokėjimų ataskaita'!$AV$13:$AV$600)/2+SUMIF('mokėjimų ataskaita'!$I$13:$I$600,C160,'mokėjimų ataskaita'!$AT$13:$AT$600)/2</f>
        <v>0</v>
      </c>
      <c r="AG160" s="1298"/>
      <c r="AH160" s="1298"/>
      <c r="AI160" s="1427">
        <f t="shared" ref="AI160:AI164" si="220">SUM(AE160-AF160)</f>
        <v>0</v>
      </c>
      <c r="AJ160" s="1435">
        <f>SUM('3 pr-2'!AA162)</f>
        <v>146823.49</v>
      </c>
      <c r="AK160" s="1426">
        <f>SUMIF('mokėjimų ataskaita'!$I$13:$I$600,C160,'mokėjimų ataskaita'!$AK$13:$AK$600)/2</f>
        <v>36384.050000000003</v>
      </c>
      <c r="AL160" s="1298"/>
      <c r="AM160" s="1298"/>
      <c r="AN160" s="1454">
        <f>SUM(AJ160-AK160)</f>
        <v>110439.43999999999</v>
      </c>
      <c r="AO160" s="1296">
        <f>SUM('3 pr-2'!AB325)</f>
        <v>0</v>
      </c>
      <c r="AP160" s="1426">
        <v>0</v>
      </c>
    </row>
    <row r="161" spans="1:43" ht="36.75" x14ac:dyDescent="0.25">
      <c r="A161" s="644" t="str">
        <f>CONCATENATE('3 pr-2'!A163)</f>
        <v>2.1.4.1.2</v>
      </c>
      <c r="B161" s="657" t="str">
        <f>CONCATENATE('3 pr-2'!B163)</f>
        <v>R01-9920-490000-2412</v>
      </c>
      <c r="C161" s="653" t="str">
        <f>CONCATENATE('ketv. 6 '!C162)</f>
        <v>10.1.3-ESFA-R-920-11-0005</v>
      </c>
      <c r="D161" s="254" t="str">
        <f>CONCATENATE('3 pr-2'!D163)</f>
        <v>Paslaugų ir asmenų aptarnavimo kokybės gerinimas Alytaus rajono savivaldybėje</v>
      </c>
      <c r="E161" s="182" t="str">
        <f>CONCATENATE('3 pr-2'!E163)</f>
        <v>Alytaus rajono savivaldybės administracija</v>
      </c>
      <c r="F161" s="182" t="str">
        <f>CONCATENATE('3 pr-2'!F163)</f>
        <v>Lietuvos Respublikos vidaus reikalų ministerija</v>
      </c>
      <c r="G161" s="182" t="str">
        <f>CONCATENATE('3 pr-2'!G163)</f>
        <v>Alytaus r. sav.</v>
      </c>
      <c r="H161" s="182" t="str">
        <f>CONCATENATE('3 pr-2'!H163)</f>
        <v>10.1.3-ESFA-R-920</v>
      </c>
      <c r="I161" s="182" t="str">
        <f>CONCATENATE('3 pr-2'!I163)</f>
        <v>R</v>
      </c>
      <c r="J161" s="182" t="str">
        <f>CONCATENATE('3 pr-2'!J163)</f>
        <v>-</v>
      </c>
      <c r="K161" s="1435">
        <f>SUM('3 pr-2'!L163)</f>
        <v>192832.21</v>
      </c>
      <c r="L161" s="1426">
        <f t="shared" si="216"/>
        <v>3057.91</v>
      </c>
      <c r="M161" s="1298"/>
      <c r="N161" s="1298"/>
      <c r="O161" s="1427">
        <f t="shared" si="199"/>
        <v>189774.3</v>
      </c>
      <c r="P161" s="1435">
        <f>SUM('3 pr-2'!O163)</f>
        <v>28924.84</v>
      </c>
      <c r="Q161" s="1426">
        <f>SUMIF('mokėjimų ataskaita'!$I$13:$I$600,C161,'mokėjimų ataskaita'!$AU$13:$AU$600)/2</f>
        <v>458.69</v>
      </c>
      <c r="R161" s="1298"/>
      <c r="S161" s="1298"/>
      <c r="T161" s="1427">
        <f t="shared" si="217"/>
        <v>28466.15</v>
      </c>
      <c r="U161" s="1435">
        <f>SUM('3 pr-2'!R163)</f>
        <v>0</v>
      </c>
      <c r="V161" s="1296">
        <f>SUMIF('mokėjimų ataskaita'!$I$13:$I$600,C161,'mokėjimų ataskaita'!$AL$13:$AL$600)/2</f>
        <v>0</v>
      </c>
      <c r="W161" s="1298"/>
      <c r="X161" s="1298"/>
      <c r="Y161" s="1427">
        <f t="shared" si="218"/>
        <v>0</v>
      </c>
      <c r="Z161" s="1435">
        <f>SUM('3 pr-2'!U163)</f>
        <v>0</v>
      </c>
      <c r="AA161" s="1296">
        <f>SUMIF('mokėjimų ataskaita'!$I$13:$I$600,C161,'mokėjimų ataskaita'!$AW$13:$AW$600)/2</f>
        <v>0</v>
      </c>
      <c r="AB161" s="1298"/>
      <c r="AC161" s="1298"/>
      <c r="AD161" s="1427">
        <f t="shared" si="219"/>
        <v>0</v>
      </c>
      <c r="AE161" s="1435">
        <f>SUM('3 pr-2'!X163)</f>
        <v>0</v>
      </c>
      <c r="AF161" s="1296">
        <f>SUMIF('mokėjimų ataskaita'!$I$13:$I$600,C161,'mokėjimų ataskaita'!$AV$13:$AV$600)/2+SUMIF('mokėjimų ataskaita'!$I$13:$I$600,C161,'mokėjimų ataskaita'!$AT$13:$AT$600)/2</f>
        <v>0</v>
      </c>
      <c r="AG161" s="1298"/>
      <c r="AH161" s="1298"/>
      <c r="AI161" s="1427">
        <f t="shared" si="220"/>
        <v>0</v>
      </c>
      <c r="AJ161" s="1435">
        <f>SUM('3 pr-2'!AA163)</f>
        <v>163907.37</v>
      </c>
      <c r="AK161" s="1426">
        <f>SUMIF('mokėjimų ataskaita'!$I$13:$I$600,C161,'mokėjimų ataskaita'!$AK$13:$AK$600)/2</f>
        <v>2599.2199999999998</v>
      </c>
      <c r="AL161" s="1298"/>
      <c r="AM161" s="1298"/>
      <c r="AN161" s="1454">
        <f>SUM(AJ161-AK161)</f>
        <v>161308.15</v>
      </c>
      <c r="AO161" s="1296">
        <f>SUM('3 pr-2'!AB326)</f>
        <v>0</v>
      </c>
      <c r="AP161" s="1426">
        <v>0</v>
      </c>
    </row>
    <row r="162" spans="1:43" ht="48.75" x14ac:dyDescent="0.25">
      <c r="A162" s="644" t="str">
        <f>CONCATENATE('3 pr-2'!A164)</f>
        <v>2.1.4.1.3</v>
      </c>
      <c r="B162" s="657" t="str">
        <f>CONCATENATE('3 pr-2'!B164)</f>
        <v>R01-9920-490000-2413</v>
      </c>
      <c r="C162" s="653" t="str">
        <f>CONCATENATE('ketv. 6 '!C163)</f>
        <v>10.1.3-ESFA-R-920-11-0003</v>
      </c>
      <c r="D162" s="254" t="str">
        <f>CONCATENATE('3 pr-2'!D164)</f>
        <v>Lazdijų rajono savivaldybės administracijos ir jos viešojo valdymo institucijų teikiamų paslaugų procesų tobulinimas</v>
      </c>
      <c r="E162" s="182" t="str">
        <f>CONCATENATE('3 pr-2'!E164)</f>
        <v>Lazdijų rajono savivaldybės administracija</v>
      </c>
      <c r="F162" s="182" t="str">
        <f>CONCATENATE('3 pr-2'!F164)</f>
        <v>Lietuvos Respublikos vidaus reikalų ministerija</v>
      </c>
      <c r="G162" s="182" t="str">
        <f>CONCATENATE('3 pr-2'!G164)</f>
        <v>Lazdijų r. sav.</v>
      </c>
      <c r="H162" s="182" t="str">
        <f>CONCATENATE('3 pr-2'!H164)</f>
        <v>10.1.3-ESFA-R-920</v>
      </c>
      <c r="I162" s="182" t="str">
        <f>CONCATENATE('3 pr-2'!I164)</f>
        <v>R</v>
      </c>
      <c r="J162" s="182" t="str">
        <f>CONCATENATE('3 pr-2'!J164)</f>
        <v>-</v>
      </c>
      <c r="K162" s="1435">
        <f>SUM('3 pr-2'!L164)</f>
        <v>163986.88</v>
      </c>
      <c r="L162" s="1426">
        <f t="shared" si="216"/>
        <v>77566.51999999999</v>
      </c>
      <c r="M162" s="1298"/>
      <c r="N162" s="1298"/>
      <c r="O162" s="1427">
        <f t="shared" si="199"/>
        <v>86420.360000000015</v>
      </c>
      <c r="P162" s="1435">
        <f>SUM('3 pr-2'!O164)</f>
        <v>24598.880000000001</v>
      </c>
      <c r="Q162" s="1426">
        <f>SUMIF('mokėjimų ataskaita'!$I$13:$I$600,C162,'mokėjimų ataskaita'!$AU$13:$AU$600)/2</f>
        <v>5362.7</v>
      </c>
      <c r="R162" s="1298"/>
      <c r="S162" s="1298"/>
      <c r="T162" s="1427">
        <f t="shared" si="217"/>
        <v>19236.18</v>
      </c>
      <c r="U162" s="1435">
        <f>SUM('3 pr-2'!R164)</f>
        <v>0</v>
      </c>
      <c r="V162" s="1296">
        <f>SUMIF('mokėjimų ataskaita'!$I$13:$I$600,C162,'mokėjimų ataskaita'!$AL$13:$AL$600)/2</f>
        <v>0</v>
      </c>
      <c r="W162" s="1298"/>
      <c r="X162" s="1298"/>
      <c r="Y162" s="1427">
        <f t="shared" si="218"/>
        <v>0</v>
      </c>
      <c r="Z162" s="1435">
        <f>SUM('3 pr-2'!U164)</f>
        <v>0</v>
      </c>
      <c r="AA162" s="1296">
        <f>SUMIF('mokėjimų ataskaita'!$I$13:$I$600,C162,'mokėjimų ataskaita'!$AW$13:$AW$600)/2</f>
        <v>0</v>
      </c>
      <c r="AB162" s="1298"/>
      <c r="AC162" s="1298"/>
      <c r="AD162" s="1427">
        <f t="shared" si="219"/>
        <v>0</v>
      </c>
      <c r="AE162" s="1435">
        <f>SUM('3 pr-2'!X164)</f>
        <v>0</v>
      </c>
      <c r="AF162" s="1296">
        <f>SUMIF('mokėjimų ataskaita'!$I$13:$I$600,C162,'mokėjimų ataskaita'!$AV$13:$AV$600)/2+SUMIF('mokėjimų ataskaita'!$I$13:$I$600,C162,'mokėjimų ataskaita'!$AT$13:$AT$600)/2</f>
        <v>0</v>
      </c>
      <c r="AG162" s="1298"/>
      <c r="AH162" s="1298"/>
      <c r="AI162" s="1427">
        <f t="shared" si="220"/>
        <v>0</v>
      </c>
      <c r="AJ162" s="1435">
        <f>SUM('3 pr-2'!AA164)</f>
        <v>139388</v>
      </c>
      <c r="AK162" s="1426">
        <f>SUMIF('mokėjimų ataskaita'!$I$13:$I$600,C162,'mokėjimų ataskaita'!$AK$13:$AK$600)/2</f>
        <v>72203.819999999992</v>
      </c>
      <c r="AL162" s="1298"/>
      <c r="AM162" s="1298"/>
      <c r="AN162" s="1454">
        <f>SUM(AJ162-AK162)</f>
        <v>67184.180000000008</v>
      </c>
      <c r="AO162" s="1296">
        <f>SUM('3 pr-2'!AB327)</f>
        <v>0</v>
      </c>
      <c r="AP162" s="1426">
        <v>0</v>
      </c>
    </row>
    <row r="163" spans="1:43" ht="72.75" x14ac:dyDescent="0.25">
      <c r="A163" s="644" t="str">
        <f>CONCATENATE('3 pr-2'!A165)</f>
        <v>2.1.4.1.4</v>
      </c>
      <c r="B163" s="657" t="str">
        <f>CONCATENATE('3 pr-2'!B165)</f>
        <v>R01-9920-490000-2414</v>
      </c>
      <c r="C163" s="653" t="str">
        <f>CONCATENATE('ketv. 6 '!C164)</f>
        <v>10.1.3-ESFA-R-920-11-0007</v>
      </c>
      <c r="D163" s="254" t="str">
        <f>CONCATENATE('3 pr-2'!D165)</f>
        <v>Teikiamų paslaugų procesų tobulinimas ir asmenų aptarnavimo kokybės gerinimas Alytaus m. sav. administracijoje ir jai pavaldžiose įstaigose. I etapas</v>
      </c>
      <c r="E163" s="182" t="str">
        <f>CONCATENATE('3 pr-2'!E165)</f>
        <v>Alytaus miesto savivaldybės administracija</v>
      </c>
      <c r="F163" s="182" t="str">
        <f>CONCATENATE('3 pr-2'!F165)</f>
        <v>Lietuvos Respublikos vidaus reikalų ministerija</v>
      </c>
      <c r="G163" s="182" t="str">
        <f>CONCATENATE('3 pr-2'!G165)</f>
        <v>Alytaus m. sav.</v>
      </c>
      <c r="H163" s="182" t="str">
        <f>CONCATENATE('3 pr-2'!H165)</f>
        <v>10.1.3-ESFA-R-920</v>
      </c>
      <c r="I163" s="182" t="str">
        <f>CONCATENATE('3 pr-2'!I165)</f>
        <v>R</v>
      </c>
      <c r="J163" s="182" t="str">
        <f>CONCATENATE('3 pr-2'!J165)</f>
        <v>-</v>
      </c>
      <c r="K163" s="1435">
        <f>SUM('3 pr-2'!L165)</f>
        <v>215693.16</v>
      </c>
      <c r="L163" s="1426">
        <f>SUM(Q163+V163+AA163+AF163+AK163)</f>
        <v>6801.68</v>
      </c>
      <c r="M163" s="1298"/>
      <c r="N163" s="1298"/>
      <c r="O163" s="1427">
        <f t="shared" si="199"/>
        <v>208891.48</v>
      </c>
      <c r="P163" s="1435">
        <f>SUM('3 pr-2'!O165)</f>
        <v>32353.98</v>
      </c>
      <c r="Q163" s="1426">
        <f>SUMIF('mokėjimų ataskaita'!$I$13:$I$600,C163,'mokėjimų ataskaita'!$AU$13:$AU$600)/2</f>
        <v>1020.25</v>
      </c>
      <c r="R163" s="1298"/>
      <c r="S163" s="1298"/>
      <c r="T163" s="1427">
        <f t="shared" si="217"/>
        <v>31333.73</v>
      </c>
      <c r="U163" s="1435">
        <f>SUM('3 pr-2'!R165)</f>
        <v>0</v>
      </c>
      <c r="V163" s="1296">
        <f>SUMIF('mokėjimų ataskaita'!$I$13:$I$600,C163,'mokėjimų ataskaita'!$AL$13:$AL$600)/2</f>
        <v>0</v>
      </c>
      <c r="W163" s="1298"/>
      <c r="X163" s="1298"/>
      <c r="Y163" s="1427">
        <f t="shared" si="218"/>
        <v>0</v>
      </c>
      <c r="Z163" s="1435">
        <f>SUM('3 pr-2'!U165)</f>
        <v>0</v>
      </c>
      <c r="AA163" s="1296">
        <f>SUMIF('mokėjimų ataskaita'!$I$13:$I$600,C163,'mokėjimų ataskaita'!$AW$13:$AW$600)/2</f>
        <v>0</v>
      </c>
      <c r="AB163" s="1298"/>
      <c r="AC163" s="1298"/>
      <c r="AD163" s="1427">
        <f t="shared" si="219"/>
        <v>0</v>
      </c>
      <c r="AE163" s="1435">
        <f>SUM('3 pr-2'!X165)</f>
        <v>0</v>
      </c>
      <c r="AF163" s="1296">
        <f>SUMIF('mokėjimų ataskaita'!$I$13:$I$600,C163,'mokėjimų ataskaita'!$AV$13:$AV$600)/2+SUMIF('mokėjimų ataskaita'!$I$13:$I$600,C163,'mokėjimų ataskaita'!$AT$13:$AT$600)/2</f>
        <v>0</v>
      </c>
      <c r="AG163" s="1298"/>
      <c r="AH163" s="1298"/>
      <c r="AI163" s="1427">
        <f t="shared" si="220"/>
        <v>0</v>
      </c>
      <c r="AJ163" s="1435">
        <f>SUM('3 pr-2'!AA165)</f>
        <v>183339.18</v>
      </c>
      <c r="AK163" s="1426">
        <f>SUMIF('mokėjimų ataskaita'!$I$13:$I$600,C163,'mokėjimų ataskaita'!$AK$13:$AK$600)/2</f>
        <v>5781.43</v>
      </c>
      <c r="AL163" s="1298"/>
      <c r="AM163" s="1298"/>
      <c r="AN163" s="1454">
        <f>SUM(AJ163-AK163)</f>
        <v>177557.75</v>
      </c>
      <c r="AO163" s="1296">
        <f>SUM('3 pr-2'!AB328)</f>
        <v>0</v>
      </c>
      <c r="AP163" s="1426">
        <v>0</v>
      </c>
    </row>
    <row r="164" spans="1:43" ht="36.75" x14ac:dyDescent="0.25">
      <c r="A164" s="644" t="str">
        <f>CONCATENATE('3 pr-2'!A166)</f>
        <v>2.1.4.1.5</v>
      </c>
      <c r="B164" s="657" t="str">
        <f>CONCATENATE('3 pr-2'!B166)</f>
        <v>R01-9920-490000-2415</v>
      </c>
      <c r="C164" s="653" t="str">
        <f>CONCATENATE('ketv. 6 '!C165)</f>
        <v>10.1.3-ESFA-R-920-11-0006</v>
      </c>
      <c r="D164" s="254" t="str">
        <f>CONCATENATE('3 pr-2'!D166)</f>
        <v>Paslaugų teikimo ir asmenų aptarnavimo kokybės gerinimas Druskininkų savivaldybėje</v>
      </c>
      <c r="E164" s="182" t="str">
        <f>CONCATENATE('3 pr-2'!E166)</f>
        <v>Druskininkų savivaldybės administracija</v>
      </c>
      <c r="F164" s="182" t="str">
        <f>CONCATENATE('3 pr-2'!F166)</f>
        <v>Lietuvos Respublikos vidaus reikalų ministerija</v>
      </c>
      <c r="G164" s="182" t="str">
        <f>CONCATENATE('3 pr-2'!G166)</f>
        <v>Druskininkų sav.</v>
      </c>
      <c r="H164" s="182" t="str">
        <f>CONCATENATE('3 pr-2'!H166)</f>
        <v>10.1.3-ESFA-R-920</v>
      </c>
      <c r="I164" s="182" t="str">
        <f>CONCATENATE('3 pr-2'!I166)</f>
        <v>R</v>
      </c>
      <c r="J164" s="182" t="str">
        <f>CONCATENATE('3 pr-2'!J166)</f>
        <v>-</v>
      </c>
      <c r="K164" s="1435">
        <f>SUM('3 pr-2'!L166)</f>
        <v>161741.96</v>
      </c>
      <c r="L164" s="1426">
        <f>SUM(Q164+V164+AA164+AF164+AK164)</f>
        <v>33715.56</v>
      </c>
      <c r="M164" s="1298"/>
      <c r="N164" s="1298"/>
      <c r="O164" s="1427">
        <f t="shared" si="199"/>
        <v>128026.4</v>
      </c>
      <c r="P164" s="1435">
        <f>SUM('3 pr-2'!O166)</f>
        <v>24392.16</v>
      </c>
      <c r="Q164" s="1426">
        <f>SUMIF('mokėjimų ataskaita'!$I$13:$I$600,C164,'mokėjimų ataskaita'!$AU$13:$AU$600)/2</f>
        <v>5084.6099999999997</v>
      </c>
      <c r="R164" s="1298"/>
      <c r="S164" s="1298"/>
      <c r="T164" s="1427">
        <f t="shared" si="217"/>
        <v>19307.55</v>
      </c>
      <c r="U164" s="1435">
        <f>SUM('3 pr-2'!R166)</f>
        <v>0</v>
      </c>
      <c r="V164" s="1296">
        <f>SUMIF('mokėjimų ataskaita'!$I$13:$I$600,C164,'mokėjimų ataskaita'!$AL$13:$AL$600)/2</f>
        <v>0</v>
      </c>
      <c r="W164" s="1298"/>
      <c r="X164" s="1298"/>
      <c r="Y164" s="1427">
        <f t="shared" si="218"/>
        <v>0</v>
      </c>
      <c r="Z164" s="1435">
        <f>SUM('3 pr-2'!U166)</f>
        <v>0</v>
      </c>
      <c r="AA164" s="1296">
        <f>SUMIF('mokėjimų ataskaita'!$I$13:$I$600,C164,'mokėjimų ataskaita'!$AW$13:$AW$600)/2</f>
        <v>0</v>
      </c>
      <c r="AB164" s="1298"/>
      <c r="AC164" s="1298"/>
      <c r="AD164" s="1427">
        <f t="shared" si="219"/>
        <v>0</v>
      </c>
      <c r="AE164" s="1435">
        <f>SUM('3 pr-2'!X166)</f>
        <v>0</v>
      </c>
      <c r="AF164" s="1296">
        <f>SUMIF('mokėjimų ataskaita'!$I$13:$I$600,C164,'mokėjimų ataskaita'!$AV$13:$AV$600)/2+SUMIF('mokėjimų ataskaita'!$I$13:$I$600,C164,'mokėjimų ataskaita'!$AT$13:$AT$600)/2</f>
        <v>0</v>
      </c>
      <c r="AG164" s="1298"/>
      <c r="AH164" s="1298"/>
      <c r="AI164" s="1427">
        <f t="shared" si="220"/>
        <v>0</v>
      </c>
      <c r="AJ164" s="1435">
        <f>SUM('3 pr-2'!AA166)</f>
        <v>137349.79999999999</v>
      </c>
      <c r="AK164" s="1426">
        <f>SUMIF('mokėjimų ataskaita'!$I$13:$I$600,C164,'mokėjimų ataskaita'!$AK$13:$AK$600)/2</f>
        <v>28630.95</v>
      </c>
      <c r="AL164" s="1298"/>
      <c r="AM164" s="1298"/>
      <c r="AN164" s="1441">
        <f>SUM(AJ164-AK164)</f>
        <v>108718.84999999999</v>
      </c>
      <c r="AO164" s="1296">
        <f>SUM('3 pr-2'!AB329)</f>
        <v>0</v>
      </c>
      <c r="AP164" s="1426">
        <v>0</v>
      </c>
    </row>
    <row r="165" spans="1:43" ht="73.5" thickBot="1" x14ac:dyDescent="0.3">
      <c r="A165" s="644" t="str">
        <f>CONCATENATE('3 pr-2'!A167)</f>
        <v>2.1.4.1.6</v>
      </c>
      <c r="B165" s="657" t="str">
        <f>CONCATENATE('3 pr-2'!B167)</f>
        <v>R01-9920-490000-2416</v>
      </c>
      <c r="C165" s="653" t="str">
        <f>CONCATENATE('ketv. 6 '!C166)</f>
        <v>-</v>
      </c>
      <c r="D165" s="254" t="str">
        <f>CONCATENATE('3 pr-2'!D167)</f>
        <v>Teikiamų paslaugų procesų tobulinimas ir asmenų aptarnavimo kokybės gerinimas Alytaus m. sav. administracijoje ir jai pavaldžiose įstaigose. II etapas</v>
      </c>
      <c r="E165" s="182" t="str">
        <f>CONCATENATE('3 pr-2'!E167)</f>
        <v>Alytaus miesto savivaldybės administracija</v>
      </c>
      <c r="F165" s="182" t="str">
        <f>CONCATENATE('3 pr-2'!F167)</f>
        <v>Lietuvos Respublikos vidaus reikalų ministerija</v>
      </c>
      <c r="G165" s="182" t="str">
        <f>CONCATENATE('3 pr-2'!G167)</f>
        <v>Alytaus m. sav.</v>
      </c>
      <c r="H165" s="182" t="str">
        <f>CONCATENATE('3 pr-2'!H167)</f>
        <v>10.1.3-ESFA-R-920</v>
      </c>
      <c r="I165" s="182" t="str">
        <f>CONCATENATE('3 pr-2'!I167)</f>
        <v>R</v>
      </c>
      <c r="J165" s="182" t="str">
        <f>CONCATENATE('3 pr-2'!J167)</f>
        <v>-</v>
      </c>
      <c r="K165" s="1435">
        <f>SUM('3 pr-2'!L167)</f>
        <v>200000</v>
      </c>
      <c r="L165" s="1296">
        <f>SUM(Q165+V165+AA165+AF165+AK165)</f>
        <v>0</v>
      </c>
      <c r="M165" s="1298"/>
      <c r="N165" s="1298"/>
      <c r="O165" s="1427">
        <f t="shared" ref="O165" si="221">SUM(K165-L165)</f>
        <v>200000</v>
      </c>
      <c r="P165" s="1435">
        <f>SUM('3 pr-2'!O167)</f>
        <v>30000</v>
      </c>
      <c r="Q165" s="1296">
        <f>SUMIF('mokėjimų ataskaita'!$I$13:$I$600,C165,'mokėjimų ataskaita'!$AU$13:$AU$600)/2</f>
        <v>0</v>
      </c>
      <c r="R165" s="1298"/>
      <c r="S165" s="1298"/>
      <c r="T165" s="1427">
        <f t="shared" si="217"/>
        <v>30000</v>
      </c>
      <c r="U165" s="1435">
        <f>SUM('3 pr-2'!R167)</f>
        <v>0</v>
      </c>
      <c r="V165" s="1296">
        <f>SUMIF('mokėjimų ataskaita'!$I$13:$I$600,C165,'mokėjimų ataskaita'!$AL$13:$AL$600)/2</f>
        <v>0</v>
      </c>
      <c r="W165" s="1298"/>
      <c r="X165" s="1298"/>
      <c r="Y165" s="1427">
        <f t="shared" ref="Y165" si="222">SUM(U165-V165)</f>
        <v>0</v>
      </c>
      <c r="Z165" s="1435">
        <f>SUM('3 pr-2'!U167)</f>
        <v>0</v>
      </c>
      <c r="AA165" s="1296">
        <f>SUMIF('mokėjimų ataskaita'!$I$13:$I$600,C165,'mokėjimų ataskaita'!$AW$13:$AW$600)/2</f>
        <v>0</v>
      </c>
      <c r="AB165" s="1298"/>
      <c r="AC165" s="1298"/>
      <c r="AD165" s="1427">
        <f t="shared" ref="AD165" si="223">SUM(Z165-AA165)</f>
        <v>0</v>
      </c>
      <c r="AE165" s="1435">
        <f>SUM('3 pr-2'!X167)</f>
        <v>0</v>
      </c>
      <c r="AF165" s="1296">
        <f>SUMIF('mokėjimų ataskaita'!$I$13:$I$600,C165,'mokėjimų ataskaita'!$AV$13:$AV$600)/2+SUMIF('mokėjimų ataskaita'!$I$13:$I$600,C165,'mokėjimų ataskaita'!$AT$13:$AT$600)/2</f>
        <v>0</v>
      </c>
      <c r="AG165" s="1298"/>
      <c r="AH165" s="1298"/>
      <c r="AI165" s="1427">
        <f t="shared" ref="AI165" si="224">SUM(AE165-AF165)</f>
        <v>0</v>
      </c>
      <c r="AJ165" s="1435">
        <f>SUM('3 pr-2'!AA167)</f>
        <v>170000</v>
      </c>
      <c r="AK165" s="1296">
        <f>SUMIF('mokėjimų ataskaita'!$I$13:$I$600,C165,'mokėjimų ataskaita'!$AK$13:$AK$600)/2</f>
        <v>0</v>
      </c>
      <c r="AL165" s="1298"/>
      <c r="AM165" s="1298"/>
      <c r="AN165" s="1489"/>
      <c r="AO165" s="1296">
        <f>SUM('3 pr-2'!AB330)</f>
        <v>0</v>
      </c>
      <c r="AP165" s="1432">
        <v>0</v>
      </c>
    </row>
    <row r="166" spans="1:43" ht="46.5" customHeight="1" thickBot="1" x14ac:dyDescent="0.3">
      <c r="A166" s="448" t="str">
        <f>CONCATENATE('3 pr-2'!A168)</f>
        <v>3.1.</v>
      </c>
      <c r="B166" s="2028" t="str">
        <f>CONCATENATE('3 pr-2'!B168)</f>
        <v>Tikslas: 
DARNIAI TVARKYTI IR VYSTYTI REGIONO TERITORIJĄ</v>
      </c>
      <c r="C166" s="2023"/>
      <c r="D166" s="2023"/>
      <c r="E166" s="2023"/>
      <c r="F166" s="2023"/>
      <c r="G166" s="2023"/>
      <c r="H166" s="2023"/>
      <c r="I166" s="2023"/>
      <c r="J166" s="2024"/>
      <c r="K166" s="1491">
        <f t="shared" ref="K166:AI166" si="225">SUM(K167+K170)</f>
        <v>6638484.8511764705</v>
      </c>
      <c r="L166" s="1491">
        <f t="shared" si="225"/>
        <v>1268510.94</v>
      </c>
      <c r="M166" s="1491">
        <f t="shared" si="225"/>
        <v>243134.93</v>
      </c>
      <c r="N166" s="1491">
        <f t="shared" si="225"/>
        <v>358990.30000000005</v>
      </c>
      <c r="O166" s="1491">
        <f t="shared" si="225"/>
        <v>5369973.9111764701</v>
      </c>
      <c r="P166" s="1491">
        <f t="shared" si="225"/>
        <v>1154049.3311764705</v>
      </c>
      <c r="Q166" s="1491">
        <f t="shared" si="225"/>
        <v>68475.429999999993</v>
      </c>
      <c r="R166" s="1491">
        <f t="shared" si="225"/>
        <v>3196.9</v>
      </c>
      <c r="S166" s="1491">
        <f t="shared" si="225"/>
        <v>65278.53</v>
      </c>
      <c r="T166" s="1491">
        <f t="shared" si="225"/>
        <v>1085573.9011764703</v>
      </c>
      <c r="U166" s="1491">
        <f t="shared" si="225"/>
        <v>0</v>
      </c>
      <c r="V166" s="1491">
        <f t="shared" si="225"/>
        <v>0</v>
      </c>
      <c r="W166" s="1491">
        <f t="shared" si="225"/>
        <v>0</v>
      </c>
      <c r="X166" s="1491">
        <f t="shared" si="225"/>
        <v>0</v>
      </c>
      <c r="Y166" s="1491">
        <f t="shared" si="225"/>
        <v>0</v>
      </c>
      <c r="Z166" s="1491">
        <f t="shared" si="225"/>
        <v>0</v>
      </c>
      <c r="AA166" s="1491">
        <f t="shared" si="225"/>
        <v>59383</v>
      </c>
      <c r="AB166" s="1491">
        <f t="shared" si="225"/>
        <v>0</v>
      </c>
      <c r="AC166" s="1491">
        <f t="shared" si="225"/>
        <v>0</v>
      </c>
      <c r="AD166" s="1491">
        <f t="shared" si="225"/>
        <v>-59383</v>
      </c>
      <c r="AE166" s="1491">
        <f t="shared" si="225"/>
        <v>0</v>
      </c>
      <c r="AF166" s="1491">
        <f t="shared" si="225"/>
        <v>0</v>
      </c>
      <c r="AG166" s="1491">
        <f t="shared" si="225"/>
        <v>0</v>
      </c>
      <c r="AH166" s="1491">
        <f t="shared" si="225"/>
        <v>0</v>
      </c>
      <c r="AI166" s="1491">
        <f t="shared" si="225"/>
        <v>0</v>
      </c>
      <c r="AJ166" s="1491">
        <f>SUM(AJ167+AJ170)</f>
        <v>5484435.5199999996</v>
      </c>
      <c r="AK166" s="1491">
        <f t="shared" ref="AK166:AP166" si="226">SUM(AK167+AK170)</f>
        <v>1140652.51</v>
      </c>
      <c r="AL166" s="1491">
        <f t="shared" si="226"/>
        <v>239938.03</v>
      </c>
      <c r="AM166" s="1491">
        <f t="shared" si="226"/>
        <v>293711.77</v>
      </c>
      <c r="AN166" s="1491">
        <f t="shared" si="226"/>
        <v>4343783.01</v>
      </c>
      <c r="AO166" s="1491">
        <f t="shared" si="226"/>
        <v>0</v>
      </c>
      <c r="AP166" s="1491">
        <f t="shared" si="226"/>
        <v>0</v>
      </c>
      <c r="AQ166" s="256">
        <f>SUM(K166-'3 pr-2'!L168)</f>
        <v>0</v>
      </c>
    </row>
    <row r="167" spans="1:43" ht="40.5" customHeight="1" thickBot="1" x14ac:dyDescent="0.3">
      <c r="A167" s="261" t="str">
        <f>CONCATENATE('3 pr-2'!A169)</f>
        <v>3.1.1.</v>
      </c>
      <c r="B167" s="2022" t="str">
        <f>CONCATENATE('3 pr-2'!B169)</f>
        <v>Uždavinys:
Sumažinti sąvartynuose šalinamų komunalinių atliekų kiekį</v>
      </c>
      <c r="C167" s="2023"/>
      <c r="D167" s="2023"/>
      <c r="E167" s="2023"/>
      <c r="F167" s="2023"/>
      <c r="G167" s="2023"/>
      <c r="H167" s="2023"/>
      <c r="I167" s="2023"/>
      <c r="J167" s="2024"/>
      <c r="K167" s="1420">
        <f t="shared" ref="K167:AI167" si="227">SUM(K168)</f>
        <v>4130687.05</v>
      </c>
      <c r="L167" s="1420">
        <f t="shared" si="227"/>
        <v>666385.71</v>
      </c>
      <c r="M167" s="1420">
        <f t="shared" si="227"/>
        <v>0</v>
      </c>
      <c r="N167" s="1420">
        <f t="shared" si="227"/>
        <v>0</v>
      </c>
      <c r="O167" s="1420">
        <f t="shared" si="227"/>
        <v>3464301.34</v>
      </c>
      <c r="P167" s="1420">
        <f t="shared" si="227"/>
        <v>777879.2799999998</v>
      </c>
      <c r="Q167" s="1420">
        <f t="shared" si="227"/>
        <v>0</v>
      </c>
      <c r="R167" s="1420">
        <f t="shared" si="227"/>
        <v>0</v>
      </c>
      <c r="S167" s="1420">
        <f t="shared" si="227"/>
        <v>0</v>
      </c>
      <c r="T167" s="1420">
        <f t="shared" si="227"/>
        <v>777879.2799999998</v>
      </c>
      <c r="U167" s="1420">
        <f t="shared" si="227"/>
        <v>0</v>
      </c>
      <c r="V167" s="1420">
        <f t="shared" si="227"/>
        <v>0</v>
      </c>
      <c r="W167" s="1420">
        <f t="shared" si="227"/>
        <v>0</v>
      </c>
      <c r="X167" s="1420">
        <f t="shared" si="227"/>
        <v>0</v>
      </c>
      <c r="Y167" s="1420">
        <f t="shared" si="227"/>
        <v>0</v>
      </c>
      <c r="Z167" s="1420">
        <f t="shared" si="227"/>
        <v>0</v>
      </c>
      <c r="AA167" s="1420">
        <f t="shared" si="227"/>
        <v>59383</v>
      </c>
      <c r="AB167" s="1420">
        <f t="shared" si="227"/>
        <v>0</v>
      </c>
      <c r="AC167" s="1420">
        <f t="shared" si="227"/>
        <v>0</v>
      </c>
      <c r="AD167" s="1420">
        <f t="shared" si="227"/>
        <v>-59383</v>
      </c>
      <c r="AE167" s="1420">
        <f t="shared" si="227"/>
        <v>0</v>
      </c>
      <c r="AF167" s="1420">
        <f t="shared" si="227"/>
        <v>0</v>
      </c>
      <c r="AG167" s="1420">
        <f t="shared" si="227"/>
        <v>0</v>
      </c>
      <c r="AH167" s="1420">
        <f t="shared" si="227"/>
        <v>0</v>
      </c>
      <c r="AI167" s="1420">
        <f t="shared" si="227"/>
        <v>0</v>
      </c>
      <c r="AJ167" s="1420">
        <f>SUM(AJ168)</f>
        <v>3352807.77</v>
      </c>
      <c r="AK167" s="1420">
        <f t="shared" ref="AK167:AP167" si="228">SUM(AK168)</f>
        <v>607002.71</v>
      </c>
      <c r="AL167" s="1420">
        <f t="shared" si="228"/>
        <v>0</v>
      </c>
      <c r="AM167" s="1420">
        <f t="shared" si="228"/>
        <v>0</v>
      </c>
      <c r="AN167" s="1420">
        <f t="shared" si="228"/>
        <v>2745805.06</v>
      </c>
      <c r="AO167" s="1420">
        <f t="shared" si="228"/>
        <v>0</v>
      </c>
      <c r="AP167" s="1420">
        <f t="shared" si="228"/>
        <v>0</v>
      </c>
      <c r="AQ167" s="256">
        <f>SUM(K167-'3 pr-2'!L169)</f>
        <v>0</v>
      </c>
    </row>
    <row r="168" spans="1:43" ht="36.75" customHeight="1" thickBot="1" x14ac:dyDescent="0.3">
      <c r="A168" s="326" t="str">
        <f>CONCATENATE('3 pr-2'!A170)</f>
        <v>3.1.1.1</v>
      </c>
      <c r="B168" s="2025" t="str">
        <f>CONCATENATE('3 pr-2'!B170)</f>
        <v>Priemonė:
Komunalinių atliekų tvarkymo infrastruktūros plėtra</v>
      </c>
      <c r="C168" s="2026"/>
      <c r="D168" s="2026"/>
      <c r="E168" s="2026"/>
      <c r="F168" s="2026"/>
      <c r="G168" s="2026"/>
      <c r="H168" s="2026"/>
      <c r="I168" s="2026"/>
      <c r="J168" s="2027"/>
      <c r="K168" s="1293">
        <f t="shared" ref="K168:AI168" si="229">SUM(K169)</f>
        <v>4130687.05</v>
      </c>
      <c r="L168" s="1293">
        <f t="shared" si="229"/>
        <v>666385.71</v>
      </c>
      <c r="M168" s="1293">
        <f t="shared" si="229"/>
        <v>0</v>
      </c>
      <c r="N168" s="1293">
        <f t="shared" si="229"/>
        <v>0</v>
      </c>
      <c r="O168" s="1293">
        <f t="shared" si="229"/>
        <v>3464301.34</v>
      </c>
      <c r="P168" s="1293">
        <f t="shared" si="229"/>
        <v>777879.2799999998</v>
      </c>
      <c r="Q168" s="1293">
        <f t="shared" si="229"/>
        <v>0</v>
      </c>
      <c r="R168" s="1293">
        <f t="shared" si="229"/>
        <v>0</v>
      </c>
      <c r="S168" s="1293">
        <f t="shared" si="229"/>
        <v>0</v>
      </c>
      <c r="T168" s="1293">
        <f t="shared" si="229"/>
        <v>777879.2799999998</v>
      </c>
      <c r="U168" s="1293">
        <f t="shared" si="229"/>
        <v>0</v>
      </c>
      <c r="V168" s="1293">
        <f t="shared" si="229"/>
        <v>0</v>
      </c>
      <c r="W168" s="1293">
        <f t="shared" si="229"/>
        <v>0</v>
      </c>
      <c r="X168" s="1293">
        <f t="shared" si="229"/>
        <v>0</v>
      </c>
      <c r="Y168" s="1293">
        <f t="shared" si="229"/>
        <v>0</v>
      </c>
      <c r="Z168" s="1293">
        <f t="shared" si="229"/>
        <v>0</v>
      </c>
      <c r="AA168" s="1293">
        <f t="shared" si="229"/>
        <v>59383</v>
      </c>
      <c r="AB168" s="1293">
        <f t="shared" si="229"/>
        <v>0</v>
      </c>
      <c r="AC168" s="1293">
        <f t="shared" si="229"/>
        <v>0</v>
      </c>
      <c r="AD168" s="1293">
        <f t="shared" si="229"/>
        <v>-59383</v>
      </c>
      <c r="AE168" s="1293">
        <f t="shared" si="229"/>
        <v>0</v>
      </c>
      <c r="AF168" s="1293">
        <f t="shared" si="229"/>
        <v>0</v>
      </c>
      <c r="AG168" s="1293">
        <f t="shared" si="229"/>
        <v>0</v>
      </c>
      <c r="AH168" s="1293">
        <f t="shared" si="229"/>
        <v>0</v>
      </c>
      <c r="AI168" s="1293">
        <f t="shared" si="229"/>
        <v>0</v>
      </c>
      <c r="AJ168" s="1293">
        <f>SUM(AJ169)</f>
        <v>3352807.77</v>
      </c>
      <c r="AK168" s="1293">
        <f t="shared" ref="AK168:AN168" si="230">SUM(AK169)</f>
        <v>607002.71</v>
      </c>
      <c r="AL168" s="1293">
        <f t="shared" si="230"/>
        <v>0</v>
      </c>
      <c r="AM168" s="1293">
        <f t="shared" si="230"/>
        <v>0</v>
      </c>
      <c r="AN168" s="1293">
        <f t="shared" si="230"/>
        <v>2745805.06</v>
      </c>
      <c r="AO168" s="1293">
        <f t="shared" ref="AO168:AP168" si="231">SUM(AO169)</f>
        <v>0</v>
      </c>
      <c r="AP168" s="1293">
        <f t="shared" si="231"/>
        <v>0</v>
      </c>
      <c r="AQ168" s="256">
        <f>SUM(K168-'3 pr-2'!L170)</f>
        <v>0</v>
      </c>
    </row>
    <row r="169" spans="1:43" ht="37.5" thickBot="1" x14ac:dyDescent="0.3">
      <c r="A169" s="644" t="str">
        <f>CONCATENATE('3 pr-2'!A171)</f>
        <v>3.1.1.1.1</v>
      </c>
      <c r="B169" s="657" t="str">
        <f>CONCATENATE('3 pr-2'!B171)</f>
        <v>R01-0008-050000-3111</v>
      </c>
      <c r="C169" s="653" t="str">
        <f>CONCATENATE('ketv. 6 '!C170)</f>
        <v>05.2.1-APVA-R-008-11-0001</v>
      </c>
      <c r="D169" s="254" t="str">
        <f>CONCATENATE('3 pr-2'!D171)</f>
        <v>Komunalinių atliekų tvarkymo sistemos plėtra Alytaus regione</v>
      </c>
      <c r="E169" s="182" t="str">
        <f>CONCATENATE('3 pr-2'!E171)</f>
        <v>Alytaus regiono atliekų tvarkymo centras</v>
      </c>
      <c r="F169" s="182" t="str">
        <f>CONCATENATE('3 pr-2'!F171)</f>
        <v>Lietuvos Respublikos aplinkos ministerija</v>
      </c>
      <c r="G169" s="182" t="str">
        <f>CONCATENATE('3 pr-2'!G171)</f>
        <v>Alytaus regionas</v>
      </c>
      <c r="H169" s="182" t="str">
        <f>CONCATENATE('3 pr-2'!H171)</f>
        <v>05.2.1-APVA-R-008</v>
      </c>
      <c r="I169" s="182" t="str">
        <f>CONCATENATE('3 pr-2'!I171)</f>
        <v>R</v>
      </c>
      <c r="J169" s="182" t="str">
        <f>CONCATENATE('3 pr-2'!J171)</f>
        <v>-</v>
      </c>
      <c r="K169" s="1435">
        <f>SUM('3 pr-2'!L171)</f>
        <v>4130687.05</v>
      </c>
      <c r="L169" s="1426">
        <f>SUM(Q169+V169+AA169+AF169+AK169)</f>
        <v>666385.71</v>
      </c>
      <c r="M169" s="1298"/>
      <c r="N169" s="1298"/>
      <c r="O169" s="1427">
        <f t="shared" ref="O169" si="232">SUM(K169-L169)</f>
        <v>3464301.34</v>
      </c>
      <c r="P169" s="1435">
        <f>SUM('3 pr-2'!O171)</f>
        <v>777879.2799999998</v>
      </c>
      <c r="Q169" s="1426">
        <f>SUMIF('mokėjimų ataskaita'!$I$13:$I$600,C169,'mokėjimų ataskaita'!$AU$13:$AU$600)/2</f>
        <v>0</v>
      </c>
      <c r="R169" s="1298"/>
      <c r="S169" s="1298"/>
      <c r="T169" s="1427">
        <f>SUM(P169-Q169)</f>
        <v>777879.2799999998</v>
      </c>
      <c r="U169" s="1435">
        <f>SUM('3 pr-2'!R171)</f>
        <v>0</v>
      </c>
      <c r="V169" s="1296">
        <f>SUMIF('mokėjimų ataskaita'!$I$13:$I$600,C169,'mokėjimų ataskaita'!$AL$13:$AL$600)/2</f>
        <v>0</v>
      </c>
      <c r="W169" s="1298"/>
      <c r="X169" s="1298"/>
      <c r="Y169" s="1427">
        <f t="shared" si="200"/>
        <v>0</v>
      </c>
      <c r="Z169" s="1435">
        <f>SUM('3 pr-2'!U171)</f>
        <v>0</v>
      </c>
      <c r="AA169" s="1715">
        <f>SUMIF('mokėjimų ataskaita'!$I$13:$I$600,C169,'mokėjimų ataskaita'!$AW$13:$AW$600)/2</f>
        <v>59383</v>
      </c>
      <c r="AB169" s="1298"/>
      <c r="AC169" s="1298"/>
      <c r="AD169" s="1427">
        <f t="shared" ref="AD169:AD179" si="233">SUM(Z169-AA169)</f>
        <v>-59383</v>
      </c>
      <c r="AE169" s="1435">
        <f>SUM('3 pr-2'!X171)</f>
        <v>0</v>
      </c>
      <c r="AF169" s="1296">
        <f>SUMIF('mokėjimų ataskaita'!$I$13:$I$600,C169,'mokėjimų ataskaita'!$AV$13:$AV$600)/2+SUMIF('mokėjimų ataskaita'!$I$13:$I$600,C169,'mokėjimų ataskaita'!$AT$13:$AT$600)/2</f>
        <v>0</v>
      </c>
      <c r="AG169" s="1298"/>
      <c r="AH169" s="1298"/>
      <c r="AI169" s="1427">
        <f t="shared" ref="AI169:AI179" si="234">SUM(AE169-AF169)</f>
        <v>0</v>
      </c>
      <c r="AJ169" s="1435">
        <f>SUM('3 pr-2'!AA171)</f>
        <v>3352807.77</v>
      </c>
      <c r="AK169" s="1426">
        <f>SUMIF('mokėjimų ataskaita'!$I$13:$I$600,C169,'mokėjimų ataskaita'!$AK$13:$AK$600)/2</f>
        <v>607002.71</v>
      </c>
      <c r="AL169" s="1298"/>
      <c r="AM169" s="1298"/>
      <c r="AN169" s="1441">
        <f>SUM(AJ169-AK169)</f>
        <v>2745805.06</v>
      </c>
      <c r="AO169" s="1296">
        <f>SUM('3 pr-2'!AB334)</f>
        <v>0</v>
      </c>
      <c r="AP169" s="1426">
        <v>0</v>
      </c>
    </row>
    <row r="170" spans="1:43" ht="36.75" customHeight="1" thickBot="1" x14ac:dyDescent="0.3">
      <c r="A170" s="447" t="str">
        <f>CONCATENATE('3 pr-2'!A172)</f>
        <v>3.1.2.</v>
      </c>
      <c r="B170" s="2022" t="str">
        <f>CONCATENATE('3 pr-2'!B172)</f>
        <v>Uždavinys:
Kraštovaizdžio apsauga, planavimas ir tvarkymas</v>
      </c>
      <c r="C170" s="2023"/>
      <c r="D170" s="2023"/>
      <c r="E170" s="2023"/>
      <c r="F170" s="2023"/>
      <c r="G170" s="2023"/>
      <c r="H170" s="2023"/>
      <c r="I170" s="2023"/>
      <c r="J170" s="2024"/>
      <c r="K170" s="1490">
        <f t="shared" ref="K170:AI170" si="235">SUM(K171)</f>
        <v>2507797.8011764702</v>
      </c>
      <c r="L170" s="1490">
        <f t="shared" si="235"/>
        <v>602125.23</v>
      </c>
      <c r="M170" s="1490">
        <f t="shared" si="235"/>
        <v>243134.93</v>
      </c>
      <c r="N170" s="1490">
        <f t="shared" si="235"/>
        <v>358990.30000000005</v>
      </c>
      <c r="O170" s="1490">
        <f t="shared" si="235"/>
        <v>1905672.5711764703</v>
      </c>
      <c r="P170" s="1490">
        <f t="shared" si="235"/>
        <v>376170.05117647059</v>
      </c>
      <c r="Q170" s="1490">
        <f t="shared" si="235"/>
        <v>68475.429999999993</v>
      </c>
      <c r="R170" s="1490">
        <f t="shared" si="235"/>
        <v>3196.9</v>
      </c>
      <c r="S170" s="1490">
        <f t="shared" si="235"/>
        <v>65278.53</v>
      </c>
      <c r="T170" s="1490">
        <f t="shared" si="235"/>
        <v>307694.62117647065</v>
      </c>
      <c r="U170" s="1490">
        <f t="shared" si="235"/>
        <v>0</v>
      </c>
      <c r="V170" s="1490">
        <f t="shared" si="235"/>
        <v>0</v>
      </c>
      <c r="W170" s="1490">
        <f t="shared" si="235"/>
        <v>0</v>
      </c>
      <c r="X170" s="1490">
        <f t="shared" si="235"/>
        <v>0</v>
      </c>
      <c r="Y170" s="1490">
        <f t="shared" si="235"/>
        <v>0</v>
      </c>
      <c r="Z170" s="1490">
        <f t="shared" si="235"/>
        <v>0</v>
      </c>
      <c r="AA170" s="1490">
        <f t="shared" si="235"/>
        <v>0</v>
      </c>
      <c r="AB170" s="1490">
        <f t="shared" si="235"/>
        <v>0</v>
      </c>
      <c r="AC170" s="1490">
        <f t="shared" si="235"/>
        <v>0</v>
      </c>
      <c r="AD170" s="1490">
        <f t="shared" si="235"/>
        <v>0</v>
      </c>
      <c r="AE170" s="1490">
        <f t="shared" si="235"/>
        <v>0</v>
      </c>
      <c r="AF170" s="1490">
        <f t="shared" si="235"/>
        <v>0</v>
      </c>
      <c r="AG170" s="1490">
        <f t="shared" si="235"/>
        <v>0</v>
      </c>
      <c r="AH170" s="1490">
        <f t="shared" si="235"/>
        <v>0</v>
      </c>
      <c r="AI170" s="1490">
        <f t="shared" si="235"/>
        <v>0</v>
      </c>
      <c r="AJ170" s="1490">
        <f>SUM(AJ171)</f>
        <v>2131627.75</v>
      </c>
      <c r="AK170" s="1490">
        <f t="shared" ref="AK170:AP170" si="236">SUM(AK171)</f>
        <v>533649.80000000005</v>
      </c>
      <c r="AL170" s="1490">
        <f t="shared" si="236"/>
        <v>239938.03</v>
      </c>
      <c r="AM170" s="1490">
        <f t="shared" si="236"/>
        <v>293711.77</v>
      </c>
      <c r="AN170" s="1490">
        <f t="shared" si="236"/>
        <v>1597977.9500000002</v>
      </c>
      <c r="AO170" s="1490">
        <f t="shared" si="236"/>
        <v>0</v>
      </c>
      <c r="AP170" s="1490">
        <f t="shared" si="236"/>
        <v>0</v>
      </c>
      <c r="AQ170" s="256">
        <f>SUM(K170-'3 pr-2'!L172)</f>
        <v>0</v>
      </c>
    </row>
    <row r="171" spans="1:43" ht="40.5" customHeight="1" thickBot="1" x14ac:dyDescent="0.3">
      <c r="A171" s="326" t="str">
        <f>CONCATENATE('3 pr-2'!A173)</f>
        <v>3.1.2.1</v>
      </c>
      <c r="B171" s="2025" t="str">
        <f>CONCATENATE('3 pr-2'!B173)</f>
        <v>Priemonė:
Kraštovaizdžio apsauga/plėtra</v>
      </c>
      <c r="C171" s="2026"/>
      <c r="D171" s="2026"/>
      <c r="E171" s="2026"/>
      <c r="F171" s="2026"/>
      <c r="G171" s="2026"/>
      <c r="H171" s="2026"/>
      <c r="I171" s="2026"/>
      <c r="J171" s="2027"/>
      <c r="K171" s="1293">
        <f t="shared" ref="K171:AI171" si="237">SUM(K172:K180)</f>
        <v>2507797.8011764702</v>
      </c>
      <c r="L171" s="1293">
        <f t="shared" si="237"/>
        <v>602125.23</v>
      </c>
      <c r="M171" s="1293">
        <f t="shared" si="237"/>
        <v>243134.93</v>
      </c>
      <c r="N171" s="1293">
        <f t="shared" si="237"/>
        <v>358990.30000000005</v>
      </c>
      <c r="O171" s="1293">
        <f t="shared" si="237"/>
        <v>1905672.5711764703</v>
      </c>
      <c r="P171" s="1293">
        <f t="shared" si="237"/>
        <v>376170.05117647059</v>
      </c>
      <c r="Q171" s="1293">
        <f t="shared" si="237"/>
        <v>68475.429999999993</v>
      </c>
      <c r="R171" s="1293">
        <f t="shared" si="237"/>
        <v>3196.9</v>
      </c>
      <c r="S171" s="1293">
        <f t="shared" si="237"/>
        <v>65278.53</v>
      </c>
      <c r="T171" s="1293">
        <f t="shared" si="237"/>
        <v>307694.62117647065</v>
      </c>
      <c r="U171" s="1293">
        <f t="shared" si="237"/>
        <v>0</v>
      </c>
      <c r="V171" s="1293">
        <f t="shared" si="237"/>
        <v>0</v>
      </c>
      <c r="W171" s="1293">
        <f t="shared" si="237"/>
        <v>0</v>
      </c>
      <c r="X171" s="1293">
        <f t="shared" si="237"/>
        <v>0</v>
      </c>
      <c r="Y171" s="1293">
        <f t="shared" si="237"/>
        <v>0</v>
      </c>
      <c r="Z171" s="1293">
        <f t="shared" si="237"/>
        <v>0</v>
      </c>
      <c r="AA171" s="1293">
        <f t="shared" si="237"/>
        <v>0</v>
      </c>
      <c r="AB171" s="1293">
        <f t="shared" si="237"/>
        <v>0</v>
      </c>
      <c r="AC171" s="1293">
        <f t="shared" si="237"/>
        <v>0</v>
      </c>
      <c r="AD171" s="1293">
        <f t="shared" si="237"/>
        <v>0</v>
      </c>
      <c r="AE171" s="1293">
        <f t="shared" si="237"/>
        <v>0</v>
      </c>
      <c r="AF171" s="1293">
        <f t="shared" si="237"/>
        <v>0</v>
      </c>
      <c r="AG171" s="1293">
        <f t="shared" si="237"/>
        <v>0</v>
      </c>
      <c r="AH171" s="1293">
        <f t="shared" si="237"/>
        <v>0</v>
      </c>
      <c r="AI171" s="1293">
        <f t="shared" si="237"/>
        <v>0</v>
      </c>
      <c r="AJ171" s="1293">
        <f>SUM(AJ172:AJ180)</f>
        <v>2131627.75</v>
      </c>
      <c r="AK171" s="1293">
        <f t="shared" ref="AK171:AP171" si="238">SUM(AK172:AK180)</f>
        <v>533649.80000000005</v>
      </c>
      <c r="AL171" s="1293">
        <f t="shared" si="238"/>
        <v>239938.03</v>
      </c>
      <c r="AM171" s="1293">
        <f t="shared" si="238"/>
        <v>293711.77</v>
      </c>
      <c r="AN171" s="1293">
        <f t="shared" si="238"/>
        <v>1597977.9500000002</v>
      </c>
      <c r="AO171" s="1293">
        <f t="shared" si="238"/>
        <v>0</v>
      </c>
      <c r="AP171" s="1293">
        <f t="shared" si="238"/>
        <v>0</v>
      </c>
      <c r="AQ171" s="256">
        <f>SUM(K171-'3 pr-2'!L173)</f>
        <v>0</v>
      </c>
    </row>
    <row r="172" spans="1:43" ht="36.75" x14ac:dyDescent="0.25">
      <c r="A172" s="644" t="str">
        <f>CONCATENATE('3 pr-2'!A174)</f>
        <v>3.1.2.1.1</v>
      </c>
      <c r="B172" s="657" t="str">
        <f>CONCATENATE('3 pr-2'!B174)</f>
        <v>R01-0019-380000-3211</v>
      </c>
      <c r="C172" s="653" t="str">
        <f>CONCATENATE('ketv. 6 '!C173)</f>
        <v>05.5.1-APVA-R-019-11-0002</v>
      </c>
      <c r="D172" s="254" t="str">
        <f>CONCATENATE('3 pr-2'!D174)</f>
        <v>Kraštovaizdžio formavimas ir tvarkymas Varėnos r. savivaldybėje (I etapas)</v>
      </c>
      <c r="E172" s="182" t="str">
        <f>CONCATENATE('3 pr-2'!E174)</f>
        <v>Varėnos rajono savivaldybės administracija</v>
      </c>
      <c r="F172" s="182" t="str">
        <f>CONCATENATE('3 pr-2'!F174)</f>
        <v>Lietuvos Respublikos aplinkos ministerija</v>
      </c>
      <c r="G172" s="182" t="str">
        <f>CONCATENATE('3 pr-2'!G174)</f>
        <v>Varėnos r. sav.</v>
      </c>
      <c r="H172" s="182" t="str">
        <f>CONCATENATE('3 pr-2'!H174)</f>
        <v>05.5.1-APVA-R-019</v>
      </c>
      <c r="I172" s="182" t="str">
        <f>CONCATENATE('3 pr-2'!I174)</f>
        <v>R</v>
      </c>
      <c r="J172" s="182" t="str">
        <f>CONCATENATE('3 pr-2'!J174)</f>
        <v>-</v>
      </c>
      <c r="K172" s="1435">
        <f>SUM('3 pr-2'!L174)</f>
        <v>309522</v>
      </c>
      <c r="L172" s="1426">
        <f>SUM(Q172+V172+AK172)</f>
        <v>218895.01</v>
      </c>
      <c r="M172" s="1298">
        <v>89683.650000000009</v>
      </c>
      <c r="N172" s="1298">
        <f>SUM(L172-M172)</f>
        <v>129211.36</v>
      </c>
      <c r="O172" s="1427">
        <f t="shared" si="199"/>
        <v>90626.989999999991</v>
      </c>
      <c r="P172" s="1435">
        <f>SUM('3 pr-2'!O174)</f>
        <v>46428.3</v>
      </c>
      <c r="Q172" s="1426">
        <f>SUMIF('mokėjimų ataskaita'!$I$13:$I$600,C172,'mokėjimų ataskaita'!$AU$13:$AU$600)/2</f>
        <v>27943.629999999997</v>
      </c>
      <c r="R172" s="1298">
        <v>1613.33</v>
      </c>
      <c r="S172" s="1298">
        <f t="shared" ref="S172:S179" si="239">SUM(Q172-R172)</f>
        <v>26330.299999999996</v>
      </c>
      <c r="T172" s="1427">
        <f t="shared" ref="T172:T180" si="240">SUM(P172-Q172)</f>
        <v>18484.670000000006</v>
      </c>
      <c r="U172" s="1435">
        <f>SUM('3 pr-2'!R174)</f>
        <v>0</v>
      </c>
      <c r="V172" s="1296">
        <f>SUMIF('mokėjimų ataskaita'!$I$13:$I$600,C172,'mokėjimų ataskaita'!$AL$13:$AL$600)/2</f>
        <v>0</v>
      </c>
      <c r="W172" s="1298"/>
      <c r="X172" s="1298"/>
      <c r="Y172" s="1427">
        <f t="shared" si="200"/>
        <v>0</v>
      </c>
      <c r="Z172" s="1435">
        <f>SUM('3 pr-2'!U174)</f>
        <v>0</v>
      </c>
      <c r="AA172" s="1296">
        <f>SUMIF('mokėjimų ataskaita'!$I$13:$I$600,C172,'mokėjimų ataskaita'!$AW$13:$AW$600)/2</f>
        <v>0</v>
      </c>
      <c r="AB172" s="1298"/>
      <c r="AC172" s="1298"/>
      <c r="AD172" s="1427">
        <f t="shared" si="233"/>
        <v>0</v>
      </c>
      <c r="AE172" s="1435">
        <f>SUM('3 pr-2'!X174)</f>
        <v>0</v>
      </c>
      <c r="AF172" s="1296">
        <f>SUMIF('mokėjimų ataskaita'!$I$13:$I$600,C172,'mokėjimų ataskaita'!$AV$13:$AV$600)/2+SUMIF('mokėjimų ataskaita'!$I$13:$I$600,C172,'mokėjimų ataskaita'!$AT$13:$AT$600)/2</f>
        <v>0</v>
      </c>
      <c r="AG172" s="1298"/>
      <c r="AH172" s="1298"/>
      <c r="AI172" s="1427">
        <f t="shared" si="234"/>
        <v>0</v>
      </c>
      <c r="AJ172" s="1435">
        <f>SUM('3 pr-2'!AA174)</f>
        <v>263093.7</v>
      </c>
      <c r="AK172" s="1426">
        <f>SUMIF('mokėjimų ataskaita'!$I$13:$I$600,C172,'mokėjimų ataskaita'!$AK$13:$AK$600)/2</f>
        <v>190951.38</v>
      </c>
      <c r="AL172" s="1298">
        <v>88070.32</v>
      </c>
      <c r="AM172" s="1298">
        <f t="shared" ref="AM172:AM179" si="241">SUM(AK172-AL172)</f>
        <v>102881.06</v>
      </c>
      <c r="AN172" s="1454">
        <f t="shared" ref="AN172:AN180" si="242">SUM(AJ172-AK172)</f>
        <v>72142.320000000007</v>
      </c>
      <c r="AO172" s="1296">
        <f>SUM('3 pr-2'!AB337)</f>
        <v>0</v>
      </c>
      <c r="AP172" s="1426">
        <v>0</v>
      </c>
    </row>
    <row r="173" spans="1:43" ht="36.75" x14ac:dyDescent="0.25">
      <c r="A173" s="644" t="str">
        <f>CONCATENATE('3 pr-2'!A175)</f>
        <v>3.1.2.1.2</v>
      </c>
      <c r="B173" s="657" t="str">
        <f>CONCATENATE('3 pr-2'!B175)</f>
        <v>R01-0019-380000-3212</v>
      </c>
      <c r="C173" s="653" t="str">
        <f>CONCATENATE('ketv. 6 '!C174)</f>
        <v>-</v>
      </c>
      <c r="D173" s="254" t="str">
        <f>CONCATENATE('3 pr-2'!D175)</f>
        <v>Kraštovaizdžio formavimas ir tvarkymas Varėnos r. savivaldybėje (II etapas)</v>
      </c>
      <c r="E173" s="182" t="str">
        <f>CONCATENATE('3 pr-2'!E175)</f>
        <v>Varėnos rajono savivaldybės administracija</v>
      </c>
      <c r="F173" s="182" t="str">
        <f>CONCATENATE('3 pr-2'!F175)</f>
        <v>Lietuvos Respublikos aplinkos ministerija</v>
      </c>
      <c r="G173" s="182" t="str">
        <f>CONCATENATE('3 pr-2'!G175)</f>
        <v>Varėnos r. sav.</v>
      </c>
      <c r="H173" s="182" t="str">
        <f>CONCATENATE('3 pr-2'!H175)</f>
        <v>05.5.1-APVA-R-019</v>
      </c>
      <c r="I173" s="182" t="str">
        <f>CONCATENATE('3 pr-2'!I175)</f>
        <v>R</v>
      </c>
      <c r="J173" s="182" t="str">
        <f>CONCATENATE('3 pr-2'!J175)</f>
        <v>-</v>
      </c>
      <c r="K173" s="1435">
        <f>SUM('3 pr-2'!L175)</f>
        <v>554211</v>
      </c>
      <c r="L173" s="1432">
        <f t="shared" ref="L173:L180" si="243">SUM(Q173+V173+AK173)</f>
        <v>0</v>
      </c>
      <c r="M173" s="1298">
        <v>0</v>
      </c>
      <c r="N173" s="1298">
        <f t="shared" ref="N173:N179" si="244">SUM(L173-M173)</f>
        <v>0</v>
      </c>
      <c r="O173" s="1427">
        <f t="shared" ref="O173:O179" si="245">SUM(K173-L173)</f>
        <v>554211</v>
      </c>
      <c r="P173" s="1435">
        <f>SUM('3 pr-2'!O175)</f>
        <v>83132</v>
      </c>
      <c r="Q173" s="1432">
        <f>SUMIF('mokėjimų ataskaita'!$I$13:$I$600,C173,'mokėjimų ataskaita'!$AU$13:$AU$600)/2</f>
        <v>0</v>
      </c>
      <c r="R173" s="1298">
        <v>0</v>
      </c>
      <c r="S173" s="1298">
        <f t="shared" si="239"/>
        <v>0</v>
      </c>
      <c r="T173" s="1427">
        <f t="shared" si="240"/>
        <v>83132</v>
      </c>
      <c r="U173" s="1435">
        <f>SUM('3 pr-2'!R175)</f>
        <v>0</v>
      </c>
      <c r="V173" s="1296">
        <f>SUMIF('mokėjimų ataskaita'!$I$13:$I$600,C173,'mokėjimų ataskaita'!$AL$13:$AL$600)/2</f>
        <v>0</v>
      </c>
      <c r="W173" s="1298"/>
      <c r="X173" s="1298"/>
      <c r="Y173" s="1427">
        <f t="shared" si="200"/>
        <v>0</v>
      </c>
      <c r="Z173" s="1435">
        <f>SUM('3 pr-2'!U175)</f>
        <v>0</v>
      </c>
      <c r="AA173" s="1296">
        <f>SUMIF('mokėjimų ataskaita'!$I$13:$I$600,C173,'mokėjimų ataskaita'!$AW$13:$AW$600)/2</f>
        <v>0</v>
      </c>
      <c r="AB173" s="1298"/>
      <c r="AC173" s="1298"/>
      <c r="AD173" s="1427">
        <f t="shared" si="233"/>
        <v>0</v>
      </c>
      <c r="AE173" s="1435">
        <f>SUM('3 pr-2'!X175)</f>
        <v>0</v>
      </c>
      <c r="AF173" s="1296">
        <f>SUMIF('mokėjimų ataskaita'!$I$13:$I$600,C173,'mokėjimų ataskaita'!$AV$13:$AV$600)/2+SUMIF('mokėjimų ataskaita'!$I$13:$I$600,C173,'mokėjimų ataskaita'!$AT$13:$AT$600)/2</f>
        <v>0</v>
      </c>
      <c r="AG173" s="1298"/>
      <c r="AH173" s="1298"/>
      <c r="AI173" s="1427">
        <f t="shared" si="234"/>
        <v>0</v>
      </c>
      <c r="AJ173" s="1435">
        <f>SUM('3 pr-2'!AA175)</f>
        <v>471079</v>
      </c>
      <c r="AK173" s="1432">
        <f>SUMIF('mokėjimų ataskaita'!$I$13:$I$600,C173,'mokėjimų ataskaita'!$AK$13:$AK$600)/2</f>
        <v>0</v>
      </c>
      <c r="AL173" s="1298">
        <v>0</v>
      </c>
      <c r="AM173" s="1298">
        <f t="shared" si="241"/>
        <v>0</v>
      </c>
      <c r="AN173" s="1454">
        <f t="shared" si="242"/>
        <v>471079</v>
      </c>
      <c r="AO173" s="1296">
        <f>SUM('3 pr-2'!AB338)</f>
        <v>0</v>
      </c>
      <c r="AP173" s="1432">
        <v>0</v>
      </c>
    </row>
    <row r="174" spans="1:43" ht="36.75" x14ac:dyDescent="0.25">
      <c r="A174" s="644" t="str">
        <f>CONCATENATE('3 pr-2'!A176)</f>
        <v>3.1.2.1.3</v>
      </c>
      <c r="B174" s="657" t="str">
        <f>CONCATENATE('3 pr-2'!B176)</f>
        <v>R01-0019-380000-3213</v>
      </c>
      <c r="C174" s="653" t="str">
        <f>CONCATENATE('ketv. 6 '!C175)</f>
        <v>05.5.1-APVA-R-019-11-0001</v>
      </c>
      <c r="D174" s="254" t="str">
        <f>CONCATENATE('3 pr-2'!D176)</f>
        <v>Bešeimininkių apleistų pastatų ir įrenginių tvarkymas Alytaus rajono savivaldybėje</v>
      </c>
      <c r="E174" s="182" t="str">
        <f>CONCATENATE('3 pr-2'!E176)</f>
        <v>Alytaus rajono savivaldybės administracija</v>
      </c>
      <c r="F174" s="182" t="str">
        <f>CONCATENATE('3 pr-2'!F176)</f>
        <v>Lietuvos Respublikos aplinkos ministerija</v>
      </c>
      <c r="G174" s="182" t="str">
        <f>CONCATENATE('3 pr-2'!G176)</f>
        <v>Alytaus r. sav.</v>
      </c>
      <c r="H174" s="182" t="str">
        <f>CONCATENATE('3 pr-2'!H176)</f>
        <v>05.5.1-APVA-R-019</v>
      </c>
      <c r="I174" s="182" t="str">
        <f>CONCATENATE('3 pr-2'!I176)</f>
        <v>R</v>
      </c>
      <c r="J174" s="182" t="str">
        <f>CONCATENATE('3 pr-2'!J176)</f>
        <v/>
      </c>
      <c r="K174" s="1435">
        <f>SUM('3 pr-2'!L176)</f>
        <v>101765.7</v>
      </c>
      <c r="L174" s="1426">
        <f t="shared" si="243"/>
        <v>53478.869999999995</v>
      </c>
      <c r="M174" s="1298">
        <v>0</v>
      </c>
      <c r="N174" s="1298">
        <f t="shared" si="244"/>
        <v>53478.869999999995</v>
      </c>
      <c r="O174" s="1427">
        <f t="shared" si="245"/>
        <v>48286.83</v>
      </c>
      <c r="P174" s="1435">
        <f>SUM('3 pr-2'!O176)</f>
        <v>15264.9</v>
      </c>
      <c r="Q174" s="1426">
        <f>SUMIF('mokėjimų ataskaita'!$I$13:$I$600,C174,'mokėjimų ataskaita'!$AU$13:$AU$600)/2</f>
        <v>8021.85</v>
      </c>
      <c r="R174" s="1298">
        <v>0</v>
      </c>
      <c r="S174" s="1298">
        <f t="shared" si="239"/>
        <v>8021.85</v>
      </c>
      <c r="T174" s="1427">
        <f t="shared" si="240"/>
        <v>7243.0499999999993</v>
      </c>
      <c r="U174" s="1435">
        <f>SUM('3 pr-2'!R176)</f>
        <v>0</v>
      </c>
      <c r="V174" s="1296">
        <f>SUMIF('mokėjimų ataskaita'!$I$13:$I$600,C174,'mokėjimų ataskaita'!$AL$13:$AL$600)/2</f>
        <v>0</v>
      </c>
      <c r="W174" s="1298"/>
      <c r="X174" s="1298"/>
      <c r="Y174" s="1427">
        <f t="shared" si="200"/>
        <v>0</v>
      </c>
      <c r="Z174" s="1435">
        <f>SUM('3 pr-2'!U176)</f>
        <v>0</v>
      </c>
      <c r="AA174" s="1296">
        <f>SUMIF('mokėjimų ataskaita'!$I$13:$I$600,C174,'mokėjimų ataskaita'!$AW$13:$AW$600)/2</f>
        <v>0</v>
      </c>
      <c r="AB174" s="1298"/>
      <c r="AC174" s="1298"/>
      <c r="AD174" s="1427">
        <f t="shared" si="233"/>
        <v>0</v>
      </c>
      <c r="AE174" s="1435">
        <f>SUM('3 pr-2'!X176)</f>
        <v>0</v>
      </c>
      <c r="AF174" s="1296">
        <f>SUMIF('mokėjimų ataskaita'!$I$13:$I$600,C174,'mokėjimų ataskaita'!$AV$13:$AV$600)/2+SUMIF('mokėjimų ataskaita'!$I$13:$I$600,C174,'mokėjimų ataskaita'!$AT$13:$AT$600)/2</f>
        <v>0</v>
      </c>
      <c r="AG174" s="1298"/>
      <c r="AH174" s="1298"/>
      <c r="AI174" s="1427">
        <f t="shared" si="234"/>
        <v>0</v>
      </c>
      <c r="AJ174" s="1435">
        <f>SUM('3 pr-2'!AA176)</f>
        <v>86500.800000000003</v>
      </c>
      <c r="AK174" s="1426">
        <f>SUMIF('mokėjimų ataskaita'!$I$13:$I$600,C174,'mokėjimų ataskaita'!$AK$13:$AK$600)/2</f>
        <v>45457.02</v>
      </c>
      <c r="AL174" s="1298">
        <v>0</v>
      </c>
      <c r="AM174" s="1298">
        <f t="shared" si="241"/>
        <v>45457.02</v>
      </c>
      <c r="AN174" s="1454">
        <f t="shared" si="242"/>
        <v>41043.780000000006</v>
      </c>
      <c r="AO174" s="1296">
        <f>SUM('3 pr-2'!AB339)</f>
        <v>0</v>
      </c>
      <c r="AP174" s="1426">
        <v>0</v>
      </c>
    </row>
    <row r="175" spans="1:43" ht="60.75" x14ac:dyDescent="0.25">
      <c r="A175" s="644" t="str">
        <f>CONCATENATE('3 pr-2'!A177)</f>
        <v>3.1.2.1.4</v>
      </c>
      <c r="B175" s="657" t="str">
        <f>CONCATENATE('3 pr-2'!B177)</f>
        <v>R01-0019-380000-3214</v>
      </c>
      <c r="C175" s="653" t="str">
        <f>CONCATENATE('ketv. 6 '!C176)</f>
        <v>05.5.1-APVA-R-019-11-0004</v>
      </c>
      <c r="D175" s="254" t="str">
        <f>CONCATENATE('3 pr-2'!D177)</f>
        <v>Alytaus miesto bendrojo plano korektūra zonuojant kraštovaizdžio struktūrą, nustatant reglamentus ir principus</v>
      </c>
      <c r="E175" s="182" t="str">
        <f>CONCATENATE('3 pr-2'!E177)</f>
        <v>Alytaus miesto savivaldybės administracija</v>
      </c>
      <c r="F175" s="182" t="str">
        <f>CONCATENATE('3 pr-2'!F177)</f>
        <v>Lietuvos Respublikos aplinkos ministerija</v>
      </c>
      <c r="G175" s="182" t="str">
        <f>CONCATENATE('3 pr-2'!G177)</f>
        <v>Alytaus m. sav.</v>
      </c>
      <c r="H175" s="182" t="str">
        <f>CONCATENATE('3 pr-2'!H177)</f>
        <v>05.5.1-APVA-R-019</v>
      </c>
      <c r="I175" s="182" t="str">
        <f>CONCATENATE('3 pr-2'!I177)</f>
        <v>R</v>
      </c>
      <c r="J175" s="182" t="str">
        <f>CONCATENATE('3 pr-2'!J177)</f>
        <v/>
      </c>
      <c r="K175" s="1435">
        <f>SUM('3 pr-2'!L177)</f>
        <v>3993</v>
      </c>
      <c r="L175" s="1426">
        <f t="shared" si="243"/>
        <v>1018.22</v>
      </c>
      <c r="M175" s="1298">
        <v>0</v>
      </c>
      <c r="N175" s="1298">
        <f t="shared" si="244"/>
        <v>1018.22</v>
      </c>
      <c r="O175" s="1427">
        <f t="shared" si="245"/>
        <v>2974.7799999999997</v>
      </c>
      <c r="P175" s="1435">
        <f>SUM('3 pr-2'!O177)</f>
        <v>598.95000000000005</v>
      </c>
      <c r="Q175" s="1426">
        <f>SUMIF('mokėjimų ataskaita'!$I$13:$I$600,C175,'mokėjimų ataskaita'!$AU$13:$AU$600)/2</f>
        <v>0</v>
      </c>
      <c r="R175" s="1298">
        <v>0</v>
      </c>
      <c r="S175" s="1298">
        <f t="shared" si="239"/>
        <v>0</v>
      </c>
      <c r="T175" s="1427">
        <f t="shared" si="240"/>
        <v>598.95000000000005</v>
      </c>
      <c r="U175" s="1435">
        <f>SUM('3 pr-2'!R177)</f>
        <v>0</v>
      </c>
      <c r="V175" s="1296">
        <f>SUMIF('mokėjimų ataskaita'!$I$13:$I$600,C175,'mokėjimų ataskaita'!$AL$13:$AL$600)/2</f>
        <v>0</v>
      </c>
      <c r="W175" s="1298"/>
      <c r="X175" s="1298"/>
      <c r="Y175" s="1427">
        <f t="shared" si="200"/>
        <v>0</v>
      </c>
      <c r="Z175" s="1435">
        <f>SUM('3 pr-2'!U177)</f>
        <v>0</v>
      </c>
      <c r="AA175" s="1296">
        <f>SUMIF('mokėjimų ataskaita'!$I$13:$I$600,C175,'mokėjimų ataskaita'!$AW$13:$AW$600)/2</f>
        <v>0</v>
      </c>
      <c r="AB175" s="1298"/>
      <c r="AC175" s="1298"/>
      <c r="AD175" s="1427">
        <f t="shared" si="233"/>
        <v>0</v>
      </c>
      <c r="AE175" s="1435">
        <f>SUM('3 pr-2'!X177)</f>
        <v>0</v>
      </c>
      <c r="AF175" s="1296">
        <f>SUMIF('mokėjimų ataskaita'!$I$13:$I$600,C175,'mokėjimų ataskaita'!$AV$13:$AV$600)/2+SUMIF('mokėjimų ataskaita'!$I$13:$I$600,C175,'mokėjimų ataskaita'!$AT$13:$AT$600)/2</f>
        <v>0</v>
      </c>
      <c r="AG175" s="1298"/>
      <c r="AH175" s="1298"/>
      <c r="AI175" s="1427">
        <f t="shared" si="234"/>
        <v>0</v>
      </c>
      <c r="AJ175" s="1435">
        <f>SUM('3 pr-2'!AA177)</f>
        <v>3394.05</v>
      </c>
      <c r="AK175" s="1426">
        <f>SUMIF('mokėjimų ataskaita'!$I$13:$I$600,C175,'mokėjimų ataskaita'!$AK$13:$AK$600)/2</f>
        <v>1018.22</v>
      </c>
      <c r="AL175" s="1298">
        <v>0</v>
      </c>
      <c r="AM175" s="1298">
        <f t="shared" si="241"/>
        <v>1018.22</v>
      </c>
      <c r="AN175" s="1454">
        <f t="shared" si="242"/>
        <v>2375.83</v>
      </c>
      <c r="AO175" s="1296">
        <f>SUM('3 pr-2'!AB340)</f>
        <v>0</v>
      </c>
      <c r="AP175" s="1426">
        <v>0</v>
      </c>
    </row>
    <row r="176" spans="1:43" ht="36.75" x14ac:dyDescent="0.25">
      <c r="A176" s="644" t="str">
        <f>CONCATENATE('3 pr-2'!A178)</f>
        <v>3.1.2.1.5</v>
      </c>
      <c r="B176" s="657" t="str">
        <f>CONCATENATE('3 pr-2'!B178)</f>
        <v>R01-0019-380000-3215</v>
      </c>
      <c r="C176" s="653" t="str">
        <f>CONCATENATE('ketv. 6 '!C177)</f>
        <v>05.5.1-APVA-R-019-11-0005</v>
      </c>
      <c r="D176" s="254" t="str">
        <f>CONCATENATE('3 pr-2'!D178)</f>
        <v>Bešeimininkių apleistų pastatų Druskininkų savivaldybės teritorijoje likvidavimas</v>
      </c>
      <c r="E176" s="182" t="str">
        <f>CONCATENATE('3 pr-2'!E178)</f>
        <v>Druskininkų savivaldybės administracija</v>
      </c>
      <c r="F176" s="182" t="str">
        <f>CONCATENATE('3 pr-2'!F178)</f>
        <v>Lietuvos Respublikos aplinkos ministerija</v>
      </c>
      <c r="G176" s="182" t="str">
        <f>CONCATENATE('3 pr-2'!G178)</f>
        <v>Druskininkų sav.</v>
      </c>
      <c r="H176" s="182" t="str">
        <f>CONCATENATE('3 pr-2'!H178)</f>
        <v>05.5.1-APVA-R-019</v>
      </c>
      <c r="I176" s="182" t="str">
        <f>CONCATENATE('3 pr-2'!I178)</f>
        <v>R</v>
      </c>
      <c r="J176" s="182" t="str">
        <f>CONCATENATE('3 pr-2'!J178)</f>
        <v>-</v>
      </c>
      <c r="K176" s="1435">
        <f>SUM('3 pr-2'!L178)</f>
        <v>121153.55</v>
      </c>
      <c r="L176" s="1426">
        <f t="shared" si="243"/>
        <v>121153.53</v>
      </c>
      <c r="M176" s="1298">
        <v>37893.879999999997</v>
      </c>
      <c r="N176" s="1298">
        <f t="shared" si="244"/>
        <v>83259.649999999994</v>
      </c>
      <c r="O176" s="1427">
        <f t="shared" si="245"/>
        <v>2.0000000004074536E-2</v>
      </c>
      <c r="P176" s="1435">
        <f>SUM('3 pr-2'!O178)</f>
        <v>18173.03</v>
      </c>
      <c r="Q176" s="1426">
        <f>SUMIF('mokėjimų ataskaita'!$I$13:$I$600,C176,'mokėjimų ataskaita'!$AU$13:$AU$600)/2</f>
        <v>18173.009999999998</v>
      </c>
      <c r="R176" s="1298">
        <v>1049.96</v>
      </c>
      <c r="S176" s="1298">
        <f t="shared" si="239"/>
        <v>17123.05</v>
      </c>
      <c r="T176" s="1427">
        <f t="shared" si="240"/>
        <v>2.0000000000436557E-2</v>
      </c>
      <c r="U176" s="1435">
        <f>SUM('3 pr-2'!R178)</f>
        <v>0</v>
      </c>
      <c r="V176" s="1296">
        <f>SUMIF('mokėjimų ataskaita'!$I$13:$I$600,C176,'mokėjimų ataskaita'!$AL$13:$AL$600)/2</f>
        <v>0</v>
      </c>
      <c r="W176" s="1298"/>
      <c r="X176" s="1298"/>
      <c r="Y176" s="1427">
        <f t="shared" si="200"/>
        <v>0</v>
      </c>
      <c r="Z176" s="1435">
        <f>SUM('3 pr-2'!U178)</f>
        <v>0</v>
      </c>
      <c r="AA176" s="1296">
        <f>SUMIF('mokėjimų ataskaita'!$I$13:$I$600,C176,'mokėjimų ataskaita'!$AW$13:$AW$600)/2</f>
        <v>0</v>
      </c>
      <c r="AB176" s="1298"/>
      <c r="AC176" s="1298"/>
      <c r="AD176" s="1427">
        <f t="shared" si="233"/>
        <v>0</v>
      </c>
      <c r="AE176" s="1435">
        <f>SUM('3 pr-2'!X178)</f>
        <v>0</v>
      </c>
      <c r="AF176" s="1296">
        <f>SUMIF('mokėjimų ataskaita'!$I$13:$I$600,C176,'mokėjimų ataskaita'!$AV$13:$AV$600)/2+SUMIF('mokėjimų ataskaita'!$I$13:$I$600,C176,'mokėjimų ataskaita'!$AT$13:$AT$600)/2</f>
        <v>0</v>
      </c>
      <c r="AG176" s="1298"/>
      <c r="AH176" s="1298"/>
      <c r="AI176" s="1427">
        <f t="shared" si="234"/>
        <v>0</v>
      </c>
      <c r="AJ176" s="1435">
        <f>SUM('3 pr-2'!AA178)</f>
        <v>102980.52</v>
      </c>
      <c r="AK176" s="1426">
        <f>SUMIF('mokėjimų ataskaita'!$I$13:$I$600,C176,'mokėjimų ataskaita'!$AK$13:$AK$600)/2</f>
        <v>102980.52</v>
      </c>
      <c r="AL176" s="1298">
        <v>36843.919999999998</v>
      </c>
      <c r="AM176" s="1298">
        <f t="shared" si="241"/>
        <v>66136.600000000006</v>
      </c>
      <c r="AN176" s="1454">
        <f t="shared" si="242"/>
        <v>0</v>
      </c>
      <c r="AO176" s="1296">
        <f>SUM('3 pr-2'!AB341)</f>
        <v>0</v>
      </c>
      <c r="AP176" s="1426">
        <v>0</v>
      </c>
    </row>
    <row r="177" spans="1:43" ht="36.75" x14ac:dyDescent="0.25">
      <c r="A177" s="644" t="str">
        <f>CONCATENATE('3 pr-2'!A179)</f>
        <v>3.1.2.1.6</v>
      </c>
      <c r="B177" s="657" t="str">
        <f>CONCATENATE('3 pr-2'!B179)</f>
        <v>R01-0019-380000-3216</v>
      </c>
      <c r="C177" s="653" t="str">
        <f>CONCATENATE('ketv. 6 '!C178)</f>
        <v>05.5.1-APVA-R-019-11-0003</v>
      </c>
      <c r="D177" s="254" t="str">
        <f>CONCATENATE('3 pr-2'!D179)</f>
        <v>Kraštovaizdžio formavimas Lazdijų rajono savivaldybėje</v>
      </c>
      <c r="E177" s="182" t="str">
        <f>CONCATENATE('3 pr-2'!E179)</f>
        <v>Lazdijų rajono savivaldybės administracija</v>
      </c>
      <c r="F177" s="182" t="str">
        <f>CONCATENATE('3 pr-2'!F179)</f>
        <v>Lietuvos Respublikos aplinkos ministerija</v>
      </c>
      <c r="G177" s="182" t="str">
        <f>CONCATENATE('3 pr-2'!G179)</f>
        <v>Lazdijų r. sav.</v>
      </c>
      <c r="H177" s="182" t="str">
        <f>CONCATENATE('3 pr-2'!H179)</f>
        <v>05.5.1-APVA-R-019</v>
      </c>
      <c r="I177" s="182" t="str">
        <f>CONCATENATE('3 pr-2'!I179)</f>
        <v>R</v>
      </c>
      <c r="J177" s="182" t="str">
        <f>CONCATENATE('3 pr-2'!J179)</f>
        <v>-</v>
      </c>
      <c r="K177" s="1435">
        <f>SUM('3 pr-2'!L179)</f>
        <v>442298.58999999997</v>
      </c>
      <c r="L177" s="1426">
        <f t="shared" si="243"/>
        <v>207579.60000000003</v>
      </c>
      <c r="M177" s="1298">
        <v>115557.4</v>
      </c>
      <c r="N177" s="1298">
        <f t="shared" si="244"/>
        <v>92022.200000000041</v>
      </c>
      <c r="O177" s="1427">
        <f t="shared" si="245"/>
        <v>234718.98999999993</v>
      </c>
      <c r="P177" s="1435">
        <f>SUM('3 pr-2'!O179)</f>
        <v>66344.78</v>
      </c>
      <c r="Q177" s="1426">
        <f>SUMIF('mokėjimų ataskaita'!$I$13:$I$600,C177,'mokėjimų ataskaita'!$AU$13:$AU$600)/2</f>
        <v>14336.94</v>
      </c>
      <c r="R177" s="1298">
        <v>533.61</v>
      </c>
      <c r="S177" s="1298">
        <f t="shared" si="239"/>
        <v>13803.33</v>
      </c>
      <c r="T177" s="1427">
        <f t="shared" si="240"/>
        <v>52007.839999999997</v>
      </c>
      <c r="U177" s="1435">
        <f>SUM('3 pr-2'!R179)</f>
        <v>0</v>
      </c>
      <c r="V177" s="1432">
        <f>SUMIF('mokėjimų ataskaita'!$I$13:$I$600,C177,'mokėjimų ataskaita'!$AL$13:$AL$600)/2</f>
        <v>0</v>
      </c>
      <c r="W177" s="1298"/>
      <c r="X177" s="1298"/>
      <c r="Y177" s="1432">
        <f t="shared" si="200"/>
        <v>0</v>
      </c>
      <c r="Z177" s="1435">
        <f>SUM('3 pr-2'!U179)</f>
        <v>0</v>
      </c>
      <c r="AA177" s="1432">
        <f>SUMIF('mokėjimų ataskaita'!$I$13:$I$600,C177,'mokėjimų ataskaita'!$AW$13:$AW$600)/2</f>
        <v>0</v>
      </c>
      <c r="AB177" s="1298"/>
      <c r="AC177" s="1298"/>
      <c r="AD177" s="1432">
        <f t="shared" si="233"/>
        <v>0</v>
      </c>
      <c r="AE177" s="1435">
        <f>SUM('3 pr-2'!X179)</f>
        <v>0</v>
      </c>
      <c r="AF177" s="1432">
        <f>SUMIF('mokėjimų ataskaita'!$I$13:$I$600,C177,'mokėjimų ataskaita'!$AV$13:$AV$600)/2+SUMIF('mokėjimų ataskaita'!$I$13:$I$600,C177,'mokėjimų ataskaita'!$AT$13:$AT$600)/2</f>
        <v>0</v>
      </c>
      <c r="AG177" s="1298"/>
      <c r="AH177" s="1298"/>
      <c r="AI177" s="1432">
        <f t="shared" si="234"/>
        <v>0</v>
      </c>
      <c r="AJ177" s="1435">
        <f>SUM('3 pr-2'!AA179)</f>
        <v>375953.81</v>
      </c>
      <c r="AK177" s="1426">
        <f>SUMIF('mokėjimų ataskaita'!$I$13:$I$600,C177,'mokėjimų ataskaita'!$AK$13:$AK$600)/2</f>
        <v>193242.66000000003</v>
      </c>
      <c r="AL177" s="1298">
        <v>115023.79</v>
      </c>
      <c r="AM177" s="1298">
        <f t="shared" si="241"/>
        <v>78218.870000000039</v>
      </c>
      <c r="AN177" s="1454">
        <f t="shared" si="242"/>
        <v>182711.14999999997</v>
      </c>
      <c r="AO177" s="1296">
        <f>SUM('3 pr-2'!AB342)</f>
        <v>0</v>
      </c>
      <c r="AP177" s="1426">
        <v>0</v>
      </c>
    </row>
    <row r="178" spans="1:43" ht="36.75" x14ac:dyDescent="0.25">
      <c r="A178" s="644" t="str">
        <f>CONCATENATE('3 pr-2'!A180)</f>
        <v>3.1.2.1.7</v>
      </c>
      <c r="B178" s="657" t="str">
        <f>CONCATENATE('3 pr-2'!B180)</f>
        <v>R01-0019-283800-3217</v>
      </c>
      <c r="C178" s="653" t="str">
        <f>CONCATENATE('ketv. 6 '!C179)</f>
        <v>-</v>
      </c>
      <c r="D178" s="254" t="str">
        <f>CONCATENATE('3 pr-2'!D180)</f>
        <v>Kraštovaizdžio formavimas Lazdijų rajono savivaldybėje (II etapas)</v>
      </c>
      <c r="E178" s="182" t="str">
        <f>CONCATENATE('3 pr-2'!E180)</f>
        <v>Lazdijų rajono savivaldybės administracija</v>
      </c>
      <c r="F178" s="182" t="str">
        <f>CONCATENATE('3 pr-2'!F180)</f>
        <v>Lietuvos Respublikos aplinkos ministerija</v>
      </c>
      <c r="G178" s="182" t="str">
        <f>CONCATENATE('3 pr-2'!G180)</f>
        <v>Lazdijų r. sav.</v>
      </c>
      <c r="H178" s="182" t="str">
        <f>CONCATENATE('3 pr-2'!H180)</f>
        <v>05.5.1-APVA-R-019</v>
      </c>
      <c r="I178" s="182" t="str">
        <f>CONCATENATE('3 pr-2'!I180)</f>
        <v>R</v>
      </c>
      <c r="J178" s="182" t="str">
        <f>CONCATENATE('3 pr-2'!J180)</f>
        <v>-</v>
      </c>
      <c r="K178" s="1435">
        <f>SUM('3 pr-2'!L180)</f>
        <v>149792.22</v>
      </c>
      <c r="L178" s="1432">
        <f t="shared" si="243"/>
        <v>0</v>
      </c>
      <c r="M178" s="1298">
        <v>0</v>
      </c>
      <c r="N178" s="1298">
        <f t="shared" si="244"/>
        <v>0</v>
      </c>
      <c r="O178" s="1427">
        <f t="shared" si="245"/>
        <v>149792.22</v>
      </c>
      <c r="P178" s="1435">
        <f>SUM('3 pr-2'!O180)</f>
        <v>22468.83</v>
      </c>
      <c r="Q178" s="1432">
        <f>SUMIF('mokėjimų ataskaita'!$I$13:$I$600,C178,'mokėjimų ataskaita'!$AU$13:$AU$600)/2</f>
        <v>0</v>
      </c>
      <c r="R178" s="1298">
        <v>0</v>
      </c>
      <c r="S178" s="1298">
        <f t="shared" si="239"/>
        <v>0</v>
      </c>
      <c r="T178" s="1427">
        <f t="shared" si="240"/>
        <v>22468.83</v>
      </c>
      <c r="U178" s="1435">
        <f>SUM('3 pr-2'!R180)</f>
        <v>0</v>
      </c>
      <c r="V178" s="1296">
        <f>SUMIF('mokėjimų ataskaita'!$I$13:$I$600,C178,'mokėjimų ataskaita'!$AL$13:$AL$600)/2</f>
        <v>0</v>
      </c>
      <c r="W178" s="1298"/>
      <c r="X178" s="1298"/>
      <c r="Y178" s="1427">
        <f t="shared" si="200"/>
        <v>0</v>
      </c>
      <c r="Z178" s="1435">
        <f>SUM('3 pr-2'!U180)</f>
        <v>0</v>
      </c>
      <c r="AA178" s="1296">
        <f>SUMIF('mokėjimų ataskaita'!$I$13:$I$600,C178,'mokėjimų ataskaita'!$AW$13:$AW$600)/2</f>
        <v>0</v>
      </c>
      <c r="AB178" s="1298"/>
      <c r="AC178" s="1298"/>
      <c r="AD178" s="1427">
        <f t="shared" si="233"/>
        <v>0</v>
      </c>
      <c r="AE178" s="1435">
        <f>SUM('3 pr-2'!X180)</f>
        <v>0</v>
      </c>
      <c r="AF178" s="1296">
        <f>SUMIF('mokėjimų ataskaita'!$I$13:$I$600,C178,'mokėjimų ataskaita'!$AV$13:$AV$600)/2+SUMIF('mokėjimų ataskaita'!$I$13:$I$600,C178,'mokėjimų ataskaita'!$AT$13:$AT$600)/2</f>
        <v>0</v>
      </c>
      <c r="AG178" s="1298"/>
      <c r="AH178" s="1298"/>
      <c r="AI178" s="1427">
        <f t="shared" si="234"/>
        <v>0</v>
      </c>
      <c r="AJ178" s="1435">
        <f>SUM('3 pr-2'!AA180)</f>
        <v>127323.39</v>
      </c>
      <c r="AK178" s="1432">
        <f>SUMIF('mokėjimų ataskaita'!$I$13:$I$600,C178,'mokėjimų ataskaita'!$AK$13:$AK$600)/2</f>
        <v>0</v>
      </c>
      <c r="AL178" s="1298">
        <v>0</v>
      </c>
      <c r="AM178" s="1298">
        <f t="shared" si="241"/>
        <v>0</v>
      </c>
      <c r="AN178" s="1454">
        <f t="shared" si="242"/>
        <v>127323.39</v>
      </c>
      <c r="AO178" s="1296">
        <f>SUM('3 pr-2'!AB343)</f>
        <v>0</v>
      </c>
      <c r="AP178" s="1432">
        <v>0</v>
      </c>
    </row>
    <row r="179" spans="1:43" ht="36.75" x14ac:dyDescent="0.25">
      <c r="A179" s="644" t="str">
        <f>CONCATENATE('3 pr-2'!A181)</f>
        <v>3.1.2.1.8</v>
      </c>
      <c r="B179" s="657" t="str">
        <f>CONCATENATE('3 pr-2'!B181)</f>
        <v>R01-0019-380000-3218</v>
      </c>
      <c r="C179" s="653" t="str">
        <f>CONCATENATE('ketv. 6 '!C180)</f>
        <v>05.5.1-APVA-R-019-11-0006</v>
      </c>
      <c r="D179" s="254" t="str">
        <f>CONCATENATE('3 pr-2'!D181)</f>
        <v>Bešeimininkių apleistų pastatų ir įrenginių tvarkymas Alytaus rajono savivaldybėje (II etapas)</v>
      </c>
      <c r="E179" s="182" t="str">
        <f>CONCATENATE('3 pr-2'!E181)</f>
        <v>Alytaus rajono savivaldybės administracija</v>
      </c>
      <c r="F179" s="182" t="str">
        <f>CONCATENATE('3 pr-2'!F181)</f>
        <v>Lietuvos Respublikos aplinkos ministerija</v>
      </c>
      <c r="G179" s="182" t="str">
        <f>CONCATENATE('3 pr-2'!G181)</f>
        <v>Alytaus r. sav.</v>
      </c>
      <c r="H179" s="182" t="str">
        <f>CONCATENATE('3 pr-2'!H181)</f>
        <v>05.5.1-APVA-R-019</v>
      </c>
      <c r="I179" s="182" t="str">
        <f>CONCATENATE('3 pr-2'!I181)</f>
        <v>R</v>
      </c>
      <c r="J179" s="182" t="str">
        <f>CONCATENATE('3 pr-2'!J181)</f>
        <v>-</v>
      </c>
      <c r="K179" s="1435">
        <f>SUM('3 pr-2'!L181)</f>
        <v>736537.6470588235</v>
      </c>
      <c r="L179" s="1432">
        <f t="shared" si="243"/>
        <v>0</v>
      </c>
      <c r="M179" s="1298">
        <v>0</v>
      </c>
      <c r="N179" s="1298">
        <f t="shared" si="244"/>
        <v>0</v>
      </c>
      <c r="O179" s="1427">
        <f t="shared" si="245"/>
        <v>736537.6470588235</v>
      </c>
      <c r="P179" s="1435">
        <f>SUM('3 pr-2'!O181)</f>
        <v>110480.64705882352</v>
      </c>
      <c r="Q179" s="1432">
        <f>SUMIF('mokėjimų ataskaita'!$I$13:$I$600,C179,'mokėjimų ataskaita'!$AU$13:$AU$600)/2</f>
        <v>0</v>
      </c>
      <c r="R179" s="1298">
        <v>0</v>
      </c>
      <c r="S179" s="1298">
        <f t="shared" si="239"/>
        <v>0</v>
      </c>
      <c r="T179" s="1427">
        <f t="shared" si="240"/>
        <v>110480.64705882352</v>
      </c>
      <c r="U179" s="1435">
        <f>SUM('3 pr-2'!R181)</f>
        <v>0</v>
      </c>
      <c r="V179" s="1296">
        <f>SUMIF('mokėjimų ataskaita'!$I$13:$I$600,C179,'mokėjimų ataskaita'!$AL$13:$AL$600)/2</f>
        <v>0</v>
      </c>
      <c r="W179" s="1298"/>
      <c r="X179" s="1298"/>
      <c r="Y179" s="1427">
        <f t="shared" si="200"/>
        <v>0</v>
      </c>
      <c r="Z179" s="1435">
        <f>SUM('3 pr-2'!U181)</f>
        <v>0</v>
      </c>
      <c r="AA179" s="1296">
        <f>SUMIF('mokėjimų ataskaita'!$I$13:$I$600,C179,'mokėjimų ataskaita'!$AW$13:$AW$600)/2</f>
        <v>0</v>
      </c>
      <c r="AB179" s="1298"/>
      <c r="AC179" s="1298"/>
      <c r="AD179" s="1427">
        <f t="shared" si="233"/>
        <v>0</v>
      </c>
      <c r="AE179" s="1435">
        <f>SUM('3 pr-2'!X181)</f>
        <v>0</v>
      </c>
      <c r="AF179" s="1296">
        <f>SUMIF('mokėjimų ataskaita'!$I$13:$I$600,C179,'mokėjimų ataskaita'!$AV$13:$AV$600)/2+SUMIF('mokėjimų ataskaita'!$I$13:$I$600,C179,'mokėjimų ataskaita'!$AT$13:$AT$600)/2</f>
        <v>0</v>
      </c>
      <c r="AG179" s="1298"/>
      <c r="AH179" s="1298"/>
      <c r="AI179" s="1427">
        <f t="shared" si="234"/>
        <v>0</v>
      </c>
      <c r="AJ179" s="1435">
        <f>SUM('3 pr-2'!AA181)</f>
        <v>626057</v>
      </c>
      <c r="AK179" s="1432">
        <f>SUMIF('mokėjimų ataskaita'!$I$13:$I$600,C179,'mokėjimų ataskaita'!$AK$13:$AK$600)/2</f>
        <v>0</v>
      </c>
      <c r="AL179" s="1298">
        <v>0</v>
      </c>
      <c r="AM179" s="1298">
        <f t="shared" si="241"/>
        <v>0</v>
      </c>
      <c r="AN179" s="1454">
        <f t="shared" si="242"/>
        <v>626057</v>
      </c>
      <c r="AO179" s="1296">
        <f>SUM('3 pr-2'!AB344)</f>
        <v>0</v>
      </c>
      <c r="AP179" s="1426">
        <v>0</v>
      </c>
    </row>
    <row r="180" spans="1:43" ht="36.75" x14ac:dyDescent="0.25">
      <c r="A180" s="644" t="str">
        <f>CONCATENATE('3 pr-2'!A182)</f>
        <v>3.1.2.1.9</v>
      </c>
      <c r="B180" s="657" t="str">
        <f>CONCATENATE('3 pr-2'!B182)</f>
        <v>R01-0019-380000-3219</v>
      </c>
      <c r="C180" s="653" t="str">
        <f>CONCATENATE('ketv. 6 '!C181)</f>
        <v>-</v>
      </c>
      <c r="D180" s="254" t="str">
        <f>CONCATENATE('3 pr-2'!D182)</f>
        <v>Etaloninio kraštovaizdžio formavimas Druskininkų savivaldybės pasienyje</v>
      </c>
      <c r="E180" s="182" t="str">
        <f>CONCATENATE('3 pr-2'!E182)</f>
        <v>Druskininkų savivaldybės administracija</v>
      </c>
      <c r="F180" s="182" t="str">
        <f>CONCATENATE('3 pr-2'!F182)</f>
        <v>Lietuvos Respublikos aplinkos ministerija</v>
      </c>
      <c r="G180" s="182" t="str">
        <f>CONCATENATE('3 pr-2'!G182)</f>
        <v>Druskininkų sav.</v>
      </c>
      <c r="H180" s="182" t="str">
        <f>CONCATENATE('3 pr-2'!H182)</f>
        <v>05.5.1-APVA-R-019</v>
      </c>
      <c r="I180" s="182" t="str">
        <f>CONCATENATE('3 pr-2'!I182)</f>
        <v>R</v>
      </c>
      <c r="J180" s="182" t="str">
        <f>CONCATENATE('3 pr-2'!J182)</f>
        <v>-</v>
      </c>
      <c r="K180" s="1435">
        <f>SUM('3 pr-2'!L182)</f>
        <v>88524.094117647051</v>
      </c>
      <c r="L180" s="1432">
        <f t="shared" si="243"/>
        <v>0</v>
      </c>
      <c r="M180" s="1298">
        <v>0</v>
      </c>
      <c r="N180" s="1298">
        <f t="shared" ref="N180" si="246">SUM(L180-M180)</f>
        <v>0</v>
      </c>
      <c r="O180" s="1427">
        <f t="shared" ref="O180" si="247">SUM(K180-L180)</f>
        <v>88524.094117647051</v>
      </c>
      <c r="P180" s="1435">
        <f>SUM('3 pr-2'!O182)</f>
        <v>13278.614117647059</v>
      </c>
      <c r="Q180" s="1432">
        <f>SUMIF('mokėjimų ataskaita'!$I$13:$I$600,C180,'mokėjimų ataskaita'!$AU$13:$AU$600)/2</f>
        <v>0</v>
      </c>
      <c r="R180" s="1298">
        <v>0</v>
      </c>
      <c r="S180" s="1298">
        <f t="shared" ref="S180" si="248">SUM(Q180-R180)</f>
        <v>0</v>
      </c>
      <c r="T180" s="1427">
        <f t="shared" si="240"/>
        <v>13278.614117647059</v>
      </c>
      <c r="U180" s="1435">
        <f>SUM('3 pr-2'!R182)</f>
        <v>0</v>
      </c>
      <c r="V180" s="1296">
        <f>SUMIF('mokėjimų ataskaita'!$I$13:$I$600,C180,'mokėjimų ataskaita'!$AL$13:$AL$600)/2</f>
        <v>0</v>
      </c>
      <c r="W180" s="1298"/>
      <c r="X180" s="1298"/>
      <c r="Y180" s="1427">
        <f t="shared" ref="Y180" si="249">SUM(U180-V180)</f>
        <v>0</v>
      </c>
      <c r="Z180" s="1435">
        <f>SUM('3 pr-2'!U182)</f>
        <v>0</v>
      </c>
      <c r="AA180" s="1296">
        <f>SUMIF('mokėjimų ataskaita'!$I$13:$I$600,C180,'mokėjimų ataskaita'!$AW$13:$AW$600)/2</f>
        <v>0</v>
      </c>
      <c r="AB180" s="1298"/>
      <c r="AC180" s="1298"/>
      <c r="AD180" s="1427">
        <f t="shared" ref="AD180" si="250">SUM(Z180-AA180)</f>
        <v>0</v>
      </c>
      <c r="AE180" s="1435">
        <f>SUM('3 pr-2'!X182)</f>
        <v>0</v>
      </c>
      <c r="AF180" s="1296">
        <f>SUMIF('mokėjimų ataskaita'!$I$13:$I$600,C180,'mokėjimų ataskaita'!$AV$13:$AV$600)/2+SUMIF('mokėjimų ataskaita'!$I$13:$I$600,C180,'mokėjimų ataskaita'!$AT$13:$AT$600)/2</f>
        <v>0</v>
      </c>
      <c r="AG180" s="1298"/>
      <c r="AH180" s="1298"/>
      <c r="AI180" s="1427">
        <f t="shared" ref="AI180" si="251">SUM(AE180-AF180)</f>
        <v>0</v>
      </c>
      <c r="AJ180" s="1435">
        <f>SUM('3 pr-2'!AA182)</f>
        <v>75245.48</v>
      </c>
      <c r="AK180" s="1432">
        <f>SUMIF('mokėjimų ataskaita'!$I$13:$I$600,C180,'mokėjimų ataskaita'!$AK$13:$AK$600)/2</f>
        <v>0</v>
      </c>
      <c r="AL180" s="1298">
        <v>0</v>
      </c>
      <c r="AM180" s="1298">
        <f t="shared" ref="AM180" si="252">SUM(AK180-AL180)</f>
        <v>0</v>
      </c>
      <c r="AN180" s="1454">
        <f t="shared" si="242"/>
        <v>75245.48</v>
      </c>
      <c r="AO180" s="1296">
        <f>SUM('3 pr-2'!AB345)</f>
        <v>0</v>
      </c>
      <c r="AP180" s="1432">
        <v>0</v>
      </c>
    </row>
    <row r="181" spans="1:43" ht="19.5" hidden="1" thickBot="1" x14ac:dyDescent="0.3">
      <c r="K181" s="450">
        <f t="shared" ref="K181:AN181" si="253">SUM(K5+K98+K166)</f>
        <v>67386703.268235296</v>
      </c>
      <c r="L181" s="450">
        <f t="shared" si="253"/>
        <v>17435298.68</v>
      </c>
      <c r="M181" s="1255"/>
      <c r="N181" s="1255"/>
      <c r="O181" s="308">
        <f t="shared" si="253"/>
        <v>49951404.588235289</v>
      </c>
      <c r="P181" s="450">
        <f t="shared" si="253"/>
        <v>8559151.2782352939</v>
      </c>
      <c r="Q181" s="450">
        <f t="shared" si="253"/>
        <v>1162708.0199999998</v>
      </c>
      <c r="R181" s="1255"/>
      <c r="S181" s="1255"/>
      <c r="T181" s="450">
        <f t="shared" si="253"/>
        <v>7396443.2582352944</v>
      </c>
      <c r="U181" s="450">
        <f t="shared" si="253"/>
        <v>1667392.0799999998</v>
      </c>
      <c r="V181" s="450">
        <f t="shared" si="253"/>
        <v>399521.18</v>
      </c>
      <c r="W181" s="1255"/>
      <c r="X181" s="1255"/>
      <c r="Y181" s="450">
        <f t="shared" si="253"/>
        <v>1267870.8999999999</v>
      </c>
      <c r="Z181" s="450">
        <f t="shared" si="253"/>
        <v>8520797.0100000016</v>
      </c>
      <c r="AA181" s="450">
        <f t="shared" si="253"/>
        <v>2296391.2100000004</v>
      </c>
      <c r="AB181" s="1255"/>
      <c r="AC181" s="1255"/>
      <c r="AD181" s="450">
        <f t="shared" si="253"/>
        <v>6224405.7999999998</v>
      </c>
      <c r="AE181" s="450">
        <f t="shared" si="253"/>
        <v>416360.77</v>
      </c>
      <c r="AF181" s="450">
        <f t="shared" si="253"/>
        <v>327887.25</v>
      </c>
      <c r="AG181" s="1255"/>
      <c r="AH181" s="1255"/>
      <c r="AI181" s="450">
        <f t="shared" si="253"/>
        <v>88473.52</v>
      </c>
      <c r="AJ181" s="450">
        <f t="shared" si="253"/>
        <v>48223002.129999995</v>
      </c>
      <c r="AK181" s="450">
        <f t="shared" si="253"/>
        <v>13248791.020000001</v>
      </c>
      <c r="AL181" s="1255"/>
      <c r="AM181" s="1255"/>
      <c r="AN181" s="266">
        <f t="shared" si="253"/>
        <v>34548894.109999999</v>
      </c>
      <c r="AO181" s="1388"/>
      <c r="AP181" s="1393"/>
      <c r="AQ181" s="1493"/>
    </row>
    <row r="182" spans="1:43" hidden="1" x14ac:dyDescent="0.25"/>
    <row r="183" spans="1:43" ht="15.75" hidden="1" x14ac:dyDescent="0.25">
      <c r="A183" s="1377" t="s">
        <v>1812</v>
      </c>
      <c r="K183" s="256">
        <f>SUM(K181-'3 pr-2'!L183)</f>
        <v>0</v>
      </c>
      <c r="L183" s="1493">
        <f>SUM(L181/K181)</f>
        <v>0.25873500014681144</v>
      </c>
      <c r="P183" s="256">
        <f>SUM(P181-'3 pr-2'!O183)</f>
        <v>0</v>
      </c>
      <c r="Q183" s="1493">
        <f>SUM(Q181/P181)</f>
        <v>0.13584384504998775</v>
      </c>
      <c r="U183" s="256">
        <f>SUM(U181-'3 pr-2'!R183)</f>
        <v>0</v>
      </c>
      <c r="V183" s="1493">
        <f>SUM(V181/U181)</f>
        <v>0.23960841891488416</v>
      </c>
      <c r="Z183" s="256">
        <f>SUM(Z181-'3 pr-2'!U183)</f>
        <v>0</v>
      </c>
      <c r="AA183" s="1493">
        <f>SUM(AA181/Z181)</f>
        <v>0.26950427375572467</v>
      </c>
      <c r="AE183" s="256">
        <f>SUM(AE181-'3 pr-2'!X183)</f>
        <v>0</v>
      </c>
      <c r="AF183" s="1493">
        <f>SUM(AF181/AE181)</f>
        <v>0.78750755024302599</v>
      </c>
      <c r="AJ183" s="256">
        <f>SUM(AJ181-'3 pr-2'!AA183)</f>
        <v>0</v>
      </c>
      <c r="AK183" s="1493">
        <f>SUM(AK181/AJ181)</f>
        <v>0.27474007081275847</v>
      </c>
    </row>
  </sheetData>
  <mergeCells count="45">
    <mergeCell ref="B168:J168"/>
    <mergeCell ref="B171:J171"/>
    <mergeCell ref="B167:J167"/>
    <mergeCell ref="B170:J170"/>
    <mergeCell ref="B31:J31"/>
    <mergeCell ref="B37:J37"/>
    <mergeCell ref="B44:J44"/>
    <mergeCell ref="B48:J48"/>
    <mergeCell ref="B54:J54"/>
    <mergeCell ref="B56:J56"/>
    <mergeCell ref="B60:J60"/>
    <mergeCell ref="B65:J65"/>
    <mergeCell ref="B72:J72"/>
    <mergeCell ref="B77:J77"/>
    <mergeCell ref="B84:J84"/>
    <mergeCell ref="B90:J90"/>
    <mergeCell ref="B100:J100"/>
    <mergeCell ref="B106:J106"/>
    <mergeCell ref="B166:J166"/>
    <mergeCell ref="B71:J71"/>
    <mergeCell ref="B99:J99"/>
    <mergeCell ref="B118:J118"/>
    <mergeCell ref="B145:J145"/>
    <mergeCell ref="B158:J158"/>
    <mergeCell ref="B112:J112"/>
    <mergeCell ref="B119:J119"/>
    <mergeCell ref="B133:J133"/>
    <mergeCell ref="B139:J139"/>
    <mergeCell ref="B146:J146"/>
    <mergeCell ref="B152:J152"/>
    <mergeCell ref="B159:J159"/>
    <mergeCell ref="B98:J98"/>
    <mergeCell ref="AO3:AP3"/>
    <mergeCell ref="K2:AP2"/>
    <mergeCell ref="B6:J6"/>
    <mergeCell ref="B7:J7"/>
    <mergeCell ref="A1:G1"/>
    <mergeCell ref="A2:J2"/>
    <mergeCell ref="K3:O3"/>
    <mergeCell ref="U3:Y3"/>
    <mergeCell ref="Z3:AD3"/>
    <mergeCell ref="AE3:AI3"/>
    <mergeCell ref="AJ3:AN3"/>
    <mergeCell ref="B5:J5"/>
    <mergeCell ref="P3:T3"/>
  </mergeCells>
  <pageMargins left="0.23622047244094491" right="0.23622047244094491" top="0.74803149606299213" bottom="0.74803149606299213" header="0.31496062992125984" footer="0.31496062992125984"/>
  <pageSetup paperSize="8" scale="6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workbookViewId="0">
      <selection activeCell="W1" sqref="W1:AA1048576"/>
    </sheetView>
  </sheetViews>
  <sheetFormatPr defaultRowHeight="15" x14ac:dyDescent="0.2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customWidth="1"/>
    <col min="23" max="23" width="11.5703125" hidden="1" customWidth="1"/>
    <col min="24" max="24" width="13.140625" hidden="1" customWidth="1"/>
    <col min="25" max="25" width="12.42578125" hidden="1" customWidth="1"/>
    <col min="26" max="27" width="13.140625" hidden="1" customWidth="1"/>
    <col min="29" max="29" width="14.85546875" customWidth="1"/>
  </cols>
  <sheetData>
    <row r="1" spans="1:29" ht="33" customHeight="1" thickBot="1" x14ac:dyDescent="0.3">
      <c r="A1" s="2019" t="s">
        <v>1816</v>
      </c>
      <c r="B1" s="2084"/>
      <c r="C1" s="2084"/>
      <c r="D1" s="2084"/>
      <c r="E1" s="2084"/>
      <c r="F1" s="2084"/>
      <c r="G1" s="2084"/>
      <c r="H1" s="2084"/>
      <c r="I1" s="2084"/>
      <c r="J1" s="2084"/>
      <c r="K1" s="2084"/>
      <c r="L1" s="2084"/>
      <c r="M1" s="2084"/>
      <c r="N1" s="2084"/>
      <c r="O1" s="2084"/>
      <c r="P1" s="2084"/>
      <c r="Q1" s="2084"/>
      <c r="R1" s="2084"/>
      <c r="S1" s="2084"/>
      <c r="T1" s="2084"/>
      <c r="U1" s="2084"/>
      <c r="V1" s="2084"/>
    </row>
    <row r="2" spans="1:29" ht="15.75" thickBot="1" x14ac:dyDescent="0.3">
      <c r="A2" s="2080" t="s">
        <v>249</v>
      </c>
      <c r="B2" s="2082" t="s">
        <v>250</v>
      </c>
      <c r="C2" s="2063" t="s">
        <v>682</v>
      </c>
      <c r="D2" s="2064"/>
      <c r="E2" s="2064"/>
      <c r="F2" s="2064"/>
      <c r="G2" s="2064"/>
      <c r="H2" s="2064"/>
      <c r="I2" s="2064"/>
      <c r="J2" s="2064"/>
      <c r="K2" s="2064"/>
      <c r="L2" s="2064"/>
      <c r="M2" s="2064"/>
      <c r="N2" s="2064"/>
      <c r="O2" s="2064"/>
      <c r="P2" s="2064"/>
      <c r="Q2" s="2064"/>
      <c r="R2" s="2064"/>
      <c r="S2" s="2064"/>
      <c r="T2" s="2064"/>
      <c r="U2" s="2064"/>
      <c r="V2" s="2065"/>
      <c r="W2" s="2066"/>
    </row>
    <row r="3" spans="1:29" ht="43.5" thickBot="1" x14ac:dyDescent="0.3">
      <c r="A3" s="2081"/>
      <c r="B3" s="2083"/>
      <c r="C3" s="682" t="s">
        <v>758</v>
      </c>
      <c r="D3" s="683">
        <v>2015</v>
      </c>
      <c r="E3" s="684" t="s">
        <v>759</v>
      </c>
      <c r="F3" s="682" t="s">
        <v>760</v>
      </c>
      <c r="G3" s="683">
        <v>2016</v>
      </c>
      <c r="H3" s="684" t="s">
        <v>766</v>
      </c>
      <c r="I3" s="682" t="s">
        <v>761</v>
      </c>
      <c r="J3" s="683">
        <v>2017</v>
      </c>
      <c r="K3" s="684" t="s">
        <v>767</v>
      </c>
      <c r="L3" s="682" t="s">
        <v>762</v>
      </c>
      <c r="M3" s="683">
        <v>2018</v>
      </c>
      <c r="N3" s="684" t="s">
        <v>768</v>
      </c>
      <c r="O3" s="682" t="s">
        <v>763</v>
      </c>
      <c r="P3" s="683">
        <v>2019</v>
      </c>
      <c r="Q3" s="684" t="s">
        <v>769</v>
      </c>
      <c r="R3" s="682" t="s">
        <v>764</v>
      </c>
      <c r="S3" s="683">
        <v>2020</v>
      </c>
      <c r="T3" s="684" t="s">
        <v>770</v>
      </c>
      <c r="U3" s="682" t="s">
        <v>765</v>
      </c>
      <c r="V3" s="683" t="s">
        <v>9</v>
      </c>
      <c r="W3" s="685" t="s">
        <v>772</v>
      </c>
      <c r="X3" s="274" t="s">
        <v>773</v>
      </c>
      <c r="Y3" s="275" t="s">
        <v>775</v>
      </c>
      <c r="Z3" s="275" t="s">
        <v>777</v>
      </c>
      <c r="AA3" s="275" t="s">
        <v>778</v>
      </c>
    </row>
    <row r="4" spans="1:29" ht="48" thickBot="1" x14ac:dyDescent="0.3">
      <c r="A4" s="669" t="s">
        <v>757</v>
      </c>
      <c r="B4" s="669" t="s">
        <v>251</v>
      </c>
      <c r="C4" s="679">
        <f>SUM('3 pr-(5-6)'!C37)</f>
        <v>0</v>
      </c>
      <c r="D4" s="680">
        <v>0</v>
      </c>
      <c r="E4" s="681">
        <f>SUM(C4-D4)</f>
        <v>0</v>
      </c>
      <c r="F4" s="679">
        <f>SUM('3 pr-(5-6)'!D37)</f>
        <v>0</v>
      </c>
      <c r="G4" s="680">
        <f>SUM('ketv. 4 '!Q9)</f>
        <v>0</v>
      </c>
      <c r="H4" s="681">
        <f>SUM(F4-G4)</f>
        <v>0</v>
      </c>
      <c r="I4" s="679">
        <f>SUM('3 pr-(5-6)'!G37)</f>
        <v>2773893</v>
      </c>
      <c r="J4" s="680">
        <f>SUM('ketv. 4 '!R9)+G4</f>
        <v>0</v>
      </c>
      <c r="K4" s="681">
        <f>SUM(I4-J4)</f>
        <v>2773893</v>
      </c>
      <c r="L4" s="679">
        <f>SUM('3 pr-(5-6)'!F37)</f>
        <v>2773893</v>
      </c>
      <c r="M4" s="680">
        <f>SUM('ketv. 4 '!S9)+J4</f>
        <v>2595438</v>
      </c>
      <c r="N4" s="681">
        <f>SUM(L4-M4)</f>
        <v>178455</v>
      </c>
      <c r="O4" s="679">
        <f>SUM('3 pr-(5-6)'!G37)</f>
        <v>2773893</v>
      </c>
      <c r="P4" s="680">
        <f>SUM('ketv. 4 '!T9)+M4</f>
        <v>2595438</v>
      </c>
      <c r="Q4" s="681">
        <f>SUM(O4-P4)</f>
        <v>178455</v>
      </c>
      <c r="R4" s="679">
        <f>SUM('3 pr-(5-6)'!H37)</f>
        <v>2773893</v>
      </c>
      <c r="S4" s="680">
        <f>SUM(P4+'ketv. 4 '!U9)</f>
        <v>2595438</v>
      </c>
      <c r="T4" s="681">
        <f>SUM(R4-S4)</f>
        <v>178455</v>
      </c>
      <c r="U4" s="686">
        <f>SUM('3 pr-(5-6)'!I37)-'ketv. 4 '!P32</f>
        <v>2773893</v>
      </c>
      <c r="V4" s="689">
        <f t="shared" ref="V4:V29" si="0">SUM(S4)</f>
        <v>2595438</v>
      </c>
      <c r="W4" s="1536">
        <f>SUM(U4-V4)</f>
        <v>178455</v>
      </c>
      <c r="X4" s="1537">
        <v>2773894.25</v>
      </c>
      <c r="Y4" s="1538">
        <f t="shared" ref="Y4:Y12" si="1">SUM(X4-U4)</f>
        <v>1.25</v>
      </c>
      <c r="Z4" s="1538">
        <f>SUM('3 pr-2'!AE9)</f>
        <v>25623.650000000023</v>
      </c>
      <c r="AA4" s="1538">
        <f>SUM(Y4+Z4)</f>
        <v>25624.900000000023</v>
      </c>
    </row>
    <row r="5" spans="1:29" ht="17.25" thickTop="1" thickBot="1" x14ac:dyDescent="0.3">
      <c r="A5" s="671" t="s">
        <v>146</v>
      </c>
      <c r="B5" s="671" t="s">
        <v>378</v>
      </c>
      <c r="C5" s="672">
        <f>SUM('3 pr-(5-6)'!C38)</f>
        <v>0</v>
      </c>
      <c r="D5" s="673">
        <v>0</v>
      </c>
      <c r="E5" s="674">
        <f t="shared" ref="E5:E29" si="2">SUM(C5-D5)</f>
        <v>0</v>
      </c>
      <c r="F5" s="672">
        <f>SUM('3 pr-(5-6)'!D38)</f>
        <v>0</v>
      </c>
      <c r="G5" s="673">
        <f>SUM('ketv. 4 '!Q33)</f>
        <v>0</v>
      </c>
      <c r="H5" s="674">
        <f t="shared" ref="H5:H29" si="3">SUM(F5-G5)</f>
        <v>0</v>
      </c>
      <c r="I5" s="672">
        <f>SUM('3 pr-(5-6)'!G38)</f>
        <v>2816451.64</v>
      </c>
      <c r="J5" s="673">
        <f>SUM('ketv. 4 '!R33)+G5</f>
        <v>0</v>
      </c>
      <c r="K5" s="674">
        <f t="shared" ref="K5:K29" si="4">SUM(I5-J5)</f>
        <v>2816451.64</v>
      </c>
      <c r="L5" s="672">
        <f>SUM('3 pr-(5-6)'!F38)</f>
        <v>1929504.6400000001</v>
      </c>
      <c r="M5" s="673">
        <f>SUM('ketv. 4 '!S33)+J5</f>
        <v>1929504.6400000001</v>
      </c>
      <c r="N5" s="674">
        <f t="shared" ref="N5:N29" si="5">SUM(L5-M5)</f>
        <v>0</v>
      </c>
      <c r="O5" s="672">
        <f>SUM('3 pr-(5-6)'!G38)</f>
        <v>2816451.64</v>
      </c>
      <c r="P5" s="673">
        <f>SUM('ketv. 4 '!T33)+M5</f>
        <v>1929504.6400000001</v>
      </c>
      <c r="Q5" s="674">
        <f t="shared" ref="Q5:Q29" si="6">SUM(O5-P5)</f>
        <v>886947</v>
      </c>
      <c r="R5" s="672">
        <f>SUM('3 pr-(5-6)'!H38)</f>
        <v>2816451.64</v>
      </c>
      <c r="S5" s="673">
        <f>SUM('ketv. 4 '!U33)+P5</f>
        <v>1929504.6400000001</v>
      </c>
      <c r="T5" s="674">
        <f t="shared" ref="T5:T29" si="7">SUM(R5-S5)</f>
        <v>886947</v>
      </c>
      <c r="U5" s="687">
        <f>SUM('3 pr-(5-6)'!I38)</f>
        <v>2816451.64</v>
      </c>
      <c r="V5" s="690">
        <f t="shared" si="0"/>
        <v>1929504.6400000001</v>
      </c>
      <c r="W5" s="1539">
        <f t="shared" ref="W5:W29" si="8">SUM(U5-V5)</f>
        <v>886947</v>
      </c>
      <c r="X5" s="1540">
        <v>2816452</v>
      </c>
      <c r="Y5" s="1538">
        <f t="shared" si="1"/>
        <v>0.35999999986961484</v>
      </c>
      <c r="Z5" s="1538">
        <f ca="1">SUM('3 pr-2'!AE33)</f>
        <v>0</v>
      </c>
      <c r="AA5" s="1538">
        <f t="shared" ref="AA5:AA29" ca="1" si="9">SUM(Y5+Z5)</f>
        <v>0.35999999986961484</v>
      </c>
    </row>
    <row r="6" spans="1:29" ht="17.25" thickTop="1" thickBot="1" x14ac:dyDescent="0.3">
      <c r="A6" s="671" t="s">
        <v>145</v>
      </c>
      <c r="B6" s="671" t="s">
        <v>379</v>
      </c>
      <c r="C6" s="672">
        <f>SUM('3 pr-(5-6)'!C39)</f>
        <v>0</v>
      </c>
      <c r="D6" s="673">
        <v>0</v>
      </c>
      <c r="E6" s="674">
        <f t="shared" si="2"/>
        <v>0</v>
      </c>
      <c r="F6" s="672">
        <f>SUM('3 pr-(5-6)'!D39)</f>
        <v>1289392.2</v>
      </c>
      <c r="G6" s="673">
        <f>SUM('ketv. 4 '!Q39)</f>
        <v>1289392.2</v>
      </c>
      <c r="H6" s="674">
        <f t="shared" si="3"/>
        <v>0</v>
      </c>
      <c r="I6" s="672">
        <f>SUM('3 pr-(5-6)'!G39)</f>
        <v>3697301.8899999997</v>
      </c>
      <c r="J6" s="673">
        <f>SUM('ketv. 4 '!R39)+G6</f>
        <v>2135325.8899999997</v>
      </c>
      <c r="K6" s="674">
        <f t="shared" si="4"/>
        <v>1561976</v>
      </c>
      <c r="L6" s="672">
        <f>SUM('3 pr-(5-6)'!F39)</f>
        <v>3697301.8899999997</v>
      </c>
      <c r="M6" s="673">
        <f>SUM('ketv. 4 '!S39)+J6</f>
        <v>3314484.8899999997</v>
      </c>
      <c r="N6" s="674">
        <f t="shared" si="5"/>
        <v>382817</v>
      </c>
      <c r="O6" s="672">
        <f>SUM('3 pr-(5-6)'!G39)</f>
        <v>3697301.8899999997</v>
      </c>
      <c r="P6" s="673">
        <f>SUM('ketv. 4 '!T39)+M6</f>
        <v>3314484.8899999997</v>
      </c>
      <c r="Q6" s="674">
        <f t="shared" si="6"/>
        <v>382817</v>
      </c>
      <c r="R6" s="672">
        <f>SUM('3 pr-(5-6)'!H39)</f>
        <v>3697301.8899999997</v>
      </c>
      <c r="S6" s="673">
        <f>SUM('ketv. 4 '!U39)+P6</f>
        <v>3314484.8899999997</v>
      </c>
      <c r="T6" s="674">
        <f t="shared" si="7"/>
        <v>382817</v>
      </c>
      <c r="U6" s="687">
        <f>SUM('3 pr-(5-6)'!I39)</f>
        <v>3697301.8899999997</v>
      </c>
      <c r="V6" s="690">
        <f t="shared" si="0"/>
        <v>3314484.8899999997</v>
      </c>
      <c r="W6" s="1539">
        <f t="shared" si="8"/>
        <v>382817</v>
      </c>
      <c r="X6" s="1540">
        <v>3697302</v>
      </c>
      <c r="Y6" s="1538">
        <f t="shared" si="1"/>
        <v>0.11000000033527613</v>
      </c>
      <c r="Z6" s="1538">
        <f ca="1">SUM('3 pr-2'!AE39)</f>
        <v>130115.34999999998</v>
      </c>
      <c r="AA6" s="1538">
        <f t="shared" ca="1" si="9"/>
        <v>130115.46000000031</v>
      </c>
    </row>
    <row r="7" spans="1:29" ht="17.25" thickTop="1" thickBot="1" x14ac:dyDescent="0.3">
      <c r="A7" s="671" t="s">
        <v>268</v>
      </c>
      <c r="B7" s="671" t="s">
        <v>253</v>
      </c>
      <c r="C7" s="672">
        <f>SUM('3 pr-(5-6)'!C40)</f>
        <v>0</v>
      </c>
      <c r="D7" s="673">
        <v>0</v>
      </c>
      <c r="E7" s="674">
        <f t="shared" si="2"/>
        <v>0</v>
      </c>
      <c r="F7" s="672">
        <f>SUM('3 pr-(5-6)'!D40)</f>
        <v>575484.89</v>
      </c>
      <c r="G7" s="673">
        <f>SUM('ketv. 4 '!Q48+'ketv. 4 '!Q49)</f>
        <v>575484.89</v>
      </c>
      <c r="H7" s="674">
        <f t="shared" si="3"/>
        <v>0</v>
      </c>
      <c r="I7" s="672">
        <f>SUM('3 pr-(5-6)'!G40)</f>
        <v>575484.89</v>
      </c>
      <c r="J7" s="673">
        <f>SUM('ketv. 4 '!R48+'ketv. 4 '!R49)+G7</f>
        <v>575484.89</v>
      </c>
      <c r="K7" s="674">
        <f t="shared" si="4"/>
        <v>0</v>
      </c>
      <c r="L7" s="672">
        <f>SUM('3 pr-(5-6)'!F40)</f>
        <v>575484.89</v>
      </c>
      <c r="M7" s="673">
        <f>SUM('ketv. 4 '!S48+'ketv. 4 '!S49)+J7</f>
        <v>575484.89</v>
      </c>
      <c r="N7" s="674">
        <f t="shared" si="5"/>
        <v>0</v>
      </c>
      <c r="O7" s="672">
        <f>SUM('3 pr-(5-6)'!G40)</f>
        <v>575484.89</v>
      </c>
      <c r="P7" s="673">
        <f>SUM('ketv. 4 '!T48+'ketv. 4 '!T49)+M7</f>
        <v>575484.89</v>
      </c>
      <c r="Q7" s="674">
        <f t="shared" si="6"/>
        <v>0</v>
      </c>
      <c r="R7" s="672">
        <f>SUM('3 pr-(5-6)'!H40)</f>
        <v>575484.89</v>
      </c>
      <c r="S7" s="673">
        <f>SUM('ketv. 4 '!U48+'ketv. 4 '!U49)+P7</f>
        <v>575484.89</v>
      </c>
      <c r="T7" s="674">
        <f t="shared" si="7"/>
        <v>0</v>
      </c>
      <c r="U7" s="687">
        <f>SUM('3 pr-(5-6)'!I40)</f>
        <v>575484.89</v>
      </c>
      <c r="V7" s="690">
        <f t="shared" si="0"/>
        <v>575484.89</v>
      </c>
      <c r="W7" s="1539">
        <f t="shared" si="8"/>
        <v>0</v>
      </c>
      <c r="X7" s="1540">
        <v>575485</v>
      </c>
      <c r="Y7" s="1538">
        <f t="shared" si="1"/>
        <v>0.10999999998603016</v>
      </c>
      <c r="Z7" s="1538">
        <f ca="1">SUM('3 pr-2'!AE48+'3 pr-2'!AE49)</f>
        <v>0</v>
      </c>
      <c r="AA7" s="1538">
        <f t="shared" ca="1" si="9"/>
        <v>0.10999999998603016</v>
      </c>
    </row>
    <row r="8" spans="1:29" ht="17.25" thickTop="1" thickBot="1" x14ac:dyDescent="0.3">
      <c r="A8" s="671" t="s">
        <v>178</v>
      </c>
      <c r="B8" s="671" t="s">
        <v>252</v>
      </c>
      <c r="C8" s="672">
        <f>SUM('3 pr-(5-6)'!C41)</f>
        <v>0</v>
      </c>
      <c r="D8" s="673">
        <v>0</v>
      </c>
      <c r="E8" s="674">
        <f t="shared" si="2"/>
        <v>0</v>
      </c>
      <c r="F8" s="672">
        <f>SUM('3 pr-(5-6)'!D41)</f>
        <v>1099672.68</v>
      </c>
      <c r="G8" s="673">
        <f>SUM('ketv. 4 '!Q47)</f>
        <v>0</v>
      </c>
      <c r="H8" s="674">
        <f t="shared" si="3"/>
        <v>1099672.68</v>
      </c>
      <c r="I8" s="672">
        <f>SUM('3 pr-(5-6)'!G41)</f>
        <v>1099672.68</v>
      </c>
      <c r="J8" s="673">
        <f>SUM('ketv. 4 '!R47)+G8</f>
        <v>1099672.68</v>
      </c>
      <c r="K8" s="674">
        <f t="shared" si="4"/>
        <v>0</v>
      </c>
      <c r="L8" s="672">
        <f>SUM('3 pr-(5-6)'!F41)</f>
        <v>1099672.68</v>
      </c>
      <c r="M8" s="673">
        <f>SUM('ketv. 4 '!S47)+J8</f>
        <v>1099672.68</v>
      </c>
      <c r="N8" s="674">
        <f t="shared" si="5"/>
        <v>0</v>
      </c>
      <c r="O8" s="672">
        <f>SUM('3 pr-(5-6)'!G41)</f>
        <v>1099672.68</v>
      </c>
      <c r="P8" s="673">
        <f>SUM('ketv. 4 '!T47)+M8</f>
        <v>1099672.68</v>
      </c>
      <c r="Q8" s="674">
        <f t="shared" si="6"/>
        <v>0</v>
      </c>
      <c r="R8" s="672">
        <f>SUM('3 pr-(5-6)'!H41)</f>
        <v>1099672.68</v>
      </c>
      <c r="S8" s="673">
        <f>SUM('ketv. 4 '!U47)+P8</f>
        <v>1099672.68</v>
      </c>
      <c r="T8" s="674">
        <f t="shared" si="7"/>
        <v>0</v>
      </c>
      <c r="U8" s="687">
        <f>SUM('3 pr-(5-6)'!I41)</f>
        <v>1099672.68</v>
      </c>
      <c r="V8" s="690">
        <f t="shared" si="0"/>
        <v>1099672.68</v>
      </c>
      <c r="W8" s="1539">
        <f t="shared" si="8"/>
        <v>0</v>
      </c>
      <c r="X8" s="1540">
        <v>1099672.68</v>
      </c>
      <c r="Y8" s="1538">
        <f t="shared" si="1"/>
        <v>0</v>
      </c>
      <c r="Z8" s="1538">
        <f>SUM('3 pr-2'!AE47)</f>
        <v>0</v>
      </c>
      <c r="AA8" s="1538">
        <f t="shared" si="9"/>
        <v>0</v>
      </c>
    </row>
    <row r="9" spans="1:29" ht="48.75" thickTop="1" thickBot="1" x14ac:dyDescent="0.3">
      <c r="A9" s="671" t="s">
        <v>144</v>
      </c>
      <c r="B9" s="671" t="s">
        <v>380</v>
      </c>
      <c r="C9" s="672">
        <f>SUM('3 pr-(5-6)'!C42)</f>
        <v>0</v>
      </c>
      <c r="D9" s="673">
        <v>0</v>
      </c>
      <c r="E9" s="674">
        <f t="shared" si="2"/>
        <v>0</v>
      </c>
      <c r="F9" s="672">
        <f>SUM('3 pr-(5-6)'!D42)</f>
        <v>0</v>
      </c>
      <c r="G9" s="673">
        <f>SUM('ketv. 4 '!Q50)</f>
        <v>2696984.31</v>
      </c>
      <c r="H9" s="674">
        <f t="shared" si="3"/>
        <v>-2696984.31</v>
      </c>
      <c r="I9" s="672">
        <f>SUM('3 pr-(5-6)'!G42)</f>
        <v>8920392.5700000003</v>
      </c>
      <c r="J9" s="673">
        <f>SUM('ketv. 4 '!R50)+G9</f>
        <v>7999917.5700000003</v>
      </c>
      <c r="K9" s="674">
        <f t="shared" si="4"/>
        <v>920475</v>
      </c>
      <c r="L9" s="672">
        <f>SUM('3 pr-(5-6)'!F42)</f>
        <v>8920392.5700000003</v>
      </c>
      <c r="M9" s="673">
        <f>SUM('ketv. 4 '!S50)+J9</f>
        <v>8920392.5700000003</v>
      </c>
      <c r="N9" s="674">
        <f t="shared" si="5"/>
        <v>0</v>
      </c>
      <c r="O9" s="672">
        <f>SUM('3 pr-(5-6)'!G42)</f>
        <v>8920392.5700000003</v>
      </c>
      <c r="P9" s="673">
        <f>SUM('ketv. 4 '!T50)+M9</f>
        <v>8920392.5700000003</v>
      </c>
      <c r="Q9" s="674">
        <f t="shared" si="6"/>
        <v>0</v>
      </c>
      <c r="R9" s="672">
        <f>SUM('3 pr-(5-6)'!H42)</f>
        <v>8920392.5700000003</v>
      </c>
      <c r="S9" s="673">
        <f>SUM('ketv. 4 '!U50)+P9</f>
        <v>8920392.5700000003</v>
      </c>
      <c r="T9" s="674">
        <f t="shared" si="7"/>
        <v>0</v>
      </c>
      <c r="U9" s="687">
        <f>SUM('3 pr-(5-6)'!I42)</f>
        <v>8920392.5700000003</v>
      </c>
      <c r="V9" s="690">
        <f t="shared" si="0"/>
        <v>8920392.5700000003</v>
      </c>
      <c r="W9" s="1539">
        <f t="shared" si="8"/>
        <v>0</v>
      </c>
      <c r="X9" s="1540">
        <v>8810673.5999999996</v>
      </c>
      <c r="Y9" s="1541">
        <f t="shared" si="1"/>
        <v>-109718.97000000067</v>
      </c>
      <c r="Z9" s="1541">
        <f ca="1">SUM('3 pr-2'!AE50)</f>
        <v>1523218.97</v>
      </c>
      <c r="AA9" s="1538">
        <f t="shared" ca="1" si="9"/>
        <v>1413499.9999999993</v>
      </c>
      <c r="AC9" s="256"/>
    </row>
    <row r="10" spans="1:29" ht="17.25" thickTop="1" thickBot="1" x14ac:dyDescent="0.3">
      <c r="A10" s="671" t="s">
        <v>179</v>
      </c>
      <c r="B10" s="671" t="s">
        <v>254</v>
      </c>
      <c r="C10" s="672">
        <f>SUM('3 pr-(5-6)'!C43)</f>
        <v>0</v>
      </c>
      <c r="D10" s="673">
        <v>0</v>
      </c>
      <c r="E10" s="674">
        <f t="shared" si="2"/>
        <v>0</v>
      </c>
      <c r="F10" s="672">
        <f>SUM('3 pr-(5-6)'!D43)</f>
        <v>0</v>
      </c>
      <c r="G10" s="673">
        <f>SUM('ketv. 4 '!Q57)</f>
        <v>0</v>
      </c>
      <c r="H10" s="674">
        <f t="shared" si="3"/>
        <v>0</v>
      </c>
      <c r="I10" s="672">
        <f>SUM('3 pr-(5-6)'!G43)</f>
        <v>3399493.48</v>
      </c>
      <c r="J10" s="673">
        <f>SUM('ketv. 4 '!R56)+G10</f>
        <v>3399493.48</v>
      </c>
      <c r="K10" s="674">
        <f t="shared" si="4"/>
        <v>0</v>
      </c>
      <c r="L10" s="672">
        <f>SUM('3 pr-(5-6)'!F43)</f>
        <v>3399493.48</v>
      </c>
      <c r="M10" s="673">
        <f>SUM('ketv. 4 '!S56)+J10</f>
        <v>3399493.48</v>
      </c>
      <c r="N10" s="674">
        <f t="shared" si="5"/>
        <v>0</v>
      </c>
      <c r="O10" s="672">
        <f>SUM('3 pr-(5-6)'!G43)</f>
        <v>3399493.48</v>
      </c>
      <c r="P10" s="673">
        <f>SUM('ketv. 4 '!T56)+M10</f>
        <v>3399493.48</v>
      </c>
      <c r="Q10" s="674">
        <f t="shared" si="6"/>
        <v>0</v>
      </c>
      <c r="R10" s="672">
        <f>SUM('3 pr-(5-6)'!H43)</f>
        <v>3399493.48</v>
      </c>
      <c r="S10" s="673">
        <f>SUM('ketv. 4 '!U56)+P10</f>
        <v>3399493.48</v>
      </c>
      <c r="T10" s="674">
        <f t="shared" si="7"/>
        <v>0</v>
      </c>
      <c r="U10" s="687">
        <f>SUM('3 pr-(5-6)'!I43)</f>
        <v>3399493.48</v>
      </c>
      <c r="V10" s="690">
        <f t="shared" si="0"/>
        <v>3399493.48</v>
      </c>
      <c r="W10" s="1539">
        <f t="shared" si="8"/>
        <v>0</v>
      </c>
      <c r="X10" s="1540">
        <v>3399493.48</v>
      </c>
      <c r="Y10" s="1541">
        <f t="shared" si="1"/>
        <v>0</v>
      </c>
      <c r="Z10" s="1541">
        <f ca="1">SUM('3 pr-2'!AE56)</f>
        <v>1011500</v>
      </c>
      <c r="AA10" s="1538">
        <f t="shared" ca="1" si="9"/>
        <v>1011500</v>
      </c>
    </row>
    <row r="11" spans="1:29" ht="33" thickTop="1" thickBot="1" x14ac:dyDescent="0.3">
      <c r="A11" s="671" t="s">
        <v>774</v>
      </c>
      <c r="B11" s="671" t="s">
        <v>133</v>
      </c>
      <c r="C11" s="672">
        <f>SUM('3 pr-(5-6)'!C44)</f>
        <v>0</v>
      </c>
      <c r="D11" s="673">
        <v>0</v>
      </c>
      <c r="E11" s="674">
        <f t="shared" si="2"/>
        <v>0</v>
      </c>
      <c r="F11" s="672">
        <f>SUM('3 pr-(5-6)'!D44)</f>
        <v>0</v>
      </c>
      <c r="G11" s="673">
        <f>SUM('ketv. 4 '!Q58)+D11</f>
        <v>0</v>
      </c>
      <c r="H11" s="674">
        <f t="shared" si="3"/>
        <v>0</v>
      </c>
      <c r="I11" s="672">
        <f>SUM('3 pr-(5-6)'!G44)</f>
        <v>611420</v>
      </c>
      <c r="J11" s="673">
        <f>SUM('ketv. 4 '!R58)+G11</f>
        <v>421880.1</v>
      </c>
      <c r="K11" s="674">
        <f t="shared" si="4"/>
        <v>189539.90000000002</v>
      </c>
      <c r="L11" s="672">
        <f>SUM('3 pr-(5-6)'!F44)</f>
        <v>421880.1</v>
      </c>
      <c r="M11" s="673">
        <f>SUM('ketv. 4 '!S58)+J11</f>
        <v>421880.1</v>
      </c>
      <c r="N11" s="674">
        <f t="shared" si="5"/>
        <v>0</v>
      </c>
      <c r="O11" s="672">
        <f>SUM('3 pr-(5-6)'!G44)</f>
        <v>611420</v>
      </c>
      <c r="P11" s="673">
        <f>SUM('ketv. 4 '!T58)+M11</f>
        <v>421880.1</v>
      </c>
      <c r="Q11" s="674">
        <f t="shared" si="6"/>
        <v>189539.90000000002</v>
      </c>
      <c r="R11" s="672">
        <f>SUM('3 pr-(5-6)'!H44)</f>
        <v>611420</v>
      </c>
      <c r="S11" s="673">
        <f>SUM('ketv. 4 '!U58)+P11</f>
        <v>421880.1</v>
      </c>
      <c r="T11" s="674">
        <f t="shared" si="7"/>
        <v>189539.90000000002</v>
      </c>
      <c r="U11" s="687">
        <f>SUM('3 pr-(5-6)'!I44)</f>
        <v>611420</v>
      </c>
      <c r="V11" s="690">
        <f t="shared" si="0"/>
        <v>421880.1</v>
      </c>
      <c r="W11" s="1539">
        <f t="shared" si="8"/>
        <v>189539.90000000002</v>
      </c>
      <c r="X11" s="1540">
        <v>611420</v>
      </c>
      <c r="Y11" s="1541">
        <f t="shared" si="1"/>
        <v>0</v>
      </c>
      <c r="Z11" s="1541">
        <f ca="1">SUM('3 pr-2'!AE58)</f>
        <v>0</v>
      </c>
      <c r="AA11" s="1538">
        <f t="shared" ca="1" si="9"/>
        <v>0</v>
      </c>
    </row>
    <row r="12" spans="1:29" ht="17.25" thickTop="1" thickBot="1" x14ac:dyDescent="0.3">
      <c r="A12" s="671" t="s">
        <v>143</v>
      </c>
      <c r="B12" s="671" t="s">
        <v>255</v>
      </c>
      <c r="C12" s="672">
        <f>SUM('3 pr-(5-6)'!C45)</f>
        <v>0</v>
      </c>
      <c r="D12" s="673">
        <v>0</v>
      </c>
      <c r="E12" s="674">
        <f t="shared" si="2"/>
        <v>0</v>
      </c>
      <c r="F12" s="672">
        <f>SUM('3 pr-(5-6)'!D45)</f>
        <v>0</v>
      </c>
      <c r="G12" s="673">
        <f>SUM('ketv. 4 '!Q62)+D12</f>
        <v>0</v>
      </c>
      <c r="H12" s="674">
        <f t="shared" si="3"/>
        <v>0</v>
      </c>
      <c r="I12" s="672">
        <f>SUM('3 pr-(5-6)'!G45)</f>
        <v>1198163.7</v>
      </c>
      <c r="J12" s="673">
        <f>SUM('ketv. 4 '!R62)+G12</f>
        <v>898622.7</v>
      </c>
      <c r="K12" s="674">
        <f t="shared" si="4"/>
        <v>299541</v>
      </c>
      <c r="L12" s="672">
        <f>SUM('3 pr-(5-6)'!F45)</f>
        <v>1198163.7</v>
      </c>
      <c r="M12" s="673">
        <f>SUM('ketv. 4 '!S62)+J12</f>
        <v>1198163.7</v>
      </c>
      <c r="N12" s="674">
        <f t="shared" si="5"/>
        <v>0</v>
      </c>
      <c r="O12" s="672">
        <f>SUM('3 pr-(5-6)'!G45)</f>
        <v>1198163.7</v>
      </c>
      <c r="P12" s="673">
        <f>SUM('ketv. 4 '!T62)+M12</f>
        <v>1198163.7</v>
      </c>
      <c r="Q12" s="674">
        <f t="shared" si="6"/>
        <v>0</v>
      </c>
      <c r="R12" s="672">
        <f>SUM('3 pr-(5-6)'!H45)</f>
        <v>1198163.7</v>
      </c>
      <c r="S12" s="673">
        <f>SUM('ketv. 4 '!U62)+P12</f>
        <v>1198163.7</v>
      </c>
      <c r="T12" s="674">
        <f t="shared" si="7"/>
        <v>0</v>
      </c>
      <c r="U12" s="687">
        <f>SUM('3 pr-(5-6)'!I45)</f>
        <v>1198163.7</v>
      </c>
      <c r="V12" s="690">
        <f t="shared" si="0"/>
        <v>1198163.7</v>
      </c>
      <c r="W12" s="1539">
        <f t="shared" si="8"/>
        <v>0</v>
      </c>
      <c r="X12" s="1540">
        <v>1198165.51</v>
      </c>
      <c r="Y12" s="1541">
        <f t="shared" si="1"/>
        <v>1.8100000000558794</v>
      </c>
      <c r="Z12" s="1541">
        <f ca="1">SUM('3 pr-2'!AE62)</f>
        <v>0</v>
      </c>
      <c r="AA12" s="1538">
        <f t="shared" ca="1" si="9"/>
        <v>1.8100000000558794</v>
      </c>
    </row>
    <row r="13" spans="1:29" ht="17.25" thickTop="1" thickBot="1" x14ac:dyDescent="0.3">
      <c r="A13" s="671" t="s">
        <v>182</v>
      </c>
      <c r="B13" s="671" t="s">
        <v>256</v>
      </c>
      <c r="C13" s="672">
        <f>SUM('3 pr-(5-6)'!C46)</f>
        <v>0</v>
      </c>
      <c r="D13" s="673">
        <v>0</v>
      </c>
      <c r="E13" s="674">
        <f t="shared" si="2"/>
        <v>0</v>
      </c>
      <c r="F13" s="672">
        <f>SUM('3 pr-(5-6)'!D46)</f>
        <v>0</v>
      </c>
      <c r="G13" s="673">
        <f>SUM('ketv. 4 '!Q67)+D13</f>
        <v>0</v>
      </c>
      <c r="H13" s="674">
        <f t="shared" si="3"/>
        <v>0</v>
      </c>
      <c r="I13" s="672">
        <f>SUM('3 pr-(5-6)'!G46)</f>
        <v>1030280</v>
      </c>
      <c r="J13" s="673">
        <f>SUM('ketv. 4 '!R67)+G13</f>
        <v>0</v>
      </c>
      <c r="K13" s="674">
        <f t="shared" si="4"/>
        <v>1030280</v>
      </c>
      <c r="L13" s="672">
        <f>SUM('3 pr-(5-6)'!F46)</f>
        <v>1030280</v>
      </c>
      <c r="M13" s="673">
        <f>SUM('ketv. 4 '!S67)+J13</f>
        <v>824224</v>
      </c>
      <c r="N13" s="674">
        <f t="shared" si="5"/>
        <v>206056</v>
      </c>
      <c r="O13" s="672">
        <f>SUM('3 pr-(5-6)'!G46)</f>
        <v>1030280</v>
      </c>
      <c r="P13" s="673">
        <f>SUM('ketv. 4 '!T67)+M13</f>
        <v>824224</v>
      </c>
      <c r="Q13" s="674">
        <f t="shared" si="6"/>
        <v>206056</v>
      </c>
      <c r="R13" s="672">
        <f>SUM('3 pr-(5-6)'!H46)</f>
        <v>1030280</v>
      </c>
      <c r="S13" s="673">
        <f>SUM('ketv. 4 '!U67)+P13</f>
        <v>824224</v>
      </c>
      <c r="T13" s="674">
        <f t="shared" si="7"/>
        <v>206056</v>
      </c>
      <c r="U13" s="687">
        <f>SUM('3 pr-(5-6)'!I46)</f>
        <v>1030280</v>
      </c>
      <c r="V13" s="690">
        <f t="shared" si="0"/>
        <v>824224</v>
      </c>
      <c r="W13" s="1539">
        <f t="shared" si="8"/>
        <v>206056</v>
      </c>
      <c r="X13" s="1540">
        <v>1030281.61</v>
      </c>
      <c r="Y13" s="1541">
        <f t="shared" ref="Y13:Y29" si="10">SUM(X13-U13)</f>
        <v>1.6099999999860302</v>
      </c>
      <c r="Z13" s="1541">
        <f ca="1">SUM('3 pr-2'!AE67)</f>
        <v>32141.279999999999</v>
      </c>
      <c r="AA13" s="1538">
        <f t="shared" ca="1" si="9"/>
        <v>32142.889999999985</v>
      </c>
    </row>
    <row r="14" spans="1:29" ht="33" thickTop="1" thickBot="1" x14ac:dyDescent="0.3">
      <c r="A14" s="671" t="s">
        <v>135</v>
      </c>
      <c r="B14" s="671" t="s">
        <v>257</v>
      </c>
      <c r="C14" s="672">
        <f>SUM('3 pr-(5-6)'!C47)</f>
        <v>0</v>
      </c>
      <c r="D14" s="673">
        <v>0</v>
      </c>
      <c r="E14" s="674">
        <f t="shared" si="2"/>
        <v>0</v>
      </c>
      <c r="F14" s="672">
        <f>SUM('3 pr-(5-6)'!D47)</f>
        <v>0</v>
      </c>
      <c r="G14" s="673">
        <f>SUM('ketv. 4 '!Q74)+D14</f>
        <v>0</v>
      </c>
      <c r="H14" s="674">
        <f t="shared" si="3"/>
        <v>0</v>
      </c>
      <c r="I14" s="672">
        <f>SUM('3 pr-(5-6)'!G47)</f>
        <v>1263272</v>
      </c>
      <c r="J14" s="673">
        <f>SUM('ketv. 4 '!R74)+G14</f>
        <v>0</v>
      </c>
      <c r="K14" s="674">
        <f t="shared" si="4"/>
        <v>1263272</v>
      </c>
      <c r="L14" s="672">
        <f>SUM('3 pr-(5-6)'!F47)</f>
        <v>640846</v>
      </c>
      <c r="M14" s="673">
        <f>SUM('ketv. 4 '!S74)+J14</f>
        <v>0</v>
      </c>
      <c r="N14" s="674">
        <f t="shared" si="5"/>
        <v>640846</v>
      </c>
      <c r="O14" s="672">
        <f>SUM('3 pr-(5-6)'!G47)</f>
        <v>1263272</v>
      </c>
      <c r="P14" s="673">
        <f>SUM('ketv. 4 '!T74)+M14</f>
        <v>0</v>
      </c>
      <c r="Q14" s="674">
        <f t="shared" si="6"/>
        <v>1263272</v>
      </c>
      <c r="R14" s="672">
        <f>SUM('3 pr-(5-6)'!H47)</f>
        <v>1263272</v>
      </c>
      <c r="S14" s="673">
        <f>SUM('ketv. 4 '!U74)+P14</f>
        <v>0</v>
      </c>
      <c r="T14" s="674">
        <f t="shared" si="7"/>
        <v>1263272</v>
      </c>
      <c r="U14" s="687">
        <f>SUM('3 pr-(5-6)'!I47)</f>
        <v>1263272</v>
      </c>
      <c r="V14" s="690">
        <f t="shared" si="0"/>
        <v>0</v>
      </c>
      <c r="W14" s="1539">
        <f t="shared" si="8"/>
        <v>1263272</v>
      </c>
      <c r="X14" s="1540">
        <v>1263272</v>
      </c>
      <c r="Y14" s="1541">
        <f t="shared" si="10"/>
        <v>0</v>
      </c>
      <c r="Z14" s="1541">
        <f ca="1">SUM('3 pr-2'!AE74)</f>
        <v>0</v>
      </c>
      <c r="AA14" s="1538">
        <f t="shared" ca="1" si="9"/>
        <v>0</v>
      </c>
    </row>
    <row r="15" spans="1:29" ht="26.25" customHeight="1" thickTop="1" thickBot="1" x14ac:dyDescent="0.3">
      <c r="A15" s="671" t="s">
        <v>147</v>
      </c>
      <c r="B15" s="671" t="s">
        <v>258</v>
      </c>
      <c r="C15" s="672">
        <f>SUM('3 pr-(5-6)'!C48)</f>
        <v>0</v>
      </c>
      <c r="D15" s="673">
        <v>0</v>
      </c>
      <c r="E15" s="674">
        <f t="shared" si="2"/>
        <v>0</v>
      </c>
      <c r="F15" s="672">
        <f>SUM('3 pr-(5-6)'!D48)</f>
        <v>0</v>
      </c>
      <c r="G15" s="673">
        <f>SUM('ketv. 4 '!Q80+'ketv. 4 '!Q82)+D15</f>
        <v>0</v>
      </c>
      <c r="H15" s="674">
        <f t="shared" si="3"/>
        <v>0</v>
      </c>
      <c r="I15" s="672">
        <f>SUM('3 pr-(5-6)'!G48)</f>
        <v>1567659.8</v>
      </c>
      <c r="J15" s="673">
        <f>SUM('ketv. 4 '!R80+'ketv. 4 '!R82)+G15</f>
        <v>0</v>
      </c>
      <c r="K15" s="674">
        <f t="shared" si="4"/>
        <v>1567659.8</v>
      </c>
      <c r="L15" s="672">
        <f>SUM('3 pr-(5-6)'!F48)</f>
        <v>0</v>
      </c>
      <c r="M15" s="673">
        <f>SUM('ketv. 4 '!S80+'ketv. 4 '!S82)+J15</f>
        <v>0</v>
      </c>
      <c r="N15" s="674">
        <f t="shared" si="5"/>
        <v>0</v>
      </c>
      <c r="O15" s="672">
        <f>SUM('3 pr-(5-6)'!G48)</f>
        <v>1567659.8</v>
      </c>
      <c r="P15" s="673">
        <f>SUM('ketv. 4 '!T80+'ketv. 4 '!T82)+M15</f>
        <v>0</v>
      </c>
      <c r="Q15" s="674">
        <f t="shared" si="6"/>
        <v>1567659.8</v>
      </c>
      <c r="R15" s="672">
        <f>SUM('3 pr-(5-6)'!H48)</f>
        <v>1567659.8</v>
      </c>
      <c r="S15" s="673">
        <f>SUM('ketv. 4 '!U80+'ketv. 4 '!U82)+P15</f>
        <v>0</v>
      </c>
      <c r="T15" s="674">
        <f t="shared" si="7"/>
        <v>1567659.8</v>
      </c>
      <c r="U15" s="687">
        <f>SUM('3 pr-(5-6)'!I48)</f>
        <v>1567659.8</v>
      </c>
      <c r="V15" s="690">
        <f t="shared" si="0"/>
        <v>0</v>
      </c>
      <c r="W15" s="1539">
        <f t="shared" si="8"/>
        <v>1567659.8</v>
      </c>
      <c r="X15" s="1540">
        <v>1567660</v>
      </c>
      <c r="Y15" s="1541">
        <f t="shared" si="10"/>
        <v>0.19999999995343387</v>
      </c>
      <c r="Z15" s="1541">
        <f ca="1">SUM('3 pr-2'!AE80+'3 pr-2'!AE82)</f>
        <v>0</v>
      </c>
      <c r="AA15" s="1538">
        <f t="shared" ca="1" si="9"/>
        <v>0.19999999995343387</v>
      </c>
    </row>
    <row r="16" spans="1:29" ht="17.25" thickTop="1" thickBot="1" x14ac:dyDescent="0.3">
      <c r="A16" s="671" t="s">
        <v>270</v>
      </c>
      <c r="B16" s="671" t="s">
        <v>275</v>
      </c>
      <c r="C16" s="672">
        <f>SUM('3 pr-(5-6)'!C49)</f>
        <v>0</v>
      </c>
      <c r="D16" s="673">
        <v>0</v>
      </c>
      <c r="E16" s="674">
        <f t="shared" si="2"/>
        <v>0</v>
      </c>
      <c r="F16" s="672">
        <f>SUM('3 pr-(5-6)'!D49)</f>
        <v>0</v>
      </c>
      <c r="G16" s="673">
        <f>SUM('ketv. 4 '!Q81+'ketv. 4 '!Q83)+D16</f>
        <v>0</v>
      </c>
      <c r="H16" s="674">
        <f t="shared" si="3"/>
        <v>0</v>
      </c>
      <c r="I16" s="672">
        <f>SUM('3 pr-(5-6)'!G49)</f>
        <v>43042.3</v>
      </c>
      <c r="J16" s="673">
        <f>SUM('ketv. 4 '!R81+'ketv. 4 '!R83)+G16</f>
        <v>43042.3</v>
      </c>
      <c r="K16" s="674">
        <f t="shared" si="4"/>
        <v>0</v>
      </c>
      <c r="L16" s="672">
        <f>SUM('3 pr-(5-6)'!F49)</f>
        <v>43042.3</v>
      </c>
      <c r="M16" s="673">
        <f>SUM('ketv. 4 '!S81+'ketv. 4 '!S83)+J16</f>
        <v>43042.3</v>
      </c>
      <c r="N16" s="674">
        <f t="shared" si="5"/>
        <v>0</v>
      </c>
      <c r="O16" s="672">
        <f>SUM('3 pr-(5-6)'!G49)</f>
        <v>43042.3</v>
      </c>
      <c r="P16" s="673">
        <f>SUM('ketv. 4 '!T81+'ketv. 4 '!T83)+M16</f>
        <v>43042.3</v>
      </c>
      <c r="Q16" s="674">
        <f t="shared" si="6"/>
        <v>0</v>
      </c>
      <c r="R16" s="672">
        <f>SUM('3 pr-(5-6)'!H49)</f>
        <v>43042.3</v>
      </c>
      <c r="S16" s="673">
        <f>SUM('ketv. 4 '!U81+'ketv. 4 '!U83)+P16</f>
        <v>43042.3</v>
      </c>
      <c r="T16" s="674">
        <f t="shared" si="7"/>
        <v>0</v>
      </c>
      <c r="U16" s="687">
        <f>SUM('3 pr-(5-6)'!I49)</f>
        <v>43042.3</v>
      </c>
      <c r="V16" s="690">
        <f t="shared" si="0"/>
        <v>43042.3</v>
      </c>
      <c r="W16" s="1539">
        <f t="shared" si="8"/>
        <v>0</v>
      </c>
      <c r="X16" s="1540">
        <v>63920</v>
      </c>
      <c r="Y16" s="1541">
        <f t="shared" si="10"/>
        <v>20877.699999999997</v>
      </c>
      <c r="Z16" s="1541">
        <f>SUM('3 pr-2'!AE81+'3 pr-2'!AE83)</f>
        <v>0</v>
      </c>
      <c r="AA16" s="1538">
        <f t="shared" si="9"/>
        <v>20877.699999999997</v>
      </c>
    </row>
    <row r="17" spans="1:27" ht="17.25" thickTop="1" thickBot="1" x14ac:dyDescent="0.3">
      <c r="A17" s="671" t="s">
        <v>148</v>
      </c>
      <c r="B17" s="671" t="s">
        <v>259</v>
      </c>
      <c r="C17" s="672">
        <f>SUM('3 pr-(5-6)'!C50)</f>
        <v>0</v>
      </c>
      <c r="D17" s="673">
        <v>0</v>
      </c>
      <c r="E17" s="674">
        <f t="shared" si="2"/>
        <v>0</v>
      </c>
      <c r="F17" s="672">
        <f>SUM('3 pr-(5-6)'!D50)</f>
        <v>0</v>
      </c>
      <c r="G17" s="673">
        <f>SUM('ketv. 4 '!Q86)+D17</f>
        <v>0</v>
      </c>
      <c r="H17" s="674">
        <f t="shared" si="3"/>
        <v>0</v>
      </c>
      <c r="I17" s="672">
        <f>SUM('3 pr-(5-6)'!G50)</f>
        <v>412707.13</v>
      </c>
      <c r="J17" s="673">
        <f>SUM('ketv. 4 '!R86)+G17</f>
        <v>115332</v>
      </c>
      <c r="K17" s="674">
        <f t="shared" si="4"/>
        <v>297375.13</v>
      </c>
      <c r="L17" s="672">
        <f>SUM('3 pr-(5-6)'!F50)</f>
        <v>356084.13</v>
      </c>
      <c r="M17" s="673">
        <f>SUM('ketv. 4 '!S86)+J17</f>
        <v>356084.13</v>
      </c>
      <c r="N17" s="674">
        <f t="shared" si="5"/>
        <v>0</v>
      </c>
      <c r="O17" s="672">
        <f>SUM('3 pr-(5-6)'!G50)</f>
        <v>412707.13</v>
      </c>
      <c r="P17" s="673">
        <f>SUM('ketv. 4 '!T86)+M17</f>
        <v>356084.13</v>
      </c>
      <c r="Q17" s="674">
        <f t="shared" si="6"/>
        <v>56623</v>
      </c>
      <c r="R17" s="672">
        <f>SUM('3 pr-(5-6)'!H50)</f>
        <v>412707.13</v>
      </c>
      <c r="S17" s="673">
        <f>SUM('ketv. 4 '!U86)+P17</f>
        <v>356084.13</v>
      </c>
      <c r="T17" s="674">
        <f t="shared" si="7"/>
        <v>56623</v>
      </c>
      <c r="U17" s="687">
        <f>SUM('3 pr-(5-6)'!I50)</f>
        <v>412707.13</v>
      </c>
      <c r="V17" s="690">
        <f t="shared" si="0"/>
        <v>356084.13</v>
      </c>
      <c r="W17" s="1539">
        <f t="shared" si="8"/>
        <v>56623</v>
      </c>
      <c r="X17" s="1540">
        <v>415732</v>
      </c>
      <c r="Y17" s="1541">
        <f t="shared" si="10"/>
        <v>3024.8699999999953</v>
      </c>
      <c r="Z17" s="1541">
        <f ca="1">SUM('3 pr-2'!AE86)</f>
        <v>4046.4400000000023</v>
      </c>
      <c r="AA17" s="1538">
        <f t="shared" ca="1" si="9"/>
        <v>7071.3099999999977</v>
      </c>
    </row>
    <row r="18" spans="1:27" ht="17.25" thickTop="1" thickBot="1" x14ac:dyDescent="0.3">
      <c r="A18" s="671" t="s">
        <v>141</v>
      </c>
      <c r="B18" s="671" t="s">
        <v>294</v>
      </c>
      <c r="C18" s="672">
        <f>SUM('3 pr-(5-6)'!C51)</f>
        <v>0</v>
      </c>
      <c r="D18" s="673">
        <v>0</v>
      </c>
      <c r="E18" s="674">
        <f t="shared" si="2"/>
        <v>0</v>
      </c>
      <c r="F18" s="672">
        <f>SUM('3 pr-(5-6)'!D51)</f>
        <v>0</v>
      </c>
      <c r="G18" s="673">
        <f>SUM('ketv. 4 '!Q92)+D18</f>
        <v>0</v>
      </c>
      <c r="H18" s="674">
        <f t="shared" si="3"/>
        <v>0</v>
      </c>
      <c r="I18" s="672">
        <f>SUM('3 pr-(5-6)'!G51)</f>
        <v>3052807</v>
      </c>
      <c r="J18" s="673">
        <f>SUM('ketv. 4 '!R92)+G18</f>
        <v>1458082</v>
      </c>
      <c r="K18" s="674">
        <f t="shared" si="4"/>
        <v>1594725</v>
      </c>
      <c r="L18" s="672">
        <f>SUM('3 pr-(5-6)'!F51)</f>
        <v>2939818</v>
      </c>
      <c r="M18" s="673">
        <f>SUM('ketv. 4 '!S92)+J18</f>
        <v>2304870</v>
      </c>
      <c r="N18" s="674">
        <f t="shared" si="5"/>
        <v>634948</v>
      </c>
      <c r="O18" s="672">
        <f>SUM('3 pr-(5-6)'!G51)</f>
        <v>3052807</v>
      </c>
      <c r="P18" s="673">
        <f>SUM('ketv. 4 '!T92)+M18</f>
        <v>2304870</v>
      </c>
      <c r="Q18" s="674">
        <f t="shared" si="6"/>
        <v>747937</v>
      </c>
      <c r="R18" s="672">
        <f>SUM('3 pr-(5-6)'!H51)</f>
        <v>3052807</v>
      </c>
      <c r="S18" s="673">
        <f>SUM('ketv. 4 '!U92)+P18</f>
        <v>2304870</v>
      </c>
      <c r="T18" s="674">
        <f t="shared" si="7"/>
        <v>747937</v>
      </c>
      <c r="U18" s="687">
        <f>SUM('3 pr-(5-6)'!I51)</f>
        <v>3052807</v>
      </c>
      <c r="V18" s="690">
        <f t="shared" si="0"/>
        <v>2304870</v>
      </c>
      <c r="W18" s="1539">
        <f t="shared" si="8"/>
        <v>747937</v>
      </c>
      <c r="X18" s="1540">
        <v>3052809</v>
      </c>
      <c r="Y18" s="1541">
        <f t="shared" si="10"/>
        <v>2</v>
      </c>
      <c r="Z18" s="1541">
        <f ca="1">SUM('3 pr-2'!AE92)</f>
        <v>0</v>
      </c>
      <c r="AA18" s="1538">
        <f t="shared" ca="1" si="9"/>
        <v>2</v>
      </c>
    </row>
    <row r="19" spans="1:27" ht="17.25" thickTop="1" thickBot="1" x14ac:dyDescent="0.3">
      <c r="A19" s="671" t="s">
        <v>136</v>
      </c>
      <c r="B19" s="671" t="s">
        <v>381</v>
      </c>
      <c r="C19" s="672">
        <f>SUM('3 pr-(5-6)'!C52)</f>
        <v>0</v>
      </c>
      <c r="D19" s="673">
        <v>0</v>
      </c>
      <c r="E19" s="674">
        <f t="shared" si="2"/>
        <v>0</v>
      </c>
      <c r="F19" s="672">
        <f>SUM('3 pr-(5-6)'!D52)</f>
        <v>0</v>
      </c>
      <c r="G19" s="673">
        <f>SUM('ketv. 4 '!Q102)+D19</f>
        <v>0</v>
      </c>
      <c r="H19" s="674">
        <f t="shared" si="3"/>
        <v>0</v>
      </c>
      <c r="I19" s="672">
        <f>SUM('3 pr-(5-6)'!G52)</f>
        <v>1142377</v>
      </c>
      <c r="J19" s="673">
        <f>SUM('ketv. 4 '!R102)+G19</f>
        <v>139295</v>
      </c>
      <c r="K19" s="674">
        <f t="shared" si="4"/>
        <v>1003082</v>
      </c>
      <c r="L19" s="672">
        <f>SUM('3 pr-(5-6)'!F52)</f>
        <v>1142377</v>
      </c>
      <c r="M19" s="673">
        <f>SUM('ketv. 4 '!S102)+J19</f>
        <v>1142377</v>
      </c>
      <c r="N19" s="674">
        <f t="shared" si="5"/>
        <v>0</v>
      </c>
      <c r="O19" s="672">
        <f>SUM('3 pr-(5-6)'!G52)</f>
        <v>1142377</v>
      </c>
      <c r="P19" s="673">
        <f>SUM('ketv. 4 '!T102)+M19</f>
        <v>1142377</v>
      </c>
      <c r="Q19" s="674">
        <f t="shared" si="6"/>
        <v>0</v>
      </c>
      <c r="R19" s="672">
        <f>SUM('3 pr-(5-6)'!H52)</f>
        <v>1142377</v>
      </c>
      <c r="S19" s="673">
        <f>SUM('ketv. 4 '!U102)+P19</f>
        <v>1142377</v>
      </c>
      <c r="T19" s="674">
        <f t="shared" si="7"/>
        <v>0</v>
      </c>
      <c r="U19" s="687">
        <f>SUM('3 pr-(5-6)'!I52)</f>
        <v>1142377</v>
      </c>
      <c r="V19" s="690">
        <f t="shared" si="0"/>
        <v>1142377</v>
      </c>
      <c r="W19" s="1539">
        <f t="shared" si="8"/>
        <v>0</v>
      </c>
      <c r="X19" s="1540">
        <v>1142378</v>
      </c>
      <c r="Y19" s="1541">
        <f t="shared" si="10"/>
        <v>1</v>
      </c>
      <c r="Z19" s="1541">
        <f ca="1">SUM('3 pr-2'!AE102)</f>
        <v>0</v>
      </c>
      <c r="AA19" s="1538">
        <f t="shared" ca="1" si="9"/>
        <v>1</v>
      </c>
    </row>
    <row r="20" spans="1:27" ht="17.25" thickTop="1" thickBot="1" x14ac:dyDescent="0.3">
      <c r="A20" s="671" t="s">
        <v>139</v>
      </c>
      <c r="B20" s="671" t="s">
        <v>260</v>
      </c>
      <c r="C20" s="672">
        <f>SUM('3 pr-(5-6)'!C53)</f>
        <v>0</v>
      </c>
      <c r="D20" s="673">
        <v>0</v>
      </c>
      <c r="E20" s="674">
        <f t="shared" si="2"/>
        <v>0</v>
      </c>
      <c r="F20" s="672">
        <f>SUM('3 pr-(5-6)'!D53)</f>
        <v>0</v>
      </c>
      <c r="G20" s="673">
        <f>SUM('ketv. 4 '!Q108)+D20</f>
        <v>0</v>
      </c>
      <c r="H20" s="674">
        <f t="shared" si="3"/>
        <v>0</v>
      </c>
      <c r="I20" s="672">
        <f>SUM('3 pr-(5-6)'!G53)</f>
        <v>1486007</v>
      </c>
      <c r="J20" s="673">
        <f>SUM('ketv. 4 '!R108)+G20</f>
        <v>611625</v>
      </c>
      <c r="K20" s="674">
        <f t="shared" si="4"/>
        <v>874382</v>
      </c>
      <c r="L20" s="672">
        <f>SUM('3 pr-(5-6)'!F53)</f>
        <v>1486007</v>
      </c>
      <c r="M20" s="673">
        <f>SUM('ketv. 4 '!S108)+J20</f>
        <v>1486007</v>
      </c>
      <c r="N20" s="674">
        <f t="shared" si="5"/>
        <v>0</v>
      </c>
      <c r="O20" s="672">
        <f>SUM('3 pr-(5-6)'!G53)</f>
        <v>1486007</v>
      </c>
      <c r="P20" s="673">
        <f>SUM('ketv. 4 '!T108)+M20</f>
        <v>1486007</v>
      </c>
      <c r="Q20" s="674">
        <f t="shared" si="6"/>
        <v>0</v>
      </c>
      <c r="R20" s="672">
        <f>SUM('3 pr-(5-6)'!H53)</f>
        <v>1486007</v>
      </c>
      <c r="S20" s="673">
        <f>SUM('ketv. 4 '!U108)+P20</f>
        <v>1486007</v>
      </c>
      <c r="T20" s="674">
        <f t="shared" si="7"/>
        <v>0</v>
      </c>
      <c r="U20" s="687">
        <f>SUM('3 pr-(5-6)'!I53)</f>
        <v>1486007</v>
      </c>
      <c r="V20" s="690">
        <f t="shared" si="0"/>
        <v>1486007</v>
      </c>
      <c r="W20" s="1539">
        <f t="shared" si="8"/>
        <v>0</v>
      </c>
      <c r="X20" s="1540">
        <v>1486009</v>
      </c>
      <c r="Y20" s="1541">
        <f t="shared" si="10"/>
        <v>2</v>
      </c>
      <c r="Z20" s="1541">
        <f ca="1">SUM('3 pr-2'!AE108)</f>
        <v>0</v>
      </c>
      <c r="AA20" s="1538">
        <f t="shared" ca="1" si="9"/>
        <v>2</v>
      </c>
    </row>
    <row r="21" spans="1:27" ht="33" thickTop="1" thickBot="1" x14ac:dyDescent="0.3">
      <c r="A21" s="671" t="s">
        <v>140</v>
      </c>
      <c r="B21" s="671" t="s">
        <v>261</v>
      </c>
      <c r="C21" s="672">
        <f>SUM('3 pr-(5-6)'!C54)</f>
        <v>0</v>
      </c>
      <c r="D21" s="673">
        <v>0</v>
      </c>
      <c r="E21" s="674">
        <f t="shared" si="2"/>
        <v>0</v>
      </c>
      <c r="F21" s="672">
        <f>SUM('3 pr-(5-6)'!D54)</f>
        <v>0</v>
      </c>
      <c r="G21" s="673">
        <f>SUM('ketv. 4 '!Q114)+D21</f>
        <v>0</v>
      </c>
      <c r="H21" s="674">
        <f t="shared" si="3"/>
        <v>0</v>
      </c>
      <c r="I21" s="672">
        <f>SUM('3 pr-(5-6)'!G54)</f>
        <v>1138588</v>
      </c>
      <c r="J21" s="673">
        <f>SUM('ketv. 4 '!R114)+G21</f>
        <v>0</v>
      </c>
      <c r="K21" s="674">
        <f t="shared" si="4"/>
        <v>1138588</v>
      </c>
      <c r="L21" s="672">
        <f>SUM('3 pr-(5-6)'!F54)</f>
        <v>1138588</v>
      </c>
      <c r="M21" s="673">
        <f>SUM('ketv. 4 '!S114)+J21</f>
        <v>1138588</v>
      </c>
      <c r="N21" s="674">
        <f t="shared" si="5"/>
        <v>0</v>
      </c>
      <c r="O21" s="672">
        <f>SUM('3 pr-(5-6)'!G54)</f>
        <v>1138588</v>
      </c>
      <c r="P21" s="673">
        <f>SUM('ketv. 4 '!T114)+M21</f>
        <v>1138588</v>
      </c>
      <c r="Q21" s="674">
        <f t="shared" si="6"/>
        <v>0</v>
      </c>
      <c r="R21" s="672">
        <f>SUM('3 pr-(5-6)'!H54)</f>
        <v>1138588</v>
      </c>
      <c r="S21" s="673">
        <f>SUM('ketv. 4 '!U114)+P21</f>
        <v>1138588</v>
      </c>
      <c r="T21" s="674">
        <f t="shared" si="7"/>
        <v>0</v>
      </c>
      <c r="U21" s="687">
        <f>SUM('3 pr-(5-6)'!I54)</f>
        <v>1138588</v>
      </c>
      <c r="V21" s="690">
        <f t="shared" si="0"/>
        <v>1138588</v>
      </c>
      <c r="W21" s="1539">
        <f t="shared" si="8"/>
        <v>0</v>
      </c>
      <c r="X21" s="1540">
        <v>1138588</v>
      </c>
      <c r="Y21" s="1541">
        <f t="shared" si="10"/>
        <v>0</v>
      </c>
      <c r="Z21" s="1541">
        <f ca="1">SUM('3 pr-2'!AE114)</f>
        <v>0</v>
      </c>
      <c r="AA21" s="1538">
        <f t="shared" ca="1" si="9"/>
        <v>0</v>
      </c>
    </row>
    <row r="22" spans="1:27" ht="33" thickTop="1" thickBot="1" x14ac:dyDescent="0.3">
      <c r="A22" s="671" t="s">
        <v>153</v>
      </c>
      <c r="B22" s="671" t="s">
        <v>262</v>
      </c>
      <c r="C22" s="672">
        <f>SUM('3 pr-(5-6)'!C55)</f>
        <v>0</v>
      </c>
      <c r="D22" s="673">
        <v>0</v>
      </c>
      <c r="E22" s="674">
        <f t="shared" si="2"/>
        <v>0</v>
      </c>
      <c r="F22" s="672">
        <f>SUM('3 pr-(5-6)'!D55)</f>
        <v>0</v>
      </c>
      <c r="G22" s="673">
        <f>SUM('ketv. 4 '!Q121)+D22</f>
        <v>0</v>
      </c>
      <c r="H22" s="674">
        <f t="shared" si="3"/>
        <v>0</v>
      </c>
      <c r="I22" s="672">
        <f>SUM('3 pr-(5-6)'!G55)</f>
        <v>1230854</v>
      </c>
      <c r="J22" s="673">
        <f>SUM('ketv. 4 '!R121)+G22</f>
        <v>0</v>
      </c>
      <c r="K22" s="674">
        <f t="shared" si="4"/>
        <v>1230854</v>
      </c>
      <c r="L22" s="672">
        <f>SUM('3 pr-(5-6)'!F55)</f>
        <v>701375</v>
      </c>
      <c r="M22" s="673">
        <f>SUM('ketv. 4 '!S121)+J22</f>
        <v>0</v>
      </c>
      <c r="N22" s="674">
        <f t="shared" si="5"/>
        <v>701375</v>
      </c>
      <c r="O22" s="672">
        <f>SUM('3 pr-(5-6)'!G55)</f>
        <v>1230854</v>
      </c>
      <c r="P22" s="673">
        <f>SUM('ketv. 4 '!T121)+M22</f>
        <v>0</v>
      </c>
      <c r="Q22" s="674">
        <f t="shared" si="6"/>
        <v>1230854</v>
      </c>
      <c r="R22" s="672">
        <f>SUM('3 pr-(5-6)'!H55)</f>
        <v>1230854</v>
      </c>
      <c r="S22" s="673">
        <f>SUM('ketv. 4 '!U121)+P22</f>
        <v>0</v>
      </c>
      <c r="T22" s="674">
        <f t="shared" si="7"/>
        <v>1230854</v>
      </c>
      <c r="U22" s="687">
        <f>SUM('3 pr-(5-6)'!I55)</f>
        <v>1230854</v>
      </c>
      <c r="V22" s="690">
        <f t="shared" si="0"/>
        <v>0</v>
      </c>
      <c r="W22" s="1539">
        <f t="shared" si="8"/>
        <v>1230854</v>
      </c>
      <c r="X22" s="1540">
        <v>1230854</v>
      </c>
      <c r="Y22" s="1541">
        <f t="shared" si="10"/>
        <v>0</v>
      </c>
      <c r="Z22" s="1541">
        <f ca="1">SUM('3 pr-2'!AE121)</f>
        <v>0</v>
      </c>
      <c r="AA22" s="1538">
        <f t="shared" ca="1" si="9"/>
        <v>0</v>
      </c>
    </row>
    <row r="23" spans="1:27" ht="48.75" thickTop="1" thickBot="1" x14ac:dyDescent="0.3">
      <c r="A23" s="675" t="str">
        <f>CONCATENATE('ketv. 7 '!H142)</f>
        <v>08.4.2-ESFA-R-615</v>
      </c>
      <c r="B23" s="675" t="s">
        <v>1220</v>
      </c>
      <c r="C23" s="676"/>
      <c r="D23" s="677">
        <v>0</v>
      </c>
      <c r="E23" s="678">
        <f t="shared" ref="E23" si="11">SUM(C23-D23)</f>
        <v>0</v>
      </c>
      <c r="F23" s="676">
        <f>SUM('3 pr-(5-6)'!D55)</f>
        <v>0</v>
      </c>
      <c r="G23" s="677">
        <f>SUM('ketv. 4 '!Q141)+D23</f>
        <v>0</v>
      </c>
      <c r="H23" s="678">
        <f t="shared" ref="H23" si="12">SUM(F23-G23)</f>
        <v>0</v>
      </c>
      <c r="I23" s="676">
        <f>SUM('3 pr-(5-6)'!G55)</f>
        <v>1230854</v>
      </c>
      <c r="J23" s="677">
        <f>SUM('ketv. 4 '!R141)+G23</f>
        <v>0</v>
      </c>
      <c r="K23" s="678">
        <f t="shared" ref="K23" si="13">SUM(I23-J23)</f>
        <v>1230854</v>
      </c>
      <c r="L23" s="676">
        <f>SUM('3 pr-(5-6)'!F55)</f>
        <v>701375</v>
      </c>
      <c r="M23" s="677">
        <f>SUM('ketv. 4 '!S141)+J23</f>
        <v>54760.7</v>
      </c>
      <c r="N23" s="678">
        <f t="shared" ref="N23" si="14">SUM(L23-M23)</f>
        <v>646614.30000000005</v>
      </c>
      <c r="O23" s="676">
        <f>SUM('3 pr-(5-6)'!G55)</f>
        <v>1230854</v>
      </c>
      <c r="P23" s="677">
        <f>SUM('ketv. 4 '!T141)+M23</f>
        <v>54760.7</v>
      </c>
      <c r="Q23" s="678">
        <f t="shared" ref="Q23" si="15">SUM(O23-P23)</f>
        <v>1176093.3</v>
      </c>
      <c r="R23" s="676">
        <f>SUM('3 pr-(5-6)'!H55)</f>
        <v>1230854</v>
      </c>
      <c r="S23" s="677">
        <f>SUM('ketv. 4 '!U141)+P23</f>
        <v>54760.7</v>
      </c>
      <c r="T23" s="678">
        <f t="shared" ref="T23" si="16">SUM(R23-S23)</f>
        <v>1176093.3</v>
      </c>
      <c r="U23" s="688">
        <f>SUM('3 pr-(5-6)'!I55)</f>
        <v>1230854</v>
      </c>
      <c r="V23" s="691">
        <f t="shared" ref="V23" si="17">SUM(S23)</f>
        <v>54760.7</v>
      </c>
      <c r="W23" s="1539"/>
      <c r="X23" s="1540"/>
      <c r="Y23" s="1541"/>
      <c r="Z23" s="1541"/>
      <c r="AA23" s="1538"/>
    </row>
    <row r="24" spans="1:27" ht="17.25" thickTop="1" thickBot="1" x14ac:dyDescent="0.3">
      <c r="A24" s="675" t="str">
        <f>CONCATENATE('ketv. 7 '!H134)</f>
        <v>08.4.2-ESFA-R-630</v>
      </c>
      <c r="B24" s="675" t="s">
        <v>1219</v>
      </c>
      <c r="C24" s="676">
        <f>SUM('3 pr-(5-6)'!C57)</f>
        <v>0</v>
      </c>
      <c r="D24" s="677">
        <v>0</v>
      </c>
      <c r="E24" s="678">
        <f t="shared" si="2"/>
        <v>0</v>
      </c>
      <c r="F24" s="676">
        <f>SUM('3 pr-(5-6)'!D57)</f>
        <v>0</v>
      </c>
      <c r="G24" s="677">
        <f>SUM('ketv. 4 '!Q135)+D24</f>
        <v>0</v>
      </c>
      <c r="H24" s="678">
        <f t="shared" si="3"/>
        <v>0</v>
      </c>
      <c r="I24" s="676">
        <f>SUM('3 pr-(5-6)'!G57)</f>
        <v>845736.85</v>
      </c>
      <c r="J24" s="677">
        <f>SUM('ketv. 4 '!R135)+G24</f>
        <v>0</v>
      </c>
      <c r="K24" s="678">
        <f t="shared" si="4"/>
        <v>845736.85</v>
      </c>
      <c r="L24" s="676">
        <f>SUM('3 pr-(5-6)'!F57)</f>
        <v>845736.85</v>
      </c>
      <c r="M24" s="677">
        <f>SUM('ketv. 4 '!S135)+J24</f>
        <v>845736.85</v>
      </c>
      <c r="N24" s="678">
        <f t="shared" si="5"/>
        <v>0</v>
      </c>
      <c r="O24" s="676">
        <f>SUM('3 pr-(5-6)'!G57)</f>
        <v>845736.85</v>
      </c>
      <c r="P24" s="677">
        <f>SUM('ketv. 4 '!T135)+M24</f>
        <v>845736.85</v>
      </c>
      <c r="Q24" s="678">
        <f t="shared" si="6"/>
        <v>0</v>
      </c>
      <c r="R24" s="676">
        <f>SUM('3 pr-(5-6)'!H57)</f>
        <v>845736.85</v>
      </c>
      <c r="S24" s="677">
        <f>SUM('ketv. 4 '!U135)+P24</f>
        <v>845736.85</v>
      </c>
      <c r="T24" s="678">
        <f t="shared" si="7"/>
        <v>0</v>
      </c>
      <c r="U24" s="688">
        <f>SUM('3 pr-(5-6)'!I57)</f>
        <v>845736.85</v>
      </c>
      <c r="V24" s="691">
        <f t="shared" si="0"/>
        <v>845736.85</v>
      </c>
      <c r="W24" s="1539">
        <f t="shared" si="8"/>
        <v>0</v>
      </c>
      <c r="X24" s="1540">
        <v>869000</v>
      </c>
      <c r="Y24" s="1541">
        <f t="shared" si="10"/>
        <v>23263.150000000023</v>
      </c>
      <c r="Z24" s="1541">
        <f ca="1">SUM('3 pr-2'!AE135)</f>
        <v>0</v>
      </c>
      <c r="AA24" s="1538">
        <f t="shared" ca="1" si="9"/>
        <v>23263.150000000023</v>
      </c>
    </row>
    <row r="25" spans="1:27" ht="17.25" thickTop="1" thickBot="1" x14ac:dyDescent="0.3">
      <c r="A25" s="671" t="s">
        <v>154</v>
      </c>
      <c r="B25" s="671" t="s">
        <v>263</v>
      </c>
      <c r="C25" s="672">
        <f>SUM('3 pr-(5-6)'!C58)</f>
        <v>0</v>
      </c>
      <c r="D25" s="673">
        <v>0</v>
      </c>
      <c r="E25" s="674">
        <f t="shared" si="2"/>
        <v>0</v>
      </c>
      <c r="F25" s="672">
        <f>SUM('3 pr-(5-6)'!D58)</f>
        <v>0</v>
      </c>
      <c r="G25" s="673">
        <f>SUM('ketv. 4 '!Q148)+D25</f>
        <v>0</v>
      </c>
      <c r="H25" s="674">
        <f t="shared" si="3"/>
        <v>0</v>
      </c>
      <c r="I25" s="672">
        <f>SUM('3 pr-(5-6)'!G58)</f>
        <v>885761.15</v>
      </c>
      <c r="J25" s="673">
        <f>SUM('ketv. 4 '!R148)+G25</f>
        <v>885761.15</v>
      </c>
      <c r="K25" s="674">
        <f t="shared" si="4"/>
        <v>0</v>
      </c>
      <c r="L25" s="672">
        <f>SUM('3 pr-(5-6)'!F58)</f>
        <v>885761.15</v>
      </c>
      <c r="M25" s="673">
        <f>SUM('ketv. 4 '!S148)+J25</f>
        <v>885761.15</v>
      </c>
      <c r="N25" s="674">
        <f t="shared" si="5"/>
        <v>0</v>
      </c>
      <c r="O25" s="672">
        <f>SUM('3 pr-(5-6)'!G58)</f>
        <v>885761.15</v>
      </c>
      <c r="P25" s="673">
        <f>SUM('ketv. 4 '!T148)+M25</f>
        <v>885761.15</v>
      </c>
      <c r="Q25" s="674">
        <f t="shared" si="6"/>
        <v>0</v>
      </c>
      <c r="R25" s="672">
        <f>SUM('3 pr-(5-6)'!H58)</f>
        <v>885761.15</v>
      </c>
      <c r="S25" s="673">
        <f>SUM('ketv. 4 '!U148)+P25</f>
        <v>885761.15</v>
      </c>
      <c r="T25" s="674">
        <f t="shared" si="7"/>
        <v>0</v>
      </c>
      <c r="U25" s="687">
        <f>SUM('3 pr-(5-6)'!I58)</f>
        <v>885761.15</v>
      </c>
      <c r="V25" s="690">
        <f t="shared" si="0"/>
        <v>885761.15</v>
      </c>
      <c r="W25" s="1539">
        <f t="shared" si="8"/>
        <v>0</v>
      </c>
      <c r="X25" s="1540">
        <v>885762</v>
      </c>
      <c r="Y25" s="1541">
        <f t="shared" si="10"/>
        <v>0.84999999997671694</v>
      </c>
      <c r="Z25" s="1541">
        <f ca="1">SUM('3 pr-2'!AE148)</f>
        <v>0</v>
      </c>
      <c r="AA25" s="1538">
        <f t="shared" ca="1" si="9"/>
        <v>0.84999999997671694</v>
      </c>
    </row>
    <row r="26" spans="1:27" ht="17.25" thickTop="1" thickBot="1" x14ac:dyDescent="0.3">
      <c r="A26" s="671" t="s">
        <v>155</v>
      </c>
      <c r="B26" s="671" t="s">
        <v>264</v>
      </c>
      <c r="C26" s="672">
        <f>SUM('3 pr-(5-6)'!C59)</f>
        <v>0</v>
      </c>
      <c r="D26" s="673">
        <v>0</v>
      </c>
      <c r="E26" s="674">
        <f t="shared" si="2"/>
        <v>0</v>
      </c>
      <c r="F26" s="672">
        <f>SUM('3 pr-(5-6)'!D59)</f>
        <v>2520973.9900000002</v>
      </c>
      <c r="G26" s="673">
        <f>SUM('ketv. 4 '!Q154)+D26</f>
        <v>2520973.9900000002</v>
      </c>
      <c r="H26" s="674">
        <f t="shared" si="3"/>
        <v>0</v>
      </c>
      <c r="I26" s="672">
        <f>SUM('3 pr-(5-6)'!G59)</f>
        <v>2520973.9900000002</v>
      </c>
      <c r="J26" s="673">
        <f>SUM('ketv. 4 '!R154)+G26</f>
        <v>2520973.9900000002</v>
      </c>
      <c r="K26" s="674">
        <f t="shared" si="4"/>
        <v>0</v>
      </c>
      <c r="L26" s="672">
        <f>SUM('3 pr-(5-6)'!F59)</f>
        <v>2520973.9900000002</v>
      </c>
      <c r="M26" s="673">
        <f>SUM('ketv. 4 '!S154)+J26</f>
        <v>2520973.9900000002</v>
      </c>
      <c r="N26" s="674">
        <f t="shared" si="5"/>
        <v>0</v>
      </c>
      <c r="O26" s="672">
        <f>SUM('3 pr-(5-6)'!G59)</f>
        <v>2520973.9900000002</v>
      </c>
      <c r="P26" s="673">
        <f>SUM('ketv. 4 '!T154)+M26</f>
        <v>2520973.9900000002</v>
      </c>
      <c r="Q26" s="674">
        <f t="shared" si="6"/>
        <v>0</v>
      </c>
      <c r="R26" s="672">
        <f>SUM('3 pr-(5-6)'!H59)</f>
        <v>2520973.9900000002</v>
      </c>
      <c r="S26" s="673">
        <f>SUM('ketv. 4 '!U154)+P26</f>
        <v>2520973.9900000002</v>
      </c>
      <c r="T26" s="674">
        <f t="shared" si="7"/>
        <v>0</v>
      </c>
      <c r="U26" s="687">
        <f>SUM('3 pr-(5-6)'!I59)</f>
        <v>2520973.9900000002</v>
      </c>
      <c r="V26" s="690">
        <f t="shared" si="0"/>
        <v>2520973.9900000002</v>
      </c>
      <c r="W26" s="1539">
        <f t="shared" si="8"/>
        <v>0</v>
      </c>
      <c r="X26" s="1540">
        <v>2520974</v>
      </c>
      <c r="Y26" s="1541">
        <f t="shared" si="10"/>
        <v>9.9999997764825821E-3</v>
      </c>
      <c r="Z26" s="1541">
        <f ca="1">SUM('3 pr-2'!AE154)</f>
        <v>0.35000000000582077</v>
      </c>
      <c r="AA26" s="1538">
        <f t="shared" ca="1" si="9"/>
        <v>0.35999999978230335</v>
      </c>
    </row>
    <row r="27" spans="1:27" ht="33" thickTop="1" thickBot="1" x14ac:dyDescent="0.3">
      <c r="A27" s="671" t="s">
        <v>156</v>
      </c>
      <c r="B27" s="671" t="s">
        <v>265</v>
      </c>
      <c r="C27" s="672">
        <f>SUM('3 pr-(5-6)'!C60)</f>
        <v>0</v>
      </c>
      <c r="D27" s="673">
        <v>0</v>
      </c>
      <c r="E27" s="674">
        <f t="shared" si="2"/>
        <v>0</v>
      </c>
      <c r="F27" s="672">
        <f>SUM('3 pr-(5-6)'!D60)</f>
        <v>0</v>
      </c>
      <c r="G27" s="673">
        <f>SUM('ketv. 4 '!Q161)+D27</f>
        <v>0</v>
      </c>
      <c r="H27" s="674">
        <f t="shared" si="3"/>
        <v>0</v>
      </c>
      <c r="I27" s="672">
        <f>SUM('3 pr-(5-6)'!G60)</f>
        <v>940807.84000000008</v>
      </c>
      <c r="J27" s="673">
        <f>SUM('ketv. 4 '!R161)+G27</f>
        <v>0</v>
      </c>
      <c r="K27" s="674">
        <f t="shared" si="4"/>
        <v>940807.84000000008</v>
      </c>
      <c r="L27" s="672">
        <f>SUM('3 pr-(5-6)'!F60)</f>
        <v>770807.84000000008</v>
      </c>
      <c r="M27" s="673">
        <f>SUM('ketv. 4 '!S161)+J27</f>
        <v>770807.84000000008</v>
      </c>
      <c r="N27" s="674">
        <f t="shared" si="5"/>
        <v>0</v>
      </c>
      <c r="O27" s="672">
        <f>SUM('3 pr-(5-6)'!G60)</f>
        <v>940807.84000000008</v>
      </c>
      <c r="P27" s="673">
        <f>SUM('ketv. 4 '!T161)+M27</f>
        <v>770807.84000000008</v>
      </c>
      <c r="Q27" s="674">
        <f t="shared" si="6"/>
        <v>170000</v>
      </c>
      <c r="R27" s="672">
        <f>SUM('3 pr-(5-6)'!H60)</f>
        <v>940807.84000000008</v>
      </c>
      <c r="S27" s="673">
        <f>SUM('ketv. 4 '!U161)+P27</f>
        <v>770807.84000000008</v>
      </c>
      <c r="T27" s="674">
        <f t="shared" si="7"/>
        <v>170000</v>
      </c>
      <c r="U27" s="687">
        <f>SUM('3 pr-(5-6)'!I60)</f>
        <v>940807.84000000008</v>
      </c>
      <c r="V27" s="690">
        <f t="shared" si="0"/>
        <v>770807.84000000008</v>
      </c>
      <c r="W27" s="1539">
        <f t="shared" si="8"/>
        <v>170000</v>
      </c>
      <c r="X27" s="1540">
        <v>982761</v>
      </c>
      <c r="Y27" s="1541">
        <f t="shared" si="10"/>
        <v>41953.159999999916</v>
      </c>
      <c r="Z27" s="1541">
        <f ca="1">SUM('3 pr-2'!AE161)</f>
        <v>0</v>
      </c>
      <c r="AA27" s="1538">
        <f t="shared" ca="1" si="9"/>
        <v>41953.159999999916</v>
      </c>
    </row>
    <row r="28" spans="1:27" ht="17.25" thickTop="1" thickBot="1" x14ac:dyDescent="0.3">
      <c r="A28" s="671" t="s">
        <v>191</v>
      </c>
      <c r="B28" s="671" t="s">
        <v>266</v>
      </c>
      <c r="C28" s="672">
        <f>SUM('3 pr-(5-6)'!C61)</f>
        <v>0</v>
      </c>
      <c r="D28" s="673">
        <v>0</v>
      </c>
      <c r="E28" s="674">
        <f t="shared" si="2"/>
        <v>0</v>
      </c>
      <c r="F28" s="672">
        <f>SUM('3 pr-(5-6)'!D61)</f>
        <v>0</v>
      </c>
      <c r="G28" s="673">
        <f>SUM('ketv. 4 '!Q170)+D28</f>
        <v>0</v>
      </c>
      <c r="H28" s="674">
        <f t="shared" si="3"/>
        <v>0</v>
      </c>
      <c r="I28" s="672">
        <f>SUM('3 pr-(5-6)'!G61)</f>
        <v>3352807.77</v>
      </c>
      <c r="J28" s="673">
        <f>SUM('ketv. 4 '!R170)+G28</f>
        <v>3352807.77</v>
      </c>
      <c r="K28" s="674">
        <f t="shared" si="4"/>
        <v>0</v>
      </c>
      <c r="L28" s="672">
        <f>SUM('3 pr-(5-6)'!F61)</f>
        <v>3352807.77</v>
      </c>
      <c r="M28" s="673">
        <f>SUM('ketv. 4 '!S170)+J28</f>
        <v>3352807.77</v>
      </c>
      <c r="N28" s="674">
        <f t="shared" si="5"/>
        <v>0</v>
      </c>
      <c r="O28" s="672">
        <f>SUM('3 pr-(5-6)'!G61)</f>
        <v>3352807.77</v>
      </c>
      <c r="P28" s="673">
        <f>SUM('ketv. 4 '!T170)+M28</f>
        <v>3352807.77</v>
      </c>
      <c r="Q28" s="674">
        <f t="shared" si="6"/>
        <v>0</v>
      </c>
      <c r="R28" s="672">
        <f>SUM('3 pr-(5-6)'!H61)</f>
        <v>3352807.77</v>
      </c>
      <c r="S28" s="673">
        <f>SUM('ketv. 4 '!U170)+P28</f>
        <v>3352807.77</v>
      </c>
      <c r="T28" s="674">
        <f t="shared" si="7"/>
        <v>0</v>
      </c>
      <c r="U28" s="687">
        <f>SUM('3 pr-(5-6)'!I61)</f>
        <v>3352807.77</v>
      </c>
      <c r="V28" s="690">
        <f t="shared" si="0"/>
        <v>3352807.77</v>
      </c>
      <c r="W28" s="1539">
        <f t="shared" si="8"/>
        <v>0</v>
      </c>
      <c r="X28" s="1540">
        <v>3352807.77</v>
      </c>
      <c r="Y28" s="1541">
        <f t="shared" si="10"/>
        <v>0</v>
      </c>
      <c r="Z28" s="1541">
        <f ca="1">SUM('3 pr-2'!AE170)</f>
        <v>0</v>
      </c>
      <c r="AA28" s="1538">
        <f t="shared" ca="1" si="9"/>
        <v>0</v>
      </c>
    </row>
    <row r="29" spans="1:27" ht="17.25" thickTop="1" thickBot="1" x14ac:dyDescent="0.3">
      <c r="A29" s="671" t="s">
        <v>193</v>
      </c>
      <c r="B29" s="671" t="s">
        <v>267</v>
      </c>
      <c r="C29" s="672">
        <f>SUM('3 pr-(5-6)'!C62)</f>
        <v>0</v>
      </c>
      <c r="D29" s="673">
        <v>0</v>
      </c>
      <c r="E29" s="674">
        <f t="shared" si="2"/>
        <v>0</v>
      </c>
      <c r="F29" s="672">
        <f>SUM('3 pr-(5-6)'!D62)</f>
        <v>0</v>
      </c>
      <c r="G29" s="673">
        <f>SUM('ketv. 4 '!Q173)+D29</f>
        <v>0</v>
      </c>
      <c r="H29" s="674">
        <f t="shared" si="3"/>
        <v>0</v>
      </c>
      <c r="I29" s="672">
        <f>SUM('3 pr-(5-6)'!G62)</f>
        <v>2131627.75</v>
      </c>
      <c r="J29" s="673">
        <f>SUM('ketv. 4 '!R173)+G29</f>
        <v>831922.88</v>
      </c>
      <c r="K29" s="674">
        <f t="shared" si="4"/>
        <v>1299704.8700000001</v>
      </c>
      <c r="L29" s="672">
        <f>SUM('3 pr-(5-6)'!F62)</f>
        <v>1457979.88</v>
      </c>
      <c r="M29" s="673">
        <f>SUM('ketv. 4 '!S173)+J29</f>
        <v>1457979.88</v>
      </c>
      <c r="N29" s="674">
        <f t="shared" si="5"/>
        <v>0</v>
      </c>
      <c r="O29" s="672">
        <f>SUM('3 pr-(5-6)'!G62)</f>
        <v>2131627.75</v>
      </c>
      <c r="P29" s="673">
        <f>SUM('ketv. 4 '!T173)+M29</f>
        <v>1457979.88</v>
      </c>
      <c r="Q29" s="674">
        <f t="shared" si="6"/>
        <v>673647.87000000011</v>
      </c>
      <c r="R29" s="672">
        <f>SUM('3 pr-(5-6)'!H62)</f>
        <v>2131627.75</v>
      </c>
      <c r="S29" s="673">
        <f>SUM('ketv. 4 '!U173)+P29</f>
        <v>1457979.88</v>
      </c>
      <c r="T29" s="674">
        <f t="shared" si="7"/>
        <v>673647.87000000011</v>
      </c>
      <c r="U29" s="687">
        <f>SUM('3 pr-(5-6)'!I62)</f>
        <v>2131627.75</v>
      </c>
      <c r="V29" s="692">
        <f t="shared" si="0"/>
        <v>1457979.88</v>
      </c>
      <c r="W29" s="1539">
        <f t="shared" si="8"/>
        <v>673647.87000000011</v>
      </c>
      <c r="X29" s="1540">
        <v>2131629</v>
      </c>
      <c r="Y29" s="1541">
        <f t="shared" si="10"/>
        <v>1.25</v>
      </c>
      <c r="Z29" s="1541">
        <f ca="1">SUM('3 pr-2'!AE173)</f>
        <v>390032.4</v>
      </c>
      <c r="AA29" s="1538">
        <f t="shared" ca="1" si="9"/>
        <v>390033.65</v>
      </c>
    </row>
  </sheetData>
  <mergeCells count="4">
    <mergeCell ref="A2:A3"/>
    <mergeCell ref="B2:B3"/>
    <mergeCell ref="C2:W2"/>
    <mergeCell ref="A1:V1"/>
  </mergeCells>
  <pageMargins left="0.23622047244094491" right="0.23622047244094491"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Y188"/>
  <sheetViews>
    <sheetView showGridLines="0" showRuler="0" topLeftCell="D1" zoomScale="95" zoomScaleNormal="95" zoomScalePageLayoutView="85" workbookViewId="0">
      <pane ySplit="3450" topLeftCell="A136" activePane="bottomLeft"/>
      <selection activeCell="D4" sqref="D4"/>
      <selection pane="bottomLeft" activeCell="AA113" sqref="AA113"/>
    </sheetView>
  </sheetViews>
  <sheetFormatPr defaultColWidth="9.140625" defaultRowHeight="15" x14ac:dyDescent="0.25"/>
  <cols>
    <col min="1" max="1" width="7" style="56" customWidth="1"/>
    <col min="2" max="2" width="12" style="56" customWidth="1"/>
    <col min="3" max="3" width="14.28515625" style="56" hidden="1" customWidth="1"/>
    <col min="4" max="4" width="35.85546875" style="56" customWidth="1"/>
    <col min="5" max="5" width="18.5703125" style="56" customWidth="1"/>
    <col min="6" max="6" width="19" style="56" customWidth="1"/>
    <col min="7" max="7" width="14.7109375" style="56" customWidth="1"/>
    <col min="8" max="8" width="18.140625" style="56" customWidth="1"/>
    <col min="9" max="9" width="5.42578125" style="56" customWidth="1"/>
    <col min="10" max="10" width="5.85546875" style="794" customWidth="1"/>
    <col min="11" max="11" width="6.7109375" style="794" bestFit="1" customWidth="1"/>
    <col min="12" max="12" width="18.140625" style="56" bestFit="1" customWidth="1"/>
    <col min="13" max="14" width="15.42578125" style="56" hidden="1" customWidth="1"/>
    <col min="15" max="15" width="16.5703125" style="56" bestFit="1" customWidth="1"/>
    <col min="16" max="17" width="13.85546875" style="56" hidden="1" customWidth="1"/>
    <col min="18" max="18" width="16.42578125" style="56" bestFit="1" customWidth="1"/>
    <col min="19" max="20" width="12.85546875" style="56" hidden="1" customWidth="1"/>
    <col min="21" max="21" width="16.42578125" style="56" bestFit="1" customWidth="1"/>
    <col min="22" max="23" width="12.7109375" style="56" hidden="1" customWidth="1"/>
    <col min="24" max="24" width="14.28515625" style="56" bestFit="1" customWidth="1"/>
    <col min="25" max="26" width="9.28515625" style="56" hidden="1" customWidth="1"/>
    <col min="27" max="27" width="18.140625" style="56" bestFit="1" customWidth="1"/>
    <col min="28" max="28" width="12.42578125" style="56" customWidth="1"/>
    <col min="29" max="29" width="10.140625" style="56" hidden="1" customWidth="1"/>
    <col min="30" max="30" width="12.5703125" style="56" hidden="1" customWidth="1"/>
    <col min="31" max="31" width="12.7109375" style="56" hidden="1" customWidth="1"/>
    <col min="32" max="32" width="15.42578125" style="56" hidden="1" customWidth="1"/>
    <col min="33" max="34" width="10" style="56" bestFit="1" customWidth="1"/>
    <col min="35" max="35" width="10" style="56" customWidth="1"/>
    <col min="36" max="36" width="11.28515625" style="56" hidden="1" customWidth="1"/>
    <col min="37" max="37" width="9.7109375" style="795" customWidth="1"/>
    <col min="38" max="38" width="10.7109375" style="56" hidden="1" customWidth="1"/>
    <col min="39" max="42" width="9.7109375" style="56" hidden="1" customWidth="1"/>
    <col min="43" max="43" width="20.7109375" style="56" hidden="1" customWidth="1"/>
    <col min="44" max="44" width="13.85546875" style="56" hidden="1" customWidth="1"/>
    <col min="45" max="45" width="25.140625" style="56" hidden="1" customWidth="1"/>
    <col min="46" max="46" width="9.7109375" style="56" hidden="1" customWidth="1"/>
    <col min="47" max="48" width="10.42578125" style="56" hidden="1" customWidth="1"/>
    <col min="49" max="49" width="9.140625" style="56" customWidth="1"/>
    <col min="50" max="50" width="9.5703125" style="56" bestFit="1" customWidth="1"/>
    <col min="51" max="16384" width="9.140625" style="56"/>
  </cols>
  <sheetData>
    <row r="2" spans="1:48" ht="16.5" thickBot="1" x14ac:dyDescent="0.3">
      <c r="A2" s="792" t="s">
        <v>73</v>
      </c>
      <c r="B2" s="792"/>
      <c r="C2" s="793"/>
    </row>
    <row r="3" spans="1:48" ht="17.25" customHeight="1" thickTop="1" thickBot="1" x14ac:dyDescent="0.3">
      <c r="A3" s="1864" t="s">
        <v>46</v>
      </c>
      <c r="B3" s="1865"/>
      <c r="C3" s="1866"/>
      <c r="D3" s="1865"/>
      <c r="E3" s="1865"/>
      <c r="F3" s="1865"/>
      <c r="G3" s="1865"/>
      <c r="H3" s="1865"/>
      <c r="I3" s="1865"/>
      <c r="J3" s="1865"/>
      <c r="K3" s="1867"/>
      <c r="L3" s="1868" t="s">
        <v>276</v>
      </c>
      <c r="M3" s="1872"/>
      <c r="N3" s="1872"/>
      <c r="O3" s="1872"/>
      <c r="P3" s="1872"/>
      <c r="Q3" s="1872"/>
      <c r="R3" s="1872"/>
      <c r="S3" s="1872"/>
      <c r="T3" s="1872"/>
      <c r="U3" s="1872"/>
      <c r="V3" s="1872"/>
      <c r="W3" s="1872"/>
      <c r="X3" s="1872"/>
      <c r="Y3" s="1872"/>
      <c r="Z3" s="1872"/>
      <c r="AA3" s="1872"/>
      <c r="AB3" s="1873"/>
      <c r="AC3" s="796"/>
      <c r="AD3" s="1868"/>
      <c r="AE3" s="1869"/>
      <c r="AF3" s="1868" t="s">
        <v>48</v>
      </c>
      <c r="AG3" s="1870"/>
      <c r="AH3" s="1870"/>
      <c r="AI3" s="1870"/>
      <c r="AJ3" s="1870"/>
      <c r="AK3" s="1870"/>
      <c r="AL3" s="1870"/>
      <c r="AM3" s="1870"/>
      <c r="AN3" s="1870"/>
      <c r="AO3" s="1870"/>
      <c r="AP3" s="1871"/>
      <c r="AQ3" s="1862" t="s">
        <v>157</v>
      </c>
      <c r="AR3" s="1862" t="s">
        <v>158</v>
      </c>
      <c r="AS3" s="1860" t="s">
        <v>174</v>
      </c>
    </row>
    <row r="4" spans="1:48" ht="84.75" customHeight="1" thickBot="1" x14ac:dyDescent="0.3">
      <c r="A4" s="797" t="s">
        <v>7</v>
      </c>
      <c r="B4" s="798" t="s">
        <v>1263</v>
      </c>
      <c r="C4" s="1015" t="str">
        <f>CONCATENATE('ketv. 2'!B3)</f>
        <v>Projekto kodas</v>
      </c>
      <c r="D4" s="800" t="s">
        <v>49</v>
      </c>
      <c r="E4" s="800" t="s">
        <v>1797</v>
      </c>
      <c r="F4" s="800" t="s">
        <v>51</v>
      </c>
      <c r="G4" s="800" t="s">
        <v>52</v>
      </c>
      <c r="H4" s="801" t="s">
        <v>53</v>
      </c>
      <c r="I4" s="800" t="s">
        <v>1268</v>
      </c>
      <c r="J4" s="800" t="s">
        <v>1269</v>
      </c>
      <c r="K4" s="800" t="s">
        <v>56</v>
      </c>
      <c r="L4" s="800" t="s">
        <v>57</v>
      </c>
      <c r="M4" s="800" t="s">
        <v>787</v>
      </c>
      <c r="N4" s="800" t="s">
        <v>788</v>
      </c>
      <c r="O4" s="800" t="s">
        <v>58</v>
      </c>
      <c r="P4" s="800" t="s">
        <v>785</v>
      </c>
      <c r="Q4" s="800" t="s">
        <v>786</v>
      </c>
      <c r="R4" s="800" t="s">
        <v>59</v>
      </c>
      <c r="S4" s="800" t="s">
        <v>783</v>
      </c>
      <c r="T4" s="800" t="s">
        <v>784</v>
      </c>
      <c r="U4" s="800" t="s">
        <v>60</v>
      </c>
      <c r="V4" s="800" t="s">
        <v>781</v>
      </c>
      <c r="W4" s="800" t="s">
        <v>782</v>
      </c>
      <c r="X4" s="800" t="s">
        <v>61</v>
      </c>
      <c r="Y4" s="800" t="s">
        <v>779</v>
      </c>
      <c r="Z4" s="800" t="s">
        <v>780</v>
      </c>
      <c r="AA4" s="800" t="s">
        <v>10</v>
      </c>
      <c r="AB4" s="800" t="s">
        <v>1806</v>
      </c>
      <c r="AC4" s="800" t="s">
        <v>1416</v>
      </c>
      <c r="AD4" s="800" t="s">
        <v>789</v>
      </c>
      <c r="AE4" s="800" t="s">
        <v>790</v>
      </c>
      <c r="AF4" s="800" t="s">
        <v>1145</v>
      </c>
      <c r="AG4" s="800" t="s">
        <v>62</v>
      </c>
      <c r="AH4" s="800" t="s">
        <v>63</v>
      </c>
      <c r="AI4" s="800" t="s">
        <v>397</v>
      </c>
      <c r="AJ4" s="802" t="s">
        <v>695</v>
      </c>
      <c r="AK4" s="803" t="s">
        <v>65</v>
      </c>
      <c r="AL4" s="804" t="s">
        <v>613</v>
      </c>
      <c r="AM4" s="804" t="s">
        <v>613</v>
      </c>
      <c r="AN4" s="804" t="s">
        <v>613</v>
      </c>
      <c r="AO4" s="804" t="s">
        <v>613</v>
      </c>
      <c r="AP4" s="804" t="s">
        <v>613</v>
      </c>
      <c r="AQ4" s="1863"/>
      <c r="AR4" s="1863"/>
      <c r="AS4" s="1861"/>
    </row>
    <row r="5" spans="1:48" ht="16.5" thickTop="1" thickBot="1" x14ac:dyDescent="0.3">
      <c r="A5" s="805"/>
      <c r="B5" s="805"/>
      <c r="C5" s="1016" t="str">
        <f>CONCATENATE('ketv. 2'!B4)</f>
        <v/>
      </c>
      <c r="D5" s="807"/>
      <c r="E5" s="807"/>
      <c r="F5" s="807"/>
      <c r="G5" s="807"/>
      <c r="H5" s="807"/>
      <c r="I5" s="807"/>
      <c r="J5" s="808"/>
      <c r="K5" s="808"/>
      <c r="L5" s="807"/>
      <c r="M5" s="807"/>
      <c r="N5" s="807"/>
      <c r="O5" s="807"/>
      <c r="P5" s="807"/>
      <c r="Q5" s="807"/>
      <c r="R5" s="807"/>
      <c r="S5" s="807"/>
      <c r="T5" s="807"/>
      <c r="U5" s="807"/>
      <c r="V5" s="807"/>
      <c r="W5" s="807"/>
      <c r="X5" s="807"/>
      <c r="Y5" s="807"/>
      <c r="Z5" s="807"/>
      <c r="AA5" s="807"/>
      <c r="AB5" s="807"/>
      <c r="AC5" s="807"/>
      <c r="AD5" s="807"/>
      <c r="AE5" s="807"/>
      <c r="AF5" s="807"/>
      <c r="AG5" s="807"/>
      <c r="AH5" s="807"/>
      <c r="AI5" s="807"/>
      <c r="AJ5" s="807" t="s">
        <v>694</v>
      </c>
      <c r="AK5" s="809"/>
      <c r="AL5" s="810">
        <v>2016</v>
      </c>
      <c r="AM5" s="811">
        <v>2017</v>
      </c>
      <c r="AN5" s="812">
        <v>2018</v>
      </c>
      <c r="AO5" s="811">
        <v>2019</v>
      </c>
      <c r="AP5" s="811">
        <v>2020</v>
      </c>
      <c r="AQ5" s="55"/>
      <c r="AR5" s="55"/>
      <c r="AS5" s="55"/>
    </row>
    <row r="6" spans="1:48" ht="16.5" thickTop="1" thickBot="1" x14ac:dyDescent="0.3">
      <c r="A6" s="805"/>
      <c r="B6" s="805"/>
      <c r="C6" s="1017" t="str">
        <f>CONCATENATE('ketv. 2'!B5)</f>
        <v/>
      </c>
      <c r="D6" s="813"/>
      <c r="E6" s="813"/>
      <c r="F6" s="813"/>
      <c r="G6" s="813"/>
      <c r="H6" s="813"/>
      <c r="I6" s="813"/>
      <c r="J6" s="814"/>
      <c r="K6" s="808"/>
      <c r="L6" s="807"/>
      <c r="M6" s="807"/>
      <c r="N6" s="807"/>
      <c r="O6" s="807"/>
      <c r="P6" s="807"/>
      <c r="Q6" s="807"/>
      <c r="R6" s="807"/>
      <c r="S6" s="807"/>
      <c r="T6" s="807"/>
      <c r="U6" s="807"/>
      <c r="V6" s="807"/>
      <c r="W6" s="807"/>
      <c r="X6" s="807"/>
      <c r="Y6" s="807"/>
      <c r="Z6" s="807"/>
      <c r="AA6" s="807"/>
      <c r="AB6" s="807"/>
      <c r="AC6" s="807"/>
      <c r="AD6" s="807"/>
      <c r="AE6" s="807"/>
      <c r="AF6" s="807"/>
      <c r="AG6" s="807"/>
      <c r="AH6" s="807"/>
      <c r="AI6" s="807"/>
      <c r="AJ6" s="807"/>
      <c r="AK6" s="809"/>
      <c r="AL6" s="810"/>
      <c r="AM6" s="811"/>
      <c r="AN6" s="811"/>
      <c r="AO6" s="811"/>
      <c r="AP6" s="811"/>
      <c r="AQ6" s="55"/>
      <c r="AR6" s="55"/>
      <c r="AS6" s="55"/>
    </row>
    <row r="7" spans="1:48" ht="55.5" customHeight="1" thickBot="1" x14ac:dyDescent="0.3">
      <c r="A7" s="815" t="s">
        <v>11</v>
      </c>
      <c r="B7" s="1838" t="s">
        <v>1491</v>
      </c>
      <c r="C7" s="1839"/>
      <c r="D7" s="1839"/>
      <c r="E7" s="1839"/>
      <c r="F7" s="1839"/>
      <c r="G7" s="1839"/>
      <c r="H7" s="1839"/>
      <c r="I7" s="1839"/>
      <c r="J7" s="1839"/>
      <c r="K7" s="1840"/>
      <c r="L7" s="1265">
        <f t="shared" ref="L7:AB7" si="0">SUM(L8+L73)</f>
        <v>48154576.687058821</v>
      </c>
      <c r="M7" s="1265"/>
      <c r="N7" s="1265"/>
      <c r="O7" s="1265">
        <f t="shared" si="0"/>
        <v>5510780.6070588231</v>
      </c>
      <c r="P7" s="1265"/>
      <c r="Q7" s="1265"/>
      <c r="R7" s="1265">
        <f t="shared" si="0"/>
        <v>1255396.17</v>
      </c>
      <c r="S7" s="1265"/>
      <c r="T7" s="1265"/>
      <c r="U7" s="1265">
        <f t="shared" si="0"/>
        <v>8480639.0100000016</v>
      </c>
      <c r="V7" s="1265"/>
      <c r="W7" s="1265"/>
      <c r="X7" s="1783">
        <f t="shared" si="0"/>
        <v>415060.82</v>
      </c>
      <c r="Y7" s="1265"/>
      <c r="Z7" s="1265"/>
      <c r="AA7" s="1265">
        <f t="shared" si="0"/>
        <v>32492700.080000002</v>
      </c>
      <c r="AB7" s="1265">
        <f t="shared" si="0"/>
        <v>0</v>
      </c>
      <c r="AC7" s="816"/>
      <c r="AD7" s="816"/>
      <c r="AE7" s="816"/>
      <c r="AF7" s="816"/>
      <c r="AG7" s="376" t="s">
        <v>66</v>
      </c>
      <c r="AH7" s="306"/>
      <c r="AI7" s="306"/>
      <c r="AJ7" s="817"/>
      <c r="AK7" s="818"/>
      <c r="AL7" s="306"/>
      <c r="AM7" s="819"/>
      <c r="AN7" s="819"/>
      <c r="AO7" s="819"/>
      <c r="AP7" s="819"/>
      <c r="AQ7" s="55">
        <f>SUM(AQ8+AQ73)</f>
        <v>32182686.071224812</v>
      </c>
      <c r="AR7" s="55">
        <f>SUM(AR8+AR73)</f>
        <v>38619223.28546977</v>
      </c>
      <c r="AS7" s="55">
        <f>SUM(AS8+AS73)</f>
        <v>-266971.70877519023</v>
      </c>
      <c r="AT7" s="820"/>
      <c r="AU7" s="821"/>
      <c r="AV7" s="821"/>
    </row>
    <row r="8" spans="1:48" ht="46.5" customHeight="1" thickBot="1" x14ac:dyDescent="0.3">
      <c r="A8" s="994" t="s">
        <v>12</v>
      </c>
      <c r="B8" s="1853" t="s">
        <v>692</v>
      </c>
      <c r="C8" s="1854"/>
      <c r="D8" s="1854"/>
      <c r="E8" s="1854"/>
      <c r="F8" s="1854"/>
      <c r="G8" s="1854"/>
      <c r="H8" s="1854"/>
      <c r="I8" s="1854"/>
      <c r="J8" s="1854"/>
      <c r="K8" s="1855"/>
      <c r="L8" s="1266">
        <f t="shared" ref="L8:AB8" si="1">SUM(L9+L33+L39+L46+L50+L56+L58+L62+L67)</f>
        <v>38952825.067058824</v>
      </c>
      <c r="M8" s="1266"/>
      <c r="N8" s="1266"/>
      <c r="O8" s="1266">
        <f t="shared" si="1"/>
        <v>3133869.217058823</v>
      </c>
      <c r="P8" s="1266"/>
      <c r="Q8" s="1266"/>
      <c r="R8" s="1266">
        <f t="shared" si="1"/>
        <v>1255396.17</v>
      </c>
      <c r="S8" s="1266"/>
      <c r="T8" s="1266"/>
      <c r="U8" s="1266">
        <f t="shared" si="1"/>
        <v>8057947.0100000007</v>
      </c>
      <c r="V8" s="1266"/>
      <c r="W8" s="1266"/>
      <c r="X8" s="1782">
        <f t="shared" si="1"/>
        <v>352400.82</v>
      </c>
      <c r="Y8" s="1266"/>
      <c r="Z8" s="1266"/>
      <c r="AA8" s="1266">
        <f t="shared" si="1"/>
        <v>26153211.850000001</v>
      </c>
      <c r="AB8" s="1266">
        <f t="shared" si="1"/>
        <v>0</v>
      </c>
      <c r="AC8" s="823"/>
      <c r="AD8" s="823"/>
      <c r="AE8" s="823"/>
      <c r="AF8" s="823"/>
      <c r="AG8" s="376" t="s">
        <v>66</v>
      </c>
      <c r="AH8" s="306"/>
      <c r="AI8" s="306"/>
      <c r="AJ8" s="817"/>
      <c r="AK8" s="818"/>
      <c r="AL8" s="306"/>
      <c r="AM8" s="819"/>
      <c r="AN8" s="819"/>
      <c r="AO8" s="819"/>
      <c r="AP8" s="819"/>
      <c r="AQ8" s="55">
        <f>SUM(AQ9+AQ33+AQ39+AQ46+AQ50+AQ56+AQ58+AQ62+AQ67)</f>
        <v>26071647.111224812</v>
      </c>
      <c r="AR8" s="55">
        <f>SUM(AR9+AR33+AR39+AR46+AR50+AR56+AR58+AR62+AR67)</f>
        <v>31285976.53346977</v>
      </c>
      <c r="AS8" s="55">
        <f>SUM(AS9+AS33+AS39+AS46+AS50+AS56+AS58+AS62+AS67)</f>
        <v>-81564.738775190199</v>
      </c>
      <c r="AU8" s="821"/>
      <c r="AV8" s="821"/>
    </row>
    <row r="9" spans="1:48" ht="37.5" customHeight="1" thickBot="1" x14ac:dyDescent="0.3">
      <c r="A9" s="824" t="s">
        <v>67</v>
      </c>
      <c r="B9" s="1852" t="s">
        <v>1487</v>
      </c>
      <c r="C9" s="1856"/>
      <c r="D9" s="1856"/>
      <c r="E9" s="1856"/>
      <c r="F9" s="1856"/>
      <c r="G9" s="1856"/>
      <c r="H9" s="1856"/>
      <c r="I9" s="1856"/>
      <c r="J9" s="1856"/>
      <c r="K9" s="1857"/>
      <c r="L9" s="1267">
        <f>SUM(L10:L32)</f>
        <v>4207747</v>
      </c>
      <c r="M9" s="1267">
        <f t="shared" ref="M9:N9" si="2">SUM(M10:M32)</f>
        <v>4288526.3147111814</v>
      </c>
      <c r="N9" s="1267">
        <f t="shared" si="2"/>
        <v>-388299.3147111818</v>
      </c>
      <c r="O9" s="1267">
        <f t="shared" ref="O9:AA9" si="3">SUM(O10:O32)</f>
        <v>908274</v>
      </c>
      <c r="P9" s="1267">
        <f t="shared" si="3"/>
        <v>1257450.7717680482</v>
      </c>
      <c r="Q9" s="1267">
        <f t="shared" si="3"/>
        <v>-410680.77176804817</v>
      </c>
      <c r="R9" s="1267">
        <f t="shared" si="3"/>
        <v>494922</v>
      </c>
      <c r="S9" s="1213">
        <f t="shared" ref="S9:T9" si="4">SUM(S10:S32)</f>
        <v>453496.64999999991</v>
      </c>
      <c r="T9" s="1213">
        <f t="shared" si="4"/>
        <v>4522.3499999999967</v>
      </c>
      <c r="U9" s="1213">
        <f t="shared" si="3"/>
        <v>0</v>
      </c>
      <c r="V9" s="1213">
        <f t="shared" si="3"/>
        <v>0</v>
      </c>
      <c r="W9" s="1213">
        <f t="shared" si="3"/>
        <v>0</v>
      </c>
      <c r="X9" s="1213">
        <f t="shared" si="3"/>
        <v>0</v>
      </c>
      <c r="Y9" s="1213">
        <f t="shared" si="3"/>
        <v>0</v>
      </c>
      <c r="Z9" s="1213">
        <f t="shared" si="3"/>
        <v>0</v>
      </c>
      <c r="AA9" s="1268">
        <f t="shared" si="3"/>
        <v>2804551</v>
      </c>
      <c r="AB9" s="1375">
        <f t="shared" ref="AB9" si="5">SUM(AB10:AB32)</f>
        <v>0</v>
      </c>
      <c r="AC9" s="825"/>
      <c r="AD9" s="825">
        <f>SUM(AD10:AD32)</f>
        <v>2569814.3499999996</v>
      </c>
      <c r="AE9" s="825">
        <f>SUM(AE10:AE32)</f>
        <v>25623.650000000023</v>
      </c>
      <c r="AF9" s="825"/>
      <c r="AG9" s="826" t="s">
        <v>66</v>
      </c>
      <c r="AH9" s="826"/>
      <c r="AI9" s="826"/>
      <c r="AJ9" s="334"/>
      <c r="AK9" s="827"/>
      <c r="AL9" s="828">
        <f>SUM(AL10:AL32)</f>
        <v>0</v>
      </c>
      <c r="AM9" s="828">
        <f t="shared" ref="AM9:AP9" si="6">SUM(AM10:AM32)</f>
        <v>0</v>
      </c>
      <c r="AN9" s="828">
        <f t="shared" si="6"/>
        <v>2804551</v>
      </c>
      <c r="AO9" s="828">
        <f t="shared" si="6"/>
        <v>0</v>
      </c>
      <c r="AP9" s="828">
        <f t="shared" si="6"/>
        <v>0</v>
      </c>
      <c r="AQ9" s="486">
        <f>SUM('IV-2 amsa'!X7+'IV-2 arsa'!W7+'IV-2 dsa'!W7+'IV-2 lrsa'!X7+'IV-2 vrsa'!X7)</f>
        <v>2773893</v>
      </c>
      <c r="AR9" s="486">
        <f>SUM(AQ9*120/100)</f>
        <v>3328671.6</v>
      </c>
      <c r="AS9" s="486">
        <f>SUM(AQ9-AA9)</f>
        <v>-30658</v>
      </c>
      <c r="AU9" s="820"/>
      <c r="AV9" s="820"/>
    </row>
    <row r="10" spans="1:48" ht="52.5" thickTop="1" thickBot="1" x14ac:dyDescent="0.3">
      <c r="A10" s="345" t="s">
        <v>68</v>
      </c>
      <c r="B10" s="345" t="s">
        <v>1275</v>
      </c>
      <c r="C10" s="970" t="str">
        <f>CONCATENATE('ketv. 2'!B9)</f>
        <v>20KI-KA-17-1-02616-PR001</v>
      </c>
      <c r="D10" s="342" t="str">
        <f>CONCATENATE('IV-2 dsa'!C8)</f>
        <v xml:space="preserve">Druskininkų savivaldybės Viečiūnų seniūnijos Ilgio ir Raigardo seniūnaitijų kelių būklės gerinimas  </v>
      </c>
      <c r="E10" s="342" t="str">
        <f>CONCATENATE('IV-2 dsa'!D8)</f>
        <v xml:space="preserve">Druskininkų savivaldybės administracija  </v>
      </c>
      <c r="F10" s="342" t="str">
        <f>CONCATENATE('IV-2 dsa'!E8)</f>
        <v>Lietuvos Respublikos žemės ūkio ministerija</v>
      </c>
      <c r="G10" s="342" t="str">
        <f>CONCATENATE('IV-2 dsa'!F8)</f>
        <v>Druskininkų sav.</v>
      </c>
      <c r="H10" s="342" t="str">
        <f>CONCATENATE('IV-2 dsa'!G8)</f>
        <v xml:space="preserve">Pagrindinės paslaugos ir kaimų atnaujinimas kaimo vietovėse </v>
      </c>
      <c r="I10" s="312" t="str">
        <f>CONCATENATE('IV-2 dsa'!H8)</f>
        <v>R</v>
      </c>
      <c r="J10" s="312" t="str">
        <f>CONCATENATE('IV-2 dsa'!I8)</f>
        <v>-</v>
      </c>
      <c r="K10" s="312" t="str">
        <f>CONCATENATE('IV-2 dsa'!J8)</f>
        <v>-</v>
      </c>
      <c r="L10" s="1212">
        <f>SUM('IV-2 dsa'!K8)</f>
        <v>198893</v>
      </c>
      <c r="M10" s="1212">
        <f>SUM('ketv. 6 '!L9)</f>
        <v>198894.10294313368</v>
      </c>
      <c r="N10" s="1212">
        <f>IF(M10&gt;0,L10-M10,0)</f>
        <v>-1.1029431336792186</v>
      </c>
      <c r="O10" s="1212">
        <f>SUM('IV-2 dsa'!L8)</f>
        <v>39779</v>
      </c>
      <c r="P10" s="1212">
        <f>SUM('ketv. 6 '!P9)</f>
        <v>32014.560000000001</v>
      </c>
      <c r="Q10" s="1212">
        <f>IF(P10&gt;0,O10-P10,0)</f>
        <v>7764.4399999999987</v>
      </c>
      <c r="R10" s="1212">
        <f>SUM('IV-2 dsa'!M8)</f>
        <v>23867</v>
      </c>
      <c r="S10" s="1212">
        <f>SUM('ketv. 6 '!T9)</f>
        <v>23867.25</v>
      </c>
      <c r="T10" s="1212">
        <f>IF(S10&gt;0,R10-S10,0)</f>
        <v>-0.25</v>
      </c>
      <c r="U10" s="1212">
        <f>SUM('IV-2 dsa'!N8)</f>
        <v>0</v>
      </c>
      <c r="V10" s="1212">
        <f>SUM('ketv. 6 '!X9)</f>
        <v>0</v>
      </c>
      <c r="W10" s="1212">
        <f>IF(V10&gt;0,U10-V10,0)</f>
        <v>0</v>
      </c>
      <c r="X10" s="1212">
        <f>SUM('IV-2 dsa'!O8)</f>
        <v>0</v>
      </c>
      <c r="Y10" s="1212">
        <f>SUM('ketv. 6 '!AB9)</f>
        <v>0</v>
      </c>
      <c r="Z10" s="1212">
        <f>IF(Y10&gt;0,X10-Y10,0)</f>
        <v>0</v>
      </c>
      <c r="AA10" s="1212">
        <f>SUM('IV-2 dsa'!P8)</f>
        <v>135247</v>
      </c>
      <c r="AB10" s="1375">
        <f t="shared" ref="AB10" si="7">SUM(AB11:AB33)</f>
        <v>0</v>
      </c>
      <c r="AC10" s="306" t="str">
        <f>IF('ketv. 4 '!X10&gt;0,"Taip","Ne")</f>
        <v>Taip</v>
      </c>
      <c r="AD10" s="306">
        <f>SUM('ketv. 6 '!AF9)</f>
        <v>135247.75</v>
      </c>
      <c r="AE10" s="306">
        <f t="shared" ref="AE10:AE32" si="8">IF(AD10&gt;0,AA10-AD10,0)</f>
        <v>-0.75</v>
      </c>
      <c r="AF10" s="721">
        <f>SUM('IV-2 dsa'!R8)</f>
        <v>42643</v>
      </c>
      <c r="AG10" s="373">
        <f>SUM('IV-2 dsa'!S8)</f>
        <v>42855</v>
      </c>
      <c r="AH10" s="373">
        <f>SUM('IV-2 dsa'!T8)</f>
        <v>43010</v>
      </c>
      <c r="AI10" s="373">
        <f>SUM('IV-2 dsa'!U8)</f>
        <v>43102</v>
      </c>
      <c r="AJ10" s="375">
        <f>IF(YEAR(AI10),YEAR(AI10))</f>
        <v>2018</v>
      </c>
      <c r="AK10" s="829">
        <f>SUM('IV-2 dsa'!V8)</f>
        <v>43465</v>
      </c>
      <c r="AL10" s="306">
        <f t="shared" ref="AL10:AL32" si="9">IF(YEAR(AI10)=2016,AA10,0)</f>
        <v>0</v>
      </c>
      <c r="AM10" s="306">
        <f t="shared" ref="AM10:AM32" si="10">IF(YEAR(AI10)=2017,AA10,0)</f>
        <v>0</v>
      </c>
      <c r="AN10" s="306">
        <f t="shared" ref="AN10:AN32" si="11">IF(YEAR(AI10)=2018,AA10,0)</f>
        <v>135247</v>
      </c>
      <c r="AO10" s="306">
        <f t="shared" ref="AO10:AO32" si="12">IF(YEAR(AI10)=2019,AA10,0)</f>
        <v>0</v>
      </c>
      <c r="AP10" s="830">
        <f t="shared" ref="AP10:AP32" si="13">IF(YEAR(AI10)=2020,AA10,0)</f>
        <v>0</v>
      </c>
      <c r="AQ10" s="831"/>
      <c r="AR10" s="831"/>
      <c r="AS10" s="831"/>
      <c r="AT10" s="820"/>
      <c r="AU10" s="820"/>
      <c r="AV10" s="820"/>
    </row>
    <row r="11" spans="1:48" ht="52.5" thickTop="1" thickBot="1" x14ac:dyDescent="0.3">
      <c r="A11" s="342" t="s">
        <v>120</v>
      </c>
      <c r="B11" s="345" t="s">
        <v>1277</v>
      </c>
      <c r="C11" s="970" t="str">
        <f>CONCATENATE('ketv. 2'!B10)</f>
        <v>20KI-KA-17-1-02617-PR001</v>
      </c>
      <c r="D11" s="342" t="str">
        <f>CONCATENATE('IV-2 dsa'!C9)</f>
        <v>Druskininkų savivaldybės Viečiūnų seniūnijos Ratnyčėlės seniūnaitijos kelių būklės gerinimas</v>
      </c>
      <c r="E11" s="342" t="str">
        <f>CONCATENATE('IV-2 dsa'!D9)</f>
        <v xml:space="preserve">Druskininkų savivaldybės administracija  </v>
      </c>
      <c r="F11" s="342" t="str">
        <f>CONCATENATE('IV-2 dsa'!E9)</f>
        <v>Lietuvos Respublikos žemės ūkio ministerija</v>
      </c>
      <c r="G11" s="342" t="str">
        <f>CONCATENATE('IV-2 dsa'!F9)</f>
        <v>Druskininkų sav.</v>
      </c>
      <c r="H11" s="342" t="str">
        <f>CONCATENATE('IV-2 dsa'!G9)</f>
        <v xml:space="preserve">Pagrindinės paslaugos ir kaimų atnaujinimas kaimo vietovėse </v>
      </c>
      <c r="I11" s="312" t="str">
        <f>CONCATENATE('IV-2 dsa'!H9)</f>
        <v>R</v>
      </c>
      <c r="J11" s="312" t="str">
        <f>CONCATENATE('IV-2 dsa'!I9)</f>
        <v>-</v>
      </c>
      <c r="K11" s="312" t="str">
        <f>CONCATENATE('IV-2 dsa'!J9)</f>
        <v>-</v>
      </c>
      <c r="L11" s="1212">
        <f>SUM('IV-2 dsa'!K9)</f>
        <v>151340</v>
      </c>
      <c r="M11" s="1212">
        <f>SUM('ketv. 6 '!L10)</f>
        <v>161570</v>
      </c>
      <c r="N11" s="1212">
        <f t="shared" ref="N11:N32" si="14">IF(M11&gt;0,L11-M11,0)</f>
        <v>-10230</v>
      </c>
      <c r="O11" s="1212">
        <f>SUM('IV-2 dsa'!L9)</f>
        <v>30268</v>
      </c>
      <c r="P11" s="1212">
        <f>SUM('ketv. 6 '!P10)</f>
        <v>40499</v>
      </c>
      <c r="Q11" s="1212">
        <f t="shared" ref="Q11:Q32" si="15">IF(P11&gt;0,O11-P11,0)</f>
        <v>-10231</v>
      </c>
      <c r="R11" s="1212">
        <f>SUM('IV-2 dsa'!M9)</f>
        <v>18161</v>
      </c>
      <c r="S11" s="1212">
        <f>SUM('ketv. 6 '!T10)</f>
        <v>18160.650000000001</v>
      </c>
      <c r="T11" s="1212">
        <f t="shared" ref="T11:T32" si="16">IF(S11&gt;0,R11-S11,0)</f>
        <v>0.34999999999854481</v>
      </c>
      <c r="U11" s="1212">
        <f>SUM('IV-2 dsa'!N9)</f>
        <v>0</v>
      </c>
      <c r="V11" s="1212">
        <f>SUM('ketv. 6 '!X10)</f>
        <v>0</v>
      </c>
      <c r="W11" s="1212">
        <f t="shared" ref="W11:W32" si="17">IF(V11&gt;0,U11-V11,0)</f>
        <v>0</v>
      </c>
      <c r="X11" s="1212">
        <f>SUM('IV-2 dsa'!O9)</f>
        <v>0</v>
      </c>
      <c r="Y11" s="1212">
        <f>SUM('ketv. 6 '!AB10)</f>
        <v>0</v>
      </c>
      <c r="Z11" s="1212">
        <f t="shared" ref="Z11:Z32" si="18">IF(Y11&gt;0,X11-Y11,0)</f>
        <v>0</v>
      </c>
      <c r="AA11" s="1264">
        <f>SUM('IV-2 dsa'!P9)</f>
        <v>102911</v>
      </c>
      <c r="AB11" s="1376">
        <f t="shared" ref="AB11" si="19">SUM(AB12:AB34)</f>
        <v>0</v>
      </c>
      <c r="AC11" s="306" t="str">
        <f>IF('ketv. 4 '!X11&gt;0,"Taip","Ne")</f>
        <v>Taip</v>
      </c>
      <c r="AD11" s="817">
        <f>SUM('ketv. 6 '!AF10)</f>
        <v>102910.35</v>
      </c>
      <c r="AE11" s="306">
        <f t="shared" si="8"/>
        <v>0.64999999999417923</v>
      </c>
      <c r="AF11" s="832">
        <f>SUM('IV-2 dsa'!R9)</f>
        <v>42643</v>
      </c>
      <c r="AG11" s="373">
        <f>SUM('IV-2 dsa'!S9)</f>
        <v>42855</v>
      </c>
      <c r="AH11" s="373">
        <f>SUM('IV-2 dsa'!T9)</f>
        <v>43010</v>
      </c>
      <c r="AI11" s="373">
        <f>SUM('IV-2 dsa'!U9)</f>
        <v>43102</v>
      </c>
      <c r="AJ11" s="375">
        <f>IF(YEAR(AI11),YEAR(AI11))</f>
        <v>2018</v>
      </c>
      <c r="AK11" s="829">
        <f>SUM('IV-2 dsa'!V9)</f>
        <v>43465</v>
      </c>
      <c r="AL11" s="306">
        <f t="shared" si="9"/>
        <v>0</v>
      </c>
      <c r="AM11" s="306">
        <f t="shared" si="10"/>
        <v>0</v>
      </c>
      <c r="AN11" s="306">
        <f t="shared" si="11"/>
        <v>102911</v>
      </c>
      <c r="AO11" s="306">
        <f t="shared" si="12"/>
        <v>0</v>
      </c>
      <c r="AP11" s="830">
        <f t="shared" si="13"/>
        <v>0</v>
      </c>
      <c r="AQ11" s="831"/>
      <c r="AR11" s="831"/>
      <c r="AS11" s="831"/>
    </row>
    <row r="12" spans="1:48" ht="52.5" thickTop="1" thickBot="1" x14ac:dyDescent="0.3">
      <c r="A12" s="342" t="s">
        <v>121</v>
      </c>
      <c r="B12" s="345" t="s">
        <v>1278</v>
      </c>
      <c r="C12" s="970" t="str">
        <f>CONCATENATE('ketv. 2'!B11)</f>
        <v>20KI-KA-17-1-02622-PR001</v>
      </c>
      <c r="D12" s="342" t="str">
        <f>CONCATENATE('IV-2 dsa'!C10)</f>
        <v>Druskininkų savivaldybės Leipalingio seniūnijos Klonio seniūnaitijos kelių būklės gerinimas</v>
      </c>
      <c r="E12" s="342" t="str">
        <f>CONCATENATE('IV-2 dsa'!D10)</f>
        <v xml:space="preserve">Druskininkų savivaldybės administracija  </v>
      </c>
      <c r="F12" s="342" t="str">
        <f>CONCATENATE('IV-2 dsa'!E10)</f>
        <v>Lietuvos Respublikos žemės ūkio ministerija</v>
      </c>
      <c r="G12" s="342" t="str">
        <f>CONCATENATE('IV-2 dsa'!F10)</f>
        <v>Druskininkų sav.</v>
      </c>
      <c r="H12" s="342" t="str">
        <f>CONCATENATE('IV-2 dsa'!G10)</f>
        <v xml:space="preserve">Pagrindinės paslaugos ir kaimų atnaujinimas kaimo vietovėse </v>
      </c>
      <c r="I12" s="312" t="str">
        <f>CONCATENATE('IV-2 dsa'!H10)</f>
        <v>R</v>
      </c>
      <c r="J12" s="312" t="str">
        <f>CONCATENATE('IV-2 dsa'!I10)</f>
        <v>-</v>
      </c>
      <c r="K12" s="312" t="str">
        <f>CONCATENATE('IV-2 dsa'!J10)</f>
        <v>-</v>
      </c>
      <c r="L12" s="1212">
        <f>SUM('IV-2 dsa'!K10)</f>
        <v>193059</v>
      </c>
      <c r="M12" s="1212">
        <f>SUM('ketv. 6 '!L11)</f>
        <v>189886.66</v>
      </c>
      <c r="N12" s="1212">
        <f t="shared" si="14"/>
        <v>3172.3399999999965</v>
      </c>
      <c r="O12" s="1212">
        <f>SUM('IV-2 dsa'!L10)</f>
        <v>38612</v>
      </c>
      <c r="P12" s="1212">
        <f>SUM('ketv. 6 '!P11)</f>
        <v>35440.660000000003</v>
      </c>
      <c r="Q12" s="1212">
        <f t="shared" si="15"/>
        <v>3171.3399999999965</v>
      </c>
      <c r="R12" s="1212">
        <f>SUM('IV-2 dsa'!M10)</f>
        <v>23167</v>
      </c>
      <c r="S12" s="1212">
        <f>SUM('ketv. 6 '!T11)</f>
        <v>23166.9</v>
      </c>
      <c r="T12" s="1212">
        <f t="shared" si="16"/>
        <v>9.9999999998544808E-2</v>
      </c>
      <c r="U12" s="1212">
        <f>SUM('IV-2 dsa'!N10)</f>
        <v>0</v>
      </c>
      <c r="V12" s="1212">
        <f>SUM('ketv. 6 '!X11)</f>
        <v>0</v>
      </c>
      <c r="W12" s="1212">
        <f t="shared" si="17"/>
        <v>0</v>
      </c>
      <c r="X12" s="1212">
        <f>SUM('IV-2 dsa'!O10)</f>
        <v>0</v>
      </c>
      <c r="Y12" s="1212">
        <f>SUM('ketv. 6 '!AB11)</f>
        <v>0</v>
      </c>
      <c r="Z12" s="1212">
        <f t="shared" si="18"/>
        <v>0</v>
      </c>
      <c r="AA12" s="1212">
        <f>SUM('IV-2 dsa'!P10)</f>
        <v>131280</v>
      </c>
      <c r="AB12" s="1375">
        <f t="shared" ref="AB12" si="20">SUM(AB13:AB35)</f>
        <v>0</v>
      </c>
      <c r="AC12" s="306" t="str">
        <f>IF('ketv. 4 '!X12&gt;0,"Taip","Ne")</f>
        <v>Taip</v>
      </c>
      <c r="AD12" s="306">
        <f>SUM('ketv. 6 '!AF11)</f>
        <v>131279.1</v>
      </c>
      <c r="AE12" s="306">
        <f t="shared" si="8"/>
        <v>0.89999999999417923</v>
      </c>
      <c r="AF12" s="721">
        <f>SUM('IV-2 dsa'!R10)</f>
        <v>42643</v>
      </c>
      <c r="AG12" s="373">
        <f>SUM('IV-2 dsa'!S10)</f>
        <v>42855</v>
      </c>
      <c r="AH12" s="373">
        <f>SUM('IV-2 dsa'!T10)</f>
        <v>43010</v>
      </c>
      <c r="AI12" s="373">
        <f>SUM('IV-2 dsa'!U10)</f>
        <v>43102</v>
      </c>
      <c r="AJ12" s="375">
        <f>IF(YEAR(AI12),YEAR(AI12))</f>
        <v>2018</v>
      </c>
      <c r="AK12" s="829">
        <f>SUM('IV-2 dsa'!V10)</f>
        <v>43465</v>
      </c>
      <c r="AL12" s="306">
        <f t="shared" si="9"/>
        <v>0</v>
      </c>
      <c r="AM12" s="306">
        <f t="shared" si="10"/>
        <v>0</v>
      </c>
      <c r="AN12" s="306">
        <f t="shared" si="11"/>
        <v>131280</v>
      </c>
      <c r="AO12" s="306">
        <f t="shared" si="12"/>
        <v>0</v>
      </c>
      <c r="AP12" s="830">
        <f t="shared" si="13"/>
        <v>0</v>
      </c>
      <c r="AQ12" s="831"/>
      <c r="AR12" s="831"/>
      <c r="AS12" s="831"/>
    </row>
    <row r="13" spans="1:48" ht="52.5" thickTop="1" thickBot="1" x14ac:dyDescent="0.3">
      <c r="A13" s="342" t="s">
        <v>273</v>
      </c>
      <c r="B13" s="345" t="s">
        <v>1279</v>
      </c>
      <c r="C13" s="970" t="str">
        <f>CONCATENATE('ketv. 2'!B12)</f>
        <v>20KI-KA-17-1-02368-PR001</v>
      </c>
      <c r="D13" s="342" t="str">
        <f>CONCATENATE('IV-2 lrsa'!D8)</f>
        <v>Rudaminos laisvalaikio salės pritaikymas bendruomenės poreikiams ir liaudies amatų plėtrai</v>
      </c>
      <c r="E13" s="342" t="str">
        <f>CONCATENATE('IV-2 lrsa'!E8)</f>
        <v>Viešoji įstaiga Lazdijų kultūros centras</v>
      </c>
      <c r="F13" s="342" t="str">
        <f>CONCATENATE('IV-2 lrsa'!F8)</f>
        <v>Lietuvos Respublikos žemės ūkio ministerija</v>
      </c>
      <c r="G13" s="342" t="str">
        <f>CONCATENATE('IV-2 lrsa'!G8)</f>
        <v>Lazdijų r. sav.</v>
      </c>
      <c r="H13" s="342" t="str">
        <f>CONCATENATE('IV-2 lrsa'!H8)</f>
        <v xml:space="preserve">Pagrindinės paslaugos ir kaimų atnaujinimas kaimo vietovėse </v>
      </c>
      <c r="I13" s="312" t="str">
        <f>CONCATENATE('IV-2 lrsa'!I8)</f>
        <v>R</v>
      </c>
      <c r="J13" s="312" t="str">
        <f>CONCATENATE('IV-2 lrsa'!J8)</f>
        <v>-</v>
      </c>
      <c r="K13" s="312" t="str">
        <f>CONCATENATE('IV-2 lrsa'!K8)</f>
        <v>-</v>
      </c>
      <c r="L13" s="1212">
        <f>SUM('IV-2 lrsa'!L8)</f>
        <v>125000</v>
      </c>
      <c r="M13" s="1212">
        <f>SUM('ketv. 6 '!L12)</f>
        <v>123160</v>
      </c>
      <c r="N13" s="1212">
        <f t="shared" si="14"/>
        <v>1840</v>
      </c>
      <c r="O13" s="1212">
        <f>SUM('IV-2 lrsa'!M8)</f>
        <v>25000</v>
      </c>
      <c r="P13" s="1212">
        <f>SUM('ketv. 6 '!P12)</f>
        <v>24632</v>
      </c>
      <c r="Q13" s="1212">
        <f t="shared" si="15"/>
        <v>368</v>
      </c>
      <c r="R13" s="1212">
        <f>SUM('IV-2 lrsa'!N8)</f>
        <v>15000</v>
      </c>
      <c r="S13" s="1212">
        <f>SUM('ketv. 6 '!T12)</f>
        <v>14779.2</v>
      </c>
      <c r="T13" s="1212">
        <f t="shared" si="16"/>
        <v>220.79999999999927</v>
      </c>
      <c r="U13" s="1212">
        <f>SUM('IV-2 lrsa'!O8)</f>
        <v>0</v>
      </c>
      <c r="V13" s="1212">
        <f>SUM('ketv. 6 '!X12)</f>
        <v>0</v>
      </c>
      <c r="W13" s="1212">
        <f t="shared" si="17"/>
        <v>0</v>
      </c>
      <c r="X13" s="1212">
        <f>SUM('IV-2 lrsa'!P8)</f>
        <v>0</v>
      </c>
      <c r="Y13" s="1212">
        <f>SUM('ketv. 6 '!AB12)</f>
        <v>0</v>
      </c>
      <c r="Z13" s="1212">
        <f t="shared" si="18"/>
        <v>0</v>
      </c>
      <c r="AA13" s="1212">
        <f>SUM('IV-2 lrsa'!Q8)</f>
        <v>85000</v>
      </c>
      <c r="AB13" s="1375">
        <f t="shared" ref="AB13" si="21">SUM(AB14:AB36)</f>
        <v>0</v>
      </c>
      <c r="AC13" s="306" t="str">
        <f>IF('ketv. 4 '!X13&gt;0,"Taip","Ne")</f>
        <v>Taip</v>
      </c>
      <c r="AD13" s="306">
        <f>SUM('ketv. 6 '!AF12)</f>
        <v>83748.800000000003</v>
      </c>
      <c r="AE13" s="306">
        <f t="shared" si="8"/>
        <v>1251.1999999999971</v>
      </c>
      <c r="AF13" s="721">
        <f>SUM('IV-2 lrsa'!S8)</f>
        <v>42643</v>
      </c>
      <c r="AG13" s="373">
        <f>SUM('IV-2 lrsa'!T8)</f>
        <v>42855</v>
      </c>
      <c r="AH13" s="373">
        <f>SUM('IV-2 lrsa'!U8)</f>
        <v>43010</v>
      </c>
      <c r="AI13" s="373">
        <f>SUM('IV-2 lrsa'!V8)</f>
        <v>43102</v>
      </c>
      <c r="AJ13" s="375">
        <f>IF(YEAR(AI13),YEAR(AI13))</f>
        <v>2018</v>
      </c>
      <c r="AK13" s="829">
        <f>SUM('IV-2 lrsa'!W8)</f>
        <v>43373</v>
      </c>
      <c r="AL13" s="306">
        <f t="shared" si="9"/>
        <v>0</v>
      </c>
      <c r="AM13" s="306">
        <f t="shared" si="10"/>
        <v>0</v>
      </c>
      <c r="AN13" s="306">
        <f t="shared" si="11"/>
        <v>85000</v>
      </c>
      <c r="AO13" s="306">
        <f t="shared" si="12"/>
        <v>0</v>
      </c>
      <c r="AP13" s="830">
        <f t="shared" si="13"/>
        <v>0</v>
      </c>
      <c r="AQ13" s="831"/>
      <c r="AR13" s="831"/>
      <c r="AS13" s="831"/>
    </row>
    <row r="14" spans="1:48" ht="52.5" thickTop="1" thickBot="1" x14ac:dyDescent="0.3">
      <c r="A14" s="342" t="s">
        <v>293</v>
      </c>
      <c r="B14" s="345" t="s">
        <v>1280</v>
      </c>
      <c r="C14" s="970" t="str">
        <f>CONCATENATE('ketv. 2'!B13)</f>
        <v>20KI-KA-17-1-02619-PR001</v>
      </c>
      <c r="D14" s="342" t="str">
        <f>CONCATENATE('IV-2 dsa'!C11)</f>
        <v>Druskininkų savivaldybės Leipalingio seniūnijos Bilso seniūnaitijos kelių būklės gerinimas</v>
      </c>
      <c r="E14" s="342" t="str">
        <f>CONCATENATE('IV-2 dsa'!D11)</f>
        <v xml:space="preserve">Druskininkų savivaldybės administracija  </v>
      </c>
      <c r="F14" s="342" t="str">
        <f>CONCATENATE('IV-2 dsa'!E11)</f>
        <v>Lietuvos Respublikos žemės ūkio ministerija</v>
      </c>
      <c r="G14" s="342" t="str">
        <f>CONCATENATE('IV-2 dsa'!F11)</f>
        <v>Druskininkų sav.</v>
      </c>
      <c r="H14" s="342" t="str">
        <f>CONCATENATE('IV-2 dsa'!G11)</f>
        <v xml:space="preserve">Pagrindinės paslaugos ir kaimų atnaujinimas kaimo vietovėse </v>
      </c>
      <c r="I14" s="312" t="str">
        <f>CONCATENATE('IV-2 dsa'!H11)</f>
        <v>R</v>
      </c>
      <c r="J14" s="312" t="str">
        <f>CONCATENATE('IV-2 dsa'!I11)</f>
        <v>-</v>
      </c>
      <c r="K14" s="312" t="str">
        <f>CONCATENATE('IV-2 dsa'!J11)</f>
        <v>-</v>
      </c>
      <c r="L14" s="1212">
        <f>SUM('IV-2 dsa'!K11)</f>
        <v>240940</v>
      </c>
      <c r="M14" s="1212">
        <f>SUM('ketv. 6 '!L13)</f>
        <v>207509.88999999998</v>
      </c>
      <c r="N14" s="1212">
        <f t="shared" si="14"/>
        <v>33430.110000000015</v>
      </c>
      <c r="O14" s="1212">
        <f>SUM('IV-2 dsa'!L11)</f>
        <v>112896</v>
      </c>
      <c r="P14" s="1212">
        <f>SUM('ketv. 6 '!P13)</f>
        <v>79465.89</v>
      </c>
      <c r="Q14" s="1212">
        <f t="shared" si="15"/>
        <v>33430.11</v>
      </c>
      <c r="R14" s="1212">
        <f>SUM('IV-2 dsa'!M11)</f>
        <v>19207</v>
      </c>
      <c r="S14" s="1212">
        <f>SUM('ketv. 6 '!T13)</f>
        <v>19206.599999999999</v>
      </c>
      <c r="T14" s="1212">
        <f t="shared" si="16"/>
        <v>0.40000000000145519</v>
      </c>
      <c r="U14" s="1212">
        <f>SUM('IV-2 dsa'!N11)</f>
        <v>0</v>
      </c>
      <c r="V14" s="1212">
        <f>SUM('ketv. 6 '!X13)</f>
        <v>0</v>
      </c>
      <c r="W14" s="1212">
        <f t="shared" si="17"/>
        <v>0</v>
      </c>
      <c r="X14" s="1212">
        <f>SUM('IV-2 dsa'!O11)</f>
        <v>0</v>
      </c>
      <c r="Y14" s="1212">
        <f>SUM('ketv. 6 '!AB13)</f>
        <v>0</v>
      </c>
      <c r="Z14" s="1212">
        <f t="shared" si="18"/>
        <v>0</v>
      </c>
      <c r="AA14" s="1212">
        <f>SUM('IV-2 dsa'!P11)</f>
        <v>108837</v>
      </c>
      <c r="AB14" s="1375">
        <f t="shared" ref="AB14" si="22">SUM(AB15:AB37)</f>
        <v>0</v>
      </c>
      <c r="AC14" s="306" t="str">
        <f>IF('ketv. 4 '!X14&gt;0,"Taip","Ne")</f>
        <v>Taip</v>
      </c>
      <c r="AD14" s="306">
        <f>SUM('ketv. 6 '!AF13)</f>
        <v>108837.4</v>
      </c>
      <c r="AE14" s="306">
        <f t="shared" si="8"/>
        <v>-0.39999999999417923</v>
      </c>
      <c r="AF14" s="721">
        <f>SUM('IV-2 dsa'!R11)</f>
        <v>42643</v>
      </c>
      <c r="AG14" s="373">
        <f>SUM('IV-2 dsa'!S11)</f>
        <v>42855</v>
      </c>
      <c r="AH14" s="373">
        <f>SUM('IV-2 dsa'!T11)</f>
        <v>43010</v>
      </c>
      <c r="AI14" s="373">
        <f>SUM('IV-2 dsa'!U11)</f>
        <v>43102</v>
      </c>
      <c r="AJ14" s="375">
        <f>IF(YEAR(AI14),YEAR(AI14))</f>
        <v>2018</v>
      </c>
      <c r="AK14" s="829">
        <f>SUM('IV-2 dsa'!V11)</f>
        <v>43465</v>
      </c>
      <c r="AL14" s="306">
        <f t="shared" si="9"/>
        <v>0</v>
      </c>
      <c r="AM14" s="306">
        <f t="shared" si="10"/>
        <v>0</v>
      </c>
      <c r="AN14" s="306">
        <f t="shared" si="11"/>
        <v>108837</v>
      </c>
      <c r="AO14" s="306">
        <f t="shared" si="12"/>
        <v>0</v>
      </c>
      <c r="AP14" s="830">
        <f t="shared" si="13"/>
        <v>0</v>
      </c>
      <c r="AQ14" s="374"/>
      <c r="AR14" s="833"/>
      <c r="AS14" s="831"/>
    </row>
    <row r="15" spans="1:48" ht="52.5" thickTop="1" thickBot="1" x14ac:dyDescent="0.3">
      <c r="A15" s="342" t="s">
        <v>400</v>
      </c>
      <c r="B15" s="345" t="s">
        <v>1281</v>
      </c>
      <c r="C15" s="970" t="str">
        <f>CONCATENATE('ketv. 2'!B14)</f>
        <v>20KI-KA-17-1-02374-PR001</v>
      </c>
      <c r="D15" s="342" t="str">
        <f>CONCATENATE('IV-2 lrsa'!D9)</f>
        <v>Lazdijų rajono kaimų patrauklumo didinimas atnaujinant bibliotekas</v>
      </c>
      <c r="E15" s="342" t="str">
        <f>CONCATENATE('IV-2 lrsa'!E9)</f>
        <v xml:space="preserve">Biudžetinė įstaiga Lazdijų rajono savivaldybės viešoji biblioteka </v>
      </c>
      <c r="F15" s="342" t="str">
        <f>CONCATENATE('IV-2 lrsa'!F9)</f>
        <v>Lietuvos Respublikos žemės ūkio ministerija</v>
      </c>
      <c r="G15" s="342" t="str">
        <f>CONCATENATE('IV-2 lrsa'!G9)</f>
        <v>Lazdijų r. sav.</v>
      </c>
      <c r="H15" s="342" t="str">
        <f>CONCATENATE('IV-2 lrsa'!H9)</f>
        <v xml:space="preserve">Pagrindinės paslaugos ir kaimų atnaujinimas kaimo vietovėse </v>
      </c>
      <c r="I15" s="312" t="str">
        <f>CONCATENATE('IV-2 lrsa'!I9)</f>
        <v>R</v>
      </c>
      <c r="J15" s="312" t="str">
        <f>CONCATENATE('IV-2 lrsa'!J9)</f>
        <v>-</v>
      </c>
      <c r="K15" s="312" t="str">
        <f>CONCATENATE('IV-2 lrsa'!K9)</f>
        <v>-</v>
      </c>
      <c r="L15" s="1212">
        <f>SUM('IV-2 lrsa'!L9)</f>
        <v>201000</v>
      </c>
      <c r="M15" s="1212">
        <f>SUM('ketv. 6 '!L14)</f>
        <v>200999</v>
      </c>
      <c r="N15" s="1212">
        <f t="shared" si="14"/>
        <v>1</v>
      </c>
      <c r="O15" s="1212">
        <f>SUM('IV-2 lrsa'!M9)</f>
        <v>40200</v>
      </c>
      <c r="P15" s="1212">
        <f>SUM('ketv. 6 '!P14)</f>
        <v>41071</v>
      </c>
      <c r="Q15" s="1212">
        <f t="shared" si="15"/>
        <v>-871</v>
      </c>
      <c r="R15" s="1212">
        <f>SUM('IV-2 lrsa'!N9)</f>
        <v>24120</v>
      </c>
      <c r="S15" s="1212">
        <f>SUM('ketv. 6 '!T14)</f>
        <v>23989.200000000001</v>
      </c>
      <c r="T15" s="1212">
        <f t="shared" si="16"/>
        <v>130.79999999999927</v>
      </c>
      <c r="U15" s="1212">
        <f>SUM('IV-2 lrsa'!O9)</f>
        <v>0</v>
      </c>
      <c r="V15" s="1212">
        <f>SUM('ketv. 6 '!X14)</f>
        <v>0</v>
      </c>
      <c r="W15" s="1212">
        <f t="shared" si="17"/>
        <v>0</v>
      </c>
      <c r="X15" s="1212">
        <f>SUM('IV-2 lrsa'!P9)</f>
        <v>0</v>
      </c>
      <c r="Y15" s="1212">
        <f>SUM('ketv. 6 '!AB14)</f>
        <v>0</v>
      </c>
      <c r="Z15" s="1212">
        <f t="shared" si="18"/>
        <v>0</v>
      </c>
      <c r="AA15" s="1212">
        <f>SUM('IV-2 lrsa'!Q9)</f>
        <v>136680</v>
      </c>
      <c r="AB15" s="1375">
        <f t="shared" ref="AB15" si="23">SUM(AB16:AB38)</f>
        <v>0</v>
      </c>
      <c r="AC15" s="306" t="str">
        <f>IF('ketv. 4 '!X15&gt;0,"Taip","Ne")</f>
        <v>Taip</v>
      </c>
      <c r="AD15" s="306">
        <f>SUM('ketv. 6 '!AF14)</f>
        <v>135938.79999999999</v>
      </c>
      <c r="AE15" s="306">
        <f t="shared" si="8"/>
        <v>741.20000000001164</v>
      </c>
      <c r="AF15" s="721">
        <f>SUM('IV-2 lrsa'!S9)</f>
        <v>42643</v>
      </c>
      <c r="AG15" s="373">
        <f>SUM('IV-2 lrsa'!T9)</f>
        <v>42855</v>
      </c>
      <c r="AH15" s="373">
        <f>SUM('IV-2 lrsa'!U9)</f>
        <v>43010</v>
      </c>
      <c r="AI15" s="373">
        <f>SUM('IV-2 lrsa'!V9)</f>
        <v>43102</v>
      </c>
      <c r="AJ15" s="375">
        <f t="shared" ref="AJ15:AJ32" si="24">IF(YEAR(AI15),YEAR(AI15))</f>
        <v>2018</v>
      </c>
      <c r="AK15" s="829">
        <f>SUM('IV-2 lrsa'!W9)</f>
        <v>43373</v>
      </c>
      <c r="AL15" s="306">
        <f t="shared" si="9"/>
        <v>0</v>
      </c>
      <c r="AM15" s="306">
        <f t="shared" si="10"/>
        <v>0</v>
      </c>
      <c r="AN15" s="306">
        <f t="shared" si="11"/>
        <v>136680</v>
      </c>
      <c r="AO15" s="306">
        <f t="shared" si="12"/>
        <v>0</v>
      </c>
      <c r="AP15" s="830">
        <f t="shared" si="13"/>
        <v>0</v>
      </c>
      <c r="AQ15" s="834" t="s">
        <v>696</v>
      </c>
      <c r="AR15" s="831"/>
      <c r="AS15" s="831"/>
    </row>
    <row r="16" spans="1:48" ht="52.5" thickTop="1" thickBot="1" x14ac:dyDescent="0.3">
      <c r="A16" s="342" t="s">
        <v>401</v>
      </c>
      <c r="B16" s="345" t="s">
        <v>1282</v>
      </c>
      <c r="C16" s="970" t="str">
        <f>CONCATENATE('ketv. 2'!B15)</f>
        <v>20KI-KA-17-1-02437-PR001</v>
      </c>
      <c r="D16" s="342" t="str">
        <f>CONCATENATE('IV-2 arsa'!C8)</f>
        <v>Alytaus rajono Miroslavo kaimo multifunkcinės sporto aikštės įrengimas ir gatvių bei šaligatvių rekonstrukcija</v>
      </c>
      <c r="E16" s="342" t="str">
        <f>CONCATENATE('IV-2 arsa'!D8)</f>
        <v>Alytaus rajono savivaldybės administracija</v>
      </c>
      <c r="F16" s="342" t="str">
        <f>CONCATENATE('IV-2 arsa'!E8)</f>
        <v>Lietuvos Respublikos žemės ūkio ministerija</v>
      </c>
      <c r="G16" s="342" t="str">
        <f>CONCATENATE('IV-2 arsa'!F8)</f>
        <v>Alytaus r. sav.</v>
      </c>
      <c r="H16" s="342" t="str">
        <f>CONCATENATE('IV-2 arsa'!G8)</f>
        <v xml:space="preserve">Pagrindinės paslaugos ir kaimų atnaujinimas kaimo vietovėse </v>
      </c>
      <c r="I16" s="312" t="str">
        <f>CONCATENATE('IV-2 arsa'!H8)</f>
        <v>R</v>
      </c>
      <c r="J16" s="312" t="str">
        <f>CONCATENATE('IV-2 arsa'!I8)</f>
        <v>-</v>
      </c>
      <c r="K16" s="312" t="str">
        <f>CONCATENATE('IV-2 arsa'!J8)</f>
        <v>-</v>
      </c>
      <c r="L16" s="1212">
        <f>SUM('IV-2 arsa'!K8)</f>
        <v>252212</v>
      </c>
      <c r="M16" s="1212">
        <f>SUM('ketv. 6 '!L15)</f>
        <v>252212</v>
      </c>
      <c r="N16" s="1212">
        <f t="shared" si="14"/>
        <v>0</v>
      </c>
      <c r="O16" s="1212">
        <f>SUM('IV-2 arsa'!L8)</f>
        <v>52212</v>
      </c>
      <c r="P16" s="1212">
        <f>SUM('ketv. 6 '!P15)</f>
        <v>52212</v>
      </c>
      <c r="Q16" s="1212">
        <f t="shared" si="15"/>
        <v>0</v>
      </c>
      <c r="R16" s="1212">
        <f>SUM('IV-2 arsa'!M8)</f>
        <v>30000</v>
      </c>
      <c r="S16" s="1212">
        <f>SUM('ketv. 6 '!T15)</f>
        <v>30000</v>
      </c>
      <c r="T16" s="1212">
        <f t="shared" si="16"/>
        <v>0</v>
      </c>
      <c r="U16" s="1212">
        <f>SUM('IV-2 arsa'!N8)</f>
        <v>0</v>
      </c>
      <c r="V16" s="1212">
        <f>SUM('ketv. 6 '!X15)</f>
        <v>0</v>
      </c>
      <c r="W16" s="1212">
        <f t="shared" si="17"/>
        <v>0</v>
      </c>
      <c r="X16" s="1212">
        <f>SUM('IV-2 arsa'!O8)</f>
        <v>0</v>
      </c>
      <c r="Y16" s="1212">
        <f>SUM('ketv. 6 '!AB15)</f>
        <v>0</v>
      </c>
      <c r="Z16" s="1212">
        <f t="shared" si="18"/>
        <v>0</v>
      </c>
      <c r="AA16" s="1212">
        <f>SUM('IV-2 arsa'!P8)</f>
        <v>170000</v>
      </c>
      <c r="AB16" s="1375">
        <f t="shared" ref="AB16" si="25">SUM(AB17:AB39)</f>
        <v>0</v>
      </c>
      <c r="AC16" s="306" t="str">
        <f>IF('ketv. 4 '!X16&gt;0,"Taip","Ne")</f>
        <v>Taip</v>
      </c>
      <c r="AD16" s="306">
        <f>SUM('ketv. 6 '!AF15)</f>
        <v>170000</v>
      </c>
      <c r="AE16" s="306">
        <f t="shared" si="8"/>
        <v>0</v>
      </c>
      <c r="AF16" s="721">
        <f>SUM('IV-2 arsa'!R8)</f>
        <v>42643</v>
      </c>
      <c r="AG16" s="373">
        <f>SUM('IV-2 arsa'!S8)</f>
        <v>42855</v>
      </c>
      <c r="AH16" s="373">
        <f>SUM('IV-2 arsa'!T8)</f>
        <v>43010</v>
      </c>
      <c r="AI16" s="373">
        <f>SUM('IV-2 arsa'!U8)</f>
        <v>43102</v>
      </c>
      <c r="AJ16" s="375">
        <f t="shared" si="24"/>
        <v>2018</v>
      </c>
      <c r="AK16" s="829">
        <f>SUM('IV-2 arsa'!V8)</f>
        <v>43465</v>
      </c>
      <c r="AL16" s="306">
        <f t="shared" si="9"/>
        <v>0</v>
      </c>
      <c r="AM16" s="306">
        <f t="shared" si="10"/>
        <v>0</v>
      </c>
      <c r="AN16" s="306">
        <f t="shared" si="11"/>
        <v>170000</v>
      </c>
      <c r="AO16" s="306">
        <f t="shared" si="12"/>
        <v>0</v>
      </c>
      <c r="AP16" s="830">
        <f t="shared" si="13"/>
        <v>0</v>
      </c>
      <c r="AQ16" s="831"/>
      <c r="AR16" s="831"/>
      <c r="AS16" s="831"/>
    </row>
    <row r="17" spans="1:45" ht="52.5" thickTop="1" thickBot="1" x14ac:dyDescent="0.3">
      <c r="A17" s="342" t="s">
        <v>402</v>
      </c>
      <c r="B17" s="342" t="s">
        <v>1283</v>
      </c>
      <c r="C17" s="970" t="str">
        <f>CONCATENATE('ketv. 2'!B16)</f>
        <v>20KI-KA-17-1-02242-PR001</v>
      </c>
      <c r="D17" s="342" t="str">
        <f>CONCATENATE('IV-2 arsa'!C9)</f>
        <v>Alytaus rajono Luksnėnų kaimo multifunkcinės sporto aikštės įrengimas ir gatvių rekonstrukcija</v>
      </c>
      <c r="E17" s="342" t="str">
        <f>CONCATENATE('IV-2 arsa'!D9)</f>
        <v>Alytaus rajono savivaldybės administracija</v>
      </c>
      <c r="F17" s="342" t="str">
        <f>CONCATENATE('IV-2 arsa'!E9)</f>
        <v>Lietuvos Respublikos žemės ūkio ministerija</v>
      </c>
      <c r="G17" s="342" t="str">
        <f>CONCATENATE('IV-2 arsa'!F9)</f>
        <v>Alytaus r. sav.</v>
      </c>
      <c r="H17" s="342" t="str">
        <f>CONCATENATE('IV-2 arsa'!G9)</f>
        <v xml:space="preserve">Pagrindinės paslaugos ir kaimų atnaujinimas kaimo vietovėse </v>
      </c>
      <c r="I17" s="312" t="str">
        <f>CONCATENATE('IV-2 arsa'!H9)</f>
        <v>R</v>
      </c>
      <c r="J17" s="312" t="str">
        <f>CONCATENATE('IV-2 arsa'!I9)</f>
        <v>-</v>
      </c>
      <c r="K17" s="312" t="str">
        <f>CONCATENATE('IV-2 arsa'!J9)</f>
        <v>-</v>
      </c>
      <c r="L17" s="1212">
        <f>SUM('IV-2 arsa'!K9)</f>
        <v>250309</v>
      </c>
      <c r="M17" s="1212">
        <f>SUM('ketv. 6 '!L16)</f>
        <v>250000</v>
      </c>
      <c r="N17" s="1212">
        <f t="shared" si="14"/>
        <v>309</v>
      </c>
      <c r="O17" s="1212">
        <f>SUM('IV-2 arsa'!L9)</f>
        <v>50309</v>
      </c>
      <c r="P17" s="1212">
        <f>SUM('ketv. 6 '!P16)</f>
        <v>50000</v>
      </c>
      <c r="Q17" s="1212">
        <f t="shared" si="15"/>
        <v>309</v>
      </c>
      <c r="R17" s="1212">
        <f>SUM('IV-2 arsa'!M9)</f>
        <v>30000</v>
      </c>
      <c r="S17" s="1212">
        <f>SUM('ketv. 6 '!T16)</f>
        <v>30000</v>
      </c>
      <c r="T17" s="1212">
        <f t="shared" si="16"/>
        <v>0</v>
      </c>
      <c r="U17" s="1212">
        <f>SUM('IV-2 arsa'!N9)</f>
        <v>0</v>
      </c>
      <c r="V17" s="1212">
        <f>SUM('ketv. 6 '!X16)</f>
        <v>0</v>
      </c>
      <c r="W17" s="1212">
        <f t="shared" si="17"/>
        <v>0</v>
      </c>
      <c r="X17" s="1212">
        <f>SUM('IV-2 arsa'!O9)</f>
        <v>0</v>
      </c>
      <c r="Y17" s="1212">
        <f>SUM('ketv. 6 '!AB16)</f>
        <v>0</v>
      </c>
      <c r="Z17" s="1212">
        <f t="shared" si="18"/>
        <v>0</v>
      </c>
      <c r="AA17" s="1212">
        <f>SUM('IV-2 arsa'!P9)</f>
        <v>170000</v>
      </c>
      <c r="AB17" s="1375">
        <f t="shared" ref="AB17" si="26">SUM(AB18:AB40)</f>
        <v>0</v>
      </c>
      <c r="AC17" s="306" t="str">
        <f>IF('ketv. 4 '!X17&gt;0,"Taip","Ne")</f>
        <v>Taip</v>
      </c>
      <c r="AD17" s="306">
        <f>SUM('ketv. 6 '!AF16)</f>
        <v>170000</v>
      </c>
      <c r="AE17" s="306">
        <f t="shared" si="8"/>
        <v>0</v>
      </c>
      <c r="AF17" s="721">
        <f>SUM('IV-2 arsa'!R9)</f>
        <v>42643</v>
      </c>
      <c r="AG17" s="373">
        <f>SUM('IV-2 arsa'!S9)</f>
        <v>42855</v>
      </c>
      <c r="AH17" s="373">
        <f>SUM('IV-2 arsa'!T9)</f>
        <v>43010</v>
      </c>
      <c r="AI17" s="373">
        <f>SUM('IV-2 arsa'!U9)</f>
        <v>43102</v>
      </c>
      <c r="AJ17" s="375">
        <f t="shared" si="24"/>
        <v>2018</v>
      </c>
      <c r="AK17" s="829">
        <f>SUM('IV-2 arsa'!V9)</f>
        <v>43465</v>
      </c>
      <c r="AL17" s="306">
        <f t="shared" si="9"/>
        <v>0</v>
      </c>
      <c r="AM17" s="306">
        <f t="shared" si="10"/>
        <v>0</v>
      </c>
      <c r="AN17" s="306">
        <f t="shared" si="11"/>
        <v>170000</v>
      </c>
      <c r="AO17" s="306">
        <f t="shared" si="12"/>
        <v>0</v>
      </c>
      <c r="AP17" s="830">
        <f t="shared" si="13"/>
        <v>0</v>
      </c>
      <c r="AQ17" s="831"/>
      <c r="AR17" s="831"/>
      <c r="AS17" s="831"/>
    </row>
    <row r="18" spans="1:45" ht="52.5" thickTop="1" thickBot="1" x14ac:dyDescent="0.3">
      <c r="A18" s="342" t="s">
        <v>403</v>
      </c>
      <c r="B18" s="342" t="s">
        <v>1284</v>
      </c>
      <c r="C18" s="970" t="str">
        <f>CONCATENATE('ketv. 2'!B17)</f>
        <v>20KI-KA-17-1-02372-PR001</v>
      </c>
      <c r="D18" s="342" t="str">
        <f>CONCATENATE('IV-2 lrsa'!D10)</f>
        <v>Krikštonių laisvalaikio salės pritaikymas bendruomenės poreikiams</v>
      </c>
      <c r="E18" s="342" t="str">
        <f>CONCATENATE('IV-2 lrsa'!E10)</f>
        <v xml:space="preserve">Viešoji įstaiga Lazdijų kultūros centras </v>
      </c>
      <c r="F18" s="342" t="str">
        <f>CONCATENATE('IV-2 lrsa'!F10)</f>
        <v>Lietuvos Respublikos žemės ūkio ministerija</v>
      </c>
      <c r="G18" s="342" t="str">
        <f>CONCATENATE('IV-2 lrsa'!G10)</f>
        <v>Lazdijų r. sav.</v>
      </c>
      <c r="H18" s="342" t="str">
        <f>CONCATENATE('IV-2 lrsa'!H10)</f>
        <v xml:space="preserve">Pagrindinės paslaugos ir kaimų atnaujinimas kaimo vietovėse </v>
      </c>
      <c r="I18" s="312" t="str">
        <f>CONCATENATE('IV-2 lrsa'!I10)</f>
        <v>R</v>
      </c>
      <c r="J18" s="312" t="str">
        <f>CONCATENATE('IV-2 lrsa'!J10)</f>
        <v>-</v>
      </c>
      <c r="K18" s="312" t="str">
        <f>CONCATENATE('IV-2 lrsa'!K10)</f>
        <v>-</v>
      </c>
      <c r="L18" s="1212">
        <f>SUM('IV-2 lrsa'!L10)</f>
        <v>250000</v>
      </c>
      <c r="M18" s="1212">
        <f>SUM('ketv. 6 '!L17)</f>
        <v>250000</v>
      </c>
      <c r="N18" s="1212">
        <f t="shared" si="14"/>
        <v>0</v>
      </c>
      <c r="O18" s="1212">
        <f>SUM('IV-2 lrsa'!M10)</f>
        <v>50000</v>
      </c>
      <c r="P18" s="1212">
        <f>SUM('ketv. 6 '!P17)</f>
        <v>50000</v>
      </c>
      <c r="Q18" s="1212">
        <f t="shared" si="15"/>
        <v>0</v>
      </c>
      <c r="R18" s="1212">
        <f>SUM('IV-2 lrsa'!N10)</f>
        <v>30000</v>
      </c>
      <c r="S18" s="1212">
        <f>SUM('ketv. 6 '!T17)</f>
        <v>30000</v>
      </c>
      <c r="T18" s="1212">
        <f t="shared" si="16"/>
        <v>0</v>
      </c>
      <c r="U18" s="1212">
        <f>SUM('IV-2 lrsa'!O10)</f>
        <v>0</v>
      </c>
      <c r="V18" s="1212">
        <f>SUM('ketv. 6 '!X17)</f>
        <v>0</v>
      </c>
      <c r="W18" s="1212">
        <f t="shared" si="17"/>
        <v>0</v>
      </c>
      <c r="X18" s="1212">
        <f>SUM('IV-2 lrsa'!P10)</f>
        <v>0</v>
      </c>
      <c r="Y18" s="1212">
        <f>SUM('ketv. 6 '!AB17)</f>
        <v>0</v>
      </c>
      <c r="Z18" s="1212">
        <f t="shared" si="18"/>
        <v>0</v>
      </c>
      <c r="AA18" s="1212">
        <f>SUM('IV-2 lrsa'!Q10)</f>
        <v>170000</v>
      </c>
      <c r="AB18" s="1375">
        <f t="shared" ref="AB18" si="27">SUM(AB19:AB41)</f>
        <v>0</v>
      </c>
      <c r="AC18" s="306" t="str">
        <f>IF('ketv. 4 '!X18&gt;0,"Taip","Ne")</f>
        <v>Taip</v>
      </c>
      <c r="AD18" s="306">
        <f>SUM('ketv. 6 '!AF17)</f>
        <v>170000</v>
      </c>
      <c r="AE18" s="306">
        <f t="shared" si="8"/>
        <v>0</v>
      </c>
      <c r="AF18" s="721">
        <f>SUM('IV-2 lrsa'!S10)</f>
        <v>42643</v>
      </c>
      <c r="AG18" s="373">
        <f>SUM('IV-2 lrsa'!T10)</f>
        <v>42855</v>
      </c>
      <c r="AH18" s="373">
        <f>SUM('IV-2 lrsa'!U10)</f>
        <v>43010</v>
      </c>
      <c r="AI18" s="373">
        <f>SUM('IV-2 lrsa'!V10)</f>
        <v>43102</v>
      </c>
      <c r="AJ18" s="375">
        <f t="shared" si="24"/>
        <v>2018</v>
      </c>
      <c r="AK18" s="829">
        <f>SUM('IV-2 lrsa'!W10)</f>
        <v>43373</v>
      </c>
      <c r="AL18" s="306">
        <f t="shared" si="9"/>
        <v>0</v>
      </c>
      <c r="AM18" s="306">
        <f t="shared" si="10"/>
        <v>0</v>
      </c>
      <c r="AN18" s="306">
        <f t="shared" si="11"/>
        <v>170000</v>
      </c>
      <c r="AO18" s="306">
        <f t="shared" si="12"/>
        <v>0</v>
      </c>
      <c r="AP18" s="830">
        <f t="shared" si="13"/>
        <v>0</v>
      </c>
      <c r="AQ18" s="831"/>
      <c r="AR18" s="831"/>
      <c r="AS18" s="831"/>
    </row>
    <row r="19" spans="1:45" ht="52.5" thickTop="1" thickBot="1" x14ac:dyDescent="0.3">
      <c r="A19" s="342" t="s">
        <v>404</v>
      </c>
      <c r="B19" s="342" t="s">
        <v>1274</v>
      </c>
      <c r="C19" s="970" t="str">
        <f>CONCATENATE('ketv. 2'!B18)</f>
        <v>20KI-KA-17-1-02370-PR001</v>
      </c>
      <c r="D19" s="342" t="str">
        <f>CONCATENATE('IV-2 lrsa'!D11)</f>
        <v>Kučiūnų laisvalaikio salės pritaikymas bendruomenės poreikiams</v>
      </c>
      <c r="E19" s="342" t="str">
        <f>CONCATENATE('IV-2 lrsa'!E11)</f>
        <v xml:space="preserve">Viešoji įstaiga Lazdijų kultūros centras </v>
      </c>
      <c r="F19" s="342" t="str">
        <f>CONCATENATE('IV-2 lrsa'!F11)</f>
        <v>Lietuvos Respublikos žemės ūkio ministerija</v>
      </c>
      <c r="G19" s="342" t="str">
        <f>CONCATENATE('IV-2 lrsa'!G11)</f>
        <v>Lazdijų r. sav.</v>
      </c>
      <c r="H19" s="342" t="str">
        <f>CONCATENATE('IV-2 lrsa'!H11)</f>
        <v xml:space="preserve">Pagrindinės paslaugos ir kaimų atnaujinimas kaimo vietovėse </v>
      </c>
      <c r="I19" s="312" t="str">
        <f>CONCATENATE('IV-2 lrsa'!I11)</f>
        <v>R</v>
      </c>
      <c r="J19" s="312" t="str">
        <f>CONCATENATE('IV-2 lrsa'!J11)</f>
        <v>-</v>
      </c>
      <c r="K19" s="312" t="str">
        <f>CONCATENATE('IV-2 lrsa'!K11)</f>
        <v>-</v>
      </c>
      <c r="L19" s="1212">
        <f>SUM('IV-2 lrsa'!L11)</f>
        <v>250000</v>
      </c>
      <c r="M19" s="1212">
        <f>SUM('ketv. 6 '!L18)</f>
        <v>250000</v>
      </c>
      <c r="N19" s="1212">
        <f t="shared" si="14"/>
        <v>0</v>
      </c>
      <c r="O19" s="1212">
        <f>SUM('IV-2 lrsa'!M11)</f>
        <v>50000</v>
      </c>
      <c r="P19" s="1212">
        <f>SUM('ketv. 6 '!P18)</f>
        <v>62460</v>
      </c>
      <c r="Q19" s="1212">
        <f t="shared" si="15"/>
        <v>-12460</v>
      </c>
      <c r="R19" s="1212">
        <f>SUM('IV-2 lrsa'!N11)</f>
        <v>30000</v>
      </c>
      <c r="S19" s="1212">
        <f>SUM('ketv. 6 '!T18)</f>
        <v>28131</v>
      </c>
      <c r="T19" s="1212">
        <f t="shared" si="16"/>
        <v>1869</v>
      </c>
      <c r="U19" s="1212">
        <f>SUM('IV-2 lrsa'!O11)</f>
        <v>0</v>
      </c>
      <c r="V19" s="1212">
        <f>SUM('ketv. 6 '!X18)</f>
        <v>0</v>
      </c>
      <c r="W19" s="1212">
        <f t="shared" si="17"/>
        <v>0</v>
      </c>
      <c r="X19" s="1212">
        <f>SUM('IV-2 lrsa'!P11)</f>
        <v>0</v>
      </c>
      <c r="Y19" s="1212">
        <f>SUM('ketv. 6 '!AB18)</f>
        <v>0</v>
      </c>
      <c r="Z19" s="1212">
        <f t="shared" si="18"/>
        <v>0</v>
      </c>
      <c r="AA19" s="1212">
        <f>SUM('IV-2 lrsa'!Q11)</f>
        <v>170000</v>
      </c>
      <c r="AB19" s="1375">
        <f t="shared" ref="AB19" si="28">SUM(AB20:AB42)</f>
        <v>0</v>
      </c>
      <c r="AC19" s="306" t="str">
        <f>IF('ketv. 4 '!X19&gt;0,"Taip","Ne")</f>
        <v>Taip</v>
      </c>
      <c r="AD19" s="306">
        <f>SUM('ketv. 6 '!AF18)</f>
        <v>159409</v>
      </c>
      <c r="AE19" s="306">
        <f t="shared" si="8"/>
        <v>10591</v>
      </c>
      <c r="AF19" s="721">
        <f>SUM('IV-2 lrsa'!S11)</f>
        <v>42643</v>
      </c>
      <c r="AG19" s="373">
        <f>SUM('IV-2 lrsa'!T11)</f>
        <v>42855</v>
      </c>
      <c r="AH19" s="373">
        <f>SUM('IV-2 lrsa'!U11)</f>
        <v>43010</v>
      </c>
      <c r="AI19" s="373">
        <f>SUM('IV-2 lrsa'!V11)</f>
        <v>43102</v>
      </c>
      <c r="AJ19" s="375">
        <f t="shared" si="24"/>
        <v>2018</v>
      </c>
      <c r="AK19" s="829">
        <f>SUM('IV-2 lrsa'!W11)</f>
        <v>43291</v>
      </c>
      <c r="AL19" s="306">
        <f t="shared" si="9"/>
        <v>0</v>
      </c>
      <c r="AM19" s="306">
        <f t="shared" si="10"/>
        <v>0</v>
      </c>
      <c r="AN19" s="306">
        <f t="shared" si="11"/>
        <v>170000</v>
      </c>
      <c r="AO19" s="306">
        <f t="shared" si="12"/>
        <v>0</v>
      </c>
      <c r="AP19" s="830">
        <f t="shared" si="13"/>
        <v>0</v>
      </c>
      <c r="AQ19" s="831"/>
      <c r="AR19" s="831"/>
      <c r="AS19" s="831"/>
    </row>
    <row r="20" spans="1:45" ht="52.5" thickTop="1" thickBot="1" x14ac:dyDescent="0.3">
      <c r="A20" s="342" t="s">
        <v>405</v>
      </c>
      <c r="B20" s="342" t="s">
        <v>1285</v>
      </c>
      <c r="C20" s="970" t="str">
        <f>CONCATENATE('ketv. 2'!B19)</f>
        <v>20KI-KA-17-1-02354-PR001</v>
      </c>
      <c r="D20" s="342" t="str">
        <f>CONCATENATE('IV-2 lrsa'!D12)</f>
        <v>Laisvalaikio infrastruktūros sukūrimas Lazdijų rajono kaimo gyvenamosiose vietovėse</v>
      </c>
      <c r="E20" s="342" t="str">
        <f>CONCATENATE('IV-2 lrsa'!E12)</f>
        <v>Lazdijų rajono savivaldybės administracija</v>
      </c>
      <c r="F20" s="342" t="str">
        <f>CONCATENATE('IV-2 lrsa'!F12)</f>
        <v>Lietuvos Respublikos žemės ūkio ministerija</v>
      </c>
      <c r="G20" s="342" t="str">
        <f>CONCATENATE('IV-2 lrsa'!G12)</f>
        <v>Lazdijų r. sav.</v>
      </c>
      <c r="H20" s="342" t="str">
        <f>CONCATENATE('IV-2 lrsa'!H12)</f>
        <v xml:space="preserve">Pagrindinės paslaugos ir kaimų atnaujinimas kaimo vietovėse </v>
      </c>
      <c r="I20" s="312" t="str">
        <f>CONCATENATE('IV-2 lrsa'!I12)</f>
        <v>R</v>
      </c>
      <c r="J20" s="312" t="str">
        <f>CONCATENATE('IV-2 lrsa'!J12)</f>
        <v>-</v>
      </c>
      <c r="K20" s="312" t="str">
        <f>CONCATENATE('IV-2 lrsa'!K12)</f>
        <v>-</v>
      </c>
      <c r="L20" s="1212">
        <f>SUM('IV-2 lrsa'!L12)</f>
        <v>125000</v>
      </c>
      <c r="M20" s="1212">
        <f>SUM('ketv. 6 '!L19)</f>
        <v>128689</v>
      </c>
      <c r="N20" s="1212">
        <f t="shared" si="14"/>
        <v>-3689</v>
      </c>
      <c r="O20" s="1212">
        <f>SUM('IV-2 lrsa'!M12)</f>
        <v>25000</v>
      </c>
      <c r="P20" s="1212">
        <f>SUM('ketv. 6 '!P19)</f>
        <v>28689</v>
      </c>
      <c r="Q20" s="1212">
        <f t="shared" si="15"/>
        <v>-3689</v>
      </c>
      <c r="R20" s="1212">
        <f>SUM('IV-2 lrsa'!N12)</f>
        <v>15000</v>
      </c>
      <c r="S20" s="1212">
        <f>SUM('ketv. 6 '!T19)</f>
        <v>15000</v>
      </c>
      <c r="T20" s="1212">
        <f t="shared" si="16"/>
        <v>0</v>
      </c>
      <c r="U20" s="1212">
        <f>SUM('IV-2 lrsa'!O12)</f>
        <v>0</v>
      </c>
      <c r="V20" s="1212">
        <f>SUM('ketv. 6 '!X19)</f>
        <v>0</v>
      </c>
      <c r="W20" s="1212">
        <f t="shared" si="17"/>
        <v>0</v>
      </c>
      <c r="X20" s="1212">
        <f>SUM('IV-2 lrsa'!P12)</f>
        <v>0</v>
      </c>
      <c r="Y20" s="1212">
        <f>SUM('ketv. 6 '!AB19)</f>
        <v>0</v>
      </c>
      <c r="Z20" s="1212">
        <f t="shared" si="18"/>
        <v>0</v>
      </c>
      <c r="AA20" s="1212">
        <f>SUM('IV-2 lrsa'!Q12)</f>
        <v>85000</v>
      </c>
      <c r="AB20" s="1375">
        <f t="shared" ref="AB20" si="29">SUM(AB21:AB43)</f>
        <v>0</v>
      </c>
      <c r="AC20" s="306" t="str">
        <f>IF('ketv. 4 '!X20&gt;0,"Taip","Ne")</f>
        <v>Taip</v>
      </c>
      <c r="AD20" s="306">
        <f>SUM('ketv. 6 '!AF19)</f>
        <v>85000</v>
      </c>
      <c r="AE20" s="306">
        <f t="shared" si="8"/>
        <v>0</v>
      </c>
      <c r="AF20" s="721">
        <f>SUM('IV-2 lrsa'!S12)</f>
        <v>42643</v>
      </c>
      <c r="AG20" s="373">
        <f>SUM('IV-2 lrsa'!T12)</f>
        <v>42855</v>
      </c>
      <c r="AH20" s="373">
        <f>SUM('IV-2 lrsa'!U12)</f>
        <v>43010</v>
      </c>
      <c r="AI20" s="373">
        <f>SUM('IV-2 lrsa'!V12)</f>
        <v>43102</v>
      </c>
      <c r="AJ20" s="375">
        <f t="shared" si="24"/>
        <v>2018</v>
      </c>
      <c r="AK20" s="829">
        <f>SUM('IV-2 lrsa'!W12)</f>
        <v>43292</v>
      </c>
      <c r="AL20" s="306">
        <f t="shared" si="9"/>
        <v>0</v>
      </c>
      <c r="AM20" s="306">
        <f t="shared" si="10"/>
        <v>0</v>
      </c>
      <c r="AN20" s="306">
        <f t="shared" si="11"/>
        <v>85000</v>
      </c>
      <c r="AO20" s="306">
        <f t="shared" si="12"/>
        <v>0</v>
      </c>
      <c r="AP20" s="830">
        <f t="shared" si="13"/>
        <v>0</v>
      </c>
      <c r="AQ20" s="831"/>
      <c r="AR20" s="831"/>
      <c r="AS20" s="831"/>
    </row>
    <row r="21" spans="1:45" ht="52.5" thickTop="1" thickBot="1" x14ac:dyDescent="0.3">
      <c r="A21" s="342" t="s">
        <v>406</v>
      </c>
      <c r="B21" s="342" t="s">
        <v>1270</v>
      </c>
      <c r="C21" s="970" t="str">
        <f>CONCATENATE('ketv. 2'!B20)</f>
        <v>20KI-KA-17-1-02470-PR001</v>
      </c>
      <c r="D21" s="342" t="str">
        <f>CONCATENATE('IV-2 arsa'!C10)</f>
        <v>Alytaus rajono Butrimonių miestelio šaligatvių kapitalinis remontas ir gyvenvietės apšvietimo įrengimas</v>
      </c>
      <c r="E21" s="342" t="str">
        <f>CONCATENATE('IV-2 arsa'!D10)</f>
        <v>Alytaus rajono savivaldybės administracija</v>
      </c>
      <c r="F21" s="342" t="str">
        <f>CONCATENATE('IV-2 arsa'!E10)</f>
        <v>Lietuvos Respublikos žemės ūkio ministerija</v>
      </c>
      <c r="G21" s="342" t="str">
        <f>CONCATENATE('IV-2 arsa'!F10)</f>
        <v>Alytaus r. sav.</v>
      </c>
      <c r="H21" s="342" t="str">
        <f>CONCATENATE('IV-2 arsa'!G10)</f>
        <v xml:space="preserve">Pagrindinės paslaugos ir kaimų atnaujinimas kaimo vietovėse </v>
      </c>
      <c r="I21" s="312" t="str">
        <f>CONCATENATE('IV-2 arsa'!H10)</f>
        <v>R</v>
      </c>
      <c r="J21" s="312" t="str">
        <f>CONCATENATE('IV-2 arsa'!I10)</f>
        <v>-</v>
      </c>
      <c r="K21" s="312" t="str">
        <f>CONCATENATE('IV-2 arsa'!J10)</f>
        <v>-</v>
      </c>
      <c r="L21" s="1212">
        <f>SUM('IV-2 arsa'!K10)</f>
        <v>153566</v>
      </c>
      <c r="M21" s="1212">
        <f>SUM('ketv. 6 '!L20)</f>
        <v>153564.76470768492</v>
      </c>
      <c r="N21" s="1212">
        <f t="shared" si="14"/>
        <v>1.2352923150756396</v>
      </c>
      <c r="O21" s="1212">
        <f>SUM('IV-2 arsa'!L10)</f>
        <v>30713</v>
      </c>
      <c r="P21" s="1212">
        <f>SUM('ketv. 6 '!P20)</f>
        <v>30712.764707684939</v>
      </c>
      <c r="Q21" s="1212">
        <f t="shared" si="15"/>
        <v>0.23529231506108772</v>
      </c>
      <c r="R21" s="1212">
        <f>SUM('IV-2 arsa'!M10)</f>
        <v>18428</v>
      </c>
      <c r="S21" s="1212">
        <f>SUM('ketv. 6 '!T20)</f>
        <v>18427.8</v>
      </c>
      <c r="T21" s="1212">
        <f t="shared" si="16"/>
        <v>0.2000000000007276</v>
      </c>
      <c r="U21" s="1212">
        <f>SUM('IV-2 arsa'!N10)</f>
        <v>0</v>
      </c>
      <c r="V21" s="1212">
        <f>SUM('ketv. 6 '!X20)</f>
        <v>0</v>
      </c>
      <c r="W21" s="1212">
        <f t="shared" si="17"/>
        <v>0</v>
      </c>
      <c r="X21" s="1212">
        <f>SUM('IV-2 arsa'!O10)</f>
        <v>0</v>
      </c>
      <c r="Y21" s="1212">
        <f>SUM('ketv. 6 '!AB20)</f>
        <v>0</v>
      </c>
      <c r="Z21" s="1212">
        <f t="shared" si="18"/>
        <v>0</v>
      </c>
      <c r="AA21" s="1212">
        <f>SUM('IV-2 arsa'!P10)</f>
        <v>104425</v>
      </c>
      <c r="AB21" s="1375">
        <f t="shared" ref="AB21" si="30">SUM(AB22:AB44)</f>
        <v>0</v>
      </c>
      <c r="AC21" s="306" t="str">
        <f>IF('ketv. 4 '!X21&gt;0,"Taip","Ne")</f>
        <v>Taip</v>
      </c>
      <c r="AD21" s="306">
        <f>SUM('ketv. 6 '!AF20)</f>
        <v>104424.2</v>
      </c>
      <c r="AE21" s="306">
        <f t="shared" si="8"/>
        <v>0.80000000000291038</v>
      </c>
      <c r="AF21" s="721">
        <f>SUM('IV-2 arsa'!R10)</f>
        <v>42643</v>
      </c>
      <c r="AG21" s="373">
        <f>SUM('IV-2 arsa'!S10)</f>
        <v>42855</v>
      </c>
      <c r="AH21" s="373">
        <f>SUM('IV-2 arsa'!T10)</f>
        <v>43010</v>
      </c>
      <c r="AI21" s="373">
        <f>SUM('IV-2 arsa'!U10)</f>
        <v>43102</v>
      </c>
      <c r="AJ21" s="375">
        <f t="shared" si="24"/>
        <v>2018</v>
      </c>
      <c r="AK21" s="829">
        <f>SUM('IV-2 arsa'!V10)</f>
        <v>43465</v>
      </c>
      <c r="AL21" s="306">
        <f t="shared" si="9"/>
        <v>0</v>
      </c>
      <c r="AM21" s="306">
        <f t="shared" si="10"/>
        <v>0</v>
      </c>
      <c r="AN21" s="306">
        <f t="shared" si="11"/>
        <v>104425</v>
      </c>
      <c r="AO21" s="306">
        <f t="shared" si="12"/>
        <v>0</v>
      </c>
      <c r="AP21" s="830">
        <f t="shared" si="13"/>
        <v>0</v>
      </c>
      <c r="AQ21" s="831"/>
      <c r="AR21" s="831"/>
      <c r="AS21" s="831"/>
    </row>
    <row r="22" spans="1:45" ht="52.5" thickTop="1" thickBot="1" x14ac:dyDescent="0.3">
      <c r="A22" s="342" t="s">
        <v>407</v>
      </c>
      <c r="B22" s="342" t="s">
        <v>1286</v>
      </c>
      <c r="C22" s="970" t="str">
        <f>CONCATENATE('ketv. 2'!B21)</f>
        <v>20KI-KA-17-1-02438-PR001</v>
      </c>
      <c r="D22" s="342" t="str">
        <f>CONCATENATE('IV-2 arsa'!C11)</f>
        <v>Alytaus rajono Genių kaimo sporto aikštės įrengimas ir gatvių rekonstrukcija</v>
      </c>
      <c r="E22" s="342" t="str">
        <f>CONCATENATE('IV-2 arsa'!D11)</f>
        <v>Alytaus rajono savivaldybės administracija</v>
      </c>
      <c r="F22" s="342" t="str">
        <f>CONCATENATE('IV-2 arsa'!E11)</f>
        <v>Lietuvos Respublikos žemės ūkio ministerija</v>
      </c>
      <c r="G22" s="342" t="str">
        <f>CONCATENATE('IV-2 arsa'!F11)</f>
        <v>Alytaus r. sav.</v>
      </c>
      <c r="H22" s="342" t="str">
        <f>CONCATENATE('IV-2 arsa'!G11)</f>
        <v xml:space="preserve">Pagrindinės paslaugos ir kaimų atnaujinimas kaimo vietovėse </v>
      </c>
      <c r="I22" s="312" t="str">
        <f>CONCATENATE('IV-2 arsa'!H11)</f>
        <v>R</v>
      </c>
      <c r="J22" s="312" t="str">
        <f>CONCATENATE('IV-2 arsa'!I11)</f>
        <v>-</v>
      </c>
      <c r="K22" s="312" t="str">
        <f>CONCATENATE('IV-2 arsa'!J11)</f>
        <v>-</v>
      </c>
      <c r="L22" s="1212">
        <f>SUM('IV-2 arsa'!K11)</f>
        <v>250000</v>
      </c>
      <c r="M22" s="1212">
        <f>SUM('ketv. 6 '!L21)</f>
        <v>422018</v>
      </c>
      <c r="N22" s="1212">
        <f t="shared" si="14"/>
        <v>-172018</v>
      </c>
      <c r="O22" s="1212">
        <f>SUM('IV-2 arsa'!L11)</f>
        <v>50000</v>
      </c>
      <c r="P22" s="1212">
        <f>SUM('ketv. 6 '!P21)</f>
        <v>222018</v>
      </c>
      <c r="Q22" s="1212">
        <f t="shared" si="15"/>
        <v>-172018</v>
      </c>
      <c r="R22" s="1212">
        <f>SUM('IV-2 arsa'!M11)</f>
        <v>30000</v>
      </c>
      <c r="S22" s="1212">
        <f>SUM('ketv. 6 '!T21)</f>
        <v>30000</v>
      </c>
      <c r="T22" s="1212">
        <f t="shared" si="16"/>
        <v>0</v>
      </c>
      <c r="U22" s="1212">
        <f>SUM('IV-2 arsa'!N11)</f>
        <v>0</v>
      </c>
      <c r="V22" s="1212">
        <f>SUM('ketv. 6 '!X21)</f>
        <v>0</v>
      </c>
      <c r="W22" s="1212">
        <f t="shared" si="17"/>
        <v>0</v>
      </c>
      <c r="X22" s="1212">
        <f>SUM('IV-2 arsa'!O11)</f>
        <v>0</v>
      </c>
      <c r="Y22" s="1212">
        <f>SUM('ketv. 6 '!AB21)</f>
        <v>0</v>
      </c>
      <c r="Z22" s="1212">
        <f t="shared" si="18"/>
        <v>0</v>
      </c>
      <c r="AA22" s="1212">
        <f>SUM('IV-2 arsa'!P11)</f>
        <v>170000</v>
      </c>
      <c r="AB22" s="1375">
        <f t="shared" ref="AB22" si="31">SUM(AB23:AB45)</f>
        <v>0</v>
      </c>
      <c r="AC22" s="306" t="str">
        <f>IF('ketv. 4 '!X22&gt;0,"Taip","Ne")</f>
        <v>Taip</v>
      </c>
      <c r="AD22" s="306">
        <f>SUM('ketv. 6 '!AF21)</f>
        <v>170000</v>
      </c>
      <c r="AE22" s="306">
        <f t="shared" si="8"/>
        <v>0</v>
      </c>
      <c r="AF22" s="721">
        <f>SUM('IV-2 arsa'!R11)</f>
        <v>42643</v>
      </c>
      <c r="AG22" s="373">
        <f>SUM('IV-2 arsa'!S11)</f>
        <v>42855</v>
      </c>
      <c r="AH22" s="373">
        <f>SUM('IV-2 arsa'!T11)</f>
        <v>43010</v>
      </c>
      <c r="AI22" s="373">
        <f>SUM('IV-2 arsa'!U11)</f>
        <v>43102</v>
      </c>
      <c r="AJ22" s="375">
        <f t="shared" si="24"/>
        <v>2018</v>
      </c>
      <c r="AK22" s="829">
        <f>SUM('IV-2 arsa'!V11)</f>
        <v>43465</v>
      </c>
      <c r="AL22" s="306">
        <f t="shared" si="9"/>
        <v>0</v>
      </c>
      <c r="AM22" s="306">
        <f t="shared" si="10"/>
        <v>0</v>
      </c>
      <c r="AN22" s="306">
        <f t="shared" si="11"/>
        <v>170000</v>
      </c>
      <c r="AO22" s="306">
        <f t="shared" si="12"/>
        <v>0</v>
      </c>
      <c r="AP22" s="830">
        <f t="shared" si="13"/>
        <v>0</v>
      </c>
      <c r="AQ22" s="831"/>
      <c r="AR22" s="831"/>
      <c r="AS22" s="831"/>
    </row>
    <row r="23" spans="1:45" ht="52.5" thickTop="1" thickBot="1" x14ac:dyDescent="0.3">
      <c r="A23" s="342" t="s">
        <v>408</v>
      </c>
      <c r="B23" s="342" t="s">
        <v>1289</v>
      </c>
      <c r="C23" s="970" t="str">
        <f>CONCATENATE('ketv. 2'!B22)</f>
        <v>20KI-KA-17-1-01647-PR001</v>
      </c>
      <c r="D23" s="342" t="str">
        <f>CONCATENATE('IV-2 vrsa'!D8)</f>
        <v>Varėnos r. Dargužių kaimo Liepų gatvės ir viešosios erdvės įrengimas</v>
      </c>
      <c r="E23" s="342" t="str">
        <f>CONCATENATE('IV-2 vrsa'!E8)</f>
        <v xml:space="preserve">Varėnos rajono savivaldybės administracija </v>
      </c>
      <c r="F23" s="342" t="str">
        <f>CONCATENATE('IV-2 vrsa'!F8)</f>
        <v>Lietuvos Respublikos žemės ūkio ministerija</v>
      </c>
      <c r="G23" s="342" t="str">
        <f>CONCATENATE('IV-2 vrsa'!G8)</f>
        <v>Varėnos r. sav.</v>
      </c>
      <c r="H23" s="342" t="str">
        <f>CONCATENATE('IV-2 vrsa'!H8)</f>
        <v xml:space="preserve">Pagrindinės paslaugos ir kaimų atnaujinimas kaimo vietovėse </v>
      </c>
      <c r="I23" s="312" t="str">
        <f>CONCATENATE('IV-2 vrsa'!I8)</f>
        <v>R</v>
      </c>
      <c r="J23" s="312" t="str">
        <f>CONCATENATE('IV-2 vrsa'!J8)</f>
        <v>-</v>
      </c>
      <c r="K23" s="312" t="str">
        <f>CONCATENATE('IV-2 vrsa'!K8)</f>
        <v>-</v>
      </c>
      <c r="L23" s="1212">
        <f>SUM('IV-2 vrsa'!L8)</f>
        <v>215626</v>
      </c>
      <c r="M23" s="1212">
        <f>SUM('ketv. 6 '!L22)</f>
        <v>215626</v>
      </c>
      <c r="N23" s="1212">
        <f t="shared" si="14"/>
        <v>0</v>
      </c>
      <c r="O23" s="1212">
        <f>SUM('IV-2 vrsa'!M8)</f>
        <v>43125</v>
      </c>
      <c r="P23" s="1212">
        <f>SUM('ketv. 6 '!P22)</f>
        <v>43126</v>
      </c>
      <c r="Q23" s="1212">
        <f t="shared" si="15"/>
        <v>-1</v>
      </c>
      <c r="R23" s="1212">
        <f>SUM('IV-2 vrsa'!N8)</f>
        <v>25875</v>
      </c>
      <c r="S23" s="1212">
        <f>SUM('ketv. 6 '!T22)</f>
        <v>25875</v>
      </c>
      <c r="T23" s="1212">
        <f t="shared" si="16"/>
        <v>0</v>
      </c>
      <c r="U23" s="1212">
        <f>SUM('IV-2 vrsa'!O8)</f>
        <v>0</v>
      </c>
      <c r="V23" s="1212">
        <f>SUM('ketv. 6 '!X22)</f>
        <v>0</v>
      </c>
      <c r="W23" s="1212">
        <f t="shared" si="17"/>
        <v>0</v>
      </c>
      <c r="X23" s="1212">
        <f>SUM('IV-2 vrsa'!P8)</f>
        <v>0</v>
      </c>
      <c r="Y23" s="1212">
        <f>SUM('ketv. 6 '!AB22)</f>
        <v>0</v>
      </c>
      <c r="Z23" s="1212">
        <f t="shared" si="18"/>
        <v>0</v>
      </c>
      <c r="AA23" s="1212">
        <f>SUM('IV-2 vrsa'!Q8)</f>
        <v>146626</v>
      </c>
      <c r="AB23" s="1375">
        <f t="shared" ref="AB23" si="32">SUM(AB24:AB46)</f>
        <v>0</v>
      </c>
      <c r="AC23" s="306" t="str">
        <f>IF('ketv. 4 '!X23&gt;0,"Taip","Ne")</f>
        <v>Taip</v>
      </c>
      <c r="AD23" s="306">
        <f>SUM('ketv. 6 '!AF22)</f>
        <v>146625</v>
      </c>
      <c r="AE23" s="306">
        <f t="shared" si="8"/>
        <v>1</v>
      </c>
      <c r="AF23" s="721">
        <f>SUM('IV-2 arsa'!R12)</f>
        <v>42643</v>
      </c>
      <c r="AG23" s="373">
        <f>SUM('IV-2 arsa'!S12)</f>
        <v>42855</v>
      </c>
      <c r="AH23" s="373">
        <f>SUM('IV-2 vrsa'!U8)</f>
        <v>43010</v>
      </c>
      <c r="AI23" s="373">
        <f>SUM('IV-2 vrsa'!V8)</f>
        <v>43102</v>
      </c>
      <c r="AJ23" s="375">
        <f t="shared" si="24"/>
        <v>2018</v>
      </c>
      <c r="AK23" s="829">
        <f>SUM('IV-2 vrsa'!W8)</f>
        <v>43830</v>
      </c>
      <c r="AL23" s="306">
        <f t="shared" si="9"/>
        <v>0</v>
      </c>
      <c r="AM23" s="306">
        <f t="shared" si="10"/>
        <v>0</v>
      </c>
      <c r="AN23" s="306">
        <f t="shared" si="11"/>
        <v>146626</v>
      </c>
      <c r="AO23" s="306">
        <f t="shared" si="12"/>
        <v>0</v>
      </c>
      <c r="AP23" s="830">
        <f t="shared" si="13"/>
        <v>0</v>
      </c>
      <c r="AQ23" s="831"/>
      <c r="AR23" s="831"/>
      <c r="AS23" s="831"/>
    </row>
    <row r="24" spans="1:45" ht="52.5" thickTop="1" thickBot="1" x14ac:dyDescent="0.3">
      <c r="A24" s="342" t="s">
        <v>409</v>
      </c>
      <c r="B24" s="342" t="s">
        <v>1287</v>
      </c>
      <c r="C24" s="970" t="str">
        <f>CONCATENATE('ketv. 2'!B23)</f>
        <v>20KI-KA-17-1-02469-PR001</v>
      </c>
      <c r="D24" s="342" t="str">
        <f>CONCATENATE('IV-2 arsa'!C12)</f>
        <v>Alytaus rajono Vaisodžių kaimo sporto aikštės įrengimas ir gatvių apšvietimo atnaujinimas bei plėtra</v>
      </c>
      <c r="E24" s="342" t="str">
        <f>CONCATENATE('IV-2 arsa'!D12)</f>
        <v>Alytaus rajono savivaldybės administracija</v>
      </c>
      <c r="F24" s="342" t="str">
        <f>CONCATENATE('IV-2 arsa'!E12)</f>
        <v>Lietuvos Respublikos žemės ūkio ministerija</v>
      </c>
      <c r="G24" s="342" t="str">
        <f>CONCATENATE('IV-2 arsa'!F12)</f>
        <v>Alytaus r. sav.</v>
      </c>
      <c r="H24" s="342" t="str">
        <f>CONCATENATE('IV-2 arsa'!G12)</f>
        <v xml:space="preserve">Pagrindinės paslaugos ir kaimų atnaujinimas kaimo vietovėse </v>
      </c>
      <c r="I24" s="312" t="str">
        <f>CONCATENATE('IV-2 arsa'!H12)</f>
        <v>R</v>
      </c>
      <c r="J24" s="312" t="str">
        <f>CONCATENATE('IV-2 arsa'!I12)</f>
        <v>-</v>
      </c>
      <c r="K24" s="312" t="str">
        <f>CONCATENATE('IV-2 arsa'!J12)</f>
        <v>-</v>
      </c>
      <c r="L24" s="1212">
        <f>SUM('IV-2 arsa'!K12)</f>
        <v>76480</v>
      </c>
      <c r="M24" s="1212">
        <f>SUM('ketv. 6 '!L23)</f>
        <v>0</v>
      </c>
      <c r="N24" s="1212">
        <f t="shared" si="14"/>
        <v>0</v>
      </c>
      <c r="O24" s="1212">
        <f>SUM('IV-2 arsa'!L12)</f>
        <v>15296</v>
      </c>
      <c r="P24" s="1212">
        <f>SUM('ketv. 6 '!P23)</f>
        <v>0</v>
      </c>
      <c r="Q24" s="1212">
        <f t="shared" si="15"/>
        <v>0</v>
      </c>
      <c r="R24" s="1212">
        <f>SUM('IV-2 arsa'!M12)</f>
        <v>9178</v>
      </c>
      <c r="S24" s="1212">
        <f>SUM('ketv. 6 '!T23)</f>
        <v>0</v>
      </c>
      <c r="T24" s="1212">
        <f t="shared" si="16"/>
        <v>0</v>
      </c>
      <c r="U24" s="1212">
        <f>SUM('IV-2 arsa'!N12)</f>
        <v>0</v>
      </c>
      <c r="V24" s="1212">
        <f>SUM('ketv. 6 '!X23)</f>
        <v>0</v>
      </c>
      <c r="W24" s="1212">
        <f t="shared" si="17"/>
        <v>0</v>
      </c>
      <c r="X24" s="1212">
        <f>SUM('IV-2 arsa'!O12)</f>
        <v>0</v>
      </c>
      <c r="Y24" s="1212">
        <f>SUM('ketv. 6 '!AB23)</f>
        <v>0</v>
      </c>
      <c r="Z24" s="1212">
        <f t="shared" si="18"/>
        <v>0</v>
      </c>
      <c r="AA24" s="1212">
        <f>SUM('IV-2 arsa'!P12)</f>
        <v>52006</v>
      </c>
      <c r="AB24" s="1375">
        <f t="shared" ref="AB24" si="33">SUM(AB25:AB47)</f>
        <v>0</v>
      </c>
      <c r="AC24" s="306" t="str">
        <f>IF('ketv. 4 '!X24&gt;0,"Taip","Ne")</f>
        <v>Ne</v>
      </c>
      <c r="AD24" s="306">
        <f>SUM('ketv. 6 '!AF23)</f>
        <v>0</v>
      </c>
      <c r="AE24" s="306">
        <f t="shared" si="8"/>
        <v>0</v>
      </c>
      <c r="AF24" s="721">
        <f>SUM('IV-2 arsa'!R13)</f>
        <v>42643</v>
      </c>
      <c r="AG24" s="373">
        <f>SUM('IV-2 arsa'!S13)</f>
        <v>42855</v>
      </c>
      <c r="AH24" s="373">
        <f>SUM('IV-2 arsa'!T12)</f>
        <v>43010</v>
      </c>
      <c r="AI24" s="373">
        <f>SUM('IV-2 arsa'!U12)</f>
        <v>43102</v>
      </c>
      <c r="AJ24" s="375">
        <f t="shared" si="24"/>
        <v>2018</v>
      </c>
      <c r="AK24" s="829">
        <f>SUM('IV-2 arsa'!V12)</f>
        <v>43465</v>
      </c>
      <c r="AL24" s="306">
        <f t="shared" si="9"/>
        <v>0</v>
      </c>
      <c r="AM24" s="306">
        <f t="shared" si="10"/>
        <v>0</v>
      </c>
      <c r="AN24" s="306">
        <f t="shared" si="11"/>
        <v>52006</v>
      </c>
      <c r="AO24" s="306">
        <f t="shared" si="12"/>
        <v>0</v>
      </c>
      <c r="AP24" s="830">
        <f t="shared" si="13"/>
        <v>0</v>
      </c>
      <c r="AQ24" s="831"/>
      <c r="AR24" s="831"/>
      <c r="AS24" s="831"/>
    </row>
    <row r="25" spans="1:45" ht="52.5" thickTop="1" thickBot="1" x14ac:dyDescent="0.3">
      <c r="A25" s="342" t="s">
        <v>410</v>
      </c>
      <c r="B25" s="342" t="s">
        <v>1288</v>
      </c>
      <c r="C25" s="970" t="str">
        <f>CONCATENATE('ketv. 2'!B24)</f>
        <v>20KI-KA-17-1-02240-PR001</v>
      </c>
      <c r="D25" s="342" t="str">
        <f>CONCATENATE('IV-2 arsa'!C13)</f>
        <v>Alytaus rajono Talokių kaimo sporto aikštės įrengimas ir Plytinės gatvės apšvietimas</v>
      </c>
      <c r="E25" s="342" t="str">
        <f>CONCATENATE('IV-2 arsa'!D13)</f>
        <v>Alytaus rajono savivaldybės administracija</v>
      </c>
      <c r="F25" s="342" t="str">
        <f>CONCATENATE('IV-2 arsa'!E13)</f>
        <v>Lietuvos Respublikos žemės ūkio ministerija</v>
      </c>
      <c r="G25" s="342" t="str">
        <f>CONCATENATE('IV-2 arsa'!F13)</f>
        <v>Alytaus r. sav.</v>
      </c>
      <c r="H25" s="342" t="str">
        <f>CONCATENATE('IV-2 arsa'!G13)</f>
        <v xml:space="preserve">Pagrindinės paslaugos ir kaimų atnaujinimas kaimo vietovėse </v>
      </c>
      <c r="I25" s="312" t="str">
        <f>CONCATENATE('IV-2 arsa'!H13)</f>
        <v>R</v>
      </c>
      <c r="J25" s="312" t="str">
        <f>CONCATENATE('IV-2 arsa'!I13)</f>
        <v>-</v>
      </c>
      <c r="K25" s="312" t="str">
        <f>CONCATENATE('IV-2 arsa'!J13)</f>
        <v>-</v>
      </c>
      <c r="L25" s="1212">
        <f>SUM('IV-2 arsa'!K13)</f>
        <v>139472</v>
      </c>
      <c r="M25" s="1212">
        <f>SUM('ketv. 6 '!L24)</f>
        <v>141312</v>
      </c>
      <c r="N25" s="1212">
        <f t="shared" si="14"/>
        <v>-1840</v>
      </c>
      <c r="O25" s="1212">
        <f>SUM('IV-2 arsa'!L13)</f>
        <v>27894</v>
      </c>
      <c r="P25" s="1212">
        <f>SUM('ketv. 6 '!P24)</f>
        <v>44913</v>
      </c>
      <c r="Q25" s="1212">
        <f t="shared" si="15"/>
        <v>-17019</v>
      </c>
      <c r="R25" s="1212">
        <f>SUM('IV-2 arsa'!M13)</f>
        <v>16737</v>
      </c>
      <c r="S25" s="1212">
        <f>SUM('ketv. 6 '!T24)</f>
        <v>14459.85</v>
      </c>
      <c r="T25" s="1212">
        <f t="shared" si="16"/>
        <v>2277.1499999999996</v>
      </c>
      <c r="U25" s="1212">
        <f>SUM('IV-2 arsa'!N13)</f>
        <v>0</v>
      </c>
      <c r="V25" s="1212">
        <f>SUM('ketv. 6 '!X24)</f>
        <v>0</v>
      </c>
      <c r="W25" s="1212">
        <f t="shared" si="17"/>
        <v>0</v>
      </c>
      <c r="X25" s="1212">
        <f>SUM('IV-2 arsa'!O13)</f>
        <v>0</v>
      </c>
      <c r="Y25" s="1212">
        <f>SUM('ketv. 6 '!AB24)</f>
        <v>0</v>
      </c>
      <c r="Z25" s="1212">
        <f t="shared" si="18"/>
        <v>0</v>
      </c>
      <c r="AA25" s="1212">
        <f>SUM('IV-2 arsa'!P13)</f>
        <v>94841</v>
      </c>
      <c r="AB25" s="1375">
        <f t="shared" ref="AB25" si="34">SUM(AB26:AB48)</f>
        <v>0</v>
      </c>
      <c r="AC25" s="306" t="str">
        <f>IF('ketv. 4 '!X25&gt;0,"Taip","Ne")</f>
        <v>Taip</v>
      </c>
      <c r="AD25" s="306">
        <f>SUM('ketv. 6 '!AF24)</f>
        <v>81939.149999999994</v>
      </c>
      <c r="AE25" s="306">
        <f t="shared" si="8"/>
        <v>12901.850000000006</v>
      </c>
      <c r="AF25" s="721">
        <f>SUM('IV-2 arsa'!R14)</f>
        <v>42643</v>
      </c>
      <c r="AG25" s="373">
        <f>SUM('IV-2 arsa'!S14)</f>
        <v>42855</v>
      </c>
      <c r="AH25" s="373">
        <f>SUM('IV-2 arsa'!T13)</f>
        <v>43010</v>
      </c>
      <c r="AI25" s="373">
        <f>SUM('IV-2 arsa'!U13)</f>
        <v>43102</v>
      </c>
      <c r="AJ25" s="375">
        <f t="shared" si="24"/>
        <v>2018</v>
      </c>
      <c r="AK25" s="829">
        <f>SUM('IV-2 arsa'!V13)</f>
        <v>43465</v>
      </c>
      <c r="AL25" s="306">
        <f t="shared" si="9"/>
        <v>0</v>
      </c>
      <c r="AM25" s="306">
        <f t="shared" si="10"/>
        <v>0</v>
      </c>
      <c r="AN25" s="306">
        <f t="shared" si="11"/>
        <v>94841</v>
      </c>
      <c r="AO25" s="306">
        <f t="shared" si="12"/>
        <v>0</v>
      </c>
      <c r="AP25" s="830">
        <f t="shared" si="13"/>
        <v>0</v>
      </c>
      <c r="AQ25" s="831"/>
      <c r="AR25" s="831"/>
      <c r="AS25" s="831"/>
    </row>
    <row r="26" spans="1:45" ht="52.5" thickTop="1" thickBot="1" x14ac:dyDescent="0.3">
      <c r="A26" s="342" t="s">
        <v>411</v>
      </c>
      <c r="B26" s="342" t="s">
        <v>1271</v>
      </c>
      <c r="C26" s="970" t="str">
        <f>CONCATENATE('ketv. 2'!B25)</f>
        <v>20KI-KA-17-1-01639-PR001</v>
      </c>
      <c r="D26" s="342" t="str">
        <f>CONCATENATE('IV-2 vrsa'!D9)</f>
        <v>Varėnos r. Rudnios kaimo Pušyno gatvės įrengimas</v>
      </c>
      <c r="E26" s="342" t="str">
        <f>CONCATENATE('IV-2 vrsa'!E9)</f>
        <v xml:space="preserve">Varėnos rajono savivaldybės administracija </v>
      </c>
      <c r="F26" s="342" t="str">
        <f>CONCATENATE('IV-2 vrsa'!F9)</f>
        <v>Lietuvos Respublikos žemės ūkio ministerija</v>
      </c>
      <c r="G26" s="342" t="str">
        <f>CONCATENATE('IV-2 vrsa'!G9)</f>
        <v>Varėnos r. sav.</v>
      </c>
      <c r="H26" s="342" t="str">
        <f>CONCATENATE('IV-2 vrsa'!H9)</f>
        <v xml:space="preserve">Pagrindinės paslaugos ir kaimų atnaujinimas kaimo vietovėse </v>
      </c>
      <c r="I26" s="312" t="str">
        <f>CONCATENATE('IV-2 vrsa'!I9)</f>
        <v>R</v>
      </c>
      <c r="J26" s="312" t="str">
        <f>CONCATENATE('IV-2 vrsa'!J9)</f>
        <v>-</v>
      </c>
      <c r="K26" s="312" t="str">
        <f>CONCATENATE('IV-2 vrsa'!K9)</f>
        <v>-</v>
      </c>
      <c r="L26" s="1212">
        <f>SUM('IV-2 vrsa'!L9)</f>
        <v>115824</v>
      </c>
      <c r="M26" s="1212">
        <f>SUM('ketv. 6 '!L25)</f>
        <v>115624</v>
      </c>
      <c r="N26" s="1212">
        <f t="shared" si="14"/>
        <v>200</v>
      </c>
      <c r="O26" s="1212">
        <f>SUM('IV-2 vrsa'!M9)</f>
        <v>23165</v>
      </c>
      <c r="P26" s="1212">
        <f>SUM('ketv. 6 '!P25)</f>
        <v>23125</v>
      </c>
      <c r="Q26" s="1212">
        <f t="shared" si="15"/>
        <v>40</v>
      </c>
      <c r="R26" s="1212">
        <f>SUM('IV-2 vrsa'!N9)</f>
        <v>13899</v>
      </c>
      <c r="S26" s="1212">
        <f>SUM('ketv. 6 '!T25)</f>
        <v>13874.85</v>
      </c>
      <c r="T26" s="1212">
        <f t="shared" si="16"/>
        <v>24.149999999999636</v>
      </c>
      <c r="U26" s="1212">
        <f>SUM('IV-2 vrsa'!O9)</f>
        <v>0</v>
      </c>
      <c r="V26" s="1212">
        <f>SUM('ketv. 6 '!X25)</f>
        <v>0</v>
      </c>
      <c r="W26" s="1212">
        <f t="shared" si="17"/>
        <v>0</v>
      </c>
      <c r="X26" s="1212">
        <f>SUM('IV-2 vrsa'!P9)</f>
        <v>0</v>
      </c>
      <c r="Y26" s="1212">
        <f>SUM('ketv. 6 '!AB25)</f>
        <v>0</v>
      </c>
      <c r="Z26" s="1212">
        <f t="shared" si="18"/>
        <v>0</v>
      </c>
      <c r="AA26" s="1212">
        <f>SUM('IV-2 vrsa'!Q9)</f>
        <v>78760</v>
      </c>
      <c r="AB26" s="1375">
        <f t="shared" ref="AB26" si="35">SUM(AB27:AB49)</f>
        <v>0</v>
      </c>
      <c r="AC26" s="306" t="str">
        <f>IF('ketv. 4 '!X26&gt;0,"Taip","Ne")</f>
        <v>Taip</v>
      </c>
      <c r="AD26" s="306">
        <f>SUM('ketv. 6 '!AF25)</f>
        <v>78624.149999999994</v>
      </c>
      <c r="AE26" s="306">
        <f t="shared" si="8"/>
        <v>135.85000000000582</v>
      </c>
      <c r="AF26" s="721">
        <f>SUM('IV-2 vrsa'!S9)</f>
        <v>42643</v>
      </c>
      <c r="AG26" s="373">
        <f>SUM('IV-2 vrsa'!T9)</f>
        <v>42855</v>
      </c>
      <c r="AH26" s="373">
        <f>SUM('IV-2 vrsa'!U9)</f>
        <v>43010</v>
      </c>
      <c r="AI26" s="373">
        <f>SUM('IV-2 vrsa'!V9)</f>
        <v>43102</v>
      </c>
      <c r="AJ26" s="375">
        <f t="shared" si="24"/>
        <v>2018</v>
      </c>
      <c r="AK26" s="829">
        <f>SUM('IV-2 vrsa'!W9)</f>
        <v>43830</v>
      </c>
      <c r="AL26" s="306">
        <f t="shared" si="9"/>
        <v>0</v>
      </c>
      <c r="AM26" s="306">
        <f t="shared" si="10"/>
        <v>0</v>
      </c>
      <c r="AN26" s="306">
        <f t="shared" si="11"/>
        <v>78760</v>
      </c>
      <c r="AO26" s="306">
        <f t="shared" si="12"/>
        <v>0</v>
      </c>
      <c r="AP26" s="830">
        <f t="shared" si="13"/>
        <v>0</v>
      </c>
      <c r="AQ26" s="831"/>
      <c r="AR26" s="831"/>
      <c r="AS26" s="831"/>
    </row>
    <row r="27" spans="1:45" ht="52.5" thickTop="1" thickBot="1" x14ac:dyDescent="0.3">
      <c r="A27" s="342" t="s">
        <v>412</v>
      </c>
      <c r="B27" s="342" t="s">
        <v>1273</v>
      </c>
      <c r="C27" s="970" t="str">
        <f>CONCATENATE('ketv. 2'!B26)</f>
        <v>20KI-KA-17-1-01666-PR001</v>
      </c>
      <c r="D27" s="342" t="str">
        <f>CONCATENATE('IV-2 vrsa'!D10)</f>
        <v>Varėnos kultūros centro Žilinų filialo pastato atnaujinimas ir pritaikymas bendruomenės poreikiams</v>
      </c>
      <c r="E27" s="342" t="str">
        <f>CONCATENATE('IV-2 vrsa'!E10)</f>
        <v xml:space="preserve">Varėnos rajono savivaldybės administracija </v>
      </c>
      <c r="F27" s="342" t="str">
        <f>CONCATENATE('IV-2 vrsa'!F10)</f>
        <v>Lietuvos Respublikos žemės ūkio ministerija</v>
      </c>
      <c r="G27" s="342" t="str">
        <f>CONCATENATE('IV-2 vrsa'!G10)</f>
        <v>Varėnos r. sav.</v>
      </c>
      <c r="H27" s="342" t="str">
        <f>CONCATENATE('IV-2 vrsa'!H10)</f>
        <v xml:space="preserve">Pagrindinės paslaugos ir kaimų atnaujinimas kaimo vietovėse </v>
      </c>
      <c r="I27" s="312" t="str">
        <f>CONCATENATE('IV-2 vrsa'!I10)</f>
        <v>R</v>
      </c>
      <c r="J27" s="312" t="str">
        <f>CONCATENATE('IV-2 vrsa'!J10)</f>
        <v>-</v>
      </c>
      <c r="K27" s="376" t="s">
        <v>66</v>
      </c>
      <c r="L27" s="1212">
        <f>SUM('IV-2 vrsa'!L10)</f>
        <v>250000</v>
      </c>
      <c r="M27" s="1212">
        <f>SUM('ketv. 6 '!L26)</f>
        <v>250000</v>
      </c>
      <c r="N27" s="1212">
        <f t="shared" si="14"/>
        <v>0</v>
      </c>
      <c r="O27" s="1212">
        <f>SUM('IV-2 vrsa'!M10)</f>
        <v>50000</v>
      </c>
      <c r="P27" s="1212">
        <f>SUM('ketv. 6 '!P26)</f>
        <v>50000</v>
      </c>
      <c r="Q27" s="1212">
        <f t="shared" si="15"/>
        <v>0</v>
      </c>
      <c r="R27" s="1212">
        <f>SUM('IV-2 vrsa'!N10)</f>
        <v>30000</v>
      </c>
      <c r="S27" s="1212">
        <f>SUM('ketv. 6 '!T26)</f>
        <v>30000</v>
      </c>
      <c r="T27" s="1212">
        <f t="shared" si="16"/>
        <v>0</v>
      </c>
      <c r="U27" s="1212">
        <f>SUM('IV-2 vrsa'!O10)</f>
        <v>0</v>
      </c>
      <c r="V27" s="1212">
        <f>SUM('ketv. 6 '!X26)</f>
        <v>0</v>
      </c>
      <c r="W27" s="1212">
        <f t="shared" si="17"/>
        <v>0</v>
      </c>
      <c r="X27" s="1212">
        <f>SUM('IV-2 vrsa'!P10)</f>
        <v>0</v>
      </c>
      <c r="Y27" s="1212">
        <f>SUM('ketv. 6 '!AB26)</f>
        <v>0</v>
      </c>
      <c r="Z27" s="1212">
        <f t="shared" si="18"/>
        <v>0</v>
      </c>
      <c r="AA27" s="1212">
        <f>SUM('IV-2 vrsa'!Q10)</f>
        <v>170000</v>
      </c>
      <c r="AB27" s="1375">
        <f t="shared" ref="AB27" si="36">SUM(AB28:AB50)</f>
        <v>0</v>
      </c>
      <c r="AC27" s="306" t="str">
        <f>IF('ketv. 4 '!X27&gt;0,"Taip","Ne")</f>
        <v>Taip</v>
      </c>
      <c r="AD27" s="306">
        <f>SUM('ketv. 6 '!AF26)</f>
        <v>170000</v>
      </c>
      <c r="AE27" s="306">
        <f t="shared" si="8"/>
        <v>0</v>
      </c>
      <c r="AF27" s="721">
        <f>SUM('IV-2 vrsa'!S10)</f>
        <v>42643</v>
      </c>
      <c r="AG27" s="373">
        <f>SUM('IV-2 vrsa'!T10)</f>
        <v>42855</v>
      </c>
      <c r="AH27" s="373">
        <f>SUM('IV-2 vrsa'!U10)</f>
        <v>43010</v>
      </c>
      <c r="AI27" s="373">
        <f>SUM('IV-2 vrsa'!V10)</f>
        <v>43102</v>
      </c>
      <c r="AJ27" s="375">
        <f t="shared" si="24"/>
        <v>2018</v>
      </c>
      <c r="AK27" s="829">
        <f>SUM('IV-2 vrsa'!W10)</f>
        <v>43830</v>
      </c>
      <c r="AL27" s="306">
        <f t="shared" si="9"/>
        <v>0</v>
      </c>
      <c r="AM27" s="306">
        <f t="shared" si="10"/>
        <v>0</v>
      </c>
      <c r="AN27" s="306">
        <f t="shared" si="11"/>
        <v>170000</v>
      </c>
      <c r="AO27" s="306">
        <f t="shared" si="12"/>
        <v>0</v>
      </c>
      <c r="AP27" s="830">
        <f t="shared" si="13"/>
        <v>0</v>
      </c>
      <c r="AQ27" s="831"/>
      <c r="AR27" s="831"/>
      <c r="AS27" s="831"/>
    </row>
    <row r="28" spans="1:45" ht="52.5" thickTop="1" thickBot="1" x14ac:dyDescent="0.3">
      <c r="A28" s="342" t="s">
        <v>413</v>
      </c>
      <c r="B28" s="342" t="s">
        <v>1272</v>
      </c>
      <c r="C28" s="970" t="str">
        <f>CONCATENATE('ketv. 2'!B27)</f>
        <v>20KI-KA-17-1-02648-PR001</v>
      </c>
      <c r="D28" s="342" t="str">
        <f>CONCATENATE('IV-2 arsa'!C14)</f>
        <v>Alytaus rajono Pivašiūnų kaimo šaligatvių, laiptų kapitalinis remontas ir gyvenvietės apšvietimo įrengimas</v>
      </c>
      <c r="E28" s="342" t="str">
        <f>CONCATENATE('IV-2 arsa'!D14)</f>
        <v>Alytaus rajono savivaldybės administracija</v>
      </c>
      <c r="F28" s="342" t="str">
        <f>CONCATENATE('IV-2 arsa'!E14)</f>
        <v>Lietuvos Respublikos žemės ūkio ministerija</v>
      </c>
      <c r="G28" s="342" t="str">
        <f>CONCATENATE('IV-2 arsa'!F14)</f>
        <v>Alytaus r. sav.</v>
      </c>
      <c r="H28" s="342" t="str">
        <f>CONCATENATE('IV-2 arsa'!G14)</f>
        <v xml:space="preserve">Pagrindinės paslaugos ir kaimų atnaujinimas kaimo vietovėse </v>
      </c>
      <c r="I28" s="312" t="str">
        <f>CONCATENATE('IV-2 arsa'!H14)</f>
        <v>R</v>
      </c>
      <c r="J28" s="312" t="str">
        <f>CONCATENATE('IV-2 arsa'!I14)</f>
        <v>-</v>
      </c>
      <c r="K28" s="312" t="str">
        <f>CONCATENATE('IV-2 arsa'!J14)</f>
        <v>-</v>
      </c>
      <c r="L28" s="1212">
        <f>SUM('IV-2 arsa'!K14)</f>
        <v>117986</v>
      </c>
      <c r="M28" s="1212">
        <f>SUM('ketv. 6 '!L27)</f>
        <v>117985.8970603632</v>
      </c>
      <c r="N28" s="1212">
        <f t="shared" si="14"/>
        <v>0.10293963679578155</v>
      </c>
      <c r="O28" s="1212">
        <f>SUM('IV-2 arsa'!L14)</f>
        <v>23597</v>
      </c>
      <c r="P28" s="1212">
        <f>SUM('ketv. 6 '!P27)</f>
        <v>23596.897060363201</v>
      </c>
      <c r="Q28" s="1212">
        <f t="shared" si="15"/>
        <v>0.10293963679941953</v>
      </c>
      <c r="R28" s="1212">
        <f>SUM('IV-2 arsa'!M14)</f>
        <v>14158</v>
      </c>
      <c r="S28" s="1212">
        <f>SUM('ketv. 6 '!T27)</f>
        <v>14158.35</v>
      </c>
      <c r="T28" s="1212">
        <f t="shared" si="16"/>
        <v>-0.3500000000003638</v>
      </c>
      <c r="U28" s="1212">
        <f>SUM('IV-2 arsa'!N14)</f>
        <v>0</v>
      </c>
      <c r="V28" s="1212">
        <f>SUM('ketv. 6 '!X27)</f>
        <v>0</v>
      </c>
      <c r="W28" s="1212">
        <f t="shared" si="17"/>
        <v>0</v>
      </c>
      <c r="X28" s="1212">
        <f>SUM('IV-2 arsa'!O14)</f>
        <v>0</v>
      </c>
      <c r="Y28" s="1212">
        <f>SUM('ketv. 6 '!AB27)</f>
        <v>0</v>
      </c>
      <c r="Z28" s="1212">
        <f t="shared" si="18"/>
        <v>0</v>
      </c>
      <c r="AA28" s="1212">
        <f>SUM('IV-2 arsa'!P14)</f>
        <v>80231</v>
      </c>
      <c r="AB28" s="1375">
        <f t="shared" ref="AB28" si="37">SUM(AB29:AB51)</f>
        <v>0</v>
      </c>
      <c r="AC28" s="306" t="str">
        <f>IF('ketv. 4 '!X28&gt;0,"Taip","Ne")</f>
        <v>Taip</v>
      </c>
      <c r="AD28" s="306">
        <f>SUM('ketv. 6 '!AF27)</f>
        <v>80230.649999999994</v>
      </c>
      <c r="AE28" s="306">
        <f t="shared" si="8"/>
        <v>0.35000000000582077</v>
      </c>
      <c r="AF28" s="721">
        <f>SUM('IV-2 arsa'!R14)</f>
        <v>42643</v>
      </c>
      <c r="AG28" s="373">
        <f>SUM('IV-2 arsa'!S14)</f>
        <v>42855</v>
      </c>
      <c r="AH28" s="373">
        <f>SUM('IV-2 arsa'!T14)</f>
        <v>43010</v>
      </c>
      <c r="AI28" s="373">
        <f>SUM('IV-2 arsa'!U14)</f>
        <v>43102</v>
      </c>
      <c r="AJ28" s="375">
        <f t="shared" si="24"/>
        <v>2018</v>
      </c>
      <c r="AK28" s="829">
        <f>SUM('IV-2 arsa'!V14)</f>
        <v>43465</v>
      </c>
      <c r="AL28" s="306">
        <f t="shared" si="9"/>
        <v>0</v>
      </c>
      <c r="AM28" s="306">
        <f t="shared" si="10"/>
        <v>0</v>
      </c>
      <c r="AN28" s="306">
        <f t="shared" si="11"/>
        <v>80231</v>
      </c>
      <c r="AO28" s="306">
        <f t="shared" si="12"/>
        <v>0</v>
      </c>
      <c r="AP28" s="830">
        <f t="shared" si="13"/>
        <v>0</v>
      </c>
      <c r="AQ28" s="831"/>
      <c r="AR28" s="831"/>
      <c r="AS28" s="831"/>
    </row>
    <row r="29" spans="1:45" ht="52.5" thickTop="1" thickBot="1" x14ac:dyDescent="0.3">
      <c r="A29" s="342" t="s">
        <v>414</v>
      </c>
      <c r="B29" s="342" t="s">
        <v>1292</v>
      </c>
      <c r="C29" s="970" t="str">
        <f>CONCATENATE('ketv. 2'!B28)</f>
        <v>20KI-KA-17-1-01736-PR001</v>
      </c>
      <c r="D29" s="342" t="str">
        <f>CONCATENATE('IV-2 vrsa'!D11)</f>
        <v>Pastato, esančio Pušelės g. 11, Naujųjų Valkininkų k., Varėnos r., atnaujinimas ir pritaikymas bendruomenės poreikiams</v>
      </c>
      <c r="E29" s="342" t="str">
        <f>CONCATENATE('IV-2 vrsa'!E11)</f>
        <v xml:space="preserve">Varėnos rajono savivaldybės administracija </v>
      </c>
      <c r="F29" s="342" t="str">
        <f>CONCATENATE('IV-2 vrsa'!F11)</f>
        <v>Lietuvos Respublikos žemės ūkio ministerija</v>
      </c>
      <c r="G29" s="342" t="str">
        <f>CONCATENATE('IV-2 vrsa'!G11)</f>
        <v>Varėnos r. sav.</v>
      </c>
      <c r="H29" s="342" t="str">
        <f>CONCATENATE('IV-2 vrsa'!H11)</f>
        <v xml:space="preserve">Pagrindinės paslaugos ir kaimų atnaujinimas kaimo vietovėse </v>
      </c>
      <c r="I29" s="312" t="str">
        <f>CONCATENATE('IV-2 vrsa'!I11)</f>
        <v>R</v>
      </c>
      <c r="J29" s="312" t="str">
        <f>CONCATENATE('IV-2 vrsa'!J11)</f>
        <v>-</v>
      </c>
      <c r="K29" s="376" t="s">
        <v>66</v>
      </c>
      <c r="L29" s="1212">
        <f>SUM('IV-2 vrsa'!L11)</f>
        <v>250000</v>
      </c>
      <c r="M29" s="1212">
        <f>SUM('ketv. 6 '!L28)</f>
        <v>489475</v>
      </c>
      <c r="N29" s="1212">
        <f t="shared" si="14"/>
        <v>-239475</v>
      </c>
      <c r="O29" s="1212">
        <f>SUM('IV-2 vrsa'!M11)</f>
        <v>50000</v>
      </c>
      <c r="P29" s="1212">
        <f>SUM('ketv. 6 '!P28)</f>
        <v>289475</v>
      </c>
      <c r="Q29" s="1212">
        <f t="shared" si="15"/>
        <v>-239475</v>
      </c>
      <c r="R29" s="1212">
        <f>SUM('IV-2 vrsa'!N11)</f>
        <v>30000</v>
      </c>
      <c r="S29" s="1212">
        <f>SUM('ketv. 6 '!T28)</f>
        <v>30000</v>
      </c>
      <c r="T29" s="1212">
        <f t="shared" si="16"/>
        <v>0</v>
      </c>
      <c r="U29" s="1212">
        <f>SUM('IV-2 vrsa'!O11)</f>
        <v>0</v>
      </c>
      <c r="V29" s="1212">
        <f>SUM('ketv. 6 '!X28)</f>
        <v>0</v>
      </c>
      <c r="W29" s="1212">
        <f t="shared" si="17"/>
        <v>0</v>
      </c>
      <c r="X29" s="1212">
        <f>SUM('IV-2 vrsa'!P11)</f>
        <v>0</v>
      </c>
      <c r="Y29" s="1212">
        <f>SUM('ketv. 6 '!AB28)</f>
        <v>0</v>
      </c>
      <c r="Z29" s="1212">
        <f t="shared" si="18"/>
        <v>0</v>
      </c>
      <c r="AA29" s="1212">
        <f>SUM('IV-2 vrsa'!Q11)</f>
        <v>170000</v>
      </c>
      <c r="AB29" s="1375">
        <f t="shared" ref="AB29" si="38">SUM(AB30:AB52)</f>
        <v>0</v>
      </c>
      <c r="AC29" s="306" t="str">
        <f>IF('ketv. 4 '!X29&gt;0,"Taip","Ne")</f>
        <v>Taip</v>
      </c>
      <c r="AD29" s="306">
        <f>SUM('ketv. 6 '!AF28)</f>
        <v>170000</v>
      </c>
      <c r="AE29" s="306">
        <f t="shared" si="8"/>
        <v>0</v>
      </c>
      <c r="AF29" s="721">
        <f>SUM('IV-2 vrsa'!S11)</f>
        <v>42643</v>
      </c>
      <c r="AG29" s="373">
        <f>SUM('IV-2 vrsa'!T11)</f>
        <v>42855</v>
      </c>
      <c r="AH29" s="373">
        <f>SUM('IV-2 vrsa'!U11)</f>
        <v>43010</v>
      </c>
      <c r="AI29" s="373">
        <f>SUM('IV-2 vrsa'!V11)</f>
        <v>43102</v>
      </c>
      <c r="AJ29" s="375">
        <f t="shared" si="24"/>
        <v>2018</v>
      </c>
      <c r="AK29" s="829">
        <f>SUM('IV-2 vrsa'!W11)</f>
        <v>43830</v>
      </c>
      <c r="AL29" s="306">
        <f t="shared" si="9"/>
        <v>0</v>
      </c>
      <c r="AM29" s="306">
        <f t="shared" si="10"/>
        <v>0</v>
      </c>
      <c r="AN29" s="306">
        <f t="shared" si="11"/>
        <v>170000</v>
      </c>
      <c r="AO29" s="306">
        <f t="shared" si="12"/>
        <v>0</v>
      </c>
      <c r="AP29" s="830">
        <f t="shared" si="13"/>
        <v>0</v>
      </c>
      <c r="AQ29" s="831"/>
      <c r="AR29" s="831"/>
      <c r="AS29" s="831"/>
    </row>
    <row r="30" spans="1:45" ht="52.5" thickTop="1" thickBot="1" x14ac:dyDescent="0.3">
      <c r="A30" s="342" t="s">
        <v>415</v>
      </c>
      <c r="B30" s="342" t="s">
        <v>1290</v>
      </c>
      <c r="C30" s="970" t="str">
        <f>CONCATENATE('ketv. 2'!B29)</f>
        <v>20KI-KA-17-1-02364-PR001</v>
      </c>
      <c r="D30" s="342" t="str">
        <f>CONCATENATE('IV-2 lrsa'!D13)</f>
        <v>Kaimo gyvenamųjų vietovių Lazdijų rajono savivaldybėje patrauklumo gerinimas</v>
      </c>
      <c r="E30" s="342" t="str">
        <f>CONCATENATE('IV-2 lrsa'!E13)</f>
        <v>Lazdijų rajono savivaldybės administracija</v>
      </c>
      <c r="F30" s="342" t="str">
        <f>CONCATENATE('IV-2 lrsa'!F13)</f>
        <v>Lietuvos Respublikos žemės ūkio ministerija</v>
      </c>
      <c r="G30" s="342" t="str">
        <f>CONCATENATE('IV-2 lrsa'!G13)</f>
        <v>Lazdijų r. sav.</v>
      </c>
      <c r="H30" s="342" t="str">
        <f>CONCATENATE('IV-2 lrsa'!H13)</f>
        <v xml:space="preserve">Pagrindinės paslaugos ir kaimų atnaujinimas kaimo vietovėse </v>
      </c>
      <c r="I30" s="312" t="str">
        <f>CONCATENATE('IV-2 lrsa'!I13)</f>
        <v>R</v>
      </c>
      <c r="J30" s="312" t="str">
        <f>CONCATENATE('IV-2 lrsa'!J13)</f>
        <v>-</v>
      </c>
      <c r="K30" s="312" t="str">
        <f>CONCATENATE('IV-2 lrsa'!K13)</f>
        <v>-</v>
      </c>
      <c r="L30" s="1212">
        <f>SUM('IV-2 lrsa'!L13)</f>
        <v>170000</v>
      </c>
      <c r="M30" s="1212">
        <f>SUM('ketv. 6 '!L29)</f>
        <v>170000</v>
      </c>
      <c r="N30" s="1212">
        <f t="shared" si="14"/>
        <v>0</v>
      </c>
      <c r="O30" s="1212">
        <f>SUM('IV-2 lrsa'!M13)</f>
        <v>34000</v>
      </c>
      <c r="P30" s="1212">
        <f>SUM('ketv. 6 '!P29)</f>
        <v>34000</v>
      </c>
      <c r="Q30" s="1212">
        <f t="shared" si="15"/>
        <v>0</v>
      </c>
      <c r="R30" s="1212">
        <f>SUM('IV-2 lrsa'!N13)</f>
        <v>20400</v>
      </c>
      <c r="S30" s="1212">
        <f>SUM('ketv. 6 '!T29)</f>
        <v>20400</v>
      </c>
      <c r="T30" s="1212">
        <f t="shared" si="16"/>
        <v>0</v>
      </c>
      <c r="U30" s="1212">
        <f>SUM('IV-2 lrsa'!O13)</f>
        <v>0</v>
      </c>
      <c r="V30" s="1212">
        <f>SUM('ketv. 6 '!X29)</f>
        <v>0</v>
      </c>
      <c r="W30" s="1212">
        <f t="shared" si="17"/>
        <v>0</v>
      </c>
      <c r="X30" s="1212">
        <f>SUM('IV-2 lrsa'!P13)</f>
        <v>0</v>
      </c>
      <c r="Y30" s="1212">
        <f>SUM('ketv. 6 '!AB29)</f>
        <v>0</v>
      </c>
      <c r="Z30" s="1212">
        <f t="shared" si="18"/>
        <v>0</v>
      </c>
      <c r="AA30" s="1212">
        <f>SUM('IV-2 lrsa'!Q13)</f>
        <v>115600</v>
      </c>
      <c r="AB30" s="1375">
        <f t="shared" ref="AB30" si="39">SUM(AB31:AB53)</f>
        <v>0</v>
      </c>
      <c r="AC30" s="306" t="str">
        <f>IF('ketv. 4 '!X30&gt;0,"Taip","Ne")</f>
        <v>Taip</v>
      </c>
      <c r="AD30" s="306">
        <f>SUM('ketv. 6 '!AF29)</f>
        <v>115600</v>
      </c>
      <c r="AE30" s="306">
        <f t="shared" si="8"/>
        <v>0</v>
      </c>
      <c r="AF30" s="721">
        <f>SUM('IV-2 lrsa'!S13)</f>
        <v>42643</v>
      </c>
      <c r="AG30" s="373">
        <f>SUM('IV-2 lrsa'!T13)</f>
        <v>42855</v>
      </c>
      <c r="AH30" s="373">
        <f>SUM('IV-2 lrsa'!U13)</f>
        <v>43010</v>
      </c>
      <c r="AI30" s="373">
        <f>SUM('IV-2 lrsa'!V13)</f>
        <v>43102</v>
      </c>
      <c r="AJ30" s="375">
        <f t="shared" si="24"/>
        <v>2018</v>
      </c>
      <c r="AK30" s="829">
        <f>SUM('IV-2 lrsa'!W13)</f>
        <v>43291</v>
      </c>
      <c r="AL30" s="306">
        <f t="shared" si="9"/>
        <v>0</v>
      </c>
      <c r="AM30" s="306">
        <f t="shared" si="10"/>
        <v>0</v>
      </c>
      <c r="AN30" s="306">
        <f t="shared" si="11"/>
        <v>115600</v>
      </c>
      <c r="AO30" s="306">
        <f t="shared" si="12"/>
        <v>0</v>
      </c>
      <c r="AP30" s="830">
        <f t="shared" si="13"/>
        <v>0</v>
      </c>
      <c r="AQ30" s="831"/>
      <c r="AR30" s="831"/>
      <c r="AS30" s="831"/>
    </row>
    <row r="31" spans="1:45" ht="52.5" thickTop="1" thickBot="1" x14ac:dyDescent="0.3">
      <c r="A31" s="342" t="s">
        <v>416</v>
      </c>
      <c r="B31" s="342" t="s">
        <v>1291</v>
      </c>
      <c r="C31" s="970" t="str">
        <f>CONCATENATE('ketv. 2'!B30)</f>
        <v>20KI-KA-17-1-02241-PR001</v>
      </c>
      <c r="D31" s="342" t="str">
        <f>CONCATENATE('IV-2 arsa'!C15)</f>
        <v>Alytaus rajono Makniūnų kaimo šaligatvių atnaujinimas ir plėtra</v>
      </c>
      <c r="E31" s="342" t="str">
        <f>CONCATENATE('IV-2 arsa'!D15)</f>
        <v>Alytaus rajono savivaldybės administracija</v>
      </c>
      <c r="F31" s="342" t="str">
        <f>CONCATENATE('IV-2 arsa'!E15)</f>
        <v>Lietuvos Respublikos žemės ūkio ministerija</v>
      </c>
      <c r="G31" s="342" t="str">
        <f>CONCATENATE('IV-2 arsa'!F15)</f>
        <v>Alytaus r. sav.</v>
      </c>
      <c r="H31" s="342" t="str">
        <f>CONCATENATE('IV-2 arsa'!G15)</f>
        <v xml:space="preserve">Pagrindinės paslaugos ir kaimų atnaujinimas kaimo vietovėse </v>
      </c>
      <c r="I31" s="312" t="str">
        <f>CONCATENATE('IV-2 arsa'!H15)</f>
        <v>R</v>
      </c>
      <c r="J31" s="312" t="str">
        <f>CONCATENATE('IV-2 arsa'!I15)</f>
        <v>-</v>
      </c>
      <c r="K31" s="312" t="str">
        <f>CONCATENATE('IV-2 arsa'!J15)</f>
        <v>-</v>
      </c>
      <c r="L31" s="1212">
        <f>SUM('IV-2 arsa'!K15)</f>
        <v>70991</v>
      </c>
      <c r="M31" s="1212">
        <f>SUM('ketv. 6 '!L30)</f>
        <v>0</v>
      </c>
      <c r="N31" s="1212">
        <f t="shared" si="14"/>
        <v>0</v>
      </c>
      <c r="O31" s="1212">
        <f>SUM('IV-2 arsa'!L15)</f>
        <v>14198</v>
      </c>
      <c r="P31" s="1212">
        <f>SUM('ketv. 6 '!P30)</f>
        <v>0</v>
      </c>
      <c r="Q31" s="1212">
        <f t="shared" si="15"/>
        <v>0</v>
      </c>
      <c r="R31" s="1212">
        <f>SUM('IV-2 arsa'!M15)</f>
        <v>8519</v>
      </c>
      <c r="S31" s="1212">
        <f>SUM('ketv. 6 '!T30)</f>
        <v>0</v>
      </c>
      <c r="T31" s="1212">
        <f t="shared" si="16"/>
        <v>0</v>
      </c>
      <c r="U31" s="1212">
        <f>SUM('IV-2 arsa'!N15)</f>
        <v>0</v>
      </c>
      <c r="V31" s="1212">
        <f>SUM('ketv. 6 '!X30)</f>
        <v>0</v>
      </c>
      <c r="W31" s="1212">
        <f t="shared" si="17"/>
        <v>0</v>
      </c>
      <c r="X31" s="1212">
        <f>SUM('IV-2 arsa'!O15)</f>
        <v>0</v>
      </c>
      <c r="Y31" s="1212">
        <f>SUM('ketv. 6 '!AB30)</f>
        <v>0</v>
      </c>
      <c r="Z31" s="1212">
        <f t="shared" si="18"/>
        <v>0</v>
      </c>
      <c r="AA31" s="1212">
        <f>SUM('IV-2 arsa'!P15)</f>
        <v>48274</v>
      </c>
      <c r="AB31" s="1375">
        <f t="shared" ref="AB31" si="40">SUM(AB32:AB54)</f>
        <v>0</v>
      </c>
      <c r="AC31" s="306" t="str">
        <f>IF('ketv. 4 '!X31&gt;0,"Taip","Ne")</f>
        <v>Ne</v>
      </c>
      <c r="AD31" s="306">
        <f>SUM('ketv. 6 '!AF30)</f>
        <v>0</v>
      </c>
      <c r="AE31" s="306">
        <f t="shared" si="8"/>
        <v>0</v>
      </c>
      <c r="AF31" s="721">
        <f>SUM('IV-2 arsa'!R15)</f>
        <v>42643</v>
      </c>
      <c r="AG31" s="373">
        <f>SUM('IV-2 arsa'!S15)</f>
        <v>42855</v>
      </c>
      <c r="AH31" s="373">
        <f>SUM('IV-2 arsa'!T15)</f>
        <v>43010</v>
      </c>
      <c r="AI31" s="373">
        <f>SUM('IV-2 arsa'!U15)</f>
        <v>43102</v>
      </c>
      <c r="AJ31" s="375">
        <f t="shared" si="24"/>
        <v>2018</v>
      </c>
      <c r="AK31" s="829">
        <f>SUM('IV-2 arsa'!V15)</f>
        <v>43465</v>
      </c>
      <c r="AL31" s="306">
        <f t="shared" si="9"/>
        <v>0</v>
      </c>
      <c r="AM31" s="306">
        <f t="shared" si="10"/>
        <v>0</v>
      </c>
      <c r="AN31" s="306">
        <f t="shared" si="11"/>
        <v>48274</v>
      </c>
      <c r="AO31" s="306">
        <f t="shared" si="12"/>
        <v>0</v>
      </c>
      <c r="AP31" s="830">
        <f t="shared" si="13"/>
        <v>0</v>
      </c>
      <c r="AQ31" s="831"/>
      <c r="AR31" s="831"/>
      <c r="AS31" s="831"/>
    </row>
    <row r="32" spans="1:45" ht="51.75" thickBot="1" x14ac:dyDescent="0.3">
      <c r="A32" s="342" t="s">
        <v>417</v>
      </c>
      <c r="B32" s="342" t="s">
        <v>1276</v>
      </c>
      <c r="C32" s="974" t="str">
        <f>CONCATENATE('ketv. 2'!B31)</f>
        <v/>
      </c>
      <c r="D32" s="342" t="str">
        <f>CONCATENATE('IV-2 vrsa'!D12)</f>
        <v>Varėnos r. Vazgirdonių kaimo Klevų gatvės įrengimas</v>
      </c>
      <c r="E32" s="342" t="str">
        <f>CONCATENATE('IV-2 vrsa'!E12)</f>
        <v xml:space="preserve">Varėnos rajono savivaldybės administracija </v>
      </c>
      <c r="F32" s="342" t="str">
        <f>CONCATENATE('IV-2 vrsa'!F12)</f>
        <v>Lietuvos Respublikos žemės ūkio ministerija</v>
      </c>
      <c r="G32" s="342" t="str">
        <f>CONCATENATE('IV-2 vrsa'!G12)</f>
        <v>Varėnos r. sav.</v>
      </c>
      <c r="H32" s="342" t="str">
        <f>CONCATENATE('IV-2 vrsa'!H12)</f>
        <v xml:space="preserve">Pagrindinės paslaugos ir kaimų atnaujinimas kaimo vietovėse </v>
      </c>
      <c r="I32" s="312" t="str">
        <f>CONCATENATE('IV-2 vrsa'!I12)</f>
        <v>R</v>
      </c>
      <c r="J32" s="312" t="str">
        <f>CONCATENATE('IV-2 vrsa'!J12)</f>
        <v>-</v>
      </c>
      <c r="K32" s="312" t="str">
        <f>CONCATENATE('IV-2 vrsa'!K12)</f>
        <v>rez.***</v>
      </c>
      <c r="L32" s="1212">
        <f>SUM('IV-2 vrsa'!L12)</f>
        <v>160049</v>
      </c>
      <c r="M32" s="1212">
        <f>SUM('ketv. 6 '!L31)</f>
        <v>0</v>
      </c>
      <c r="N32" s="1212">
        <f t="shared" si="14"/>
        <v>0</v>
      </c>
      <c r="O32" s="1212">
        <f>SUM('IV-2 vrsa'!M12)</f>
        <v>32010</v>
      </c>
      <c r="P32" s="1212">
        <f>SUM('ketv. 6 '!P31)</f>
        <v>0</v>
      </c>
      <c r="Q32" s="1212">
        <f t="shared" si="15"/>
        <v>0</v>
      </c>
      <c r="R32" s="1212">
        <f>SUM('IV-2 vrsa'!N12)</f>
        <v>19206</v>
      </c>
      <c r="S32" s="1212">
        <f>SUM('ketv. 6 '!T31)</f>
        <v>0</v>
      </c>
      <c r="T32" s="1212">
        <f t="shared" si="16"/>
        <v>0</v>
      </c>
      <c r="U32" s="1212">
        <f>SUM('IV-2 vrsa'!O12)</f>
        <v>0</v>
      </c>
      <c r="V32" s="1212">
        <f>SUM('ketv. 6 '!X31)</f>
        <v>0</v>
      </c>
      <c r="W32" s="1212">
        <f t="shared" si="17"/>
        <v>0</v>
      </c>
      <c r="X32" s="1212">
        <f>SUM('IV-2 vrsa'!P12)</f>
        <v>0</v>
      </c>
      <c r="Y32" s="1212">
        <f>SUM('ketv. 6 '!AB31)</f>
        <v>0</v>
      </c>
      <c r="Z32" s="1212">
        <f t="shared" si="18"/>
        <v>0</v>
      </c>
      <c r="AA32" s="1212">
        <f>SUM('IV-2 vrsa'!Q12)</f>
        <v>108833</v>
      </c>
      <c r="AB32" s="1375">
        <f t="shared" ref="AB32" si="41">SUM(AB33:AB55)</f>
        <v>0</v>
      </c>
      <c r="AC32" s="306" t="str">
        <f>IF('ketv. 4 '!X32&gt;0,"Taip","Ne")</f>
        <v>Ne</v>
      </c>
      <c r="AD32" s="306">
        <f>SUM('ketv. 6 '!AF31)</f>
        <v>0</v>
      </c>
      <c r="AE32" s="306">
        <f t="shared" si="8"/>
        <v>0</v>
      </c>
      <c r="AF32" s="721">
        <f>SUM('IV-2 vrsa'!S12)</f>
        <v>42643</v>
      </c>
      <c r="AG32" s="373">
        <f>SUM('IV-2 vrsa'!T12)</f>
        <v>42855</v>
      </c>
      <c r="AH32" s="373">
        <f>SUM('IV-2 vrsa'!U12)</f>
        <v>43010</v>
      </c>
      <c r="AI32" s="373">
        <f>SUM('IV-2 vrsa'!V12)</f>
        <v>43102</v>
      </c>
      <c r="AJ32" s="375">
        <f t="shared" si="24"/>
        <v>2018</v>
      </c>
      <c r="AK32" s="829">
        <f>SUM('IV-2 vrsa'!W12)</f>
        <v>43830</v>
      </c>
      <c r="AL32" s="306">
        <f t="shared" si="9"/>
        <v>0</v>
      </c>
      <c r="AM32" s="306">
        <f t="shared" si="10"/>
        <v>0</v>
      </c>
      <c r="AN32" s="306">
        <f t="shared" si="11"/>
        <v>108833</v>
      </c>
      <c r="AO32" s="306">
        <f t="shared" si="12"/>
        <v>0</v>
      </c>
      <c r="AP32" s="830">
        <f t="shared" si="13"/>
        <v>0</v>
      </c>
      <c r="AQ32" s="831"/>
      <c r="AR32" s="831"/>
      <c r="AS32" s="831"/>
    </row>
    <row r="33" spans="1:51" s="170" customFormat="1" ht="35.25" customHeight="1" thickBot="1" x14ac:dyDescent="0.3">
      <c r="A33" s="824" t="s">
        <v>14</v>
      </c>
      <c r="B33" s="1858" t="s">
        <v>1488</v>
      </c>
      <c r="C33" s="1844"/>
      <c r="D33" s="1844"/>
      <c r="E33" s="1844"/>
      <c r="F33" s="1844"/>
      <c r="G33" s="1844"/>
      <c r="H33" s="1844"/>
      <c r="I33" s="1844"/>
      <c r="J33" s="1844"/>
      <c r="K33" s="1845"/>
      <c r="L33" s="1213">
        <f t="shared" ref="L33:AB33" si="42">SUM(L34:L38)</f>
        <v>3717325.8</v>
      </c>
      <c r="M33" s="1213">
        <f ca="1">SUM(M34:M38)</f>
        <v>2673858.7999999998</v>
      </c>
      <c r="N33" s="1213">
        <f ca="1">SUM(N34:N38)</f>
        <v>0</v>
      </c>
      <c r="O33" s="1213">
        <f t="shared" si="42"/>
        <v>652363.41999999993</v>
      </c>
      <c r="P33" s="1213">
        <f ca="1">SUM(P34:P38)</f>
        <v>574103.41999999993</v>
      </c>
      <c r="Q33" s="1213">
        <f ca="1">SUM(Q34:Q38)</f>
        <v>0</v>
      </c>
      <c r="R33" s="1213">
        <f t="shared" si="42"/>
        <v>248510.74</v>
      </c>
      <c r="S33" s="1213">
        <f ca="1">SUM(S34:S38)</f>
        <v>170250.74</v>
      </c>
      <c r="T33" s="1213">
        <f ca="1">SUM(T34:T38)</f>
        <v>0</v>
      </c>
      <c r="U33" s="1213">
        <f t="shared" si="42"/>
        <v>0</v>
      </c>
      <c r="V33" s="1213">
        <f ca="1">SUM(V34:V38)</f>
        <v>0</v>
      </c>
      <c r="W33" s="1213">
        <f ca="1">SUM(W34:W38)</f>
        <v>0</v>
      </c>
      <c r="X33" s="1213">
        <f t="shared" si="42"/>
        <v>0</v>
      </c>
      <c r="Y33" s="1213">
        <f ca="1">SUM(Y34:Y38)</f>
        <v>0</v>
      </c>
      <c r="Z33" s="1213">
        <f ca="1">SUM(Z34:Z38)</f>
        <v>0</v>
      </c>
      <c r="AA33" s="1213">
        <f t="shared" si="42"/>
        <v>2816451.64</v>
      </c>
      <c r="AB33" s="1213">
        <f t="shared" si="42"/>
        <v>0</v>
      </c>
      <c r="AC33" s="835"/>
      <c r="AD33" s="835">
        <f ca="1">SUM(AD34:AD38)</f>
        <v>1929504.6400000001</v>
      </c>
      <c r="AE33" s="835">
        <f ca="1">SUM(AE34:AE38)</f>
        <v>0</v>
      </c>
      <c r="AF33" s="835"/>
      <c r="AG33" s="836"/>
      <c r="AH33" s="836"/>
      <c r="AI33" s="836"/>
      <c r="AJ33" s="837"/>
      <c r="AK33" s="838"/>
      <c r="AL33" s="839">
        <f>SUM(AL34:AL38)</f>
        <v>0</v>
      </c>
      <c r="AM33" s="839">
        <f t="shared" ref="AM33:AP33" si="43">SUM(AM34:AM38)</f>
        <v>0</v>
      </c>
      <c r="AN33" s="839">
        <f t="shared" si="43"/>
        <v>1929504.6400000001</v>
      </c>
      <c r="AO33" s="839">
        <f t="shared" si="43"/>
        <v>886947</v>
      </c>
      <c r="AP33" s="839">
        <f t="shared" si="43"/>
        <v>0</v>
      </c>
      <c r="AQ33" s="840">
        <f>SUM('IV-2 amsa'!X9+'IV-2 arsa'!W16+'IV-2 dsa'!W12+'IV-2 lrsa'!X14+'IV-2 vrsa'!X13)</f>
        <v>2816452.5292248097</v>
      </c>
      <c r="AR33" s="840">
        <f>SUM(AQ33*120/100)</f>
        <v>3379743.0350697716</v>
      </c>
      <c r="AS33" s="840">
        <f>SUM(AQ33-AA33)</f>
        <v>0.88922480959445238</v>
      </c>
      <c r="AU33" s="841"/>
      <c r="AV33" s="841"/>
      <c r="AY33" s="1214"/>
    </row>
    <row r="34" spans="1:51" ht="39.75" thickTop="1" thickBot="1" x14ac:dyDescent="0.3">
      <c r="A34" s="342" t="s">
        <v>69</v>
      </c>
      <c r="B34" s="342" t="s">
        <v>1293</v>
      </c>
      <c r="C34" s="970" t="str">
        <f>CONCATENATE('ketv. 2'!B33)</f>
        <v>08.2.1-CPVA-R-908-11-0002</v>
      </c>
      <c r="D34" s="342" t="str">
        <f>CONCATENATE('IV-2 vrsa'!D14)</f>
        <v>Matuizų kaimo viešosios infrastruktūros atnaujinimas ir pritaikymas bendruomenės poreikiams</v>
      </c>
      <c r="E34" s="342" t="str">
        <f>CONCATENATE('IV-2 vrsa'!E14)</f>
        <v>Varėnos rajono savivaldybės administracija</v>
      </c>
      <c r="F34" s="342" t="str">
        <f>CONCATENATE('IV-2 vrsa'!F14)</f>
        <v>Lietuvos Respublikos vidaus reikalų ministerija</v>
      </c>
      <c r="G34" s="342" t="str">
        <f>CONCATENATE('IV-2 vrsa'!G14)</f>
        <v>Varėnos r. sav.</v>
      </c>
      <c r="H34" s="345" t="str">
        <f>CONCATENATE('IV-2 vrsa'!H14)</f>
        <v>8.2.1-CPVA-R-908</v>
      </c>
      <c r="I34" s="312" t="str">
        <f>CONCATENATE('IV-2 vrsa'!I14)</f>
        <v>R</v>
      </c>
      <c r="J34" s="312" t="str">
        <f>CONCATENATE('IV-2 vrsa'!J14)</f>
        <v>-</v>
      </c>
      <c r="K34" s="312" t="str">
        <f>CONCATENATE('IV-2 vrsa'!K14)</f>
        <v>-</v>
      </c>
      <c r="L34" s="1212">
        <f>SUM('IV-2 vrsa'!L14)</f>
        <v>815537.61</v>
      </c>
      <c r="M34" s="1212">
        <f ca="1">SUM('ketv. 6 '!L33)</f>
        <v>815537.61</v>
      </c>
      <c r="N34" s="1212">
        <f t="shared" ref="N34:N38" ca="1" si="44">IF(M34&gt;0,L34-M34,0)</f>
        <v>0</v>
      </c>
      <c r="O34" s="1212">
        <f>SUM('IV-2 vrsa'!M14)</f>
        <v>285195.61</v>
      </c>
      <c r="P34" s="1212">
        <f ca="1">SUM('ketv. 6 '!P33)</f>
        <v>285195.61</v>
      </c>
      <c r="Q34" s="1212">
        <f t="shared" ref="Q34:Q38" ca="1" si="45">IF(P34&gt;0,O34-P34,0)</f>
        <v>0</v>
      </c>
      <c r="R34" s="1212">
        <f>SUM('IV-2 vrsa'!N14)</f>
        <v>43001</v>
      </c>
      <c r="S34" s="1212">
        <f ca="1">SUM('ketv. 6 '!T33)</f>
        <v>43001</v>
      </c>
      <c r="T34" s="1212">
        <f t="shared" ref="T34:T38" ca="1" si="46">IF(S34&gt;0,R34-S34,0)</f>
        <v>0</v>
      </c>
      <c r="U34" s="1212">
        <f>SUM('IV-2 vrsa'!O14)</f>
        <v>0</v>
      </c>
      <c r="V34" s="1212">
        <f ca="1">SUM('ketv. 6 '!X33)</f>
        <v>0</v>
      </c>
      <c r="W34" s="1212">
        <f t="shared" ref="W34:W38" ca="1" si="47">IF(V34&gt;0,U34-V34,0)</f>
        <v>0</v>
      </c>
      <c r="X34" s="1212">
        <f>SUM('IV-2 vrsa'!P14)</f>
        <v>0</v>
      </c>
      <c r="Y34" s="1212">
        <f ca="1">SUM('ketv. 6 '!AB33)</f>
        <v>0</v>
      </c>
      <c r="Z34" s="1212">
        <f t="shared" ref="Z34:Z38" ca="1" si="48">IF(Y34&gt;0,X34-Y34,0)</f>
        <v>0</v>
      </c>
      <c r="AA34" s="1212">
        <f>SUM('IV-2 vrsa'!Q14)</f>
        <v>487341</v>
      </c>
      <c r="AB34" s="1212">
        <f>SUM('IV-2 vrsa'!R14)</f>
        <v>0</v>
      </c>
      <c r="AC34" s="306" t="str">
        <f>IF('ketv. 4 '!X34&gt;0,"Taip","Ne")</f>
        <v>Taip</v>
      </c>
      <c r="AD34" s="306">
        <f ca="1">SUM('ketv. 6 '!AF33)</f>
        <v>487341</v>
      </c>
      <c r="AE34" s="306">
        <f ca="1">IF(AD34&gt;0,AA34-AD34,0)</f>
        <v>0</v>
      </c>
      <c r="AF34" s="721">
        <f>SUM('IV-2 vrsa'!S14)</f>
        <v>43006</v>
      </c>
      <c r="AG34" s="373">
        <f>SUM('IV-2 vrsa'!T14)</f>
        <v>43124</v>
      </c>
      <c r="AH34" s="373">
        <f>SUM('IV-2 vrsa'!U14)</f>
        <v>43189</v>
      </c>
      <c r="AI34" s="373">
        <f>SUM('IV-2 vrsa'!V14)</f>
        <v>43281</v>
      </c>
      <c r="AJ34" s="375">
        <f>IF(YEAR(AI34),YEAR(AI34))</f>
        <v>2018</v>
      </c>
      <c r="AK34" s="829">
        <f>SUM('IV-2 vrsa'!W14)</f>
        <v>44196</v>
      </c>
      <c r="AL34" s="306">
        <f>IF(YEAR(AI34)=2016,AA34,0)</f>
        <v>0</v>
      </c>
      <c r="AM34" s="306">
        <f>IF(YEAR(AI34)=2017,AA34,0)</f>
        <v>0</v>
      </c>
      <c r="AN34" s="306">
        <f>IF(YEAR(AI34)=2018,AA34,0)</f>
        <v>487341</v>
      </c>
      <c r="AO34" s="306">
        <f>IF(YEAR(AI34)=2019,AA34,0)</f>
        <v>0</v>
      </c>
      <c r="AP34" s="830">
        <f>IF(YEAR(AI34)=2020,AA34,0)</f>
        <v>0</v>
      </c>
      <c r="AQ34" s="55"/>
      <c r="AR34" s="55"/>
      <c r="AS34" s="55"/>
      <c r="AV34" s="820"/>
    </row>
    <row r="35" spans="1:51" ht="39.75" thickTop="1" thickBot="1" x14ac:dyDescent="0.3">
      <c r="A35" s="342" t="s">
        <v>123</v>
      </c>
      <c r="B35" s="342" t="s">
        <v>1294</v>
      </c>
      <c r="C35" s="970" t="str">
        <f>CONCATENATE('ketv. 2'!B34)</f>
        <v>08.2.1-CPVA-R-908-11-0001</v>
      </c>
      <c r="D35" s="342" t="str">
        <f>CONCATENATE('IV-2 vrsa'!D15)</f>
        <v>Senosios Varėnos kaimo viešosios infrastruktūros atnaujinimas ir pritaikymas bendruomenės poreikiams</v>
      </c>
      <c r="E35" s="342" t="str">
        <f>CONCATENATE('IV-2 vrsa'!E15)</f>
        <v>Varėnos rajono savivaldybės administracija</v>
      </c>
      <c r="F35" s="342" t="str">
        <f>CONCATENATE('IV-2 vrsa'!F15)</f>
        <v>Lietuvos Respublikos vidaus reikalų ministerija</v>
      </c>
      <c r="G35" s="342" t="str">
        <f>CONCATENATE('IV-2 vrsa'!G15)</f>
        <v>Varėnos r. sav.</v>
      </c>
      <c r="H35" s="345" t="str">
        <f>CONCATENATE('IV-2 vrsa'!H15)</f>
        <v>8.2.1-CPVA-R-908</v>
      </c>
      <c r="I35" s="312" t="str">
        <f>CONCATENATE('IV-2 vrsa'!I15)</f>
        <v>R</v>
      </c>
      <c r="J35" s="312" t="str">
        <f>CONCATENATE('IV-2 vrsa'!J15)</f>
        <v>-</v>
      </c>
      <c r="K35" s="312" t="str">
        <f>CONCATENATE('IV-2 vrsa'!K15)</f>
        <v>-</v>
      </c>
      <c r="L35" s="1212">
        <f>SUM('IV-2 vrsa'!L15)</f>
        <v>605024.19999999995</v>
      </c>
      <c r="M35" s="1212">
        <f ca="1">SUM('ketv. 6 '!L34)</f>
        <v>605024.19999999995</v>
      </c>
      <c r="N35" s="1212">
        <f t="shared" ca="1" si="44"/>
        <v>0</v>
      </c>
      <c r="O35" s="1212">
        <f>SUM('IV-2 vrsa'!M15)</f>
        <v>45376.82</v>
      </c>
      <c r="P35" s="1212">
        <f ca="1">SUM('ketv. 6 '!P34)</f>
        <v>45376.82</v>
      </c>
      <c r="Q35" s="1212">
        <f t="shared" ca="1" si="45"/>
        <v>0</v>
      </c>
      <c r="R35" s="1212">
        <f>SUM('IV-2 vrsa'!N15)</f>
        <v>45376.81</v>
      </c>
      <c r="S35" s="1212">
        <f ca="1">SUM('ketv. 6 '!T34)</f>
        <v>45376.81</v>
      </c>
      <c r="T35" s="1212">
        <f t="shared" ca="1" si="46"/>
        <v>0</v>
      </c>
      <c r="U35" s="1212">
        <f>SUM('IV-2 vrsa'!O15)</f>
        <v>0</v>
      </c>
      <c r="V35" s="1212">
        <f ca="1">SUM('ketv. 6 '!X34)</f>
        <v>0</v>
      </c>
      <c r="W35" s="1212">
        <f t="shared" ca="1" si="47"/>
        <v>0</v>
      </c>
      <c r="X35" s="1212">
        <f>SUM('IV-2 vrsa'!P15)</f>
        <v>0</v>
      </c>
      <c r="Y35" s="1212">
        <f ca="1">SUM('ketv. 6 '!AB34)</f>
        <v>0</v>
      </c>
      <c r="Z35" s="1212">
        <f t="shared" ca="1" si="48"/>
        <v>0</v>
      </c>
      <c r="AA35" s="1212">
        <f>SUM('IV-2 vrsa'!Q15)</f>
        <v>514270.57</v>
      </c>
      <c r="AB35" s="1212">
        <f>SUM('IV-2 vrsa'!R15)</f>
        <v>0</v>
      </c>
      <c r="AC35" s="306" t="str">
        <f>IF('ketv. 4 '!X35&gt;0,"Taip","Ne")</f>
        <v>Taip</v>
      </c>
      <c r="AD35" s="306">
        <f ca="1">SUM('ketv. 6 '!AF34)</f>
        <v>514270.57</v>
      </c>
      <c r="AE35" s="306">
        <f ca="1">IF(AD35&gt;0,AA35-AD35,0)</f>
        <v>0</v>
      </c>
      <c r="AF35" s="721">
        <f>SUM('IV-2 vrsa'!S15)</f>
        <v>42982</v>
      </c>
      <c r="AG35" s="373">
        <f>SUM('IV-2 vrsa'!T15)</f>
        <v>42978</v>
      </c>
      <c r="AH35" s="373">
        <f>SUM('IV-2 vrsa'!U15)</f>
        <v>43039</v>
      </c>
      <c r="AI35" s="373">
        <f>SUM('IV-2 vrsa'!V15)</f>
        <v>43131</v>
      </c>
      <c r="AJ35" s="375">
        <f t="shared" ref="AJ35:AJ38" si="49">IF(YEAR(AI35),YEAR(AI35))</f>
        <v>2018</v>
      </c>
      <c r="AK35" s="829">
        <f>SUM('IV-2 vrsa'!W15)</f>
        <v>44196</v>
      </c>
      <c r="AL35" s="306">
        <f>IF(YEAR(AI35)=2016,AA35,0)</f>
        <v>0</v>
      </c>
      <c r="AM35" s="306">
        <f>IF(YEAR(AI35)=2017,AA35,0)</f>
        <v>0</v>
      </c>
      <c r="AN35" s="306">
        <f>IF(YEAR(AI35)=2018,AA35,0)</f>
        <v>514270.57</v>
      </c>
      <c r="AO35" s="306">
        <f>IF(YEAR(AI35)=2019,AA35,0)</f>
        <v>0</v>
      </c>
      <c r="AP35" s="830">
        <f>IF(YEAR(AI35)=2020,AA35,0)</f>
        <v>0</v>
      </c>
      <c r="AQ35" s="55"/>
      <c r="AR35" s="55"/>
      <c r="AS35" s="55"/>
    </row>
    <row r="36" spans="1:51" ht="39.75" thickTop="1" thickBot="1" x14ac:dyDescent="0.3">
      <c r="A36" s="342" t="s">
        <v>194</v>
      </c>
      <c r="B36" s="342" t="s">
        <v>1782</v>
      </c>
      <c r="C36" s="970" t="str">
        <f>CONCATENATE('ketv. 2'!B35)</f>
        <v/>
      </c>
      <c r="D36" s="342" t="str">
        <f>CONCATENATE('IV-2 arsa'!C17)</f>
        <v>Kompleksinė Miklusėnų gyvenvietės plėtra</v>
      </c>
      <c r="E36" s="342" t="str">
        <f>CONCATENATE('IV-2 arsa'!D17)</f>
        <v>Alytaus rajono savivaldybės administracija</v>
      </c>
      <c r="F36" s="342" t="str">
        <f>CONCATENATE('IV-2 arsa'!E17)</f>
        <v>Lietuvos Respublikos vidaus reikalų ministerija</v>
      </c>
      <c r="G36" s="342" t="str">
        <f>CONCATENATE('IV-2 arsa'!F17)</f>
        <v>Alytaus r. sav.</v>
      </c>
      <c r="H36" s="345" t="str">
        <f>CONCATENATE('IV-2 arsa'!G17)</f>
        <v>8.2.1-CPVA-R-908</v>
      </c>
      <c r="I36" s="312" t="str">
        <f>CONCATENATE('IV-2 arsa'!H17)</f>
        <v>R</v>
      </c>
      <c r="J36" s="312" t="str">
        <f>CONCATENATE('IV-2 arsa'!I17)</f>
        <v>-</v>
      </c>
      <c r="K36" s="312" t="str">
        <f>CONCATENATE('IV-2 arsa'!J17)</f>
        <v>-</v>
      </c>
      <c r="L36" s="1212">
        <f>SUM('IV-2 arsa'!K17)</f>
        <v>1043467</v>
      </c>
      <c r="M36" s="1212">
        <f ca="1">SUM('ketv. 6 '!L35)</f>
        <v>0</v>
      </c>
      <c r="N36" s="1212">
        <f t="shared" ca="1" si="44"/>
        <v>0</v>
      </c>
      <c r="O36" s="1212">
        <f>SUM('IV-2 arsa'!L17)</f>
        <v>78260</v>
      </c>
      <c r="P36" s="1212">
        <f ca="1">SUM('ketv. 6 '!P35)</f>
        <v>0</v>
      </c>
      <c r="Q36" s="1212">
        <f t="shared" ca="1" si="45"/>
        <v>0</v>
      </c>
      <c r="R36" s="1212">
        <f>SUM('IV-2 arsa'!M17)</f>
        <v>78260</v>
      </c>
      <c r="S36" s="1212">
        <f ca="1">SUM('ketv. 6 '!T35)</f>
        <v>0</v>
      </c>
      <c r="T36" s="1212">
        <f t="shared" ca="1" si="46"/>
        <v>0</v>
      </c>
      <c r="U36" s="1212">
        <f>SUM('IV-2 arsa'!N17)</f>
        <v>0</v>
      </c>
      <c r="V36" s="1212">
        <f ca="1">SUM('ketv. 6 '!X35)</f>
        <v>0</v>
      </c>
      <c r="W36" s="1212">
        <f t="shared" ca="1" si="47"/>
        <v>0</v>
      </c>
      <c r="X36" s="1212">
        <f>SUM('IV-2 arsa'!O17)</f>
        <v>0</v>
      </c>
      <c r="Y36" s="1212">
        <f ca="1">SUM('ketv. 6 '!AB35)</f>
        <v>0</v>
      </c>
      <c r="Z36" s="1212">
        <f t="shared" ca="1" si="48"/>
        <v>0</v>
      </c>
      <c r="AA36" s="1212">
        <f>SUM('IV-2 arsa'!P17)</f>
        <v>886947</v>
      </c>
      <c r="AB36" s="1212">
        <f>SUM('IV-2 vrsa'!R16)</f>
        <v>0</v>
      </c>
      <c r="AC36" s="306" t="str">
        <f>IF('ketv. 4 '!X36&gt;0,"Taip","Ne")</f>
        <v>Ne</v>
      </c>
      <c r="AD36" s="306">
        <f ca="1">SUM('ketv. 6 '!AF35)</f>
        <v>0</v>
      </c>
      <c r="AE36" s="306">
        <f ca="1">IF(AD36&gt;0,AA36-AD36,0)</f>
        <v>0</v>
      </c>
      <c r="AF36" s="721">
        <v>43130</v>
      </c>
      <c r="AG36" s="373">
        <f>SUM('IV-2 arsa'!S17)</f>
        <v>43465</v>
      </c>
      <c r="AH36" s="373">
        <f>SUM('IV-2 arsa'!T17)</f>
        <v>43555</v>
      </c>
      <c r="AI36" s="373">
        <f>SUM('IV-2 arsa'!U17)</f>
        <v>43646</v>
      </c>
      <c r="AJ36" s="375">
        <f t="shared" si="49"/>
        <v>2019</v>
      </c>
      <c r="AK36" s="829">
        <f>SUM('IV-2 arsa'!V17)</f>
        <v>44377</v>
      </c>
      <c r="AL36" s="306">
        <f>IF(YEAR(AI36)=2016,AA36,0)</f>
        <v>0</v>
      </c>
      <c r="AM36" s="306">
        <f>IF(YEAR(AI36)=2017,AA36,0)</f>
        <v>0</v>
      </c>
      <c r="AN36" s="306">
        <f>IF(YEAR(AI36)=2018,AA36,0)</f>
        <v>0</v>
      </c>
      <c r="AO36" s="306">
        <f>IF(YEAR(AI36)=2019,AA36,0)</f>
        <v>886947</v>
      </c>
      <c r="AP36" s="830">
        <f>IF(YEAR(AI36)=2020,AA36,0)</f>
        <v>0</v>
      </c>
      <c r="AQ36" s="55"/>
      <c r="AR36" s="55"/>
      <c r="AS36" s="55"/>
    </row>
    <row r="37" spans="1:51" ht="39.75" thickTop="1" thickBot="1" x14ac:dyDescent="0.3">
      <c r="A37" s="342" t="s">
        <v>226</v>
      </c>
      <c r="B37" s="342" t="s">
        <v>1295</v>
      </c>
      <c r="C37" s="970" t="str">
        <f>CONCATENATE('ketv. 2'!B36)</f>
        <v>08.2.1-CPVA-R-908-11-0003</v>
      </c>
      <c r="D37" s="342" t="str">
        <f>CONCATENATE('IV-2 dsa'!C13)</f>
        <v>Leipalingio viešosios erdvės pritaikymas bendruomenės poreikiams</v>
      </c>
      <c r="E37" s="342" t="str">
        <f>CONCATENATE('IV-2 dsa'!D13)</f>
        <v xml:space="preserve">Druskininkų savivaldybės administracija  </v>
      </c>
      <c r="F37" s="342" t="str">
        <f>CONCATENATE('IV-2 dsa'!E13)</f>
        <v>Lietuvos Respublikos vidaus reikalų ministerija</v>
      </c>
      <c r="G37" s="342" t="str">
        <f>CONCATENATE('IV-2 dsa'!F13)</f>
        <v>Druskininkų sav.</v>
      </c>
      <c r="H37" s="345" t="str">
        <f>CONCATENATE('IV-2 dsa'!G13)</f>
        <v>8.2.1-CPVA-R-908</v>
      </c>
      <c r="I37" s="312" t="str">
        <f>CONCATENATE('IV-2 dsa'!H13)</f>
        <v>R</v>
      </c>
      <c r="J37" s="312" t="str">
        <f>CONCATENATE('IV-2 dsa'!I13)</f>
        <v>-</v>
      </c>
      <c r="K37" s="312" t="str">
        <f>CONCATENATE('IV-2 dsa'!J13)</f>
        <v>-</v>
      </c>
      <c r="L37" s="1212">
        <f>SUM('IV-2 dsa'!K13)</f>
        <v>579418.99</v>
      </c>
      <c r="M37" s="1212">
        <f ca="1">SUM('ketv. 6 '!L36)</f>
        <v>579418.99</v>
      </c>
      <c r="N37" s="1212">
        <f t="shared" ca="1" si="44"/>
        <v>0</v>
      </c>
      <c r="O37" s="1212">
        <f>SUM('IV-2 dsa'!L13)</f>
        <v>192989.99</v>
      </c>
      <c r="P37" s="1212">
        <f ca="1">SUM('ketv. 6 '!P36)</f>
        <v>192989.99</v>
      </c>
      <c r="Q37" s="1212">
        <f t="shared" ca="1" si="45"/>
        <v>0</v>
      </c>
      <c r="R37" s="1212">
        <f>SUM('IV-2 dsa'!M13)</f>
        <v>31332.09</v>
      </c>
      <c r="S37" s="1212">
        <f ca="1">SUM('ketv. 6 '!T36)</f>
        <v>31332.09</v>
      </c>
      <c r="T37" s="1212">
        <f t="shared" ca="1" si="46"/>
        <v>0</v>
      </c>
      <c r="U37" s="1212">
        <f>SUM('IV-2 dsa'!N13)</f>
        <v>0</v>
      </c>
      <c r="V37" s="1212">
        <f ca="1">SUM('ketv. 6 '!X36)</f>
        <v>0</v>
      </c>
      <c r="W37" s="1212">
        <f t="shared" ca="1" si="47"/>
        <v>0</v>
      </c>
      <c r="X37" s="1212">
        <f>SUM('IV-2 dsa'!O13)</f>
        <v>0</v>
      </c>
      <c r="Y37" s="1212">
        <f ca="1">SUM('ketv. 6 '!AB36)</f>
        <v>0</v>
      </c>
      <c r="Z37" s="1212">
        <f t="shared" ca="1" si="48"/>
        <v>0</v>
      </c>
      <c r="AA37" s="1212">
        <f>SUM('IV-2 dsa'!P13)</f>
        <v>355096.91</v>
      </c>
      <c r="AB37" s="1212">
        <f>SUM('IV-2 vrsa'!R17)</f>
        <v>0</v>
      </c>
      <c r="AC37" s="306" t="str">
        <f>IF('ketv. 4 '!X37&gt;0,"Taip","Ne")</f>
        <v>Taip</v>
      </c>
      <c r="AD37" s="306">
        <f ca="1">SUM('ketv. 6 '!AF36)</f>
        <v>355096.91</v>
      </c>
      <c r="AE37" s="306">
        <f ca="1">IF(AD37&gt;0,AA37-AD37,0)</f>
        <v>0</v>
      </c>
      <c r="AF37" s="721">
        <f>SUM('IV-2 dsa'!R13)</f>
        <v>43038</v>
      </c>
      <c r="AG37" s="373">
        <f>SUM('IV-2 dsa'!S13)</f>
        <v>43124</v>
      </c>
      <c r="AH37" s="373">
        <f>SUM('IV-2 dsa'!T13)</f>
        <v>43251</v>
      </c>
      <c r="AI37" s="373">
        <f>SUM('IV-2 dsa'!U13)</f>
        <v>43343</v>
      </c>
      <c r="AJ37" s="375">
        <f t="shared" si="49"/>
        <v>2018</v>
      </c>
      <c r="AK37" s="829">
        <f>SUM('IV-2 dsa'!V13)</f>
        <v>43830</v>
      </c>
      <c r="AL37" s="306">
        <f>IF(YEAR(AI37)=2016,AA37,0)</f>
        <v>0</v>
      </c>
      <c r="AM37" s="306">
        <f>IF(YEAR(AI37)=2017,AA37,0)</f>
        <v>0</v>
      </c>
      <c r="AN37" s="306">
        <f>IF(YEAR(AI37)=2018,AA37,0)</f>
        <v>355096.91</v>
      </c>
      <c r="AO37" s="306">
        <f>IF(YEAR(AI37)=2019,AA37,0)</f>
        <v>0</v>
      </c>
      <c r="AP37" s="830">
        <f>IF(YEAR(AI37)=2020,AA37,0)</f>
        <v>0</v>
      </c>
      <c r="AQ37" s="55"/>
      <c r="AR37" s="55"/>
      <c r="AS37" s="55"/>
    </row>
    <row r="38" spans="1:51" ht="39.75" thickTop="1" thickBot="1" x14ac:dyDescent="0.3">
      <c r="A38" s="342" t="s">
        <v>227</v>
      </c>
      <c r="B38" s="342" t="s">
        <v>1296</v>
      </c>
      <c r="C38" s="970" t="str">
        <f>CONCATENATE('ketv. 2'!B37)</f>
        <v>08.2.1-CPVA-R-908-11-0004</v>
      </c>
      <c r="D38" s="342" t="str">
        <f>CONCATENATE('IV-2 dsa'!C14)</f>
        <v>Viečiūnų viešosios erdvės pritaikymas bendruomenės poreikiams</v>
      </c>
      <c r="E38" s="342" t="str">
        <f>CONCATENATE('IV-2 dsa'!D14)</f>
        <v xml:space="preserve">Druskininkų savivaldybės administracija  </v>
      </c>
      <c r="F38" s="342" t="str">
        <f>CONCATENATE('IV-2 dsa'!E14)</f>
        <v>Lietuvos Respublikos vidaus reikalų ministerija</v>
      </c>
      <c r="G38" s="342" t="str">
        <f>CONCATENATE('IV-2 dsa'!F14)</f>
        <v>Druskininkų sav.</v>
      </c>
      <c r="H38" s="345" t="str">
        <f>CONCATENATE('IV-2 dsa'!G14)</f>
        <v>8.2.1-CPVA-R-908</v>
      </c>
      <c r="I38" s="312" t="str">
        <f>CONCATENATE('IV-2 dsa'!H14)</f>
        <v>R</v>
      </c>
      <c r="J38" s="312" t="str">
        <f>CONCATENATE('IV-2 dsa'!I14)</f>
        <v>-</v>
      </c>
      <c r="K38" s="312" t="str">
        <f>CONCATENATE('IV-2 dsa'!J14)</f>
        <v>-</v>
      </c>
      <c r="L38" s="1212">
        <f>SUM('IV-2 dsa'!K14)</f>
        <v>673878</v>
      </c>
      <c r="M38" s="1212">
        <f ca="1">SUM('ketv. 6 '!L37)</f>
        <v>673878</v>
      </c>
      <c r="N38" s="1212">
        <f t="shared" ca="1" si="44"/>
        <v>0</v>
      </c>
      <c r="O38" s="1212">
        <f>SUM('IV-2 dsa'!L14)</f>
        <v>50541</v>
      </c>
      <c r="P38" s="1212">
        <f ca="1">SUM('ketv. 6 '!P37)</f>
        <v>50541</v>
      </c>
      <c r="Q38" s="1212">
        <f t="shared" ca="1" si="45"/>
        <v>0</v>
      </c>
      <c r="R38" s="1212">
        <f>SUM('IV-2 dsa'!M14)</f>
        <v>50540.84</v>
      </c>
      <c r="S38" s="1212">
        <f ca="1">SUM('ketv. 6 '!T37)</f>
        <v>50540.84</v>
      </c>
      <c r="T38" s="1212">
        <f t="shared" ca="1" si="46"/>
        <v>0</v>
      </c>
      <c r="U38" s="1212">
        <f>SUM('IV-2 dsa'!N14)</f>
        <v>0</v>
      </c>
      <c r="V38" s="1212">
        <f ca="1">SUM('ketv. 6 '!X37)</f>
        <v>0</v>
      </c>
      <c r="W38" s="1212">
        <f t="shared" ca="1" si="47"/>
        <v>0</v>
      </c>
      <c r="X38" s="1212">
        <f>SUM('IV-2 dsa'!O14)</f>
        <v>0</v>
      </c>
      <c r="Y38" s="1212">
        <f ca="1">SUM('ketv. 6 '!AB37)</f>
        <v>0</v>
      </c>
      <c r="Z38" s="1212">
        <f t="shared" ca="1" si="48"/>
        <v>0</v>
      </c>
      <c r="AA38" s="1212">
        <f>SUM('IV-2 dsa'!P14)</f>
        <v>572796.16000000003</v>
      </c>
      <c r="AB38" s="1212">
        <f>SUM('IV-2 vrsa'!R18)</f>
        <v>0</v>
      </c>
      <c r="AC38" s="306" t="str">
        <f>IF('ketv. 4 '!X38&gt;0,"Taip","Ne")</f>
        <v>Taip</v>
      </c>
      <c r="AD38" s="306">
        <f ca="1">SUM('ketv. 6 '!AF37)</f>
        <v>572796.16000000003</v>
      </c>
      <c r="AE38" s="306">
        <f ca="1">IF(AD38&gt;0,AA38-AD38,0)</f>
        <v>0</v>
      </c>
      <c r="AF38" s="721">
        <f>SUM('IV-2 dsa'!R14)</f>
        <v>43038</v>
      </c>
      <c r="AG38" s="373">
        <f>SUM('IV-2 dsa'!S14)</f>
        <v>43124</v>
      </c>
      <c r="AH38" s="373">
        <f>SUM('IV-2 dsa'!T14)</f>
        <v>43251</v>
      </c>
      <c r="AI38" s="373">
        <f>SUM('IV-2 dsa'!U14)</f>
        <v>43312</v>
      </c>
      <c r="AJ38" s="375">
        <f t="shared" si="49"/>
        <v>2018</v>
      </c>
      <c r="AK38" s="1310">
        <f>SUM('IV-2 dsa'!V14)</f>
        <v>43830</v>
      </c>
      <c r="AL38" s="306">
        <f>IF(YEAR(AI38)=2016,AA38,0)</f>
        <v>0</v>
      </c>
      <c r="AM38" s="306">
        <f>IF(YEAR(AI38)=2017,AA38,0)</f>
        <v>0</v>
      </c>
      <c r="AN38" s="306">
        <f>IF(YEAR(AI38)=2018,AA38,0)</f>
        <v>572796.16000000003</v>
      </c>
      <c r="AO38" s="306">
        <f>IF(YEAR(AI38)=2019,AA38,0)</f>
        <v>0</v>
      </c>
      <c r="AP38" s="830">
        <f>IF(YEAR(AI38)=2020,AA38,0)</f>
        <v>0</v>
      </c>
      <c r="AQ38" s="55"/>
      <c r="AR38" s="55"/>
      <c r="AS38" s="55"/>
    </row>
    <row r="39" spans="1:51" s="170" customFormat="1" ht="28.5" customHeight="1" thickBot="1" x14ac:dyDescent="0.3">
      <c r="A39" s="824" t="s">
        <v>70</v>
      </c>
      <c r="B39" s="1858" t="s">
        <v>1489</v>
      </c>
      <c r="C39" s="1842"/>
      <c r="D39" s="1842"/>
      <c r="E39" s="1842"/>
      <c r="F39" s="1842"/>
      <c r="G39" s="1842"/>
      <c r="H39" s="1842"/>
      <c r="I39" s="1842"/>
      <c r="J39" s="1842"/>
      <c r="K39" s="1843"/>
      <c r="L39" s="1213">
        <f>SUM(L40:L45)</f>
        <v>4358551.91</v>
      </c>
      <c r="M39" s="1213">
        <f ca="1">SUM(M40:M45)</f>
        <v>3932465.29</v>
      </c>
      <c r="N39" s="1213">
        <f ca="1">SUM(N40:N45)</f>
        <v>-24286.380000000121</v>
      </c>
      <c r="O39" s="1213">
        <f t="shared" ref="O39:U39" si="50">SUM(O40:O45)</f>
        <v>297094.61</v>
      </c>
      <c r="P39" s="1213">
        <f t="shared" ca="1" si="50"/>
        <v>429198.66000000003</v>
      </c>
      <c r="Q39" s="1213">
        <f t="shared" ca="1" si="50"/>
        <v>-165882.04999999999</v>
      </c>
      <c r="R39" s="1213">
        <f t="shared" si="50"/>
        <v>364155.41000000003</v>
      </c>
      <c r="S39" s="1213">
        <f t="shared" ca="1" si="50"/>
        <v>318897.09000000003</v>
      </c>
      <c r="T39" s="1213">
        <f t="shared" ca="1" si="50"/>
        <v>11480.32</v>
      </c>
      <c r="U39" s="1213">
        <f t="shared" si="50"/>
        <v>0</v>
      </c>
      <c r="V39" s="1213">
        <f ca="1">SUM(V40:V45)</f>
        <v>0</v>
      </c>
      <c r="W39" s="1213">
        <f ca="1">SUM(W40:W45)</f>
        <v>0</v>
      </c>
      <c r="X39" s="1213">
        <f>SUM(X40:X45)</f>
        <v>0</v>
      </c>
      <c r="Y39" s="1213">
        <f t="shared" ref="Y39:Z39" ca="1" si="51">SUM(Y40:Y45)</f>
        <v>0</v>
      </c>
      <c r="Z39" s="1213">
        <f t="shared" ca="1" si="51"/>
        <v>0</v>
      </c>
      <c r="AA39" s="1213">
        <f t="shared" ref="AA39:AE39" si="52">SUM(AA40:AA45)</f>
        <v>3697301.8899999997</v>
      </c>
      <c r="AB39" s="1213">
        <f>SUM('IV-2 vrsa'!R19)</f>
        <v>0</v>
      </c>
      <c r="AC39" s="825"/>
      <c r="AD39" s="825">
        <f t="shared" ca="1" si="52"/>
        <v>3184369.5399999996</v>
      </c>
      <c r="AE39" s="825">
        <f t="shared" ca="1" si="52"/>
        <v>130115.34999999998</v>
      </c>
      <c r="AF39" s="825"/>
      <c r="AG39" s="842"/>
      <c r="AH39" s="842"/>
      <c r="AI39" s="842"/>
      <c r="AJ39" s="843"/>
      <c r="AK39" s="844"/>
      <c r="AL39" s="839">
        <f>SUM(AL40:AL45)</f>
        <v>1289392.2</v>
      </c>
      <c r="AM39" s="839">
        <f t="shared" ref="AM39:AP39" si="53">SUM(AM40:AM45)</f>
        <v>1489592.69</v>
      </c>
      <c r="AN39" s="839">
        <f t="shared" si="53"/>
        <v>918317</v>
      </c>
      <c r="AO39" s="839">
        <f t="shared" si="53"/>
        <v>0</v>
      </c>
      <c r="AP39" s="839">
        <f t="shared" si="53"/>
        <v>0</v>
      </c>
      <c r="AQ39" s="840">
        <f>SUM('IV-2 amsa'!X11+'IV-2 arsa'!W18+'IV-2 dsa'!W15+'IV-2 lrsa'!X16+'IV-2 vrsa'!X16)</f>
        <v>3697302</v>
      </c>
      <c r="AR39" s="840">
        <f>SUM(AQ39*120/100)</f>
        <v>4436762.4000000004</v>
      </c>
      <c r="AS39" s="840">
        <f>SUM(AQ39-AA39)</f>
        <v>0.11000000033527613</v>
      </c>
    </row>
    <row r="40" spans="1:51" ht="39.75" thickTop="1" thickBot="1" x14ac:dyDescent="0.3">
      <c r="A40" s="342" t="s">
        <v>71</v>
      </c>
      <c r="B40" s="342" t="s">
        <v>1297</v>
      </c>
      <c r="C40" s="970" t="str">
        <f>CONCATENATE('ketv. 2'!B39)</f>
        <v>07.1.1-CPVA-R-905-11-0001</v>
      </c>
      <c r="D40" s="342" t="str">
        <f>CONCATENATE('IV-2 vrsa'!D17)</f>
        <v>Varėnos miesto centrinės dalies modernizavimas ir pritaikymas visuomenės poreikiams (I etapas)</v>
      </c>
      <c r="E40" s="342" t="str">
        <f>CONCATENATE('IV-2 vrsa'!E17)</f>
        <v>Varėnos rajono savivaldybės administracija</v>
      </c>
      <c r="F40" s="342" t="str">
        <f>CONCATENATE('IV-2 vrsa'!F17)</f>
        <v>Lietuvos Respublikos vidaus reikalų ministerija</v>
      </c>
      <c r="G40" s="342" t="str">
        <f>CONCATENATE('IV-2 vrsa'!G17)</f>
        <v>Varėnos r. sav.</v>
      </c>
      <c r="H40" s="345" t="str">
        <f>CONCATENATE('IV-2 vrsa'!H17)</f>
        <v xml:space="preserve">07.1.1-CPVA-R-905 </v>
      </c>
      <c r="I40" s="312" t="str">
        <f>CONCATENATE('IV-2 vrsa'!I17)</f>
        <v>R</v>
      </c>
      <c r="J40" s="312" t="str">
        <f>CONCATENATE('IV-2 vrsa'!J17)</f>
        <v>ITI</v>
      </c>
      <c r="K40" s="312" t="str">
        <f>CONCATENATE('IV-2 vrsa'!K17)</f>
        <v>-</v>
      </c>
      <c r="L40" s="1217">
        <f>SUM('IV-2 vrsa'!L17)</f>
        <v>1516932.01</v>
      </c>
      <c r="M40" s="1217">
        <f ca="1">SUM('ketv. 6 '!L39)</f>
        <v>1516932.01</v>
      </c>
      <c r="N40" s="1217">
        <f ca="1">IF(M40&gt;0,L40-M40,0)</f>
        <v>0</v>
      </c>
      <c r="O40" s="1217">
        <f>SUM('IV-2 vrsa'!M17)</f>
        <v>75846.61</v>
      </c>
      <c r="P40" s="1217">
        <f ca="1">SUM('ketv. 6 '!P39)</f>
        <v>75846.61</v>
      </c>
      <c r="Q40" s="1217">
        <f t="shared" ref="Q40:Q42" ca="1" si="54">IF(P40&gt;0,O40-P40,0)</f>
        <v>0</v>
      </c>
      <c r="R40" s="1217">
        <f>SUM('IV-2 vrsa'!N17)</f>
        <v>151693.20000000001</v>
      </c>
      <c r="S40" s="1217">
        <f ca="1">SUM('ketv. 6 '!T39)</f>
        <v>151693.20000000001</v>
      </c>
      <c r="T40" s="1217">
        <f t="shared" ref="T40:T44" ca="1" si="55">IF(S40&gt;0,R40-S40,0)</f>
        <v>0</v>
      </c>
      <c r="U40" s="1217">
        <f>SUM('IV-2 vrsa'!O17)</f>
        <v>0</v>
      </c>
      <c r="V40" s="1217">
        <f ca="1">SUM('ketv. 6 '!X39)</f>
        <v>0</v>
      </c>
      <c r="W40" s="1217">
        <f t="shared" ref="W40:W44" ca="1" si="56">IF(V40&gt;0,U40-V40,0)</f>
        <v>0</v>
      </c>
      <c r="X40" s="1217">
        <f>SUM('IV-2 vrsa'!P17)</f>
        <v>0</v>
      </c>
      <c r="Y40" s="1217">
        <f ca="1">SUM('ketv. 6 '!AB39)</f>
        <v>0</v>
      </c>
      <c r="Z40" s="1217">
        <f t="shared" ref="Z40:Z44" ca="1" si="57">IF(Y40&gt;0,X40-Y40,0)</f>
        <v>0</v>
      </c>
      <c r="AA40" s="1217">
        <f>SUM('IV-2 vrsa'!Q17)</f>
        <v>1289392.2</v>
      </c>
      <c r="AB40" s="1217">
        <f>SUM('IV-2 vrsa'!R20)</f>
        <v>0</v>
      </c>
      <c r="AC40" s="306" t="str">
        <f>IF('ketv. 4 '!X40&gt;0,"Taip","Ne")</f>
        <v>Taip</v>
      </c>
      <c r="AD40" s="306">
        <f ca="1">SUM('ketv. 6 '!AF39)</f>
        <v>1289392.2</v>
      </c>
      <c r="AE40" s="306">
        <f t="shared" ref="AE40:AE45" ca="1" si="58">IF(AD40&gt;0,AA40-AD40,0)</f>
        <v>0</v>
      </c>
      <c r="AF40" s="721">
        <f>SUM('IV-2 vrsa'!S17)</f>
        <v>43108</v>
      </c>
      <c r="AG40" s="373">
        <f>SUM('IV-2 vrsa'!T17)</f>
        <v>42528</v>
      </c>
      <c r="AH40" s="373">
        <f>SUM('IV-2 vrsa'!U17)</f>
        <v>42566</v>
      </c>
      <c r="AI40" s="373">
        <f>SUM('IV-2 vrsa'!V17)</f>
        <v>42735</v>
      </c>
      <c r="AJ40" s="375">
        <f t="shared" ref="AJ40:AJ45" si="59">IF(YEAR(AI40),YEAR(AI40))</f>
        <v>2016</v>
      </c>
      <c r="AK40" s="829">
        <f>SUM('IV-2 vrsa'!W17)</f>
        <v>43465</v>
      </c>
      <c r="AL40" s="306">
        <f t="shared" ref="AL40:AL45" si="60">IF(YEAR(AI40)=2016,AA40,0)</f>
        <v>1289392.2</v>
      </c>
      <c r="AM40" s="306">
        <f t="shared" ref="AM40:AM45" si="61">IF(YEAR(AI40)=2017,AA40,0)</f>
        <v>0</v>
      </c>
      <c r="AN40" s="306">
        <f t="shared" ref="AN40:AN45" si="62">IF(YEAR(AI40)=2018,AA40,0)</f>
        <v>0</v>
      </c>
      <c r="AO40" s="306">
        <f t="shared" ref="AO40:AO45" si="63">IF(YEAR(AI40)=2019,AA40,0)</f>
        <v>0</v>
      </c>
      <c r="AP40" s="830">
        <f t="shared" ref="AP40:AP45" si="64">IF(YEAR(AI40)=2020,AA40,0)</f>
        <v>0</v>
      </c>
      <c r="AQ40" s="55"/>
      <c r="AR40" s="55"/>
      <c r="AS40" s="55"/>
      <c r="AX40" s="736"/>
    </row>
    <row r="41" spans="1:51" ht="39.75" thickTop="1" thickBot="1" x14ac:dyDescent="0.3">
      <c r="A41" s="342" t="s">
        <v>126</v>
      </c>
      <c r="B41" s="342" t="s">
        <v>1298</v>
      </c>
      <c r="C41" s="970" t="str">
        <f>CONCATENATE('ketv. 2'!B40)</f>
        <v>07.1.1-CPVA-R-905-11-0002</v>
      </c>
      <c r="D41" s="342" t="str">
        <f>CONCATENATE('IV-2 vrsa'!D18)</f>
        <v>Varėnos miesto centrinės dalies modernizavimas ir pritaikymas visuomenės poreikiams (II etapas)</v>
      </c>
      <c r="E41" s="342" t="str">
        <f>CONCATENATE('IV-2 vrsa'!E18)</f>
        <v>Varėnos rajono savivaldybės administracija</v>
      </c>
      <c r="F41" s="342" t="str">
        <f>CONCATENATE('IV-2 vrsa'!F18)</f>
        <v>Lietuvos Respublikos vidaus reikalų ministerija</v>
      </c>
      <c r="G41" s="342" t="str">
        <f>CONCATENATE('IV-2 vrsa'!G18)</f>
        <v>Varėnos r. sav.</v>
      </c>
      <c r="H41" s="345" t="str">
        <f>CONCATENATE('IV-2 vrsa'!H18)</f>
        <v xml:space="preserve">07.1.1-CPVA-R-905 </v>
      </c>
      <c r="I41" s="312" t="str">
        <f>CONCATENATE('IV-2 vrsa'!I18)</f>
        <v>R</v>
      </c>
      <c r="J41" s="312" t="str">
        <f>CONCATENATE('IV-2 vrsa'!J18)</f>
        <v>ITI</v>
      </c>
      <c r="K41" s="312" t="str">
        <f>CONCATENATE('IV-2 vrsa'!K18)</f>
        <v>-</v>
      </c>
      <c r="L41" s="1217">
        <f>SUM('IV-2 vrsa'!L18)</f>
        <v>1004000.8999999999</v>
      </c>
      <c r="M41" s="1217">
        <f ca="1">SUM('ketv. 6 '!L40)</f>
        <v>995216.11</v>
      </c>
      <c r="N41" s="1217">
        <f ca="1">IF(M41&gt;0,L41-M41,0)</f>
        <v>8784.7899999999208</v>
      </c>
      <c r="O41" s="1217">
        <f>SUM('IV-2 vrsa'!M18)</f>
        <v>83426</v>
      </c>
      <c r="P41" s="1217">
        <f ca="1">SUM('ketv. 6 '!P40)</f>
        <v>74641.210000000006</v>
      </c>
      <c r="Q41" s="1217">
        <f t="shared" ca="1" si="54"/>
        <v>8784.7899999999936</v>
      </c>
      <c r="R41" s="1217">
        <f>SUM('IV-2 vrsa'!N18)</f>
        <v>74641.210000000006</v>
      </c>
      <c r="S41" s="1217">
        <f ca="1">SUM('ketv. 6 '!T40)</f>
        <v>74641.210000000006</v>
      </c>
      <c r="T41" s="1217">
        <f t="shared" ca="1" si="55"/>
        <v>0</v>
      </c>
      <c r="U41" s="1217">
        <f>SUM('IV-2 vrsa'!O18)</f>
        <v>0</v>
      </c>
      <c r="V41" s="1217">
        <f ca="1">SUM('ketv. 6 '!X40)</f>
        <v>0</v>
      </c>
      <c r="W41" s="1217">
        <f t="shared" ca="1" si="56"/>
        <v>0</v>
      </c>
      <c r="X41" s="1217">
        <f>SUM('IV-2 vrsa'!P18)</f>
        <v>0</v>
      </c>
      <c r="Y41" s="1217">
        <f ca="1">SUM('ketv. 6 '!AB40)</f>
        <v>0</v>
      </c>
      <c r="Z41" s="1217">
        <f t="shared" ca="1" si="57"/>
        <v>0</v>
      </c>
      <c r="AA41" s="1217">
        <f>SUM('IV-2 vrsa'!Q18)</f>
        <v>845933.69</v>
      </c>
      <c r="AB41" s="1217">
        <f>SUM('IV-2 vrsa'!R21)</f>
        <v>0</v>
      </c>
      <c r="AC41" s="306" t="str">
        <f>IF('ketv. 4 '!X41&gt;0,"Taip","Ne")</f>
        <v>Taip</v>
      </c>
      <c r="AD41" s="306">
        <f ca="1">SUM('ketv. 6 '!AF40)</f>
        <v>845933.69</v>
      </c>
      <c r="AE41" s="306">
        <f t="shared" ca="1" si="58"/>
        <v>0</v>
      </c>
      <c r="AF41" s="721">
        <f>SUM('IV-2 vrsa'!S18)</f>
        <v>43108</v>
      </c>
      <c r="AG41" s="373">
        <f>SUM('IV-2 vrsa'!T18)</f>
        <v>42830</v>
      </c>
      <c r="AH41" s="373">
        <f>SUM('IV-2 vrsa'!U18)</f>
        <v>42885</v>
      </c>
      <c r="AI41" s="373">
        <f>SUM('IV-2 vrsa'!V18)</f>
        <v>42978</v>
      </c>
      <c r="AJ41" s="375">
        <f t="shared" si="59"/>
        <v>2017</v>
      </c>
      <c r="AK41" s="829">
        <f>SUM('IV-2 vrsa'!W18)</f>
        <v>43830</v>
      </c>
      <c r="AL41" s="306">
        <f t="shared" si="60"/>
        <v>0</v>
      </c>
      <c r="AM41" s="306">
        <f t="shared" si="61"/>
        <v>845933.69</v>
      </c>
      <c r="AN41" s="306">
        <f t="shared" si="62"/>
        <v>0</v>
      </c>
      <c r="AO41" s="306">
        <f t="shared" si="63"/>
        <v>0</v>
      </c>
      <c r="AP41" s="830">
        <f t="shared" si="64"/>
        <v>0</v>
      </c>
      <c r="AQ41" s="55"/>
      <c r="AR41" s="55"/>
      <c r="AS41" s="55"/>
      <c r="AX41" s="736"/>
    </row>
    <row r="42" spans="1:51" ht="39.75" thickTop="1" thickBot="1" x14ac:dyDescent="0.3">
      <c r="A42" s="342" t="s">
        <v>127</v>
      </c>
      <c r="B42" s="342" t="s">
        <v>1299</v>
      </c>
      <c r="C42" s="970" t="str">
        <f>CONCATENATE('ketv. 2'!B41)</f>
        <v>07.1.1-CPVA-R-905-11-0004</v>
      </c>
      <c r="D42" s="342" t="str">
        <f>CONCATENATE('IV-2 vrsa'!D19)</f>
        <v xml:space="preserve">Varėnos miesto Dainų slėnio infrastruktūros atnaujinimas ir pritaikymas visuomenės poreikiams </v>
      </c>
      <c r="E42" s="342" t="str">
        <f>CONCATENATE('IV-2 vrsa'!E19)</f>
        <v>Varėnos rajono savivaldybės administracija</v>
      </c>
      <c r="F42" s="342" t="str">
        <f>CONCATENATE('IV-2 vrsa'!F19)</f>
        <v>Lietuvos Respublikos vidaus reikalų ministerija</v>
      </c>
      <c r="G42" s="342" t="str">
        <f>CONCATENATE('IV-2 vrsa'!G19)</f>
        <v>Varėnos r. sav.</v>
      </c>
      <c r="H42" s="345" t="str">
        <f>CONCATENATE('IV-2 vrsa'!H19)</f>
        <v xml:space="preserve">07.1.1-CPVA-R-905 </v>
      </c>
      <c r="I42" s="312" t="str">
        <f>CONCATENATE('IV-2 vrsa'!I19)</f>
        <v>R</v>
      </c>
      <c r="J42" s="312" t="str">
        <f>CONCATENATE('IV-2 vrsa'!J19)</f>
        <v>ITI</v>
      </c>
      <c r="K42" s="312" t="str">
        <f>CONCATENATE('IV-2 vrsa'!K19)</f>
        <v>-</v>
      </c>
      <c r="L42" s="1217">
        <f>SUM('IV-2 vrsa'!L19)</f>
        <v>630000</v>
      </c>
      <c r="M42" s="1217">
        <f ca="1">SUM('ketv. 6 '!L41)</f>
        <v>663071.16</v>
      </c>
      <c r="N42" s="1217">
        <f t="shared" ref="N42" ca="1" si="65">IF(M42&gt;0,L42-M42,0)</f>
        <v>-33071.160000000033</v>
      </c>
      <c r="O42" s="1217">
        <f>SUM('IV-2 vrsa'!M19)</f>
        <v>47250</v>
      </c>
      <c r="P42" s="1217">
        <f ca="1">SUM('ketv. 6 '!P41)</f>
        <v>80321.16</v>
      </c>
      <c r="Q42" s="1217">
        <f t="shared" ca="1" si="54"/>
        <v>-33071.160000000003</v>
      </c>
      <c r="R42" s="1217">
        <f>SUM('IV-2 vrsa'!N19)</f>
        <v>47250</v>
      </c>
      <c r="S42" s="1217">
        <f ca="1">SUM('ketv. 6 '!T41)</f>
        <v>47250</v>
      </c>
      <c r="T42" s="1217">
        <f t="shared" ca="1" si="55"/>
        <v>0</v>
      </c>
      <c r="U42" s="1217">
        <f>SUM('IV-2 vrsa'!O19)</f>
        <v>0</v>
      </c>
      <c r="V42" s="1217">
        <f ca="1">SUM('ketv. 6 '!X41)</f>
        <v>0</v>
      </c>
      <c r="W42" s="1217">
        <f t="shared" ca="1" si="56"/>
        <v>0</v>
      </c>
      <c r="X42" s="1217">
        <f>SUM('IV-2 vrsa'!P19)</f>
        <v>0</v>
      </c>
      <c r="Y42" s="1217">
        <f ca="1">SUM('ketv. 6 '!AB41)</f>
        <v>0</v>
      </c>
      <c r="Z42" s="1217">
        <f t="shared" ca="1" si="57"/>
        <v>0</v>
      </c>
      <c r="AA42" s="1217">
        <f>SUM('IV-2 vrsa'!Q19)</f>
        <v>535500</v>
      </c>
      <c r="AB42" s="1217">
        <f>SUM('IV-2 vrsa'!R22)</f>
        <v>0</v>
      </c>
      <c r="AC42" s="306" t="str">
        <f>IF('ketv. 4 '!X42&gt;0,"Taip","Ne")</f>
        <v>Taip</v>
      </c>
      <c r="AD42" s="306">
        <f ca="1">SUM('ketv. 6 '!AF41)</f>
        <v>535500</v>
      </c>
      <c r="AE42" s="306">
        <f t="shared" ca="1" si="58"/>
        <v>0</v>
      </c>
      <c r="AF42" s="721">
        <f>SUM('IV-2 vrsa'!S19)</f>
        <v>43108</v>
      </c>
      <c r="AG42" s="373">
        <f>SUM('IV-2 vrsa'!T19)</f>
        <v>43190</v>
      </c>
      <c r="AH42" s="373">
        <f>SUM('IV-2 vrsa'!U19)</f>
        <v>43251</v>
      </c>
      <c r="AI42" s="373">
        <f>SUM('IV-2 vrsa'!V19)</f>
        <v>43343</v>
      </c>
      <c r="AJ42" s="375">
        <f t="shared" si="59"/>
        <v>2018</v>
      </c>
      <c r="AK42" s="829">
        <f>SUM('IV-2 vrsa'!W19)</f>
        <v>44196</v>
      </c>
      <c r="AL42" s="306">
        <f t="shared" si="60"/>
        <v>0</v>
      </c>
      <c r="AM42" s="306">
        <f t="shared" si="61"/>
        <v>0</v>
      </c>
      <c r="AN42" s="306">
        <f t="shared" si="62"/>
        <v>535500</v>
      </c>
      <c r="AO42" s="306">
        <f t="shared" si="63"/>
        <v>0</v>
      </c>
      <c r="AP42" s="830">
        <f t="shared" si="64"/>
        <v>0</v>
      </c>
      <c r="AQ42" s="55"/>
      <c r="AR42" s="55"/>
      <c r="AS42" s="55"/>
    </row>
    <row r="43" spans="1:51" ht="39.75" thickTop="1" thickBot="1" x14ac:dyDescent="0.3">
      <c r="A43" s="342" t="s">
        <v>128</v>
      </c>
      <c r="B43" s="342" t="s">
        <v>1300</v>
      </c>
      <c r="C43" s="970" t="str">
        <f>CONCATENATE('ketv. 2'!B42)</f>
        <v>07.1.1-CPVA-R-905-11-0003</v>
      </c>
      <c r="D43" s="342" t="str">
        <f>CONCATENATE('IV-2 vrsa'!D20)</f>
        <v>Karloniškės ežero ir jo prieigų sutvarkymas ir pritaikymas aktyviam poilsiui</v>
      </c>
      <c r="E43" s="342" t="str">
        <f>CONCATENATE('IV-2 vrsa'!E20)</f>
        <v>Varėnos rajono savivaldybės administracija</v>
      </c>
      <c r="F43" s="342" t="str">
        <f>CONCATENATE('IV-2 vrsa'!F20)</f>
        <v>Lietuvos Respublikos vidaus reikalų ministerija</v>
      </c>
      <c r="G43" s="342" t="str">
        <f>CONCATENATE('IV-2 vrsa'!G20)</f>
        <v>Varėnos r. sav.</v>
      </c>
      <c r="H43" s="345" t="str">
        <f>CONCATENATE('IV-2 vrsa'!H20)</f>
        <v xml:space="preserve">07.1.1-CPVA-R-905 </v>
      </c>
      <c r="I43" s="312" t="str">
        <f>CONCATENATE('IV-2 vrsa'!I20)</f>
        <v>R</v>
      </c>
      <c r="J43" s="312" t="str">
        <f>CONCATENATE('IV-2 vrsa'!J20)</f>
        <v>ITI</v>
      </c>
      <c r="K43" s="376" t="s">
        <v>66</v>
      </c>
      <c r="L43" s="1212">
        <f>SUM('IV-2 vrsa'!L20)</f>
        <v>757246</v>
      </c>
      <c r="M43" s="1212">
        <f ca="1">SUM('ketv. 6 '!L42)</f>
        <v>757246.01</v>
      </c>
      <c r="N43" s="1212">
        <f t="shared" ref="N43:N45" ca="1" si="66">IF(M43&gt;0,L43-M43,0)</f>
        <v>-1.0000000009313226E-2</v>
      </c>
      <c r="O43" s="1212">
        <f>SUM('IV-2 vrsa'!M20)</f>
        <v>56794</v>
      </c>
      <c r="P43" s="1212">
        <f ca="1">SUM('ketv. 6 '!P42)</f>
        <v>198389.68</v>
      </c>
      <c r="Q43" s="1212">
        <f t="shared" ref="Q43:Q45" ca="1" si="67">IF(P43&gt;0,O43-P43,0)</f>
        <v>-141595.68</v>
      </c>
      <c r="R43" s="1212">
        <f>SUM('IV-2 vrsa'!N20)</f>
        <v>56793</v>
      </c>
      <c r="S43" s="1212">
        <f ca="1">SUM('ketv. 6 '!T42)</f>
        <v>45312.68</v>
      </c>
      <c r="T43" s="1212">
        <f t="shared" ca="1" si="55"/>
        <v>11480.32</v>
      </c>
      <c r="U43" s="1212">
        <f>SUM('IV-2 vrsa'!O20)</f>
        <v>0</v>
      </c>
      <c r="V43" s="1212">
        <f ca="1">SUM('ketv. 6 '!X42)</f>
        <v>0</v>
      </c>
      <c r="W43" s="1212">
        <f t="shared" ca="1" si="56"/>
        <v>0</v>
      </c>
      <c r="X43" s="1212">
        <f>SUM('IV-2 vrsa'!P20)</f>
        <v>0</v>
      </c>
      <c r="Y43" s="1212">
        <f ca="1">SUM('ketv. 6 '!AB42)</f>
        <v>0</v>
      </c>
      <c r="Z43" s="1212">
        <f t="shared" ca="1" si="57"/>
        <v>0</v>
      </c>
      <c r="AA43" s="1212">
        <f>SUM('IV-2 vrsa'!Q20)</f>
        <v>643659</v>
      </c>
      <c r="AB43" s="1212">
        <f>SUM('IV-2 vrsa'!R23)</f>
        <v>0</v>
      </c>
      <c r="AC43" s="306" t="str">
        <f>IF('ketv. 4 '!X43&gt;0,"Taip","Ne")</f>
        <v>Taip</v>
      </c>
      <c r="AD43" s="306">
        <f ca="1">SUM('ketv. 6 '!AF42)</f>
        <v>513543.65</v>
      </c>
      <c r="AE43" s="306">
        <f t="shared" ca="1" si="58"/>
        <v>130115.34999999998</v>
      </c>
      <c r="AF43" s="721">
        <f>SUM('IV-2 vrsa'!S20)</f>
        <v>43108</v>
      </c>
      <c r="AG43" s="373">
        <f>SUM('IV-2 vrsa'!T20)</f>
        <v>43280</v>
      </c>
      <c r="AH43" s="373">
        <f>SUM('IV-2 vrsa'!U20)</f>
        <v>43008</v>
      </c>
      <c r="AI43" s="373">
        <f>SUM('IV-2 vrsa'!V20)</f>
        <v>43100</v>
      </c>
      <c r="AJ43" s="375">
        <f t="shared" si="59"/>
        <v>2017</v>
      </c>
      <c r="AK43" s="829">
        <f>SUM('IV-2 vrsa'!W20)</f>
        <v>43861</v>
      </c>
      <c r="AL43" s="306">
        <f t="shared" si="60"/>
        <v>0</v>
      </c>
      <c r="AM43" s="306">
        <f t="shared" si="61"/>
        <v>643659</v>
      </c>
      <c r="AN43" s="306">
        <f t="shared" si="62"/>
        <v>0</v>
      </c>
      <c r="AO43" s="306">
        <f t="shared" si="63"/>
        <v>0</v>
      </c>
      <c r="AP43" s="830">
        <f t="shared" si="64"/>
        <v>0</v>
      </c>
      <c r="AQ43" s="486"/>
      <c r="AR43" s="486"/>
      <c r="AS43" s="55"/>
      <c r="AX43" s="736"/>
    </row>
    <row r="44" spans="1:51" ht="39.75" thickTop="1" thickBot="1" x14ac:dyDescent="0.3">
      <c r="A44" s="342" t="s">
        <v>304</v>
      </c>
      <c r="B44" s="342" t="s">
        <v>1301</v>
      </c>
      <c r="C44" s="970" t="str">
        <f>CONCATENATE('ketv. 2'!B43)</f>
        <v>07.1.1-CPVA-R-905-11-0005</v>
      </c>
      <c r="D44" s="342" t="str">
        <f>CONCATENATE('IV-2 vrsa'!D21)</f>
        <v xml:space="preserve">Nenaudojamų teritorijų Varėnos mieste sutvarkymas ir pritaikymas verslui </v>
      </c>
      <c r="E44" s="342" t="str">
        <f>CONCATENATE('IV-2 vrsa'!E21)</f>
        <v>Varėnos rajono savivaldybės administracija</v>
      </c>
      <c r="F44" s="342" t="str">
        <f>CONCATENATE('IV-2 vrsa'!F21)</f>
        <v>Lietuvos Respublikos vidaus reikalų ministerija</v>
      </c>
      <c r="G44" s="342" t="str">
        <f>CONCATENATE('IV-2 vrsa'!G21)</f>
        <v>Varėnos r. sav.</v>
      </c>
      <c r="H44" s="345" t="str">
        <f>CONCATENATE('IV-2 vrsa'!H21)</f>
        <v xml:space="preserve">07.1.1-CPVA-R-905 </v>
      </c>
      <c r="I44" s="312" t="str">
        <f>CONCATENATE('IV-2 vrsa'!I21)</f>
        <v>R</v>
      </c>
      <c r="J44" s="312" t="str">
        <f>CONCATENATE('IV-2 vrsa'!J21)</f>
        <v>ITI</v>
      </c>
      <c r="K44" s="312" t="str">
        <f>CONCATENATE('IV-2 vrsa'!K21)</f>
        <v>-</v>
      </c>
      <c r="L44" s="1212">
        <f>SUM('IV-2 vrsa'!L21)</f>
        <v>150000</v>
      </c>
      <c r="M44" s="1212">
        <f ca="1">SUM('ketv. 6 '!L43)</f>
        <v>0</v>
      </c>
      <c r="N44" s="1212">
        <f t="shared" ca="1" si="66"/>
        <v>0</v>
      </c>
      <c r="O44" s="1212">
        <f>SUM('IV-2 vrsa'!M21)</f>
        <v>11250</v>
      </c>
      <c r="P44" s="1212">
        <f ca="1">SUM('ketv. 6 '!P43)</f>
        <v>0</v>
      </c>
      <c r="Q44" s="1212">
        <f t="shared" ca="1" si="67"/>
        <v>0</v>
      </c>
      <c r="R44" s="1212">
        <f>SUM('IV-2 vrsa'!N21)</f>
        <v>11250</v>
      </c>
      <c r="S44" s="1212">
        <f ca="1">SUM('ketv. 6 '!T43)</f>
        <v>0</v>
      </c>
      <c r="T44" s="1212">
        <f t="shared" ca="1" si="55"/>
        <v>0</v>
      </c>
      <c r="U44" s="1212">
        <f>SUM('IV-2 vrsa'!O21)</f>
        <v>0</v>
      </c>
      <c r="V44" s="1212">
        <f ca="1">SUM('ketv. 6 '!X43)</f>
        <v>0</v>
      </c>
      <c r="W44" s="1212">
        <f t="shared" ca="1" si="56"/>
        <v>0</v>
      </c>
      <c r="X44" s="1212">
        <f>SUM('IV-2 vrsa'!P21)</f>
        <v>0</v>
      </c>
      <c r="Y44" s="1212">
        <f ca="1">SUM('ketv. 6 '!AB43)</f>
        <v>0</v>
      </c>
      <c r="Z44" s="1212">
        <f t="shared" ca="1" si="57"/>
        <v>0</v>
      </c>
      <c r="AA44" s="1212">
        <f>SUM('IV-2 vrsa'!Q21)</f>
        <v>127500</v>
      </c>
      <c r="AB44" s="1212">
        <f>SUM('IV-2 vrsa'!R24)</f>
        <v>0</v>
      </c>
      <c r="AC44" s="306" t="str">
        <f>IF('ketv. 4 '!X44&gt;0,"Taip","Ne")</f>
        <v>Ne</v>
      </c>
      <c r="AD44" s="306">
        <f ca="1">SUM('ketv. 6 '!AF43)</f>
        <v>0</v>
      </c>
      <c r="AE44" s="306">
        <f t="shared" ca="1" si="58"/>
        <v>0</v>
      </c>
      <c r="AF44" s="721">
        <f>SUM('IV-2 vrsa'!S21)</f>
        <v>43108</v>
      </c>
      <c r="AG44" s="373">
        <f>SUM('IV-2 vrsa'!T21)</f>
        <v>43342</v>
      </c>
      <c r="AH44" s="373">
        <f>SUM('IV-2 vrsa'!U21)</f>
        <v>43373</v>
      </c>
      <c r="AI44" s="373">
        <f>SUM('IV-2 vrsa'!V21)</f>
        <v>43464</v>
      </c>
      <c r="AJ44" s="375">
        <f t="shared" si="59"/>
        <v>2018</v>
      </c>
      <c r="AK44" s="829">
        <f>SUM('IV-2 vrsa'!W21)</f>
        <v>44165</v>
      </c>
      <c r="AL44" s="306">
        <f t="shared" si="60"/>
        <v>0</v>
      </c>
      <c r="AM44" s="306">
        <f t="shared" si="61"/>
        <v>0</v>
      </c>
      <c r="AN44" s="306">
        <f t="shared" si="62"/>
        <v>127500</v>
      </c>
      <c r="AO44" s="306">
        <f t="shared" si="63"/>
        <v>0</v>
      </c>
      <c r="AP44" s="830">
        <f t="shared" si="64"/>
        <v>0</v>
      </c>
      <c r="AQ44" s="745"/>
      <c r="AR44" s="746"/>
      <c r="AS44" s="55"/>
    </row>
    <row r="45" spans="1:51" ht="45.75" customHeight="1" thickTop="1" thickBot="1" x14ac:dyDescent="0.3">
      <c r="A45" s="342" t="s">
        <v>809</v>
      </c>
      <c r="B45" s="342" t="s">
        <v>1302</v>
      </c>
      <c r="C45" s="970" t="str">
        <f>CONCATENATE('ketv. 2'!B45)</f>
        <v/>
      </c>
      <c r="D45" s="342" t="str">
        <f>CONCATENATE('IV-2 vrsa'!D22)</f>
        <v xml:space="preserve">Teritorijų prie daugiabučių gyvenamųjų pastatų Varėnos mieste sutvarkymas ir pritaikymas visuomenės poreikiams  </v>
      </c>
      <c r="E45" s="342" t="str">
        <f>CONCATENATE('IV-2 vrsa'!E22)</f>
        <v>Varėnos rajono savivaldybės administracija</v>
      </c>
      <c r="F45" s="342" t="str">
        <f>CONCATENATE('IV-2 vrsa'!F22)</f>
        <v>Lietuvos Respublikos vidaus reikalų ministerija</v>
      </c>
      <c r="G45" s="342" t="str">
        <f>CONCATENATE('IV-2 vrsa'!G22)</f>
        <v>Varėnos r. sav.</v>
      </c>
      <c r="H45" s="345" t="str">
        <f>CONCATENATE('IV-2 vrsa'!H22)</f>
        <v xml:space="preserve">07.1.1-CPVA-R-905 </v>
      </c>
      <c r="I45" s="312" t="str">
        <f>CONCATENATE('IV-2 vrsa'!I22)</f>
        <v>R</v>
      </c>
      <c r="J45" s="312" t="str">
        <f>CONCATENATE('IV-2 vrsa'!J22)</f>
        <v>ITI</v>
      </c>
      <c r="K45" s="312" t="str">
        <f>CONCATENATE('IV-2 vrsa'!K22)</f>
        <v>-</v>
      </c>
      <c r="L45" s="1212">
        <f>SUM('IV-2 vrsa'!L22)</f>
        <v>300373</v>
      </c>
      <c r="M45" s="1212">
        <f ca="1">SUM('ketv. 6 '!L44)</f>
        <v>0</v>
      </c>
      <c r="N45" s="1212">
        <f t="shared" ca="1" si="66"/>
        <v>0</v>
      </c>
      <c r="O45" s="1212">
        <f>SUM('IV-2 vrsa'!M22)</f>
        <v>22528</v>
      </c>
      <c r="P45" s="1212">
        <f ca="1">SUM('ketv. 6 '!P44)</f>
        <v>0</v>
      </c>
      <c r="Q45" s="1212">
        <f t="shared" ca="1" si="67"/>
        <v>0</v>
      </c>
      <c r="R45" s="1212">
        <f>SUM('IV-2 vrsa'!N22)</f>
        <v>22528</v>
      </c>
      <c r="S45" s="1212">
        <f ca="1">SUM('ketv. 6 '!T44)</f>
        <v>0</v>
      </c>
      <c r="T45" s="1212">
        <f t="shared" ref="T45" ca="1" si="68">IF(S45&gt;0,R45-S45,0)</f>
        <v>0</v>
      </c>
      <c r="U45" s="1212">
        <f>SUM('IV-2 vrsa'!O22)</f>
        <v>0</v>
      </c>
      <c r="V45" s="1212">
        <f ca="1">SUM('ketv. 6 '!X44)</f>
        <v>0</v>
      </c>
      <c r="W45" s="1212">
        <f t="shared" ref="W45" ca="1" si="69">IF(V45&gt;0,U45-V45,0)</f>
        <v>0</v>
      </c>
      <c r="X45" s="1212">
        <f>SUM('IV-2 vrsa'!P22)</f>
        <v>0</v>
      </c>
      <c r="Y45" s="1212">
        <f ca="1">SUM('ketv. 6 '!AB44)</f>
        <v>0</v>
      </c>
      <c r="Z45" s="1212">
        <f t="shared" ref="Z45" ca="1" si="70">IF(Y45&gt;0,X45-Y45,0)</f>
        <v>0</v>
      </c>
      <c r="AA45" s="1212">
        <f>SUM('IV-2 vrsa'!Q22)</f>
        <v>255317</v>
      </c>
      <c r="AB45" s="1212">
        <f>SUM('IV-2 vrsa'!R25)</f>
        <v>0</v>
      </c>
      <c r="AC45" s="306" t="str">
        <f>IF('ketv. 4 '!X45&gt;0,"Taip","Ne")</f>
        <v>Ne</v>
      </c>
      <c r="AD45" s="306">
        <f ca="1">SUM('ketv. 6 '!AF44)</f>
        <v>0</v>
      </c>
      <c r="AE45" s="306">
        <f t="shared" ca="1" si="58"/>
        <v>0</v>
      </c>
      <c r="AF45" s="721">
        <v>43108</v>
      </c>
      <c r="AG45" s="373">
        <f>SUM('IV-2 vrsa'!T22)</f>
        <v>43342</v>
      </c>
      <c r="AH45" s="373">
        <f>SUM('IV-2 vrsa'!U22)</f>
        <v>43373</v>
      </c>
      <c r="AI45" s="373">
        <f>SUM('IV-2 vrsa'!V22)</f>
        <v>43464</v>
      </c>
      <c r="AJ45" s="375">
        <f t="shared" si="59"/>
        <v>2018</v>
      </c>
      <c r="AK45" s="829">
        <f>SUM('IV-2 vrsa'!W22)</f>
        <v>44165</v>
      </c>
      <c r="AL45" s="306">
        <f t="shared" si="60"/>
        <v>0</v>
      </c>
      <c r="AM45" s="306">
        <f t="shared" si="61"/>
        <v>0</v>
      </c>
      <c r="AN45" s="306">
        <f t="shared" si="62"/>
        <v>255317</v>
      </c>
      <c r="AO45" s="306">
        <f t="shared" si="63"/>
        <v>0</v>
      </c>
      <c r="AP45" s="830">
        <f t="shared" si="64"/>
        <v>0</v>
      </c>
      <c r="AQ45" s="55"/>
      <c r="AR45" s="380"/>
      <c r="AS45" s="55"/>
    </row>
    <row r="46" spans="1:51" ht="33.75" customHeight="1" thickBot="1" x14ac:dyDescent="0.3">
      <c r="A46" s="845" t="s">
        <v>16</v>
      </c>
      <c r="B46" s="1841" t="s">
        <v>1490</v>
      </c>
      <c r="C46" s="1842"/>
      <c r="D46" s="1842"/>
      <c r="E46" s="1842"/>
      <c r="F46" s="1842"/>
      <c r="G46" s="1842"/>
      <c r="H46" s="1842"/>
      <c r="I46" s="1842"/>
      <c r="J46" s="1842"/>
      <c r="K46" s="1843"/>
      <c r="L46" s="1213">
        <f t="shared" ref="L46:AA46" si="71">SUM(L47:L49)</f>
        <v>2112023.5699999998</v>
      </c>
      <c r="M46" s="1213">
        <f ca="1">SUM(M47:M49)</f>
        <v>2014993.6199999999</v>
      </c>
      <c r="N46" s="1213">
        <f ca="1">SUM(N47:N49)</f>
        <v>97029.949999999953</v>
      </c>
      <c r="O46" s="1213">
        <f t="shared" si="71"/>
        <v>289057.98</v>
      </c>
      <c r="P46" s="1213">
        <f ca="1">SUM(P47:P49)</f>
        <v>192028.03</v>
      </c>
      <c r="Q46" s="1213">
        <f ca="1">SUM(Q47:Q49)</f>
        <v>0</v>
      </c>
      <c r="R46" s="1213">
        <f t="shared" si="71"/>
        <v>147808.01999999999</v>
      </c>
      <c r="S46" s="1213">
        <f ca="1">SUM(S47:S49)</f>
        <v>147808.01999999999</v>
      </c>
      <c r="T46" s="1213">
        <f ca="1">SUM(T47:T49)</f>
        <v>0</v>
      </c>
      <c r="U46" s="1213">
        <f t="shared" si="71"/>
        <v>0</v>
      </c>
      <c r="V46" s="1213">
        <f ca="1">SUM(V47:V49)</f>
        <v>0</v>
      </c>
      <c r="W46" s="1213">
        <f ca="1">SUM(W47:W49)</f>
        <v>0</v>
      </c>
      <c r="X46" s="1213">
        <f t="shared" si="71"/>
        <v>0</v>
      </c>
      <c r="Y46" s="1213">
        <f ca="1">SUM(Y47:Y49)</f>
        <v>0</v>
      </c>
      <c r="Z46" s="1213">
        <f ca="1">SUM(Z47:Z49)</f>
        <v>0</v>
      </c>
      <c r="AA46" s="1213">
        <f t="shared" si="71"/>
        <v>1675157.5699999998</v>
      </c>
      <c r="AB46" s="1213">
        <f>SUM('IV-2 vrsa'!R26)</f>
        <v>0</v>
      </c>
      <c r="AC46" s="825"/>
      <c r="AD46" s="825">
        <f ca="1">SUM(AD47:AD49)</f>
        <v>1675157.5699999998</v>
      </c>
      <c r="AE46" s="825">
        <f ca="1">SUM(AE47:AE49)</f>
        <v>0</v>
      </c>
      <c r="AF46" s="825"/>
      <c r="AG46" s="842"/>
      <c r="AH46" s="842"/>
      <c r="AI46" s="842"/>
      <c r="AJ46" s="843"/>
      <c r="AK46" s="844"/>
      <c r="AL46" s="306">
        <f>SUM(AL47:AL49)</f>
        <v>1675157.5699999998</v>
      </c>
      <c r="AM46" s="306">
        <f t="shared" ref="AM46:AP46" si="72">SUM(AM47:AM49)</f>
        <v>0</v>
      </c>
      <c r="AN46" s="306">
        <f t="shared" si="72"/>
        <v>0</v>
      </c>
      <c r="AO46" s="306">
        <f t="shared" si="72"/>
        <v>0</v>
      </c>
      <c r="AP46" s="306">
        <f t="shared" si="72"/>
        <v>0</v>
      </c>
      <c r="AQ46" s="55">
        <f>SUM('IV-2 amsa'!X13+'IV-2 arsa'!W20+'IV-2 dsa'!W17+'IV-2 lrsa'!X18+'IV-2 vrsa'!X23)</f>
        <v>1733965</v>
      </c>
      <c r="AR46" s="55">
        <f>SUM(AQ46*120/100)</f>
        <v>2080758</v>
      </c>
      <c r="AS46" s="55">
        <f>SUM(AQ46-AA46)</f>
        <v>58807.430000000168</v>
      </c>
    </row>
    <row r="47" spans="1:51" ht="39.75" thickTop="1" thickBot="1" x14ac:dyDescent="0.3">
      <c r="A47" s="342" t="s">
        <v>72</v>
      </c>
      <c r="B47" s="342" t="s">
        <v>1303</v>
      </c>
      <c r="C47" s="970" t="str">
        <f>CONCATENATE('ketv. 2'!B46)</f>
        <v>07.1.1-CPVA-V-902-01-0008</v>
      </c>
      <c r="D47" s="342" t="str">
        <f>CONCATENATE('IV-2 amsa'!D14)</f>
        <v>Buvusios pramoninės teritorijos Pramonės g. 1 Alytuje, pritaikymas verslo vystymui ir plėtrai.</v>
      </c>
      <c r="E47" s="342" t="str">
        <f>CONCATENATE('IV-2 amsa'!E14)</f>
        <v>Alytaus miesto savivaldybės administracija</v>
      </c>
      <c r="F47" s="342" t="str">
        <f>CONCATENATE('IV-2 amsa'!F14)</f>
        <v>Lietuvos Respublikos vidaus reikalų ministerija</v>
      </c>
      <c r="G47" s="342" t="str">
        <f>CONCATENATE('IV-2 amsa'!G14)</f>
        <v>Alytaus m. sav.</v>
      </c>
      <c r="H47" s="345" t="str">
        <f>CONCATENATE('IV-2 amsa'!H14)</f>
        <v>07.1.1-CPVA-V-902</v>
      </c>
      <c r="I47" s="312" t="str">
        <f>CONCATENATE('IV-2 amsa'!I14)</f>
        <v>V</v>
      </c>
      <c r="J47" s="312" t="str">
        <f>CONCATENATE('IV-2 amsa'!J14)</f>
        <v>ITI</v>
      </c>
      <c r="K47" s="312" t="str">
        <f>CONCATENATE('IV-2 amsa'!K14)</f>
        <v>-</v>
      </c>
      <c r="L47" s="1217">
        <f>SUM('IV-2 amsa'!L14)</f>
        <v>1293732.5699999998</v>
      </c>
      <c r="M47" s="1217">
        <f ca="1">SUM('ketv. 6 '!L46)</f>
        <v>1196702.6199999999</v>
      </c>
      <c r="N47" s="1217">
        <f ca="1">IF(M47&gt;0,L47-M47,0)</f>
        <v>97029.949999999953</v>
      </c>
      <c r="O47" s="1217">
        <f>SUM('IV-2 amsa'!M14)</f>
        <v>97029.95</v>
      </c>
      <c r="P47" s="1217">
        <f ca="1">SUM('ketv. 6 '!P46)</f>
        <v>0</v>
      </c>
      <c r="Q47" s="1217">
        <f t="shared" ref="Q47:Q49" ca="1" si="73">IF(P47&gt;0,O47-P47,0)</f>
        <v>0</v>
      </c>
      <c r="R47" s="1217">
        <f>SUM('IV-2 amsa'!N14)</f>
        <v>97029.94</v>
      </c>
      <c r="S47" s="1217">
        <f>SUM('ketv. 6 '!T46)</f>
        <v>97029.94</v>
      </c>
      <c r="T47" s="1217">
        <f t="shared" ref="T47:T49" si="74">IF(S47&gt;0,R47-S47,0)</f>
        <v>0</v>
      </c>
      <c r="U47" s="1217">
        <f>SUM('IV-2 amsa'!O14)</f>
        <v>0</v>
      </c>
      <c r="V47" s="1217">
        <f ca="1">SUM('ketv. 6 '!X46)</f>
        <v>0</v>
      </c>
      <c r="W47" s="1217">
        <f t="shared" ref="W47:W49" ca="1" si="75">IF(V47&gt;0,U47-V47,0)</f>
        <v>0</v>
      </c>
      <c r="X47" s="1217">
        <f>SUM('IV-2 amsa'!P14)</f>
        <v>0</v>
      </c>
      <c r="Y47" s="1217">
        <f ca="1">SUM('ketv. 6 '!AB46)</f>
        <v>0</v>
      </c>
      <c r="Z47" s="1217">
        <f t="shared" ref="Z47:Z49" ca="1" si="76">IF(Y47&gt;0,X47-Y47,0)</f>
        <v>0</v>
      </c>
      <c r="AA47" s="1217">
        <f>SUM('IV-2 amsa'!Q14)</f>
        <v>1099672.68</v>
      </c>
      <c r="AB47" s="1217">
        <f>SUM('IV-2 vrsa'!R27)</f>
        <v>0</v>
      </c>
      <c r="AC47" s="306" t="str">
        <f>IF('ketv. 4 '!X47&gt;0,"Taip","Ne")</f>
        <v>Taip</v>
      </c>
      <c r="AD47" s="306">
        <f>SUM('ketv. 6 '!AF46)</f>
        <v>1099672.68</v>
      </c>
      <c r="AE47" s="306">
        <f>IF(AD47&gt;0,AA47-AD47,0)</f>
        <v>0</v>
      </c>
      <c r="AF47" s="721">
        <f>SUM('IV-2 amsa'!S14)</f>
        <v>42246</v>
      </c>
      <c r="AG47" s="373">
        <f>SUM('IV-2 amsa'!T14)</f>
        <v>42338</v>
      </c>
      <c r="AH47" s="373">
        <f>SUM('IV-2 amsa'!U14)</f>
        <v>42674</v>
      </c>
      <c r="AI47" s="373">
        <f>SUM('IV-2 amsa'!V14)</f>
        <v>42735</v>
      </c>
      <c r="AJ47" s="375">
        <f t="shared" ref="AJ47:AJ49" si="77">IF(YEAR(AI47),YEAR(AI47))</f>
        <v>2016</v>
      </c>
      <c r="AK47" s="829">
        <f>SUM('IV-2 amsa'!W14)</f>
        <v>43281</v>
      </c>
      <c r="AL47" s="306">
        <f>IF(YEAR(AI47)=2016,AA47,0)</f>
        <v>1099672.68</v>
      </c>
      <c r="AM47" s="306">
        <f>IF(YEAR(AI47)=2017,AA47,0)</f>
        <v>0</v>
      </c>
      <c r="AN47" s="306">
        <f>IF(YEAR(AI47)=2018,AA47,0)</f>
        <v>0</v>
      </c>
      <c r="AO47" s="306">
        <f>IF(YEAR(AI47)=2019,AA47,0)</f>
        <v>0</v>
      </c>
      <c r="AP47" s="830">
        <f>IF(YEAR(AI47)=2020,AA47,0)</f>
        <v>0</v>
      </c>
      <c r="AQ47" s="55"/>
      <c r="AR47" s="55"/>
      <c r="AS47" s="55"/>
    </row>
    <row r="48" spans="1:51" ht="39.75" thickTop="1" thickBot="1" x14ac:dyDescent="0.3">
      <c r="A48" s="342" t="s">
        <v>165</v>
      </c>
      <c r="B48" s="342" t="s">
        <v>1304</v>
      </c>
      <c r="C48" s="970" t="str">
        <f>CONCATENATE('ketv. 2'!B47)</f>
        <v>07.1.1-CPVA-R-903-11-0001</v>
      </c>
      <c r="D48" s="342" t="str">
        <f>CONCATENATE('IV-2 dsa'!C18)</f>
        <v>Amatų centro „Menų kalvė“ Druskininkuose įkūrimas</v>
      </c>
      <c r="E48" s="342" t="str">
        <f>CONCATENATE('IV-2 dsa'!D18)</f>
        <v xml:space="preserve">Druskininkų savivaldybės administracija  </v>
      </c>
      <c r="F48" s="342" t="str">
        <f>CONCATENATE('IV-2 dsa'!E18)</f>
        <v>Lietuvos Respublikos vidaus reikalų ministerija</v>
      </c>
      <c r="G48" s="342" t="str">
        <f>CONCATENATE('IV-2 dsa'!F18)</f>
        <v>Druskininkų sav.</v>
      </c>
      <c r="H48" s="345" t="str">
        <f>CONCATENATE('IV-2 dsa'!G18)</f>
        <v>07.1.1-CPVA-R-903</v>
      </c>
      <c r="I48" s="312" t="str">
        <f>CONCATENATE('IV-2 dsa'!H18)</f>
        <v>R</v>
      </c>
      <c r="J48" s="312" t="str">
        <f>CONCATENATE('IV-2 dsa'!I18)</f>
        <v>ITI</v>
      </c>
      <c r="K48" s="312" t="str">
        <f>CONCATENATE('IV-2 dsa'!J18)</f>
        <v>-</v>
      </c>
      <c r="L48" s="1217">
        <f>SUM('IV-2 dsa'!K18)</f>
        <v>474784</v>
      </c>
      <c r="M48" s="1217">
        <f ca="1">SUM('ketv. 6 '!L47)</f>
        <v>474784</v>
      </c>
      <c r="N48" s="1217">
        <f ca="1">IF(M48&gt;0,L48-M48,0)</f>
        <v>0</v>
      </c>
      <c r="O48" s="1217">
        <f>SUM('IV-2 dsa'!L18)</f>
        <v>166265</v>
      </c>
      <c r="P48" s="1217">
        <f ca="1">SUM('ketv. 6 '!P47)</f>
        <v>166265</v>
      </c>
      <c r="Q48" s="1217">
        <f t="shared" ca="1" si="73"/>
        <v>0</v>
      </c>
      <c r="R48" s="1217">
        <f>SUM('IV-2 dsa'!M18)</f>
        <v>25015.06</v>
      </c>
      <c r="S48" s="1217">
        <f ca="1">SUM('ketv. 6 '!T47)</f>
        <v>25015.06</v>
      </c>
      <c r="T48" s="1217">
        <f t="shared" ca="1" si="74"/>
        <v>0</v>
      </c>
      <c r="U48" s="1217">
        <f>SUM('IV-2 dsa'!N18)</f>
        <v>0</v>
      </c>
      <c r="V48" s="1217">
        <f ca="1">SUM('ketv. 6 '!X47)</f>
        <v>0</v>
      </c>
      <c r="W48" s="1217">
        <f t="shared" ca="1" si="75"/>
        <v>0</v>
      </c>
      <c r="X48" s="1217">
        <f>SUM('IV-2 dsa'!O18)</f>
        <v>0</v>
      </c>
      <c r="Y48" s="1217">
        <f ca="1">SUM('ketv. 6 '!AB47)</f>
        <v>0</v>
      </c>
      <c r="Z48" s="1217">
        <f t="shared" ca="1" si="76"/>
        <v>0</v>
      </c>
      <c r="AA48" s="1217">
        <f>SUM('IV-2 dsa'!P18)</f>
        <v>283503.94</v>
      </c>
      <c r="AB48" s="1217">
        <f>SUM('IV-2 vrsa'!R28)</f>
        <v>0</v>
      </c>
      <c r="AC48" s="306" t="str">
        <f>IF('ketv. 4 '!X48&gt;0,"Taip","Ne")</f>
        <v>Taip</v>
      </c>
      <c r="AD48" s="306">
        <f ca="1">SUM('ketv. 6 '!AF47)</f>
        <v>283503.94</v>
      </c>
      <c r="AE48" s="306">
        <f ca="1">IF(AD48&gt;0,AA48-AD48,0)</f>
        <v>0</v>
      </c>
      <c r="AF48" s="721">
        <f>SUM('IV-2 dsa'!R18)</f>
        <v>42419</v>
      </c>
      <c r="AG48" s="373">
        <f>SUM('IV-2 dsa'!S18)</f>
        <v>42494</v>
      </c>
      <c r="AH48" s="373">
        <f>SUM('IV-2 dsa'!T18)</f>
        <v>42583</v>
      </c>
      <c r="AI48" s="373">
        <f>SUM('IV-2 dsa'!U18)</f>
        <v>42675</v>
      </c>
      <c r="AJ48" s="375">
        <f t="shared" si="77"/>
        <v>2016</v>
      </c>
      <c r="AK48" s="829">
        <f>SUM('IV-2 dsa'!V18)</f>
        <v>43465</v>
      </c>
      <c r="AL48" s="306">
        <f>IF(YEAR(AI48)=2016,AA48,0)</f>
        <v>283503.94</v>
      </c>
      <c r="AM48" s="306">
        <f>IF(YEAR(AI48)=2017,AA48,0)</f>
        <v>0</v>
      </c>
      <c r="AN48" s="306">
        <f>IF(YEAR(AI48)=2018,AA48,0)</f>
        <v>0</v>
      </c>
      <c r="AO48" s="306">
        <f>IF(YEAR(AI48)=2019,AA48,0)</f>
        <v>0</v>
      </c>
      <c r="AP48" s="830">
        <f>IF(YEAR(AI48)=2020,AA48,0)</f>
        <v>0</v>
      </c>
      <c r="AQ48" s="55"/>
      <c r="AR48" s="55"/>
      <c r="AS48" s="55"/>
    </row>
    <row r="49" spans="1:45" ht="39.75" thickTop="1" thickBot="1" x14ac:dyDescent="0.3">
      <c r="A49" s="342" t="s">
        <v>166</v>
      </c>
      <c r="B49" s="342" t="s">
        <v>1305</v>
      </c>
      <c r="C49" s="970" t="str">
        <f>CONCATENATE('ketv. 2'!B48)</f>
        <v>07.1.1-CPVA-R-903-11-0002</v>
      </c>
      <c r="D49" s="342" t="str">
        <f>CONCATENATE('IV-2 lrsa'!D19)</f>
        <v>Lazdijų miesto kompleksinė infrastruktūros plėtra, III etapas</v>
      </c>
      <c r="E49" s="342" t="str">
        <f>CONCATENATE('IV-2 lrsa'!E19)</f>
        <v>Lazdijų rajono savivaldybės administracija</v>
      </c>
      <c r="F49" s="342" t="str">
        <f>CONCATENATE('IV-2 lrsa'!F19)</f>
        <v>Lietuvos Respublikos vidaus reikalų ministerija</v>
      </c>
      <c r="G49" s="342" t="str">
        <f>CONCATENATE('IV-2 lrsa'!G19)</f>
        <v>Lazdijų r. sav.</v>
      </c>
      <c r="H49" s="345" t="str">
        <f>CONCATENATE('IV-2 lrsa'!H19)</f>
        <v>07.1.1-CPVA-R-903</v>
      </c>
      <c r="I49" s="312" t="str">
        <f>CONCATENATE('IV-2 lrsa'!I19)</f>
        <v>R</v>
      </c>
      <c r="J49" s="312" t="str">
        <f>CONCATENATE('IV-2 lrsa'!J19)</f>
        <v>ITI</v>
      </c>
      <c r="K49" s="312" t="str">
        <f>CONCATENATE('IV-2 lrsa'!K19)</f>
        <v>-</v>
      </c>
      <c r="L49" s="1217">
        <f>SUM('IV-2 lrsa'!L19)</f>
        <v>343507</v>
      </c>
      <c r="M49" s="1217">
        <f ca="1">SUM('ketv. 6 '!L48)</f>
        <v>343507</v>
      </c>
      <c r="N49" s="1217">
        <f ca="1">IF(M49&gt;0,L49-M49,0)</f>
        <v>0</v>
      </c>
      <c r="O49" s="1217">
        <f>SUM('IV-2 lrsa'!M19)</f>
        <v>25763.03</v>
      </c>
      <c r="P49" s="1217">
        <f ca="1">SUM('ketv. 6 '!P48)</f>
        <v>25763.03</v>
      </c>
      <c r="Q49" s="1217">
        <f t="shared" ca="1" si="73"/>
        <v>0</v>
      </c>
      <c r="R49" s="1217">
        <f>SUM('IV-2 lrsa'!N19)</f>
        <v>25763.02</v>
      </c>
      <c r="S49" s="1217">
        <f ca="1">SUM('ketv. 6 '!T48)</f>
        <v>25763.02</v>
      </c>
      <c r="T49" s="1217">
        <f t="shared" ca="1" si="74"/>
        <v>0</v>
      </c>
      <c r="U49" s="1217">
        <f>SUM('IV-2 lrsa'!O19)</f>
        <v>0</v>
      </c>
      <c r="V49" s="1217">
        <f ca="1">SUM('ketv. 6 '!X48)</f>
        <v>0</v>
      </c>
      <c r="W49" s="1217">
        <f t="shared" ca="1" si="75"/>
        <v>0</v>
      </c>
      <c r="X49" s="1217">
        <f>SUM('IV-2 lrsa'!P19)</f>
        <v>0</v>
      </c>
      <c r="Y49" s="1217">
        <f ca="1">SUM('ketv. 6 '!AB48)</f>
        <v>0</v>
      </c>
      <c r="Z49" s="1217">
        <f t="shared" ca="1" si="76"/>
        <v>0</v>
      </c>
      <c r="AA49" s="1217">
        <f>SUM('IV-2 lrsa'!Q19)</f>
        <v>291980.95</v>
      </c>
      <c r="AB49" s="1217">
        <f>SUM('IV-2 vrsa'!R29)</f>
        <v>0</v>
      </c>
      <c r="AC49" s="306" t="str">
        <f>IF('ketv. 4 '!X49&gt;0,"Taip","Ne")</f>
        <v>Taip</v>
      </c>
      <c r="AD49" s="306">
        <f ca="1">SUM('ketv. 6 '!AF48)</f>
        <v>291980.95</v>
      </c>
      <c r="AE49" s="306">
        <f ca="1">IF(AD49&gt;0,AA49-AD49,0)</f>
        <v>0</v>
      </c>
      <c r="AF49" s="721">
        <f>SUM('IV-2 lrsa'!S19)</f>
        <v>42419</v>
      </c>
      <c r="AG49" s="373">
        <f>SUM('IV-2 lrsa'!T19)</f>
        <v>42494</v>
      </c>
      <c r="AH49" s="373">
        <f>SUM('IV-2 lrsa'!U19)</f>
        <v>42552</v>
      </c>
      <c r="AI49" s="373">
        <f>SUM('IV-2 lrsa'!V19)</f>
        <v>42674</v>
      </c>
      <c r="AJ49" s="375">
        <f t="shared" si="77"/>
        <v>2016</v>
      </c>
      <c r="AK49" s="829">
        <f>SUM('IV-2 lrsa'!W19)</f>
        <v>43465</v>
      </c>
      <c r="AL49" s="306">
        <f>IF(YEAR(AI49)=2016,AA49,0)</f>
        <v>291980.95</v>
      </c>
      <c r="AM49" s="306">
        <f>IF(YEAR(AI49)=2017,AA49,0)</f>
        <v>0</v>
      </c>
      <c r="AN49" s="306">
        <f>IF(YEAR(AI49)=2018,AA49,0)</f>
        <v>0</v>
      </c>
      <c r="AO49" s="306">
        <f>IF(YEAR(AI49)=2019,AA49,0)</f>
        <v>0</v>
      </c>
      <c r="AP49" s="830">
        <f>IF(YEAR(AI49)=2020,AA49,0)</f>
        <v>0</v>
      </c>
      <c r="AQ49" s="55"/>
      <c r="AR49" s="55"/>
      <c r="AS49" s="55"/>
    </row>
    <row r="50" spans="1:45" ht="27" customHeight="1" thickBot="1" x14ac:dyDescent="0.3">
      <c r="A50" s="845" t="s">
        <v>76</v>
      </c>
      <c r="B50" s="1841" t="str">
        <f>CONCATENATE('IV-2 vrsa'!D25)</f>
        <v xml:space="preserve">Priemonė:
Geriamojo vandens tiekimo ir nuotekų tvarkymo sistemų renovavimas ir plėtra, įmonių valdymo tobulinimas </v>
      </c>
      <c r="C50" s="1842"/>
      <c r="D50" s="1842"/>
      <c r="E50" s="1842"/>
      <c r="F50" s="1842"/>
      <c r="G50" s="1842"/>
      <c r="H50" s="1842"/>
      <c r="I50" s="1842"/>
      <c r="J50" s="1842"/>
      <c r="K50" s="1843"/>
      <c r="L50" s="1213">
        <f t="shared" ref="L50:X50" si="78">SUM(L51:L55)</f>
        <v>16378428.970000001</v>
      </c>
      <c r="M50" s="1213">
        <f ca="1">SUM(M51:M55)</f>
        <v>13600026.08</v>
      </c>
      <c r="N50" s="1213">
        <f ca="1">SUM(N51:N55)</f>
        <v>2778402.89</v>
      </c>
      <c r="O50" s="1213">
        <f t="shared" si="78"/>
        <v>0</v>
      </c>
      <c r="P50" s="1213">
        <f ca="1">SUM(P51:P55)</f>
        <v>0</v>
      </c>
      <c r="Q50" s="1213">
        <f ca="1">SUM(Q51:Q55)</f>
        <v>0</v>
      </c>
      <c r="R50" s="1213">
        <f t="shared" si="78"/>
        <v>0</v>
      </c>
      <c r="S50" s="1213">
        <f ca="1">SUM(S51:S55)</f>
        <v>0</v>
      </c>
      <c r="T50" s="1213">
        <f ca="1">SUM(T51:T55)</f>
        <v>0</v>
      </c>
      <c r="U50" s="1213">
        <f t="shared" si="78"/>
        <v>7458036.4000000004</v>
      </c>
      <c r="V50" s="1213">
        <f ca="1">SUM(V51:V55)</f>
        <v>6202852.4799999995</v>
      </c>
      <c r="W50" s="1213">
        <f ca="1">SUM(W51:W55)</f>
        <v>1255183.92</v>
      </c>
      <c r="X50" s="1213">
        <f t="shared" si="78"/>
        <v>0</v>
      </c>
      <c r="Y50" s="1213">
        <f ca="1">SUM(Y51:Y55)</f>
        <v>0</v>
      </c>
      <c r="Z50" s="1213">
        <f ca="1">SUM(Z51:Z55)</f>
        <v>0</v>
      </c>
      <c r="AA50" s="1213">
        <f>SUM(AA51:AA55)</f>
        <v>8920392.5700000003</v>
      </c>
      <c r="AB50" s="1213">
        <f>SUM('IV-2 vrsa'!R30)</f>
        <v>0</v>
      </c>
      <c r="AC50" s="825"/>
      <c r="AD50" s="825">
        <f ca="1">SUM(AD51:AD55)</f>
        <v>7397173.5999999996</v>
      </c>
      <c r="AE50" s="825">
        <f ca="1">SUM(AE51:AE55)</f>
        <v>1523218.97</v>
      </c>
      <c r="AF50" s="825"/>
      <c r="AG50" s="842"/>
      <c r="AH50" s="842"/>
      <c r="AI50" s="842"/>
      <c r="AJ50" s="843"/>
      <c r="AK50" s="844"/>
      <c r="AL50" s="306">
        <f>SUM(AL51:AL55)</f>
        <v>0</v>
      </c>
      <c r="AM50" s="306">
        <f t="shared" ref="AM50:AP50" si="79">SUM(AM51:AM55)</f>
        <v>7999917.5700000003</v>
      </c>
      <c r="AN50" s="306">
        <f t="shared" si="79"/>
        <v>920475</v>
      </c>
      <c r="AO50" s="306">
        <f t="shared" si="79"/>
        <v>0</v>
      </c>
      <c r="AP50" s="306">
        <f t="shared" si="79"/>
        <v>0</v>
      </c>
      <c r="AQ50" s="55">
        <f>SUM('IV-2 amsa'!X15+'IV-2 arsa'!W22+'IV-2 dsa'!W19+'IV-2 lrsa'!X20+'IV-2 vrsa'!X25)</f>
        <v>8810673.5099999998</v>
      </c>
      <c r="AR50" s="55">
        <f>SUM(AQ50*120/100)</f>
        <v>10572808.211999999</v>
      </c>
      <c r="AS50" s="55">
        <f>SUM(AQ50-AA50)</f>
        <v>-109719.06000000052</v>
      </c>
    </row>
    <row r="51" spans="1:45" ht="36" customHeight="1" thickTop="1" thickBot="1" x14ac:dyDescent="0.3">
      <c r="A51" s="342" t="s">
        <v>78</v>
      </c>
      <c r="B51" s="342" t="s">
        <v>1306</v>
      </c>
      <c r="C51" s="970" t="str">
        <f>CONCATENATE('ketv. 2'!B50)</f>
        <v>05.3.2-APVA-R-014-11-0001</v>
      </c>
      <c r="D51" s="342" t="str">
        <f>CONCATENATE('IV-2 vrsa'!D26)</f>
        <v>Geriamojo vandens tiekimo ir nuotekų tvarkymo sistemų renovavimas ir plėtra Varėnos rajone</v>
      </c>
      <c r="E51" s="342" t="str">
        <f>CONCATENATE('IV-2 vrsa'!E26)</f>
        <v>UAB „Varėnos vandenys“</v>
      </c>
      <c r="F51" s="342" t="str">
        <f>CONCATENATE('IV-2 vrsa'!F26)</f>
        <v>Lietuvos Respublikos aplinkos ministerija</v>
      </c>
      <c r="G51" s="342" t="str">
        <f>CONCATENATE('IV-2 vrsa'!G26)</f>
        <v>Varėnos r. sav.</v>
      </c>
      <c r="H51" s="345" t="str">
        <f>CONCATENATE('IV-2 vrsa'!H26)</f>
        <v>05.3.2-APVA-R-014</v>
      </c>
      <c r="I51" s="312" t="str">
        <f>CONCATENATE('IV-2 vrsa'!I26)</f>
        <v>R</v>
      </c>
      <c r="J51" s="312" t="str">
        <f>CONCATENATE('IV-2 vrsa'!J26)</f>
        <v>ITI</v>
      </c>
      <c r="K51" s="312" t="str">
        <f>CONCATENATE('IV-2 vrsa'!K26)</f>
        <v>-</v>
      </c>
      <c r="L51" s="1217">
        <f>SUM('IV-2 vrsa'!L26)</f>
        <v>2477103.23</v>
      </c>
      <c r="M51" s="1217">
        <f ca="1">SUM('ketv. 6 '!L50)</f>
        <v>2477103.23</v>
      </c>
      <c r="N51" s="1217">
        <f ca="1">IF(M51&gt;0,L51-M51,0)</f>
        <v>0</v>
      </c>
      <c r="O51" s="1217">
        <f>SUM('IV-2 vrsa'!M26)</f>
        <v>0</v>
      </c>
      <c r="P51" s="1217">
        <f ca="1">SUM('ketv. 6 '!P50)</f>
        <v>0</v>
      </c>
      <c r="Q51" s="1217">
        <f t="shared" ref="Q51:Q55" ca="1" si="80">IF(P51&gt;0,O51-P51,0)</f>
        <v>0</v>
      </c>
      <c r="R51" s="1217">
        <f>SUM('IV-2 vrsa'!N26)</f>
        <v>0</v>
      </c>
      <c r="S51" s="1217">
        <f ca="1">SUM('ketv. 6 '!T50)</f>
        <v>0</v>
      </c>
      <c r="T51" s="1217">
        <f t="shared" ref="T51:T55" ca="1" si="81">IF(S51&gt;0,R51-S51,0)</f>
        <v>0</v>
      </c>
      <c r="U51" s="1217">
        <f>SUM('IV-2 vrsa'!O26)</f>
        <v>862874.97</v>
      </c>
      <c r="V51" s="1217">
        <f ca="1">SUM('ketv. 6 '!X50)</f>
        <v>862874.97</v>
      </c>
      <c r="W51" s="1217">
        <f t="shared" ref="W51:W55" ca="1" si="82">IF(V51&gt;0,U51-V51,0)</f>
        <v>0</v>
      </c>
      <c r="X51" s="1217">
        <f>SUM('IV-2 vrsa'!P26)</f>
        <v>0</v>
      </c>
      <c r="Y51" s="1217">
        <f ca="1">SUM('ketv. 6 '!AB50)</f>
        <v>0</v>
      </c>
      <c r="Z51" s="1217">
        <f t="shared" ref="Z51:Z55" ca="1" si="83">IF(Y51&gt;0,X51-Y51,0)</f>
        <v>0</v>
      </c>
      <c r="AA51" s="1217">
        <f>SUM('IV-2 vrsa'!Q26)</f>
        <v>1614228.26</v>
      </c>
      <c r="AB51" s="1217">
        <f>SUM('IV-2 vrsa'!R31)</f>
        <v>0</v>
      </c>
      <c r="AC51" s="306" t="str">
        <f>IF('ketv. 4 '!X51&gt;0,"Taip","Ne")</f>
        <v>Taip</v>
      </c>
      <c r="AD51" s="306">
        <f ca="1">SUM('ketv. 6 '!AF50)</f>
        <v>1614228.26</v>
      </c>
      <c r="AE51" s="306">
        <f ca="1">IF(AD51&gt;0,AA51-AD51,0)</f>
        <v>0</v>
      </c>
      <c r="AF51" s="721">
        <f>SUM('IV-2 vrsa'!S26)</f>
        <v>42451</v>
      </c>
      <c r="AG51" s="373">
        <f>SUM('IV-2 vrsa'!T26)</f>
        <v>42551</v>
      </c>
      <c r="AH51" s="373">
        <f>SUM('IV-2 vrsa'!U26)</f>
        <v>42674</v>
      </c>
      <c r="AI51" s="373">
        <f>SUM('IV-2 vrsa'!V26)</f>
        <v>42766</v>
      </c>
      <c r="AJ51" s="375">
        <f t="shared" ref="AJ51:AJ55" si="84">IF(YEAR(AI51),YEAR(AI51))</f>
        <v>2017</v>
      </c>
      <c r="AK51" s="829">
        <f>SUM('IV-2 vrsa'!W26)</f>
        <v>44012</v>
      </c>
      <c r="AL51" s="306">
        <f>IF(YEAR(AI51)=2016,AA51,0)</f>
        <v>0</v>
      </c>
      <c r="AM51" s="306">
        <f>IF(YEAR(AI51)=2017,AA51,0)</f>
        <v>1614228.26</v>
      </c>
      <c r="AN51" s="306">
        <f>IF(YEAR(AI51)=2018,AA51,0)</f>
        <v>0</v>
      </c>
      <c r="AO51" s="306">
        <f>IF(YEAR(AI51)=2019,AA51,0)</f>
        <v>0</v>
      </c>
      <c r="AP51" s="830">
        <f>IF(YEAR(AI51)=2020,AA51,0)</f>
        <v>0</v>
      </c>
      <c r="AQ51" s="55"/>
      <c r="AR51" s="55"/>
      <c r="AS51" s="55"/>
    </row>
    <row r="52" spans="1:45" ht="37.5" customHeight="1" thickTop="1" thickBot="1" x14ac:dyDescent="0.3">
      <c r="A52" s="342" t="s">
        <v>129</v>
      </c>
      <c r="B52" s="342" t="s">
        <v>1692</v>
      </c>
      <c r="C52" s="970" t="str">
        <f>CONCATENATE('ketv. 2'!B51)</f>
        <v>05.3.2-APVA-R-014-11-0002</v>
      </c>
      <c r="D52" s="342" t="str">
        <f>CONCATENATE('IV-2 amsa'!D16)</f>
        <v>Geriamojo vandens ir nuotekų tvarkymo sistemų renovavimas Alytaus mieste</v>
      </c>
      <c r="E52" s="342" t="str">
        <f>CONCATENATE('IV-2 amsa'!E16)</f>
        <v>UAB “Dzūkijos vandenys“</v>
      </c>
      <c r="F52" s="342" t="str">
        <f>CONCATENATE('IV-2 amsa'!F16)</f>
        <v>Lietuvos Respublikos aplinkos ministerija</v>
      </c>
      <c r="G52" s="342" t="str">
        <f>CONCATENATE('IV-2 amsa'!G16)</f>
        <v>Alytaus m. sav.</v>
      </c>
      <c r="H52" s="345" t="str">
        <f>CONCATENATE('IV-2 amsa'!H16)</f>
        <v>05.3.2-APVA-R-014</v>
      </c>
      <c r="I52" s="312" t="str">
        <f>CONCATENATE('IV-2 amsa'!I16)</f>
        <v>R</v>
      </c>
      <c r="J52" s="312" t="str">
        <f>CONCATENATE('IV-2 amsa'!J16)</f>
        <v>ITI</v>
      </c>
      <c r="K52" s="312" t="str">
        <f>CONCATENATE('IV-2 amsa'!K16)</f>
        <v>-</v>
      </c>
      <c r="L52" s="1217">
        <f>SUM('IV-2 amsa'!L16)</f>
        <v>5706088</v>
      </c>
      <c r="M52" s="1217">
        <f ca="1">SUM('ketv. 6 '!L51)</f>
        <v>5993883</v>
      </c>
      <c r="N52" s="1217">
        <f ca="1">IF(M52&gt;0,L52-M52,0)</f>
        <v>-287795</v>
      </c>
      <c r="O52" s="1217">
        <f>SUM('IV-2 amsa'!M16)</f>
        <v>0</v>
      </c>
      <c r="P52" s="1217">
        <f ca="1">SUM('ketv. 6 '!P51)</f>
        <v>0</v>
      </c>
      <c r="Q52" s="1217">
        <f t="shared" ca="1" si="80"/>
        <v>0</v>
      </c>
      <c r="R52" s="1217">
        <f>SUM('IV-2 amsa'!N16)</f>
        <v>0</v>
      </c>
      <c r="S52" s="1217">
        <f ca="1">SUM('ketv. 6 '!T51)</f>
        <v>0</v>
      </c>
      <c r="T52" s="1217">
        <f t="shared" ca="1" si="81"/>
        <v>0</v>
      </c>
      <c r="U52" s="1217">
        <f>SUM('IV-2 amsa'!O16)</f>
        <v>3009103.69</v>
      </c>
      <c r="V52" s="1217">
        <f ca="1">SUM('ketv. 6 '!X51)</f>
        <v>3347886.75</v>
      </c>
      <c r="W52" s="1217">
        <f t="shared" ca="1" si="82"/>
        <v>-338783.06000000006</v>
      </c>
      <c r="X52" s="1217">
        <f>SUM('IV-2 amsa'!P16)</f>
        <v>0</v>
      </c>
      <c r="Y52" s="1217">
        <f ca="1">SUM('ketv. 6 '!AB51)</f>
        <v>0</v>
      </c>
      <c r="Z52" s="1217">
        <f t="shared" ca="1" si="83"/>
        <v>0</v>
      </c>
      <c r="AA52" s="1217">
        <f>SUM('IV-2 amsa'!Q16)</f>
        <v>2696984.31</v>
      </c>
      <c r="AB52" s="1217">
        <f>SUM('IV-2 vrsa'!R32)</f>
        <v>0</v>
      </c>
      <c r="AC52" s="306" t="str">
        <f>IF('ketv. 4 '!X52&gt;0,"Taip","Ne")</f>
        <v>Taip</v>
      </c>
      <c r="AD52" s="306">
        <f ca="1">SUM('ketv. 6 '!AF51)</f>
        <v>2645996.25</v>
      </c>
      <c r="AE52" s="306">
        <f ca="1">IF(AD52&gt;0,AA52-AD52,0)</f>
        <v>50988.060000000056</v>
      </c>
      <c r="AF52" s="721">
        <f>SUM('IV-2 amsa'!S16)</f>
        <v>42451</v>
      </c>
      <c r="AG52" s="373">
        <f>SUM('IV-2 amsa'!T16)</f>
        <v>42551</v>
      </c>
      <c r="AH52" s="373">
        <f>SUM('IV-2 amsa'!U16)</f>
        <v>42704</v>
      </c>
      <c r="AI52" s="373">
        <f>SUM('IV-2 amsa'!V16)</f>
        <v>42736</v>
      </c>
      <c r="AJ52" s="375">
        <f t="shared" si="84"/>
        <v>2017</v>
      </c>
      <c r="AK52" s="829">
        <f>SUM('IV-2 amsa'!W16)</f>
        <v>44195</v>
      </c>
      <c r="AL52" s="306">
        <f>IF(YEAR(AI52)=2016,AA52,0)</f>
        <v>0</v>
      </c>
      <c r="AM52" s="306">
        <f>IF(YEAR(AI52)=2017,AA52,0)</f>
        <v>2696984.31</v>
      </c>
      <c r="AN52" s="306">
        <f>IF(YEAR(AI52)=2018,AA52,0)</f>
        <v>0</v>
      </c>
      <c r="AO52" s="306">
        <f>IF(YEAR(AI52)=2019,AA52,0)</f>
        <v>0</v>
      </c>
      <c r="AP52" s="830">
        <f>IF(YEAR(AI52)=2020,AA52,0)</f>
        <v>0</v>
      </c>
      <c r="AQ52" s="55"/>
      <c r="AR52" s="55"/>
      <c r="AS52" s="55"/>
    </row>
    <row r="53" spans="1:45" ht="43.5" customHeight="1" thickTop="1" thickBot="1" x14ac:dyDescent="0.3">
      <c r="A53" s="342" t="s">
        <v>130</v>
      </c>
      <c r="B53" s="342" t="s">
        <v>1781</v>
      </c>
      <c r="C53" s="970" t="str">
        <f>CONCATENATE('ketv. 2'!B52)</f>
        <v>05.3.2-APVA-R-014-11-0004</v>
      </c>
      <c r="D53" s="342" t="str">
        <f>CONCATENATE('IV-2 lrsa'!D21)</f>
        <v>Geriamojo vandens tiekimo ir nuotekų tvarkymo sistemų renovavimas ir plėtra Lazdijų rajono savivaldybėje</v>
      </c>
      <c r="E53" s="342" t="str">
        <f>CONCATENATE('IV-2 lrsa'!E21)</f>
        <v>UAB „Lazdijų vanduo“</v>
      </c>
      <c r="F53" s="342" t="str">
        <f>CONCATENATE('IV-2 lrsa'!F21)</f>
        <v>Lietuvos Respublikos aplinkos ministerija</v>
      </c>
      <c r="G53" s="342" t="str">
        <f>CONCATENATE('IV-2 lrsa'!G21)</f>
        <v>Lazdijų r. sav.</v>
      </c>
      <c r="H53" s="345" t="str">
        <f>CONCATENATE('IV-2 lrsa'!H21)</f>
        <v>05.3.2-APVA-R-014</v>
      </c>
      <c r="I53" s="312" t="str">
        <f>CONCATENATE('IV-2 lrsa'!I21)</f>
        <v>R</v>
      </c>
      <c r="J53" s="312" t="str">
        <f>CONCATENATE('IV-2 lrsa'!J21)</f>
        <v>-</v>
      </c>
      <c r="K53" s="312" t="str">
        <f>CONCATENATE('IV-2 lrsa'!K21)</f>
        <v>-</v>
      </c>
      <c r="L53" s="1217">
        <f>SUM('IV-2 lrsa'!L21)</f>
        <v>1437425.74</v>
      </c>
      <c r="M53" s="1217">
        <f ca="1">SUM('ketv. 6 '!L52)</f>
        <v>1288228.01</v>
      </c>
      <c r="N53" s="1217">
        <f ca="1">IF(M53&gt;0,L53-M53,0)</f>
        <v>149197.72999999998</v>
      </c>
      <c r="O53" s="1217">
        <f>SUM('IV-2 lrsa'!M21)</f>
        <v>0</v>
      </c>
      <c r="P53" s="1217">
        <f ca="1">SUM('ketv. 6 '!P52)</f>
        <v>0</v>
      </c>
      <c r="Q53" s="1217">
        <f t="shared" ca="1" si="80"/>
        <v>0</v>
      </c>
      <c r="R53" s="1217">
        <f>SUM('IV-2 lrsa'!N21)</f>
        <v>0</v>
      </c>
      <c r="S53" s="1217">
        <f ca="1">SUM('ketv. 6 '!T52)</f>
        <v>0</v>
      </c>
      <c r="T53" s="1217">
        <f t="shared" ca="1" si="81"/>
        <v>0</v>
      </c>
      <c r="U53" s="1217">
        <f>SUM('IV-2 lrsa'!O21)</f>
        <v>641323.74</v>
      </c>
      <c r="V53" s="1217">
        <f ca="1">SUM('ketv. 6 '!X52)</f>
        <v>498126.01</v>
      </c>
      <c r="W53" s="1217">
        <f t="shared" ca="1" si="82"/>
        <v>143197.72999999998</v>
      </c>
      <c r="X53" s="1217">
        <f>SUM('IV-2 lrsa'!P21)</f>
        <v>0</v>
      </c>
      <c r="Y53" s="1217">
        <f ca="1">SUM('ketv. 6 '!AB52)</f>
        <v>0</v>
      </c>
      <c r="Z53" s="1217">
        <f t="shared" ca="1" si="83"/>
        <v>0</v>
      </c>
      <c r="AA53" s="1217">
        <f>SUM('IV-2 lrsa'!Q21)</f>
        <v>796102</v>
      </c>
      <c r="AB53" s="1217">
        <f>SUM('IV-2 vrsa'!R33)</f>
        <v>0</v>
      </c>
      <c r="AC53" s="306" t="str">
        <f>IF('ketv. 4 '!X53&gt;0,"Taip","Ne")</f>
        <v>Taip</v>
      </c>
      <c r="AD53" s="306">
        <f ca="1">SUM('ketv. 6 '!AF52)</f>
        <v>790102</v>
      </c>
      <c r="AE53" s="306">
        <f ca="1">IF(AD53&gt;0,AA53-AD53,0)</f>
        <v>6000</v>
      </c>
      <c r="AF53" s="721">
        <f>SUM('IV-2 lrsa'!S21)</f>
        <v>42451</v>
      </c>
      <c r="AG53" s="373">
        <f>SUM('IV-2 lrsa'!T21)</f>
        <v>42551</v>
      </c>
      <c r="AH53" s="373">
        <f>SUM('IV-2 lrsa'!U21)</f>
        <v>42734</v>
      </c>
      <c r="AI53" s="373">
        <f>SUM('IV-2 lrsa'!V21)</f>
        <v>42825</v>
      </c>
      <c r="AJ53" s="375">
        <f t="shared" si="84"/>
        <v>2017</v>
      </c>
      <c r="AK53" s="829">
        <f>SUM('IV-2 lrsa'!W21)</f>
        <v>43646</v>
      </c>
      <c r="AL53" s="306">
        <f>IF(YEAR(AI53)=2016,AA53,0)</f>
        <v>0</v>
      </c>
      <c r="AM53" s="306">
        <f>IF(YEAR(AI53)=2017,AA53,0)</f>
        <v>796102</v>
      </c>
      <c r="AN53" s="306">
        <f>IF(YEAR(AI53)=2018,AA53,0)</f>
        <v>0</v>
      </c>
      <c r="AO53" s="306">
        <f>IF(YEAR(AI53)=2019,AA53,0)</f>
        <v>0</v>
      </c>
      <c r="AP53" s="830">
        <f>IF(YEAR(AI53)=2020,AA53,0)</f>
        <v>0</v>
      </c>
      <c r="AQ53" s="377"/>
      <c r="AR53" s="55"/>
      <c r="AS53" s="55"/>
    </row>
    <row r="54" spans="1:45" ht="36" customHeight="1" thickTop="1" thickBot="1" x14ac:dyDescent="0.3">
      <c r="A54" s="342" t="s">
        <v>131</v>
      </c>
      <c r="B54" s="342" t="s">
        <v>1307</v>
      </c>
      <c r="C54" s="970" t="str">
        <f>CONCATENATE('ketv. 2'!B53)</f>
        <v>05.3.2-APVA-R-014-11-0003</v>
      </c>
      <c r="D54" s="342" t="str">
        <f>CONCATENATE('IV-2 dsa'!C20)</f>
        <v>Vandens tiekimo ir nuotekų šalinimo infrastruktūros renovavimas ir plėtra Druskininkų savivaldybėje</v>
      </c>
      <c r="E54" s="342" t="str">
        <f>CONCATENATE('IV-2 dsa'!D20)</f>
        <v>UAB "Druskininkų vandenys"</v>
      </c>
      <c r="F54" s="342" t="str">
        <f>CONCATENATE('IV-2 dsa'!E20)</f>
        <v>Lietuvos Respublikos aplinkos ministerija</v>
      </c>
      <c r="G54" s="342" t="str">
        <f>CONCATENATE('IV-2 dsa'!F20)</f>
        <v>Druskininkų sav.</v>
      </c>
      <c r="H54" s="345" t="str">
        <f>CONCATENATE('IV-2 dsa'!G20)</f>
        <v>05.3.2-APVA-R-014</v>
      </c>
      <c r="I54" s="312" t="str">
        <f>CONCATENATE('IV-2 dsa'!H20)</f>
        <v>R</v>
      </c>
      <c r="J54" s="312" t="str">
        <f>CONCATENATE('IV-2 dsa'!I20)</f>
        <v>-</v>
      </c>
      <c r="K54" s="312" t="str">
        <f>CONCATENATE('IV-2 dsa'!J20)</f>
        <v>-</v>
      </c>
      <c r="L54" s="1217">
        <f>SUM('IV-2 dsa'!K20)</f>
        <v>5186812</v>
      </c>
      <c r="M54" s="1217">
        <f ca="1">SUM('ketv. 6 '!L53)</f>
        <v>2359811.84</v>
      </c>
      <c r="N54" s="1217">
        <f ca="1">IF(M54&gt;0,L54-M54,0)</f>
        <v>2827000.16</v>
      </c>
      <c r="O54" s="1217">
        <f>SUM('IV-2 dsa'!L20)</f>
        <v>0</v>
      </c>
      <c r="P54" s="1217">
        <f ca="1">SUM('ketv. 6 '!P53)</f>
        <v>0</v>
      </c>
      <c r="Q54" s="1217">
        <f t="shared" ca="1" si="80"/>
        <v>0</v>
      </c>
      <c r="R54" s="1217">
        <f>SUM('IV-2 dsa'!M20)</f>
        <v>0</v>
      </c>
      <c r="S54" s="1217">
        <f ca="1">SUM('ketv. 6 '!T53)</f>
        <v>0</v>
      </c>
      <c r="T54" s="1217">
        <f t="shared" ca="1" si="81"/>
        <v>0</v>
      </c>
      <c r="U54" s="1217">
        <f>SUM('IV-2 dsa'!N20)</f>
        <v>2294209</v>
      </c>
      <c r="V54" s="1217">
        <f ca="1">SUM('ketv. 6 '!X53)</f>
        <v>880708.75</v>
      </c>
      <c r="W54" s="1217">
        <f t="shared" ca="1" si="82"/>
        <v>1413500.25</v>
      </c>
      <c r="X54" s="1217">
        <f>SUM('IV-2 dsa'!O20)</f>
        <v>0</v>
      </c>
      <c r="Y54" s="1217">
        <f ca="1">SUM('ketv. 6 '!AB53)</f>
        <v>0</v>
      </c>
      <c r="Z54" s="1217">
        <f t="shared" ca="1" si="83"/>
        <v>0</v>
      </c>
      <c r="AA54" s="1217">
        <f>SUM('IV-2 dsa'!P20)</f>
        <v>2892603</v>
      </c>
      <c r="AB54" s="1217">
        <f>SUM('IV-2 vrsa'!R34)</f>
        <v>0</v>
      </c>
      <c r="AC54" s="306" t="str">
        <f>IF('ketv. 4 '!X54&gt;0,"Taip","Ne")</f>
        <v>Taip</v>
      </c>
      <c r="AD54" s="306">
        <f ca="1">SUM('ketv. 6 '!AF53)</f>
        <v>1479103.09</v>
      </c>
      <c r="AE54" s="306">
        <f ca="1">IF(AD54&gt;0,AA54-AD54,0)</f>
        <v>1413499.91</v>
      </c>
      <c r="AF54" s="721">
        <f>SUM('IV-2 dsa'!R20)</f>
        <v>42451</v>
      </c>
      <c r="AG54" s="373">
        <f>SUM('IV-2 dsa'!S20)</f>
        <v>42551</v>
      </c>
      <c r="AH54" s="373">
        <f>SUM('IV-2 dsa'!T20)</f>
        <v>42705</v>
      </c>
      <c r="AI54" s="373">
        <f>SUM('IV-2 dsa'!U20)</f>
        <v>42824</v>
      </c>
      <c r="AJ54" s="375">
        <f t="shared" si="84"/>
        <v>2017</v>
      </c>
      <c r="AK54" s="829">
        <f>SUM('IV-2 dsa'!V20)</f>
        <v>44440</v>
      </c>
      <c r="AL54" s="306">
        <f>IF(YEAR(AI54)=2016,AA54,0)</f>
        <v>0</v>
      </c>
      <c r="AM54" s="306">
        <f>IF(YEAR(AI54)=2017,AA54,0)</f>
        <v>2892603</v>
      </c>
      <c r="AN54" s="306">
        <f>IF(YEAR(AI54)=2018,AA54,0)</f>
        <v>0</v>
      </c>
      <c r="AO54" s="306">
        <f>IF(YEAR(AI54)=2019,AA54,0)</f>
        <v>0</v>
      </c>
      <c r="AP54" s="830">
        <f>IF(YEAR(AI54)=2020,AA54,0)</f>
        <v>0</v>
      </c>
      <c r="AQ54" s="55"/>
      <c r="AR54" s="55"/>
      <c r="AS54" s="55"/>
    </row>
    <row r="55" spans="1:45" ht="48" customHeight="1" thickTop="1" thickBot="1" x14ac:dyDescent="0.3">
      <c r="A55" s="342" t="s">
        <v>132</v>
      </c>
      <c r="B55" s="342" t="s">
        <v>1783</v>
      </c>
      <c r="C55" s="970" t="str">
        <f>CONCATENATE('ketv. 2'!B54)</f>
        <v>05.3.2-APVA-R-014-11-0005</v>
      </c>
      <c r="D55" s="342" t="str">
        <f>CONCATENATE('IV-2 arsa'!C23)</f>
        <v>Vandens tiekimo ir nuotekų tvarkymo infrastruktūros plėtra Alytaus rajone (Krokialaukyje)</v>
      </c>
      <c r="E55" s="342" t="str">
        <f>CONCATENATE('IV-2 arsa'!D23)</f>
        <v>SĮ „Simno komunalininkas“</v>
      </c>
      <c r="F55" s="342" t="str">
        <f>CONCATENATE('IV-2 arsa'!E23)</f>
        <v>Lietuvos Respublikos aplinkos ministerija</v>
      </c>
      <c r="G55" s="342" t="str">
        <f>CONCATENATE('IV-2 arsa'!F23)</f>
        <v>Alytaus r. sav.</v>
      </c>
      <c r="H55" s="345" t="str">
        <f>CONCATENATE('IV-2 arsa'!G23)</f>
        <v>05.3.2-APVA-R-014</v>
      </c>
      <c r="I55" s="312" t="str">
        <f>CONCATENATE('IV-2 arsa'!H23)</f>
        <v>R</v>
      </c>
      <c r="J55" s="312" t="str">
        <f>CONCATENATE('IV-2 arsa'!I23)</f>
        <v>-</v>
      </c>
      <c r="K55" s="312" t="str">
        <f>CONCATENATE('IV-2 arsa'!J23)</f>
        <v>-</v>
      </c>
      <c r="L55" s="1217">
        <f>SUM('IV-2 arsa'!K22)</f>
        <v>1571000</v>
      </c>
      <c r="M55" s="1217">
        <f ca="1">SUM('ketv. 6 '!L54)</f>
        <v>1481000</v>
      </c>
      <c r="N55" s="1217">
        <f t="shared" ref="N55" ca="1" si="85">IF(M55&gt;0,L55-M55,0)</f>
        <v>90000</v>
      </c>
      <c r="O55" s="1217">
        <f>SUM('IV-2 arsa'!L22)</f>
        <v>0</v>
      </c>
      <c r="P55" s="1217">
        <f ca="1">SUM('ketv. 6 '!P54)</f>
        <v>0</v>
      </c>
      <c r="Q55" s="1217">
        <f t="shared" ca="1" si="80"/>
        <v>0</v>
      </c>
      <c r="R55" s="1217">
        <f>SUM('IV-2 arsa'!M22)</f>
        <v>0</v>
      </c>
      <c r="S55" s="1217">
        <f ca="1">SUM('ketv. 6 '!T54)</f>
        <v>0</v>
      </c>
      <c r="T55" s="1217">
        <f t="shared" ca="1" si="81"/>
        <v>0</v>
      </c>
      <c r="U55" s="1217">
        <f>SUM('IV-2 arsa'!N22)</f>
        <v>650525</v>
      </c>
      <c r="V55" s="1217">
        <f ca="1">SUM('ketv. 6 '!X54)</f>
        <v>613256</v>
      </c>
      <c r="W55" s="1217">
        <f t="shared" ca="1" si="82"/>
        <v>37269</v>
      </c>
      <c r="X55" s="1217">
        <f>SUM('IV-2 arsa'!O22)</f>
        <v>0</v>
      </c>
      <c r="Y55" s="1217">
        <f ca="1">SUM('ketv. 6 '!AB54)</f>
        <v>0</v>
      </c>
      <c r="Z55" s="1217">
        <f t="shared" ca="1" si="83"/>
        <v>0</v>
      </c>
      <c r="AA55" s="1217">
        <f>SUM('IV-2 arsa'!P22)</f>
        <v>920475</v>
      </c>
      <c r="AB55" s="1217">
        <f>SUM('IV-2 vrsa'!R35)</f>
        <v>0</v>
      </c>
      <c r="AC55" s="306" t="str">
        <f>IF('ketv. 4 '!X55&gt;0,"Taip","Ne")</f>
        <v>Taip</v>
      </c>
      <c r="AD55" s="306">
        <f ca="1">SUM('ketv. 6 '!AF54)</f>
        <v>867744</v>
      </c>
      <c r="AE55" s="306">
        <f ca="1">IF(AD55&gt;0,AA55-AD55,0)</f>
        <v>52731</v>
      </c>
      <c r="AF55" s="721">
        <f>SUM('IV-2 arsa'!R23)</f>
        <v>42451</v>
      </c>
      <c r="AG55" s="373">
        <f>SUM('IV-2 arsa'!S23)</f>
        <v>42551</v>
      </c>
      <c r="AH55" s="373">
        <f>SUM('IV-2 arsa'!T23)</f>
        <v>42919</v>
      </c>
      <c r="AI55" s="373">
        <f>SUM('IV-2 arsa'!U23)</f>
        <v>43146</v>
      </c>
      <c r="AJ55" s="375">
        <f t="shared" si="84"/>
        <v>2018</v>
      </c>
      <c r="AK55" s="829">
        <f>SUM('IV-2 arsa'!V23)</f>
        <v>44196</v>
      </c>
      <c r="AL55" s="306">
        <f>IF(YEAR(AI55)=2016,AA55,0)</f>
        <v>0</v>
      </c>
      <c r="AM55" s="306">
        <f>IF(YEAR(AI55)=2017,AA55,0)</f>
        <v>0</v>
      </c>
      <c r="AN55" s="306">
        <f>IF(YEAR(AI55)=2018,AA55,0)</f>
        <v>920475</v>
      </c>
      <c r="AO55" s="306">
        <f>IF(YEAR(AI55)=2019,AA55,0)</f>
        <v>0</v>
      </c>
      <c r="AP55" s="830">
        <f>IF(YEAR(AI55)=2020,AA55,0)</f>
        <v>0</v>
      </c>
      <c r="AQ55" s="55"/>
      <c r="AR55" s="55"/>
      <c r="AS55" s="55"/>
    </row>
    <row r="56" spans="1:45" ht="28.5" customHeight="1" thickBot="1" x14ac:dyDescent="0.3">
      <c r="A56" s="845" t="s">
        <v>79</v>
      </c>
      <c r="B56" s="1841" t="s">
        <v>1492</v>
      </c>
      <c r="C56" s="1842"/>
      <c r="D56" s="1842"/>
      <c r="E56" s="1842"/>
      <c r="F56" s="1842"/>
      <c r="G56" s="1842"/>
      <c r="H56" s="1842"/>
      <c r="I56" s="1842"/>
      <c r="J56" s="1842"/>
      <c r="K56" s="1843"/>
      <c r="L56" s="1213">
        <f t="shared" ref="L56:AA56" si="86">SUM(L57:L57)</f>
        <v>3999404.09</v>
      </c>
      <c r="M56" s="1213">
        <f ca="1">SUM(M57)</f>
        <v>2809404.09</v>
      </c>
      <c r="N56" s="1213">
        <f ca="1">SUM(N57)</f>
        <v>1190000</v>
      </c>
      <c r="O56" s="1213">
        <f t="shared" si="86"/>
        <v>0</v>
      </c>
      <c r="P56" s="1213">
        <f ca="1">SUM(P57)</f>
        <v>0</v>
      </c>
      <c r="Q56" s="1213">
        <f ca="1">SUM(Q57)</f>
        <v>0</v>
      </c>
      <c r="R56" s="1213">
        <f t="shared" si="86"/>
        <v>0</v>
      </c>
      <c r="S56" s="1213">
        <f ca="1">SUM(S57)</f>
        <v>0</v>
      </c>
      <c r="T56" s="1213">
        <f ca="1">SUM(T57)</f>
        <v>0</v>
      </c>
      <c r="U56" s="1213">
        <f t="shared" si="86"/>
        <v>599910.61</v>
      </c>
      <c r="V56" s="1213">
        <f ca="1">SUM(V57)</f>
        <v>421410.61</v>
      </c>
      <c r="W56" s="1213">
        <f ca="1">SUM(W57)</f>
        <v>178500</v>
      </c>
      <c r="X56" s="1213">
        <f t="shared" si="86"/>
        <v>0</v>
      </c>
      <c r="Y56" s="1213">
        <f ca="1">SUM(Y57)</f>
        <v>0</v>
      </c>
      <c r="Z56" s="1213">
        <f ca="1">SUM(Z57)</f>
        <v>0</v>
      </c>
      <c r="AA56" s="1213">
        <f t="shared" si="86"/>
        <v>3399493.48</v>
      </c>
      <c r="AB56" s="1213">
        <f>SUM('IV-2 vrsa'!R36)</f>
        <v>0</v>
      </c>
      <c r="AC56" s="825"/>
      <c r="AD56" s="825">
        <f ca="1">SUM(AD57)</f>
        <v>2387993.48</v>
      </c>
      <c r="AE56" s="825">
        <f ca="1">SUM(AE57)</f>
        <v>1011500</v>
      </c>
      <c r="AF56" s="825"/>
      <c r="AG56" s="842"/>
      <c r="AH56" s="842"/>
      <c r="AI56" s="842"/>
      <c r="AJ56" s="843"/>
      <c r="AK56" s="844"/>
      <c r="AL56" s="306">
        <f>SUM(AL57)</f>
        <v>0</v>
      </c>
      <c r="AM56" s="306">
        <f t="shared" ref="AM56:AP56" si="87">SUM(AM57)</f>
        <v>3399493.48</v>
      </c>
      <c r="AN56" s="306">
        <f t="shared" si="87"/>
        <v>1011500</v>
      </c>
      <c r="AO56" s="306">
        <f t="shared" si="87"/>
        <v>0</v>
      </c>
      <c r="AP56" s="306">
        <f t="shared" si="87"/>
        <v>0</v>
      </c>
      <c r="AQ56" s="55">
        <v>3399494</v>
      </c>
      <c r="AR56" s="55">
        <f>SUM(AQ56*120/100)</f>
        <v>4079392.8</v>
      </c>
      <c r="AS56" s="55">
        <f>SUM(AQ56-AA56)</f>
        <v>0.52000000001862645</v>
      </c>
    </row>
    <row r="57" spans="1:45" ht="26.25" thickBot="1" x14ac:dyDescent="0.3">
      <c r="A57" s="342" t="s">
        <v>80</v>
      </c>
      <c r="B57" s="342" t="s">
        <v>1308</v>
      </c>
      <c r="C57" s="1011" t="str">
        <f>CONCATENATE('ketv. 2'!B56)</f>
        <v>05.1.1-APVA-R-007-11-0001</v>
      </c>
      <c r="D57" s="342" t="str">
        <f>CONCATENATE('IV-2 amsa'!D18)</f>
        <v>Paviršinių nuotekų sistemų tvarkymas Alytaus mieste</v>
      </c>
      <c r="E57" s="342" t="str">
        <f>CONCATENATE('IV-2 amsa'!E18)</f>
        <v>UAB “Dzūkijos vandenys“</v>
      </c>
      <c r="F57" s="342" t="str">
        <f>CONCATENATE('IV-2 amsa'!F18)</f>
        <v>Lietuvos Respublikos aplinkos ministerija</v>
      </c>
      <c r="G57" s="342" t="str">
        <f>CONCATENATE('IV-2 amsa'!G18)</f>
        <v>Alytaus m. sav.</v>
      </c>
      <c r="H57" s="345" t="str">
        <f>CONCATENATE('IV-2 amsa'!H18)</f>
        <v>05.1.1-APVA-R-007</v>
      </c>
      <c r="I57" s="345" t="str">
        <f>CONCATENATE('IV-2 amsa'!I18)</f>
        <v>R</v>
      </c>
      <c r="J57" s="345" t="str">
        <f>CONCATENATE('IV-2 amsa'!J18)</f>
        <v>-</v>
      </c>
      <c r="K57" s="345" t="str">
        <f>CONCATENATE('IV-2 amsa'!K18)</f>
        <v xml:space="preserve"> -</v>
      </c>
      <c r="L57" s="1217">
        <f>SUM('IV-2 amsa'!L18)</f>
        <v>3999404.09</v>
      </c>
      <c r="M57" s="1217">
        <f ca="1">SUM('ketv. 6 '!L56)</f>
        <v>2809404.09</v>
      </c>
      <c r="N57" s="1217">
        <f ca="1">IF(M57&gt;0,L57-M57,0)</f>
        <v>1190000</v>
      </c>
      <c r="O57" s="1217">
        <f>SUM('IV-2 amsa'!M18)</f>
        <v>0</v>
      </c>
      <c r="P57" s="1217">
        <f ca="1">SUM('ketv. 6 '!P56)</f>
        <v>0</v>
      </c>
      <c r="Q57" s="1217">
        <f ca="1">IF(P57&gt;0,O57-P57,0)</f>
        <v>0</v>
      </c>
      <c r="R57" s="1217">
        <f>SUM('IV-2 amsa'!N18)</f>
        <v>0</v>
      </c>
      <c r="S57" s="1217">
        <f ca="1">SUM('ketv. 6 '!T56)</f>
        <v>0</v>
      </c>
      <c r="T57" s="1217">
        <f ca="1">IF(S57&gt;0,R57-S57,0)</f>
        <v>0</v>
      </c>
      <c r="U57" s="1217">
        <f>SUM('IV-2 amsa'!O18)</f>
        <v>599910.61</v>
      </c>
      <c r="V57" s="1217">
        <f ca="1">SUM('ketv. 6 '!X56)</f>
        <v>421410.61</v>
      </c>
      <c r="W57" s="1217">
        <f ca="1">IF(V57&gt;0,U57-V57,0)</f>
        <v>178500</v>
      </c>
      <c r="X57" s="1217">
        <f>SUM('IV-2 amsa'!P18)</f>
        <v>0</v>
      </c>
      <c r="Y57" s="1217">
        <f ca="1">SUM('ketv. 6 '!AB56)</f>
        <v>0</v>
      </c>
      <c r="Z57" s="1217">
        <f ca="1">IF(Y57&gt;0,X57-Y57,0)</f>
        <v>0</v>
      </c>
      <c r="AA57" s="1217">
        <f>SUM('IV-2 amsa'!Q18)</f>
        <v>3399493.48</v>
      </c>
      <c r="AB57" s="1217">
        <f>SUM('IV-2 vrsa'!R37)</f>
        <v>0</v>
      </c>
      <c r="AC57" s="306"/>
      <c r="AD57" s="306">
        <f ca="1">SUM('ketv. 6 '!AF56)</f>
        <v>2387993.48</v>
      </c>
      <c r="AE57" s="306">
        <f ca="1">IF(AD57&gt;0,AA57-AD57,0)</f>
        <v>1011500</v>
      </c>
      <c r="AF57" s="721">
        <v>43130</v>
      </c>
      <c r="AG57" s="373">
        <f>SUM('IV-2 amsa'!T18)</f>
        <v>42551</v>
      </c>
      <c r="AH57" s="373">
        <f>SUM('IV-2 amsa'!U18)</f>
        <v>42726</v>
      </c>
      <c r="AI57" s="373">
        <f>SUM('IV-2 amsa'!V18)</f>
        <v>42825</v>
      </c>
      <c r="AJ57" s="375">
        <f>IF(YEAR(AI57),YEAR(AI57))</f>
        <v>2017</v>
      </c>
      <c r="AK57" s="829">
        <f>SUM('IV-2 amsa'!W18)</f>
        <v>44196</v>
      </c>
      <c r="AL57" s="306">
        <f>IF(YEAR(AI57)=2016,AA57,0)</f>
        <v>0</v>
      </c>
      <c r="AM57" s="306">
        <f>IF(YEAR(AI57)=2017,AA57,0)</f>
        <v>3399493.48</v>
      </c>
      <c r="AN57" s="306">
        <v>1011500</v>
      </c>
      <c r="AO57" s="306">
        <f>IF(YEAR(AI57)=2019,AA57,0)</f>
        <v>0</v>
      </c>
      <c r="AP57" s="830">
        <f>IF(YEAR(AI57)=2020,AA57,0)</f>
        <v>0</v>
      </c>
      <c r="AQ57" s="55"/>
      <c r="AR57" s="55"/>
      <c r="AS57" s="55"/>
    </row>
    <row r="58" spans="1:45" ht="30" customHeight="1" thickBot="1" x14ac:dyDescent="0.3">
      <c r="A58" s="845" t="s">
        <v>81</v>
      </c>
      <c r="B58" s="1841" t="str">
        <f>CONCATENATE('IV-2 amsa'!D19)</f>
        <v>Priemonė:
Savivaldybes jungiančių turizmo trasų ir turizmo maršrutų informacinės infrastruktūros plėtra</v>
      </c>
      <c r="C58" s="1842"/>
      <c r="D58" s="1842"/>
      <c r="E58" s="1842"/>
      <c r="F58" s="1842"/>
      <c r="G58" s="1842"/>
      <c r="H58" s="1842"/>
      <c r="I58" s="1842"/>
      <c r="J58" s="1842"/>
      <c r="K58" s="1843"/>
      <c r="L58" s="1213">
        <f t="shared" ref="L58:AA58" si="88">SUM(L59:L61)</f>
        <v>719317.64705882361</v>
      </c>
      <c r="M58" s="1213">
        <f ca="1">SUM(M59:M61)</f>
        <v>496329.53</v>
      </c>
      <c r="N58" s="1213">
        <f ca="1">SUM(N59:N61)</f>
        <v>-5.8823527069762349E-4</v>
      </c>
      <c r="O58" s="1213">
        <f t="shared" si="88"/>
        <v>107897.64705882352</v>
      </c>
      <c r="P58" s="1213">
        <f ca="1">SUM(P59:P61)</f>
        <v>74449.429999999993</v>
      </c>
      <c r="Q58" s="1213">
        <f ca="1">SUM(Q59:Q61)</f>
        <v>-5.8823529252549633E-4</v>
      </c>
      <c r="R58" s="1213">
        <f t="shared" si="88"/>
        <v>0</v>
      </c>
      <c r="S58" s="1213">
        <f ca="1">SUM(S59:S61)</f>
        <v>0</v>
      </c>
      <c r="T58" s="1213">
        <f ca="1">SUM(T59:T61)</f>
        <v>0</v>
      </c>
      <c r="U58" s="1213">
        <f t="shared" si="88"/>
        <v>0</v>
      </c>
      <c r="V58" s="1213">
        <f ca="1">SUM(V59:V61)</f>
        <v>0</v>
      </c>
      <c r="W58" s="1213">
        <f ca="1">SUM(W59:W61)</f>
        <v>0</v>
      </c>
      <c r="X58" s="1213">
        <f t="shared" si="88"/>
        <v>0</v>
      </c>
      <c r="Y58" s="1213">
        <f ca="1">SUM(Y59:Y61)</f>
        <v>0</v>
      </c>
      <c r="Z58" s="1213">
        <f ca="1">SUM(Z59:Z61)</f>
        <v>0</v>
      </c>
      <c r="AA58" s="1213">
        <f t="shared" si="88"/>
        <v>611420</v>
      </c>
      <c r="AB58" s="1213">
        <f>SUM('IV-2 vrsa'!R38)</f>
        <v>0</v>
      </c>
      <c r="AC58" s="825"/>
      <c r="AD58" s="825">
        <f ca="1">SUM(AD59:AD61)</f>
        <v>421880.1</v>
      </c>
      <c r="AE58" s="825">
        <f ca="1">SUM(AE59:AE61)</f>
        <v>0</v>
      </c>
      <c r="AF58" s="825"/>
      <c r="AG58" s="842"/>
      <c r="AH58" s="842"/>
      <c r="AI58" s="842"/>
      <c r="AJ58" s="843"/>
      <c r="AK58" s="844"/>
      <c r="AL58" s="306">
        <f>SUM(AL59:AL61)</f>
        <v>0</v>
      </c>
      <c r="AM58" s="306">
        <f t="shared" ref="AM58:AP58" si="89">SUM(AM59:AM61)</f>
        <v>421880.1</v>
      </c>
      <c r="AN58" s="306">
        <f t="shared" si="89"/>
        <v>0</v>
      </c>
      <c r="AO58" s="306">
        <f t="shared" si="89"/>
        <v>189539.9</v>
      </c>
      <c r="AP58" s="306">
        <f t="shared" si="89"/>
        <v>0</v>
      </c>
      <c r="AQ58" s="55">
        <f>SUM('IV-2 amsa'!X19+'IV-2 arsa'!W26+'IV-2 dsa'!W23+'IV-2 lrsa'!X24+'IV-2 vrsa'!X29)</f>
        <v>611420</v>
      </c>
      <c r="AR58" s="55">
        <f>SUM(AQ58*120/100)</f>
        <v>733704</v>
      </c>
      <c r="AS58" s="55">
        <f>SUM(AQ58-AA58)</f>
        <v>0</v>
      </c>
    </row>
    <row r="59" spans="1:45" ht="39.75" thickTop="1" thickBot="1" x14ac:dyDescent="0.3">
      <c r="A59" s="342" t="s">
        <v>83</v>
      </c>
      <c r="B59" s="342" t="s">
        <v>1309</v>
      </c>
      <c r="C59" s="1012" t="str">
        <f>CONCATENATE('ketv. 2'!B58)</f>
        <v>05.4.1-LVPA-R-821-11-0002</v>
      </c>
      <c r="D59" s="342" t="str">
        <f>CONCATENATE('IV-2 amsa'!D20)</f>
        <v>Alytaus regiono turizmo informacinės infrastruktūros plėtra</v>
      </c>
      <c r="E59" s="342" t="str">
        <f>CONCATENATE('IV-2 amsa'!E20)</f>
        <v>Alytaus miesto savivaldybės administracija</v>
      </c>
      <c r="F59" s="342" t="str">
        <f>CONCATENATE('IV-2 amsa'!F20)</f>
        <v>Lietuvos Respublikos ūkio ministerija</v>
      </c>
      <c r="G59" s="342" t="str">
        <f>CONCATENATE('IV-2 amsa'!G20)</f>
        <v>Alytaus m. sav.</v>
      </c>
      <c r="H59" s="345" t="str">
        <f>CONCATENATE('IV-2 amsa'!H20)</f>
        <v>05.4.1-LVPA-R-821</v>
      </c>
      <c r="I59" s="345" t="str">
        <f>CONCATENATE('IV-2 amsa'!I20)</f>
        <v>R</v>
      </c>
      <c r="J59" s="345" t="str">
        <f>CONCATENATE('IV-2 amsa'!J20)</f>
        <v>-</v>
      </c>
      <c r="K59" s="345" t="str">
        <f>CONCATENATE('IV-2 amsa'!K20)</f>
        <v>-</v>
      </c>
      <c r="L59" s="1217">
        <f>SUM('IV-2 amsa'!L20+'IV-2 arsa'!K27+'IV-2 dsa'!K24+'IV-2 lrsa'!L25+'IV-2 vrsa'!L30)</f>
        <v>208223.52941176473</v>
      </c>
      <c r="M59" s="1217">
        <f ca="1">SUM('ketv. 6 '!L58)</f>
        <v>208223.53</v>
      </c>
      <c r="N59" s="1217">
        <f ca="1">IF(M59&gt;0,L59-M59,0)</f>
        <v>-5.8823527069762349E-4</v>
      </c>
      <c r="O59" s="1217">
        <f>SUM('IV-2 amsa'!M20+'IV-2 arsa'!L27+'IV-2 dsa'!L24+'IV-2 lrsa'!M25+'IV-2 vrsa'!M30)</f>
        <v>31233.529411764706</v>
      </c>
      <c r="P59" s="1217">
        <f ca="1">SUM('ketv. 6 '!P58)</f>
        <v>31233.53</v>
      </c>
      <c r="Q59" s="1217">
        <f ca="1">IF(P59&gt;0,O59-P59,0)</f>
        <v>-5.8823529252549633E-4</v>
      </c>
      <c r="R59" s="1217">
        <f>SUM('IV-2 amsa'!N20+'IV-2 arsa'!M27+'IV-2 dsa'!M24+'IV-2 lrsa'!N25+'IV-2 vrsa'!N30)</f>
        <v>0</v>
      </c>
      <c r="S59" s="1217">
        <f ca="1">SUM('ketv. 6 '!T58)</f>
        <v>0</v>
      </c>
      <c r="T59" s="1217">
        <f ca="1">IF(S59&gt;0,R59-S59,0)</f>
        <v>0</v>
      </c>
      <c r="U59" s="1217">
        <f>SUM('IV-2 amsa'!O20+'IV-2 arsa'!N27+'IV-2 dsa'!N24+'IV-2 lrsa'!O25+'IV-2 vrsa'!O30)</f>
        <v>0</v>
      </c>
      <c r="V59" s="1217">
        <f ca="1">SUM('ketv. 6 '!X58)</f>
        <v>0</v>
      </c>
      <c r="W59" s="1217">
        <f ca="1">IF(V59&gt;0,U59-V59,0)</f>
        <v>0</v>
      </c>
      <c r="X59" s="1217">
        <f>SUM('IV-2 amsa'!P20+'IV-2 arsa'!O27+'IV-2 dsa'!O24+'IV-2 lrsa'!P25+'IV-2 vrsa'!P30)</f>
        <v>0</v>
      </c>
      <c r="Y59" s="1217">
        <f ca="1">SUM('ketv. 6 '!AB58)</f>
        <v>0</v>
      </c>
      <c r="Z59" s="1217">
        <f ca="1">IF(Y59&gt;0,X59-Y59,0)</f>
        <v>0</v>
      </c>
      <c r="AA59" s="1217">
        <f>SUM('IV-2 amsa'!Q20+'IV-2 arsa'!P27+'IV-2 dsa'!P24+'IV-2 lrsa'!Q25+'IV-2 vrsa'!Q30)</f>
        <v>176990</v>
      </c>
      <c r="AB59" s="1217">
        <f>SUM('IV-2 vrsa'!R39)</f>
        <v>0</v>
      </c>
      <c r="AC59" s="306" t="str">
        <f>IF('ketv. 4 '!X59&gt;0,"Taip","Ne")</f>
        <v>Taip</v>
      </c>
      <c r="AD59" s="306">
        <f ca="1">SUM('ketv. 6 '!AF58)</f>
        <v>176990</v>
      </c>
      <c r="AE59" s="306">
        <f ca="1">IF(AD59&gt;0,AA59-AD59,0)</f>
        <v>0</v>
      </c>
      <c r="AF59" s="721">
        <f>SUM('IV-2 amsa'!S20)</f>
        <v>42604</v>
      </c>
      <c r="AG59" s="373">
        <f>SUM('IV-2 amsa'!T20)</f>
        <v>42635</v>
      </c>
      <c r="AH59" s="373">
        <f>SUM('IV-2 amsa'!U20)</f>
        <v>42755</v>
      </c>
      <c r="AI59" s="373">
        <f>SUM('IV-2 amsa'!V20)</f>
        <v>42855</v>
      </c>
      <c r="AJ59" s="375">
        <f t="shared" ref="AJ59:AJ61" si="90">IF(YEAR(AI59),YEAR(AI59))</f>
        <v>2017</v>
      </c>
      <c r="AK59" s="1310">
        <f>SUM('IV-2 amsa'!W20)</f>
        <v>43465</v>
      </c>
      <c r="AL59" s="306">
        <f>IF(YEAR(AI59)=2016,AA59,0)</f>
        <v>0</v>
      </c>
      <c r="AM59" s="306">
        <f>IF(YEAR(AI59)=2017,AA59,0)</f>
        <v>176990</v>
      </c>
      <c r="AN59" s="306">
        <f>IF(YEAR(AI59)=2018,AA59,0)</f>
        <v>0</v>
      </c>
      <c r="AO59" s="306">
        <f>IF(YEAR(AI59)=2019,AA59,0)</f>
        <v>0</v>
      </c>
      <c r="AP59" s="830">
        <f>IF(YEAR(AI59)=2020,AA59,0)</f>
        <v>0</v>
      </c>
      <c r="AQ59" s="55"/>
      <c r="AR59" s="55"/>
      <c r="AS59" s="55"/>
    </row>
    <row r="60" spans="1:45" ht="52.5" thickTop="1" thickBot="1" x14ac:dyDescent="0.3">
      <c r="A60" s="342" t="s">
        <v>195</v>
      </c>
      <c r="B60" s="342" t="s">
        <v>1310</v>
      </c>
      <c r="C60" s="1012" t="str">
        <f>CONCATENATE('ketv. 2'!B59)</f>
        <v>05.4.1-LVPA-R-821-11-0001</v>
      </c>
      <c r="D60" s="342" t="str">
        <f>CONCATENATE('IV-2 lrsa'!D26)</f>
        <v>„Turizmo trasų ir maršrutų informacinės infrastruktūros plėtra  Lazdijų, Varėnos rajonų ir Druskininkų savivaldybėse“</v>
      </c>
      <c r="E60" s="342" t="str">
        <f>CONCATENATE('IV-2 lrsa'!E26)</f>
        <v>Lazdijų rajono savivaldybės administracija</v>
      </c>
      <c r="F60" s="342" t="str">
        <f>CONCATENATE('IV-2 lrsa'!F26)</f>
        <v>Lietuvos Respublikos ūkio ministerija</v>
      </c>
      <c r="G60" s="342" t="str">
        <f>CONCATENATE('IV-2 lrsa'!G26)</f>
        <v xml:space="preserve">Lazdijų, Varėnos rajonų ir Druskininkų savivaldybės </v>
      </c>
      <c r="H60" s="345" t="str">
        <f>CONCATENATE('IV-2 lrsa'!H26)</f>
        <v>05.4.1-LVPA-R-821</v>
      </c>
      <c r="I60" s="345" t="str">
        <f>CONCATENATE('IV-2 lrsa'!I26)</f>
        <v>R</v>
      </c>
      <c r="J60" s="345" t="str">
        <f>CONCATENATE('IV-2 lrsa'!J26)</f>
        <v>-</v>
      </c>
      <c r="K60" s="345" t="str">
        <f>CONCATENATE('IV-2 lrsa'!K26)</f>
        <v>-</v>
      </c>
      <c r="L60" s="1217">
        <f>SUM('IV-2 dsa'!K25+'IV-2 lrsa'!L26+'IV-2 vrsa'!L31)</f>
        <v>288106</v>
      </c>
      <c r="M60" s="1217">
        <f ca="1">SUM('ketv. 6 '!L59)</f>
        <v>288106</v>
      </c>
      <c r="N60" s="1217">
        <f t="shared" ref="N60" ca="1" si="91">IF(M60&gt;0,L60-M60,0)</f>
        <v>0</v>
      </c>
      <c r="O60" s="1217">
        <f>SUM('IV-2 dsa'!L25+'IV-2 lrsa'!M26+'IV-2 vrsa'!M31)</f>
        <v>43215.9</v>
      </c>
      <c r="P60" s="1217">
        <f ca="1">SUM('ketv. 6 '!P59)</f>
        <v>43215.9</v>
      </c>
      <c r="Q60" s="1217">
        <f ca="1">IF(P60&gt;0,O60-P60,0)</f>
        <v>0</v>
      </c>
      <c r="R60" s="1217">
        <f>SUM('IV-2 dsa'!M25+'IV-2 lrsa'!N26+'IV-2 vrsa'!N31)</f>
        <v>0</v>
      </c>
      <c r="S60" s="1217">
        <f ca="1">SUM('ketv. 6 '!T59)</f>
        <v>0</v>
      </c>
      <c r="T60" s="1217">
        <f t="shared" ref="T60:T61" ca="1" si="92">IF(S60&gt;0,R60-S60,0)</f>
        <v>0</v>
      </c>
      <c r="U60" s="1217">
        <f>SUM('IV-2 dsa'!N25+'IV-2 lrsa'!O26+'IV-2 vrsa'!O31)</f>
        <v>0</v>
      </c>
      <c r="V60" s="1217">
        <f ca="1">SUM('ketv. 6 '!X59)</f>
        <v>0</v>
      </c>
      <c r="W60" s="1217">
        <f t="shared" ref="W60:W61" ca="1" si="93">IF(V60&gt;0,U60-V60,0)</f>
        <v>0</v>
      </c>
      <c r="X60" s="1217">
        <f>SUM('IV-2 dsa'!O25+'IV-2 lrsa'!P26+'IV-2 vrsa'!P31)</f>
        <v>0</v>
      </c>
      <c r="Y60" s="1217">
        <f ca="1">SUM('ketv. 6 '!AB59)</f>
        <v>0</v>
      </c>
      <c r="Z60" s="1217">
        <f t="shared" ref="Z60:Z61" ca="1" si="94">IF(Y60&gt;0,X60-Y60,0)</f>
        <v>0</v>
      </c>
      <c r="AA60" s="1217">
        <f>SUM('IV-2 dsa'!P25+'IV-2 lrsa'!Q26+'IV-2 vrsa'!Q31)</f>
        <v>244890.1</v>
      </c>
      <c r="AB60" s="1217">
        <f>SUM('IV-2 vrsa'!R40)</f>
        <v>0</v>
      </c>
      <c r="AC60" s="306" t="str">
        <f>IF('ketv. 4 '!X60&gt;0,"Taip","Ne")</f>
        <v>Taip</v>
      </c>
      <c r="AD60" s="306">
        <f ca="1">SUM('ketv. 6 '!AF59)</f>
        <v>244890.1</v>
      </c>
      <c r="AE60" s="306">
        <f ca="1">IF(AD60&gt;0,AA60-AD60,0)</f>
        <v>0</v>
      </c>
      <c r="AF60" s="721">
        <f>SUM('IV-2 lrsa'!S26)</f>
        <v>42604</v>
      </c>
      <c r="AG60" s="373">
        <f>SUM('IV-2 lrsa'!T26)</f>
        <v>42635</v>
      </c>
      <c r="AH60" s="373">
        <f>SUM('IV-2 lrsa'!U26)</f>
        <v>42706</v>
      </c>
      <c r="AI60" s="373">
        <f>SUM('IV-2 lrsa'!V26)</f>
        <v>42825</v>
      </c>
      <c r="AJ60" s="375">
        <f t="shared" si="90"/>
        <v>2017</v>
      </c>
      <c r="AK60" s="829">
        <f>SUM('IV-2 lrsa'!W26)</f>
        <v>43585</v>
      </c>
      <c r="AL60" s="306">
        <f>IF(YEAR(AI60)=2016,AA60,0)</f>
        <v>0</v>
      </c>
      <c r="AM60" s="306">
        <f>IF(YEAR(AI60)=2017,AA60,0)</f>
        <v>244890.1</v>
      </c>
      <c r="AN60" s="306">
        <f>IF(YEAR(AI60)=2018,AA60,0)</f>
        <v>0</v>
      </c>
      <c r="AO60" s="306">
        <f>IF(YEAR(AI60)=2019,AA60,0)</f>
        <v>0</v>
      </c>
      <c r="AP60" s="830">
        <f>IF(YEAR(AI60)=2020,AA60,0)</f>
        <v>0</v>
      </c>
      <c r="AQ60" s="377"/>
      <c r="AR60" s="55"/>
      <c r="AS60" s="55"/>
    </row>
    <row r="61" spans="1:45" ht="52.5" thickTop="1" thickBot="1" x14ac:dyDescent="0.3">
      <c r="A61" s="342" t="s">
        <v>213</v>
      </c>
      <c r="B61" s="342" t="s">
        <v>1311</v>
      </c>
      <c r="C61" s="1013" t="str">
        <f>CONCATENATE('ketv. 2'!B60)</f>
        <v/>
      </c>
      <c r="D61" s="342" t="str">
        <f>CONCATENATE('IV-2 lrsa'!D27)</f>
        <v>„Turizmo trasų ir maršrutų informacinės infrastruktūros plėtra  Lazdijų, Varėnos rajonų ir Druskininkų savivaldybėse II etapas“</v>
      </c>
      <c r="E61" s="342" t="str">
        <f>CONCATENATE('IV-2 lrsa'!E27)</f>
        <v>Lazdijų rajono savivaldybės administracija</v>
      </c>
      <c r="F61" s="342" t="str">
        <f>CONCATENATE('IV-2 lrsa'!F27)</f>
        <v>Lietuvos Respublikos ūkio ministerija</v>
      </c>
      <c r="G61" s="342" t="str">
        <f>CONCATENATE('IV-2 lrsa'!G27)</f>
        <v xml:space="preserve">Lazdijų, Varėnos rajonų ir Druskininkų savivaldybės </v>
      </c>
      <c r="H61" s="345" t="str">
        <f>CONCATENATE('IV-2 lrsa'!H27)</f>
        <v>05.4.1-LVPA-R-821</v>
      </c>
      <c r="I61" s="345" t="str">
        <f>CONCATENATE('IV-2 lrsa'!I27)</f>
        <v>R</v>
      </c>
      <c r="J61" s="345" t="str">
        <f>CONCATENATE('IV-2 lrsa'!J27)</f>
        <v>-</v>
      </c>
      <c r="K61" s="345" t="str">
        <f>CONCATENATE('IV-2 lrsa'!K27)</f>
        <v>-</v>
      </c>
      <c r="L61" s="1217">
        <f>SUM('IV-2 dsa'!K26+'IV-2 lrsa'!L27+'IV-2 vrsa'!L32)</f>
        <v>222988.11764705885</v>
      </c>
      <c r="M61" s="1217">
        <f ca="1">SUM('ketv. 6 '!L60)</f>
        <v>0</v>
      </c>
      <c r="N61" s="1217">
        <f ca="1">IF(M61&gt;0,L61-M61,0)</f>
        <v>0</v>
      </c>
      <c r="O61" s="1217">
        <f>SUM('IV-2 dsa'!L26+'IV-2 lrsa'!M27+'IV-2 vrsa'!M32)</f>
        <v>33448.217647058824</v>
      </c>
      <c r="P61" s="1217">
        <f ca="1">SUM('ketv. 6 '!P60)</f>
        <v>0</v>
      </c>
      <c r="Q61" s="1217">
        <f ca="1">IF(P61&gt;0,O61-P61,0)</f>
        <v>0</v>
      </c>
      <c r="R61" s="1217">
        <f>SUM('IV-2 dsa'!M26+'IV-2 lrsa'!N27+'IV-2 vrsa'!N32)</f>
        <v>0</v>
      </c>
      <c r="S61" s="1217">
        <f ca="1">SUM('ketv. 6 '!T60)</f>
        <v>0</v>
      </c>
      <c r="T61" s="1217">
        <f t="shared" ca="1" si="92"/>
        <v>0</v>
      </c>
      <c r="U61" s="1217">
        <f>SUM('IV-2 dsa'!N26+'IV-2 lrsa'!O27+'IV-2 vrsa'!O32)</f>
        <v>0</v>
      </c>
      <c r="V61" s="1217">
        <f ca="1">SUM('ketv. 6 '!X60)</f>
        <v>0</v>
      </c>
      <c r="W61" s="1217">
        <f t="shared" ca="1" si="93"/>
        <v>0</v>
      </c>
      <c r="X61" s="1217">
        <f>SUM('IV-2 dsa'!O26+'IV-2 lrsa'!P27+'IV-2 vrsa'!P32)</f>
        <v>0</v>
      </c>
      <c r="Y61" s="1217">
        <f ca="1">SUM('ketv. 6 '!AB60)</f>
        <v>0</v>
      </c>
      <c r="Z61" s="1217">
        <f t="shared" ca="1" si="94"/>
        <v>0</v>
      </c>
      <c r="AA61" s="1217">
        <f>SUM('IV-2 dsa'!P26+'IV-2 lrsa'!Q27+'IV-2 vrsa'!Q32)</f>
        <v>189539.9</v>
      </c>
      <c r="AB61" s="1217">
        <f>SUM('IV-2 vrsa'!R41)</f>
        <v>0</v>
      </c>
      <c r="AC61" s="306" t="str">
        <f>IF('ketv. 4 '!X61&gt;0,"Taip","Ne")</f>
        <v>Ne</v>
      </c>
      <c r="AD61" s="306">
        <f ca="1">SUM('ketv. 6 '!AF60)</f>
        <v>0</v>
      </c>
      <c r="AE61" s="306">
        <f ca="1">IF(AD61&gt;0,AA61-AD61,0)</f>
        <v>0</v>
      </c>
      <c r="AF61" s="721">
        <v>43189</v>
      </c>
      <c r="AG61" s="373">
        <f>SUM('IV-2 lrsa'!T27)</f>
        <v>43465</v>
      </c>
      <c r="AH61" s="373">
        <f>SUM('IV-2 lrsa'!U27)</f>
        <v>43553</v>
      </c>
      <c r="AI61" s="373">
        <f>SUM('IV-2 lrsa'!V27)</f>
        <v>43645</v>
      </c>
      <c r="AJ61" s="375">
        <f t="shared" si="90"/>
        <v>2019</v>
      </c>
      <c r="AK61" s="829">
        <f>SUM('IV-2 lrsa'!W27)</f>
        <v>44376</v>
      </c>
      <c r="AL61" s="306">
        <f>IF(YEAR(AI61)=2016,AA61,0)</f>
        <v>0</v>
      </c>
      <c r="AM61" s="306">
        <f>IF(YEAR(AI61)=2017,AA61,0)</f>
        <v>0</v>
      </c>
      <c r="AN61" s="306">
        <f>IF(YEAR(AI61)=2018,AA61,0)</f>
        <v>0</v>
      </c>
      <c r="AO61" s="306">
        <f>IF(YEAR(AI61)=2019,AA61,0)</f>
        <v>189539.9</v>
      </c>
      <c r="AP61" s="830">
        <f>IF(YEAR(AI61)=2020,AA61,0)</f>
        <v>0</v>
      </c>
      <c r="AQ61" s="377"/>
      <c r="AR61" s="55"/>
      <c r="AS61" s="55"/>
    </row>
    <row r="62" spans="1:45" ht="34.5" customHeight="1" thickBot="1" x14ac:dyDescent="0.3">
      <c r="A62" s="845" t="s">
        <v>84</v>
      </c>
      <c r="B62" s="1841" t="s">
        <v>1493</v>
      </c>
      <c r="C62" s="1842"/>
      <c r="D62" s="1842"/>
      <c r="E62" s="1842"/>
      <c r="F62" s="1842"/>
      <c r="G62" s="1842"/>
      <c r="H62" s="1842"/>
      <c r="I62" s="1842"/>
      <c r="J62" s="1842"/>
      <c r="K62" s="1843"/>
      <c r="L62" s="1213">
        <f t="shared" ref="L62:AA62" si="95">SUM(L63:L66)</f>
        <v>1972835.5100000002</v>
      </c>
      <c r="M62" s="1213">
        <f ca="1">SUM(M63:M66)</f>
        <v>1972835.5100000002</v>
      </c>
      <c r="N62" s="1213">
        <f ca="1">SUM(N63:N66)</f>
        <v>0</v>
      </c>
      <c r="O62" s="1213">
        <f t="shared" si="95"/>
        <v>422270.99</v>
      </c>
      <c r="P62" s="1213">
        <f ca="1">SUM(P63:P66)</f>
        <v>422270.99</v>
      </c>
      <c r="Q62" s="1213">
        <f ca="1">SUM(Q63:Q66)</f>
        <v>0</v>
      </c>
      <c r="R62" s="1213">
        <f t="shared" si="95"/>
        <v>0</v>
      </c>
      <c r="S62" s="1213">
        <f ca="1">SUM(S63:S66)</f>
        <v>0</v>
      </c>
      <c r="T62" s="1213">
        <f ca="1">SUM(T63:T66)</f>
        <v>0</v>
      </c>
      <c r="U62" s="1213">
        <f t="shared" si="95"/>
        <v>0</v>
      </c>
      <c r="V62" s="1213">
        <f ca="1">SUM(V63:V66)</f>
        <v>0</v>
      </c>
      <c r="W62" s="1213">
        <f ca="1">SUM(W63:W66)</f>
        <v>0</v>
      </c>
      <c r="X62" s="1781">
        <f t="shared" si="95"/>
        <v>352400.82</v>
      </c>
      <c r="Y62" s="1213">
        <f ca="1">SUM(Y63:Y66)</f>
        <v>352400.82</v>
      </c>
      <c r="Z62" s="1213">
        <f ca="1">SUM(Z63:Z66)</f>
        <v>0</v>
      </c>
      <c r="AA62" s="1213">
        <f t="shared" si="95"/>
        <v>1198163.7</v>
      </c>
      <c r="AB62" s="1213">
        <f>SUM('IV-2 vrsa'!R42)</f>
        <v>0</v>
      </c>
      <c r="AC62" s="825"/>
      <c r="AD62" s="825">
        <f ca="1">SUM(AD63:AD66)</f>
        <v>1198163.7</v>
      </c>
      <c r="AE62" s="825">
        <f ca="1">SUM(AE63:AE66)</f>
        <v>0</v>
      </c>
      <c r="AF62" s="825"/>
      <c r="AG62" s="842"/>
      <c r="AH62" s="842"/>
      <c r="AI62" s="842"/>
      <c r="AJ62" s="843"/>
      <c r="AK62" s="844"/>
      <c r="AL62" s="846">
        <f>SUM(AL63:AL66)</f>
        <v>0</v>
      </c>
      <c r="AM62" s="846">
        <f t="shared" ref="AM62:AP62" si="96">SUM(AM63:AM66)</f>
        <v>898622.7</v>
      </c>
      <c r="AN62" s="846">
        <f t="shared" si="96"/>
        <v>299541</v>
      </c>
      <c r="AO62" s="846">
        <f t="shared" si="96"/>
        <v>0</v>
      </c>
      <c r="AP62" s="846">
        <f t="shared" si="96"/>
        <v>0</v>
      </c>
      <c r="AQ62" s="55">
        <f>SUM('IV-2 amsa'!X22+'IV-2 arsa'!W28+'IV-2 dsa'!W27+'IV-2 lrsa'!X28+'IV-2 vrsa'!X33)</f>
        <v>1198165.51</v>
      </c>
      <c r="AR62" s="55">
        <f>SUM(AQ62*120/100)</f>
        <v>1437798.612</v>
      </c>
      <c r="AS62" s="55">
        <f>SUM(AQ62-AA62)</f>
        <v>1.8100000000558794</v>
      </c>
    </row>
    <row r="63" spans="1:45" ht="39" thickBot="1" x14ac:dyDescent="0.3">
      <c r="A63" s="342" t="s">
        <v>85</v>
      </c>
      <c r="B63" s="342" t="s">
        <v>1312</v>
      </c>
      <c r="C63" s="1011" t="str">
        <f>CONCATENATE('ketv. 2'!B62)</f>
        <v>07.1.1-CPVA-R-305-11-0001</v>
      </c>
      <c r="D63" s="342" t="str">
        <f>CONCATENATE('IV-2 vrsa'!D34)</f>
        <v>Kultūros įstaigų infrastruktūros modernizavimas Varėnos mieste</v>
      </c>
      <c r="E63" s="342" t="str">
        <f>CONCATENATE('IV-2 vrsa'!E34)</f>
        <v>Varėnos rajono savivaldybės administracija</v>
      </c>
      <c r="F63" s="342" t="str">
        <f>CONCATENATE('IV-2 vrsa'!F34)</f>
        <v>Lietuvos Respublikos kultūros ministerija</v>
      </c>
      <c r="G63" s="342" t="str">
        <f>CONCATENATE('IV-2 vrsa'!G34)</f>
        <v>Varėnos r. sav.</v>
      </c>
      <c r="H63" s="345" t="str">
        <f>CONCATENATE('IV-2 vrsa'!H34)</f>
        <v>07.1.1-CPVA-R-305</v>
      </c>
      <c r="I63" s="345" t="str">
        <f>CONCATENATE('IV-2 vrsa'!I34)</f>
        <v>R</v>
      </c>
      <c r="J63" s="345" t="str">
        <f>CONCATENATE('IV-2 vrsa'!J34)</f>
        <v>ITI</v>
      </c>
      <c r="K63" s="345" t="str">
        <f>CONCATENATE('IV-2 vrsa'!K34)</f>
        <v>-</v>
      </c>
      <c r="L63" s="1217">
        <f>SUM('IV-2 vrsa'!L34)</f>
        <v>352401</v>
      </c>
      <c r="M63" s="1217">
        <f ca="1">SUM('ketv. 6 '!L62)</f>
        <v>352401</v>
      </c>
      <c r="N63" s="1217">
        <f t="shared" ref="N63:N66" ca="1" si="97">IF(M63&gt;0,L63-M63,0)</f>
        <v>0</v>
      </c>
      <c r="O63" s="1217">
        <f>SUM('IV-2 vrsa'!M34)</f>
        <v>52860.15</v>
      </c>
      <c r="P63" s="1217">
        <f ca="1">SUM('ketv. 6 '!P62)</f>
        <v>52860.15</v>
      </c>
      <c r="Q63" s="1217">
        <f ca="1">IF(P63&gt;0,O63-P63,0)</f>
        <v>0</v>
      </c>
      <c r="R63" s="1217">
        <f>SUM('IV-2 vrsa'!N34)</f>
        <v>0</v>
      </c>
      <c r="S63" s="1217">
        <f ca="1">SUM('ketv. 6 '!T62)</f>
        <v>0</v>
      </c>
      <c r="T63" s="1217">
        <f t="shared" ref="T63:T66" ca="1" si="98">IF(S63&gt;0,R63-S63,0)</f>
        <v>0</v>
      </c>
      <c r="U63" s="1217">
        <f>SUM('IV-2 vrsa'!O34)</f>
        <v>0</v>
      </c>
      <c r="V63" s="1217">
        <f ca="1">SUM('ketv. 6 '!X62)</f>
        <v>0</v>
      </c>
      <c r="W63" s="1217">
        <f t="shared" ref="W63:W66" ca="1" si="99">IF(V63&gt;0,U63-V63,0)</f>
        <v>0</v>
      </c>
      <c r="X63" s="1217">
        <f>SUM('IV-2 vrsa'!P34)</f>
        <v>0</v>
      </c>
      <c r="Y63" s="1217">
        <f ca="1">SUM('ketv. 6 '!AB62)</f>
        <v>0</v>
      </c>
      <c r="Z63" s="1217">
        <f t="shared" ref="Z63:Z66" ca="1" si="100">IF(Y63&gt;0,X63-Y63,0)</f>
        <v>0</v>
      </c>
      <c r="AA63" s="1217">
        <f>SUM('IV-2 vrsa'!Q34)</f>
        <v>299540.84999999998</v>
      </c>
      <c r="AB63" s="1217">
        <f>SUM('IV-2 vrsa'!R43)</f>
        <v>0</v>
      </c>
      <c r="AC63" s="306" t="str">
        <f>IF('ketv. 4 '!X63&gt;0,"Taip","Ne")</f>
        <v>Taip</v>
      </c>
      <c r="AD63" s="306">
        <f ca="1">SUM('ketv. 6 '!AF62)</f>
        <v>299540.84999999998</v>
      </c>
      <c r="AE63" s="306">
        <f ca="1">IF(AD63&gt;0,AA63-AD63,0)</f>
        <v>0</v>
      </c>
      <c r="AF63" s="721">
        <f>SUM('IV-2 vrsa'!S34)</f>
        <v>42614</v>
      </c>
      <c r="AG63" s="373">
        <f>SUM('IV-2 vrsa'!T34)</f>
        <v>42632</v>
      </c>
      <c r="AH63" s="373">
        <f>SUM('IV-2 vrsa'!U34)</f>
        <v>42767</v>
      </c>
      <c r="AI63" s="373">
        <f>SUM('IV-2 vrsa'!V34)</f>
        <v>42855</v>
      </c>
      <c r="AJ63" s="373">
        <f>SUM('IV-2 vrsa'!W34)</f>
        <v>43585</v>
      </c>
      <c r="AK63" s="1310">
        <f>SUM('IV-2 vrsa'!W34)</f>
        <v>43585</v>
      </c>
      <c r="AL63" s="306">
        <f>IF(YEAR(AI63)=2016,AA63,0)</f>
        <v>0</v>
      </c>
      <c r="AM63" s="306">
        <f>IF(YEAR(AI63)=2017,AA63,0)</f>
        <v>299540.84999999998</v>
      </c>
      <c r="AN63" s="306">
        <f>IF(YEAR(AI63)=2018,AA63,0)</f>
        <v>0</v>
      </c>
      <c r="AO63" s="306">
        <f>IF(YEAR(AI63)=2019,AA63,0)</f>
        <v>0</v>
      </c>
      <c r="AP63" s="830">
        <f>IF(YEAR(AI63)=2020,AA63,0)</f>
        <v>0</v>
      </c>
      <c r="AQ63" s="55"/>
      <c r="AR63" s="55"/>
      <c r="AS63" s="55"/>
    </row>
    <row r="64" spans="1:45" ht="39.75" thickTop="1" thickBot="1" x14ac:dyDescent="0.3">
      <c r="A64" s="342" t="s">
        <v>168</v>
      </c>
      <c r="B64" s="342" t="s">
        <v>1313</v>
      </c>
      <c r="C64" s="1012" t="str">
        <f>CONCATENATE('ketv. 2'!B63)</f>
        <v>07.1.1-CPVA-R-305-11-0002</v>
      </c>
      <c r="D64" s="342" t="str">
        <f>CONCATENATE('IV-2 amsa'!D23)</f>
        <v>VšĮ Alytaus kultūros ir komunikacijos centro pastato Alytuje, Pramonės g. 1B, rekonstravimas</v>
      </c>
      <c r="E64" s="342" t="str">
        <f>CONCATENATE('IV-2 amsa'!E23)</f>
        <v>Alytaus miesto savivaldybės administracija</v>
      </c>
      <c r="F64" s="342" t="str">
        <f>CONCATENATE('IV-2 amsa'!F23)</f>
        <v>Lietuvos Respublikos kultūros ministerija</v>
      </c>
      <c r="G64" s="342" t="str">
        <f>CONCATENATE('IV-2 amsa'!G23)</f>
        <v>Alytaus m. sav.</v>
      </c>
      <c r="H64" s="345" t="str">
        <f>CONCATENATE('IV-2 amsa'!H23)</f>
        <v>07.1.1-CPVA-R-305</v>
      </c>
      <c r="I64" s="345" t="str">
        <f>CONCATENATE('IV-2 amsa'!I23)</f>
        <v>R</v>
      </c>
      <c r="J64" s="345" t="str">
        <f>CONCATENATE('IV-2 amsa'!J23)</f>
        <v>ITI</v>
      </c>
      <c r="K64" s="345" t="str">
        <f>CONCATENATE('IV-2 amsa'!K23)</f>
        <v>-</v>
      </c>
      <c r="L64" s="1217">
        <f>SUM('IV-2 amsa'!L23)</f>
        <v>783264.16</v>
      </c>
      <c r="M64" s="1217">
        <f ca="1">SUM('ketv. 6 '!L63)</f>
        <v>783264.16</v>
      </c>
      <c r="N64" s="1217">
        <f t="shared" ca="1" si="97"/>
        <v>0</v>
      </c>
      <c r="O64" s="1217">
        <f>SUM('IV-2 amsa'!M23)</f>
        <v>131322.34</v>
      </c>
      <c r="P64" s="1217">
        <f ca="1">SUM('ketv. 6 '!P63)</f>
        <v>131322.34</v>
      </c>
      <c r="Q64" s="1217">
        <f ca="1">IF(P64&gt;0,O64-P64,0)</f>
        <v>0</v>
      </c>
      <c r="R64" s="1780">
        <f>SUM('IV-2 amsa'!N23)</f>
        <v>0</v>
      </c>
      <c r="S64" s="1217">
        <f ca="1">SUM('ketv. 6 '!T63)</f>
        <v>0</v>
      </c>
      <c r="T64" s="1217">
        <f t="shared" ca="1" si="98"/>
        <v>0</v>
      </c>
      <c r="U64" s="1217">
        <f>SUM('IV-2 amsa'!O23)</f>
        <v>0</v>
      </c>
      <c r="V64" s="1217">
        <f ca="1">SUM('ketv. 6 '!X63)</f>
        <v>0</v>
      </c>
      <c r="W64" s="1217">
        <f t="shared" ca="1" si="99"/>
        <v>0</v>
      </c>
      <c r="X64" s="1780">
        <f>SUM('IV-2 amsa'!P23)</f>
        <v>352400.82</v>
      </c>
      <c r="Y64" s="1217">
        <f ca="1">SUM('ketv. 6 '!AB63)</f>
        <v>352400.82</v>
      </c>
      <c r="Z64" s="1217">
        <f t="shared" ca="1" si="100"/>
        <v>0</v>
      </c>
      <c r="AA64" s="1217">
        <f>SUM('IV-2 amsa'!Q23)</f>
        <v>299541</v>
      </c>
      <c r="AB64" s="1217">
        <f>SUM('IV-2 vrsa'!R44)</f>
        <v>0</v>
      </c>
      <c r="AC64" s="306" t="str">
        <f>IF('ketv. 4 '!X64&gt;0,"Taip","Ne")</f>
        <v>Taip</v>
      </c>
      <c r="AD64" s="306">
        <f ca="1">SUM('ketv. 6 '!AF63)</f>
        <v>299541</v>
      </c>
      <c r="AE64" s="306">
        <f ca="1">IF(AD64&gt;0,AA64-AD64,0)</f>
        <v>0</v>
      </c>
      <c r="AF64" s="721">
        <f>SUM('IV-2 amsa'!S23)</f>
        <v>42614</v>
      </c>
      <c r="AG64" s="373">
        <f>SUM('IV-2 amsa'!T23)</f>
        <v>42703</v>
      </c>
      <c r="AH64" s="373">
        <f>SUM('IV-2 amsa'!U23)</f>
        <v>42762</v>
      </c>
      <c r="AI64" s="373">
        <f>SUM('IV-2 amsa'!V23)</f>
        <v>42855</v>
      </c>
      <c r="AJ64" s="375">
        <f t="shared" ref="AJ64:AJ66" si="101">IF(YEAR(AI64),YEAR(AI64))</f>
        <v>2017</v>
      </c>
      <c r="AK64" s="829">
        <f>SUM('IV-2 amsa'!W23)</f>
        <v>43465</v>
      </c>
      <c r="AL64" s="306">
        <f>IF(YEAR(AI64)=2016,AA64,0)</f>
        <v>0</v>
      </c>
      <c r="AM64" s="306">
        <f>IF(YEAR(AI64)=2017,AA64,0)</f>
        <v>299541</v>
      </c>
      <c r="AN64" s="306">
        <f>IF(YEAR(AI64)=2018,AA64,0)</f>
        <v>0</v>
      </c>
      <c r="AO64" s="306">
        <f>IF(YEAR(AI64)=2019,AA64,0)</f>
        <v>0</v>
      </c>
      <c r="AP64" s="830">
        <f>IF(YEAR(AI64)=2020,AA64,0)</f>
        <v>0</v>
      </c>
      <c r="AQ64" s="55"/>
      <c r="AR64" s="55"/>
      <c r="AS64" s="55"/>
    </row>
    <row r="65" spans="1:47" ht="51.75" customHeight="1" thickTop="1" thickBot="1" x14ac:dyDescent="0.3">
      <c r="A65" s="342" t="s">
        <v>171</v>
      </c>
      <c r="B65" s="342" t="s">
        <v>1314</v>
      </c>
      <c r="C65" s="1012" t="str">
        <f>CONCATENATE('ketv. 2'!B64)</f>
        <v>07.1.1-CPVA-R-305-11-0003</v>
      </c>
      <c r="D65" s="342" t="str">
        <f>CONCATENATE('IV-2 dsa'!C28)</f>
        <v>Druskininkų kultūros centro lauko scenos, Vilniaus al. 24, Druskininkai, modernizavimas ir pritaikymas kultūros  poreikiams</v>
      </c>
      <c r="E65" s="342" t="str">
        <f>CONCATENATE('IV-2 dsa'!D28)</f>
        <v xml:space="preserve">Druskininkų savivaldybės administracija  </v>
      </c>
      <c r="F65" s="342" t="str">
        <f>CONCATENATE('IV-2 dsa'!E28)</f>
        <v>Lietuvos Respublikos kultūros ministerija</v>
      </c>
      <c r="G65" s="342" t="str">
        <f>CONCATENATE('IV-2 dsa'!F28)</f>
        <v>Druskininkų sav.</v>
      </c>
      <c r="H65" s="345" t="str">
        <f>CONCATENATE('IV-2 dsa'!G28)</f>
        <v>07.1.1-CPVA-R-305</v>
      </c>
      <c r="I65" s="345" t="str">
        <f>CONCATENATE('IV-2 dsa'!H28)</f>
        <v>R</v>
      </c>
      <c r="J65" s="345" t="str">
        <f>CONCATENATE('IV-2 dsa'!I28)</f>
        <v>ITI</v>
      </c>
      <c r="K65" s="343" t="s">
        <v>66</v>
      </c>
      <c r="L65" s="1217">
        <f>SUM('IV-2 dsa'!K28)</f>
        <v>352401</v>
      </c>
      <c r="M65" s="1217">
        <f ca="1">SUM('ketv. 6 '!L64)</f>
        <v>352401</v>
      </c>
      <c r="N65" s="1217">
        <f t="shared" ca="1" si="97"/>
        <v>0</v>
      </c>
      <c r="O65" s="1217">
        <f>SUM('IV-2 dsa'!L28)</f>
        <v>52860.15</v>
      </c>
      <c r="P65" s="1217">
        <f ca="1">SUM('ketv. 6 '!P64)</f>
        <v>52860.15</v>
      </c>
      <c r="Q65" s="1217">
        <f ca="1">IF(P65&gt;0,O65-P65,0)</f>
        <v>0</v>
      </c>
      <c r="R65" s="1217">
        <f>SUM('IV-2 dsa'!M28)</f>
        <v>0</v>
      </c>
      <c r="S65" s="1217">
        <f ca="1">SUM('ketv. 6 '!T64)</f>
        <v>0</v>
      </c>
      <c r="T65" s="1217">
        <f t="shared" ca="1" si="98"/>
        <v>0</v>
      </c>
      <c r="U65" s="1217">
        <f>SUM('IV-2 dsa'!N28)</f>
        <v>0</v>
      </c>
      <c r="V65" s="1217">
        <f ca="1">SUM('ketv. 6 '!X64)</f>
        <v>0</v>
      </c>
      <c r="W65" s="1217">
        <f t="shared" ca="1" si="99"/>
        <v>0</v>
      </c>
      <c r="X65" s="1217">
        <f>SUM('IV-2 dsa'!O28)</f>
        <v>0</v>
      </c>
      <c r="Y65" s="1217">
        <f ca="1">SUM('ketv. 6 '!AB64)</f>
        <v>0</v>
      </c>
      <c r="Z65" s="1217">
        <f t="shared" ca="1" si="100"/>
        <v>0</v>
      </c>
      <c r="AA65" s="1217">
        <f>SUM('IV-2 dsa'!P28)</f>
        <v>299540.84999999998</v>
      </c>
      <c r="AB65" s="1217">
        <f>SUM('IV-2 vrsa'!R45)</f>
        <v>0</v>
      </c>
      <c r="AC65" s="306" t="str">
        <f>IF('ketv. 4 '!X65&gt;0,"Taip","Ne")</f>
        <v>Taip</v>
      </c>
      <c r="AD65" s="306">
        <f ca="1">SUM('ketv. 6 '!AF64)</f>
        <v>299540.84999999998</v>
      </c>
      <c r="AE65" s="306">
        <f ca="1">IF(AD65&gt;0,AA65-AD65,0)</f>
        <v>0</v>
      </c>
      <c r="AF65" s="721">
        <f>SUM('IV-2 dsa'!R28)</f>
        <v>42614</v>
      </c>
      <c r="AG65" s="373">
        <f>SUM('IV-2 dsa'!S28)</f>
        <v>42703</v>
      </c>
      <c r="AH65" s="373">
        <f>SUM('IV-2 dsa'!T28)</f>
        <v>42767</v>
      </c>
      <c r="AI65" s="373">
        <f>SUM('IV-2 dsa'!U28)</f>
        <v>42886</v>
      </c>
      <c r="AJ65" s="375">
        <f t="shared" si="101"/>
        <v>2017</v>
      </c>
      <c r="AK65" s="829">
        <f>SUM('IV-2 dsa'!V28)</f>
        <v>43830</v>
      </c>
      <c r="AL65" s="306">
        <f>IF(YEAR(AI65)=2016,AA65,0)</f>
        <v>0</v>
      </c>
      <c r="AM65" s="306">
        <f>IF(YEAR(AI65)=2017,AA65,0)</f>
        <v>299540.84999999998</v>
      </c>
      <c r="AN65" s="306">
        <f>IF(YEAR(AI65)=2018,AA65,0)</f>
        <v>0</v>
      </c>
      <c r="AO65" s="306">
        <f>IF(YEAR(AI65)=2019,AA65,0)</f>
        <v>0</v>
      </c>
      <c r="AP65" s="830">
        <f>IF(YEAR(AI65)=2020,AA65,0)</f>
        <v>0</v>
      </c>
      <c r="AQ65" s="55"/>
      <c r="AR65" s="55"/>
      <c r="AS65" s="55"/>
    </row>
    <row r="66" spans="1:47" ht="45.75" customHeight="1" thickTop="1" thickBot="1" x14ac:dyDescent="0.3">
      <c r="A66" s="342" t="s">
        <v>175</v>
      </c>
      <c r="B66" s="342" t="s">
        <v>1315</v>
      </c>
      <c r="C66" s="1013" t="str">
        <f>CONCATENATE('ketv. 2'!B65)</f>
        <v>07.1.1-CPVA-R-305-11-0004</v>
      </c>
      <c r="D66" s="342" t="str">
        <f>CONCATENATE('IV-2 lrsa'!D29)</f>
        <v>Pastato rekonstrukcija ir pritaikymas kultūrinėms, muziejinėms ir edukacinėms reikmėms</v>
      </c>
      <c r="E66" s="342" t="str">
        <f>CONCATENATE('IV-2 lrsa'!E29)</f>
        <v>Lazdijų rajono savivaldybės administracija</v>
      </c>
      <c r="F66" s="342" t="str">
        <f>CONCATENATE('IV-2 lrsa'!F29)</f>
        <v>Lietuvos Respublikos kultūros ministerija</v>
      </c>
      <c r="G66" s="342" t="str">
        <f>CONCATENATE('IV-2 lrsa'!G29)</f>
        <v>Lazdijų r. sav.</v>
      </c>
      <c r="H66" s="345" t="str">
        <f>CONCATENATE('IV-2 lrsa'!H29)</f>
        <v>07.1.1-CPVA-R-305</v>
      </c>
      <c r="I66" s="345" t="str">
        <f>CONCATENATE('IV-2 lrsa'!I29)</f>
        <v>R</v>
      </c>
      <c r="J66" s="345" t="str">
        <f>CONCATENATE('IV-2 lrsa'!J29)</f>
        <v>ITI</v>
      </c>
      <c r="K66" s="345" t="str">
        <f>CONCATENATE('IV-2 lrsa'!K29)</f>
        <v>-</v>
      </c>
      <c r="L66" s="1217">
        <f>SUM('IV-2 lrsa'!L29)</f>
        <v>484769.35</v>
      </c>
      <c r="M66" s="1217">
        <f ca="1">SUM('ketv. 6 '!L65)</f>
        <v>484769.35</v>
      </c>
      <c r="N66" s="1217">
        <f t="shared" ca="1" si="97"/>
        <v>0</v>
      </c>
      <c r="O66" s="1217">
        <f>SUM('IV-2 lrsa'!M29)</f>
        <v>185228.35</v>
      </c>
      <c r="P66" s="1217">
        <f ca="1">SUM('ketv. 6 '!P65)</f>
        <v>185228.35</v>
      </c>
      <c r="Q66" s="1217">
        <f t="shared" ref="Q66" ca="1" si="102">IF(P66&gt;0,O66-P66,0)</f>
        <v>0</v>
      </c>
      <c r="R66" s="1217">
        <f>SUM('IV-2 lrsa'!N29)</f>
        <v>0</v>
      </c>
      <c r="S66" s="1217">
        <f ca="1">SUM('ketv. 6 '!T65)</f>
        <v>0</v>
      </c>
      <c r="T66" s="1217">
        <f t="shared" ca="1" si="98"/>
        <v>0</v>
      </c>
      <c r="U66" s="1217">
        <f>SUM('IV-2 lrsa'!O29)</f>
        <v>0</v>
      </c>
      <c r="V66" s="1217">
        <f ca="1">SUM('ketv. 6 '!X65)</f>
        <v>0</v>
      </c>
      <c r="W66" s="1217">
        <f t="shared" ca="1" si="99"/>
        <v>0</v>
      </c>
      <c r="X66" s="1217">
        <f>SUM('IV-2 lrsa'!P29)</f>
        <v>0</v>
      </c>
      <c r="Y66" s="1217">
        <f ca="1">SUM('ketv. 6 '!AB65)</f>
        <v>0</v>
      </c>
      <c r="Z66" s="1217">
        <f t="shared" ca="1" si="100"/>
        <v>0</v>
      </c>
      <c r="AA66" s="1217">
        <f>SUM('IV-2 lrsa'!Q29)</f>
        <v>299541</v>
      </c>
      <c r="AB66" s="1217">
        <f>SUM('IV-2 vrsa'!R46)</f>
        <v>0</v>
      </c>
      <c r="AC66" s="306" t="str">
        <f>IF('ketv. 4 '!X66&gt;0,"Taip","Ne")</f>
        <v>Taip</v>
      </c>
      <c r="AD66" s="306">
        <f ca="1">SUM('ketv. 6 '!AF65)</f>
        <v>299541</v>
      </c>
      <c r="AE66" s="306">
        <f ca="1">IF(AD66&gt;0,AA66-AD66,0)</f>
        <v>0</v>
      </c>
      <c r="AF66" s="721">
        <f>SUM('IV-2 lrsa'!S29)</f>
        <v>42614</v>
      </c>
      <c r="AG66" s="373">
        <f>SUM('IV-2 lrsa'!T29)</f>
        <v>42703</v>
      </c>
      <c r="AH66" s="373">
        <f>SUM('IV-2 lrsa'!U29)</f>
        <v>43097</v>
      </c>
      <c r="AI66" s="373">
        <f>SUM('IV-2 lrsa'!V29)</f>
        <v>43190</v>
      </c>
      <c r="AJ66" s="375">
        <f t="shared" si="101"/>
        <v>2018</v>
      </c>
      <c r="AK66" s="1310">
        <f>SUM('IV-2 lrsa'!W29)</f>
        <v>43830</v>
      </c>
      <c r="AL66" s="306">
        <f>IF(YEAR(AI66)=2016,AA66,0)</f>
        <v>0</v>
      </c>
      <c r="AM66" s="306">
        <f>IF(YEAR(AI66)=2017,AA66,0)</f>
        <v>0</v>
      </c>
      <c r="AN66" s="306">
        <f>IF(YEAR(AI66)=2018,AA66,0)</f>
        <v>299541</v>
      </c>
      <c r="AO66" s="306">
        <f>IF(YEAR(AI66)=2019,AA66,0)</f>
        <v>0</v>
      </c>
      <c r="AP66" s="830">
        <f>IF(YEAR(AI66)=2020,AA66,0)</f>
        <v>0</v>
      </c>
      <c r="AQ66" s="55"/>
      <c r="AR66" s="55"/>
      <c r="AS66" s="55"/>
    </row>
    <row r="67" spans="1:47" ht="25.5" customHeight="1" thickBot="1" x14ac:dyDescent="0.3">
      <c r="A67" s="845" t="s">
        <v>86</v>
      </c>
      <c r="B67" s="1841" t="s">
        <v>1494</v>
      </c>
      <c r="C67" s="1842"/>
      <c r="D67" s="1842"/>
      <c r="E67" s="1842"/>
      <c r="F67" s="1842"/>
      <c r="G67" s="1842"/>
      <c r="H67" s="1842"/>
      <c r="I67" s="1842"/>
      <c r="J67" s="1842"/>
      <c r="K67" s="1843"/>
      <c r="L67" s="1213">
        <f t="shared" ref="L67:AA67" si="103">SUM(L68:L72)</f>
        <v>1487190.57</v>
      </c>
      <c r="M67" s="1213">
        <f ca="1">SUM(M68:M72)</f>
        <v>1189255.1300000001</v>
      </c>
      <c r="N67" s="1213">
        <f ca="1">SUM(N68:N72)</f>
        <v>37813.440000000002</v>
      </c>
      <c r="O67" s="1213">
        <f t="shared" si="103"/>
        <v>456910.57</v>
      </c>
      <c r="P67" s="1213">
        <f ca="1">SUM(P68:P72)</f>
        <v>397172.41000000003</v>
      </c>
      <c r="Q67" s="1213">
        <f ca="1">SUM(Q68:Q72)</f>
        <v>5672.16</v>
      </c>
      <c r="R67" s="1213">
        <f t="shared" si="103"/>
        <v>0</v>
      </c>
      <c r="S67" s="1213">
        <f ca="1">SUM(S68:S72)</f>
        <v>0</v>
      </c>
      <c r="T67" s="1213">
        <f ca="1">SUM(T68:T72)</f>
        <v>0</v>
      </c>
      <c r="U67" s="1213">
        <f t="shared" si="103"/>
        <v>0</v>
      </c>
      <c r="V67" s="1213">
        <f ca="1">SUM(V68:V72)</f>
        <v>0</v>
      </c>
      <c r="W67" s="1213">
        <f ca="1">SUM(W68:W72)</f>
        <v>0</v>
      </c>
      <c r="X67" s="1213">
        <f t="shared" si="103"/>
        <v>0</v>
      </c>
      <c r="Y67" s="1213">
        <f ca="1">SUM(Y68:Y72)</f>
        <v>0</v>
      </c>
      <c r="Z67" s="1213">
        <f ca="1">SUM(Z68:Z72)</f>
        <v>0</v>
      </c>
      <c r="AA67" s="1213">
        <f t="shared" si="103"/>
        <v>1030280</v>
      </c>
      <c r="AB67" s="1213">
        <f>SUM('IV-2 vrsa'!R47)</f>
        <v>0</v>
      </c>
      <c r="AC67" s="825"/>
      <c r="AD67" s="825">
        <f ca="1">SUM(AD68:AD72)</f>
        <v>792082.72</v>
      </c>
      <c r="AE67" s="825">
        <f ca="1">SUM(AE68:AE72)</f>
        <v>32141.279999999999</v>
      </c>
      <c r="AF67" s="825"/>
      <c r="AG67" s="842"/>
      <c r="AH67" s="842"/>
      <c r="AI67" s="842"/>
      <c r="AJ67" s="843"/>
      <c r="AK67" s="844"/>
      <c r="AL67" s="846">
        <f>SUM(AL68:AL72)</f>
        <v>0</v>
      </c>
      <c r="AM67" s="846">
        <f t="shared" ref="AM67:AP67" si="104">SUM(AM68:AM72)</f>
        <v>0</v>
      </c>
      <c r="AN67" s="846">
        <f t="shared" si="104"/>
        <v>1030280</v>
      </c>
      <c r="AO67" s="846">
        <f t="shared" si="104"/>
        <v>0</v>
      </c>
      <c r="AP67" s="846">
        <f t="shared" si="104"/>
        <v>0</v>
      </c>
      <c r="AQ67" s="55">
        <f>SUM('IV-2 amsa'!X24+'IV-2 arsa'!W30+'IV-2 dsa'!W29+'IV-2 lrsa'!X30+'IV-2 vrsa'!X35)</f>
        <v>1030281.5620000002</v>
      </c>
      <c r="AR67" s="55">
        <f>SUM(AQ67*120/100)</f>
        <v>1236337.8744000001</v>
      </c>
      <c r="AS67" s="55">
        <f>SUM(AQ67-AA67)</f>
        <v>1.5620000001508743</v>
      </c>
    </row>
    <row r="68" spans="1:47" ht="39.75" thickTop="1" thickBot="1" x14ac:dyDescent="0.3">
      <c r="A68" s="342" t="s">
        <v>87</v>
      </c>
      <c r="B68" s="342" t="s">
        <v>1316</v>
      </c>
      <c r="C68" s="970" t="str">
        <f>CONCATENATE('ketv. 2'!B67)</f>
        <v>05.4.1-CPVA-R-302-11-0003</v>
      </c>
      <c r="D68" s="342" t="str">
        <f>CONCATENATE('IV-2 amsa'!D25)</f>
        <v>Buvusios sinagogos pastato Kauno g. 9A Alytuje rekonstravimas ir aplinkinės teritorijos sutvarkymas</v>
      </c>
      <c r="E68" s="342" t="str">
        <f>CONCATENATE('IV-2 amsa'!E25)</f>
        <v>Alytaus miesto savivaldybės administracija</v>
      </c>
      <c r="F68" s="342" t="str">
        <f>CONCATENATE('IV-2 amsa'!F25)</f>
        <v>Lietuvos Respublikos kultūros ministerija</v>
      </c>
      <c r="G68" s="342" t="str">
        <f>CONCATENATE('IV-2 amsa'!G25)</f>
        <v>Alytaus m. sav.</v>
      </c>
      <c r="H68" s="345" t="str">
        <f>CONCATENATE('IV-2 amsa'!H25)</f>
        <v>05.4.1-CPVA-R-302</v>
      </c>
      <c r="I68" s="345" t="str">
        <f>CONCATENATE('IV-2 amsa'!I25)</f>
        <v>R</v>
      </c>
      <c r="J68" s="345" t="str">
        <f>CONCATENATE('IV-2 amsa'!J25)</f>
        <v>ITI</v>
      </c>
      <c r="K68" s="345" t="str">
        <f>CONCATENATE('IV-2 amsa'!K25)</f>
        <v xml:space="preserve"> -</v>
      </c>
      <c r="L68" s="1217">
        <f>SUM('IV-2 amsa'!L25)</f>
        <v>444560.16000000003</v>
      </c>
      <c r="M68" s="1217">
        <f ca="1">SUM('ketv. 6 '!L67)</f>
        <v>444560.16000000003</v>
      </c>
      <c r="N68" s="1217">
        <f t="shared" ref="N68:N72" ca="1" si="105">IF(M68&gt;0,L68-M68,0)</f>
        <v>0</v>
      </c>
      <c r="O68" s="1217">
        <f>SUM('IV-2 amsa'!M25)</f>
        <v>238504.16</v>
      </c>
      <c r="P68" s="1217">
        <f ca="1">SUM('ketv. 6 '!P67)</f>
        <v>238504.16</v>
      </c>
      <c r="Q68" s="1217">
        <f t="shared" ref="Q68:Q72" ca="1" si="106">IF(P68&gt;0,O68-P68,0)</f>
        <v>0</v>
      </c>
      <c r="R68" s="1217">
        <f>SUM('IV-2 amsa'!N25)</f>
        <v>0</v>
      </c>
      <c r="S68" s="1217">
        <f ca="1">SUM('ketv. 6 '!T67)</f>
        <v>0</v>
      </c>
      <c r="T68" s="1217">
        <f t="shared" ref="T68:T72" ca="1" si="107">IF(S68&gt;0,R68-S68,0)</f>
        <v>0</v>
      </c>
      <c r="U68" s="1217">
        <f>SUM('IV-2 amsa'!O25)</f>
        <v>0</v>
      </c>
      <c r="V68" s="1217">
        <f ca="1">SUM('ketv. 6 '!X67)</f>
        <v>0</v>
      </c>
      <c r="W68" s="1217">
        <f t="shared" ref="W68:W72" ca="1" si="108">IF(V68&gt;0,U68-V68,0)</f>
        <v>0</v>
      </c>
      <c r="X68" s="1217">
        <f>SUM('IV-2 amsa'!P25)</f>
        <v>0</v>
      </c>
      <c r="Y68" s="1217">
        <f ca="1">SUM('ketv. 6 '!AB67)</f>
        <v>0</v>
      </c>
      <c r="Z68" s="1217">
        <f t="shared" ref="Z68:Z72" ca="1" si="109">IF(Y68&gt;0,X68-Y68,0)</f>
        <v>0</v>
      </c>
      <c r="AA68" s="1217">
        <f>SUM('IV-2 amsa'!Q25)</f>
        <v>206056</v>
      </c>
      <c r="AB68" s="1217">
        <f>SUM('IV-2 vrsa'!R48)</f>
        <v>0</v>
      </c>
      <c r="AC68" s="306" t="str">
        <f>IF('ketv. 4 '!X68&gt;0,"Taip","Ne")</f>
        <v>Taip</v>
      </c>
      <c r="AD68" s="306">
        <f ca="1">SUM('ketv. 6 '!AF67)</f>
        <v>206056</v>
      </c>
      <c r="AE68" s="306">
        <f ca="1">IF(AD68&gt;0,AA68-AD68,0)</f>
        <v>0</v>
      </c>
      <c r="AF68" s="721">
        <f>SUM('IV-2 amsa'!S25)</f>
        <v>42667</v>
      </c>
      <c r="AG68" s="373">
        <f>SUM('IV-2 amsa'!T25)</f>
        <v>42794</v>
      </c>
      <c r="AH68" s="373">
        <f>SUM('IV-2 amsa'!U25)</f>
        <v>43220</v>
      </c>
      <c r="AI68" s="373">
        <f>SUM('IV-2 amsa'!V25)</f>
        <v>43281</v>
      </c>
      <c r="AJ68" s="375">
        <f t="shared" ref="AJ68:AJ72" si="110">IF(YEAR(AI68),YEAR(AI68))</f>
        <v>2018</v>
      </c>
      <c r="AK68" s="829">
        <f>SUM('IV-2 amsa'!W25)</f>
        <v>44196</v>
      </c>
      <c r="AL68" s="306">
        <f>IF(YEAR(AI68)=2016,AA68,0)</f>
        <v>0</v>
      </c>
      <c r="AM68" s="306">
        <f>IF(YEAR(AI68)=2017,AA68,0)</f>
        <v>0</v>
      </c>
      <c r="AN68" s="306">
        <f>IF(YEAR(AI68)=2018,AA68,0)</f>
        <v>206056</v>
      </c>
      <c r="AO68" s="306">
        <f>IF(YEAR(AI68)=2019,AA68,0)</f>
        <v>0</v>
      </c>
      <c r="AP68" s="830">
        <f>IF(YEAR(AI68)=2020,AA68,0)</f>
        <v>0</v>
      </c>
      <c r="AQ68" s="378"/>
      <c r="AR68" s="55"/>
      <c r="AS68" s="55"/>
    </row>
    <row r="69" spans="1:47" ht="39.75" thickTop="1" thickBot="1" x14ac:dyDescent="0.3">
      <c r="A69" s="342" t="s">
        <v>176</v>
      </c>
      <c r="B69" s="342" t="s">
        <v>1317</v>
      </c>
      <c r="C69" s="970" t="str">
        <f>CONCATENATE('ketv. 2'!B68)</f>
        <v>05.4.1-CPVA-R-302-11-0002</v>
      </c>
      <c r="D69" s="342" t="str">
        <f>CONCATENATE('IV-2 dsa'!C30)</f>
        <v>Mažosios dailės galerijos, M.K.Čiurlionio g. 37, Druskininkai, modernizavimas ir pritaikymas kultūros poreikiams</v>
      </c>
      <c r="E69" s="342" t="str">
        <f>CONCATENATE('IV-2 dsa'!D30)</f>
        <v xml:space="preserve">Druskininkų savivaldybės administracija  </v>
      </c>
      <c r="F69" s="342" t="str">
        <f>CONCATENATE('IV-2 dsa'!E30)</f>
        <v>Lietuvos Respublikos kultūros ministerija</v>
      </c>
      <c r="G69" s="342" t="str">
        <f>CONCATENATE('IV-2 dsa'!F30)</f>
        <v>Druskininkų sav.</v>
      </c>
      <c r="H69" s="345" t="str">
        <f>CONCATENATE('IV-2 dsa'!G30)</f>
        <v>05.4.1-CPVA-R-302</v>
      </c>
      <c r="I69" s="345" t="str">
        <f>CONCATENATE('IV-2 dsa'!H30)</f>
        <v>R</v>
      </c>
      <c r="J69" s="345" t="str">
        <f>CONCATENATE('IV-2 dsa'!I30)</f>
        <v>-</v>
      </c>
      <c r="K69" s="345" t="str">
        <f>CONCATENATE('IV-2 dsa'!J30)</f>
        <v/>
      </c>
      <c r="L69" s="1217">
        <f>SUM('IV-2 dsa'!K30)</f>
        <v>297670.41000000003</v>
      </c>
      <c r="M69" s="1217">
        <f ca="1">SUM('ketv. 6 '!L68)</f>
        <v>297670.41000000003</v>
      </c>
      <c r="N69" s="1217">
        <f t="shared" ca="1" si="105"/>
        <v>0</v>
      </c>
      <c r="O69" s="1217">
        <f>SUM('IV-2 dsa'!L30)</f>
        <v>91614.41</v>
      </c>
      <c r="P69" s="1217">
        <f ca="1">SUM('ketv. 6 '!P68)</f>
        <v>91614.41</v>
      </c>
      <c r="Q69" s="1217">
        <f t="shared" ca="1" si="106"/>
        <v>0</v>
      </c>
      <c r="R69" s="1217">
        <f>SUM('IV-2 dsa'!M30)</f>
        <v>0</v>
      </c>
      <c r="S69" s="1217">
        <f ca="1">SUM('ketv. 6 '!T68)</f>
        <v>0</v>
      </c>
      <c r="T69" s="1217">
        <f t="shared" ca="1" si="107"/>
        <v>0</v>
      </c>
      <c r="U69" s="1217">
        <f>SUM('IV-2 dsa'!N30)</f>
        <v>0</v>
      </c>
      <c r="V69" s="1217">
        <f ca="1">SUM('ketv. 6 '!X68)</f>
        <v>0</v>
      </c>
      <c r="W69" s="1217">
        <f t="shared" ca="1" si="108"/>
        <v>0</v>
      </c>
      <c r="X69" s="1217">
        <f>SUM('IV-2 dsa'!O30)</f>
        <v>0</v>
      </c>
      <c r="Y69" s="1217">
        <f ca="1">SUM('ketv. 6 '!AB68)</f>
        <v>0</v>
      </c>
      <c r="Z69" s="1217">
        <f t="shared" ca="1" si="109"/>
        <v>0</v>
      </c>
      <c r="AA69" s="1217">
        <f>SUM('IV-2 dsa'!P30)</f>
        <v>206056</v>
      </c>
      <c r="AB69" s="1217">
        <f>SUM('IV-2 vrsa'!R49)</f>
        <v>0</v>
      </c>
      <c r="AC69" s="306" t="str">
        <f>IF('ketv. 4 '!X69&gt;0,"Taip","Ne")</f>
        <v>Taip</v>
      </c>
      <c r="AD69" s="306">
        <f ca="1">SUM('ketv. 6 '!AF68)</f>
        <v>206056</v>
      </c>
      <c r="AE69" s="306">
        <f ca="1">IF(AD69&gt;0,AA69-AD69,0)</f>
        <v>0</v>
      </c>
      <c r="AF69" s="721">
        <f>SUM('IV-2 dsa'!R30)</f>
        <v>42667</v>
      </c>
      <c r="AG69" s="373">
        <f>SUM('IV-2 dsa'!S30)</f>
        <v>42779</v>
      </c>
      <c r="AH69" s="373">
        <f>SUM('IV-2 dsa'!T30)</f>
        <v>43190</v>
      </c>
      <c r="AI69" s="373">
        <f>SUM('IV-2 dsa'!U30)</f>
        <v>43281</v>
      </c>
      <c r="AJ69" s="375">
        <f t="shared" si="110"/>
        <v>2018</v>
      </c>
      <c r="AK69" s="829">
        <f>SUM('IV-2 dsa'!V30)</f>
        <v>43739</v>
      </c>
      <c r="AL69" s="306">
        <f>IF(YEAR(AI69)=2016,AA69,0)</f>
        <v>0</v>
      </c>
      <c r="AM69" s="306">
        <f>IF(YEAR(AI69)=2017,AA69,0)</f>
        <v>0</v>
      </c>
      <c r="AN69" s="306">
        <f>IF(YEAR(AI69)=2018,AA69,0)</f>
        <v>206056</v>
      </c>
      <c r="AO69" s="306">
        <f>IF(YEAR(AI69)=2019,AA69,0)</f>
        <v>0</v>
      </c>
      <c r="AP69" s="830">
        <f>IF(YEAR(AI69)=2020,AA69,0)</f>
        <v>0</v>
      </c>
      <c r="AQ69" s="378"/>
      <c r="AR69" s="55"/>
      <c r="AS69" s="55"/>
    </row>
    <row r="70" spans="1:47" ht="39.75" thickTop="1" thickBot="1" x14ac:dyDescent="0.3">
      <c r="A70" s="342" t="s">
        <v>177</v>
      </c>
      <c r="B70" s="342" t="s">
        <v>1320</v>
      </c>
      <c r="C70" s="970" t="str">
        <f>CONCATENATE('ketv. 2'!B69)</f>
        <v>05.4.1-CPVA-R-302-11-0001</v>
      </c>
      <c r="D70" s="342" t="str">
        <f>CONCATENATE('IV-2 lrsa'!D31)</f>
        <v>Motiejaus  Gustaičio  memorialinio  namo  kompleksinis sutvarkymas</v>
      </c>
      <c r="E70" s="342" t="str">
        <f>CONCATENATE('IV-2 lrsa'!E31)</f>
        <v>Lazdijų rajono savivaldybės administracija</v>
      </c>
      <c r="F70" s="342" t="str">
        <f>CONCATENATE('IV-2 lrsa'!F31)</f>
        <v>Lietuvos Respublikos kultūros ministerija</v>
      </c>
      <c r="G70" s="342" t="str">
        <f>CONCATENATE('IV-2 lrsa'!G31)</f>
        <v>Lazdijų r. sav.</v>
      </c>
      <c r="H70" s="345" t="str">
        <f>CONCATENATE('IV-2 lrsa'!H31)</f>
        <v>05.4.1-CPVA-R-302</v>
      </c>
      <c r="I70" s="345" t="str">
        <f>CONCATENATE('IV-2 lrsa'!I31)</f>
        <v>R</v>
      </c>
      <c r="J70" s="345" t="str">
        <f>CONCATENATE('IV-2 lrsa'!J31)</f>
        <v>ITI</v>
      </c>
      <c r="K70" s="345" t="str">
        <f>CONCATENATE('IV-2 lrsa'!K31)</f>
        <v>-</v>
      </c>
      <c r="L70" s="1217">
        <f>SUM('IV-2 lrsa'!L31)</f>
        <v>242419</v>
      </c>
      <c r="M70" s="1217">
        <f ca="1">SUM('ketv. 6 '!L69)</f>
        <v>242419</v>
      </c>
      <c r="N70" s="1217">
        <f t="shared" ca="1" si="105"/>
        <v>0</v>
      </c>
      <c r="O70" s="1217">
        <f>SUM('IV-2 lrsa'!M31)</f>
        <v>36363</v>
      </c>
      <c r="P70" s="1217">
        <f ca="1">SUM('ketv. 6 '!P69)</f>
        <v>36363</v>
      </c>
      <c r="Q70" s="1217">
        <f t="shared" ca="1" si="106"/>
        <v>0</v>
      </c>
      <c r="R70" s="1217">
        <f>SUM('IV-2 lrsa'!N31)</f>
        <v>0</v>
      </c>
      <c r="S70" s="1217">
        <f ca="1">SUM('ketv. 6 '!T69)</f>
        <v>0</v>
      </c>
      <c r="T70" s="1217">
        <f t="shared" ca="1" si="107"/>
        <v>0</v>
      </c>
      <c r="U70" s="1217">
        <f>SUM('IV-2 lrsa'!O31)</f>
        <v>0</v>
      </c>
      <c r="V70" s="1217">
        <f ca="1">SUM('ketv. 6 '!X69)</f>
        <v>0</v>
      </c>
      <c r="W70" s="1217">
        <f t="shared" ca="1" si="108"/>
        <v>0</v>
      </c>
      <c r="X70" s="1217">
        <f>SUM('IV-2 lrsa'!P31)</f>
        <v>0</v>
      </c>
      <c r="Y70" s="1217">
        <f ca="1">SUM('ketv. 6 '!AB69)</f>
        <v>0</v>
      </c>
      <c r="Z70" s="1217">
        <f t="shared" ca="1" si="109"/>
        <v>0</v>
      </c>
      <c r="AA70" s="1217">
        <f>SUM('IV-2 lrsa'!Q31)</f>
        <v>206056</v>
      </c>
      <c r="AB70" s="1217">
        <f>SUM('IV-2 vrsa'!R50)</f>
        <v>0</v>
      </c>
      <c r="AC70" s="306" t="str">
        <f>IF('ketv. 4 '!X70&gt;0,"Taip","Ne")</f>
        <v>Taip</v>
      </c>
      <c r="AD70" s="306">
        <f ca="1">SUM('ketv. 6 '!AF69)</f>
        <v>206056</v>
      </c>
      <c r="AE70" s="306">
        <f ca="1">IF(AD70&gt;0,AA70-AD70,0)</f>
        <v>0</v>
      </c>
      <c r="AF70" s="721">
        <f>SUM('IV-2 lrsa'!S31)</f>
        <v>42667</v>
      </c>
      <c r="AG70" s="373">
        <f>SUM('IV-2 lrsa'!T31)</f>
        <v>42794</v>
      </c>
      <c r="AH70" s="373">
        <f>SUM('IV-2 lrsa'!U31)</f>
        <v>43179</v>
      </c>
      <c r="AI70" s="373">
        <f>SUM('IV-2 lrsa'!V31)</f>
        <v>43249</v>
      </c>
      <c r="AJ70" s="375">
        <f t="shared" si="110"/>
        <v>2018</v>
      </c>
      <c r="AK70" s="829">
        <f>SUM('IV-2 lrsa'!W31)</f>
        <v>43830</v>
      </c>
      <c r="AL70" s="306">
        <f>IF(YEAR(AI70)=2016,AA70,0)</f>
        <v>0</v>
      </c>
      <c r="AM70" s="306">
        <f>IF(YEAR(AI70)=2017,AA70,0)</f>
        <v>0</v>
      </c>
      <c r="AN70" s="306">
        <f>IF(YEAR(AI70)=2018,AA70,0)</f>
        <v>206056</v>
      </c>
      <c r="AO70" s="306">
        <f>IF(YEAR(AI70)=2019,AA70,0)</f>
        <v>0</v>
      </c>
      <c r="AP70" s="830">
        <f>IF(YEAR(AI70)=2020,AA70,0)</f>
        <v>0</v>
      </c>
      <c r="AQ70" s="55"/>
      <c r="AR70" s="55"/>
      <c r="AS70" s="55"/>
    </row>
    <row r="71" spans="1:47" ht="39.75" thickTop="1" thickBot="1" x14ac:dyDescent="0.3">
      <c r="A71" s="342" t="s">
        <v>196</v>
      </c>
      <c r="B71" s="342" t="s">
        <v>1318</v>
      </c>
      <c r="C71" s="970" t="str">
        <f>CONCATENATE('ketv. 2'!B70)</f>
        <v>05.4.1-CPVA-R-302-11-0004</v>
      </c>
      <c r="D71" s="342" t="str">
        <f>CONCATENATE('IV-2 arsa'!C31)</f>
        <v>Kurnėnų Lauryno Radziukyno mokyklos pritaikymas kultūrinėms ir turistinėms reikmėms</v>
      </c>
      <c r="E71" s="342" t="str">
        <f>CONCATENATE('IV-2 arsa'!D31)</f>
        <v>Alytaus rajono savivaldybės administracija</v>
      </c>
      <c r="F71" s="342" t="str">
        <f>CONCATENATE('IV-2 arsa'!E31)</f>
        <v>Lietuvos Respublikos kultūros ministerija</v>
      </c>
      <c r="G71" s="342" t="str">
        <f>CONCATENATE('IV-2 arsa'!F31)</f>
        <v>Alytaus r. sav.</v>
      </c>
      <c r="H71" s="345" t="str">
        <f>CONCATENATE('IV-2 arsa'!G31)</f>
        <v>05.4.1-CPVA-R-302</v>
      </c>
      <c r="I71" s="345" t="str">
        <f>CONCATENATE('IV-2 arsa'!H31)</f>
        <v>R</v>
      </c>
      <c r="J71" s="345" t="str">
        <f>CONCATENATE('IV-2 arsa'!I31)</f>
        <v>-</v>
      </c>
      <c r="K71" s="345" t="str">
        <f>CONCATENATE('IV-2 arsa'!J31)</f>
        <v>-</v>
      </c>
      <c r="L71" s="1217">
        <f>SUM('IV-2 arsa'!K31)</f>
        <v>260122</v>
      </c>
      <c r="M71" s="1217">
        <f ca="1">SUM('ketv. 6 '!L70)</f>
        <v>0</v>
      </c>
      <c r="N71" s="1217">
        <f t="shared" ca="1" si="105"/>
        <v>0</v>
      </c>
      <c r="O71" s="1217">
        <f>SUM('IV-2 arsa'!L31)</f>
        <v>54066</v>
      </c>
      <c r="P71" s="1217">
        <f ca="1">SUM('ketv. 6 '!P70)</f>
        <v>0</v>
      </c>
      <c r="Q71" s="1217">
        <f t="shared" ca="1" si="106"/>
        <v>0</v>
      </c>
      <c r="R71" s="1217">
        <f>SUM('IV-2 arsa'!M31)</f>
        <v>0</v>
      </c>
      <c r="S71" s="1217">
        <f ca="1">SUM('ketv. 6 '!T70)</f>
        <v>0</v>
      </c>
      <c r="T71" s="1217">
        <f t="shared" ca="1" si="107"/>
        <v>0</v>
      </c>
      <c r="U71" s="1217">
        <f>SUM('IV-2 arsa'!N31)</f>
        <v>0</v>
      </c>
      <c r="V71" s="1217">
        <f ca="1">SUM('ketv. 6 '!X70)</f>
        <v>0</v>
      </c>
      <c r="W71" s="1217">
        <f t="shared" ca="1" si="108"/>
        <v>0</v>
      </c>
      <c r="X71" s="1217">
        <f>SUM('IV-2 arsa'!O31)</f>
        <v>0</v>
      </c>
      <c r="Y71" s="1217">
        <f ca="1">SUM('ketv. 6 '!AB70)</f>
        <v>0</v>
      </c>
      <c r="Z71" s="1217">
        <f t="shared" ca="1" si="109"/>
        <v>0</v>
      </c>
      <c r="AA71" s="1217">
        <f>SUM('IV-2 arsa'!P31)</f>
        <v>206056</v>
      </c>
      <c r="AB71" s="1217">
        <f>SUM('IV-2 vrsa'!R51)</f>
        <v>0</v>
      </c>
      <c r="AC71" s="306" t="str">
        <f>IF('ketv. 4 '!X71&gt;0,"Taip","Ne")</f>
        <v>Ne</v>
      </c>
      <c r="AD71" s="306">
        <f ca="1">SUM('ketv. 6 '!AF70)</f>
        <v>0</v>
      </c>
      <c r="AE71" s="306">
        <f ca="1">IF(AD71&gt;0,AA71-AD71,0)</f>
        <v>0</v>
      </c>
      <c r="AF71" s="721">
        <f>SUM('IV-2 arsa'!R31)</f>
        <v>42667</v>
      </c>
      <c r="AG71" s="373">
        <f>SUM('IV-2 arsa'!S31)</f>
        <v>42794</v>
      </c>
      <c r="AH71" s="373">
        <f>SUM('IV-2 arsa'!T31)</f>
        <v>43190</v>
      </c>
      <c r="AI71" s="373">
        <f>SUM('IV-2 arsa'!U31)</f>
        <v>43281</v>
      </c>
      <c r="AJ71" s="375">
        <f t="shared" si="110"/>
        <v>2018</v>
      </c>
      <c r="AK71" s="829">
        <f>SUM('IV-2 arsa'!V31)</f>
        <v>44196</v>
      </c>
      <c r="AL71" s="306">
        <f>IF(YEAR(AI71)=2016,AA71,0)</f>
        <v>0</v>
      </c>
      <c r="AM71" s="306">
        <f>IF(YEAR(AI71)=2017,AA71,0)</f>
        <v>0</v>
      </c>
      <c r="AN71" s="306">
        <f>IF(YEAR(AI71)=2018,AA71,0)</f>
        <v>206056</v>
      </c>
      <c r="AO71" s="306">
        <f>IF(YEAR(AI71)=2019,AA71,0)</f>
        <v>0</v>
      </c>
      <c r="AP71" s="830">
        <f>IF(YEAR(AI71)=2020,AA71,0)</f>
        <v>0</v>
      </c>
      <c r="AQ71" s="377"/>
      <c r="AR71" s="55"/>
      <c r="AS71" s="55"/>
    </row>
    <row r="72" spans="1:47" ht="39.75" thickTop="1" thickBot="1" x14ac:dyDescent="0.3">
      <c r="A72" s="342" t="s">
        <v>244</v>
      </c>
      <c r="B72" s="977" t="s">
        <v>1319</v>
      </c>
      <c r="C72" s="970" t="str">
        <f>CONCATENATE('ketv. 2'!B71)</f>
        <v>05.4.1-CPVA-R-302-11-0005</v>
      </c>
      <c r="D72" s="977" t="str">
        <f>CONCATENATE('IV-2 vrsa'!D36)</f>
        <v>Vinco Krėvės-Mickevičiaus memorialinio muziejaus atnaujinimas</v>
      </c>
      <c r="E72" s="977" t="str">
        <f>CONCATENATE('IV-2 vrsa'!E36)</f>
        <v>Varėnos rajono savivaldybės administracija</v>
      </c>
      <c r="F72" s="977" t="str">
        <f>CONCATENATE('IV-2 vrsa'!F36)</f>
        <v>Lietuvos Respublikos kultūros ministerija</v>
      </c>
      <c r="G72" s="977" t="str">
        <f>CONCATENATE('IV-2 vrsa'!G36)</f>
        <v>Varėnos r. sav.</v>
      </c>
      <c r="H72" s="978" t="str">
        <f>CONCATENATE('IV-2 vrsa'!H36)</f>
        <v>05.4.1-CPVA-R-302</v>
      </c>
      <c r="I72" s="978" t="str">
        <f>CONCATENATE('IV-2 vrsa'!I36)</f>
        <v>R</v>
      </c>
      <c r="J72" s="978" t="str">
        <f>CONCATENATE('IV-2 vrsa'!J36)</f>
        <v>-</v>
      </c>
      <c r="K72" s="978" t="str">
        <f>CONCATENATE('IV-2 vrsa'!K36)</f>
        <v>-</v>
      </c>
      <c r="L72" s="1217">
        <f>SUM('IV-2 vrsa'!L36)</f>
        <v>242419</v>
      </c>
      <c r="M72" s="1217">
        <f ca="1">SUM('ketv. 6 '!L71)</f>
        <v>204605.56</v>
      </c>
      <c r="N72" s="1217">
        <f t="shared" ca="1" si="105"/>
        <v>37813.440000000002</v>
      </c>
      <c r="O72" s="1217">
        <f>SUM('IV-2 vrsa'!M36)</f>
        <v>36363</v>
      </c>
      <c r="P72" s="1217">
        <f ca="1">SUM('ketv. 6 '!P71)</f>
        <v>30690.84</v>
      </c>
      <c r="Q72" s="1217">
        <f t="shared" ca="1" si="106"/>
        <v>5672.16</v>
      </c>
      <c r="R72" s="1217">
        <f>SUM('IV-2 vrsa'!N36)</f>
        <v>0</v>
      </c>
      <c r="S72" s="1217">
        <f ca="1">SUM('ketv. 6 '!T71)</f>
        <v>0</v>
      </c>
      <c r="T72" s="1217">
        <f t="shared" ca="1" si="107"/>
        <v>0</v>
      </c>
      <c r="U72" s="1217">
        <f>SUM('IV-2 vrsa'!O36)</f>
        <v>0</v>
      </c>
      <c r="V72" s="1217">
        <f ca="1">SUM('ketv. 6 '!X71)</f>
        <v>0</v>
      </c>
      <c r="W72" s="1217">
        <f t="shared" ca="1" si="108"/>
        <v>0</v>
      </c>
      <c r="X72" s="1217">
        <f>SUM('IV-2 vrsa'!P36)</f>
        <v>0</v>
      </c>
      <c r="Y72" s="1217">
        <f ca="1">SUM('ketv. 6 '!AB71)</f>
        <v>0</v>
      </c>
      <c r="Z72" s="1217">
        <f t="shared" ca="1" si="109"/>
        <v>0</v>
      </c>
      <c r="AA72" s="1217">
        <f>SUM('IV-2 vrsa'!Q36)</f>
        <v>206056</v>
      </c>
      <c r="AB72" s="1217">
        <f>SUM('IV-2 vrsa'!R52)</f>
        <v>0</v>
      </c>
      <c r="AC72" s="306" t="str">
        <f>IF('ketv. 4 '!X72&gt;0,"Taip","Ne")</f>
        <v>Taip</v>
      </c>
      <c r="AD72" s="306">
        <f ca="1">SUM('ketv. 6 '!AF71)</f>
        <v>173914.72</v>
      </c>
      <c r="AE72" s="306">
        <f ca="1">IF(AD72&gt;0,AA72-AD72,0)</f>
        <v>32141.279999999999</v>
      </c>
      <c r="AF72" s="721">
        <f>SUM('IV-2 vrsa'!S36)</f>
        <v>42667</v>
      </c>
      <c r="AG72" s="373">
        <f>SUM('IV-2 vrsa'!T36)</f>
        <v>42794</v>
      </c>
      <c r="AH72" s="373">
        <f>SUM('IV-2 vrsa'!U36)</f>
        <v>43241</v>
      </c>
      <c r="AI72" s="373">
        <f>SUM('IV-2 vrsa'!V36)</f>
        <v>43342</v>
      </c>
      <c r="AJ72" s="375">
        <f t="shared" si="110"/>
        <v>2018</v>
      </c>
      <c r="AK72" s="829">
        <f>SUM('IV-2 vrsa'!W36)</f>
        <v>44196</v>
      </c>
      <c r="AL72" s="306">
        <f>IF(YEAR(AI72)=2016,AA72,0)</f>
        <v>0</v>
      </c>
      <c r="AM72" s="306">
        <f>IF(YEAR(AI72)=2017,AA72,0)</f>
        <v>0</v>
      </c>
      <c r="AN72" s="306">
        <f>IF(YEAR(AI72)=2018,AA72,0)</f>
        <v>206056</v>
      </c>
      <c r="AO72" s="306">
        <f>IF(YEAR(AI72)=2019,AA72,0)</f>
        <v>0</v>
      </c>
      <c r="AP72" s="830">
        <f>IF(YEAR(AI72)=2020,AA72,0)</f>
        <v>0</v>
      </c>
      <c r="AQ72" s="379"/>
      <c r="AR72" s="55"/>
      <c r="AS72" s="55"/>
    </row>
    <row r="73" spans="1:47" ht="40.5" customHeight="1" thickBot="1" x14ac:dyDescent="0.3">
      <c r="A73" s="976" t="s">
        <v>22</v>
      </c>
      <c r="B73" s="1846" t="s">
        <v>1495</v>
      </c>
      <c r="C73" s="1854"/>
      <c r="D73" s="1854"/>
      <c r="E73" s="1854"/>
      <c r="F73" s="1854"/>
      <c r="G73" s="1854"/>
      <c r="H73" s="1854"/>
      <c r="I73" s="1854"/>
      <c r="J73" s="1854"/>
      <c r="K73" s="1855"/>
      <c r="L73" s="1227">
        <f>SUM(L74+L79+L86+L92)</f>
        <v>9201751.620000001</v>
      </c>
      <c r="M73" s="1227"/>
      <c r="N73" s="1227"/>
      <c r="O73" s="1227">
        <f>SUM(O74+O79+O86+O92)</f>
        <v>2376911.3899999997</v>
      </c>
      <c r="P73" s="1227"/>
      <c r="Q73" s="1227"/>
      <c r="R73" s="1227">
        <f>SUM(R74+R79+R86+R92)</f>
        <v>0</v>
      </c>
      <c r="S73" s="1227"/>
      <c r="T73" s="1227"/>
      <c r="U73" s="1227">
        <f>SUM(U74+U79+U86+U92)</f>
        <v>422692</v>
      </c>
      <c r="V73" s="1227"/>
      <c r="W73" s="1227"/>
      <c r="X73" s="1227">
        <f>SUM(X74+X79+X86+X92)</f>
        <v>62660</v>
      </c>
      <c r="Y73" s="1227"/>
      <c r="Z73" s="1227"/>
      <c r="AA73" s="1227">
        <f>SUM(AA74+AA79+AA86+AA92)</f>
        <v>6339488.2300000004</v>
      </c>
      <c r="AB73" s="1227">
        <f>SUM('IV-2 vrsa'!R53)</f>
        <v>0</v>
      </c>
      <c r="AC73" s="139"/>
      <c r="AD73" s="139"/>
      <c r="AE73" s="139"/>
      <c r="AF73" s="139"/>
      <c r="AG73" s="847"/>
      <c r="AH73" s="847"/>
      <c r="AI73" s="847"/>
      <c r="AJ73" s="376"/>
      <c r="AK73" s="818"/>
      <c r="AL73" s="306"/>
      <c r="AM73" s="819"/>
      <c r="AN73" s="819"/>
      <c r="AO73" s="819"/>
      <c r="AP73" s="819"/>
      <c r="AQ73" s="55">
        <f>SUM(AQ74+AQ79+AQ86+AQ92)</f>
        <v>6111038.96</v>
      </c>
      <c r="AR73" s="55">
        <f>SUM(AR74+AR79+AR86+AR92)</f>
        <v>7333246.7520000003</v>
      </c>
      <c r="AS73" s="55">
        <f>SUM(AS74+AS79+AS86+AS92)</f>
        <v>-185406.97000000003</v>
      </c>
    </row>
    <row r="74" spans="1:47" ht="33.75" customHeight="1" thickBot="1" x14ac:dyDescent="0.3">
      <c r="A74" s="845" t="s">
        <v>88</v>
      </c>
      <c r="B74" s="1849" t="s">
        <v>1496</v>
      </c>
      <c r="C74" s="1856"/>
      <c r="D74" s="1856"/>
      <c r="E74" s="1856"/>
      <c r="F74" s="1856"/>
      <c r="G74" s="1856"/>
      <c r="H74" s="1856"/>
      <c r="I74" s="1856"/>
      <c r="J74" s="1856"/>
      <c r="K74" s="1857"/>
      <c r="L74" s="1213">
        <f t="shared" ref="L74:AE74" si="111">SUM(L75:L78)</f>
        <v>1835210</v>
      </c>
      <c r="M74" s="1213">
        <f t="shared" ca="1" si="111"/>
        <v>0</v>
      </c>
      <c r="N74" s="1213">
        <f t="shared" ca="1" si="111"/>
        <v>0</v>
      </c>
      <c r="O74" s="1213">
        <f t="shared" si="111"/>
        <v>149246</v>
      </c>
      <c r="P74" s="1213">
        <f t="shared" ca="1" si="111"/>
        <v>0</v>
      </c>
      <c r="Q74" s="1213">
        <f t="shared" ca="1" si="111"/>
        <v>0</v>
      </c>
      <c r="R74" s="1213">
        <f t="shared" si="111"/>
        <v>0</v>
      </c>
      <c r="S74" s="1213">
        <f t="shared" ca="1" si="111"/>
        <v>0</v>
      </c>
      <c r="T74" s="1213">
        <f t="shared" ca="1" si="111"/>
        <v>0</v>
      </c>
      <c r="U74" s="1213">
        <f t="shared" si="111"/>
        <v>422692</v>
      </c>
      <c r="V74" s="1213">
        <f t="shared" ca="1" si="111"/>
        <v>0</v>
      </c>
      <c r="W74" s="1213">
        <f t="shared" ca="1" si="111"/>
        <v>0</v>
      </c>
      <c r="X74" s="1213">
        <f t="shared" si="111"/>
        <v>0</v>
      </c>
      <c r="Y74" s="1213">
        <f t="shared" ca="1" si="111"/>
        <v>0</v>
      </c>
      <c r="Z74" s="1213">
        <f t="shared" ca="1" si="111"/>
        <v>0</v>
      </c>
      <c r="AA74" s="1213">
        <f t="shared" si="111"/>
        <v>1263272</v>
      </c>
      <c r="AB74" s="1213">
        <f>SUM('IV-2 vrsa'!R54)</f>
        <v>0</v>
      </c>
      <c r="AC74" s="835"/>
      <c r="AD74" s="835">
        <f t="shared" ca="1" si="111"/>
        <v>0</v>
      </c>
      <c r="AE74" s="835">
        <f t="shared" ca="1" si="111"/>
        <v>0</v>
      </c>
      <c r="AF74" s="835"/>
      <c r="AG74" s="836"/>
      <c r="AH74" s="836"/>
      <c r="AI74" s="836"/>
      <c r="AJ74" s="837"/>
      <c r="AK74" s="838"/>
      <c r="AL74" s="846">
        <f>SUM(AL75:AL78)</f>
        <v>0</v>
      </c>
      <c r="AM74" s="846">
        <f>SUM(AM75:AM78)</f>
        <v>0</v>
      </c>
      <c r="AN74" s="846">
        <f>SUM(AN75:AN78)</f>
        <v>640846</v>
      </c>
      <c r="AO74" s="846">
        <f>SUM(AO75:AO78)</f>
        <v>622426</v>
      </c>
      <c r="AP74" s="846">
        <f>SUM(AP75:AP78)</f>
        <v>0</v>
      </c>
      <c r="AQ74" s="55">
        <f>SUM('IV-2 amsa'!X27+'IV-2 arsa'!W33+'IV-2 dsa'!W32+'IV-2 lrsa'!X33+'IV-2 vrsa'!X38)</f>
        <v>1263272</v>
      </c>
      <c r="AR74" s="55">
        <f>SUM(AQ74*120/100)</f>
        <v>1515926.4</v>
      </c>
      <c r="AS74" s="55">
        <f>SUM(AQ74-AA74)</f>
        <v>0</v>
      </c>
    </row>
    <row r="75" spans="1:47" ht="39" thickBot="1" x14ac:dyDescent="0.3">
      <c r="A75" s="342" t="s">
        <v>89</v>
      </c>
      <c r="B75" s="342" t="s">
        <v>1321</v>
      </c>
      <c r="C75" s="1011" t="str">
        <f>CONCATENATE('ketv. 2'!B74)</f>
        <v/>
      </c>
      <c r="D75" s="342" t="str">
        <f>CONCATENATE('IV-2 amsa'!D28)</f>
        <v xml:space="preserve">Nekenksmingų aplinkai viešojo transporto priemonių įsigijimas Alytaus mieste </v>
      </c>
      <c r="E75" s="342" t="str">
        <f>CONCATENATE('IV-2 amsa'!E28)</f>
        <v>Alytaus miesto savivaldybės administracija</v>
      </c>
      <c r="F75" s="342" t="str">
        <f>CONCATENATE('IV-2 amsa'!F28)</f>
        <v>Lietuvos Respublikos susisiekimo ministerija</v>
      </c>
      <c r="G75" s="342" t="str">
        <f>CONCATENATE('IV-2 amsa'!G28)</f>
        <v>Alytaus m. sav.</v>
      </c>
      <c r="H75" s="345" t="str">
        <f>CONCATENATE('IV-2 amsa'!H28)</f>
        <v>04.5.1-TID-R-518</v>
      </c>
      <c r="I75" s="345" t="str">
        <f>CONCATENATE('IV-2 amsa'!I28)</f>
        <v>R</v>
      </c>
      <c r="J75" s="345" t="str">
        <f>CONCATENATE('IV-2 amsa'!J28)</f>
        <v>ITI</v>
      </c>
      <c r="K75" s="345" t="str">
        <f>CONCATENATE('IV-2 amsa'!K28)</f>
        <v>-</v>
      </c>
      <c r="L75" s="1217">
        <f>SUM('IV-2 amsa'!L28)</f>
        <v>406091</v>
      </c>
      <c r="M75" s="1217">
        <f ca="1">SUM('ketv. 6 '!L74)</f>
        <v>0</v>
      </c>
      <c r="N75" s="1217">
        <f t="shared" ref="N75:N78" ca="1" si="112">IF(M75&gt;0,L75-M75,0)</f>
        <v>0</v>
      </c>
      <c r="O75" s="1217">
        <f>SUM('IV-2 amsa'!M28)</f>
        <v>60914</v>
      </c>
      <c r="P75" s="1217">
        <f ca="1">SUM('ketv. 6 '!P74)</f>
        <v>0</v>
      </c>
      <c r="Q75" s="1217">
        <f t="shared" ref="Q75:Q78" ca="1" si="113">IF(P75&gt;0,O75-P75,0)</f>
        <v>0</v>
      </c>
      <c r="R75" s="1217">
        <f>SUM('IV-2 amsa'!N28)</f>
        <v>0</v>
      </c>
      <c r="S75" s="1217">
        <f ca="1">SUM('ketv. 6 '!T74)</f>
        <v>0</v>
      </c>
      <c r="T75" s="1217">
        <f t="shared" ref="T75:T78" ca="1" si="114">IF(S75&gt;0,R75-S75,0)</f>
        <v>0</v>
      </c>
      <c r="U75" s="1217">
        <f>SUM('IV-2 amsa'!O28)</f>
        <v>0</v>
      </c>
      <c r="V75" s="1217">
        <f ca="1">SUM('ketv. 6 '!X74)</f>
        <v>0</v>
      </c>
      <c r="W75" s="1217">
        <f t="shared" ref="W75:W78" ca="1" si="115">IF(V75&gt;0,U75-V75,0)</f>
        <v>0</v>
      </c>
      <c r="X75" s="1217">
        <f>SUM('IV-2 amsa'!P28)</f>
        <v>0</v>
      </c>
      <c r="Y75" s="1217">
        <f ca="1">SUM('ketv. 6 '!AB74)</f>
        <v>0</v>
      </c>
      <c r="Z75" s="1217">
        <f t="shared" ref="Z75:Z78" ca="1" si="116">IF(Y75&gt;0,X75-Y75,0)</f>
        <v>0</v>
      </c>
      <c r="AA75" s="1217">
        <f>SUM('IV-2 amsa'!Q28)</f>
        <v>345177</v>
      </c>
      <c r="AB75" s="1217">
        <f>SUM('IV-2 vrsa'!R55)</f>
        <v>0</v>
      </c>
      <c r="AC75" s="306" t="str">
        <f>IF('ketv. 4 '!X75&gt;0,"Taip","Ne")</f>
        <v>Ne</v>
      </c>
      <c r="AD75" s="306">
        <f ca="1">SUM('ketv. 6 '!AF74)</f>
        <v>0</v>
      </c>
      <c r="AE75" s="306">
        <f ca="1">IF(AD75&gt;0,AA75-AD75,0)</f>
        <v>0</v>
      </c>
      <c r="AF75" s="721">
        <f>SUM('IV-2 amsa'!S28)</f>
        <v>42877</v>
      </c>
      <c r="AG75" s="776">
        <f>SUM('IV-2 amsa'!T28)</f>
        <v>43465</v>
      </c>
      <c r="AH75" s="776">
        <f>SUM('IV-2 amsa'!U28)</f>
        <v>43646</v>
      </c>
      <c r="AI75" s="776">
        <f>SUM('IV-2 amsa'!V28)</f>
        <v>43738</v>
      </c>
      <c r="AJ75" s="777">
        <f t="shared" ref="AJ75:AJ78" si="117">IF(YEAR(AI75),YEAR(AI75))</f>
        <v>2019</v>
      </c>
      <c r="AK75" s="848">
        <f>SUM('IV-2 amsa'!W28)</f>
        <v>44377</v>
      </c>
      <c r="AL75" s="306">
        <f>IF(YEAR(AI75)=2016,AA75,0)</f>
        <v>0</v>
      </c>
      <c r="AM75" s="306">
        <f>IF(YEAR(AI75)=2017,AA75,0)</f>
        <v>0</v>
      </c>
      <c r="AN75" s="306">
        <f>IF(YEAR(AI75)=2018,AA75,0)</f>
        <v>0</v>
      </c>
      <c r="AO75" s="306">
        <f>IF(YEAR(AI75)=2019,AA75,0)</f>
        <v>345177</v>
      </c>
      <c r="AP75" s="830">
        <f>IF(YEAR(AI75)=2020,AA75,0)</f>
        <v>0</v>
      </c>
      <c r="AQ75" s="55"/>
      <c r="AR75" s="55"/>
      <c r="AS75" s="55"/>
    </row>
    <row r="76" spans="1:47" ht="39.75" thickTop="1" thickBot="1" x14ac:dyDescent="0.3">
      <c r="A76" s="342" t="s">
        <v>169</v>
      </c>
      <c r="B76" s="342" t="s">
        <v>1322</v>
      </c>
      <c r="C76" s="1012" t="str">
        <f>CONCATENATE('ketv. 2'!B75)</f>
        <v/>
      </c>
      <c r="D76" s="342" t="str">
        <f>CONCATENATE('IV-2 arsa'!C34)</f>
        <v>Vietinio susisiekimo transporto priemonių įsigijimas</v>
      </c>
      <c r="E76" s="342" t="str">
        <f>CONCATENATE('IV-2 arsa'!D34)</f>
        <v>Alytaus rajono savivaldybės administracija</v>
      </c>
      <c r="F76" s="342" t="str">
        <f>CONCATENATE('IV-2 arsa'!E34)</f>
        <v>Lietuvos Respublikos susisiekimo ministerija</v>
      </c>
      <c r="G76" s="342" t="str">
        <f>CONCATENATE('IV-2 arsa'!F34)</f>
        <v>Alytaus r. sav.</v>
      </c>
      <c r="H76" s="345" t="str">
        <f>CONCATENATE('IV-2 arsa'!G34)</f>
        <v>04.5.1-TID-R-518</v>
      </c>
      <c r="I76" s="345" t="str">
        <f>CONCATENATE('IV-2 arsa'!H34)</f>
        <v>R</v>
      </c>
      <c r="J76" s="345" t="str">
        <f>CONCATENATE('IV-2 arsa'!I34)</f>
        <v>-</v>
      </c>
      <c r="K76" s="345" t="str">
        <f>CONCATENATE('IV-2 arsa'!J34)</f>
        <v>-</v>
      </c>
      <c r="L76" s="1217">
        <f>SUM('IV-2 arsa'!K34)</f>
        <v>326175</v>
      </c>
      <c r="M76" s="1217">
        <f ca="1">SUM('ketv. 6 '!L75)</f>
        <v>0</v>
      </c>
      <c r="N76" s="1217">
        <f t="shared" ca="1" si="112"/>
        <v>0</v>
      </c>
      <c r="O76" s="1217">
        <f>SUM('IV-2 arsa'!L34)</f>
        <v>48926</v>
      </c>
      <c r="P76" s="1217">
        <f ca="1">SUM('ketv. 6 '!P75)</f>
        <v>0</v>
      </c>
      <c r="Q76" s="1217">
        <f t="shared" ca="1" si="113"/>
        <v>0</v>
      </c>
      <c r="R76" s="1217">
        <f>SUM('IV-2 arsa'!M34)</f>
        <v>0</v>
      </c>
      <c r="S76" s="1217">
        <f ca="1">SUM('ketv. 6 '!T75)</f>
        <v>0</v>
      </c>
      <c r="T76" s="1217">
        <f t="shared" ca="1" si="114"/>
        <v>0</v>
      </c>
      <c r="U76" s="1217">
        <f>SUM('IV-2 arsa'!N34)</f>
        <v>0</v>
      </c>
      <c r="V76" s="1217">
        <f ca="1">SUM('ketv. 6 '!X75)</f>
        <v>0</v>
      </c>
      <c r="W76" s="1217">
        <f t="shared" ca="1" si="115"/>
        <v>0</v>
      </c>
      <c r="X76" s="1217">
        <f>SUM('IV-2 arsa'!O34)</f>
        <v>0</v>
      </c>
      <c r="Y76" s="1217">
        <f ca="1">SUM('ketv. 6 '!AB75)</f>
        <v>0</v>
      </c>
      <c r="Z76" s="1217">
        <f t="shared" ca="1" si="116"/>
        <v>0</v>
      </c>
      <c r="AA76" s="1217">
        <f>SUM('IV-2 arsa'!P34)</f>
        <v>277249</v>
      </c>
      <c r="AB76" s="1217">
        <f>SUM('IV-2 vrsa'!R56)</f>
        <v>0</v>
      </c>
      <c r="AC76" s="306" t="str">
        <f>IF('ketv. 4 '!X76&gt;0,"Taip","Ne")</f>
        <v>Ne</v>
      </c>
      <c r="AD76" s="306">
        <f ca="1">SUM('ketv. 6 '!AF75)</f>
        <v>0</v>
      </c>
      <c r="AE76" s="306">
        <f ca="1">IF(AD76&gt;0,AA76-AD76,0)</f>
        <v>0</v>
      </c>
      <c r="AF76" s="721">
        <f>SUM('IV-2 arsa'!R34)</f>
        <v>42877</v>
      </c>
      <c r="AG76" s="776">
        <f>SUM('IV-2 arsa'!S34)</f>
        <v>43281</v>
      </c>
      <c r="AH76" s="776">
        <f>SUM('IV-2 arsa'!T34)</f>
        <v>43455</v>
      </c>
      <c r="AI76" s="776">
        <f>SUM('IV-2 arsa'!U34)</f>
        <v>43554</v>
      </c>
      <c r="AJ76" s="777">
        <f t="shared" si="117"/>
        <v>2019</v>
      </c>
      <c r="AK76" s="848">
        <f>SUM('IV-2 arsa'!V34)</f>
        <v>43920</v>
      </c>
      <c r="AL76" s="306">
        <f>IF(YEAR(AI76)=2016,AA76,0)</f>
        <v>0</v>
      </c>
      <c r="AM76" s="306">
        <f>IF(YEAR(AI76)=2017,AA76,0)</f>
        <v>0</v>
      </c>
      <c r="AN76" s="306">
        <f>IF(YEAR(AI76)=2018,AA76,0)</f>
        <v>0</v>
      </c>
      <c r="AO76" s="306">
        <f>IF(YEAR(AI76)=2019,AA76,0)</f>
        <v>277249</v>
      </c>
      <c r="AP76" s="830">
        <f>IF(YEAR(AI76)=2020,AA76,0)</f>
        <v>0</v>
      </c>
      <c r="AQ76" s="377"/>
      <c r="AR76" s="55"/>
      <c r="AS76" s="55"/>
    </row>
    <row r="77" spans="1:47" ht="39.75" thickTop="1" thickBot="1" x14ac:dyDescent="0.3">
      <c r="A77" s="342" t="s">
        <v>197</v>
      </c>
      <c r="B77" s="342" t="s">
        <v>1323</v>
      </c>
      <c r="C77" s="1012" t="str">
        <f>CONCATENATE('ketv. 2'!B76)</f>
        <v>04.5.1-TID-R-518-11-0002</v>
      </c>
      <c r="D77" s="342" t="str">
        <f>CONCATENATE('IV-2 dsa'!C33)</f>
        <v>Ekologiškų transporto priemonių įsigijimas Druskininkų savivaldybėje</v>
      </c>
      <c r="E77" s="342" t="str">
        <f>CONCATENATE('IV-2 dsa'!D33)</f>
        <v xml:space="preserve">Druskininkų savivaldybės administracija  </v>
      </c>
      <c r="F77" s="342" t="str">
        <f>CONCATENATE('IV-2 dsa'!E33)</f>
        <v>Lietuvos Respublikos susisiekimo ministerija</v>
      </c>
      <c r="G77" s="342" t="str">
        <f>CONCATENATE('IV-2 dsa'!F33)</f>
        <v>Druskininkų sav.</v>
      </c>
      <c r="H77" s="345" t="str">
        <f>CONCATENATE('IV-2 dsa'!G33)</f>
        <v>04.5.1-TID-R-518</v>
      </c>
      <c r="I77" s="345" t="str">
        <f>CONCATENATE('IV-2 dsa'!H33)</f>
        <v>R</v>
      </c>
      <c r="J77" s="345" t="str">
        <f>CONCATENATE('IV-2 dsa'!I33)</f>
        <v>-</v>
      </c>
      <c r="K77" s="345" t="str">
        <f>CONCATENATE('IV-2 dsa'!J33)</f>
        <v>-</v>
      </c>
      <c r="L77" s="1217">
        <f>SUM('IV-2 dsa'!K33)</f>
        <v>840240</v>
      </c>
      <c r="M77" s="1217">
        <f ca="1">SUM('ketv. 6 '!L76)</f>
        <v>0</v>
      </c>
      <c r="N77" s="1217">
        <f t="shared" ca="1" si="112"/>
        <v>0</v>
      </c>
      <c r="O77" s="1217">
        <f>SUM('IV-2 dsa'!L33)</f>
        <v>0</v>
      </c>
      <c r="P77" s="1217">
        <f ca="1">SUM('ketv. 6 '!P76)</f>
        <v>0</v>
      </c>
      <c r="Q77" s="1217">
        <f t="shared" ca="1" si="113"/>
        <v>0</v>
      </c>
      <c r="R77" s="1217">
        <f>SUM('IV-2 dsa'!M33)</f>
        <v>0</v>
      </c>
      <c r="S77" s="1217">
        <f ca="1">SUM('ketv. 6 '!T76)</f>
        <v>0</v>
      </c>
      <c r="T77" s="1217">
        <f t="shared" ca="1" si="114"/>
        <v>0</v>
      </c>
      <c r="U77" s="1217">
        <f>SUM('IV-2 dsa'!N33)</f>
        <v>422692</v>
      </c>
      <c r="V77" s="1217">
        <f ca="1">SUM('ketv. 6 '!X76)</f>
        <v>0</v>
      </c>
      <c r="W77" s="1217">
        <f t="shared" ca="1" si="115"/>
        <v>0</v>
      </c>
      <c r="X77" s="1217">
        <f>SUM('IV-2 dsa'!O33)</f>
        <v>0</v>
      </c>
      <c r="Y77" s="1217">
        <f ca="1">SUM('ketv. 6 '!AB76)</f>
        <v>0</v>
      </c>
      <c r="Z77" s="1217">
        <f t="shared" ca="1" si="116"/>
        <v>0</v>
      </c>
      <c r="AA77" s="1217">
        <f>SUM('IV-2 dsa'!P33)</f>
        <v>417548</v>
      </c>
      <c r="AB77" s="1217">
        <f>SUM('IV-2 vrsa'!R57)</f>
        <v>0</v>
      </c>
      <c r="AC77" s="306" t="str">
        <f>IF('ketv. 4 '!X77&gt;0,"Taip","Ne")</f>
        <v>Ne</v>
      </c>
      <c r="AD77" s="306">
        <f ca="1">SUM('ketv. 6 '!AF76)</f>
        <v>0</v>
      </c>
      <c r="AE77" s="306">
        <f ca="1">IF(AD77&gt;0,AA77-AD77,0)</f>
        <v>0</v>
      </c>
      <c r="AF77" s="721">
        <f>SUM('IV-2 dsa'!R33)</f>
        <v>42877</v>
      </c>
      <c r="AG77" s="373">
        <f>SUM('IV-2 dsa'!S33)</f>
        <v>42978</v>
      </c>
      <c r="AH77" s="373">
        <f>SUM('IV-2 dsa'!T33)</f>
        <v>43343</v>
      </c>
      <c r="AI77" s="373">
        <f>SUM('IV-2 dsa'!U33)</f>
        <v>43434</v>
      </c>
      <c r="AJ77" s="375">
        <f t="shared" si="117"/>
        <v>2018</v>
      </c>
      <c r="AK77" s="829">
        <f>SUM('IV-2 dsa'!V33)</f>
        <v>43830</v>
      </c>
      <c r="AL77" s="306">
        <f>IF(YEAR(AI77)=2016,AA77,0)</f>
        <v>0</v>
      </c>
      <c r="AM77" s="306">
        <f>IF(YEAR(AI77)=2017,AA77,0)</f>
        <v>0</v>
      </c>
      <c r="AN77" s="306">
        <f>IF(YEAR(AI77)=2018,AA77,0)</f>
        <v>417548</v>
      </c>
      <c r="AO77" s="306">
        <f>IF(YEAR(AI77)=2019,AA77,0)</f>
        <v>0</v>
      </c>
      <c r="AP77" s="830">
        <f>IF(YEAR(AI77)=2020,AA77,0)</f>
        <v>0</v>
      </c>
      <c r="AQ77" s="377"/>
      <c r="AR77" s="377"/>
      <c r="AS77" s="55"/>
    </row>
    <row r="78" spans="1:47" ht="39.75" thickTop="1" thickBot="1" x14ac:dyDescent="0.3">
      <c r="A78" s="342" t="s">
        <v>229</v>
      </c>
      <c r="B78" s="342" t="s">
        <v>1324</v>
      </c>
      <c r="C78" s="1013" t="str">
        <f>CONCATENATE('ketv. 2'!B77)</f>
        <v>04.5.1-TID-R-518-11-0001</v>
      </c>
      <c r="D78" s="342" t="str">
        <f>CONCATENATE('IV-2 lrsa'!D34)</f>
        <v>Ekologiškų transporto priemonių įsigijimas  Lazdijų rajono savivaldybėje</v>
      </c>
      <c r="E78" s="342" t="str">
        <f>CONCATENATE('IV-2 lrsa'!E34)</f>
        <v>Lazdijų rajono savivaldybės administracija</v>
      </c>
      <c r="F78" s="342" t="str">
        <f>CONCATENATE('IV-2 lrsa'!F34)</f>
        <v>Lietuvos Respublikos susisiekimo ministerija</v>
      </c>
      <c r="G78" s="342" t="str">
        <f>CONCATENATE('IV-2 lrsa'!G34)</f>
        <v>Lazdijų r. sav.</v>
      </c>
      <c r="H78" s="345" t="str">
        <f>CONCATENATE('IV-2 lrsa'!H34)</f>
        <v>04.5.1-TID-R-518</v>
      </c>
      <c r="I78" s="345" t="str">
        <f>CONCATENATE('IV-2 lrsa'!I34)</f>
        <v>R</v>
      </c>
      <c r="J78" s="345" t="str">
        <f>CONCATENATE('IV-2 lrsa'!J34)</f>
        <v>-</v>
      </c>
      <c r="K78" s="345" t="str">
        <f>CONCATENATE('IV-2 lrsa'!K34)</f>
        <v>-</v>
      </c>
      <c r="L78" s="1217">
        <f>SUM('IV-2 lrsa'!L34)</f>
        <v>262704</v>
      </c>
      <c r="M78" s="1217">
        <f ca="1">SUM('ketv. 6 '!L77)</f>
        <v>0</v>
      </c>
      <c r="N78" s="1217">
        <f t="shared" ca="1" si="112"/>
        <v>0</v>
      </c>
      <c r="O78" s="1217">
        <f>SUM('IV-2 lrsa'!M34)</f>
        <v>39406</v>
      </c>
      <c r="P78" s="1217">
        <f ca="1">SUM('ketv. 6 '!P77)</f>
        <v>0</v>
      </c>
      <c r="Q78" s="1217">
        <f t="shared" ca="1" si="113"/>
        <v>0</v>
      </c>
      <c r="R78" s="1217">
        <f>SUM('IV-2 lrsa'!N34)</f>
        <v>0</v>
      </c>
      <c r="S78" s="1217">
        <f ca="1">SUM('ketv. 6 '!T77)</f>
        <v>0</v>
      </c>
      <c r="T78" s="1217">
        <f t="shared" ca="1" si="114"/>
        <v>0</v>
      </c>
      <c r="U78" s="1217">
        <f>SUM('IV-2 lrsa'!O34)</f>
        <v>0</v>
      </c>
      <c r="V78" s="1217">
        <f ca="1">SUM('ketv. 6 '!X77)</f>
        <v>0</v>
      </c>
      <c r="W78" s="1217">
        <f t="shared" ca="1" si="115"/>
        <v>0</v>
      </c>
      <c r="X78" s="1217">
        <f>SUM('IV-2 lrsa'!P34)</f>
        <v>0</v>
      </c>
      <c r="Y78" s="1217">
        <f ca="1">SUM('ketv. 6 '!AB77)</f>
        <v>0</v>
      </c>
      <c r="Z78" s="1217">
        <f t="shared" ca="1" si="116"/>
        <v>0</v>
      </c>
      <c r="AA78" s="1217">
        <f>SUM('IV-2 lrsa'!Q34)</f>
        <v>223298</v>
      </c>
      <c r="AB78" s="1217">
        <f>SUM('IV-2 vrsa'!R58)</f>
        <v>0</v>
      </c>
      <c r="AC78" s="306" t="str">
        <f>IF('ketv. 4 '!X78&gt;0,"Taip","Ne")</f>
        <v>Ne</v>
      </c>
      <c r="AD78" s="306">
        <f ca="1">SUM('ketv. 6 '!AF77)</f>
        <v>0</v>
      </c>
      <c r="AE78" s="306">
        <f ca="1">IF(AD78&gt;0,AA78-AD78,0)</f>
        <v>0</v>
      </c>
      <c r="AF78" s="721">
        <f>SUM('IV-2 lrsa'!S34)</f>
        <v>42877</v>
      </c>
      <c r="AG78" s="373">
        <f>SUM('IV-2 lrsa'!T34)</f>
        <v>42978</v>
      </c>
      <c r="AH78" s="373">
        <f>SUM('IV-2 lrsa'!U34)</f>
        <v>43343</v>
      </c>
      <c r="AI78" s="373">
        <f>SUM('IV-2 lrsa'!V34)</f>
        <v>43434</v>
      </c>
      <c r="AJ78" s="375">
        <f t="shared" si="117"/>
        <v>2018</v>
      </c>
      <c r="AK78" s="829">
        <f>SUM('IV-2 lrsa'!W34)</f>
        <v>44165</v>
      </c>
      <c r="AL78" s="306">
        <f>IF(YEAR(AI78)=2016,AA78,0)</f>
        <v>0</v>
      </c>
      <c r="AM78" s="306">
        <f>IF(YEAR(AI78)=2017,AA78,0)</f>
        <v>0</v>
      </c>
      <c r="AN78" s="306">
        <f>IF(YEAR(AI78)=2018,AA78,0)</f>
        <v>223298</v>
      </c>
      <c r="AO78" s="306">
        <f>IF(YEAR(AI78)=2019,AA78,0)</f>
        <v>0</v>
      </c>
      <c r="AP78" s="830">
        <f>IF(YEAR(AI78)=2020,AA78,0)</f>
        <v>0</v>
      </c>
      <c r="AQ78" s="55"/>
      <c r="AR78" s="55"/>
      <c r="AS78" s="55"/>
    </row>
    <row r="79" spans="1:47" ht="27" customHeight="1" thickBot="1" x14ac:dyDescent="0.3">
      <c r="A79" s="845" t="s">
        <v>90</v>
      </c>
      <c r="B79" s="1841" t="s">
        <v>1497</v>
      </c>
      <c r="C79" s="1844"/>
      <c r="D79" s="1844"/>
      <c r="E79" s="1844"/>
      <c r="F79" s="1844"/>
      <c r="G79" s="1844"/>
      <c r="H79" s="1844"/>
      <c r="I79" s="1844"/>
      <c r="J79" s="1844"/>
      <c r="K79" s="1845"/>
      <c r="L79" s="1213">
        <f t="shared" ref="L79:X79" si="118">SUM(L80:L85)</f>
        <v>1894943.24</v>
      </c>
      <c r="M79" s="1213">
        <f t="shared" ca="1" si="118"/>
        <v>567356.05000000005</v>
      </c>
      <c r="N79" s="1213">
        <f t="shared" ca="1" si="118"/>
        <v>23281.950000000012</v>
      </c>
      <c r="O79" s="1213">
        <f t="shared" si="118"/>
        <v>284241.14</v>
      </c>
      <c r="P79" s="1213">
        <f t="shared" ca="1" si="118"/>
        <v>91466.059999999983</v>
      </c>
      <c r="Q79" s="1213">
        <f t="shared" ca="1" si="118"/>
        <v>-2870.359999999986</v>
      </c>
      <c r="R79" s="1213">
        <f t="shared" si="118"/>
        <v>0</v>
      </c>
      <c r="S79" s="1213">
        <f t="shared" ca="1" si="118"/>
        <v>0</v>
      </c>
      <c r="T79" s="1213">
        <f t="shared" ca="1" si="118"/>
        <v>0</v>
      </c>
      <c r="U79" s="1213">
        <f t="shared" si="118"/>
        <v>0</v>
      </c>
      <c r="V79" s="1213">
        <f t="shared" ca="1" si="118"/>
        <v>0</v>
      </c>
      <c r="W79" s="1213">
        <f t="shared" ca="1" si="118"/>
        <v>0</v>
      </c>
      <c r="X79" s="1213">
        <f t="shared" si="118"/>
        <v>0</v>
      </c>
      <c r="Y79" s="1213">
        <f ca="1">SUM(Y80:Y83)</f>
        <v>0</v>
      </c>
      <c r="Z79" s="1213">
        <f ca="1">SUM(Z80:Z83)</f>
        <v>0</v>
      </c>
      <c r="AA79" s="1213">
        <f>SUM(AA80:AA85)</f>
        <v>1610702.1</v>
      </c>
      <c r="AB79" s="1213">
        <f>SUM('IV-2 vrsa'!R59)</f>
        <v>0</v>
      </c>
      <c r="AC79" s="825"/>
      <c r="AD79" s="825">
        <f ca="1">SUM(AD80:AD83)</f>
        <v>43042.3</v>
      </c>
      <c r="AE79" s="825">
        <f ca="1">SUM(AE80:AE83)</f>
        <v>0</v>
      </c>
      <c r="AF79" s="825"/>
      <c r="AG79" s="842"/>
      <c r="AH79" s="842"/>
      <c r="AI79" s="842"/>
      <c r="AJ79" s="843"/>
      <c r="AK79" s="844"/>
      <c r="AL79" s="817"/>
      <c r="AM79" s="817"/>
      <c r="AN79" s="817"/>
      <c r="AO79" s="817"/>
      <c r="AP79" s="817"/>
      <c r="AQ79" s="55">
        <f>SUM('IV-2 amsa'!X29+'IV-2 arsa'!W35+'IV-2 dsa'!W34+'IV-2 lrsa'!X35+'IV-2 vrsa'!X40)</f>
        <v>1378375</v>
      </c>
      <c r="AR79" s="55">
        <f>SUM(AQ79*120/100)</f>
        <v>1654050</v>
      </c>
      <c r="AS79" s="55">
        <f>SUM(AQ79-(AA79-AA81-AA83))</f>
        <v>-189284.80000000005</v>
      </c>
      <c r="AT79" s="736"/>
      <c r="AU79" s="736"/>
    </row>
    <row r="80" spans="1:47" ht="39" thickBot="1" x14ac:dyDescent="0.3">
      <c r="A80" s="342" t="s">
        <v>91</v>
      </c>
      <c r="B80" s="342" t="s">
        <v>1422</v>
      </c>
      <c r="C80" s="1011" t="str">
        <f>CONCATENATE('ketv. 2'!B79)</f>
        <v/>
      </c>
      <c r="D80" s="342" t="str">
        <f>CONCATENATE('IV-2 amsa'!D30)</f>
        <v>Darnaus judumo priemonių diegimas Alytaus mieste</v>
      </c>
      <c r="E80" s="342" t="str">
        <f>CONCATENATE('IV-2 amsa'!E30)</f>
        <v>Alytaus miesto savivaldybės administracija</v>
      </c>
      <c r="F80" s="342" t="str">
        <f>CONCATENATE('IV-2 amsa'!F30)</f>
        <v>Lietuvos Respublikos susisiekimo ministerija</v>
      </c>
      <c r="G80" s="342" t="str">
        <f>CONCATENATE('IV-2 amsa'!G30)</f>
        <v>Alytaus m. sav.</v>
      </c>
      <c r="H80" s="345" t="str">
        <f>CONCATENATE('IV-2 amsa'!H30)</f>
        <v>04.5.1.-TID-R-514</v>
      </c>
      <c r="I80" s="345" t="str">
        <f>CONCATENATE('IV-2 amsa'!I30)</f>
        <v>R</v>
      </c>
      <c r="J80" s="345" t="str">
        <f>CONCATENATE('IV-2 amsa'!J30)</f>
        <v>ITI</v>
      </c>
      <c r="K80" s="345" t="str">
        <f>CONCATENATE('IV-2 amsa'!K30)</f>
        <v>-</v>
      </c>
      <c r="L80" s="1217">
        <f>SUM('IV-2 amsa'!L30)</f>
        <v>1143469</v>
      </c>
      <c r="M80" s="1217">
        <f ca="1">SUM('ketv. 6 '!L79)</f>
        <v>0</v>
      </c>
      <c r="N80" s="1217">
        <f t="shared" ref="N80:N83" ca="1" si="119">IF(M80&gt;0,L80-M80,0)</f>
        <v>0</v>
      </c>
      <c r="O80" s="1217">
        <f>SUM('IV-2 amsa'!M30)</f>
        <v>171520</v>
      </c>
      <c r="P80" s="1217">
        <f ca="1">SUM('ketv. 6 '!P79)</f>
        <v>0</v>
      </c>
      <c r="Q80" s="1217">
        <f t="shared" ref="Q80:Q82" ca="1" si="120">IF(P80&gt;0,O80-P80,0)</f>
        <v>0</v>
      </c>
      <c r="R80" s="1217">
        <f>SUM('IV-2 amsa'!N30)</f>
        <v>0</v>
      </c>
      <c r="S80" s="1217">
        <f ca="1">SUM('ketv. 6 '!T79)</f>
        <v>0</v>
      </c>
      <c r="T80" s="1217">
        <f t="shared" ref="T80:T83" ca="1" si="121">IF(S80&gt;0,R80-S80,0)</f>
        <v>0</v>
      </c>
      <c r="U80" s="1217">
        <f>SUM('IV-2 amsa'!O30)</f>
        <v>0</v>
      </c>
      <c r="V80" s="1217">
        <f ca="1">SUM('ketv. 6 '!X79)</f>
        <v>0</v>
      </c>
      <c r="W80" s="1217">
        <f t="shared" ref="W80:W83" ca="1" si="122">IF(V80&gt;0,U80-V80,0)</f>
        <v>0</v>
      </c>
      <c r="X80" s="1217">
        <f>SUM('IV-2 amsa'!P30)</f>
        <v>0</v>
      </c>
      <c r="Y80" s="1217">
        <f ca="1">SUM('ketv. 6 '!AB79)</f>
        <v>0</v>
      </c>
      <c r="Z80" s="1217">
        <f t="shared" ref="Z80:Z83" ca="1" si="123">IF(Y80&gt;0,X80-Y80,0)</f>
        <v>0</v>
      </c>
      <c r="AA80" s="1217">
        <f>SUM('IV-2 amsa'!Q30)</f>
        <v>971949</v>
      </c>
      <c r="AB80" s="1217">
        <f>SUM('IV-2 vrsa'!R60)</f>
        <v>0</v>
      </c>
      <c r="AC80" s="306" t="str">
        <f>IF('ketv. 4 '!X80&gt;0,"Taip","Ne")</f>
        <v>Ne</v>
      </c>
      <c r="AD80" s="306">
        <f ca="1">SUM('ketv. 6 '!AF79)</f>
        <v>0</v>
      </c>
      <c r="AE80" s="306">
        <f ca="1">IF(AD80&gt;0,AA80-AD80,0)</f>
        <v>0</v>
      </c>
      <c r="AF80" s="721">
        <f>SUM('IV-2 amsa'!S30)</f>
        <v>43130</v>
      </c>
      <c r="AG80" s="373">
        <f>SUM('IV-2 amsa'!T30)</f>
        <v>43388</v>
      </c>
      <c r="AH80" s="373">
        <f>SUM('IV-2 amsa'!U30)</f>
        <v>43616</v>
      </c>
      <c r="AI80" s="373">
        <f>SUM('IV-2 amsa'!V30)</f>
        <v>43738</v>
      </c>
      <c r="AJ80" s="375">
        <f t="shared" ref="AJ80:AJ83" si="124">IF(YEAR(AI80),YEAR(AI80))</f>
        <v>2019</v>
      </c>
      <c r="AK80" s="829">
        <f>SUM('IV-2 amsa'!W30)</f>
        <v>44346</v>
      </c>
      <c r="AL80" s="306">
        <f>IF(YEAR(AI80)=2016,AA80,0)</f>
        <v>0</v>
      </c>
      <c r="AM80" s="306">
        <f>IF(YEAR(AI80)=2017,AA80,0)</f>
        <v>0</v>
      </c>
      <c r="AN80" s="306">
        <f>IF(YEAR(AI80)=2018,AA80,0)</f>
        <v>0</v>
      </c>
      <c r="AO80" s="306">
        <f>IF(YEAR(AI80)=2019,AA80,0)</f>
        <v>971949</v>
      </c>
      <c r="AP80" s="830">
        <f>IF(YEAR(AI80)=2020,AA80,0)</f>
        <v>0</v>
      </c>
      <c r="AQ80" s="55"/>
      <c r="AR80" s="55"/>
      <c r="AS80" s="55"/>
    </row>
    <row r="81" spans="1:46" ht="39.75" thickTop="1" thickBot="1" x14ac:dyDescent="0.3">
      <c r="A81" s="342" t="s">
        <v>163</v>
      </c>
      <c r="B81" s="342" t="s">
        <v>1325</v>
      </c>
      <c r="C81" s="1012" t="str">
        <f>CONCATENATE('ketv. 2'!B80)</f>
        <v>04.5.1-TID-V-513-01-0015</v>
      </c>
      <c r="D81" s="342" t="str">
        <f>CONCATENATE('IV-2 amsa'!D31)</f>
        <v>Alytaus miesto darnaus judumo plano parengimas</v>
      </c>
      <c r="E81" s="342" t="str">
        <f>CONCATENATE('IV-2 amsa'!E31)</f>
        <v>Alytaus miesto savivaldybės administracija</v>
      </c>
      <c r="F81" s="342" t="str">
        <f>CONCATENATE('IV-2 amsa'!F31)</f>
        <v>Lietuvos Respublikos susisiekimo ministerija</v>
      </c>
      <c r="G81" s="342" t="str">
        <f>CONCATENATE('IV-2 amsa'!G31)</f>
        <v>Alytaus m. sav.</v>
      </c>
      <c r="H81" s="345" t="str">
        <f>CONCATENATE('IV-2 amsa'!H31)</f>
        <v>04.5.1-TID-V-513</v>
      </c>
      <c r="I81" s="345" t="str">
        <f>CONCATENATE('IV-2 amsa'!I31)</f>
        <v>V</v>
      </c>
      <c r="J81" s="345" t="str">
        <f>CONCATENATE('IV-2 amsa'!J31)</f>
        <v>ITI</v>
      </c>
      <c r="K81" s="345" t="str">
        <f>CONCATENATE('IV-2 amsa'!K31)</f>
        <v>-</v>
      </c>
      <c r="L81" s="1217">
        <f>SUM('IV-2 amsa'!L31)</f>
        <v>33638</v>
      </c>
      <c r="M81" s="1217">
        <f>SUM('ketv. 6 '!L80)</f>
        <v>33638</v>
      </c>
      <c r="N81" s="1217">
        <f t="shared" si="119"/>
        <v>0</v>
      </c>
      <c r="O81" s="1217">
        <f>SUM('IV-2 amsa'!M31)</f>
        <v>5045.7</v>
      </c>
      <c r="P81" s="1217">
        <f>SUM('ketv. 6 '!P80)</f>
        <v>5045.7000000000007</v>
      </c>
      <c r="Q81" s="1217">
        <f>IF(P81&gt;0,O81-P81,0)</f>
        <v>-9.0949470177292824E-13</v>
      </c>
      <c r="R81" s="1217">
        <f>SUM('IV-2 amsa'!N31)</f>
        <v>0</v>
      </c>
      <c r="S81" s="1217">
        <f ca="1">SUM('ketv. 6 '!T80)</f>
        <v>0</v>
      </c>
      <c r="T81" s="1217">
        <f t="shared" ca="1" si="121"/>
        <v>0</v>
      </c>
      <c r="U81" s="1217">
        <f>SUM('IV-2 amsa'!O31)</f>
        <v>0</v>
      </c>
      <c r="V81" s="1217">
        <f ca="1">SUM('ketv. 6 '!X80)</f>
        <v>0</v>
      </c>
      <c r="W81" s="1217">
        <f t="shared" ca="1" si="122"/>
        <v>0</v>
      </c>
      <c r="X81" s="1217">
        <f>SUM('IV-2 amsa'!P31)</f>
        <v>0</v>
      </c>
      <c r="Y81" s="1217">
        <f ca="1">SUM('ketv. 6 '!AB80)</f>
        <v>0</v>
      </c>
      <c r="Z81" s="1217">
        <f t="shared" ca="1" si="123"/>
        <v>0</v>
      </c>
      <c r="AA81" s="1217">
        <f>SUM('IV-2 amsa'!Q31)</f>
        <v>28592.3</v>
      </c>
      <c r="AB81" s="1217">
        <f>SUM('IV-2 vrsa'!R61)</f>
        <v>0</v>
      </c>
      <c r="AC81" s="306" t="str">
        <f>IF('ketv. 4 '!X81&gt;0,"Taip","Ne")</f>
        <v>Taip</v>
      </c>
      <c r="AD81" s="306">
        <f>SUM('ketv. 6 '!AF80)</f>
        <v>28592.3</v>
      </c>
      <c r="AE81" s="306">
        <f>IF(AD81&gt;0,AA81-AD81,0)</f>
        <v>0</v>
      </c>
      <c r="AF81" s="721">
        <f>SUM('IV-2 amsa'!S31)</f>
        <v>42643</v>
      </c>
      <c r="AG81" s="373">
        <f>SUM('IV-2 amsa'!T31)</f>
        <v>42674</v>
      </c>
      <c r="AH81" s="373">
        <f>SUM('IV-2 amsa'!U31)</f>
        <v>42855</v>
      </c>
      <c r="AI81" s="373">
        <f>SUM('IV-2 amsa'!V31)</f>
        <v>42947</v>
      </c>
      <c r="AJ81" s="375">
        <f t="shared" si="124"/>
        <v>2017</v>
      </c>
      <c r="AK81" s="829">
        <f>SUM('IV-2 amsa'!W31)</f>
        <v>43281</v>
      </c>
      <c r="AL81" s="306">
        <f>IF(YEAR(AI81)=2016,AA81,0)</f>
        <v>0</v>
      </c>
      <c r="AM81" s="306">
        <f>IF(YEAR(AI81)=2017,AA81,0)</f>
        <v>28592.3</v>
      </c>
      <c r="AN81" s="306">
        <f>IF(YEAR(AI81)=2018,AA81,0)</f>
        <v>0</v>
      </c>
      <c r="AO81" s="306">
        <f>IF(YEAR(AI81)=2019,AA81,0)</f>
        <v>0</v>
      </c>
      <c r="AP81" s="830">
        <f>IF(YEAR(AI81)=2020,AA81,0)</f>
        <v>0</v>
      </c>
      <c r="AQ81" s="55"/>
      <c r="AR81" s="55"/>
      <c r="AS81" s="55"/>
    </row>
    <row r="82" spans="1:46" ht="39.75" thickTop="1" thickBot="1" x14ac:dyDescent="0.3">
      <c r="A82" s="342" t="s">
        <v>164</v>
      </c>
      <c r="B82" s="342" t="s">
        <v>1429</v>
      </c>
      <c r="C82" s="1012" t="str">
        <f>CONCATENATE('ketv. 2'!B81)</f>
        <v/>
      </c>
      <c r="D82" s="342" t="str">
        <f>CONCATENATE('IV-2 dsa'!C35)</f>
        <v>Intelektinių transporto sistemų diegimas Druskininkuose</v>
      </c>
      <c r="E82" s="342" t="str">
        <f>CONCATENATE('IV-2 dsa'!D35)</f>
        <v>Druskininkų savivaldybės administracija</v>
      </c>
      <c r="F82" s="342" t="str">
        <f>CONCATENATE('IV-2 dsa'!E35)</f>
        <v>Lietuvos Respublikos susisiekimo ministerija</v>
      </c>
      <c r="G82" s="342" t="str">
        <f>CONCATENATE('IV-2 dsa'!F35)</f>
        <v>Druskininkų sav.</v>
      </c>
      <c r="H82" s="345" t="str">
        <f>CONCATENATE('IV-2 dsa'!G35)</f>
        <v>04.5.1.-TID-R-514</v>
      </c>
      <c r="I82" s="345" t="str">
        <f>CONCATENATE('IV-2 dsa'!H35)</f>
        <v>R</v>
      </c>
      <c r="J82" s="345" t="str">
        <f>CONCATENATE('IV-2 dsa'!I35)</f>
        <v>-</v>
      </c>
      <c r="K82" s="345" t="str">
        <f>CONCATENATE('IV-2 dsa'!J35)</f>
        <v>-</v>
      </c>
      <c r="L82" s="1217">
        <f>SUM('IV-2 dsa'!K35)</f>
        <v>160836.24</v>
      </c>
      <c r="M82" s="1217">
        <f ca="1">SUM('ketv. 6 '!L81)</f>
        <v>0</v>
      </c>
      <c r="N82" s="1217">
        <f t="shared" ca="1" si="119"/>
        <v>0</v>
      </c>
      <c r="O82" s="1217">
        <f>SUM('IV-2 dsa'!L35)</f>
        <v>24125.439999999999</v>
      </c>
      <c r="P82" s="1217">
        <f ca="1">SUM('ketv. 6 '!P81)</f>
        <v>0</v>
      </c>
      <c r="Q82" s="1217">
        <f t="shared" ca="1" si="120"/>
        <v>0</v>
      </c>
      <c r="R82" s="1217">
        <f>SUM('IV-2 dsa'!M35)</f>
        <v>0</v>
      </c>
      <c r="S82" s="1217">
        <f ca="1">SUM('ketv. 6 '!T81)</f>
        <v>0</v>
      </c>
      <c r="T82" s="1217">
        <f t="shared" ca="1" si="121"/>
        <v>0</v>
      </c>
      <c r="U82" s="1217">
        <f>SUM('IV-2 dsa'!N35)</f>
        <v>0</v>
      </c>
      <c r="V82" s="1217">
        <f ca="1">SUM('ketv. 6 '!X81)</f>
        <v>0</v>
      </c>
      <c r="W82" s="1217">
        <f t="shared" ca="1" si="122"/>
        <v>0</v>
      </c>
      <c r="X82" s="1217">
        <f>SUM('IV-2 dsa'!O35)</f>
        <v>0</v>
      </c>
      <c r="Y82" s="1217">
        <f ca="1">SUM('ketv. 6 '!AB81)</f>
        <v>0</v>
      </c>
      <c r="Z82" s="1217">
        <f t="shared" ca="1" si="123"/>
        <v>0</v>
      </c>
      <c r="AA82" s="1217">
        <f>SUM('IV-2 dsa'!P35)</f>
        <v>136710.79999999999</v>
      </c>
      <c r="AB82" s="1217">
        <f>SUM('IV-2 vrsa'!R62)</f>
        <v>0</v>
      </c>
      <c r="AC82" s="306" t="str">
        <f>IF('ketv. 4 '!X82&gt;0,"Taip","Ne")</f>
        <v>Ne</v>
      </c>
      <c r="AD82" s="306">
        <f ca="1">SUM('ketv. 6 '!AF81)</f>
        <v>0</v>
      </c>
      <c r="AE82" s="306">
        <f ca="1">IF(AD82&gt;0,AA82-AD82,0)</f>
        <v>0</v>
      </c>
      <c r="AF82" s="721">
        <f>SUM('IV-2 dsa'!R35)</f>
        <v>43130</v>
      </c>
      <c r="AG82" s="373">
        <f>SUM('IV-2 dsa'!S35)</f>
        <v>43343</v>
      </c>
      <c r="AH82" s="373">
        <f>SUM('IV-2 dsa'!T35)</f>
        <v>43524</v>
      </c>
      <c r="AI82" s="373">
        <f>SUM('IV-2 dsa'!U35)</f>
        <v>43611</v>
      </c>
      <c r="AJ82" s="375">
        <f t="shared" si="124"/>
        <v>2019</v>
      </c>
      <c r="AK82" s="829">
        <f>SUM('IV-2 dsa'!V35)</f>
        <v>44136</v>
      </c>
      <c r="AL82" s="306">
        <f>IF(YEAR(AI82)=2016,AA82,0)</f>
        <v>0</v>
      </c>
      <c r="AM82" s="306">
        <f>IF(YEAR(AI82)=2017,AA82,0)</f>
        <v>0</v>
      </c>
      <c r="AN82" s="306">
        <f>IF(YEAR(AI82)=2018,AA82,0)</f>
        <v>0</v>
      </c>
      <c r="AO82" s="306">
        <f>IF(YEAR(AI82)=2019,AA82,0)</f>
        <v>136710.79999999999</v>
      </c>
      <c r="AP82" s="830">
        <f>IF(YEAR(AI82)=2020,AA82,0)</f>
        <v>0</v>
      </c>
      <c r="AQ82" s="55"/>
      <c r="AR82" s="55"/>
      <c r="AS82" s="55"/>
    </row>
    <row r="83" spans="1:46" ht="39.75" thickTop="1" thickBot="1" x14ac:dyDescent="0.3">
      <c r="A83" s="342" t="s">
        <v>170</v>
      </c>
      <c r="B83" s="342" t="s">
        <v>1326</v>
      </c>
      <c r="C83" s="1012" t="str">
        <f>CONCATENATE('ketv. 2'!B82)</f>
        <v>04.5.1-TID-V-513-01-0006</v>
      </c>
      <c r="D83" s="342" t="str">
        <f>CONCATENATE('IV-2 dsa'!C36)</f>
        <v>Darnaus judumo plano Druskininkuose parengimas</v>
      </c>
      <c r="E83" s="342" t="str">
        <f>CONCATENATE('IV-2 dsa'!D36)</f>
        <v>Druskininkų savivaldybės administracija</v>
      </c>
      <c r="F83" s="342" t="str">
        <f>CONCATENATE('IV-2 dsa'!E36)</f>
        <v>Lietuvos Respublikos susisiekimo ministerija</v>
      </c>
      <c r="G83" s="342" t="str">
        <f>CONCATENATE('IV-2 dsa'!F36)</f>
        <v>Druskininkų sav.</v>
      </c>
      <c r="H83" s="345" t="str">
        <f>CONCATENATE('IV-2 dsa'!G36)</f>
        <v>04.5.1-TID-V-513</v>
      </c>
      <c r="I83" s="345" t="str">
        <f>CONCATENATE('IV-2 dsa'!H36)</f>
        <v>V</v>
      </c>
      <c r="J83" s="345" t="str">
        <f>CONCATENATE('IV-2 dsa'!I36)</f>
        <v>ITI</v>
      </c>
      <c r="K83" s="345" t="str">
        <f>CONCATENATE('IV-2 dsa'!J36)</f>
        <v>-</v>
      </c>
      <c r="L83" s="1217">
        <f>SUM('IV-2 dsa'!K36)</f>
        <v>17000</v>
      </c>
      <c r="M83" s="1217">
        <f>SUM('ketv. 6 '!L82)</f>
        <v>17000</v>
      </c>
      <c r="N83" s="1217">
        <f t="shared" si="119"/>
        <v>0</v>
      </c>
      <c r="O83" s="1217">
        <f>SUM('IV-2 dsa'!L36)</f>
        <v>2550</v>
      </c>
      <c r="P83" s="1217">
        <f>SUM('ketv. 6 '!P82)</f>
        <v>2550</v>
      </c>
      <c r="Q83" s="1217">
        <f>IF(P83&gt;0,O83-P83,0)</f>
        <v>0</v>
      </c>
      <c r="R83" s="1217">
        <f>SUM('IV-2 dsa'!M36)</f>
        <v>0</v>
      </c>
      <c r="S83" s="1217">
        <f ca="1">SUM('ketv. 6 '!T82)</f>
        <v>0</v>
      </c>
      <c r="T83" s="1217">
        <f t="shared" ca="1" si="121"/>
        <v>0</v>
      </c>
      <c r="U83" s="1217">
        <f>SUM('IV-2 dsa'!N36)</f>
        <v>0</v>
      </c>
      <c r="V83" s="1217">
        <f ca="1">SUM('ketv. 6 '!X82)</f>
        <v>0</v>
      </c>
      <c r="W83" s="1217">
        <f t="shared" ca="1" si="122"/>
        <v>0</v>
      </c>
      <c r="X83" s="1217">
        <f>SUM('IV-2 dsa'!O36)</f>
        <v>0</v>
      </c>
      <c r="Y83" s="1217">
        <f ca="1">SUM('ketv. 6 '!AB82)</f>
        <v>0</v>
      </c>
      <c r="Z83" s="1217">
        <f t="shared" ca="1" si="123"/>
        <v>0</v>
      </c>
      <c r="AA83" s="1217">
        <f>SUM('IV-2 dsa'!P36)</f>
        <v>14450</v>
      </c>
      <c r="AB83" s="1217">
        <f>SUM('IV-2 vrsa'!R63)</f>
        <v>0</v>
      </c>
      <c r="AC83" s="306" t="str">
        <f>IF('ketv. 4 '!X83&gt;0,"Taip","Ne")</f>
        <v>Taip</v>
      </c>
      <c r="AD83" s="306">
        <f>SUM('ketv. 6 '!AF82)</f>
        <v>14450</v>
      </c>
      <c r="AE83" s="306">
        <f>IF(AD83&gt;0,AA83-AD83,0)</f>
        <v>0</v>
      </c>
      <c r="AF83" s="721">
        <f>SUM('IV-2 dsa'!R36)</f>
        <v>42643</v>
      </c>
      <c r="AG83" s="373">
        <f>SUM('IV-2 dsa'!S36)</f>
        <v>42674</v>
      </c>
      <c r="AH83" s="373">
        <f>SUM('IV-2 dsa'!T36)</f>
        <v>42735</v>
      </c>
      <c r="AI83" s="373">
        <f>SUM('IV-2 dsa'!U36)</f>
        <v>42825</v>
      </c>
      <c r="AJ83" s="375">
        <f t="shared" si="124"/>
        <v>2017</v>
      </c>
      <c r="AK83" s="829">
        <f>SUM('IV-2 dsa'!V36)</f>
        <v>43100</v>
      </c>
      <c r="AL83" s="966">
        <f>IF(YEAR(AI83)=2016,AA83,0)</f>
        <v>0</v>
      </c>
      <c r="AM83" s="966">
        <f>IF(YEAR(AI83)=2017,AA83,0)</f>
        <v>14450</v>
      </c>
      <c r="AN83" s="966">
        <f>IF(YEAR(AI83)=2018,AA83,0)</f>
        <v>0</v>
      </c>
      <c r="AO83" s="966">
        <f>IF(YEAR(AI83)=2019,AA83,0)</f>
        <v>0</v>
      </c>
      <c r="AP83" s="830">
        <f>IF(YEAR(AI83)=2020,AA83,0)</f>
        <v>0</v>
      </c>
      <c r="AQ83" s="380"/>
      <c r="AR83" s="55"/>
      <c r="AS83" s="55"/>
    </row>
    <row r="84" spans="1:46" ht="39.75" thickTop="1" thickBot="1" x14ac:dyDescent="0.3">
      <c r="A84" s="342" t="s">
        <v>1425</v>
      </c>
      <c r="B84" s="342" t="s">
        <v>1427</v>
      </c>
      <c r="C84" s="1012"/>
      <c r="D84" s="342" t="str">
        <f>CONCATENATE('IV-2 dsa'!C37)</f>
        <v>Viešojo transporto organizavimo tobulinimas rekonstruojant Druskininkų miesto gatvių infrastruktūrą</v>
      </c>
      <c r="E84" s="342" t="str">
        <f>CONCATENATE('IV-2 dsa'!D37)</f>
        <v>Druskininkų savivaldybės administracija</v>
      </c>
      <c r="F84" s="342" t="str">
        <f>CONCATENATE('IV-2 dsa'!E37)</f>
        <v>Lietuvos Respublikos susisiekimo ministerija</v>
      </c>
      <c r="G84" s="342" t="str">
        <f>CONCATENATE('IV-2 dsa'!F37)</f>
        <v>Druskininkų sav.</v>
      </c>
      <c r="H84" s="345" t="str">
        <f>CONCATENATE('IV-2 dsa'!G37)</f>
        <v>04.5.1.-TID-R-514</v>
      </c>
      <c r="I84" s="345" t="str">
        <f>CONCATENATE('IV-2 dsa'!H37)</f>
        <v>R</v>
      </c>
      <c r="J84" s="345" t="str">
        <f>CONCATENATE('IV-2 dsa'!I37)</f>
        <v>-</v>
      </c>
      <c r="K84" s="345" t="str">
        <f>CONCATENATE('IV-2 dsa'!J37)</f>
        <v>-</v>
      </c>
      <c r="L84" s="1217">
        <f>SUM('IV-2 dsa'!K37)</f>
        <v>290000</v>
      </c>
      <c r="M84" s="1217">
        <f ca="1">SUM('ketv. 6 '!L85)</f>
        <v>421638.05</v>
      </c>
      <c r="N84" s="1217">
        <f t="shared" ref="N84:N85" ca="1" si="125">IF(M84&gt;0,L84-M84,0)</f>
        <v>-131638.04999999999</v>
      </c>
      <c r="O84" s="1217">
        <f>SUM('IV-2 dsa'!L37)</f>
        <v>43500</v>
      </c>
      <c r="P84" s="1217">
        <f ca="1">SUM('ketv. 6 '!P85)</f>
        <v>69600.359999999986</v>
      </c>
      <c r="Q84" s="1217">
        <f t="shared" ref="Q84:Q85" ca="1" si="126">IF(P84&gt;0,O84-P84,0)</f>
        <v>-26100.359999999986</v>
      </c>
      <c r="R84" s="1217">
        <f>SUM('IV-2 dsa'!M37)</f>
        <v>0</v>
      </c>
      <c r="S84" s="1217">
        <f ca="1">SUM('ketv. 6 '!T85)</f>
        <v>0</v>
      </c>
      <c r="T84" s="1217">
        <f t="shared" ref="T84:T85" ca="1" si="127">IF(S84&gt;0,R84-S84,0)</f>
        <v>0</v>
      </c>
      <c r="U84" s="1217">
        <f>SUM('IV-2 dsa'!N37)</f>
        <v>0</v>
      </c>
      <c r="V84" s="1217">
        <f ca="1">SUM('ketv. 6 '!X85)</f>
        <v>0</v>
      </c>
      <c r="W84" s="1217">
        <f t="shared" ref="W84:W85" ca="1" si="128">IF(V84&gt;0,U84-V84,0)</f>
        <v>0</v>
      </c>
      <c r="X84" s="1217">
        <f>SUM('IV-2 dsa'!O37)</f>
        <v>0</v>
      </c>
      <c r="Y84" s="1217">
        <f ca="1">SUM('ketv. 6 '!AB85)</f>
        <v>0</v>
      </c>
      <c r="Z84" s="1217">
        <f t="shared" ref="Z84:Z85" ca="1" si="129">IF(Y84&gt;0,X84-Y84,0)</f>
        <v>0</v>
      </c>
      <c r="AA84" s="1217">
        <f>SUM('IV-2 dsa'!P37)</f>
        <v>246500</v>
      </c>
      <c r="AB84" s="1217">
        <f>SUM('IV-2 vrsa'!R64)</f>
        <v>0</v>
      </c>
      <c r="AC84" s="306" t="str">
        <f>IF('ketv. 4 '!X86&gt;0,"Taip","Ne")</f>
        <v>Ne</v>
      </c>
      <c r="AD84" s="306">
        <f ca="1">SUM('ketv. 6 '!AF85)</f>
        <v>352037.69</v>
      </c>
      <c r="AE84" s="306">
        <f t="shared" ref="AE84:AE85" ca="1" si="130">IF(AD84&gt;0,AA84-AD84,0)</f>
        <v>-105537.69</v>
      </c>
      <c r="AF84" s="721">
        <f>SUM('IV-2 dsa'!R37)</f>
        <v>0</v>
      </c>
      <c r="AG84" s="776">
        <f>SUM('IV-2 dsa'!S37)</f>
        <v>43343</v>
      </c>
      <c r="AH84" s="776">
        <f>SUM('IV-2 dsa'!T37)</f>
        <v>43449</v>
      </c>
      <c r="AI84" s="776">
        <f>SUM('IV-2 dsa'!U37)</f>
        <v>43524</v>
      </c>
      <c r="AJ84" s="777">
        <f t="shared" ref="AJ84:AJ85" si="131">IF(YEAR(AI84),YEAR(AI84))</f>
        <v>2019</v>
      </c>
      <c r="AK84" s="848">
        <f>SUM('IV-2 dsa'!V37)</f>
        <v>43800</v>
      </c>
      <c r="AL84" s="966">
        <f t="shared" ref="AL84:AL85" si="132">IF(YEAR(AI84)=2016,AA84,0)</f>
        <v>0</v>
      </c>
      <c r="AM84" s="966">
        <f t="shared" ref="AM84:AM85" si="133">IF(YEAR(AI84)=2017,AA84,0)</f>
        <v>0</v>
      </c>
      <c r="AN84" s="966">
        <f t="shared" ref="AN84:AN85" si="134">IF(YEAR(AI84)=2018,AA84,0)</f>
        <v>0</v>
      </c>
      <c r="AO84" s="966">
        <f t="shared" ref="AO84:AO85" si="135">IF(YEAR(AI84)=2019,AA84,0)</f>
        <v>246500</v>
      </c>
      <c r="AP84" s="830">
        <f t="shared" ref="AP84:AP85" si="136">IF(YEAR(AI84)=2020,AA84,0)</f>
        <v>0</v>
      </c>
      <c r="AQ84" s="380"/>
      <c r="AR84" s="55"/>
      <c r="AS84" s="55"/>
    </row>
    <row r="85" spans="1:46" ht="39.75" thickTop="1" thickBot="1" x14ac:dyDescent="0.3">
      <c r="A85" s="342" t="s">
        <v>1426</v>
      </c>
      <c r="B85" s="342" t="s">
        <v>1428</v>
      </c>
      <c r="C85" s="1013"/>
      <c r="D85" s="342" t="str">
        <f>CONCATENATE('IV-2 dsa'!C38)</f>
        <v>Vandens transporto infrastruktūros įrengimas skatinant kitų rūšių transportą</v>
      </c>
      <c r="E85" s="342" t="str">
        <f>CONCATENATE('IV-2 dsa'!D38)</f>
        <v>Druskininkų savivaldybės administracija</v>
      </c>
      <c r="F85" s="342" t="str">
        <f>CONCATENATE('IV-2 dsa'!E38)</f>
        <v>Lietuvos Respublikos susisiekimo ministerija</v>
      </c>
      <c r="G85" s="342" t="str">
        <f>CONCATENATE('IV-2 dsa'!F38)</f>
        <v>Druskininkų sav.</v>
      </c>
      <c r="H85" s="345" t="str">
        <f>CONCATENATE('IV-2 dsa'!G38)</f>
        <v>04.5.1.-TID-R-514</v>
      </c>
      <c r="I85" s="345" t="str">
        <f>CONCATENATE('IV-2 dsa'!H38)</f>
        <v>R</v>
      </c>
      <c r="J85" s="345" t="str">
        <f>CONCATENATE('IV-2 dsa'!I38)</f>
        <v>-</v>
      </c>
      <c r="K85" s="345" t="str">
        <f>CONCATENATE('IV-2 dsa'!J38)</f>
        <v>-</v>
      </c>
      <c r="L85" s="1217">
        <f>SUM('IV-2 dsa'!K38)</f>
        <v>250000</v>
      </c>
      <c r="M85" s="1217">
        <f ca="1">SUM('ketv. 6 '!L86)</f>
        <v>95080</v>
      </c>
      <c r="N85" s="1217">
        <f t="shared" ca="1" si="125"/>
        <v>154920</v>
      </c>
      <c r="O85" s="1217">
        <f>SUM('IV-2 dsa'!L38)</f>
        <v>37500</v>
      </c>
      <c r="P85" s="1217">
        <f ca="1">SUM('ketv. 6 '!P86)</f>
        <v>14270</v>
      </c>
      <c r="Q85" s="1217">
        <f t="shared" ca="1" si="126"/>
        <v>23230</v>
      </c>
      <c r="R85" s="1217">
        <f>SUM('IV-2 dsa'!M38)</f>
        <v>0</v>
      </c>
      <c r="S85" s="1217">
        <f ca="1">SUM('ketv. 6 '!T86)</f>
        <v>0</v>
      </c>
      <c r="T85" s="1217">
        <f t="shared" ca="1" si="127"/>
        <v>0</v>
      </c>
      <c r="U85" s="1217">
        <f>SUM('IV-2 dsa'!N38)</f>
        <v>0</v>
      </c>
      <c r="V85" s="1217">
        <f ca="1">SUM('ketv. 6 '!X86)</f>
        <v>0</v>
      </c>
      <c r="W85" s="1217">
        <f t="shared" ca="1" si="128"/>
        <v>0</v>
      </c>
      <c r="X85" s="1217">
        <f>SUM('IV-2 dsa'!O38)</f>
        <v>0</v>
      </c>
      <c r="Y85" s="1217">
        <f ca="1">SUM('ketv. 6 '!AB86)</f>
        <v>0</v>
      </c>
      <c r="Z85" s="1217">
        <f t="shared" ca="1" si="129"/>
        <v>0</v>
      </c>
      <c r="AA85" s="1217">
        <f>SUM('IV-2 dsa'!P38)</f>
        <v>212500</v>
      </c>
      <c r="AB85" s="1217">
        <f>SUM('IV-2 vrsa'!R65)</f>
        <v>0</v>
      </c>
      <c r="AC85" s="306" t="str">
        <f>IF('ketv. 4 '!X87&gt;0,"Taip","Ne")</f>
        <v>Taip</v>
      </c>
      <c r="AD85" s="306">
        <f ca="1">SUM('ketv. 6 '!AF86)</f>
        <v>80810</v>
      </c>
      <c r="AE85" s="306">
        <f t="shared" ca="1" si="130"/>
        <v>131690</v>
      </c>
      <c r="AF85" s="721">
        <f>SUM('IV-2 dsa'!R38)</f>
        <v>0</v>
      </c>
      <c r="AG85" s="776">
        <f>SUM('IV-2 dsa'!S38)</f>
        <v>43343</v>
      </c>
      <c r="AH85" s="776">
        <f>SUM('IV-2 dsa'!T38)</f>
        <v>43736</v>
      </c>
      <c r="AI85" s="776">
        <f>SUM('IV-2 dsa'!U38)</f>
        <v>43797</v>
      </c>
      <c r="AJ85" s="777">
        <f t="shared" si="131"/>
        <v>2019</v>
      </c>
      <c r="AK85" s="848">
        <f>SUM('IV-2 dsa'!V38)</f>
        <v>44501</v>
      </c>
      <c r="AL85" s="966">
        <f t="shared" si="132"/>
        <v>0</v>
      </c>
      <c r="AM85" s="966">
        <f t="shared" si="133"/>
        <v>0</v>
      </c>
      <c r="AN85" s="966">
        <f t="shared" si="134"/>
        <v>0</v>
      </c>
      <c r="AO85" s="966">
        <f t="shared" si="135"/>
        <v>212500</v>
      </c>
      <c r="AP85" s="830">
        <f t="shared" si="136"/>
        <v>0</v>
      </c>
      <c r="AQ85" s="380"/>
      <c r="AR85" s="55"/>
      <c r="AS85" s="55"/>
    </row>
    <row r="86" spans="1:46" ht="35.25" customHeight="1" thickBot="1" x14ac:dyDescent="0.3">
      <c r="A86" s="845" t="s">
        <v>92</v>
      </c>
      <c r="B86" s="1841" t="s">
        <v>1498</v>
      </c>
      <c r="C86" s="1844"/>
      <c r="D86" s="1844"/>
      <c r="E86" s="1844"/>
      <c r="F86" s="1844"/>
      <c r="G86" s="1844"/>
      <c r="H86" s="1844"/>
      <c r="I86" s="1844"/>
      <c r="J86" s="1844"/>
      <c r="K86" s="1845"/>
      <c r="L86" s="1213">
        <f t="shared" ref="L86:AA86" si="137">SUM(L87:L91)</f>
        <v>490058.56</v>
      </c>
      <c r="M86" s="1213">
        <f ca="1">SUM(M87:M91)</f>
        <v>421638.05</v>
      </c>
      <c r="N86" s="1213">
        <f ca="1">SUM(N87:N91)</f>
        <v>-2668.4900000000052</v>
      </c>
      <c r="O86" s="1213">
        <f t="shared" si="137"/>
        <v>77351.429999999993</v>
      </c>
      <c r="P86" s="1213">
        <f ca="1">SUM(P87:P91)</f>
        <v>69600.359999999986</v>
      </c>
      <c r="Q86" s="1213">
        <f ca="1">SUM(Q87:Q91)</f>
        <v>-6714.9299999999967</v>
      </c>
      <c r="R86" s="1213">
        <f t="shared" si="137"/>
        <v>0</v>
      </c>
      <c r="S86" s="1213">
        <f ca="1">SUM(S87:S91)</f>
        <v>0</v>
      </c>
      <c r="T86" s="1213">
        <f ca="1">SUM(T87:T91)</f>
        <v>0</v>
      </c>
      <c r="U86" s="1213">
        <f t="shared" si="137"/>
        <v>0</v>
      </c>
      <c r="V86" s="1213">
        <f ca="1">SUM(V87:V91)</f>
        <v>0</v>
      </c>
      <c r="W86" s="1213">
        <f ca="1">SUM(W87:W91)</f>
        <v>0</v>
      </c>
      <c r="X86" s="1213">
        <f t="shared" si="137"/>
        <v>0</v>
      </c>
      <c r="Y86" s="1213">
        <f ca="1">SUM(Y87:Y91)</f>
        <v>0</v>
      </c>
      <c r="Z86" s="1213">
        <f ca="1">SUM(Z87:Z91)</f>
        <v>0</v>
      </c>
      <c r="AA86" s="1213">
        <f t="shared" si="137"/>
        <v>412707.13</v>
      </c>
      <c r="AB86" s="1213">
        <f>SUM('IV-2 vrsa'!R66)</f>
        <v>0</v>
      </c>
      <c r="AC86" s="825"/>
      <c r="AD86" s="825">
        <f ca="1">SUM(AD87:AD91)</f>
        <v>352037.69</v>
      </c>
      <c r="AE86" s="825">
        <f ca="1">SUM(AE87:AE91)</f>
        <v>4046.4400000000023</v>
      </c>
      <c r="AF86" s="825"/>
      <c r="AG86" s="842"/>
      <c r="AH86" s="842"/>
      <c r="AI86" s="842"/>
      <c r="AJ86" s="843"/>
      <c r="AK86" s="1230"/>
      <c r="AL86" s="1229">
        <f>SUM(AL87:AL91)</f>
        <v>0</v>
      </c>
      <c r="AM86" s="374">
        <f t="shared" ref="AM86:AP86" si="138">SUM(AM87:AM91)</f>
        <v>189941</v>
      </c>
      <c r="AN86" s="374">
        <f t="shared" si="138"/>
        <v>166143.13</v>
      </c>
      <c r="AO86" s="374">
        <f t="shared" si="138"/>
        <v>56623</v>
      </c>
      <c r="AP86" s="983">
        <f t="shared" si="138"/>
        <v>0</v>
      </c>
      <c r="AQ86" s="55">
        <f>SUM('IV-2 amsa'!X32+'IV-2 arsa'!W37+'IV-2 dsa'!W39+'IV-2 lrsa'!X37+'IV-2 vrsa'!X42)</f>
        <v>416584.96000000002</v>
      </c>
      <c r="AR86" s="55">
        <f>SUM(AQ86*120/100)</f>
        <v>499901.95200000005</v>
      </c>
      <c r="AS86" s="55">
        <f>SUM(AQ86-AA86)</f>
        <v>3877.8300000000163</v>
      </c>
    </row>
    <row r="87" spans="1:46" ht="39" thickBot="1" x14ac:dyDescent="0.3">
      <c r="A87" s="342" t="s">
        <v>93</v>
      </c>
      <c r="B87" s="342" t="s">
        <v>1327</v>
      </c>
      <c r="C87" s="1011" t="str">
        <f>CONCATENATE('ketv. 2'!B86)</f>
        <v>04.5.1-TID-R-516-11-0004</v>
      </c>
      <c r="D87" s="342" t="str">
        <f>CONCATENATE('IV-2 vrsa'!D43)</f>
        <v>Dviračių ir pėsčiųjų takų įrengimas Varėnos miesto J. Basanavičiaus ir Žiedo gatvėse</v>
      </c>
      <c r="E87" s="342" t="str">
        <f>CONCATENATE('IV-2 vrsa'!E43)</f>
        <v>Varėnos rajono savivaldybės administracija</v>
      </c>
      <c r="F87" s="342" t="str">
        <f>CONCATENATE('IV-2 vrsa'!F43)</f>
        <v>Lietuvos Respublikos susisiekimo ministerija</v>
      </c>
      <c r="G87" s="342" t="str">
        <f>CONCATENATE('IV-2 vrsa'!G43)</f>
        <v>Varėnos r. sav.</v>
      </c>
      <c r="H87" s="345" t="str">
        <f>CONCATENATE('IV-2 vrsa'!H43)</f>
        <v>04.5.1-TID-R-516</v>
      </c>
      <c r="I87" s="345" t="str">
        <f>CONCATENATE('IV-2 vrsa'!I43)</f>
        <v>R</v>
      </c>
      <c r="J87" s="345" t="str">
        <f>CONCATENATE('IV-2 vrsa'!J43)</f>
        <v>ITI</v>
      </c>
      <c r="K87" s="345" t="str">
        <f>CONCATENATE('IV-2 vrsa'!K43)</f>
        <v>-</v>
      </c>
      <c r="L87" s="1217">
        <f>SUM('IV-2 vrsa'!L43)</f>
        <v>96513</v>
      </c>
      <c r="M87" s="1217">
        <f ca="1">SUM('ketv. 6 '!L86)</f>
        <v>95080</v>
      </c>
      <c r="N87" s="1217">
        <f t="shared" ref="N87:N91" ca="1" si="139">IF(M87&gt;0,L87-M87,0)</f>
        <v>1433</v>
      </c>
      <c r="O87" s="1217">
        <f>SUM('IV-2 vrsa'!M43)</f>
        <v>14477</v>
      </c>
      <c r="P87" s="1217">
        <f ca="1">SUM('ketv. 6 '!P86)</f>
        <v>14270</v>
      </c>
      <c r="Q87" s="1217">
        <f t="shared" ref="Q87:Q91" ca="1" si="140">IF(P87&gt;0,O87-P87,0)</f>
        <v>207</v>
      </c>
      <c r="R87" s="1217">
        <f>SUM('IV-2 vrsa'!N43)</f>
        <v>0</v>
      </c>
      <c r="S87" s="1217">
        <f ca="1">SUM('ketv. 6 '!T86)</f>
        <v>0</v>
      </c>
      <c r="T87" s="1217">
        <f t="shared" ref="T87:T91" ca="1" si="141">IF(S87&gt;0,R87-S87,0)</f>
        <v>0</v>
      </c>
      <c r="U87" s="1217">
        <f>SUM('IV-2 vrsa'!O43)</f>
        <v>0</v>
      </c>
      <c r="V87" s="1217">
        <f ca="1">SUM('ketv. 6 '!X86)</f>
        <v>0</v>
      </c>
      <c r="W87" s="1217">
        <f t="shared" ref="W87:W91" ca="1" si="142">IF(V87&gt;0,U87-V87,0)</f>
        <v>0</v>
      </c>
      <c r="X87" s="1217">
        <f>SUM('IV-2 vrsa'!P43)</f>
        <v>0</v>
      </c>
      <c r="Y87" s="1217">
        <f ca="1">SUM('ketv. 6 '!AB86)</f>
        <v>0</v>
      </c>
      <c r="Z87" s="1217">
        <f t="shared" ref="Z87:Z91" ca="1" si="143">IF(Y87&gt;0,X87-Y87,0)</f>
        <v>0</v>
      </c>
      <c r="AA87" s="1217">
        <f>SUM('IV-2 vrsa'!Q43)</f>
        <v>82036</v>
      </c>
      <c r="AB87" s="1217">
        <f>SUM('IV-2 vrsa'!R67)</f>
        <v>0</v>
      </c>
      <c r="AC87" s="306" t="str">
        <f>IF('ketv. 4 '!X87&gt;0,"Taip","Ne")</f>
        <v>Taip</v>
      </c>
      <c r="AD87" s="306">
        <f ca="1">SUM('ketv. 6 '!AF86)</f>
        <v>80810</v>
      </c>
      <c r="AE87" s="306">
        <f ca="1">IF(AD87&gt;0,AA87-AD87,0)</f>
        <v>1226</v>
      </c>
      <c r="AF87" s="721">
        <f>SUM('IV-2 vrsa'!S43)</f>
        <v>42660</v>
      </c>
      <c r="AG87" s="373">
        <f>SUM('IV-2 vrsa'!T43)</f>
        <v>42735</v>
      </c>
      <c r="AH87" s="373">
        <f>SUM('IV-2 vrsa'!U43)</f>
        <v>43100</v>
      </c>
      <c r="AI87" s="373">
        <f>SUM('IV-2 vrsa'!V43)</f>
        <v>43190</v>
      </c>
      <c r="AJ87" s="375">
        <f t="shared" ref="AJ87:AJ91" si="144">IF(YEAR(AI87),YEAR(AI87))</f>
        <v>2018</v>
      </c>
      <c r="AK87" s="829">
        <f>SUM('IV-2 vrsa'!W43)</f>
        <v>43465</v>
      </c>
      <c r="AL87" s="1229">
        <f>IF(YEAR(AI87)=2016,AA87,0)</f>
        <v>0</v>
      </c>
      <c r="AM87" s="374">
        <f>IF(YEAR(AI87)=2017,AA87,0)</f>
        <v>0</v>
      </c>
      <c r="AN87" s="374">
        <f>IF(YEAR(AI87)=2018,AA87,0)</f>
        <v>82036</v>
      </c>
      <c r="AO87" s="374">
        <f>IF(YEAR(AI87)=2019,AA87,0)</f>
        <v>0</v>
      </c>
      <c r="AP87" s="830">
        <f>IF(YEAR(AI87)=2020,AA87,0)</f>
        <v>0</v>
      </c>
      <c r="AQ87" s="55"/>
      <c r="AR87" s="55"/>
      <c r="AS87" s="55"/>
    </row>
    <row r="88" spans="1:46" ht="39.75" thickTop="1" thickBot="1" x14ac:dyDescent="0.3">
      <c r="A88" s="342" t="s">
        <v>172</v>
      </c>
      <c r="B88" s="342" t="s">
        <v>1328</v>
      </c>
      <c r="C88" s="1012" t="str">
        <f>CONCATENATE('ketv. 2'!B87)</f>
        <v>04.5.1-TID-R-516-11-0001</v>
      </c>
      <c r="D88" s="342" t="str">
        <f>CONCATENATE('IV-2 amsa'!D33)</f>
        <v>Dviračių trasų infrastruktūros įrengimas nuo Putinų g. žiedo Pramonės gatvėje, Alytaus mieste</v>
      </c>
      <c r="E88" s="342" t="str">
        <f>CONCATENATE('IV-2 amsa'!E33)</f>
        <v>Alytaus miesto savivaldybės administracija</v>
      </c>
      <c r="F88" s="342" t="str">
        <f>CONCATENATE('IV-2 amsa'!F33)</f>
        <v>Lietuvos Respublikos susisiekimo ministerija</v>
      </c>
      <c r="G88" s="342" t="str">
        <f>CONCATENATE('IV-2 amsa'!G33)</f>
        <v>Alytaus m. sav.</v>
      </c>
      <c r="H88" s="345" t="str">
        <f>CONCATENATE('IV-2 amsa'!H33)</f>
        <v>04.5.1-TID-R-516</v>
      </c>
      <c r="I88" s="345" t="str">
        <f>CONCATENATE('IV-2 amsa'!I33)</f>
        <v>R</v>
      </c>
      <c r="J88" s="345" t="str">
        <f>CONCATENATE('IV-2 amsa'!J33)</f>
        <v>ITI</v>
      </c>
      <c r="K88" s="345" t="str">
        <f>CONCATENATE('IV-2 amsa'!K33)</f>
        <v>-</v>
      </c>
      <c r="L88" s="1217">
        <f>SUM('IV-2 amsa'!L33)</f>
        <v>135732</v>
      </c>
      <c r="M88" s="1217">
        <f ca="1">SUM('ketv. 6 '!L87)</f>
        <v>133670.07</v>
      </c>
      <c r="N88" s="1217">
        <f t="shared" ca="1" si="139"/>
        <v>2061.929999999993</v>
      </c>
      <c r="O88" s="1217">
        <f>SUM('IV-2 amsa'!M33)</f>
        <v>20400</v>
      </c>
      <c r="P88" s="1217">
        <f ca="1">SUM('ketv. 6 '!P87)</f>
        <v>20050.509999999998</v>
      </c>
      <c r="Q88" s="1217">
        <f ca="1">IF(P88&gt;0,O88-P88,0)</f>
        <v>349.4900000000016</v>
      </c>
      <c r="R88" s="1217">
        <f>SUM('IV-2 amsa'!N33)</f>
        <v>0</v>
      </c>
      <c r="S88" s="1217">
        <f ca="1">SUM('ketv. 6 '!T87)</f>
        <v>0</v>
      </c>
      <c r="T88" s="1217">
        <f t="shared" ca="1" si="141"/>
        <v>0</v>
      </c>
      <c r="U88" s="1217">
        <f>SUM('IV-2 amsa'!O33)</f>
        <v>0</v>
      </c>
      <c r="V88" s="1217">
        <f ca="1">SUM('ketv. 6 '!X87)</f>
        <v>0</v>
      </c>
      <c r="W88" s="1217">
        <f t="shared" ca="1" si="142"/>
        <v>0</v>
      </c>
      <c r="X88" s="1217">
        <f>SUM('IV-2 amsa'!P33)</f>
        <v>0</v>
      </c>
      <c r="Y88" s="1217">
        <f ca="1">SUM('ketv. 6 '!AB87)</f>
        <v>0</v>
      </c>
      <c r="Z88" s="1217">
        <f t="shared" ca="1" si="143"/>
        <v>0</v>
      </c>
      <c r="AA88" s="1217">
        <f>SUM('IV-2 amsa'!Q33)</f>
        <v>115332</v>
      </c>
      <c r="AB88" s="1217">
        <f>SUM('IV-2 vrsa'!R68)</f>
        <v>0</v>
      </c>
      <c r="AC88" s="306" t="str">
        <f>IF('ketv. 4 '!X88&gt;0,"Taip","Ne")</f>
        <v>Taip</v>
      </c>
      <c r="AD88" s="306">
        <f ca="1">SUM('ketv. 6 '!AF87)</f>
        <v>113619.56</v>
      </c>
      <c r="AE88" s="306">
        <f ca="1">IF(AD88&gt;0,AA88-AD88,0)</f>
        <v>1712.4400000000023</v>
      </c>
      <c r="AF88" s="721">
        <f>SUM('IV-2 amsa'!S33)</f>
        <v>42660</v>
      </c>
      <c r="AG88" s="373">
        <f>SUM('IV-2 amsa'!T33)</f>
        <v>42643</v>
      </c>
      <c r="AH88" s="373">
        <f>SUM('IV-2 amsa'!U33)</f>
        <v>42916</v>
      </c>
      <c r="AI88" s="373">
        <f>SUM('IV-2 amsa'!V33)</f>
        <v>42978</v>
      </c>
      <c r="AJ88" s="375">
        <f t="shared" si="144"/>
        <v>2017</v>
      </c>
      <c r="AK88" s="829">
        <f>SUM('IV-2 amsa'!W33)</f>
        <v>43465</v>
      </c>
      <c r="AL88" s="306">
        <f>IF(YEAR(AI88)=2016,AA88,0)</f>
        <v>0</v>
      </c>
      <c r="AM88" s="306">
        <f>IF(YEAR(AI88)=2017,AA88,0)</f>
        <v>115332</v>
      </c>
      <c r="AN88" s="306">
        <f>IF(YEAR(AI88)=2018,AA88,0)</f>
        <v>0</v>
      </c>
      <c r="AO88" s="306">
        <f>IF(YEAR(AI88)=2019,AA88,0)</f>
        <v>0</v>
      </c>
      <c r="AP88" s="830">
        <f>IF(YEAR(AI88)=2020,AA88,0)</f>
        <v>0</v>
      </c>
      <c r="AQ88" s="55"/>
      <c r="AR88" s="55"/>
      <c r="AS88" s="55"/>
    </row>
    <row r="89" spans="1:46" ht="39.75" thickTop="1" thickBot="1" x14ac:dyDescent="0.3">
      <c r="A89" s="342" t="s">
        <v>173</v>
      </c>
      <c r="B89" s="342" t="s">
        <v>1329</v>
      </c>
      <c r="C89" s="1012" t="str">
        <f>CONCATENATE('ketv. 2'!B88)</f>
        <v>04.5.1-TID-R-516-11-0002</v>
      </c>
      <c r="D89" s="342" t="str">
        <f>CONCATENATE('IV-2 lrsa'!D38)</f>
        <v>Dviračių ir pėsčiųjų takų plėtra Lazdijų miesto Turistų gatvėje iki sodų bendrijos „Baltasis“ Lazdijų seniūnijoje</v>
      </c>
      <c r="E89" s="342" t="str">
        <f>CONCATENATE('IV-2 lrsa'!E38)</f>
        <v>Lazdijų rajono savivaldybės administracija</v>
      </c>
      <c r="F89" s="342" t="str">
        <f>CONCATENATE('IV-2 lrsa'!F38)</f>
        <v>Lietuvos Respublikos susisiekimo ministerija</v>
      </c>
      <c r="G89" s="342" t="str">
        <f>CONCATENATE('IV-2 lrsa'!G38)</f>
        <v>Lazdijų r. sav.</v>
      </c>
      <c r="H89" s="345" t="str">
        <f>CONCATENATE('IV-2 lrsa'!H38)</f>
        <v>04.5.1-TID-R-516</v>
      </c>
      <c r="I89" s="345" t="str">
        <f>CONCATENATE('IV-2 lrsa'!I38)</f>
        <v>R</v>
      </c>
      <c r="J89" s="345" t="str">
        <f>CONCATENATE('IV-2 lrsa'!J38)</f>
        <v>ITI</v>
      </c>
      <c r="K89" s="345" t="str">
        <f>CONCATENATE('IV-2 lrsa'!K38)</f>
        <v>-</v>
      </c>
      <c r="L89" s="1217">
        <f>SUM('IV-2 lrsa'!L38)</f>
        <v>87775</v>
      </c>
      <c r="M89" s="1217">
        <f ca="1">SUM('ketv. 6 '!L88)</f>
        <v>93938.42</v>
      </c>
      <c r="N89" s="1217">
        <f t="shared" ca="1" si="139"/>
        <v>-6163.4199999999983</v>
      </c>
      <c r="O89" s="1217">
        <f>SUM('IV-2 lrsa'!M38)</f>
        <v>13166</v>
      </c>
      <c r="P89" s="1217">
        <f ca="1">SUM('ketv. 6 '!P88)</f>
        <v>20437.419999999998</v>
      </c>
      <c r="Q89" s="1217">
        <f t="shared" ca="1" si="140"/>
        <v>-7271.4199999999983</v>
      </c>
      <c r="R89" s="1217">
        <f>SUM('IV-2 lrsa'!N38)</f>
        <v>0</v>
      </c>
      <c r="S89" s="1217">
        <f ca="1">SUM('ketv. 6 '!T88)</f>
        <v>0</v>
      </c>
      <c r="T89" s="1217">
        <f t="shared" ca="1" si="141"/>
        <v>0</v>
      </c>
      <c r="U89" s="1217">
        <f>SUM('IV-2 lrsa'!O38)</f>
        <v>0</v>
      </c>
      <c r="V89" s="1217">
        <f ca="1">SUM('ketv. 6 '!X88)</f>
        <v>0</v>
      </c>
      <c r="W89" s="1217">
        <f t="shared" ca="1" si="142"/>
        <v>0</v>
      </c>
      <c r="X89" s="1217">
        <f>SUM('IV-2 lrsa'!P38)</f>
        <v>0</v>
      </c>
      <c r="Y89" s="1217">
        <f ca="1">SUM('ketv. 6 '!AB88)</f>
        <v>0</v>
      </c>
      <c r="Z89" s="1217">
        <f t="shared" ca="1" si="143"/>
        <v>0</v>
      </c>
      <c r="AA89" s="1217">
        <f>SUM('IV-2 lrsa'!Q38)</f>
        <v>74609</v>
      </c>
      <c r="AB89" s="1217">
        <f>SUM('IV-2 vrsa'!R69)</f>
        <v>0</v>
      </c>
      <c r="AC89" s="306" t="str">
        <f>IF('ketv. 4 '!X89&gt;0,"Taip","Ne")</f>
        <v>Taip</v>
      </c>
      <c r="AD89" s="306">
        <f ca="1">SUM('ketv. 6 '!AF88)</f>
        <v>73501</v>
      </c>
      <c r="AE89" s="306">
        <f ca="1">IF(AD89&gt;0,AA89-AD89,0)</f>
        <v>1108</v>
      </c>
      <c r="AF89" s="721">
        <f>SUM('IV-2 lrsa'!S38)</f>
        <v>42660</v>
      </c>
      <c r="AG89" s="373">
        <f>SUM('IV-2 lrsa'!T38)</f>
        <v>42735</v>
      </c>
      <c r="AH89" s="373">
        <f>SUM('IV-2 lrsa'!U38)</f>
        <v>43010</v>
      </c>
      <c r="AI89" s="373">
        <f>SUM('IV-2 lrsa'!V38)</f>
        <v>43100</v>
      </c>
      <c r="AJ89" s="375">
        <f t="shared" si="144"/>
        <v>2017</v>
      </c>
      <c r="AK89" s="829">
        <f>SUM('IV-2 lrsa'!W38)</f>
        <v>43830</v>
      </c>
      <c r="AL89" s="306">
        <f>IF(YEAR(AI89)=2016,AA89,0)</f>
        <v>0</v>
      </c>
      <c r="AM89" s="306">
        <f>IF(YEAR(AI89)=2017,AA89,0)</f>
        <v>74609</v>
      </c>
      <c r="AN89" s="306">
        <f>IF(YEAR(AI89)=2018,AA89,0)</f>
        <v>0</v>
      </c>
      <c r="AO89" s="306">
        <f>IF(YEAR(AI89)=2019,AA89,0)</f>
        <v>0</v>
      </c>
      <c r="AP89" s="830">
        <f>IF(YEAR(AI89)=2020,AA89,0)</f>
        <v>0</v>
      </c>
      <c r="AQ89" s="55"/>
      <c r="AR89" s="55"/>
      <c r="AS89" s="55"/>
    </row>
    <row r="90" spans="1:46" ht="39.75" thickTop="1" thickBot="1" x14ac:dyDescent="0.3">
      <c r="A90" s="342" t="s">
        <v>198</v>
      </c>
      <c r="B90" s="342" t="s">
        <v>1778</v>
      </c>
      <c r="C90" s="1012" t="str">
        <f>CONCATENATE('ketv. 2'!B89)</f>
        <v>04.5.1-TID-R-516-11-0005</v>
      </c>
      <c r="D90" s="342" t="str">
        <f>CONCATENATE('IV-2 arsa'!C38)</f>
        <v>Pėsčiųjų ir dviračių takų plėtra Simno seniūnijoje</v>
      </c>
      <c r="E90" s="342" t="str">
        <f>CONCATENATE('IV-2 arsa'!D38)</f>
        <v>Alytaus rajono savivaldybės administracija</v>
      </c>
      <c r="F90" s="342" t="str">
        <f>CONCATENATE('IV-2 arsa'!E38)</f>
        <v>Lietuvos Respublikos susisiekimo ministerija</v>
      </c>
      <c r="G90" s="342" t="str">
        <f>CONCATENATE('IV-2 arsa'!F38)</f>
        <v>Alytaus r. sav.</v>
      </c>
      <c r="H90" s="345" t="str">
        <f>CONCATENATE('IV-2 arsa'!G38)</f>
        <v>04.5.1-TID-R-516</v>
      </c>
      <c r="I90" s="345" t="str">
        <f>CONCATENATE('IV-2 arsa'!H38)</f>
        <v>R</v>
      </c>
      <c r="J90" s="345" t="str">
        <f>CONCATENATE('IV-2 arsa'!I38)</f>
        <v>-</v>
      </c>
      <c r="K90" s="345" t="str">
        <f>CONCATENATE('IV-2 arsa'!J38)</f>
        <v>-</v>
      </c>
      <c r="L90" s="1217">
        <f>SUM('IV-2 arsa'!K38)</f>
        <v>98949.56</v>
      </c>
      <c r="M90" s="1217">
        <f ca="1">SUM('ketv. 6 '!L89)</f>
        <v>98949.56</v>
      </c>
      <c r="N90" s="1217">
        <f t="shared" ca="1" si="139"/>
        <v>0</v>
      </c>
      <c r="O90" s="1217">
        <f>SUM('IV-2 arsa'!L38)</f>
        <v>14842.43</v>
      </c>
      <c r="P90" s="1217">
        <f ca="1">SUM('ketv. 6 '!P89)</f>
        <v>14842.43</v>
      </c>
      <c r="Q90" s="1217">
        <f t="shared" ca="1" si="140"/>
        <v>0</v>
      </c>
      <c r="R90" s="1217">
        <f>SUM('IV-2 arsa'!M38)</f>
        <v>0</v>
      </c>
      <c r="S90" s="1217">
        <f ca="1">SUM('ketv. 6 '!T89)</f>
        <v>0</v>
      </c>
      <c r="T90" s="1217">
        <f t="shared" ca="1" si="141"/>
        <v>0</v>
      </c>
      <c r="U90" s="1217">
        <f>SUM('IV-2 arsa'!N38)</f>
        <v>0</v>
      </c>
      <c r="V90" s="1217">
        <f ca="1">SUM('ketv. 6 '!X89)</f>
        <v>0</v>
      </c>
      <c r="W90" s="1217">
        <f t="shared" ca="1" si="142"/>
        <v>0</v>
      </c>
      <c r="X90" s="1217">
        <f>SUM('IV-2 arsa'!O38)</f>
        <v>0</v>
      </c>
      <c r="Y90" s="1217">
        <f ca="1">SUM('ketv. 6 '!AB89)</f>
        <v>0</v>
      </c>
      <c r="Z90" s="1217">
        <f t="shared" ca="1" si="143"/>
        <v>0</v>
      </c>
      <c r="AA90" s="1217">
        <f>SUM('IV-2 arsa'!P38)</f>
        <v>84107.13</v>
      </c>
      <c r="AB90" s="1217">
        <f>SUM('IV-2 vrsa'!R70)</f>
        <v>0</v>
      </c>
      <c r="AC90" s="306" t="str">
        <f>IF('ketv. 4 '!X90&gt;0,"Taip","Ne")</f>
        <v>Taip</v>
      </c>
      <c r="AD90" s="306">
        <f ca="1">SUM('ketv. 6 '!AF89)</f>
        <v>84107.13</v>
      </c>
      <c r="AE90" s="306">
        <f ca="1">IF(AD90&gt;0,AA90-AD90,0)</f>
        <v>0</v>
      </c>
      <c r="AF90" s="721">
        <f>SUM('IV-2 arsa'!R38)</f>
        <v>42660</v>
      </c>
      <c r="AG90" s="373">
        <f>SUM('IV-2 arsa'!S38)</f>
        <v>42754</v>
      </c>
      <c r="AH90" s="373">
        <f>SUM('IV-2 arsa'!T38)</f>
        <v>43131</v>
      </c>
      <c r="AI90" s="373">
        <f>SUM('IV-2 arsa'!U38)</f>
        <v>43220</v>
      </c>
      <c r="AJ90" s="375">
        <f t="shared" si="144"/>
        <v>2018</v>
      </c>
      <c r="AK90" s="829">
        <f>SUM('IV-2 arsa'!V38)</f>
        <v>43830</v>
      </c>
      <c r="AL90" s="306">
        <f>IF(YEAR(AI90)=2016,AA90,0)</f>
        <v>0</v>
      </c>
      <c r="AM90" s="306">
        <f>IF(YEAR(AI90)=2017,AA90,0)</f>
        <v>0</v>
      </c>
      <c r="AN90" s="306">
        <f>IF(YEAR(AI90)=2018,AA90,0)</f>
        <v>84107.13</v>
      </c>
      <c r="AO90" s="306">
        <f>IF(YEAR(AI90)=2019,AA90,0)</f>
        <v>0</v>
      </c>
      <c r="AP90" s="830">
        <f>IF(YEAR(AI90)=2020,AA90,0)</f>
        <v>0</v>
      </c>
      <c r="AQ90" s="377"/>
      <c r="AR90" s="55"/>
      <c r="AS90" s="55"/>
    </row>
    <row r="91" spans="1:46" ht="39.75" thickTop="1" thickBot="1" x14ac:dyDescent="0.3">
      <c r="A91" s="342" t="s">
        <v>230</v>
      </c>
      <c r="B91" s="342" t="s">
        <v>1330</v>
      </c>
      <c r="C91" s="1013" t="str">
        <f>CONCATENATE('ketv. 2'!B90)</f>
        <v/>
      </c>
      <c r="D91" s="342" t="str">
        <f>CONCATENATE('IV-2 dsa'!C40)</f>
        <v>Dviračių ir pėsčiųjų tako, esančio šalia Ratnyčios upelio, Druskininkų mieste, rekonstrukcija</v>
      </c>
      <c r="E91" s="342" t="str">
        <f>CONCATENATE('IV-2 dsa'!D40)</f>
        <v xml:space="preserve">Druskininkų savivaldybės administracija  </v>
      </c>
      <c r="F91" s="342" t="str">
        <f>CONCATENATE('IV-2 dsa'!E40)</f>
        <v>Lietuvos Respublikos susisiekimo ministerija</v>
      </c>
      <c r="G91" s="342" t="str">
        <f>CONCATENATE('IV-2 dsa'!F40)</f>
        <v>Druskininkų sav.</v>
      </c>
      <c r="H91" s="345" t="str">
        <f>CONCATENATE('IV-2 dsa'!G40)</f>
        <v>04.5.1-TID-R-516</v>
      </c>
      <c r="I91" s="345" t="str">
        <f>CONCATENATE('IV-2 dsa'!H40)</f>
        <v>R</v>
      </c>
      <c r="J91" s="345" t="str">
        <f>CONCATENATE('IV-2 dsa'!I40)</f>
        <v>-</v>
      </c>
      <c r="K91" s="345" t="str">
        <f>CONCATENATE('IV-2 dsa'!J40)</f>
        <v>-</v>
      </c>
      <c r="L91" s="1217">
        <f>SUM('IV-2 dsa'!K40)</f>
        <v>71089</v>
      </c>
      <c r="M91" s="1217">
        <f ca="1">SUM('ketv. 6 '!L90)</f>
        <v>0</v>
      </c>
      <c r="N91" s="1217">
        <f t="shared" ca="1" si="139"/>
        <v>0</v>
      </c>
      <c r="O91" s="1217">
        <f>SUM('IV-2 dsa'!L40)</f>
        <v>14466</v>
      </c>
      <c r="P91" s="1217">
        <f ca="1">SUM('ketv. 6 '!P90)</f>
        <v>0</v>
      </c>
      <c r="Q91" s="1217">
        <f t="shared" ca="1" si="140"/>
        <v>0</v>
      </c>
      <c r="R91" s="1217">
        <f>SUM('IV-2 dsa'!M40)</f>
        <v>0</v>
      </c>
      <c r="S91" s="1217">
        <f ca="1">SUM('ketv. 6 '!T90)</f>
        <v>0</v>
      </c>
      <c r="T91" s="1217">
        <f t="shared" ca="1" si="141"/>
        <v>0</v>
      </c>
      <c r="U91" s="1217">
        <f>SUM('IV-2 dsa'!N40)</f>
        <v>0</v>
      </c>
      <c r="V91" s="1217">
        <f ca="1">SUM('ketv. 6 '!X90)</f>
        <v>0</v>
      </c>
      <c r="W91" s="1217">
        <f t="shared" ca="1" si="142"/>
        <v>0</v>
      </c>
      <c r="X91" s="1217">
        <f>SUM('IV-2 dsa'!O40)</f>
        <v>0</v>
      </c>
      <c r="Y91" s="1217">
        <f ca="1">SUM('ketv. 6 '!AB90)</f>
        <v>0</v>
      </c>
      <c r="Z91" s="1217">
        <f t="shared" ca="1" si="143"/>
        <v>0</v>
      </c>
      <c r="AA91" s="1217">
        <f>SUM('IV-2 dsa'!P40)</f>
        <v>56623</v>
      </c>
      <c r="AB91" s="1217">
        <f>SUM('IV-2 vrsa'!R71)</f>
        <v>0</v>
      </c>
      <c r="AC91" s="306" t="str">
        <f>IF('ketv. 4 '!X91&gt;0,"Taip","Ne")</f>
        <v>Ne</v>
      </c>
      <c r="AD91" s="306">
        <f ca="1">SUM('ketv. 6 '!AF90)</f>
        <v>0</v>
      </c>
      <c r="AE91" s="306">
        <f ca="1">IF(AD91&gt;0,AA91-AD91,0)</f>
        <v>0</v>
      </c>
      <c r="AF91" s="721">
        <f>SUM('IV-2 dsa'!R40)</f>
        <v>42660</v>
      </c>
      <c r="AG91" s="373">
        <f>SUM('IV-2 dsa'!S40)</f>
        <v>42754</v>
      </c>
      <c r="AH91" s="373">
        <f>SUM('IV-2 dsa'!T40)</f>
        <v>43510</v>
      </c>
      <c r="AI91" s="373">
        <f>SUM('IV-2 dsa'!U40)</f>
        <v>43599</v>
      </c>
      <c r="AJ91" s="375">
        <f t="shared" si="144"/>
        <v>2019</v>
      </c>
      <c r="AK91" s="829">
        <f>SUM('IV-2 dsa'!V40)</f>
        <v>43997</v>
      </c>
      <c r="AL91" s="306">
        <f>IF(YEAR(AI91)=2016,AA91,0)</f>
        <v>0</v>
      </c>
      <c r="AM91" s="306">
        <f>IF(YEAR(AI91)=2017,AA91,0)</f>
        <v>0</v>
      </c>
      <c r="AN91" s="306">
        <f>IF(YEAR(AI91)=2018,AA91,0)</f>
        <v>0</v>
      </c>
      <c r="AO91" s="306">
        <f>IF(YEAR(AI91)=2019,AA91,0)</f>
        <v>56623</v>
      </c>
      <c r="AP91" s="830">
        <f>IF(YEAR(AI91)=2020,AA91,0)</f>
        <v>0</v>
      </c>
      <c r="AQ91" s="380"/>
      <c r="AR91" s="55"/>
      <c r="AS91" s="55"/>
    </row>
    <row r="92" spans="1:46" ht="33" customHeight="1" thickBot="1" x14ac:dyDescent="0.3">
      <c r="A92" s="845" t="s">
        <v>94</v>
      </c>
      <c r="B92" s="1841" t="s">
        <v>1499</v>
      </c>
      <c r="C92" s="1844"/>
      <c r="D92" s="1844"/>
      <c r="E92" s="1844"/>
      <c r="F92" s="1844"/>
      <c r="G92" s="1844"/>
      <c r="H92" s="1844"/>
      <c r="I92" s="1844"/>
      <c r="J92" s="1844"/>
      <c r="K92" s="1845"/>
      <c r="L92" s="1213">
        <f t="shared" ref="L92:X92" si="145">SUM(L93:L99)</f>
        <v>4981539.82</v>
      </c>
      <c r="M92" s="1213">
        <f t="shared" ca="1" si="145"/>
        <v>13732886.52</v>
      </c>
      <c r="N92" s="1213">
        <f t="shared" ca="1" si="145"/>
        <v>-10325105.540000001</v>
      </c>
      <c r="O92" s="1213">
        <f t="shared" si="145"/>
        <v>1866072.8199999998</v>
      </c>
      <c r="P92" s="1213">
        <f t="shared" ca="1" si="145"/>
        <v>2215654.48</v>
      </c>
      <c r="Q92" s="1213">
        <f t="shared" ca="1" si="145"/>
        <v>-1288392.5</v>
      </c>
      <c r="R92" s="1213">
        <f t="shared" si="145"/>
        <v>0</v>
      </c>
      <c r="S92" s="1213">
        <f t="shared" ca="1" si="145"/>
        <v>303389.90999999997</v>
      </c>
      <c r="T92" s="1213">
        <f t="shared" ca="1" si="145"/>
        <v>-303389.90999999997</v>
      </c>
      <c r="U92" s="1213">
        <f t="shared" si="145"/>
        <v>0</v>
      </c>
      <c r="V92" s="1213">
        <f t="shared" ca="1" si="145"/>
        <v>0</v>
      </c>
      <c r="W92" s="1213">
        <f t="shared" ca="1" si="145"/>
        <v>0</v>
      </c>
      <c r="X92" s="1213">
        <f t="shared" si="145"/>
        <v>62660</v>
      </c>
      <c r="Y92" s="1213">
        <f ca="1">SUM(Y93:Y98)</f>
        <v>62660</v>
      </c>
      <c r="Z92" s="1213">
        <f ca="1">SUM(Z93:Z98)</f>
        <v>0</v>
      </c>
      <c r="AA92" s="1213">
        <f>SUM(AA93:AA99)</f>
        <v>3052807</v>
      </c>
      <c r="AB92" s="1213">
        <f>SUM('IV-2 vrsa'!R72)</f>
        <v>0</v>
      </c>
      <c r="AC92" s="835"/>
      <c r="AD92" s="835">
        <f ca="1">SUM(AD93:AD98)</f>
        <v>2304870</v>
      </c>
      <c r="AE92" s="835">
        <f ca="1">SUM(AE93:AE98)</f>
        <v>0</v>
      </c>
      <c r="AF92" s="835"/>
      <c r="AG92" s="836"/>
      <c r="AH92" s="836"/>
      <c r="AI92" s="836"/>
      <c r="AJ92" s="837"/>
      <c r="AK92" s="838"/>
      <c r="AL92" s="817">
        <f>SUM(AL93:AL99)</f>
        <v>0</v>
      </c>
      <c r="AM92" s="817">
        <f t="shared" ref="AM92:AP92" si="146">SUM(AM93:AM99)</f>
        <v>1458082</v>
      </c>
      <c r="AN92" s="817">
        <f t="shared" si="146"/>
        <v>1481736</v>
      </c>
      <c r="AO92" s="817">
        <f t="shared" si="146"/>
        <v>112989</v>
      </c>
      <c r="AP92" s="817">
        <f t="shared" si="146"/>
        <v>0</v>
      </c>
      <c r="AQ92" s="55">
        <f>SUM('IV-2 amsa'!X34+'IV-2 arsa'!W39+'IV-2 dsa'!W41+'IV-2 lrsa'!X39+'IV-2 vrsa'!X44)</f>
        <v>3052807</v>
      </c>
      <c r="AR92" s="55">
        <f>SUM(AQ92*120/100)</f>
        <v>3663368.4</v>
      </c>
      <c r="AS92" s="55">
        <f>SUM(AQ92-AA92)</f>
        <v>0</v>
      </c>
      <c r="AT92" s="849"/>
    </row>
    <row r="93" spans="1:46" ht="39.75" thickTop="1" thickBot="1" x14ac:dyDescent="0.3">
      <c r="A93" s="342" t="s">
        <v>95</v>
      </c>
      <c r="B93" s="342" t="s">
        <v>1331</v>
      </c>
      <c r="C93" s="970" t="str">
        <f>CONCATENATE('ketv. 2'!B92)</f>
        <v>06.2.1-TID-R-511-11-0002</v>
      </c>
      <c r="D93" s="342" t="str">
        <f>CONCATENATE('IV-2 vrsa'!D45)</f>
        <v>Varėnos miesto J. Basanavičiaus, Savanorių ir M. K. Čiurlionio gatvių rekonstrukcija</v>
      </c>
      <c r="E93" s="342" t="str">
        <f>CONCATENATE('IV-2 vrsa'!E45)</f>
        <v>Varėnos rajono savivaldybės administracija</v>
      </c>
      <c r="F93" s="342" t="str">
        <f>CONCATENATE('IV-2 vrsa'!F45)</f>
        <v>Lietuvos Respublikos susisiekimo ministerija</v>
      </c>
      <c r="G93" s="342" t="str">
        <f>CONCATENATE('IV-2 vrsa'!G45)</f>
        <v>Varėnos r. sav.</v>
      </c>
      <c r="H93" s="345" t="str">
        <f>CONCATENATE('IV-2 vrsa'!H45)</f>
        <v>06.2.1-TID-R-511</v>
      </c>
      <c r="I93" s="345" t="str">
        <f>CONCATENATE('IV-2 vrsa'!I45)</f>
        <v>R</v>
      </c>
      <c r="J93" s="345" t="str">
        <f>CONCATENATE('IV-2 vrsa'!J45)</f>
        <v>ITI</v>
      </c>
      <c r="K93" s="345" t="str">
        <f>CONCATENATE('IV-2 vrsa'!K45)</f>
        <v>-</v>
      </c>
      <c r="L93" s="1217">
        <f>SUM('IV-2 vrsa'!L45)</f>
        <v>835464</v>
      </c>
      <c r="M93" s="1217">
        <f ca="1">SUM('ketv. 6 '!L92)</f>
        <v>835464</v>
      </c>
      <c r="N93" s="1217">
        <f ca="1">IF(M93&gt;0,L93-M93,0)</f>
        <v>0</v>
      </c>
      <c r="O93" s="1217">
        <f>SUM('IV-2 vrsa'!M45)</f>
        <v>62660</v>
      </c>
      <c r="P93" s="1217">
        <f ca="1">SUM('ketv. 6 '!P92)</f>
        <v>62660</v>
      </c>
      <c r="Q93" s="1217">
        <f t="shared" ref="Q93:Q98" ca="1" si="147">IF(P93&gt;0,O93-P93,0)</f>
        <v>0</v>
      </c>
      <c r="R93" s="1217">
        <f>SUM('IV-2 vrsa'!N45)</f>
        <v>0</v>
      </c>
      <c r="S93" s="1217">
        <f ca="1">SUM('ketv. 6 '!T92)</f>
        <v>0</v>
      </c>
      <c r="T93" s="1217">
        <f t="shared" ref="T93:T98" ca="1" si="148">IF(S93&gt;0,R93-S93,0)</f>
        <v>0</v>
      </c>
      <c r="U93" s="1217">
        <f>SUM('IV-2 vrsa'!O45)</f>
        <v>0</v>
      </c>
      <c r="V93" s="1217">
        <f ca="1">SUM('ketv. 6 '!X92)</f>
        <v>0</v>
      </c>
      <c r="W93" s="1217">
        <f t="shared" ref="W93:W98" ca="1" si="149">IF(V93&gt;0,U93-V93,0)</f>
        <v>0</v>
      </c>
      <c r="X93" s="1217">
        <f>SUM('IV-2 vrsa'!P45)</f>
        <v>62660</v>
      </c>
      <c r="Y93" s="1217">
        <f ca="1">SUM('ketv. 6 '!AB92)</f>
        <v>62660</v>
      </c>
      <c r="Z93" s="1217">
        <f t="shared" ref="Z93:Z98" ca="1" si="150">IF(Y93&gt;0,X93-Y93,0)</f>
        <v>0</v>
      </c>
      <c r="AA93" s="1217">
        <f>SUM('IV-2 vrsa'!Q45)</f>
        <v>710144</v>
      </c>
      <c r="AB93" s="1217">
        <f>SUM('IV-2 vrsa'!R73)</f>
        <v>0</v>
      </c>
      <c r="AC93" s="306" t="str">
        <f>IF('ketv. 4 '!X93&gt;0,"Taip","Ne")</f>
        <v>Taip</v>
      </c>
      <c r="AD93" s="306">
        <f ca="1">SUM('ketv. 6 '!AF92)</f>
        <v>710144</v>
      </c>
      <c r="AE93" s="306">
        <f t="shared" ref="AE93:AE99" ca="1" si="151">IF(AD93&gt;0,AA93-AD93,0)</f>
        <v>0</v>
      </c>
      <c r="AF93" s="721">
        <f>SUM('IV-2 vrsa'!S45)</f>
        <v>42639</v>
      </c>
      <c r="AG93" s="373">
        <f>SUM('IV-2 vrsa'!T45)</f>
        <v>42732</v>
      </c>
      <c r="AH93" s="373">
        <f>SUM('IV-2 vrsa'!U45)</f>
        <v>42887</v>
      </c>
      <c r="AI93" s="373">
        <f>SUM('IV-2 vrsa'!V45)</f>
        <v>43008</v>
      </c>
      <c r="AJ93" s="375">
        <f t="shared" ref="AJ93:AJ98" si="152">IF(YEAR(AI93),YEAR(AI93))</f>
        <v>2017</v>
      </c>
      <c r="AK93" s="829">
        <f>SUM('IV-2 vrsa'!W45)</f>
        <v>44196</v>
      </c>
      <c r="AL93" s="306">
        <f t="shared" ref="AL93:AL99" si="153">IF(YEAR(AI93)=2016,AA93,0)</f>
        <v>0</v>
      </c>
      <c r="AM93" s="306">
        <f t="shared" ref="AM93:AM99" si="154">IF(YEAR(AI93)=2017,AA93,0)</f>
        <v>710144</v>
      </c>
      <c r="AN93" s="306">
        <f t="shared" ref="AN93:AN99" si="155">IF(YEAR(AI93)=2018,AA93,0)</f>
        <v>0</v>
      </c>
      <c r="AO93" s="306">
        <f t="shared" ref="AO93:AO99" si="156">IF(YEAR(AI93)=2019,AA93,0)</f>
        <v>0</v>
      </c>
      <c r="AP93" s="830">
        <f t="shared" ref="AP93:AP99" si="157">IF(YEAR(AI93)=2020,AA93,0)</f>
        <v>0</v>
      </c>
      <c r="AQ93" s="378">
        <v>3052809</v>
      </c>
      <c r="AR93" s="55"/>
      <c r="AS93" s="55"/>
    </row>
    <row r="94" spans="1:46" ht="39.75" thickTop="1" thickBot="1" x14ac:dyDescent="0.3">
      <c r="A94" s="342" t="s">
        <v>180</v>
      </c>
      <c r="B94" s="342" t="s">
        <v>1332</v>
      </c>
      <c r="C94" s="970" t="str">
        <f>CONCATENATE('ketv. 2'!B93)</f>
        <v>06.2.1-TID-R-511-11-0001</v>
      </c>
      <c r="D94" s="342" t="str">
        <f>CONCATENATE('IV-2 amsa'!D35)</f>
        <v>Perspektyvinės gatvės nuo Pramonės g. iki Naujosios g. Alytuje įrengimas</v>
      </c>
      <c r="E94" s="342" t="str">
        <f>CONCATENATE('IV-2 amsa'!E35)</f>
        <v>Alytaus miesto savivaldybės administracija</v>
      </c>
      <c r="F94" s="342" t="str">
        <f>CONCATENATE('IV-2 amsa'!F35)</f>
        <v>Lietuvos Respublikos susisiekimo ministerija</v>
      </c>
      <c r="G94" s="342" t="str">
        <f>CONCATENATE('IV-2 amsa'!G35)</f>
        <v>Alytaus m. sav.</v>
      </c>
      <c r="H94" s="345" t="str">
        <f>CONCATENATE('IV-2 amsa'!H35)</f>
        <v>06.2.1-TID-R-511</v>
      </c>
      <c r="I94" s="345" t="str">
        <f>CONCATENATE('IV-2 amsa'!I35)</f>
        <v>R</v>
      </c>
      <c r="J94" s="345" t="str">
        <f>CONCATENATE('IV-2 amsa'!J35)</f>
        <v>ITI</v>
      </c>
      <c r="K94" s="345" t="str">
        <f>CONCATENATE('IV-2 amsa'!K35)</f>
        <v>-</v>
      </c>
      <c r="L94" s="1217">
        <f>SUM('IV-2 amsa'!L35)</f>
        <v>1402213</v>
      </c>
      <c r="M94" s="1217">
        <f ca="1">SUM('ketv. 6 '!L93)</f>
        <v>879927.06</v>
      </c>
      <c r="N94" s="1217">
        <f t="shared" ref="N94:N98" ca="1" si="158">IF(M94&gt;0,L94-M94,0)</f>
        <v>522285.93999999994</v>
      </c>
      <c r="O94" s="1217">
        <f>SUM('IV-2 amsa'!M35)</f>
        <v>654275</v>
      </c>
      <c r="P94" s="1217">
        <f ca="1">SUM('ketv. 6 '!P93)</f>
        <v>131989.06</v>
      </c>
      <c r="Q94" s="1217">
        <f ca="1">IF(P94&gt;0,O94-P94,0)</f>
        <v>522285.94</v>
      </c>
      <c r="R94" s="1217">
        <f>SUM('IV-2 amsa'!N35)</f>
        <v>0</v>
      </c>
      <c r="S94" s="1217">
        <f ca="1">SUM('ketv. 6 '!T93)</f>
        <v>0</v>
      </c>
      <c r="T94" s="1217">
        <f t="shared" ca="1" si="148"/>
        <v>0</v>
      </c>
      <c r="U94" s="1217">
        <f>SUM('IV-2 amsa'!O35)</f>
        <v>0</v>
      </c>
      <c r="V94" s="1217">
        <f ca="1">SUM('ketv. 6 '!X93)</f>
        <v>0</v>
      </c>
      <c r="W94" s="1217">
        <f t="shared" ca="1" si="149"/>
        <v>0</v>
      </c>
      <c r="X94" s="1217">
        <f>SUM('IV-2 amsa'!P35)</f>
        <v>0</v>
      </c>
      <c r="Y94" s="1217">
        <f ca="1">SUM('ketv. 6 '!AB93)</f>
        <v>0</v>
      </c>
      <c r="Z94" s="1217">
        <f t="shared" ca="1" si="150"/>
        <v>0</v>
      </c>
      <c r="AA94" s="1217">
        <f>SUM('IV-2 amsa'!Q35)</f>
        <v>747938</v>
      </c>
      <c r="AB94" s="1217">
        <f>SUM('IV-2 vrsa'!R74)</f>
        <v>0</v>
      </c>
      <c r="AC94" s="306" t="str">
        <f>IF('ketv. 4 '!X94&gt;0,"Taip","Ne")</f>
        <v>Taip</v>
      </c>
      <c r="AD94" s="306">
        <f ca="1">SUM('ketv. 6 '!AF93)</f>
        <v>747938</v>
      </c>
      <c r="AE94" s="306">
        <f t="shared" ca="1" si="151"/>
        <v>0</v>
      </c>
      <c r="AF94" s="721">
        <f>SUM('IV-2 amsa'!S35)</f>
        <v>42639</v>
      </c>
      <c r="AG94" s="373">
        <f>SUM('IV-2 amsa'!T35)</f>
        <v>42732</v>
      </c>
      <c r="AH94" s="373">
        <f>SUM('IV-2 amsa'!U35)</f>
        <v>42855</v>
      </c>
      <c r="AI94" s="373">
        <f>SUM('IV-2 amsa'!V35)</f>
        <v>42947</v>
      </c>
      <c r="AJ94" s="375">
        <f t="shared" si="152"/>
        <v>2017</v>
      </c>
      <c r="AK94" s="829">
        <f>SUM('IV-2 amsa'!W35)</f>
        <v>43465</v>
      </c>
      <c r="AL94" s="306">
        <f t="shared" si="153"/>
        <v>0</v>
      </c>
      <c r="AM94" s="306">
        <f t="shared" si="154"/>
        <v>747938</v>
      </c>
      <c r="AN94" s="306">
        <f t="shared" si="155"/>
        <v>0</v>
      </c>
      <c r="AO94" s="306">
        <f t="shared" si="156"/>
        <v>0</v>
      </c>
      <c r="AP94" s="830">
        <f t="shared" si="157"/>
        <v>0</v>
      </c>
      <c r="AQ94" s="378">
        <f>SUM(AQ92-AQ93)</f>
        <v>-2</v>
      </c>
      <c r="AR94" s="55"/>
      <c r="AS94" s="55"/>
    </row>
    <row r="95" spans="1:46" ht="39.75" thickTop="1" thickBot="1" x14ac:dyDescent="0.3">
      <c r="A95" s="342" t="s">
        <v>214</v>
      </c>
      <c r="B95" s="342" t="s">
        <v>1333</v>
      </c>
      <c r="C95" s="970" t="str">
        <f>CONCATENATE('ketv. 2'!B94)</f>
        <v>06.2.1-TID-R-511-11-0008</v>
      </c>
      <c r="D95" s="342" t="str">
        <f>CONCATENATE('IV-2 amsa'!D36)</f>
        <v>Saugaus eismo priemonių diegimas Alytaus mieste</v>
      </c>
      <c r="E95" s="342" t="str">
        <f>CONCATENATE('IV-2 amsa'!E36)</f>
        <v>Alytaus miesto savivaldybės administracija</v>
      </c>
      <c r="F95" s="342" t="str">
        <f>CONCATENATE('IV-2 amsa'!F36)</f>
        <v>Lietuvos Respublikos susisiekimo ministerija</v>
      </c>
      <c r="G95" s="342" t="str">
        <f>CONCATENATE('IV-2 amsa'!G36)</f>
        <v>Alytaus m. sav.</v>
      </c>
      <c r="H95" s="345" t="str">
        <f>CONCATENATE('IV-2 amsa'!H36)</f>
        <v>06.2.1-TID-R-511</v>
      </c>
      <c r="I95" s="345" t="str">
        <f>CONCATENATE('IV-2 amsa'!I36)</f>
        <v>R</v>
      </c>
      <c r="J95" s="345" t="str">
        <f>CONCATENATE('IV-2 amsa'!J36)</f>
        <v>-</v>
      </c>
      <c r="K95" s="345" t="str">
        <f>CONCATENATE('IV-2 amsa'!K36)</f>
        <v>-</v>
      </c>
      <c r="L95" s="1217">
        <f>SUM('IV-2 amsa'!L36)</f>
        <v>315614.59999999998</v>
      </c>
      <c r="M95" s="1217">
        <f ca="1">SUM('ketv. 6 '!L94)</f>
        <v>0</v>
      </c>
      <c r="N95" s="1217">
        <f t="shared" ca="1" si="158"/>
        <v>0</v>
      </c>
      <c r="O95" s="1217">
        <f>SUM('IV-2 amsa'!M36)</f>
        <v>65315.6</v>
      </c>
      <c r="P95" s="1217">
        <f ca="1">SUM('ketv. 6 '!P94)</f>
        <v>0</v>
      </c>
      <c r="Q95" s="1217">
        <f t="shared" ca="1" si="147"/>
        <v>0</v>
      </c>
      <c r="R95" s="1217">
        <f>SUM('IV-2 amsa'!N36)</f>
        <v>0</v>
      </c>
      <c r="S95" s="1217">
        <f ca="1">SUM('ketv. 6 '!T94)</f>
        <v>0</v>
      </c>
      <c r="T95" s="1217">
        <f t="shared" ca="1" si="148"/>
        <v>0</v>
      </c>
      <c r="U95" s="1217">
        <f>SUM('IV-2 amsa'!O36)</f>
        <v>0</v>
      </c>
      <c r="V95" s="1217">
        <f ca="1">SUM('ketv. 6 '!X94)</f>
        <v>0</v>
      </c>
      <c r="W95" s="1217">
        <f t="shared" ca="1" si="149"/>
        <v>0</v>
      </c>
      <c r="X95" s="1217">
        <f>SUM('IV-2 amsa'!P36)</f>
        <v>0</v>
      </c>
      <c r="Y95" s="1217">
        <f ca="1">SUM('ketv. 6 '!AB94)</f>
        <v>0</v>
      </c>
      <c r="Z95" s="1217">
        <f t="shared" ca="1" si="150"/>
        <v>0</v>
      </c>
      <c r="AA95" s="1217">
        <f>SUM('IV-2 amsa'!Q36)</f>
        <v>250299</v>
      </c>
      <c r="AB95" s="1217">
        <f>SUM('IV-2 vrsa'!R75)</f>
        <v>0</v>
      </c>
      <c r="AC95" s="306" t="str">
        <f>IF('ketv. 4 '!X95&gt;0,"Taip","Ne")</f>
        <v>Ne</v>
      </c>
      <c r="AD95" s="306">
        <f ca="1">SUM('ketv. 6 '!AF94)</f>
        <v>0</v>
      </c>
      <c r="AE95" s="306">
        <f t="shared" ca="1" si="151"/>
        <v>0</v>
      </c>
      <c r="AF95" s="721">
        <f>SUM('IV-2 amsa'!S36)</f>
        <v>42639</v>
      </c>
      <c r="AG95" s="373">
        <f>SUM('IV-2 amsa'!T36)</f>
        <v>42732</v>
      </c>
      <c r="AH95" s="373">
        <f>SUM('IV-2 amsa'!U36)</f>
        <v>43342</v>
      </c>
      <c r="AI95" s="373">
        <f>SUM('IV-2 amsa'!V36)</f>
        <v>43434</v>
      </c>
      <c r="AJ95" s="375">
        <f t="shared" si="152"/>
        <v>2018</v>
      </c>
      <c r="AK95" s="829">
        <f>SUM('IV-2 amsa'!W36)</f>
        <v>43829</v>
      </c>
      <c r="AL95" s="306">
        <f t="shared" si="153"/>
        <v>0</v>
      </c>
      <c r="AM95" s="306">
        <f t="shared" si="154"/>
        <v>0</v>
      </c>
      <c r="AN95" s="306">
        <f t="shared" si="155"/>
        <v>250299</v>
      </c>
      <c r="AO95" s="306">
        <f t="shared" si="156"/>
        <v>0</v>
      </c>
      <c r="AP95" s="830">
        <f t="shared" si="157"/>
        <v>0</v>
      </c>
      <c r="AQ95" s="380"/>
      <c r="AR95" s="377"/>
      <c r="AS95" s="55"/>
    </row>
    <row r="96" spans="1:46" ht="39.75" thickTop="1" thickBot="1" x14ac:dyDescent="0.3">
      <c r="A96" s="342" t="s">
        <v>215</v>
      </c>
      <c r="B96" s="342" t="s">
        <v>1334</v>
      </c>
      <c r="C96" s="970" t="str">
        <f>CONCATENATE('ketv. 2'!B95)</f>
        <v>06.2.1-TID-R-511-11-0006</v>
      </c>
      <c r="D96" s="342" t="str">
        <f>CONCATENATE('IV-2 arsa'!C40)</f>
        <v>Eismo saugos priemonių diegimas Alytaus rajone</v>
      </c>
      <c r="E96" s="342" t="str">
        <f>CONCATENATE('IV-2 arsa'!D40)</f>
        <v>Alytaus rajono savivaldybės administracija</v>
      </c>
      <c r="F96" s="342" t="str">
        <f>CONCATENATE('IV-2 arsa'!E40)</f>
        <v>Lietuvos Respublikos susisiekimo ministerija</v>
      </c>
      <c r="G96" s="342" t="str">
        <f>CONCATENATE('IV-2 arsa'!F40)</f>
        <v>Alytaus r. sav.</v>
      </c>
      <c r="H96" s="345" t="str">
        <f>CONCATENATE('IV-2 arsa'!G40)</f>
        <v>06.2.1-TID-R-511</v>
      </c>
      <c r="I96" s="345" t="str">
        <f>CONCATENATE('IV-2 arsa'!H40)</f>
        <v>R</v>
      </c>
      <c r="J96" s="345" t="str">
        <f>CONCATENATE('IV-2 arsa'!I40)</f>
        <v>-</v>
      </c>
      <c r="K96" s="345" t="str">
        <f>CONCATENATE('IV-2 arsa'!J40)</f>
        <v>-</v>
      </c>
      <c r="L96" s="1217">
        <f>SUM('IV-2 arsa'!K40)</f>
        <v>274817.98</v>
      </c>
      <c r="M96" s="1217">
        <f ca="1">SUM('ketv. 6 '!L95)</f>
        <v>274817.98</v>
      </c>
      <c r="N96" s="1217">
        <f t="shared" ca="1" si="158"/>
        <v>0</v>
      </c>
      <c r="O96" s="1217">
        <f>SUM('IV-2 arsa'!L40)</f>
        <v>73973.98</v>
      </c>
      <c r="P96" s="1217">
        <f ca="1">SUM('ketv. 6 '!P95)</f>
        <v>73973.98</v>
      </c>
      <c r="Q96" s="1217">
        <f t="shared" ca="1" si="147"/>
        <v>0</v>
      </c>
      <c r="R96" s="1217">
        <f>SUM('IV-2 arsa'!M40)</f>
        <v>0</v>
      </c>
      <c r="S96" s="1217">
        <f ca="1">SUM('ketv. 6 '!T95)</f>
        <v>0</v>
      </c>
      <c r="T96" s="1217">
        <f t="shared" ca="1" si="148"/>
        <v>0</v>
      </c>
      <c r="U96" s="1217">
        <f>SUM('IV-2 arsa'!N40)</f>
        <v>0</v>
      </c>
      <c r="V96" s="1217">
        <f ca="1">SUM('ketv. 6 '!X95)</f>
        <v>0</v>
      </c>
      <c r="W96" s="1217">
        <f t="shared" ca="1" si="149"/>
        <v>0</v>
      </c>
      <c r="X96" s="1217">
        <f>SUM('IV-2 arsa'!O40)</f>
        <v>0</v>
      </c>
      <c r="Y96" s="1217">
        <f ca="1">SUM('ketv. 6 '!AB95)</f>
        <v>0</v>
      </c>
      <c r="Z96" s="1217">
        <f t="shared" ca="1" si="150"/>
        <v>0</v>
      </c>
      <c r="AA96" s="1217">
        <f>SUM('IV-2 arsa'!P40)</f>
        <v>200844</v>
      </c>
      <c r="AB96" s="1217">
        <f>SUM('IV-2 vrsa'!R76)</f>
        <v>0</v>
      </c>
      <c r="AC96" s="306" t="str">
        <f>IF('ketv. 4 '!X96&gt;0,"Taip","Ne")</f>
        <v>Taip</v>
      </c>
      <c r="AD96" s="306">
        <f ca="1">SUM('ketv. 6 '!AF95)</f>
        <v>200844</v>
      </c>
      <c r="AE96" s="306">
        <f t="shared" ca="1" si="151"/>
        <v>0</v>
      </c>
      <c r="AF96" s="721">
        <f>SUM('IV-2 arsa'!R40)</f>
        <v>42639</v>
      </c>
      <c r="AG96" s="373">
        <f>SUM('IV-2 arsa'!S40)</f>
        <v>42735</v>
      </c>
      <c r="AH96" s="373">
        <f>SUM('IV-2 arsa'!T40)</f>
        <v>43252</v>
      </c>
      <c r="AI96" s="373">
        <f>SUM('IV-2 arsa'!U40)</f>
        <v>43373</v>
      </c>
      <c r="AJ96" s="375">
        <f t="shared" si="152"/>
        <v>2018</v>
      </c>
      <c r="AK96" s="829">
        <f>SUM('IV-2 arsa'!V40)</f>
        <v>43738</v>
      </c>
      <c r="AL96" s="306">
        <f t="shared" si="153"/>
        <v>0</v>
      </c>
      <c r="AM96" s="306">
        <f t="shared" si="154"/>
        <v>0</v>
      </c>
      <c r="AN96" s="306">
        <f t="shared" si="155"/>
        <v>200844</v>
      </c>
      <c r="AO96" s="306">
        <f t="shared" si="156"/>
        <v>0</v>
      </c>
      <c r="AP96" s="830">
        <f t="shared" si="157"/>
        <v>0</v>
      </c>
      <c r="AQ96" s="377"/>
      <c r="AR96" s="55"/>
      <c r="AS96" s="55"/>
    </row>
    <row r="97" spans="1:45" ht="39.75" thickTop="1" thickBot="1" x14ac:dyDescent="0.3">
      <c r="A97" s="342" t="s">
        <v>245</v>
      </c>
      <c r="B97" s="342" t="s">
        <v>1335</v>
      </c>
      <c r="C97" s="970" t="str">
        <f>CONCATENATE('ketv. 2'!B96)</f>
        <v>06.2.1-TID-R-511-11-0007</v>
      </c>
      <c r="D97" s="342" t="str">
        <f>CONCATENATE('IV-2 dsa'!C42)</f>
        <v>M. K. Čiurlionio gatvės atkarpos Druskininkų m. rekonstrukcija</v>
      </c>
      <c r="E97" s="342" t="str">
        <f>CONCATENATE('IV-2 dsa'!D42)</f>
        <v xml:space="preserve">Druskininkų savivaldybės administracija  </v>
      </c>
      <c r="F97" s="342" t="str">
        <f>CONCATENATE('IV-2 dsa'!E42)</f>
        <v>Lietuvos Respublikos susisiekimo ministerija</v>
      </c>
      <c r="G97" s="342" t="str">
        <f>CONCATENATE('IV-2 dsa'!F42)</f>
        <v>Druskininkų sav.</v>
      </c>
      <c r="H97" s="345" t="str">
        <f>CONCATENATE('IV-2 dsa'!G42)</f>
        <v>06.2.1-TID-R-511</v>
      </c>
      <c r="I97" s="345" t="str">
        <f>CONCATENATE('IV-2 dsa'!H42)</f>
        <v>R</v>
      </c>
      <c r="J97" s="345" t="str">
        <f>CONCATENATE('IV-2 dsa'!I42)</f>
        <v>-</v>
      </c>
      <c r="K97" s="345" t="str">
        <f>CONCATENATE('IV-2 dsa'!J42)</f>
        <v>-</v>
      </c>
      <c r="L97" s="1217">
        <f>SUM('IV-2 dsa'!K42)</f>
        <v>1258144.24</v>
      </c>
      <c r="M97" s="1217">
        <f ca="1">SUM('ketv. 6 '!L96)</f>
        <v>0</v>
      </c>
      <c r="N97" s="1217">
        <f t="shared" ca="1" si="158"/>
        <v>0</v>
      </c>
      <c r="O97" s="1217">
        <f>SUM('IV-2 dsa'!L42)</f>
        <v>873495.24</v>
      </c>
      <c r="P97" s="1217">
        <f ca="1">SUM('ketv. 6 '!P96)</f>
        <v>0</v>
      </c>
      <c r="Q97" s="1217">
        <f t="shared" ca="1" si="147"/>
        <v>0</v>
      </c>
      <c r="R97" s="1217">
        <f>SUM('IV-2 dsa'!M42)</f>
        <v>0</v>
      </c>
      <c r="S97" s="1217">
        <f ca="1">SUM('ketv. 6 '!T96)</f>
        <v>0</v>
      </c>
      <c r="T97" s="1217">
        <f t="shared" ca="1" si="148"/>
        <v>0</v>
      </c>
      <c r="U97" s="1217">
        <f>SUM('IV-2 dsa'!N42)</f>
        <v>0</v>
      </c>
      <c r="V97" s="1217">
        <f ca="1">SUM('ketv. 6 '!X96)</f>
        <v>0</v>
      </c>
      <c r="W97" s="1217">
        <f t="shared" ca="1" si="149"/>
        <v>0</v>
      </c>
      <c r="X97" s="1217">
        <f>SUM('IV-2 dsa'!O42)</f>
        <v>0</v>
      </c>
      <c r="Y97" s="1217">
        <f ca="1">SUM('ketv. 6 '!AB96)</f>
        <v>0</v>
      </c>
      <c r="Z97" s="1217">
        <f t="shared" ca="1" si="150"/>
        <v>0</v>
      </c>
      <c r="AA97" s="1217">
        <f>SUM('IV-2 dsa'!P42)</f>
        <v>384649</v>
      </c>
      <c r="AB97" s="1217">
        <f>SUM('IV-2 vrsa'!R77)</f>
        <v>0</v>
      </c>
      <c r="AC97" s="306" t="str">
        <f>IF('ketv. 4 '!X97&gt;0,"Taip","Ne")</f>
        <v>Ne</v>
      </c>
      <c r="AD97" s="306">
        <f ca="1">SUM('ketv. 6 '!AF96)</f>
        <v>0</v>
      </c>
      <c r="AE97" s="306">
        <f t="shared" ca="1" si="151"/>
        <v>0</v>
      </c>
      <c r="AF97" s="721">
        <f>SUM('IV-2 dsa'!R42)</f>
        <v>42639</v>
      </c>
      <c r="AG97" s="373">
        <f>SUM('IV-2 dsa'!S42)</f>
        <v>42732</v>
      </c>
      <c r="AH97" s="373">
        <f>SUM('IV-2 dsa'!T42)</f>
        <v>43326</v>
      </c>
      <c r="AI97" s="373">
        <f>SUM('IV-2 dsa'!U42)</f>
        <v>43419</v>
      </c>
      <c r="AJ97" s="375">
        <f t="shared" si="152"/>
        <v>2018</v>
      </c>
      <c r="AK97" s="829">
        <f>SUM('IV-2 dsa'!V42)</f>
        <v>43830</v>
      </c>
      <c r="AL97" s="306">
        <f t="shared" si="153"/>
        <v>0</v>
      </c>
      <c r="AM97" s="306">
        <f t="shared" si="154"/>
        <v>0</v>
      </c>
      <c r="AN97" s="306">
        <f t="shared" si="155"/>
        <v>384649</v>
      </c>
      <c r="AO97" s="306">
        <f t="shared" si="156"/>
        <v>0</v>
      </c>
      <c r="AP97" s="830">
        <f t="shared" si="157"/>
        <v>0</v>
      </c>
      <c r="AQ97" s="377"/>
      <c r="AR97" s="55"/>
      <c r="AS97" s="55"/>
    </row>
    <row r="98" spans="1:45" ht="39" thickBot="1" x14ac:dyDescent="0.3">
      <c r="A98" s="342" t="s">
        <v>246</v>
      </c>
      <c r="B98" s="342" t="s">
        <v>1336</v>
      </c>
      <c r="C98" s="974" t="str">
        <f>CONCATENATE('ketv. 2'!B97)</f>
        <v>06.2.1-TID-R-511-11-0004</v>
      </c>
      <c r="D98" s="342" t="str">
        <f>CONCATENATE('IV-2 lrsa'!D40)</f>
        <v>Lazdijų miesto Seinų ir Lazdijos gatvių bei vietinės reikšmės kelio nuo Janonio gatvės iki Lazdijų hipodromo rekonstravimas</v>
      </c>
      <c r="E98" s="342" t="str">
        <f>CONCATENATE('IV-2 lrsa'!E40)</f>
        <v>Lazdijų rajono savivaldybės administracija</v>
      </c>
      <c r="F98" s="342" t="str">
        <f>CONCATENATE('IV-2 lrsa'!F40)</f>
        <v>Lietuvos Respublikos susisiekimo ministerija</v>
      </c>
      <c r="G98" s="342" t="str">
        <f>CONCATENATE('IV-2 lrsa'!G40)</f>
        <v>Lazdijų r. sav.</v>
      </c>
      <c r="H98" s="345" t="str">
        <f>CONCATENATE('IV-2 lrsa'!H40)</f>
        <v>06.2.1-TID-R-511</v>
      </c>
      <c r="I98" s="345" t="str">
        <f>CONCATENATE('IV-2 lrsa'!I40)</f>
        <v>R</v>
      </c>
      <c r="J98" s="345" t="str">
        <f>CONCATENATE('IV-2 lrsa'!J40)</f>
        <v>ITI</v>
      </c>
      <c r="K98" s="345" t="str">
        <f>CONCATENATE('IV-2 lrsa'!K40)</f>
        <v>-</v>
      </c>
      <c r="L98" s="1217">
        <f>SUM('IV-2 lrsa'!L40)</f>
        <v>759934</v>
      </c>
      <c r="M98" s="1217">
        <f ca="1">SUM('ketv. 6 '!L97)</f>
        <v>759934</v>
      </c>
      <c r="N98" s="1217">
        <f t="shared" ca="1" si="158"/>
        <v>0</v>
      </c>
      <c r="O98" s="1217">
        <f>SUM('IV-2 lrsa'!M40)</f>
        <v>113990</v>
      </c>
      <c r="P98" s="1217">
        <f ca="1">SUM('ketv. 6 '!P97)</f>
        <v>113990</v>
      </c>
      <c r="Q98" s="1217">
        <f t="shared" ca="1" si="147"/>
        <v>0</v>
      </c>
      <c r="R98" s="1217">
        <f>SUM('IV-2 lrsa'!N40)</f>
        <v>0</v>
      </c>
      <c r="S98" s="1217">
        <f ca="1">SUM('ketv. 6 '!T97)</f>
        <v>0</v>
      </c>
      <c r="T98" s="1217">
        <f t="shared" ca="1" si="148"/>
        <v>0</v>
      </c>
      <c r="U98" s="1217">
        <f>SUM('IV-2 lrsa'!O40)</f>
        <v>0</v>
      </c>
      <c r="V98" s="1217">
        <f ca="1">SUM('ketv. 6 '!X97)</f>
        <v>0</v>
      </c>
      <c r="W98" s="1217">
        <f t="shared" ca="1" si="149"/>
        <v>0</v>
      </c>
      <c r="X98" s="1217">
        <f>SUM('IV-2 lrsa'!P40)</f>
        <v>0</v>
      </c>
      <c r="Y98" s="1217">
        <f ca="1">SUM('ketv. 6 '!AB97)</f>
        <v>0</v>
      </c>
      <c r="Z98" s="1217">
        <f t="shared" ca="1" si="150"/>
        <v>0</v>
      </c>
      <c r="AA98" s="1217">
        <f>SUM('IV-2 lrsa'!Q40)</f>
        <v>645944</v>
      </c>
      <c r="AB98" s="1217">
        <f>SUM('IV-2 vrsa'!R78)</f>
        <v>0</v>
      </c>
      <c r="AC98" s="306" t="str">
        <f>IF('ketv. 4 '!X98&gt;0,"Taip","Ne")</f>
        <v>Taip</v>
      </c>
      <c r="AD98" s="306">
        <f ca="1">SUM('ketv. 6 '!AF97)</f>
        <v>645944</v>
      </c>
      <c r="AE98" s="306">
        <f t="shared" ca="1" si="151"/>
        <v>0</v>
      </c>
      <c r="AF98" s="721">
        <f>SUM('IV-2 lrsa'!S40)</f>
        <v>42639</v>
      </c>
      <c r="AG98" s="373">
        <f>SUM('IV-2 lrsa'!T40)</f>
        <v>42732</v>
      </c>
      <c r="AH98" s="373">
        <f>SUM('IV-2 lrsa'!U40)</f>
        <v>43130</v>
      </c>
      <c r="AI98" s="373">
        <f>SUM('IV-2 lrsa'!V40)</f>
        <v>43217</v>
      </c>
      <c r="AJ98" s="375">
        <f t="shared" si="152"/>
        <v>2018</v>
      </c>
      <c r="AK98" s="829">
        <f>SUM('IV-2 lrsa'!W40)</f>
        <v>43830</v>
      </c>
      <c r="AL98" s="306">
        <f t="shared" si="153"/>
        <v>0</v>
      </c>
      <c r="AM98" s="306">
        <f t="shared" si="154"/>
        <v>0</v>
      </c>
      <c r="AN98" s="306">
        <f t="shared" si="155"/>
        <v>645944</v>
      </c>
      <c r="AO98" s="306">
        <f t="shared" si="156"/>
        <v>0</v>
      </c>
      <c r="AP98" s="830">
        <f t="shared" si="157"/>
        <v>0</v>
      </c>
      <c r="AQ98" s="55"/>
      <c r="AR98" s="55"/>
      <c r="AS98" s="55"/>
    </row>
    <row r="99" spans="1:45" ht="38.25" customHeight="1" thickBot="1" x14ac:dyDescent="0.3">
      <c r="A99" s="342" t="s">
        <v>1412</v>
      </c>
      <c r="B99" s="342" t="s">
        <v>1413</v>
      </c>
      <c r="C99" s="1014"/>
      <c r="D99" s="342" t="str">
        <f>CONCATENATE('IV-2 dsa'!C43)</f>
        <v>Eismo saugumo priemonių diegimas Druskininkų savivaldybėje</v>
      </c>
      <c r="E99" s="342" t="str">
        <f>CONCATENATE('IV-2 dsa'!D43)</f>
        <v xml:space="preserve">Druskininkų savivaldybės administracija  </v>
      </c>
      <c r="F99" s="342" t="str">
        <f>CONCATENATE('IV-2 dsa'!E43)</f>
        <v>Lietuvos Respublikos susisiekimo ministerija</v>
      </c>
      <c r="G99" s="342" t="str">
        <f>CONCATENATE('IV-2 dsa'!F43)</f>
        <v>Druskininkų sav.</v>
      </c>
      <c r="H99" s="345" t="str">
        <f>CONCATENATE('IV-2 dsa'!G43)</f>
        <v>06.2.1-TID-R-511</v>
      </c>
      <c r="I99" s="345" t="str">
        <f>CONCATENATE('IV-2 dsa'!H43)</f>
        <v>R</v>
      </c>
      <c r="J99" s="345" t="str">
        <f>CONCATENATE('IV-2 dsa'!I43)</f>
        <v>-</v>
      </c>
      <c r="K99" s="345" t="str">
        <f>CONCATENATE('IV-2 dsa'!J43)</f>
        <v>-</v>
      </c>
      <c r="L99" s="1217">
        <f>SUM('IV-2 dsa'!K43)</f>
        <v>135352</v>
      </c>
      <c r="M99" s="1217">
        <f ca="1">SUM('ketv. 6 '!L99)</f>
        <v>10982743.48</v>
      </c>
      <c r="N99" s="1217">
        <f t="shared" ref="N99" ca="1" si="159">IF(M99&gt;0,L99-M99,0)</f>
        <v>-10847391.48</v>
      </c>
      <c r="O99" s="1217">
        <f>SUM('IV-2 dsa'!L43)</f>
        <v>22363</v>
      </c>
      <c r="P99" s="1217">
        <f ca="1">SUM('ketv. 6 '!P99)</f>
        <v>1833041.44</v>
      </c>
      <c r="Q99" s="1217">
        <f t="shared" ref="Q99" ca="1" si="160">IF(P99&gt;0,O99-P99,0)</f>
        <v>-1810678.44</v>
      </c>
      <c r="R99" s="1217">
        <f>SUM('IV-2 dsa'!M43)</f>
        <v>0</v>
      </c>
      <c r="S99" s="1217">
        <f ca="1">SUM('ketv. 6 '!T99)</f>
        <v>303389.90999999997</v>
      </c>
      <c r="T99" s="1217">
        <f t="shared" ref="T99" ca="1" si="161">IF(S99&gt;0,R99-S99,0)</f>
        <v>-303389.90999999997</v>
      </c>
      <c r="U99" s="1217">
        <f>SUM('IV-2 dsa'!N43)</f>
        <v>0</v>
      </c>
      <c r="V99" s="1217">
        <f ca="1">SUM('ketv. 6 '!X99)</f>
        <v>0</v>
      </c>
      <c r="W99" s="1217">
        <f t="shared" ref="W99" ca="1" si="162">IF(V99&gt;0,U99-V99,0)</f>
        <v>0</v>
      </c>
      <c r="X99" s="1217">
        <f>SUM('IV-2 dsa'!O43)</f>
        <v>0</v>
      </c>
      <c r="Y99" s="1217">
        <f ca="1">SUM('ketv. 6 '!AB99)</f>
        <v>1299.95</v>
      </c>
      <c r="Z99" s="1217">
        <f t="shared" ref="Z99" ca="1" si="163">IF(Y99&gt;0,X99-Y99,0)</f>
        <v>-1299.95</v>
      </c>
      <c r="AA99" s="1217">
        <f>SUM('IV-2 dsa'!P43)</f>
        <v>112989</v>
      </c>
      <c r="AB99" s="1217">
        <f>SUM('IV-2 vrsa'!R79)</f>
        <v>0</v>
      </c>
      <c r="AC99" s="306" t="str">
        <f>IF('ketv. 4 '!X99&gt;0,"Taip","Ne")</f>
        <v>Ne</v>
      </c>
      <c r="AD99" s="306">
        <f ca="1">SUM('ketv. 6 '!AF98)</f>
        <v>0</v>
      </c>
      <c r="AE99" s="306">
        <f t="shared" ca="1" si="151"/>
        <v>0</v>
      </c>
      <c r="AF99" s="721">
        <f>SUM('IV-2 dsa'!R43)</f>
        <v>43404</v>
      </c>
      <c r="AG99" s="373">
        <f>SUM('IV-2 dsa'!S43)</f>
        <v>43404</v>
      </c>
      <c r="AH99" s="373">
        <f>SUM('IV-2 dsa'!T43)</f>
        <v>43496</v>
      </c>
      <c r="AI99" s="373">
        <f>SUM('IV-2 dsa'!U43)</f>
        <v>43585</v>
      </c>
      <c r="AJ99" s="375">
        <f t="shared" ref="AJ99" si="164">IF(YEAR(AI99),YEAR(AI99))</f>
        <v>2019</v>
      </c>
      <c r="AK99" s="829">
        <f>SUM('IV-2 dsa'!V43)</f>
        <v>43830</v>
      </c>
      <c r="AL99" s="306">
        <f t="shared" si="153"/>
        <v>0</v>
      </c>
      <c r="AM99" s="306">
        <f t="shared" si="154"/>
        <v>0</v>
      </c>
      <c r="AN99" s="306">
        <f t="shared" si="155"/>
        <v>0</v>
      </c>
      <c r="AO99" s="306">
        <f t="shared" si="156"/>
        <v>112989</v>
      </c>
      <c r="AP99" s="830">
        <f t="shared" si="157"/>
        <v>0</v>
      </c>
      <c r="AQ99" s="55"/>
      <c r="AR99" s="55"/>
      <c r="AS99" s="55"/>
    </row>
    <row r="100" spans="1:45" ht="37.5" customHeight="1" thickBot="1" x14ac:dyDescent="0.3">
      <c r="A100" s="851" t="s">
        <v>27</v>
      </c>
      <c r="B100" s="1859" t="s">
        <v>1500</v>
      </c>
      <c r="C100" s="1847"/>
      <c r="D100" s="1847"/>
      <c r="E100" s="1847"/>
      <c r="F100" s="1847"/>
      <c r="G100" s="1847"/>
      <c r="H100" s="1847"/>
      <c r="I100" s="1847"/>
      <c r="J100" s="1847"/>
      <c r="K100" s="1848"/>
      <c r="L100" s="1785">
        <f>SUM(L101+L120+L147+L160)</f>
        <v>12593641.73</v>
      </c>
      <c r="M100" s="1236"/>
      <c r="N100" s="1236"/>
      <c r="O100" s="1785">
        <f>SUM(O101+O120+O147+O160)</f>
        <v>1894321.3399999999</v>
      </c>
      <c r="P100" s="1236"/>
      <c r="Q100" s="1236"/>
      <c r="R100" s="1785">
        <f>SUM(R101+R120+R147+R160)</f>
        <v>411995.91</v>
      </c>
      <c r="S100" s="1236"/>
      <c r="T100" s="1236"/>
      <c r="U100" s="1236">
        <f>SUM(U101+U120+U147+U160)</f>
        <v>40158</v>
      </c>
      <c r="V100" s="1236"/>
      <c r="W100" s="1236"/>
      <c r="X100" s="1785">
        <f>SUM(X101+X120+X147+X160)</f>
        <v>1299.95</v>
      </c>
      <c r="Y100" s="1236"/>
      <c r="Z100" s="1236"/>
      <c r="AA100" s="1785">
        <f>SUM(AA101+AA120+AA147+AA160)</f>
        <v>10245866.530000001</v>
      </c>
      <c r="AB100" s="1236">
        <f>SUM('IV-2 vrsa'!R80)</f>
        <v>0</v>
      </c>
      <c r="AC100" s="853"/>
      <c r="AD100" s="853"/>
      <c r="AE100" s="853"/>
      <c r="AF100" s="853"/>
      <c r="AG100" s="854"/>
      <c r="AH100" s="854"/>
      <c r="AI100" s="854"/>
      <c r="AJ100" s="855"/>
      <c r="AK100" s="856"/>
      <c r="AL100" s="306"/>
      <c r="AM100" s="819"/>
      <c r="AN100" s="819"/>
      <c r="AO100" s="819"/>
      <c r="AP100" s="819"/>
      <c r="AQ100" s="55">
        <f>SUM(AQ101+AQ120+AQ147+AQ160)</f>
        <v>7025923.8915733965</v>
      </c>
      <c r="AR100" s="55">
        <f>SUM(AR101+AR120+AR147+AR160)</f>
        <v>8431108.6698880754</v>
      </c>
      <c r="AS100" s="55">
        <f>SUM(AS101+AS120+AS147+AS160)</f>
        <v>241554.05184216343</v>
      </c>
    </row>
    <row r="101" spans="1:45" ht="54" customHeight="1" thickBot="1" x14ac:dyDescent="0.3">
      <c r="A101" s="976" t="s">
        <v>28</v>
      </c>
      <c r="B101" s="1846" t="s">
        <v>1501</v>
      </c>
      <c r="C101" s="1847"/>
      <c r="D101" s="1847"/>
      <c r="E101" s="1847"/>
      <c r="F101" s="1847"/>
      <c r="G101" s="1847"/>
      <c r="H101" s="1847"/>
      <c r="I101" s="1847"/>
      <c r="J101" s="1847"/>
      <c r="K101" s="1848"/>
      <c r="L101" s="1227">
        <f t="shared" ref="L101:AA101" si="165">SUM(L102+L108+L114)</f>
        <v>4776867.3599999994</v>
      </c>
      <c r="M101" s="1227"/>
      <c r="N101" s="1227"/>
      <c r="O101" s="1308">
        <f t="shared" si="165"/>
        <v>808633.36</v>
      </c>
      <c r="P101" s="1227"/>
      <c r="Q101" s="1227"/>
      <c r="R101" s="1227">
        <f t="shared" si="165"/>
        <v>201262</v>
      </c>
      <c r="S101" s="1227"/>
      <c r="T101" s="1227"/>
      <c r="U101" s="1227">
        <f t="shared" si="165"/>
        <v>0</v>
      </c>
      <c r="V101" s="1227"/>
      <c r="W101" s="1227"/>
      <c r="X101" s="1227">
        <f t="shared" si="165"/>
        <v>0</v>
      </c>
      <c r="Y101" s="1227"/>
      <c r="Z101" s="1227"/>
      <c r="AA101" s="1308">
        <f t="shared" si="165"/>
        <v>3766972</v>
      </c>
      <c r="AB101" s="1227">
        <f>SUM('IV-2 vrsa'!R81)</f>
        <v>0</v>
      </c>
      <c r="AC101" s="139"/>
      <c r="AD101" s="139"/>
      <c r="AE101" s="139"/>
      <c r="AF101" s="139"/>
      <c r="AG101" s="857"/>
      <c r="AH101" s="857"/>
      <c r="AI101" s="857"/>
      <c r="AJ101" s="858"/>
      <c r="AK101" s="859"/>
      <c r="AL101" s="306"/>
      <c r="AM101" s="819"/>
      <c r="AN101" s="819"/>
      <c r="AO101" s="819"/>
      <c r="AP101" s="819"/>
      <c r="AQ101" s="55">
        <f>SUM(AQ102+AQ108+AQ114)</f>
        <v>3957161.2915733964</v>
      </c>
      <c r="AR101" s="55">
        <f>SUM(AR102+AR108+AR114)</f>
        <v>4748593.5498880753</v>
      </c>
      <c r="AS101" s="55">
        <f>SUM(AS102+AS108+AS114)</f>
        <v>190189.29157339642</v>
      </c>
    </row>
    <row r="102" spans="1:45" ht="29.25" customHeight="1" thickBot="1" x14ac:dyDescent="0.3">
      <c r="A102" s="845" t="s">
        <v>96</v>
      </c>
      <c r="B102" s="1849" t="s">
        <v>1502</v>
      </c>
      <c r="C102" s="1850"/>
      <c r="D102" s="1850"/>
      <c r="E102" s="1850"/>
      <c r="F102" s="1850"/>
      <c r="G102" s="1850"/>
      <c r="H102" s="1850"/>
      <c r="I102" s="1850"/>
      <c r="J102" s="1850"/>
      <c r="K102" s="1851"/>
      <c r="L102" s="1213">
        <f>SUM(L103:L107)</f>
        <v>1343975.4100000001</v>
      </c>
      <c r="M102" s="1213">
        <f ca="1">SUM(M103:M107)</f>
        <v>1343975.4100000001</v>
      </c>
      <c r="N102" s="1213">
        <f ca="1">SUM(N103:N107)</f>
        <v>0</v>
      </c>
      <c r="O102" s="1213">
        <f t="shared" ref="O102" si="166">SUM(O103:O107)</f>
        <v>100799.41</v>
      </c>
      <c r="P102" s="1213">
        <f ca="1">SUM(P103:P107)</f>
        <v>100799.41</v>
      </c>
      <c r="Q102" s="1213">
        <f ca="1">SUM(Q103:Q107)</f>
        <v>0</v>
      </c>
      <c r="R102" s="1213">
        <f t="shared" ref="R102" si="167">SUM(R103:R107)</f>
        <v>100799</v>
      </c>
      <c r="S102" s="1213">
        <f ca="1">SUM(S103:S107)</f>
        <v>100799</v>
      </c>
      <c r="T102" s="1213">
        <f ca="1">SUM(T103:T107)</f>
        <v>0</v>
      </c>
      <c r="U102" s="1213">
        <f t="shared" ref="U102" si="168">SUM(U103:U107)</f>
        <v>0</v>
      </c>
      <c r="V102" s="1213">
        <f ca="1">SUM(V103:V107)</f>
        <v>0</v>
      </c>
      <c r="W102" s="1213">
        <f ca="1">SUM(W103:W107)</f>
        <v>0</v>
      </c>
      <c r="X102" s="1213">
        <f t="shared" ref="X102" si="169">SUM(X103:X107)</f>
        <v>0</v>
      </c>
      <c r="Y102" s="1213">
        <f ca="1">SUM(Y103:Y107)</f>
        <v>0</v>
      </c>
      <c r="Z102" s="1213">
        <f ca="1">SUM(Z103:Z107)</f>
        <v>0</v>
      </c>
      <c r="AA102" s="1213">
        <f t="shared" ref="AA102" si="170">SUM(AA103:AA107)</f>
        <v>1142377</v>
      </c>
      <c r="AB102" s="1213">
        <f>SUM('IV-2 vrsa'!R82)</f>
        <v>0</v>
      </c>
      <c r="AC102" s="835"/>
      <c r="AD102" s="835">
        <f ca="1">SUM(AD103:AD107)</f>
        <v>1142377</v>
      </c>
      <c r="AE102" s="835">
        <f ca="1">SUM(AE103:AE107)</f>
        <v>0</v>
      </c>
      <c r="AF102" s="835"/>
      <c r="AG102" s="836"/>
      <c r="AH102" s="836"/>
      <c r="AI102" s="836"/>
      <c r="AJ102" s="837"/>
      <c r="AK102" s="838"/>
      <c r="AL102" s="306">
        <f>SUM(AL103:AL107)</f>
        <v>0</v>
      </c>
      <c r="AM102" s="306">
        <f t="shared" ref="AM102:AP102" si="171">SUM(AM103:AM107)</f>
        <v>139295</v>
      </c>
      <c r="AN102" s="306">
        <f t="shared" si="171"/>
        <v>1003082</v>
      </c>
      <c r="AO102" s="306">
        <f t="shared" si="171"/>
        <v>0</v>
      </c>
      <c r="AP102" s="306">
        <f t="shared" si="171"/>
        <v>0</v>
      </c>
      <c r="AQ102" s="55">
        <f>SUM('IV-2 amsa'!X39+'IV-2 arsa'!W43+'IV-2 dsa'!W46+'IV-2 lrsa'!X43+'IV-2 vrsa'!X48)</f>
        <v>1142377</v>
      </c>
      <c r="AR102" s="55">
        <f>SUM(AQ102*120/100)</f>
        <v>1370852.4</v>
      </c>
      <c r="AS102" s="55">
        <f>SUM(AQ102-AA102)</f>
        <v>0</v>
      </c>
    </row>
    <row r="103" spans="1:45" ht="51.75" thickBot="1" x14ac:dyDescent="0.3">
      <c r="A103" s="342" t="s">
        <v>98</v>
      </c>
      <c r="B103" s="342" t="s">
        <v>1337</v>
      </c>
      <c r="C103" s="1011" t="str">
        <f>CONCATENATE('ketv. 2'!B102)</f>
        <v>09.1.3-CPVA-R-724-11-0003</v>
      </c>
      <c r="D103" s="342" t="str">
        <f>CONCATENATE('IV-2 vrsa'!D49)</f>
        <v>Varėnos r. Merkinės Vinco Krėvės gimnazijos laisvų patalpų pritaikymas ikimokyklinio ir priešmokyklinio ugdymo grupėms įrengti</v>
      </c>
      <c r="E103" s="342" t="str">
        <f>CONCATENATE('IV-2 vrsa'!E49)</f>
        <v>Varėnos rajono savivaldybės administracija</v>
      </c>
      <c r="F103" s="342" t="str">
        <f>CONCATENATE('IV-2 vrsa'!F49)</f>
        <v>Lietuvos Respublikos švietimo ir mokslo ministerija</v>
      </c>
      <c r="G103" s="342" t="str">
        <f>CONCATENATE('IV-2 vrsa'!G49)</f>
        <v>Varėnos r. sav.</v>
      </c>
      <c r="H103" s="345" t="str">
        <f>CONCATENATE('IV-2 vrsa'!H49)</f>
        <v>09.1.3-CPVA-R-724</v>
      </c>
      <c r="I103" s="345" t="str">
        <f>CONCATENATE('IV-2 vrsa'!I49)</f>
        <v>R</v>
      </c>
      <c r="J103" s="345" t="str">
        <f>CONCATENATE('IV-2 vrsa'!J49)</f>
        <v>-</v>
      </c>
      <c r="K103" s="345" t="str">
        <f>CONCATENATE('IV-2 vrsa'!K49)</f>
        <v>-</v>
      </c>
      <c r="L103" s="1212">
        <f>SUM('IV-2 vrsa'!L49)</f>
        <v>220453</v>
      </c>
      <c r="M103" s="1212">
        <f ca="1">SUM('ketv. 6 '!L102)</f>
        <v>220453</v>
      </c>
      <c r="N103" s="1212">
        <f t="shared" ref="N103:N107" ca="1" si="172">IF(M103&gt;0,L103-M103,0)</f>
        <v>0</v>
      </c>
      <c r="O103" s="1212">
        <f>SUM('IV-2 vrsa'!M49)</f>
        <v>16534</v>
      </c>
      <c r="P103" s="1212">
        <f ca="1">SUM('ketv. 6 '!P102)</f>
        <v>16534</v>
      </c>
      <c r="Q103" s="1212">
        <f t="shared" ref="Q103:Q107" ca="1" si="173">IF(P103&gt;0,O103-P103,0)</f>
        <v>0</v>
      </c>
      <c r="R103" s="1212">
        <f>SUM('IV-2 vrsa'!N49)</f>
        <v>16534</v>
      </c>
      <c r="S103" s="1212">
        <f ca="1">SUM('ketv. 6 '!T102)</f>
        <v>16534</v>
      </c>
      <c r="T103" s="1212">
        <f t="shared" ref="T103:T107" ca="1" si="174">IF(S103&gt;0,R103-S103,0)</f>
        <v>0</v>
      </c>
      <c r="U103" s="1212">
        <f>SUM('IV-2 vrsa'!O49)</f>
        <v>0</v>
      </c>
      <c r="V103" s="1212">
        <f ca="1">SUM('ketv. 6 '!X102)</f>
        <v>0</v>
      </c>
      <c r="W103" s="1212">
        <f t="shared" ref="W103:W107" ca="1" si="175">IF(V103&gt;0,U103-V103,0)</f>
        <v>0</v>
      </c>
      <c r="X103" s="1212">
        <f>SUM('IV-2 vrsa'!P49)</f>
        <v>0</v>
      </c>
      <c r="Y103" s="1212">
        <f ca="1">SUM('ketv. 6 '!AB102)</f>
        <v>0</v>
      </c>
      <c r="Z103" s="1212">
        <f t="shared" ref="Z103:Z107" ca="1" si="176">IF(Y103&gt;0,X103-Y103,0)</f>
        <v>0</v>
      </c>
      <c r="AA103" s="1212">
        <f>SUM('IV-2 vrsa'!Q49)</f>
        <v>187385</v>
      </c>
      <c r="AB103" s="1212">
        <f>SUM('IV-2 vrsa'!R83)</f>
        <v>0</v>
      </c>
      <c r="AC103" s="306" t="str">
        <f>IF('ketv. 4 '!X103&gt;0,"Taip","Ne")</f>
        <v>Taip</v>
      </c>
      <c r="AD103" s="306">
        <f ca="1">SUM('ketv. 6 '!AF102)</f>
        <v>187385</v>
      </c>
      <c r="AE103" s="306">
        <f ca="1">IF(AD103&gt;0,AA103-AD103,0)</f>
        <v>0</v>
      </c>
      <c r="AF103" s="721">
        <f>SUM('IV-2 vrsa'!S49)</f>
        <v>42863</v>
      </c>
      <c r="AG103" s="373">
        <f>SUM('IV-2 vrsa'!T49)</f>
        <v>42916</v>
      </c>
      <c r="AH103" s="373">
        <f>SUM('IV-2 vrsa'!U49)</f>
        <v>42993</v>
      </c>
      <c r="AI103" s="373">
        <f>SUM('IV-2 vrsa'!V49)</f>
        <v>43117</v>
      </c>
      <c r="AJ103" s="375">
        <f t="shared" ref="AJ103:AJ107" si="177">IF(YEAR(AI103),YEAR(AI103))</f>
        <v>2018</v>
      </c>
      <c r="AK103" s="829">
        <f>SUM('IV-2 vrsa'!W49)</f>
        <v>43830</v>
      </c>
      <c r="AL103" s="306">
        <f>IF(YEAR(AI103)=2016,AA103,0)</f>
        <v>0</v>
      </c>
      <c r="AM103" s="306">
        <f>IF(YEAR(AI103)=2017,AA103,0)</f>
        <v>0</v>
      </c>
      <c r="AN103" s="306">
        <f>IF(YEAR(AI103)=2018,AA103,0)</f>
        <v>187385</v>
      </c>
      <c r="AO103" s="306">
        <f>IF(YEAR(AI103)=2019,AA103,0)</f>
        <v>0</v>
      </c>
      <c r="AP103" s="830">
        <f>IF(YEAR(AI103)=2020,AA103,0)</f>
        <v>0</v>
      </c>
      <c r="AQ103" s="55"/>
      <c r="AR103" s="55"/>
      <c r="AS103" s="55"/>
    </row>
    <row r="104" spans="1:45" ht="39.75" thickTop="1" thickBot="1" x14ac:dyDescent="0.3">
      <c r="A104" s="342" t="s">
        <v>200</v>
      </c>
      <c r="B104" s="342" t="s">
        <v>1338</v>
      </c>
      <c r="C104" s="1012" t="str">
        <f>CONCATENATE('ketv. 2'!B103)</f>
        <v>09.1.3-CPVA-R-724-11-0005</v>
      </c>
      <c r="D104" s="342" t="str">
        <f>CONCATENATE('IV-2 arsa'!C44)</f>
        <v>Alytaus rajono bendrojo ugdymo įstaigų aprūpinimas gamtos, technologijų, menų ir kitų mokslų laboratorijų įranga</v>
      </c>
      <c r="E104" s="342" t="str">
        <f>CONCATENATE('IV-2 arsa'!D44)</f>
        <v>Alytaus rajono savivaldybės administracija</v>
      </c>
      <c r="F104" s="342" t="str">
        <f>CONCATENATE('IV-2 arsa'!E44)</f>
        <v>Lietuvos Respublikos švietimo ir mokslo ministerija</v>
      </c>
      <c r="G104" s="342" t="str">
        <f>CONCATENATE('IV-2 arsa'!F44)</f>
        <v>Alytaus r. sav.</v>
      </c>
      <c r="H104" s="345" t="str">
        <f>CONCATENATE('IV-2 arsa'!G44)</f>
        <v>09.1.3-CPVA-R-724</v>
      </c>
      <c r="I104" s="345" t="str">
        <f>CONCATENATE('IV-2 arsa'!H44)</f>
        <v>R</v>
      </c>
      <c r="J104" s="345" t="str">
        <f>CONCATENATE('IV-2 arsa'!I44)</f>
        <v>-</v>
      </c>
      <c r="K104" s="345" t="str">
        <f>CONCATENATE('IV-2 arsa'!J44)</f>
        <v>-</v>
      </c>
      <c r="L104" s="1212">
        <f>SUM('IV-2 arsa'!K44)</f>
        <v>106845.41</v>
      </c>
      <c r="M104" s="1212">
        <f ca="1">SUM('ketv. 6 '!L103)</f>
        <v>106845.41</v>
      </c>
      <c r="N104" s="1212">
        <f t="shared" ca="1" si="172"/>
        <v>0</v>
      </c>
      <c r="O104" s="1212">
        <f>SUM('IV-2 arsa'!L44)</f>
        <v>8013.41</v>
      </c>
      <c r="P104" s="1212">
        <f ca="1">SUM('ketv. 6 '!P103)</f>
        <v>8013.41</v>
      </c>
      <c r="Q104" s="1212">
        <f t="shared" ca="1" si="173"/>
        <v>0</v>
      </c>
      <c r="R104" s="1212">
        <f>SUM('IV-2 arsa'!M44)</f>
        <v>8014</v>
      </c>
      <c r="S104" s="1212">
        <f ca="1">SUM('ketv. 6 '!T103)</f>
        <v>8014</v>
      </c>
      <c r="T104" s="1212">
        <f t="shared" ca="1" si="174"/>
        <v>0</v>
      </c>
      <c r="U104" s="1212">
        <f>SUM('IV-2 arsa'!N44)</f>
        <v>0</v>
      </c>
      <c r="V104" s="1212">
        <f ca="1">SUM('ketv. 6 '!X103)</f>
        <v>0</v>
      </c>
      <c r="W104" s="1212">
        <f t="shared" ca="1" si="175"/>
        <v>0</v>
      </c>
      <c r="X104" s="1212">
        <f>SUM('IV-2 arsa'!O44)</f>
        <v>0</v>
      </c>
      <c r="Y104" s="1212">
        <f ca="1">SUM('ketv. 6 '!AB103)</f>
        <v>0</v>
      </c>
      <c r="Z104" s="1212">
        <f t="shared" ca="1" si="176"/>
        <v>0</v>
      </c>
      <c r="AA104" s="1212">
        <f>SUM('IV-2 arsa'!P44)</f>
        <v>90818</v>
      </c>
      <c r="AB104" s="1212">
        <f>SUM('IV-2 vrsa'!R84)</f>
        <v>0</v>
      </c>
      <c r="AC104" s="306" t="str">
        <f>IF('ketv. 4 '!X104&gt;0,"Taip","Ne")</f>
        <v>Taip</v>
      </c>
      <c r="AD104" s="306">
        <f ca="1">SUM('ketv. 6 '!AF103)</f>
        <v>90818</v>
      </c>
      <c r="AE104" s="306">
        <f ca="1">IF(AD104&gt;0,AA104-AD104,0)</f>
        <v>0</v>
      </c>
      <c r="AF104" s="721">
        <f>SUM('IV-2 arsa'!R44)</f>
        <v>42863</v>
      </c>
      <c r="AG104" s="373">
        <f>SUM('IV-2 arsa'!S44)</f>
        <v>42916</v>
      </c>
      <c r="AH104" s="373">
        <f>SUM('IV-2 arsa'!T44)</f>
        <v>42993</v>
      </c>
      <c r="AI104" s="373">
        <f>SUM('IV-2 arsa'!U44)</f>
        <v>43112</v>
      </c>
      <c r="AJ104" s="375">
        <f t="shared" si="177"/>
        <v>2018</v>
      </c>
      <c r="AK104" s="829">
        <f>SUM('IV-2 arsa'!V44)</f>
        <v>43526</v>
      </c>
      <c r="AL104" s="306">
        <f>IF(YEAR(AI104)=2016,AA104,0)</f>
        <v>0</v>
      </c>
      <c r="AM104" s="306">
        <f>IF(YEAR(AI104)=2017,AA104,0)</f>
        <v>0</v>
      </c>
      <c r="AN104" s="306">
        <f>IF(YEAR(AI104)=2018,AA104,0)</f>
        <v>90818</v>
      </c>
      <c r="AO104" s="306">
        <f>IF(YEAR(AI104)=2019,AA104,0)</f>
        <v>0</v>
      </c>
      <c r="AP104" s="830">
        <f>IF(YEAR(AI104)=2020,AA104,0)</f>
        <v>0</v>
      </c>
      <c r="AQ104" s="377"/>
      <c r="AR104" s="55"/>
      <c r="AS104" s="55"/>
    </row>
    <row r="105" spans="1:45" ht="39.75" thickTop="1" thickBot="1" x14ac:dyDescent="0.3">
      <c r="A105" s="342" t="s">
        <v>223</v>
      </c>
      <c r="B105" s="342" t="s">
        <v>1339</v>
      </c>
      <c r="C105" s="1012" t="str">
        <f>CONCATENATE('ketv. 2'!B104)</f>
        <v>09.1.3-CPVA-R-724-11-0002</v>
      </c>
      <c r="D105" s="342" t="str">
        <f>CONCATENATE('IV-2 amsa'!D40)</f>
        <v>Modernių ir saugių erdvių kūrimas Dzūkijos pagrindinėje mokykloje, Alytuje</v>
      </c>
      <c r="E105" s="342" t="str">
        <f>CONCATENATE('IV-2 amsa'!E40)</f>
        <v>Alytaus miesto savivaldybės administracija</v>
      </c>
      <c r="F105" s="342" t="str">
        <f>CONCATENATE('IV-2 amsa'!F40)</f>
        <v>Lietuvos Respublikos švietimo ir mokslo ministerija</v>
      </c>
      <c r="G105" s="342" t="str">
        <f>CONCATENATE('IV-2 amsa'!G40)</f>
        <v>Alytaus m. sav.</v>
      </c>
      <c r="H105" s="345" t="str">
        <f>CONCATENATE('IV-2 amsa'!H40)</f>
        <v>09.1.3-CPVA-R-724</v>
      </c>
      <c r="I105" s="345" t="str">
        <f>CONCATENATE('IV-2 amsa'!I40)</f>
        <v>R</v>
      </c>
      <c r="J105" s="345" t="str">
        <f>CONCATENATE('IV-2 amsa'!J40)</f>
        <v>-</v>
      </c>
      <c r="K105" s="345" t="str">
        <f>CONCATENATE('IV-2 amsa'!K40)</f>
        <v>-</v>
      </c>
      <c r="L105" s="1212">
        <f>SUM('IV-2 amsa'!L40)</f>
        <v>657021</v>
      </c>
      <c r="M105" s="1212">
        <f ca="1">SUM('ketv. 6 '!L104)</f>
        <v>657021</v>
      </c>
      <c r="N105" s="1212">
        <f t="shared" ca="1" si="172"/>
        <v>0</v>
      </c>
      <c r="O105" s="1212">
        <f>SUM('IV-2 amsa'!M40)</f>
        <v>49277</v>
      </c>
      <c r="P105" s="1212">
        <f ca="1">SUM('ketv. 6 '!P104)</f>
        <v>49277</v>
      </c>
      <c r="Q105" s="1212">
        <f t="shared" ca="1" si="173"/>
        <v>0</v>
      </c>
      <c r="R105" s="1212">
        <f>SUM('IV-2 amsa'!N40)</f>
        <v>49277</v>
      </c>
      <c r="S105" s="1212">
        <f ca="1">SUM('ketv. 6 '!T104)</f>
        <v>49277</v>
      </c>
      <c r="T105" s="1212">
        <f t="shared" ca="1" si="174"/>
        <v>0</v>
      </c>
      <c r="U105" s="1212">
        <f>SUM('IV-2 amsa'!O40)</f>
        <v>0</v>
      </c>
      <c r="V105" s="1212">
        <f ca="1">SUM('ketv. 6 '!X104)</f>
        <v>0</v>
      </c>
      <c r="W105" s="1212">
        <f t="shared" ca="1" si="175"/>
        <v>0</v>
      </c>
      <c r="X105" s="1212">
        <f>SUM('IV-2 amsa'!P40)</f>
        <v>0</v>
      </c>
      <c r="Y105" s="1212">
        <f ca="1">SUM('ketv. 6 '!AB104)</f>
        <v>0</v>
      </c>
      <c r="Z105" s="1212">
        <f t="shared" ca="1" si="176"/>
        <v>0</v>
      </c>
      <c r="AA105" s="1212">
        <f>SUM('IV-2 amsa'!Q40)</f>
        <v>558467</v>
      </c>
      <c r="AB105" s="1212">
        <f>SUM('IV-2 vrsa'!R85)</f>
        <v>0</v>
      </c>
      <c r="AC105" s="306" t="str">
        <f>IF('ketv. 4 '!X105&gt;0,"Taip","Ne")</f>
        <v>Taip</v>
      </c>
      <c r="AD105" s="306">
        <f ca="1">SUM('ketv. 6 '!AF104)</f>
        <v>558467</v>
      </c>
      <c r="AE105" s="306">
        <f ca="1">IF(AD105&gt;0,AA105-AD105,0)</f>
        <v>0</v>
      </c>
      <c r="AF105" s="721">
        <f>SUM('IV-2 amsa'!S40)</f>
        <v>42877</v>
      </c>
      <c r="AG105" s="373">
        <f>SUM('IV-2 amsa'!T40)</f>
        <v>42947</v>
      </c>
      <c r="AH105" s="373">
        <f>SUM('IV-2 amsa'!U40)</f>
        <v>42992</v>
      </c>
      <c r="AI105" s="373">
        <f>SUM('IV-2 amsa'!V40)</f>
        <v>43139</v>
      </c>
      <c r="AJ105" s="375">
        <f t="shared" si="177"/>
        <v>2018</v>
      </c>
      <c r="AK105" s="829">
        <f>SUM('IV-2 amsa'!W40)</f>
        <v>43830</v>
      </c>
      <c r="AL105" s="306">
        <f>IF(YEAR(AI105)=2016,AA105,0)</f>
        <v>0</v>
      </c>
      <c r="AM105" s="306">
        <f>IF(YEAR(AI105)=2017,AA105,0)</f>
        <v>0</v>
      </c>
      <c r="AN105" s="306">
        <f>IF(YEAR(AI105)=2018,AA105,0)</f>
        <v>558467</v>
      </c>
      <c r="AO105" s="306">
        <f>IF(YEAR(AI105)=2019,AA105,0)</f>
        <v>0</v>
      </c>
      <c r="AP105" s="830">
        <f>IF(YEAR(AI105)=2020,AA105,0)</f>
        <v>0</v>
      </c>
      <c r="AQ105" s="377"/>
      <c r="AR105" s="377"/>
      <c r="AS105" s="55"/>
    </row>
    <row r="106" spans="1:45" ht="39.75" thickTop="1" thickBot="1" x14ac:dyDescent="0.3">
      <c r="A106" s="342" t="s">
        <v>233</v>
      </c>
      <c r="B106" s="342" t="s">
        <v>1340</v>
      </c>
      <c r="C106" s="1012" t="str">
        <f>CONCATENATE('ketv. 2'!B105)</f>
        <v>09.1.3-CPVA-R-724-11-0004</v>
      </c>
      <c r="D106" s="342" t="str">
        <f>CONCATENATE('IV-2 dsa'!C47)</f>
        <v>Modernių ir saugių erdvių sukūrimas bendrojo ugdymo mokyklose Druskininkų sav.</v>
      </c>
      <c r="E106" s="342" t="str">
        <f>CONCATENATE('IV-2 dsa'!D47)</f>
        <v>Druskininkų savivaldybės administracija</v>
      </c>
      <c r="F106" s="342" t="str">
        <f>CONCATENATE('IV-2 dsa'!E47)</f>
        <v>Lietuvos Respublikos švietimo ir mokslo ministerija</v>
      </c>
      <c r="G106" s="342" t="str">
        <f>CONCATENATE('IV-2 dsa'!F47)</f>
        <v>Druskininkų sav.</v>
      </c>
      <c r="H106" s="345" t="str">
        <f>CONCATENATE('IV-2 dsa'!G47)</f>
        <v>09.1.3-CPVA-R-724</v>
      </c>
      <c r="I106" s="345" t="str">
        <f>CONCATENATE('IV-2 dsa'!H47)</f>
        <v>R</v>
      </c>
      <c r="J106" s="345" t="str">
        <f>CONCATENATE('IV-2 dsa'!I47)</f>
        <v>-</v>
      </c>
      <c r="K106" s="345" t="str">
        <f>CONCATENATE('IV-2 dsa'!J47)</f>
        <v>-</v>
      </c>
      <c r="L106" s="1212">
        <f>SUM('IV-2 dsa'!K47)</f>
        <v>163877</v>
      </c>
      <c r="M106" s="1212">
        <f ca="1">SUM('ketv. 6 '!L105)</f>
        <v>163877</v>
      </c>
      <c r="N106" s="1212">
        <f t="shared" ca="1" si="172"/>
        <v>0</v>
      </c>
      <c r="O106" s="1212">
        <f>SUM('IV-2 dsa'!L47)</f>
        <v>12291</v>
      </c>
      <c r="P106" s="1212">
        <f ca="1">SUM('ketv. 6 '!P105)</f>
        <v>12291</v>
      </c>
      <c r="Q106" s="1212">
        <f t="shared" ca="1" si="173"/>
        <v>0</v>
      </c>
      <c r="R106" s="1212">
        <f>SUM('IV-2 dsa'!M47)</f>
        <v>12291</v>
      </c>
      <c r="S106" s="1212">
        <f ca="1">SUM('ketv. 6 '!T105)</f>
        <v>12291</v>
      </c>
      <c r="T106" s="1212">
        <f t="shared" ca="1" si="174"/>
        <v>0</v>
      </c>
      <c r="U106" s="1212">
        <f>SUM('IV-2 dsa'!N47)</f>
        <v>0</v>
      </c>
      <c r="V106" s="1212">
        <f ca="1">SUM('ketv. 6 '!X105)</f>
        <v>0</v>
      </c>
      <c r="W106" s="1212">
        <f t="shared" ca="1" si="175"/>
        <v>0</v>
      </c>
      <c r="X106" s="1212">
        <f>SUM('IV-2 dsa'!O47)</f>
        <v>0</v>
      </c>
      <c r="Y106" s="1212">
        <f ca="1">SUM('ketv. 6 '!AB105)</f>
        <v>0</v>
      </c>
      <c r="Z106" s="1212">
        <f t="shared" ca="1" si="176"/>
        <v>0</v>
      </c>
      <c r="AA106" s="1212">
        <f>SUM('IV-2 dsa'!P47)</f>
        <v>139295</v>
      </c>
      <c r="AB106" s="1212">
        <f>SUM('IV-2 vrsa'!R86)</f>
        <v>0</v>
      </c>
      <c r="AC106" s="306" t="str">
        <f>IF('ketv. 4 '!X106&gt;0,"Taip","Ne")</f>
        <v>Taip</v>
      </c>
      <c r="AD106" s="306">
        <f ca="1">SUM('ketv. 6 '!AF105)</f>
        <v>139295</v>
      </c>
      <c r="AE106" s="306">
        <f ca="1">IF(AD106&gt;0,AA106-AD106,0)</f>
        <v>0</v>
      </c>
      <c r="AF106" s="721">
        <f>SUM('IV-2 dsa'!R47)</f>
        <v>42863</v>
      </c>
      <c r="AG106" s="373">
        <f>SUM('IV-2 dsa'!S47)</f>
        <v>42916</v>
      </c>
      <c r="AH106" s="373">
        <f>SUM('IV-2 dsa'!T47)</f>
        <v>42993</v>
      </c>
      <c r="AI106" s="373">
        <f>SUM('IV-2 dsa'!U47)</f>
        <v>43100</v>
      </c>
      <c r="AJ106" s="375">
        <f t="shared" si="177"/>
        <v>2017</v>
      </c>
      <c r="AK106" s="829">
        <f>SUM('IV-2 dsa'!V47)</f>
        <v>43830</v>
      </c>
      <c r="AL106" s="306">
        <f>IF(YEAR(AI106)=2016,AA106,0)</f>
        <v>0</v>
      </c>
      <c r="AM106" s="306">
        <f>IF(YEAR(AI106)=2017,AA106,0)</f>
        <v>139295</v>
      </c>
      <c r="AN106" s="306">
        <f>IF(YEAR(AI106)=2018,AA106,0)</f>
        <v>0</v>
      </c>
      <c r="AO106" s="306">
        <f>IF(YEAR(AI106)=2019,AA106,0)</f>
        <v>0</v>
      </c>
      <c r="AP106" s="830">
        <f>IF(YEAR(AI106)=2020,AA106,0)</f>
        <v>0</v>
      </c>
      <c r="AQ106" s="377"/>
      <c r="AR106" s="377"/>
      <c r="AS106" s="55"/>
    </row>
    <row r="107" spans="1:45" ht="39.75" thickTop="1" thickBot="1" x14ac:dyDescent="0.3">
      <c r="A107" s="342" t="s">
        <v>285</v>
      </c>
      <c r="B107" s="342" t="s">
        <v>1341</v>
      </c>
      <c r="C107" s="1013" t="str">
        <f>CONCATENATE('ketv. 2'!B106)</f>
        <v>09.1.3-CPVA-R-724-11-0001</v>
      </c>
      <c r="D107" s="342" t="str">
        <f>CONCATENATE('IV-2 lrsa'!D44)</f>
        <v>Modernių ir saugių erdvių sukūrimas bendrojo ugdymo įstaigose Lazdijų rajono savivaldybėje</v>
      </c>
      <c r="E107" s="342" t="str">
        <f>CONCATENATE('IV-2 lrsa'!E44)</f>
        <v>Lazdijų rajono savivaldybės administracija</v>
      </c>
      <c r="F107" s="342" t="str">
        <f>CONCATENATE('IV-2 lrsa'!F44)</f>
        <v>Lietuvos Respublikos švietimo ir mokslo ministerija</v>
      </c>
      <c r="G107" s="342" t="str">
        <f>CONCATENATE('IV-2 lrsa'!G44)</f>
        <v>Lazdijų r. sav.</v>
      </c>
      <c r="H107" s="345" t="str">
        <f>CONCATENATE('IV-2 lrsa'!H44)</f>
        <v>09.1.3-CPVA-R-724</v>
      </c>
      <c r="I107" s="345" t="str">
        <f>CONCATENATE('IV-2 lrsa'!I44)</f>
        <v>R</v>
      </c>
      <c r="J107" s="345" t="str">
        <f>CONCATENATE('IV-2 lrsa'!J44)</f>
        <v>-</v>
      </c>
      <c r="K107" s="345" t="str">
        <f>CONCATENATE('IV-2 lrsa'!K44)</f>
        <v>-</v>
      </c>
      <c r="L107" s="1212">
        <f>SUM('IV-2 lrsa'!L44)</f>
        <v>195779</v>
      </c>
      <c r="M107" s="1212">
        <f ca="1">SUM('ketv. 6 '!L106)</f>
        <v>195779</v>
      </c>
      <c r="N107" s="1212">
        <f t="shared" ca="1" si="172"/>
        <v>0</v>
      </c>
      <c r="O107" s="1212">
        <f>SUM('IV-2 lrsa'!M44)</f>
        <v>14684</v>
      </c>
      <c r="P107" s="1212">
        <f ca="1">SUM('ketv. 6 '!P106)</f>
        <v>14684</v>
      </c>
      <c r="Q107" s="1212">
        <f t="shared" ca="1" si="173"/>
        <v>0</v>
      </c>
      <c r="R107" s="1212">
        <f>SUM('IV-2 lrsa'!N44)</f>
        <v>14683</v>
      </c>
      <c r="S107" s="1212">
        <f ca="1">SUM('ketv. 6 '!T106)</f>
        <v>14683</v>
      </c>
      <c r="T107" s="1212">
        <f t="shared" ca="1" si="174"/>
        <v>0</v>
      </c>
      <c r="U107" s="1212">
        <f>SUM('IV-2 lrsa'!O44)</f>
        <v>0</v>
      </c>
      <c r="V107" s="1212">
        <f ca="1">SUM('ketv. 6 '!X106)</f>
        <v>0</v>
      </c>
      <c r="W107" s="1212">
        <f t="shared" ca="1" si="175"/>
        <v>0</v>
      </c>
      <c r="X107" s="1212">
        <f>SUM('IV-2 lrsa'!P44)</f>
        <v>0</v>
      </c>
      <c r="Y107" s="1212">
        <f ca="1">SUM('ketv. 6 '!AB106)</f>
        <v>0</v>
      </c>
      <c r="Z107" s="1212">
        <f t="shared" ca="1" si="176"/>
        <v>0</v>
      </c>
      <c r="AA107" s="1212">
        <f>SUM('IV-2 lrsa'!Q44)</f>
        <v>166412</v>
      </c>
      <c r="AB107" s="1212">
        <f>SUM('IV-2 vrsa'!R87)</f>
        <v>0</v>
      </c>
      <c r="AC107" s="306" t="str">
        <f>IF('ketv. 4 '!X107&gt;0,"Taip","Ne")</f>
        <v>Taip</v>
      </c>
      <c r="AD107" s="306">
        <f ca="1">SUM('ketv. 6 '!AF106)</f>
        <v>166412</v>
      </c>
      <c r="AE107" s="306">
        <f ca="1">IF(AD107&gt;0,AA107-AD107,0)</f>
        <v>0</v>
      </c>
      <c r="AF107" s="721">
        <f>SUM('IV-2 lrsa'!S44)</f>
        <v>42863</v>
      </c>
      <c r="AG107" s="373">
        <f>SUM('IV-2 lrsa'!T44)</f>
        <v>42916</v>
      </c>
      <c r="AH107" s="373">
        <f>SUM('IV-2 lrsa'!U44)</f>
        <v>42993</v>
      </c>
      <c r="AI107" s="373">
        <f>SUM('IV-2 lrsa'!V44)</f>
        <v>43150</v>
      </c>
      <c r="AJ107" s="375">
        <f t="shared" si="177"/>
        <v>2018</v>
      </c>
      <c r="AK107" s="829">
        <f>SUM('IV-2 lrsa'!W44)</f>
        <v>43709</v>
      </c>
      <c r="AL107" s="306">
        <f>IF(YEAR(AI107)=2016,AA107,0)</f>
        <v>0</v>
      </c>
      <c r="AM107" s="306">
        <f>IF(YEAR(AI107)=2017,AA107,0)</f>
        <v>0</v>
      </c>
      <c r="AN107" s="306">
        <f>IF(YEAR(AI107)=2018,AA107,0)</f>
        <v>166412</v>
      </c>
      <c r="AO107" s="306">
        <f>IF(YEAR(AI107)=2019,AA107,0)</f>
        <v>0</v>
      </c>
      <c r="AP107" s="830">
        <f>IF(YEAR(AI107)=2020,AA107,0)</f>
        <v>0</v>
      </c>
      <c r="AQ107" s="55"/>
      <c r="AR107" s="55"/>
      <c r="AS107" s="55"/>
    </row>
    <row r="108" spans="1:45" ht="33.75" customHeight="1" thickBot="1" x14ac:dyDescent="0.3">
      <c r="A108" s="845" t="s">
        <v>99</v>
      </c>
      <c r="B108" s="1841" t="s">
        <v>1503</v>
      </c>
      <c r="C108" s="1844"/>
      <c r="D108" s="1844"/>
      <c r="E108" s="1844"/>
      <c r="F108" s="1844"/>
      <c r="G108" s="1844"/>
      <c r="H108" s="1844"/>
      <c r="I108" s="1844"/>
      <c r="J108" s="1844"/>
      <c r="K108" s="1845"/>
      <c r="L108" s="1213">
        <f t="shared" ref="L108:AA108" si="178">SUM(L109:L113)</f>
        <v>1973870.18</v>
      </c>
      <c r="M108" s="1213">
        <f ca="1">SUM(M109:M113)</f>
        <v>1973870.18</v>
      </c>
      <c r="N108" s="1213">
        <f ca="1">SUM(N109:N113)</f>
        <v>0</v>
      </c>
      <c r="O108" s="1781">
        <f t="shared" si="178"/>
        <v>487863.18</v>
      </c>
      <c r="P108" s="1213">
        <f ca="1">SUM(P109:P113)</f>
        <v>487863.18</v>
      </c>
      <c r="Q108" s="1213">
        <f ca="1">SUM(Q109:Q113)</f>
        <v>0</v>
      </c>
      <c r="R108" s="1213">
        <f t="shared" si="178"/>
        <v>0</v>
      </c>
      <c r="S108" s="1213">
        <f ca="1">SUM(S109:S113)</f>
        <v>0</v>
      </c>
      <c r="T108" s="1213">
        <f ca="1">SUM(T109:T113)</f>
        <v>0</v>
      </c>
      <c r="U108" s="1213">
        <f t="shared" si="178"/>
        <v>0</v>
      </c>
      <c r="V108" s="1213">
        <f ca="1">SUM(V109:V113)</f>
        <v>0</v>
      </c>
      <c r="W108" s="1213">
        <f ca="1">SUM(W109:W113)</f>
        <v>0</v>
      </c>
      <c r="X108" s="1213">
        <f t="shared" si="178"/>
        <v>0</v>
      </c>
      <c r="Y108" s="1213">
        <f ca="1">SUM(Y109:Y113)</f>
        <v>0</v>
      </c>
      <c r="Z108" s="1213">
        <f ca="1">SUM(Z109:Z113)</f>
        <v>0</v>
      </c>
      <c r="AA108" s="1781">
        <f t="shared" si="178"/>
        <v>1486007</v>
      </c>
      <c r="AB108" s="1213">
        <f>SUM('IV-2 vrsa'!R88)</f>
        <v>0</v>
      </c>
      <c r="AC108" s="825"/>
      <c r="AD108" s="825">
        <f ca="1">SUM(AD109:AD113)</f>
        <v>1486007</v>
      </c>
      <c r="AE108" s="825">
        <f ca="1">SUM(AE109:AE113)</f>
        <v>0</v>
      </c>
      <c r="AF108" s="825"/>
      <c r="AG108" s="842"/>
      <c r="AH108" s="842"/>
      <c r="AI108" s="842"/>
      <c r="AJ108" s="843"/>
      <c r="AK108" s="844"/>
      <c r="AL108" s="306">
        <f>SUM(AL109:AL113)</f>
        <v>0</v>
      </c>
      <c r="AM108" s="306">
        <f>SUM(AM109:AM113)</f>
        <v>611625</v>
      </c>
      <c r="AN108" s="306">
        <f>SUM(AN109:AN113)</f>
        <v>874382</v>
      </c>
      <c r="AO108" s="306">
        <f>SUM(AO109:AO113)</f>
        <v>0</v>
      </c>
      <c r="AP108" s="306">
        <f>SUM(AP109:AP113)</f>
        <v>0</v>
      </c>
      <c r="AQ108" s="55">
        <f>SUM('IV-2 amsa'!X41+'IV-2 arsa'!W45+'IV-2 dsa'!W48+'IV-2 lrsa'!X45+'IV-2 vrsa'!X50)</f>
        <v>1486008.4570765519</v>
      </c>
      <c r="AR108" s="55">
        <f>SUM(AQ108*120/100)</f>
        <v>1783210.1484918622</v>
      </c>
      <c r="AS108" s="55">
        <f>SUM(AQ108-AA108)</f>
        <v>1.4570765518583357</v>
      </c>
    </row>
    <row r="109" spans="1:45" ht="39" thickBot="1" x14ac:dyDescent="0.3">
      <c r="A109" s="342" t="s">
        <v>100</v>
      </c>
      <c r="B109" s="342" t="s">
        <v>1342</v>
      </c>
      <c r="C109" s="1011" t="str">
        <f>CONCATENATE('ketv. 2'!B108)</f>
        <v>09.1.3-CPVA-R-725-11-0003</v>
      </c>
      <c r="D109" s="342" t="str">
        <f>CONCATENATE('IV-2 vrsa'!D51)</f>
        <v>Varėnos moksleivių kūrybos centro pastato J. Basanavičiaus g. 38, Varėnoje, modernizavimas</v>
      </c>
      <c r="E109" s="342" t="str">
        <f>CONCATENATE('IV-2 vrsa'!E51)</f>
        <v>Varėnos rajono savivaldybės administracija</v>
      </c>
      <c r="F109" s="342" t="str">
        <f>CONCATENATE('IV-2 vrsa'!F51)</f>
        <v>Lietuvos Respublikos švietimo ir mokslo ministerija</v>
      </c>
      <c r="G109" s="342" t="str">
        <f>CONCATENATE('IV-2 vrsa'!G51)</f>
        <v>Varėnos r. sav.</v>
      </c>
      <c r="H109" s="345" t="str">
        <f>CONCATENATE('IV-2 vrsa'!H51)</f>
        <v>09.13.CPVA-R-725</v>
      </c>
      <c r="I109" s="345" t="str">
        <f>CONCATENATE('IV-2 vrsa'!I51)</f>
        <v>R</v>
      </c>
      <c r="J109" s="345" t="str">
        <f>CONCATENATE('IV-2 vrsa'!J51)</f>
        <v>-</v>
      </c>
      <c r="K109" s="546" t="s">
        <v>66</v>
      </c>
      <c r="L109" s="1212">
        <f>SUM('IV-2 vrsa'!L51)</f>
        <v>437551</v>
      </c>
      <c r="M109" s="1212">
        <f ca="1">SUM('ketv. 6 '!L108)</f>
        <v>437551</v>
      </c>
      <c r="N109" s="1212">
        <f t="shared" ref="N109:N113" ca="1" si="179">IF(M109&gt;0,L109-M109,0)</f>
        <v>0</v>
      </c>
      <c r="O109" s="1212">
        <f>SUM('IV-2 vrsa'!M51)</f>
        <v>65633</v>
      </c>
      <c r="P109" s="1212">
        <f ca="1">SUM('ketv. 6 '!P108)</f>
        <v>65633</v>
      </c>
      <c r="Q109" s="1212">
        <f t="shared" ref="Q109:Q113" ca="1" si="180">IF(P109&gt;0,O109-P109,0)</f>
        <v>0</v>
      </c>
      <c r="R109" s="1212">
        <f>SUM('IV-2 vrsa'!N51)</f>
        <v>0</v>
      </c>
      <c r="S109" s="1212">
        <f ca="1">SUM('ketv. 6 '!T108)</f>
        <v>0</v>
      </c>
      <c r="T109" s="1212">
        <f t="shared" ref="T109:T113" ca="1" si="181">IF(S109&gt;0,R109-S109,0)</f>
        <v>0</v>
      </c>
      <c r="U109" s="1212">
        <f>SUM('IV-2 vrsa'!O51)</f>
        <v>0</v>
      </c>
      <c r="V109" s="1212">
        <f ca="1">SUM('ketv. 6 '!X108)</f>
        <v>0</v>
      </c>
      <c r="W109" s="1212">
        <f t="shared" ref="W109:W113" ca="1" si="182">IF(V109&gt;0,U109-V109,0)</f>
        <v>0</v>
      </c>
      <c r="X109" s="1212">
        <f>SUM('IV-2 vrsa'!P51)</f>
        <v>0</v>
      </c>
      <c r="Y109" s="1212">
        <f ca="1">SUM('ketv. 6 '!AB108)</f>
        <v>0</v>
      </c>
      <c r="Z109" s="1212">
        <f t="shared" ref="Z109:Z113" ca="1" si="183">IF(Y109&gt;0,X109-Y109,0)</f>
        <v>0</v>
      </c>
      <c r="AA109" s="1212">
        <f>SUM('IV-2 vrsa'!Q51)</f>
        <v>371918</v>
      </c>
      <c r="AB109" s="1212">
        <f>SUM('IV-2 vrsa'!R89)</f>
        <v>0</v>
      </c>
      <c r="AC109" s="306" t="str">
        <f>IF('ketv. 4 '!X109&gt;0,"Taip","Ne")</f>
        <v>Taip</v>
      </c>
      <c r="AD109" s="306">
        <f ca="1">SUM('ketv. 6 '!AF108)</f>
        <v>371918</v>
      </c>
      <c r="AE109" s="306">
        <f ca="1">IF(AD109&gt;0,AA109-AD109,0)</f>
        <v>0</v>
      </c>
      <c r="AF109" s="721">
        <f>SUM('IV-2 vrsa'!S51)</f>
        <v>42870</v>
      </c>
      <c r="AG109" s="373">
        <f>SUM('IV-2 vrsa'!T51)</f>
        <v>42916</v>
      </c>
      <c r="AH109" s="373">
        <f>SUM('IV-2 vrsa'!U51)</f>
        <v>43007</v>
      </c>
      <c r="AI109" s="373">
        <f>SUM('IV-2 vrsa'!V51)</f>
        <v>43100</v>
      </c>
      <c r="AJ109" s="375">
        <f t="shared" ref="AJ109:AJ113" si="184">IF(YEAR(AI109),YEAR(AI109))</f>
        <v>2017</v>
      </c>
      <c r="AK109" s="1310">
        <f>SUM('IV-2 vrsa'!W51)</f>
        <v>43830</v>
      </c>
      <c r="AL109" s="306">
        <f>IF(YEAR(AI109)=2016,AA109,0)</f>
        <v>0</v>
      </c>
      <c r="AM109" s="306">
        <f>IF(YEAR(AI109)=2017,AA109,0)</f>
        <v>371918</v>
      </c>
      <c r="AN109" s="306">
        <f>IF(YEAR(AI109)=2018,AA109,0)</f>
        <v>0</v>
      </c>
      <c r="AO109" s="306">
        <f>IF(YEAR(AI109)=2019,AA109,0)</f>
        <v>0</v>
      </c>
      <c r="AP109" s="830">
        <f>IF(YEAR(AI109)=2020,AA109,0)</f>
        <v>0</v>
      </c>
      <c r="AQ109" s="55"/>
      <c r="AR109" s="55"/>
      <c r="AS109" s="55"/>
    </row>
    <row r="110" spans="1:45" ht="39.75" thickTop="1" thickBot="1" x14ac:dyDescent="0.3">
      <c r="A110" s="342" t="s">
        <v>137</v>
      </c>
      <c r="B110" s="342" t="s">
        <v>1343</v>
      </c>
      <c r="C110" s="1012" t="str">
        <f>CONCATENATE('ketv. 2'!B109)</f>
        <v>09.1.3-CPVA-R-725-11-0005</v>
      </c>
      <c r="D110" s="342" t="str">
        <f>CONCATENATE('IV-2 arsa'!C46)</f>
        <v>Alytaus r. meno ir sporto mokyklos edukacinių erdvių įkūrimas ir atnaujinimas</v>
      </c>
      <c r="E110" s="342" t="str">
        <f>CONCATENATE('IV-2 arsa'!D46)</f>
        <v>Alytaus rajono savivaldybės administracija</v>
      </c>
      <c r="F110" s="342" t="str">
        <f>CONCATENATE('IV-2 arsa'!E46)</f>
        <v>Lietuvos Respublikos švietimo ir mokslo ministerija</v>
      </c>
      <c r="G110" s="342" t="str">
        <f>CONCATENATE('IV-2 arsa'!F46)</f>
        <v>Alytaus r. sav.</v>
      </c>
      <c r="H110" s="345" t="str">
        <f>CONCATENATE('IV-2 arsa'!G46)</f>
        <v>09.13.CPVA-R-725</v>
      </c>
      <c r="I110" s="345" t="str">
        <f>CONCATENATE('IV-2 arsa'!H46)</f>
        <v>R</v>
      </c>
      <c r="J110" s="345" t="str">
        <f>CONCATENATE('IV-2 arsa'!I46)</f>
        <v>-</v>
      </c>
      <c r="K110" s="343" t="s">
        <v>66</v>
      </c>
      <c r="L110" s="1212">
        <f>SUM('IV-2 arsa'!K46)</f>
        <v>856424.88</v>
      </c>
      <c r="M110" s="1212">
        <f ca="1">SUM('ketv. 6 '!L109)</f>
        <v>856424.88</v>
      </c>
      <c r="N110" s="1212">
        <f t="shared" ca="1" si="179"/>
        <v>0</v>
      </c>
      <c r="O110" s="1212">
        <f>SUM('IV-2 arsa'!L46)</f>
        <v>319813.88</v>
      </c>
      <c r="P110" s="1212">
        <f ca="1">SUM('ketv. 6 '!P109)</f>
        <v>319813.88</v>
      </c>
      <c r="Q110" s="1212">
        <f t="shared" ca="1" si="180"/>
        <v>0</v>
      </c>
      <c r="R110" s="1212">
        <f>SUM('IV-2 arsa'!M46)</f>
        <v>0</v>
      </c>
      <c r="S110" s="1212">
        <f ca="1">SUM('ketv. 6 '!T109)</f>
        <v>0</v>
      </c>
      <c r="T110" s="1212">
        <f t="shared" ca="1" si="181"/>
        <v>0</v>
      </c>
      <c r="U110" s="1212">
        <f>SUM('IV-2 arsa'!N46)</f>
        <v>0</v>
      </c>
      <c r="V110" s="1212">
        <f ca="1">SUM('ketv. 6 '!X109)</f>
        <v>0</v>
      </c>
      <c r="W110" s="1212">
        <f t="shared" ca="1" si="182"/>
        <v>0</v>
      </c>
      <c r="X110" s="1212">
        <f>SUM('IV-2 arsa'!O46)</f>
        <v>0</v>
      </c>
      <c r="Y110" s="1212">
        <f ca="1">SUM('ketv. 6 '!AB109)</f>
        <v>0</v>
      </c>
      <c r="Z110" s="1212">
        <f t="shared" ca="1" si="183"/>
        <v>0</v>
      </c>
      <c r="AA110" s="1212">
        <f>SUM('IV-2 arsa'!P46)</f>
        <v>536611</v>
      </c>
      <c r="AB110" s="1212">
        <f>SUM('IV-2 vrsa'!R90)</f>
        <v>0</v>
      </c>
      <c r="AC110" s="306" t="str">
        <f>IF('ketv. 4 '!X110&gt;0,"Taip","Ne")</f>
        <v>Taip</v>
      </c>
      <c r="AD110" s="306">
        <f ca="1">SUM('ketv. 6 '!AF109)</f>
        <v>536611</v>
      </c>
      <c r="AE110" s="306">
        <f ca="1">IF(AD110&gt;0,AA110-AD110,0)</f>
        <v>0</v>
      </c>
      <c r="AF110" s="721">
        <f>SUM('IV-2 arsa'!R46)</f>
        <v>42870</v>
      </c>
      <c r="AG110" s="373">
        <f>SUM('IV-2 arsa'!S46)</f>
        <v>42916</v>
      </c>
      <c r="AH110" s="373">
        <f>SUM('IV-2 arsa'!T46)</f>
        <v>43008</v>
      </c>
      <c r="AI110" s="373">
        <f>SUM('IV-2 arsa'!U46)</f>
        <v>43115</v>
      </c>
      <c r="AJ110" s="375">
        <f t="shared" si="184"/>
        <v>2018</v>
      </c>
      <c r="AK110" s="829">
        <f>SUM('IV-2 arsa'!V46)</f>
        <v>43832</v>
      </c>
      <c r="AL110" s="306">
        <f>IF(YEAR(AI110)=2016,AA110,0)</f>
        <v>0</v>
      </c>
      <c r="AM110" s="306">
        <f>IF(YEAR(AI110)=2017,AA110,0)</f>
        <v>0</v>
      </c>
      <c r="AN110" s="306">
        <f>IF(YEAR(AI110)=2018,AA110,0)</f>
        <v>536611</v>
      </c>
      <c r="AO110" s="306">
        <f>IF(YEAR(AI110)=2019,AA110,0)</f>
        <v>0</v>
      </c>
      <c r="AP110" s="830">
        <f>IF(YEAR(AI110)=2020,AA110,0)</f>
        <v>0</v>
      </c>
      <c r="AQ110" s="377"/>
      <c r="AR110" s="55"/>
      <c r="AS110" s="55"/>
    </row>
    <row r="111" spans="1:45" ht="39.75" thickTop="1" thickBot="1" x14ac:dyDescent="0.3">
      <c r="A111" s="342" t="s">
        <v>199</v>
      </c>
      <c r="B111" s="342" t="s">
        <v>1344</v>
      </c>
      <c r="C111" s="1012" t="str">
        <f>CONCATENATE('ketv. 2'!B110)</f>
        <v>09.1.3-CPVA-R-725-11-0004</v>
      </c>
      <c r="D111" s="342" t="str">
        <f>CONCATENATE('IV-2 amsa'!D42)</f>
        <v>Alytaus muzikos mokyklos pastato modernizavimas ir ugdymo aplinkos gerinimas</v>
      </c>
      <c r="E111" s="342" t="str">
        <f>CONCATENATE('IV-2 amsa'!E42)</f>
        <v>Alytaus miesto savivaldybės administracija</v>
      </c>
      <c r="F111" s="342" t="str">
        <f>CONCATENATE('IV-2 amsa'!F42)</f>
        <v>Lietuvos Respublikos švietimo ir mokslo ministerija</v>
      </c>
      <c r="G111" s="342" t="str">
        <f>CONCATENATE('IV-2 amsa'!G42)</f>
        <v>Alytaus m. sav.</v>
      </c>
      <c r="H111" s="345" t="str">
        <f>CONCATENATE('IV-2 amsa'!H42)</f>
        <v>09.13.CPVA-R-725</v>
      </c>
      <c r="I111" s="345" t="str">
        <f>CONCATENATE('IV-2 amsa'!I42)</f>
        <v>R</v>
      </c>
      <c r="J111" s="345" t="str">
        <f>CONCATENATE('IV-2 amsa'!J42)</f>
        <v>-</v>
      </c>
      <c r="K111" s="343" t="s">
        <v>66</v>
      </c>
      <c r="L111" s="1212">
        <f>SUM('IV-2 amsa'!L42)</f>
        <v>397378</v>
      </c>
      <c r="M111" s="1212">
        <f ca="1">SUM('ketv. 6 '!L110)</f>
        <v>397378</v>
      </c>
      <c r="N111" s="1212">
        <f t="shared" ca="1" si="179"/>
        <v>0</v>
      </c>
      <c r="O111" s="1212">
        <f>SUM('IV-2 amsa'!M42)</f>
        <v>59607</v>
      </c>
      <c r="P111" s="1212">
        <f ca="1">SUM('ketv. 6 '!P110)</f>
        <v>59607</v>
      </c>
      <c r="Q111" s="1212">
        <f t="shared" ca="1" si="180"/>
        <v>0</v>
      </c>
      <c r="R111" s="1212">
        <f>SUM('IV-2 amsa'!N42)</f>
        <v>0</v>
      </c>
      <c r="S111" s="1212">
        <f ca="1">SUM('ketv. 6 '!T110)</f>
        <v>0</v>
      </c>
      <c r="T111" s="1212">
        <f t="shared" ca="1" si="181"/>
        <v>0</v>
      </c>
      <c r="U111" s="1212">
        <f>SUM('IV-2 amsa'!O42)</f>
        <v>0</v>
      </c>
      <c r="V111" s="1212">
        <f ca="1">SUM('ketv. 6 '!X110)</f>
        <v>0</v>
      </c>
      <c r="W111" s="1212">
        <f t="shared" ca="1" si="182"/>
        <v>0</v>
      </c>
      <c r="X111" s="1212">
        <f>SUM('IV-2 amsa'!P42)</f>
        <v>0</v>
      </c>
      <c r="Y111" s="1212">
        <f ca="1">SUM('ketv. 6 '!AB110)</f>
        <v>0</v>
      </c>
      <c r="Z111" s="1212">
        <f t="shared" ca="1" si="183"/>
        <v>0</v>
      </c>
      <c r="AA111" s="1212">
        <f>SUM('IV-2 amsa'!Q42)</f>
        <v>337771</v>
      </c>
      <c r="AB111" s="1212">
        <f>SUM('IV-2 vrsa'!R91)</f>
        <v>0</v>
      </c>
      <c r="AC111" s="306" t="str">
        <f>IF('ketv. 4 '!X111&gt;0,"Taip","Ne")</f>
        <v>Taip</v>
      </c>
      <c r="AD111" s="306">
        <f ca="1">SUM('ketv. 6 '!AF110)</f>
        <v>337771</v>
      </c>
      <c r="AE111" s="306">
        <f ca="1">IF(AD111&gt;0,AA111-AD111,0)</f>
        <v>0</v>
      </c>
      <c r="AF111" s="721">
        <f>SUM('IV-2 amsa'!S42)</f>
        <v>42870</v>
      </c>
      <c r="AG111" s="373">
        <f>SUM('IV-2 amsa'!T42)</f>
        <v>42916</v>
      </c>
      <c r="AH111" s="373">
        <f>SUM('IV-2 amsa'!U42)</f>
        <v>43007</v>
      </c>
      <c r="AI111" s="373">
        <f>SUM('IV-2 amsa'!V42)</f>
        <v>43119</v>
      </c>
      <c r="AJ111" s="375">
        <f t="shared" si="184"/>
        <v>2018</v>
      </c>
      <c r="AK111" s="829">
        <f>SUM('IV-2 amsa'!W42)</f>
        <v>43830</v>
      </c>
      <c r="AL111" s="306">
        <f>IF(YEAR(AI111)=2016,AA111,0)</f>
        <v>0</v>
      </c>
      <c r="AM111" s="306">
        <f>IF(YEAR(AI111)=2017,AA111,0)</f>
        <v>0</v>
      </c>
      <c r="AN111" s="306">
        <f>IF(YEAR(AI111)=2018,AA111,0)</f>
        <v>337771</v>
      </c>
      <c r="AO111" s="306">
        <f>IF(YEAR(AI111)=2019,AA111,0)</f>
        <v>0</v>
      </c>
      <c r="AP111" s="830">
        <f>IF(YEAR(AI111)=2020,AA111,0)</f>
        <v>0</v>
      </c>
      <c r="AQ111" s="55"/>
      <c r="AR111" s="55"/>
      <c r="AS111" s="55"/>
    </row>
    <row r="112" spans="1:45" ht="39.75" thickTop="1" thickBot="1" x14ac:dyDescent="0.3">
      <c r="A112" s="342" t="s">
        <v>201</v>
      </c>
      <c r="B112" s="342" t="s">
        <v>1345</v>
      </c>
      <c r="C112" s="1012" t="str">
        <f>CONCATENATE('ketv. 2'!B111)</f>
        <v>09.1.3-CPVA-R-725-11-0002</v>
      </c>
      <c r="D112" s="342" t="str">
        <f>CONCATENATE('IV-2 dsa'!C49)</f>
        <v>Druskininkų M. K. Čiurlionio meno mokyklos infrastruktūros tobulinimas</v>
      </c>
      <c r="E112" s="342" t="str">
        <f>CONCATENATE('IV-2 dsa'!D49)</f>
        <v xml:space="preserve">Druskininkų savivaldybės administracija  </v>
      </c>
      <c r="F112" s="342" t="str">
        <f>CONCATENATE('IV-2 dsa'!E49)</f>
        <v>Lietuvos Respublikos švietimo ir mokslo ministerija</v>
      </c>
      <c r="G112" s="342" t="str">
        <f>CONCATENATE('IV-2 dsa'!F49)</f>
        <v>Druskininkų sav.</v>
      </c>
      <c r="H112" s="345" t="str">
        <f>CONCATENATE('IV-2 dsa'!G49)</f>
        <v>09.13.CPVA-R-725</v>
      </c>
      <c r="I112" s="345" t="str">
        <f>CONCATENATE('IV-2 dsa'!H49)</f>
        <v>R</v>
      </c>
      <c r="J112" s="345" t="str">
        <f>CONCATENATE('IV-2 dsa'!I49)</f>
        <v>-</v>
      </c>
      <c r="K112" s="343" t="s">
        <v>66</v>
      </c>
      <c r="L112" s="1212">
        <f>SUM('IV-2 dsa'!K49)</f>
        <v>146702.29999999999</v>
      </c>
      <c r="M112" s="1212">
        <f ca="1">SUM('ketv. 6 '!L111)</f>
        <v>146702.29999999999</v>
      </c>
      <c r="N112" s="1212">
        <f t="shared" ca="1" si="179"/>
        <v>0</v>
      </c>
      <c r="O112" s="1212">
        <f>SUM('IV-2 dsa'!L49)</f>
        <v>22436.3</v>
      </c>
      <c r="P112" s="1212">
        <f ca="1">SUM('ketv. 6 '!P111)</f>
        <v>22436.3</v>
      </c>
      <c r="Q112" s="1212">
        <f t="shared" ca="1" si="180"/>
        <v>0</v>
      </c>
      <c r="R112" s="1212">
        <f>SUM('IV-2 dsa'!M49)</f>
        <v>0</v>
      </c>
      <c r="S112" s="1212">
        <f ca="1">SUM('ketv. 6 '!T111)</f>
        <v>0</v>
      </c>
      <c r="T112" s="1212">
        <f t="shared" ca="1" si="181"/>
        <v>0</v>
      </c>
      <c r="U112" s="1212">
        <f>SUM('IV-2 dsa'!N49)</f>
        <v>0</v>
      </c>
      <c r="V112" s="1212">
        <f ca="1">SUM('ketv. 6 '!X111)</f>
        <v>0</v>
      </c>
      <c r="W112" s="1212">
        <f t="shared" ca="1" si="182"/>
        <v>0</v>
      </c>
      <c r="X112" s="1212">
        <f>SUM('IV-2 dsa'!O49)</f>
        <v>0</v>
      </c>
      <c r="Y112" s="1212">
        <f ca="1">SUM('ketv. 6 '!AB111)</f>
        <v>0</v>
      </c>
      <c r="Z112" s="1212">
        <f t="shared" ca="1" si="183"/>
        <v>0</v>
      </c>
      <c r="AA112" s="1212">
        <f>SUM('IV-2 dsa'!P49)</f>
        <v>124266</v>
      </c>
      <c r="AB112" s="1212">
        <f>SUM('IV-2 vrsa'!R92)</f>
        <v>0</v>
      </c>
      <c r="AC112" s="306" t="str">
        <f>IF('ketv. 4 '!X112&gt;0,"Taip","Ne")</f>
        <v>Taip</v>
      </c>
      <c r="AD112" s="306">
        <f ca="1">SUM('ketv. 6 '!AF111)</f>
        <v>124266</v>
      </c>
      <c r="AE112" s="306">
        <f ca="1">IF(AD112&gt;0,AA112-AD112,0)</f>
        <v>0</v>
      </c>
      <c r="AF112" s="721">
        <f>SUM('IV-2 dsa'!R49)</f>
        <v>42828</v>
      </c>
      <c r="AG112" s="373">
        <f>SUM('IV-2 dsa'!S49)</f>
        <v>42916</v>
      </c>
      <c r="AH112" s="373">
        <f>SUM('IV-2 dsa'!T49)</f>
        <v>42993</v>
      </c>
      <c r="AI112" s="373">
        <f>SUM('IV-2 dsa'!U49)</f>
        <v>43100</v>
      </c>
      <c r="AJ112" s="375">
        <f t="shared" si="184"/>
        <v>2017</v>
      </c>
      <c r="AK112" s="829">
        <f>SUM('IV-2 dsa'!V49)</f>
        <v>43449</v>
      </c>
      <c r="AL112" s="306">
        <f>IF(YEAR(AI112)=2016,AA112,0)</f>
        <v>0</v>
      </c>
      <c r="AM112" s="306">
        <f>IF(YEAR(AI112)=2017,AA112,0)</f>
        <v>124266</v>
      </c>
      <c r="AN112" s="306">
        <f>IF(YEAR(AI112)=2018,AA112,0)</f>
        <v>0</v>
      </c>
      <c r="AO112" s="306">
        <f>IF(YEAR(AI112)=2019,AA112,0)</f>
        <v>0</v>
      </c>
      <c r="AP112" s="830">
        <f>IF(YEAR(AI112)=2020,AA112,0)</f>
        <v>0</v>
      </c>
      <c r="AQ112" s="377"/>
      <c r="AR112" s="55"/>
      <c r="AS112" s="55"/>
    </row>
    <row r="113" spans="1:48" ht="39.75" thickTop="1" thickBot="1" x14ac:dyDescent="0.3">
      <c r="A113" s="342" t="s">
        <v>224</v>
      </c>
      <c r="B113" s="342" t="s">
        <v>1346</v>
      </c>
      <c r="C113" s="1013" t="str">
        <f>CONCATENATE('ketv. 2'!B112)</f>
        <v>09.1.3-CPVA-R-725-11-0001</v>
      </c>
      <c r="D113" s="342" t="str">
        <f>CONCATENATE('IV-2 lrsa'!D46)</f>
        <v>Neformaliojo švietimo įstaigų Lazdijų rajono savivaldybėje infrastruktūros tobulinimas</v>
      </c>
      <c r="E113" s="342" t="str">
        <f>CONCATENATE('IV-2 lrsa'!E46)</f>
        <v>VšĮ „Lazdijų sporto centras“</v>
      </c>
      <c r="F113" s="342" t="str">
        <f>CONCATENATE('IV-2 lrsa'!F46)</f>
        <v>Lietuvos Respublikos švietimo ir mokslo ministerija</v>
      </c>
      <c r="G113" s="342" t="str">
        <f>CONCATENATE('IV-2 lrsa'!G46)</f>
        <v>Lazdijų r. sav.</v>
      </c>
      <c r="H113" s="345" t="str">
        <f>CONCATENATE('IV-2 lrsa'!H46)</f>
        <v>09.13.CPVA-R-725</v>
      </c>
      <c r="I113" s="345" t="str">
        <f>CONCATENATE('IV-2 lrsa'!I46)</f>
        <v>R</v>
      </c>
      <c r="J113" s="345" t="str">
        <f>CONCATENATE('IV-2 lrsa'!J46)</f>
        <v>-</v>
      </c>
      <c r="K113" s="343" t="s">
        <v>66</v>
      </c>
      <c r="L113" s="1212">
        <f>SUM('IV-2 lrsa'!L46)</f>
        <v>135814</v>
      </c>
      <c r="M113" s="1212">
        <f ca="1">SUM('ketv. 6 '!L112)</f>
        <v>135814</v>
      </c>
      <c r="N113" s="1212">
        <f t="shared" ca="1" si="179"/>
        <v>0</v>
      </c>
      <c r="O113" s="1784">
        <f>SUM('IV-2 lrsa'!M46)</f>
        <v>20373</v>
      </c>
      <c r="P113" s="1212">
        <f ca="1">SUM('ketv. 6 '!P112)</f>
        <v>20373</v>
      </c>
      <c r="Q113" s="1212">
        <f t="shared" ca="1" si="180"/>
        <v>0</v>
      </c>
      <c r="R113" s="1212">
        <f>SUM('IV-2 lrsa'!N46)</f>
        <v>0</v>
      </c>
      <c r="S113" s="1212">
        <f ca="1">SUM('ketv. 6 '!T112)</f>
        <v>0</v>
      </c>
      <c r="T113" s="1212">
        <f t="shared" ca="1" si="181"/>
        <v>0</v>
      </c>
      <c r="U113" s="1212">
        <f>SUM('IV-2 lrsa'!O46)</f>
        <v>0</v>
      </c>
      <c r="V113" s="1212">
        <f ca="1">SUM('ketv. 6 '!X112)</f>
        <v>0</v>
      </c>
      <c r="W113" s="1212">
        <f t="shared" ca="1" si="182"/>
        <v>0</v>
      </c>
      <c r="X113" s="1212">
        <f>SUM('IV-2 lrsa'!P46)</f>
        <v>0</v>
      </c>
      <c r="Y113" s="1212">
        <f ca="1">SUM('ketv. 6 '!AB112)</f>
        <v>0</v>
      </c>
      <c r="Z113" s="1212">
        <f t="shared" ca="1" si="183"/>
        <v>0</v>
      </c>
      <c r="AA113" s="1784">
        <f>SUM('IV-2 lrsa'!Q46)</f>
        <v>115441</v>
      </c>
      <c r="AB113" s="1212">
        <f>SUM('IV-2 vrsa'!R93)</f>
        <v>0</v>
      </c>
      <c r="AC113" s="306" t="str">
        <f>IF('ketv. 4 '!X113&gt;0,"Taip","Ne")</f>
        <v>Taip</v>
      </c>
      <c r="AD113" s="306">
        <f ca="1">SUM('ketv. 6 '!AF112)</f>
        <v>115441</v>
      </c>
      <c r="AE113" s="306">
        <f ca="1">IF(AD113&gt;0,AA113-AD113,0)</f>
        <v>0</v>
      </c>
      <c r="AF113" s="721">
        <f>SUM('IV-2 lrsa'!S46)</f>
        <v>42828</v>
      </c>
      <c r="AG113" s="373">
        <f>SUM('IV-2 lrsa'!T46)</f>
        <v>42866</v>
      </c>
      <c r="AH113" s="373">
        <f>SUM('IV-2 lrsa'!U46)</f>
        <v>42916</v>
      </c>
      <c r="AI113" s="373">
        <f>SUM('IV-2 lrsa'!V46)</f>
        <v>43100</v>
      </c>
      <c r="AJ113" s="375">
        <f t="shared" si="184"/>
        <v>2017</v>
      </c>
      <c r="AK113" s="829">
        <f>SUM('IV-2 lrsa'!W48)</f>
        <v>43739</v>
      </c>
      <c r="AL113" s="306">
        <f>IF(YEAR(AI113)=2016,AA113,0)</f>
        <v>0</v>
      </c>
      <c r="AM113" s="306">
        <f>IF(YEAR(AI113)=2017,AA113,0)</f>
        <v>115441</v>
      </c>
      <c r="AN113" s="306">
        <f>IF(YEAR(AI113)=2018,AA113,0)</f>
        <v>0</v>
      </c>
      <c r="AO113" s="306">
        <f>IF(YEAR(AI113)=2019,AA113,0)</f>
        <v>0</v>
      </c>
      <c r="AP113" s="830">
        <f>IF(YEAR(AI113)=2020,AA113,0)</f>
        <v>0</v>
      </c>
      <c r="AQ113" s="377"/>
      <c r="AR113" s="55"/>
      <c r="AS113" s="55"/>
    </row>
    <row r="114" spans="1:48" ht="37.5" customHeight="1" thickBot="1" x14ac:dyDescent="0.3">
      <c r="A114" s="845" t="s">
        <v>101</v>
      </c>
      <c r="B114" s="1841" t="s">
        <v>1486</v>
      </c>
      <c r="C114" s="1844"/>
      <c r="D114" s="1844"/>
      <c r="E114" s="1844"/>
      <c r="F114" s="1844"/>
      <c r="G114" s="1844"/>
      <c r="H114" s="1844"/>
      <c r="I114" s="1844"/>
      <c r="J114" s="1844"/>
      <c r="K114" s="1845"/>
      <c r="L114" s="1213">
        <f>SUM(L115:L119)</f>
        <v>1459021.7699999998</v>
      </c>
      <c r="M114" s="1213">
        <f ca="1">SUM(M115:M119)</f>
        <v>1459021.7699999998</v>
      </c>
      <c r="N114" s="1213">
        <f ca="1">SUM(N115:N119)</f>
        <v>0</v>
      </c>
      <c r="O114" s="1213">
        <f t="shared" ref="O114" si="185">SUM(O115:O119)</f>
        <v>219970.77</v>
      </c>
      <c r="P114" s="1213">
        <f ca="1">SUM(P115:P119)</f>
        <v>219970.77</v>
      </c>
      <c r="Q114" s="1213">
        <f ca="1">SUM(Q115:Q119)</f>
        <v>0</v>
      </c>
      <c r="R114" s="1213">
        <f t="shared" ref="R114" si="186">SUM(R115:R119)</f>
        <v>100463</v>
      </c>
      <c r="S114" s="1213">
        <f ca="1">SUM(S115:S119)</f>
        <v>100463</v>
      </c>
      <c r="T114" s="1213">
        <f ca="1">SUM(T115:T119)</f>
        <v>0</v>
      </c>
      <c r="U114" s="1213">
        <f t="shared" ref="U114" si="187">SUM(U115:U119)</f>
        <v>0</v>
      </c>
      <c r="V114" s="1213">
        <f ca="1">SUM(V115:V119)</f>
        <v>0</v>
      </c>
      <c r="W114" s="1213">
        <f ca="1">SUM(W115:W119)</f>
        <v>0</v>
      </c>
      <c r="X114" s="1213">
        <f t="shared" ref="X114" si="188">SUM(X115:X119)</f>
        <v>0</v>
      </c>
      <c r="Y114" s="1213">
        <f ca="1">SUM(Y115:Y119)</f>
        <v>0</v>
      </c>
      <c r="Z114" s="1213">
        <f ca="1">SUM(Z115:Z119)</f>
        <v>0</v>
      </c>
      <c r="AA114" s="1213">
        <f t="shared" ref="AA114" si="189">SUM(AA115:AA119)</f>
        <v>1138588</v>
      </c>
      <c r="AB114" s="1213">
        <f>SUM('IV-2 vrsa'!R94)</f>
        <v>0</v>
      </c>
      <c r="AC114" s="825"/>
      <c r="AD114" s="825">
        <f ca="1">SUM(AD115:AD119)</f>
        <v>1138588</v>
      </c>
      <c r="AE114" s="825">
        <f ca="1">SUM(AE115:AE119)</f>
        <v>0</v>
      </c>
      <c r="AF114" s="825"/>
      <c r="AG114" s="842"/>
      <c r="AH114" s="842"/>
      <c r="AI114" s="842"/>
      <c r="AJ114" s="843"/>
      <c r="AK114" s="844"/>
      <c r="AL114" s="819">
        <f t="shared" ref="AL114:AM114" si="190">SUM(AL115:AL119)</f>
        <v>0</v>
      </c>
      <c r="AM114" s="819">
        <f t="shared" si="190"/>
        <v>0</v>
      </c>
      <c r="AN114" s="819">
        <f>SUM(AN115:AN119)</f>
        <v>1138588</v>
      </c>
      <c r="AO114" s="819">
        <f t="shared" ref="AO114:AP114" si="191">SUM(AO115:AO119)</f>
        <v>0</v>
      </c>
      <c r="AP114" s="819">
        <f t="shared" si="191"/>
        <v>0</v>
      </c>
      <c r="AQ114" s="55">
        <f>SUM('IV-2 amsa'!X43+'IV-2 arsa'!W47+'IV-2 dsa'!W50+'IV-2 lrsa'!X47+'IV-2 vrsa'!X52)</f>
        <v>1328775.8344968446</v>
      </c>
      <c r="AR114" s="55">
        <f>SUM(AQ114*120/100)</f>
        <v>1594531.0013962134</v>
      </c>
      <c r="AS114" s="55">
        <f>SUM(AQ114-AA114)</f>
        <v>190187.83449684456</v>
      </c>
    </row>
    <row r="115" spans="1:48" ht="39.75" thickTop="1" thickBot="1" x14ac:dyDescent="0.3">
      <c r="A115" s="342" t="s">
        <v>102</v>
      </c>
      <c r="B115" s="342" t="s">
        <v>1347</v>
      </c>
      <c r="C115" s="970" t="str">
        <f>CONCATENATE('ketv. 2'!B114)</f>
        <v>09.1.3-CPVA-R-705-11-0003</v>
      </c>
      <c r="D115" s="342" t="str">
        <f>CONCATENATE('IV-2 vrsa'!D53)</f>
        <v>Varėnos "Pasakos" vaikų lopšelio-darželio pastato modernizavimas</v>
      </c>
      <c r="E115" s="342" t="str">
        <f>CONCATENATE('IV-2 vrsa'!E53)</f>
        <v>Varėnos rajono savivaldybės administracija</v>
      </c>
      <c r="F115" s="342" t="str">
        <f>CONCATENATE('IV-2 vrsa'!F53)</f>
        <v>Lietuvos Respublikos švietimo ir mokslo ministerija</v>
      </c>
      <c r="G115" s="342" t="str">
        <f>CONCATENATE('IV-2 vrsa'!G53)</f>
        <v>Varėnos r. sav.</v>
      </c>
      <c r="H115" s="345" t="str">
        <f>CONCATENATE('IV-2 vrsa'!H53)</f>
        <v>09.1.3-CPVA-R-705</v>
      </c>
      <c r="I115" s="345" t="str">
        <f>CONCATENATE('IV-2 vrsa'!I53)</f>
        <v>R</v>
      </c>
      <c r="J115" s="345" t="str">
        <f>CONCATENATE('IV-2 vrsa'!J53)</f>
        <v>-</v>
      </c>
      <c r="K115" s="345" t="str">
        <f>CONCATENATE('IV-2 vrsa'!K53)</f>
        <v>-</v>
      </c>
      <c r="L115" s="1212">
        <f>SUM('IV-2 vrsa'!L53)</f>
        <v>370000</v>
      </c>
      <c r="M115" s="1212">
        <f ca="1">SUM('ketv. 6 '!L114)</f>
        <v>370000</v>
      </c>
      <c r="N115" s="1212">
        <f t="shared" ref="N115:N119" ca="1" si="192">IF(M115&gt;0,L115-M115,0)</f>
        <v>0</v>
      </c>
      <c r="O115" s="1212">
        <f>SUM('IV-2 vrsa'!M53)</f>
        <v>57342</v>
      </c>
      <c r="P115" s="1212">
        <f ca="1">SUM('ketv. 6 '!P114)</f>
        <v>57342</v>
      </c>
      <c r="Q115" s="1212">
        <f t="shared" ref="Q115:Q119" ca="1" si="193">IF(P115&gt;0,O115-P115,0)</f>
        <v>0</v>
      </c>
      <c r="R115" s="1212">
        <f>SUM('IV-2 vrsa'!N53)</f>
        <v>25351</v>
      </c>
      <c r="S115" s="1212">
        <f ca="1">SUM('ketv. 6 '!T114)</f>
        <v>25351</v>
      </c>
      <c r="T115" s="1212">
        <f t="shared" ref="T115:T119" ca="1" si="194">IF(S115&gt;0,R115-S115,0)</f>
        <v>0</v>
      </c>
      <c r="U115" s="1212">
        <f>SUM('IV-2 vrsa'!O53)</f>
        <v>0</v>
      </c>
      <c r="V115" s="1212">
        <f ca="1">SUM('ketv. 6 '!X114)</f>
        <v>0</v>
      </c>
      <c r="W115" s="1212">
        <f t="shared" ref="W115:W119" ca="1" si="195">IF(V115&gt;0,U115-V115,0)</f>
        <v>0</v>
      </c>
      <c r="X115" s="1212">
        <f>SUM('IV-2 vrsa'!P53)</f>
        <v>0</v>
      </c>
      <c r="Y115" s="1212">
        <f ca="1">SUM('ketv. 6 '!AB114)</f>
        <v>0</v>
      </c>
      <c r="Z115" s="1212">
        <f t="shared" ref="Z115:Z119" ca="1" si="196">IF(Y115&gt;0,X115-Y115,0)</f>
        <v>0</v>
      </c>
      <c r="AA115" s="1212">
        <f>SUM('IV-2 vrsa'!Q53)</f>
        <v>287307</v>
      </c>
      <c r="AB115" s="1212">
        <f>SUM('IV-2 vrsa'!R95)</f>
        <v>0</v>
      </c>
      <c r="AC115" s="306" t="str">
        <f>IF('ketv. 4 '!X115&gt;0,"Taip","Ne")</f>
        <v>Taip</v>
      </c>
      <c r="AD115" s="306">
        <f ca="1">SUM('ketv. 6 '!AF114)</f>
        <v>287307</v>
      </c>
      <c r="AE115" s="306">
        <f ca="1">IF(AD115&gt;0,AA115-AD115,0)</f>
        <v>0</v>
      </c>
      <c r="AF115" s="721">
        <f>SUM('IV-2 vrsa'!S53)</f>
        <v>42968</v>
      </c>
      <c r="AG115" s="373">
        <f>SUM('IV-2 vrsa'!T53)</f>
        <v>43039</v>
      </c>
      <c r="AH115" s="373">
        <f>SUM('IV-2 vrsa'!U53)</f>
        <v>43080</v>
      </c>
      <c r="AI115" s="373">
        <v>43179</v>
      </c>
      <c r="AJ115" s="375">
        <f t="shared" ref="AJ115:AJ119" si="197">IF(YEAR(AI115),YEAR(AI115))</f>
        <v>2018</v>
      </c>
      <c r="AK115" s="829">
        <f>SUM('IV-2 vrsa'!W53)</f>
        <v>43679</v>
      </c>
      <c r="AL115" s="306">
        <f>IF(YEAR(AI115)=2016,AA115,0)</f>
        <v>0</v>
      </c>
      <c r="AM115" s="306">
        <f>IF(YEAR(AI115)=2017,AA115,0)</f>
        <v>0</v>
      </c>
      <c r="AN115" s="306">
        <f>IF(YEAR(AI115)=2018,AA115,0)</f>
        <v>287307</v>
      </c>
      <c r="AO115" s="306">
        <f>IF(YEAR(AI115)=2019,AA115,0)</f>
        <v>0</v>
      </c>
      <c r="AP115" s="830">
        <f>IF(YEAR(AI115)=2020,AA115,0)</f>
        <v>0</v>
      </c>
      <c r="AQ115" s="55"/>
      <c r="AR115" s="55"/>
      <c r="AS115" s="55"/>
    </row>
    <row r="116" spans="1:48" ht="62.25" customHeight="1" thickTop="1" thickBot="1" x14ac:dyDescent="0.3">
      <c r="A116" s="342" t="s">
        <v>202</v>
      </c>
      <c r="B116" s="342" t="s">
        <v>1348</v>
      </c>
      <c r="C116" s="970" t="str">
        <f>CONCATENATE('ketv. 2'!B115)</f>
        <v>09.1.3-CPVA-R-705-11-0004</v>
      </c>
      <c r="D116" s="342" t="str">
        <f>CONCATENATE('IV-2 arsa'!C48)</f>
        <v>Alytaus r. ikimokyklinio ir priešmokyklinio ugdymo prieinamumo didinimas įkuriant ir atnaujinant edukacines erdves</v>
      </c>
      <c r="E116" s="342" t="str">
        <f>CONCATENATE('IV-2 arsa'!D48)</f>
        <v>Alytaus rajono savivaldybės administracija</v>
      </c>
      <c r="F116" s="342" t="str">
        <f>CONCATENATE('IV-2 arsa'!E48)</f>
        <v>Lietuvos Respublikos švietimo ir mokslo ministerija</v>
      </c>
      <c r="G116" s="342" t="str">
        <f>CONCATENATE('IV-2 arsa'!F48)</f>
        <v>Alytaus r. sav.</v>
      </c>
      <c r="H116" s="345" t="str">
        <f>CONCATENATE('IV-2 arsa'!G48)</f>
        <v>09.1.3-CPVA-R-705</v>
      </c>
      <c r="I116" s="345" t="str">
        <f>CONCATENATE('IV-2 arsa'!H48)</f>
        <v>R</v>
      </c>
      <c r="J116" s="345" t="str">
        <f>CONCATENATE('IV-2 arsa'!I48)</f>
        <v/>
      </c>
      <c r="K116" s="345" t="str">
        <f>CONCATENATE('IV-2 arsa'!J48)</f>
        <v/>
      </c>
      <c r="L116" s="1212">
        <f>SUM('IV-2 arsa'!K48)</f>
        <v>597456.88</v>
      </c>
      <c r="M116" s="1212">
        <f ca="1">SUM('ketv. 6 '!L115)</f>
        <v>597456.88</v>
      </c>
      <c r="N116" s="1212">
        <f t="shared" ca="1" si="192"/>
        <v>0</v>
      </c>
      <c r="O116" s="1212">
        <f>SUM('IV-2 arsa'!L48)</f>
        <v>59861.88</v>
      </c>
      <c r="P116" s="1212">
        <f ca="1">SUM('ketv. 6 '!P115)</f>
        <v>59861.88</v>
      </c>
      <c r="Q116" s="1212">
        <f t="shared" ca="1" si="193"/>
        <v>0</v>
      </c>
      <c r="R116" s="1212">
        <f>SUM('IV-2 arsa'!M48)</f>
        <v>43588</v>
      </c>
      <c r="S116" s="1212">
        <f ca="1">SUM('ketv. 6 '!T115)</f>
        <v>43588</v>
      </c>
      <c r="T116" s="1212">
        <f t="shared" ca="1" si="194"/>
        <v>0</v>
      </c>
      <c r="U116" s="1212">
        <f>SUM('IV-2 arsa'!N48)</f>
        <v>0</v>
      </c>
      <c r="V116" s="1212">
        <f ca="1">SUM('ketv. 6 '!X115)</f>
        <v>0</v>
      </c>
      <c r="W116" s="1212">
        <f t="shared" ca="1" si="195"/>
        <v>0</v>
      </c>
      <c r="X116" s="1212">
        <f>SUM('IV-2 arsa'!O48)</f>
        <v>0</v>
      </c>
      <c r="Y116" s="1212">
        <f ca="1">SUM('ketv. 6 '!AB115)</f>
        <v>0</v>
      </c>
      <c r="Z116" s="1212">
        <f t="shared" ca="1" si="196"/>
        <v>0</v>
      </c>
      <c r="AA116" s="1212">
        <f>SUM('IV-2 arsa'!P48)</f>
        <v>494007</v>
      </c>
      <c r="AB116" s="1212">
        <f>SUM('IV-2 vrsa'!R96)</f>
        <v>0</v>
      </c>
      <c r="AC116" s="306" t="str">
        <f>IF('ketv. 4 '!X116&gt;0,"Taip","Ne")</f>
        <v>Taip</v>
      </c>
      <c r="AD116" s="306">
        <f ca="1">SUM('ketv. 6 '!AF115)</f>
        <v>494007</v>
      </c>
      <c r="AE116" s="306">
        <f ca="1">IF(AD116&gt;0,AA116-AD116,0)</f>
        <v>0</v>
      </c>
      <c r="AF116" s="721">
        <f>SUM('IV-2 arsa'!R48)</f>
        <v>42968</v>
      </c>
      <c r="AG116" s="373">
        <f>SUM('IV-2 arsa'!S48)</f>
        <v>43039</v>
      </c>
      <c r="AH116" s="373">
        <f>SUM('IV-2 arsa'!T48)</f>
        <v>43080</v>
      </c>
      <c r="AI116" s="373">
        <f>SUM('IV-2 arsa'!U48)</f>
        <v>43186</v>
      </c>
      <c r="AJ116" s="375">
        <f t="shared" si="197"/>
        <v>2018</v>
      </c>
      <c r="AK116" s="829">
        <f>SUM('IV-2 arsa'!V48)</f>
        <v>43845</v>
      </c>
      <c r="AL116" s="306">
        <f>IF(YEAR(AI116)=2016,AA116,0)</f>
        <v>0</v>
      </c>
      <c r="AM116" s="306">
        <f>IF(YEAR(AI116)=2017,AA116,0)</f>
        <v>0</v>
      </c>
      <c r="AN116" s="306">
        <f>IF(YEAR(AI116)=2018,AA116,0)</f>
        <v>494007</v>
      </c>
      <c r="AO116" s="306">
        <f>IF(YEAR(AI116)=2019,AA116,0)</f>
        <v>0</v>
      </c>
      <c r="AP116" s="830">
        <f>IF(YEAR(AI116)=2020,AA116,0)</f>
        <v>0</v>
      </c>
      <c r="AQ116" s="377"/>
      <c r="AR116" s="55"/>
      <c r="AS116" s="55"/>
    </row>
    <row r="117" spans="1:48" ht="54.75" customHeight="1" thickTop="1" thickBot="1" x14ac:dyDescent="0.3">
      <c r="A117" s="342" t="s">
        <v>225</v>
      </c>
      <c r="B117" s="342" t="s">
        <v>1349</v>
      </c>
      <c r="C117" s="970" t="str">
        <f>CONCATENATE('ketv. 2'!B116)</f>
        <v>09.1.3-CPVA-R-705-11-0001</v>
      </c>
      <c r="D117" s="342" t="str">
        <f>CONCATENATE('IV-2 amsa'!D44)</f>
        <v>Alytaus lopšelio-darželio " Girinukas" ugdymo aplinkos modernizavimas</v>
      </c>
      <c r="E117" s="342" t="str">
        <f>CONCATENATE('IV-2 amsa'!E44)</f>
        <v>Alytaus miesto savivaldybės administracija</v>
      </c>
      <c r="F117" s="342" t="str">
        <f>CONCATENATE('IV-2 amsa'!F44)</f>
        <v>Lietuvos Respublikos švietimo ir mokslo ministerija</v>
      </c>
      <c r="G117" s="342" t="str">
        <f>CONCATENATE('IV-2 amsa'!G44)</f>
        <v>Alytaus m. sav.</v>
      </c>
      <c r="H117" s="345" t="str">
        <f>CONCATENATE('IV-2 amsa'!H44)</f>
        <v>09.1.3-CPVA-R-705</v>
      </c>
      <c r="I117" s="345" t="str">
        <f>CONCATENATE('IV-2 amsa'!I44)</f>
        <v>R</v>
      </c>
      <c r="J117" s="345" t="str">
        <f>CONCATENATE('IV-2 amsa'!J44)</f>
        <v>-</v>
      </c>
      <c r="K117" s="345" t="str">
        <f>CONCATENATE('IV-2 amsa'!K44)</f>
        <v>-</v>
      </c>
      <c r="L117" s="1212">
        <f>SUM('IV-2 amsa'!L44)</f>
        <v>181986</v>
      </c>
      <c r="M117" s="1212">
        <f ca="1">SUM('ketv. 6 '!L116)</f>
        <v>181986</v>
      </c>
      <c r="N117" s="1212">
        <f t="shared" ca="1" si="192"/>
        <v>0</v>
      </c>
      <c r="O117" s="1212">
        <f>SUM('IV-2 amsa'!M44)</f>
        <v>13649</v>
      </c>
      <c r="P117" s="1212">
        <f ca="1">SUM('ketv. 6 '!P116)</f>
        <v>13649</v>
      </c>
      <c r="Q117" s="1212">
        <f t="shared" ca="1" si="193"/>
        <v>0</v>
      </c>
      <c r="R117" s="1212">
        <f>SUM('IV-2 amsa'!N44)</f>
        <v>13649</v>
      </c>
      <c r="S117" s="1212">
        <f ca="1">SUM('ketv. 6 '!T116)</f>
        <v>13649</v>
      </c>
      <c r="T117" s="1212">
        <f t="shared" ca="1" si="194"/>
        <v>0</v>
      </c>
      <c r="U117" s="1212">
        <f>SUM('IV-2 amsa'!O44)</f>
        <v>0</v>
      </c>
      <c r="V117" s="1212">
        <f ca="1">SUM('ketv. 6 '!X116)</f>
        <v>0</v>
      </c>
      <c r="W117" s="1212">
        <f t="shared" ca="1" si="195"/>
        <v>0</v>
      </c>
      <c r="X117" s="1212">
        <f>SUM('IV-2 amsa'!P44)</f>
        <v>0</v>
      </c>
      <c r="Y117" s="1212">
        <f ca="1">SUM('ketv. 6 '!AB116)</f>
        <v>0</v>
      </c>
      <c r="Z117" s="1212">
        <f t="shared" ca="1" si="196"/>
        <v>0</v>
      </c>
      <c r="AA117" s="1212">
        <f>SUM('IV-2 amsa'!Q44)</f>
        <v>154688</v>
      </c>
      <c r="AB117" s="1212">
        <f>SUM('IV-2 vrsa'!R97)</f>
        <v>0</v>
      </c>
      <c r="AC117" s="306" t="str">
        <f>IF('ketv. 4 '!X117&gt;0,"Taip","Ne")</f>
        <v>Taip</v>
      </c>
      <c r="AD117" s="306">
        <f ca="1">SUM('ketv. 6 '!AF116)</f>
        <v>154688</v>
      </c>
      <c r="AE117" s="306">
        <f ca="1">IF(AD117&gt;0,AA117-AD117,0)</f>
        <v>0</v>
      </c>
      <c r="AF117" s="721">
        <f>SUM('IV-2 amsa'!S44)</f>
        <v>42966</v>
      </c>
      <c r="AG117" s="373">
        <f>SUM('IV-2 amsa'!T44)</f>
        <v>43039</v>
      </c>
      <c r="AH117" s="373">
        <f>SUM('IV-2 amsa'!U44)</f>
        <v>43080</v>
      </c>
      <c r="AI117" s="373">
        <f>SUM('IV-2 amsa'!V44)</f>
        <v>43164</v>
      </c>
      <c r="AJ117" s="375">
        <f t="shared" si="197"/>
        <v>2018</v>
      </c>
      <c r="AK117" s="829">
        <f>SUM('IV-2 amsa'!W44)</f>
        <v>43739.5</v>
      </c>
      <c r="AL117" s="306">
        <f>IF(YEAR(AI117)=2016,AA117,0)</f>
        <v>0</v>
      </c>
      <c r="AM117" s="306">
        <f>IF(YEAR(AI117)=2017,AA117,0)</f>
        <v>0</v>
      </c>
      <c r="AN117" s="306">
        <f>IF(YEAR(AI117)=2018,AA117,0)</f>
        <v>154688</v>
      </c>
      <c r="AO117" s="306">
        <f>IF(YEAR(AI117)=2019,AA117,0)</f>
        <v>0</v>
      </c>
      <c r="AP117" s="830">
        <f>IF(YEAR(AI117)=2020,AA117,0)</f>
        <v>0</v>
      </c>
      <c r="AQ117" s="377"/>
      <c r="AR117" s="55"/>
      <c r="AS117" s="55"/>
    </row>
    <row r="118" spans="1:48" ht="39.75" thickTop="1" thickBot="1" x14ac:dyDescent="0.3">
      <c r="A118" s="342" t="s">
        <v>247</v>
      </c>
      <c r="B118" s="342" t="s">
        <v>1350</v>
      </c>
      <c r="C118" s="970" t="str">
        <f>CONCATENATE('ketv. 2'!B117)</f>
        <v>09.1.3-CPVA-R-705-11-0006</v>
      </c>
      <c r="D118" s="342" t="str">
        <f>CONCATENATE('IV-2 dsa'!C51)</f>
        <v>Druskininkų sav. Viečiūnų progimnazijos ikimokyklinio ugdymo skyriaus „Linelis“ ugdymo prieinamumo didinimas</v>
      </c>
      <c r="E118" s="342" t="str">
        <f>CONCATENATE('IV-2 dsa'!D51)</f>
        <v xml:space="preserve">Druskininkų savivaldybės administracija  </v>
      </c>
      <c r="F118" s="342" t="str">
        <f>CONCATENATE('IV-2 dsa'!E51)</f>
        <v>Lietuvos Respublikos švietimo ir mokslo ministerija</v>
      </c>
      <c r="G118" s="342" t="str">
        <f>CONCATENATE('IV-2 dsa'!F51)</f>
        <v>Druskininkų sav.</v>
      </c>
      <c r="H118" s="345" t="str">
        <f>CONCATENATE('IV-2 dsa'!G51)</f>
        <v>09.1.3-CPVA-R-705</v>
      </c>
      <c r="I118" s="345" t="str">
        <f>CONCATENATE('IV-2 dsa'!H51)</f>
        <v>R</v>
      </c>
      <c r="J118" s="345" t="str">
        <f>CONCATENATE('IV-2 dsa'!I51)</f>
        <v>-</v>
      </c>
      <c r="K118" s="345" t="str">
        <f>CONCATENATE('IV-2 dsa'!J51)</f>
        <v>-</v>
      </c>
      <c r="L118" s="1212">
        <f>SUM('IV-2 dsa'!K51)</f>
        <v>176024.68</v>
      </c>
      <c r="M118" s="1212">
        <f ca="1">SUM('ketv. 6 '!L117)</f>
        <v>176024.68</v>
      </c>
      <c r="N118" s="1212">
        <f t="shared" ca="1" si="192"/>
        <v>0</v>
      </c>
      <c r="O118" s="1212">
        <f>SUM('IV-2 dsa'!L51)</f>
        <v>79091.679999999993</v>
      </c>
      <c r="P118" s="1212">
        <f ca="1">SUM('ketv. 6 '!P117)</f>
        <v>79091.679999999993</v>
      </c>
      <c r="Q118" s="1212">
        <f t="shared" ca="1" si="193"/>
        <v>0</v>
      </c>
      <c r="R118" s="1212">
        <f>SUM('IV-2 dsa'!M51)</f>
        <v>7859</v>
      </c>
      <c r="S118" s="1212">
        <f ca="1">SUM('ketv. 6 '!T117)</f>
        <v>7859</v>
      </c>
      <c r="T118" s="1212">
        <f t="shared" ca="1" si="194"/>
        <v>0</v>
      </c>
      <c r="U118" s="1212">
        <f>SUM('IV-2 dsa'!N51)</f>
        <v>0</v>
      </c>
      <c r="V118" s="1212">
        <f ca="1">SUM('ketv. 6 '!X117)</f>
        <v>0</v>
      </c>
      <c r="W118" s="1212">
        <f t="shared" ca="1" si="195"/>
        <v>0</v>
      </c>
      <c r="X118" s="1212">
        <f>SUM('IV-2 dsa'!O51)</f>
        <v>0</v>
      </c>
      <c r="Y118" s="1212">
        <f ca="1">SUM('ketv. 6 '!AB117)</f>
        <v>0</v>
      </c>
      <c r="Z118" s="1212">
        <f t="shared" ca="1" si="196"/>
        <v>0</v>
      </c>
      <c r="AA118" s="1212">
        <f>SUM('IV-2 dsa'!P51)</f>
        <v>89074</v>
      </c>
      <c r="AB118" s="1212">
        <f>SUM('IV-2 vrsa'!R98)</f>
        <v>0</v>
      </c>
      <c r="AC118" s="306" t="str">
        <f>IF('ketv. 4 '!X118&gt;0,"Taip","Ne")</f>
        <v>Taip</v>
      </c>
      <c r="AD118" s="306">
        <f ca="1">SUM('ketv. 6 '!AF117)</f>
        <v>89074</v>
      </c>
      <c r="AE118" s="306">
        <f ca="1">IF(AD118&gt;0,AA118-AD118,0)</f>
        <v>0</v>
      </c>
      <c r="AF118" s="721">
        <f>SUM('IV-2 dsa'!R51)</f>
        <v>42966</v>
      </c>
      <c r="AG118" s="373">
        <f>SUM('IV-2 dsa'!S51)</f>
        <v>43008</v>
      </c>
      <c r="AH118" s="373">
        <f>SUM('IV-2 dsa'!T51)</f>
        <v>43160</v>
      </c>
      <c r="AI118" s="373">
        <f>SUM('IV-2 dsa'!U51)</f>
        <v>43252</v>
      </c>
      <c r="AJ118" s="375">
        <f t="shared" si="197"/>
        <v>2018</v>
      </c>
      <c r="AK118" s="829">
        <f>SUM('IV-2 dsa'!V51)</f>
        <v>43707</v>
      </c>
      <c r="AL118" s="306">
        <f>IF(YEAR(AI118)=2016,AA118,0)</f>
        <v>0</v>
      </c>
      <c r="AM118" s="306">
        <f>IF(YEAR(AI118)=2017,AA118,0)</f>
        <v>0</v>
      </c>
      <c r="AN118" s="306">
        <f>IF(YEAR(AI118)=2018,AA118,0)</f>
        <v>89074</v>
      </c>
      <c r="AO118" s="306">
        <f>IF(YEAR(AI118)=2019,AA118,0)</f>
        <v>0</v>
      </c>
      <c r="AP118" s="830">
        <f>IF(YEAR(AI118)=2020,AA118,0)</f>
        <v>0</v>
      </c>
      <c r="AQ118" s="377"/>
      <c r="AR118" s="55"/>
      <c r="AS118" s="55"/>
    </row>
    <row r="119" spans="1:48" ht="39.75" thickTop="1" thickBot="1" x14ac:dyDescent="0.3">
      <c r="A119" s="342" t="s">
        <v>286</v>
      </c>
      <c r="B119" s="977" t="s">
        <v>1351</v>
      </c>
      <c r="C119" s="970" t="str">
        <f>CONCATENATE('ketv. 2'!B118)</f>
        <v>09.1.3-CPVA-R-705-11-0002</v>
      </c>
      <c r="D119" s="977" t="str">
        <f>CONCATENATE('IV-2 lrsa'!D48)</f>
        <v>Ikimokyklinio ir priešmokyklinio ugdymo įstaigų Lazdijų rajono savivaldybėje modernizavimas</v>
      </c>
      <c r="E119" s="977" t="str">
        <f>CONCATENATE('IV-2 lrsa'!E48)</f>
        <v>Lazdijų rajono savivaldybės administracija</v>
      </c>
      <c r="F119" s="977" t="str">
        <f>CONCATENATE('IV-2 lrsa'!F48)</f>
        <v>Lietuvos Respublikos švietimo ir mokslo ministerija</v>
      </c>
      <c r="G119" s="977" t="str">
        <f>CONCATENATE('IV-2 lrsa'!G48)</f>
        <v>Lazdijų r. sav.</v>
      </c>
      <c r="H119" s="978" t="str">
        <f>CONCATENATE('IV-2 lrsa'!H48)</f>
        <v>09.1.3-CPVA-R-705</v>
      </c>
      <c r="I119" s="978" t="str">
        <f>CONCATENATE('IV-2 lrsa'!I48)</f>
        <v>R</v>
      </c>
      <c r="J119" s="978" t="str">
        <f>CONCATENATE('IV-2 lrsa'!J48)</f>
        <v>-</v>
      </c>
      <c r="K119" s="978" t="str">
        <f>CONCATENATE('IV-2 lrsa'!K48)</f>
        <v>-</v>
      </c>
      <c r="L119" s="1212">
        <f>SUM('IV-2 lrsa'!L48)</f>
        <v>133554.21</v>
      </c>
      <c r="M119" s="1212">
        <f ca="1">SUM('ketv. 6 '!L118)</f>
        <v>133554.21</v>
      </c>
      <c r="N119" s="1212">
        <f t="shared" ca="1" si="192"/>
        <v>0</v>
      </c>
      <c r="O119" s="1212">
        <f>SUM('IV-2 lrsa'!M48)</f>
        <v>10026.209999999999</v>
      </c>
      <c r="P119" s="1212">
        <f ca="1">SUM('ketv. 6 '!P118)</f>
        <v>10026.209999999999</v>
      </c>
      <c r="Q119" s="1212">
        <f t="shared" ca="1" si="193"/>
        <v>0</v>
      </c>
      <c r="R119" s="1212">
        <f>SUM('IV-2 lrsa'!N48)</f>
        <v>10016</v>
      </c>
      <c r="S119" s="1212">
        <f ca="1">SUM('ketv. 6 '!T118)</f>
        <v>10016</v>
      </c>
      <c r="T119" s="1212">
        <f t="shared" ca="1" si="194"/>
        <v>0</v>
      </c>
      <c r="U119" s="1212">
        <f>SUM('IV-2 lrsa'!O48)</f>
        <v>0</v>
      </c>
      <c r="V119" s="1212">
        <f ca="1">SUM('ketv. 6 '!X118)</f>
        <v>0</v>
      </c>
      <c r="W119" s="1212">
        <f t="shared" ca="1" si="195"/>
        <v>0</v>
      </c>
      <c r="X119" s="1212">
        <f>SUM('IV-2 lrsa'!P48)</f>
        <v>0</v>
      </c>
      <c r="Y119" s="1239">
        <f ca="1">SUM('ketv. 6 '!AB118)</f>
        <v>0</v>
      </c>
      <c r="Z119" s="1239">
        <f t="shared" ca="1" si="196"/>
        <v>0</v>
      </c>
      <c r="AA119" s="1212">
        <f>SUM('IV-2 lrsa'!Q48)</f>
        <v>113512</v>
      </c>
      <c r="AB119" s="1212">
        <f>SUM('IV-2 vrsa'!R99)</f>
        <v>0</v>
      </c>
      <c r="AC119" s="306" t="str">
        <f>IF('ketv. 4 '!X119&gt;0,"Taip","Ne")</f>
        <v>Taip</v>
      </c>
      <c r="AD119" s="306">
        <f ca="1">SUM('ketv. 6 '!AF118)</f>
        <v>113512</v>
      </c>
      <c r="AE119" s="306">
        <f ca="1">IF(AD119&gt;0,AA119-AD119,0)</f>
        <v>0</v>
      </c>
      <c r="AF119" s="721">
        <f>SUM('IV-2 lrsa'!S48)</f>
        <v>42966</v>
      </c>
      <c r="AG119" s="373">
        <f>SUM('IV-2 lrsa'!T48)</f>
        <v>43039</v>
      </c>
      <c r="AH119" s="373">
        <f>SUM('IV-2 lrsa'!U48)</f>
        <v>43080</v>
      </c>
      <c r="AI119" s="373">
        <f>SUM('IV-2 lrsa'!V48)</f>
        <v>43159</v>
      </c>
      <c r="AJ119" s="375">
        <f t="shared" si="197"/>
        <v>2018</v>
      </c>
      <c r="AK119" s="829">
        <f>SUM('IV-2 lrsa'!W48)</f>
        <v>43739</v>
      </c>
      <c r="AL119" s="306">
        <f>IF(YEAR(AI119)=2016,AA119,0)</f>
        <v>0</v>
      </c>
      <c r="AM119" s="306">
        <f>IF(YEAR(AI119)=2017,AA119,0)</f>
        <v>0</v>
      </c>
      <c r="AN119" s="306">
        <f>IF(YEAR(AI119)=2018,AA119,0)</f>
        <v>113512</v>
      </c>
      <c r="AO119" s="306">
        <f>IF(YEAR(AI119)=2019,AA119,0)</f>
        <v>0</v>
      </c>
      <c r="AP119" s="830">
        <f>IF(YEAR(AI119)=2020,AA119,0)</f>
        <v>0</v>
      </c>
      <c r="AQ119" s="55"/>
      <c r="AR119" s="55"/>
      <c r="AS119" s="55"/>
    </row>
    <row r="120" spans="1:48" ht="57.75" customHeight="1" thickBot="1" x14ac:dyDescent="0.3">
      <c r="A120" s="976" t="s">
        <v>32</v>
      </c>
      <c r="B120" s="1846" t="s">
        <v>1462</v>
      </c>
      <c r="C120" s="1847"/>
      <c r="D120" s="1847"/>
      <c r="E120" s="1847"/>
      <c r="F120" s="1847"/>
      <c r="G120" s="1847"/>
      <c r="H120" s="1847"/>
      <c r="I120" s="1847"/>
      <c r="J120" s="1847"/>
      <c r="K120" s="1848"/>
      <c r="L120" s="1227">
        <f>SUM(L121+L135+L141)</f>
        <v>2508263.7200000002</v>
      </c>
      <c r="M120" s="1227"/>
      <c r="N120" s="1227"/>
      <c r="O120" s="1227">
        <f t="shared" ref="O120:AA120" si="198">SUM(O121+O135+O141)</f>
        <v>146668.16</v>
      </c>
      <c r="P120" s="1227">
        <f t="shared" ca="1" si="198"/>
        <v>194022.63</v>
      </c>
      <c r="Q120" s="1227">
        <f t="shared" ca="1" si="198"/>
        <v>-116889.35</v>
      </c>
      <c r="R120" s="1308">
        <f t="shared" si="198"/>
        <v>188786.06</v>
      </c>
      <c r="S120" s="1227">
        <f t="shared" ca="1" si="198"/>
        <v>194021.28000000003</v>
      </c>
      <c r="T120" s="1227">
        <f t="shared" ca="1" si="198"/>
        <v>-100787.45000000001</v>
      </c>
      <c r="U120" s="1227">
        <f t="shared" si="198"/>
        <v>40158</v>
      </c>
      <c r="V120" s="1227">
        <f t="shared" ca="1" si="198"/>
        <v>0</v>
      </c>
      <c r="W120" s="1227">
        <f t="shared" ca="1" si="198"/>
        <v>0</v>
      </c>
      <c r="X120" s="1308">
        <f t="shared" si="198"/>
        <v>1299.95</v>
      </c>
      <c r="Y120" s="1227">
        <f t="shared" ca="1" si="198"/>
        <v>0</v>
      </c>
      <c r="Z120" s="1227">
        <f t="shared" ca="1" si="198"/>
        <v>0</v>
      </c>
      <c r="AA120" s="1308">
        <f t="shared" si="198"/>
        <v>2131351.5500000003</v>
      </c>
      <c r="AB120" s="1227">
        <f>SUM('IV-2 vrsa'!R100)</f>
        <v>0</v>
      </c>
      <c r="AC120" s="139"/>
      <c r="AD120" s="139"/>
      <c r="AE120" s="139"/>
      <c r="AF120" s="139"/>
      <c r="AG120" s="847"/>
      <c r="AH120" s="847"/>
      <c r="AI120" s="847"/>
      <c r="AJ120" s="376"/>
      <c r="AK120" s="818"/>
      <c r="AL120" s="306"/>
      <c r="AM120" s="819"/>
      <c r="AN120" s="819"/>
      <c r="AO120" s="819"/>
      <c r="AP120" s="819"/>
      <c r="AQ120" s="55">
        <f>SUM(AQ121+AQ135)</f>
        <v>2086001.6</v>
      </c>
      <c r="AR120" s="55">
        <f>SUM(AR121+AR135)</f>
        <v>2503201.92</v>
      </c>
      <c r="AS120" s="55">
        <f>SUM(AS121+AS135)</f>
        <v>9410.75</v>
      </c>
    </row>
    <row r="121" spans="1:48" ht="35.25" customHeight="1" thickBot="1" x14ac:dyDescent="0.3">
      <c r="A121" s="824" t="s">
        <v>33</v>
      </c>
      <c r="B121" s="1852" t="s">
        <v>1463</v>
      </c>
      <c r="C121" s="1850"/>
      <c r="D121" s="1850"/>
      <c r="E121" s="1850"/>
      <c r="F121" s="1850"/>
      <c r="G121" s="1850"/>
      <c r="H121" s="1850"/>
      <c r="I121" s="1850"/>
      <c r="J121" s="1850"/>
      <c r="K121" s="1851"/>
      <c r="L121" s="1213">
        <f t="shared" ref="L121:X121" si="199">SUM(L122:L134)</f>
        <v>1448066</v>
      </c>
      <c r="M121" s="1213">
        <f t="shared" ca="1" si="199"/>
        <v>0</v>
      </c>
      <c r="N121" s="1213">
        <f t="shared" ca="1" si="199"/>
        <v>0</v>
      </c>
      <c r="O121" s="1213">
        <f t="shared" si="199"/>
        <v>68448</v>
      </c>
      <c r="P121" s="1213">
        <f t="shared" ca="1" si="199"/>
        <v>134323.35</v>
      </c>
      <c r="Q121" s="1213">
        <f t="shared" ca="1" si="199"/>
        <v>-116889.35</v>
      </c>
      <c r="R121" s="1213">
        <f t="shared" si="199"/>
        <v>108606</v>
      </c>
      <c r="S121" s="1213">
        <f t="shared" ca="1" si="199"/>
        <v>134322.45000000001</v>
      </c>
      <c r="T121" s="1213">
        <f t="shared" ca="1" si="199"/>
        <v>-100787.45000000001</v>
      </c>
      <c r="U121" s="1213">
        <f t="shared" si="199"/>
        <v>40158</v>
      </c>
      <c r="V121" s="1213">
        <f t="shared" ca="1" si="199"/>
        <v>0</v>
      </c>
      <c r="W121" s="1213">
        <f t="shared" ca="1" si="199"/>
        <v>0</v>
      </c>
      <c r="X121" s="1213">
        <f t="shared" si="199"/>
        <v>0</v>
      </c>
      <c r="Y121" s="1213">
        <f t="shared" ref="Y121:AE121" ca="1" si="200">SUM(Y122:Y133)</f>
        <v>0</v>
      </c>
      <c r="Z121" s="1213">
        <f t="shared" ca="1" si="200"/>
        <v>0</v>
      </c>
      <c r="AA121" s="1213">
        <f>SUM(AA122:AA134)</f>
        <v>1230854</v>
      </c>
      <c r="AB121" s="1213">
        <f>SUM('IV-2 vrsa'!R101)</f>
        <v>0</v>
      </c>
      <c r="AC121" s="835">
        <f t="shared" si="200"/>
        <v>0</v>
      </c>
      <c r="AD121" s="835">
        <f t="shared" ca="1" si="200"/>
        <v>0</v>
      </c>
      <c r="AE121" s="835">
        <f t="shared" ca="1" si="200"/>
        <v>0</v>
      </c>
      <c r="AF121" s="835"/>
      <c r="AG121" s="836"/>
      <c r="AH121" s="836"/>
      <c r="AI121" s="836"/>
      <c r="AJ121" s="837"/>
      <c r="AK121" s="838"/>
      <c r="AL121" s="835">
        <f>SUM(AL122:AL134)</f>
        <v>0</v>
      </c>
      <c r="AM121" s="835">
        <f>SUM(AM122:AM134)</f>
        <v>0</v>
      </c>
      <c r="AN121" s="835">
        <f>SUM(AN122:AN134)</f>
        <v>701375</v>
      </c>
      <c r="AO121" s="835">
        <f>SUM(AO122:AO134)</f>
        <v>529479</v>
      </c>
      <c r="AP121" s="835">
        <f>SUM(AP122:AP134)</f>
        <v>0</v>
      </c>
      <c r="AQ121" s="55">
        <v>1230854</v>
      </c>
      <c r="AR121" s="55">
        <f>SUM(AQ121*120/100)</f>
        <v>1477024.8</v>
      </c>
      <c r="AS121" s="55">
        <f>SUM(AQ121-AA121)</f>
        <v>0</v>
      </c>
    </row>
    <row r="122" spans="1:48" ht="39.75" thickTop="1" thickBot="1" x14ac:dyDescent="0.3">
      <c r="A122" s="342" t="s">
        <v>104</v>
      </c>
      <c r="B122" s="342" t="s">
        <v>1476</v>
      </c>
      <c r="C122" s="970"/>
      <c r="D122" s="342" t="str">
        <f>CONCATENATE('IV-2 amsa'!D47)</f>
        <v xml:space="preserve">Alytaus poliklinikos teikiamų pirminės sveikatos priežiūros paslaugų prieinamumo didinimas ir kokybės gerinimas </v>
      </c>
      <c r="E122" s="342" t="str">
        <f>CONCATENATE('IV-2 amsa'!E47)</f>
        <v>VšĮ Alytaus poliklinika</v>
      </c>
      <c r="F122" s="342" t="str">
        <f>CONCATENATE('IV-2 amsa'!F47)</f>
        <v>Lietuvos Respublikos Sveikatos apsaugos ministerija</v>
      </c>
      <c r="G122" s="342" t="str">
        <f>CONCATENATE('IV-2 amsa'!G47)</f>
        <v>Alytaus m. sav.</v>
      </c>
      <c r="H122" s="342" t="str">
        <f>CONCATENATE('IV-2 amsa'!H47)</f>
        <v>08.1.3-CPVA-R-609</v>
      </c>
      <c r="I122" s="342" t="str">
        <f>CONCATENATE('IV-2 amsa'!I47)</f>
        <v>R</v>
      </c>
      <c r="J122" s="342" t="str">
        <f>CONCATENATE('IV-2 amsa'!J47)</f>
        <v>-</v>
      </c>
      <c r="K122" s="342" t="str">
        <f>CONCATENATE('IV-2 amsa'!K47)</f>
        <v>-</v>
      </c>
      <c r="L122" s="1212">
        <f>SUM('IV-2 amsa'!L47)</f>
        <v>458183</v>
      </c>
      <c r="M122" s="1239">
        <f ca="1">SUM('ketv. 6 '!L121)</f>
        <v>0</v>
      </c>
      <c r="N122" s="1239">
        <f t="shared" ref="N122:N125" ca="1" si="201">IF(M122&gt;0,L122-M122,0)</f>
        <v>0</v>
      </c>
      <c r="O122" s="1212">
        <f>SUM('IV-2 amsa'!M47)</f>
        <v>34364</v>
      </c>
      <c r="P122" s="1239">
        <f ca="1">SUM('ketv. 6 '!P121)</f>
        <v>0</v>
      </c>
      <c r="Q122" s="1239">
        <f t="shared" ref="Q122:Q125" ca="1" si="202">IF(P122&gt;0,O122-P122,0)</f>
        <v>0</v>
      </c>
      <c r="R122" s="1212">
        <f>SUM('IV-2 amsa'!N47)</f>
        <v>34363</v>
      </c>
      <c r="S122" s="1239">
        <f ca="1">SUM('ketv. 6 '!T121)</f>
        <v>0</v>
      </c>
      <c r="T122" s="1239">
        <f t="shared" ref="T122:T133" ca="1" si="203">IF(S122&gt;0,R122-S122,0)</f>
        <v>0</v>
      </c>
      <c r="U122" s="1212">
        <f>SUM('IV-2 amsa'!O47)</f>
        <v>0</v>
      </c>
      <c r="V122" s="1239">
        <f ca="1">SUM('ketv. 6 '!X121)</f>
        <v>0</v>
      </c>
      <c r="W122" s="1239">
        <f t="shared" ref="W122:W133" ca="1" si="204">IF(V122&gt;0,U122-V122,0)</f>
        <v>0</v>
      </c>
      <c r="X122" s="1212">
        <f>SUM('IV-2 amsa'!P47)</f>
        <v>0</v>
      </c>
      <c r="Y122" s="1239">
        <f ca="1">SUM('ketv. 6 '!AB121)</f>
        <v>0</v>
      </c>
      <c r="Z122" s="1239">
        <f t="shared" ref="Z122:Z133" ca="1" si="205">IF(Y122&gt;0,X122-Y122,0)</f>
        <v>0</v>
      </c>
      <c r="AA122" s="1212">
        <f>SUM('IV-2 amsa'!Q47)</f>
        <v>389456</v>
      </c>
      <c r="AB122" s="1212">
        <f>SUM('IV-2 vrsa'!R102)</f>
        <v>0</v>
      </c>
      <c r="AC122" s="971" t="str">
        <f>IF('ketv. 4 '!X122&gt;0,"Taip","Ne")</f>
        <v>Ne</v>
      </c>
      <c r="AD122" s="971">
        <f ca="1">SUM('ketv. 6 '!AF121)</f>
        <v>0</v>
      </c>
      <c r="AE122" s="971">
        <f t="shared" ref="AE122:AE133" ca="1" si="206">IF(AD122&gt;0,AA122-AD122,0)</f>
        <v>0</v>
      </c>
      <c r="AF122" s="989">
        <v>43261</v>
      </c>
      <c r="AG122" s="776">
        <f>SUM('IV-2 amsa'!T47)</f>
        <v>43312</v>
      </c>
      <c r="AH122" s="776">
        <f>SUM('IV-2 amsa'!U47)</f>
        <v>43363</v>
      </c>
      <c r="AI122" s="776">
        <f>SUM('IV-2 amsa'!V47)</f>
        <v>43464</v>
      </c>
      <c r="AJ122" s="990">
        <f t="shared" ref="AJ122:AJ135" si="207">IF(YEAR(AI122),YEAR(AI122))</f>
        <v>2018</v>
      </c>
      <c r="AK122" s="848">
        <f>SUM('IV-2 amsa'!W47)</f>
        <v>44367</v>
      </c>
      <c r="AL122" s="971">
        <f t="shared" ref="AL122:AL133" si="208">IF(YEAR(AI122)=2016,AA122,0)</f>
        <v>0</v>
      </c>
      <c r="AM122" s="971">
        <f t="shared" ref="AM122:AM133" si="209">IF(YEAR(AI122)=2017,AA122,0)</f>
        <v>0</v>
      </c>
      <c r="AN122" s="971">
        <f t="shared" ref="AN122:AN133" si="210">IF(YEAR(AI122)=2018,AA122,0)</f>
        <v>389456</v>
      </c>
      <c r="AO122" s="971">
        <f t="shared" ref="AO122:AO133" si="211">IF(YEAR(AI122)=2019,AA122,0)</f>
        <v>0</v>
      </c>
      <c r="AP122" s="973">
        <f t="shared" ref="AP122:AP133" si="212">IF(YEAR(AI122)=2020,AA122,0)</f>
        <v>0</v>
      </c>
      <c r="AQ122" s="55"/>
      <c r="AR122" s="55"/>
      <c r="AS122" s="55"/>
      <c r="AT122" s="56">
        <f>SUM(AK122-AI122)</f>
        <v>903</v>
      </c>
      <c r="AU122" s="736">
        <f>SUM(365/12)</f>
        <v>30.416666666666668</v>
      </c>
      <c r="AV122" s="736">
        <f>SUM(AT122/AU122)</f>
        <v>29.68767123287671</v>
      </c>
    </row>
    <row r="123" spans="1:48" ht="52.5" thickTop="1" thickBot="1" x14ac:dyDescent="0.3">
      <c r="A123" s="342" t="s">
        <v>105</v>
      </c>
      <c r="B123" s="342" t="s">
        <v>1477</v>
      </c>
      <c r="C123" s="970"/>
      <c r="D123" s="342" t="str">
        <f>CONCATENATE('IV-2 amsa'!D48)</f>
        <v>Sveikatos priežiūros paslaugų modernizavimas bei optimizavimas pirminės sveikatos priežiūros centre</v>
      </c>
      <c r="E123" s="342" t="str">
        <f>CONCATENATE('IV-2 amsa'!E48)</f>
        <v xml:space="preserve">VšĮ Alytaus miesto savivaldybės pirminės sveikatos priežiūros centras </v>
      </c>
      <c r="F123" s="342" t="str">
        <f>CONCATENATE('IV-2 amsa'!F48)</f>
        <v>Lietuvos Respublikos Sveikatos apsaugos ministerija</v>
      </c>
      <c r="G123" s="342" t="str">
        <f>CONCATENATE('IV-2 amsa'!G48)</f>
        <v>Alytaus m. sav.</v>
      </c>
      <c r="H123" s="342" t="str">
        <f>CONCATENATE('IV-2 amsa'!H48)</f>
        <v>08.1.3-CPVA-R-609</v>
      </c>
      <c r="I123" s="342" t="str">
        <f>CONCATENATE('IV-2 amsa'!I48)</f>
        <v>R</v>
      </c>
      <c r="J123" s="342" t="str">
        <f>CONCATENATE('IV-2 amsa'!J48)</f>
        <v>-</v>
      </c>
      <c r="K123" s="342" t="str">
        <f>CONCATENATE('IV-2 amsa'!K48)</f>
        <v>-</v>
      </c>
      <c r="L123" s="1212">
        <f>SUM('IV-2 amsa'!L48)</f>
        <v>50356</v>
      </c>
      <c r="M123" s="1239">
        <f ca="1">SUM('ketv. 6 '!L122)</f>
        <v>0</v>
      </c>
      <c r="N123" s="1239">
        <f t="shared" ca="1" si="201"/>
        <v>0</v>
      </c>
      <c r="O123" s="1212">
        <f>SUM('IV-2 amsa'!M48)</f>
        <v>3777</v>
      </c>
      <c r="P123" s="1239">
        <f ca="1">SUM('ketv. 6 '!P122)</f>
        <v>0</v>
      </c>
      <c r="Q123" s="1239">
        <f t="shared" ca="1" si="202"/>
        <v>0</v>
      </c>
      <c r="R123" s="1212">
        <f>SUM('IV-2 amsa'!N48)</f>
        <v>3777</v>
      </c>
      <c r="S123" s="1239">
        <f ca="1">SUM('ketv. 6 '!T122)</f>
        <v>0</v>
      </c>
      <c r="T123" s="1239">
        <f t="shared" ca="1" si="203"/>
        <v>0</v>
      </c>
      <c r="U123" s="1212">
        <f>SUM('IV-2 amsa'!O48)</f>
        <v>0</v>
      </c>
      <c r="V123" s="1239">
        <f ca="1">SUM('ketv. 6 '!X122)</f>
        <v>0</v>
      </c>
      <c r="W123" s="1239">
        <f t="shared" ca="1" si="204"/>
        <v>0</v>
      </c>
      <c r="X123" s="1212">
        <f>SUM('IV-2 amsa'!P48)</f>
        <v>0</v>
      </c>
      <c r="Y123" s="1239">
        <f ca="1">SUM('ketv. 6 '!AB122)</f>
        <v>0</v>
      </c>
      <c r="Z123" s="1239">
        <f t="shared" ca="1" si="205"/>
        <v>0</v>
      </c>
      <c r="AA123" s="1212">
        <f>SUM('IV-2 amsa'!Q48)</f>
        <v>42802</v>
      </c>
      <c r="AB123" s="1212">
        <f>SUM('IV-2 vrsa'!R103)</f>
        <v>0</v>
      </c>
      <c r="AC123" s="971" t="str">
        <f>IF('ketv. 4 '!X123&gt;0,"Taip","Ne")</f>
        <v>Ne</v>
      </c>
      <c r="AD123" s="971">
        <f ca="1">SUM('ketv. 6 '!AF122)</f>
        <v>0</v>
      </c>
      <c r="AE123" s="971">
        <f t="shared" ca="1" si="206"/>
        <v>0</v>
      </c>
      <c r="AF123" s="989">
        <v>43227</v>
      </c>
      <c r="AG123" s="776">
        <f>SUM('IV-2 amsa'!T48)</f>
        <v>43312</v>
      </c>
      <c r="AH123" s="776">
        <f>SUM('IV-2 amsa'!U48)</f>
        <v>43373</v>
      </c>
      <c r="AI123" s="776">
        <f>SUM('IV-2 amsa'!V48)</f>
        <v>43465</v>
      </c>
      <c r="AJ123" s="990">
        <f t="shared" si="207"/>
        <v>2018</v>
      </c>
      <c r="AK123" s="848">
        <f>SUM('IV-2 amsa'!W48)</f>
        <v>44196</v>
      </c>
      <c r="AL123" s="971">
        <f t="shared" si="208"/>
        <v>0</v>
      </c>
      <c r="AM123" s="971">
        <f t="shared" si="209"/>
        <v>0</v>
      </c>
      <c r="AN123" s="971">
        <f t="shared" si="210"/>
        <v>42802</v>
      </c>
      <c r="AO123" s="971">
        <f t="shared" si="211"/>
        <v>0</v>
      </c>
      <c r="AP123" s="973">
        <f t="shared" si="212"/>
        <v>0</v>
      </c>
      <c r="AQ123" s="55"/>
      <c r="AR123" s="55"/>
      <c r="AS123" s="55"/>
      <c r="AT123" s="56">
        <f t="shared" ref="AT123:AT134" si="213">SUM(AK123-AI123)</f>
        <v>731</v>
      </c>
      <c r="AU123" s="736">
        <f t="shared" ref="AU123:AU134" si="214">SUM(365/12)</f>
        <v>30.416666666666668</v>
      </c>
      <c r="AV123" s="736">
        <f t="shared" ref="AV123:AV134" si="215">SUM(AT123/AU123)</f>
        <v>24.032876712328765</v>
      </c>
    </row>
    <row r="124" spans="1:48" ht="52.5" thickTop="1" thickBot="1" x14ac:dyDescent="0.3">
      <c r="A124" s="342" t="s">
        <v>203</v>
      </c>
      <c r="B124" s="342" t="s">
        <v>1475</v>
      </c>
      <c r="C124" s="970"/>
      <c r="D124" s="342" t="str">
        <f>CONCATENATE('IV-2 amsa'!D49)</f>
        <v>UAB „MediCA klinika“ teikiamų pirminės asmens sveikatos priežiūros paslaugų efektyvumo didinimas Alytaus miesto savivaldybėje</v>
      </c>
      <c r="E124" s="342" t="str">
        <f>CONCATENATE('IV-2 amsa'!E49)</f>
        <v>UAB „MediCA klinika“</v>
      </c>
      <c r="F124" s="342" t="str">
        <f>CONCATENATE('IV-2 amsa'!F49)</f>
        <v>Lietuvos Respublikos Sveikatos apsaugos ministerija</v>
      </c>
      <c r="G124" s="342" t="str">
        <f>CONCATENATE('IV-2 amsa'!G49)</f>
        <v>Alytaus m. sav.</v>
      </c>
      <c r="H124" s="342" t="str">
        <f>CONCATENATE('IV-2 amsa'!H49)</f>
        <v>08.1.3-CPVA-R-609</v>
      </c>
      <c r="I124" s="342" t="str">
        <f>CONCATENATE('IV-2 amsa'!I49)</f>
        <v>R</v>
      </c>
      <c r="J124" s="342" t="str">
        <f>CONCATENATE('IV-2 amsa'!J49)</f>
        <v>-</v>
      </c>
      <c r="K124" s="342" t="str">
        <f>CONCATENATE('IV-2 amsa'!K49)</f>
        <v>-</v>
      </c>
      <c r="L124" s="1212">
        <f>SUM('IV-2 amsa'!L49)</f>
        <v>83468</v>
      </c>
      <c r="M124" s="1239">
        <f ca="1">SUM('ketv. 6 '!L123)</f>
        <v>0</v>
      </c>
      <c r="N124" s="1239">
        <f t="shared" ca="1" si="201"/>
        <v>0</v>
      </c>
      <c r="O124" s="1212">
        <f>SUM('IV-2 amsa'!M49)</f>
        <v>0</v>
      </c>
      <c r="P124" s="1239">
        <f ca="1">SUM('ketv. 6 '!P123)</f>
        <v>0</v>
      </c>
      <c r="Q124" s="1239">
        <f t="shared" ca="1" si="202"/>
        <v>0</v>
      </c>
      <c r="R124" s="1212">
        <f>SUM('IV-2 amsa'!N49)</f>
        <v>6260</v>
      </c>
      <c r="S124" s="1239">
        <f ca="1">SUM('ketv. 6 '!T123)</f>
        <v>0</v>
      </c>
      <c r="T124" s="1239">
        <f t="shared" ca="1" si="203"/>
        <v>0</v>
      </c>
      <c r="U124" s="1212">
        <f>SUM('IV-2 amsa'!O49)</f>
        <v>6260</v>
      </c>
      <c r="V124" s="1239">
        <f ca="1">SUM('ketv. 6 '!X123)</f>
        <v>0</v>
      </c>
      <c r="W124" s="1239">
        <f t="shared" ca="1" si="204"/>
        <v>0</v>
      </c>
      <c r="X124" s="1212">
        <f>SUM('IV-2 amsa'!P49)</f>
        <v>0</v>
      </c>
      <c r="Y124" s="1239">
        <f ca="1">SUM('ketv. 6 '!AB123)</f>
        <v>0</v>
      </c>
      <c r="Z124" s="1239">
        <f t="shared" ca="1" si="205"/>
        <v>0</v>
      </c>
      <c r="AA124" s="1212">
        <f>SUM('IV-2 amsa'!Q49)</f>
        <v>70948</v>
      </c>
      <c r="AB124" s="1212">
        <f>SUM('IV-2 vrsa'!R104)</f>
        <v>0</v>
      </c>
      <c r="AC124" s="971" t="str">
        <f>IF('ketv. 4 '!X124&gt;0,"Taip","Ne")</f>
        <v>Ne</v>
      </c>
      <c r="AD124" s="971">
        <f ca="1">SUM('ketv. 6 '!AF123)</f>
        <v>0</v>
      </c>
      <c r="AE124" s="971">
        <f t="shared" ca="1" si="206"/>
        <v>0</v>
      </c>
      <c r="AF124" s="989">
        <v>43227</v>
      </c>
      <c r="AG124" s="776">
        <f>SUM('IV-2 amsa'!T49)</f>
        <v>43312</v>
      </c>
      <c r="AH124" s="776">
        <f>SUM('IV-2 amsa'!U49)</f>
        <v>43373</v>
      </c>
      <c r="AI124" s="776">
        <f>SUM('IV-2 amsa'!V49)</f>
        <v>43465</v>
      </c>
      <c r="AJ124" s="990">
        <f t="shared" si="207"/>
        <v>2018</v>
      </c>
      <c r="AK124" s="848">
        <f>SUM('IV-2 amsa'!W49)</f>
        <v>44196</v>
      </c>
      <c r="AL124" s="971">
        <f t="shared" si="208"/>
        <v>0</v>
      </c>
      <c r="AM124" s="971">
        <f t="shared" si="209"/>
        <v>0</v>
      </c>
      <c r="AN124" s="971">
        <f t="shared" si="210"/>
        <v>70948</v>
      </c>
      <c r="AO124" s="971">
        <f t="shared" si="211"/>
        <v>0</v>
      </c>
      <c r="AP124" s="973">
        <f t="shared" si="212"/>
        <v>0</v>
      </c>
      <c r="AQ124" s="377"/>
      <c r="AR124" s="55"/>
      <c r="AS124" s="55"/>
      <c r="AT124" s="56">
        <f t="shared" si="213"/>
        <v>731</v>
      </c>
      <c r="AU124" s="736">
        <f t="shared" si="214"/>
        <v>30.416666666666668</v>
      </c>
      <c r="AV124" s="736">
        <f t="shared" si="215"/>
        <v>24.032876712328765</v>
      </c>
    </row>
    <row r="125" spans="1:48" ht="39.75" thickTop="1" thickBot="1" x14ac:dyDescent="0.3">
      <c r="A125" s="342" t="s">
        <v>204</v>
      </c>
      <c r="B125" s="342" t="s">
        <v>1478</v>
      </c>
      <c r="C125" s="970"/>
      <c r="D125" s="342" t="str">
        <f>CONCATENATE('IV-2 amsa'!D50)</f>
        <v>UAB "Pagalba ligoniui" teikiamų paslaugų efektyvumo didinimas</v>
      </c>
      <c r="E125" s="342" t="str">
        <f>CONCATENATE('IV-2 amsa'!E50)</f>
        <v>UAB „Pagalba ligoniui“, Alytaus filialas</v>
      </c>
      <c r="F125" s="342" t="str">
        <f>CONCATENATE('IV-2 amsa'!F50)</f>
        <v>Lietuvos Respublikos Sveikatos apsaugos ministerija</v>
      </c>
      <c r="G125" s="342" t="str">
        <f>CONCATENATE('IV-2 amsa'!G50)</f>
        <v>Alytaus m. sav.</v>
      </c>
      <c r="H125" s="342" t="str">
        <f>CONCATENATE('IV-2 amsa'!H50)</f>
        <v>08.1.3-CPVA-R-609</v>
      </c>
      <c r="I125" s="342" t="str">
        <f>CONCATENATE('IV-2 amsa'!I50)</f>
        <v>R</v>
      </c>
      <c r="J125" s="342" t="str">
        <f>CONCATENATE('IV-2 amsa'!J50)</f>
        <v>-</v>
      </c>
      <c r="K125" s="342" t="str">
        <f>CONCATENATE('IV-2 amsa'!K50)</f>
        <v>-</v>
      </c>
      <c r="L125" s="1212">
        <f>SUM('IV-2 amsa'!L50)</f>
        <v>44091</v>
      </c>
      <c r="M125" s="1239">
        <f ca="1">SUM('ketv. 6 '!L124)</f>
        <v>0</v>
      </c>
      <c r="N125" s="1239">
        <f t="shared" ca="1" si="201"/>
        <v>0</v>
      </c>
      <c r="O125" s="1212">
        <f>SUM('IV-2 amsa'!M50)</f>
        <v>0</v>
      </c>
      <c r="P125" s="1239">
        <f ca="1">SUM('ketv. 6 '!P124)</f>
        <v>0</v>
      </c>
      <c r="Q125" s="1239">
        <f t="shared" ca="1" si="202"/>
        <v>0</v>
      </c>
      <c r="R125" s="1212">
        <f>SUM('IV-2 amsa'!N50)</f>
        <v>3307</v>
      </c>
      <c r="S125" s="1239">
        <f ca="1">SUM('ketv. 6 '!T124)</f>
        <v>0</v>
      </c>
      <c r="T125" s="1239">
        <f t="shared" ca="1" si="203"/>
        <v>0</v>
      </c>
      <c r="U125" s="1212">
        <f>SUM('IV-2 amsa'!O50)</f>
        <v>3306</v>
      </c>
      <c r="V125" s="1239">
        <f ca="1">SUM('ketv. 6 '!X124)</f>
        <v>0</v>
      </c>
      <c r="W125" s="1239">
        <f t="shared" ca="1" si="204"/>
        <v>0</v>
      </c>
      <c r="X125" s="1212">
        <f>SUM('IV-2 amsa'!P50)</f>
        <v>0</v>
      </c>
      <c r="Y125" s="1239">
        <f ca="1">SUM('ketv. 6 '!AB124)</f>
        <v>0</v>
      </c>
      <c r="Z125" s="1239">
        <f t="shared" ca="1" si="205"/>
        <v>0</v>
      </c>
      <c r="AA125" s="1212">
        <f>SUM('IV-2 amsa'!Q50)</f>
        <v>37478</v>
      </c>
      <c r="AB125" s="1212">
        <f>SUM('IV-2 vrsa'!R105)</f>
        <v>0</v>
      </c>
      <c r="AC125" s="971" t="str">
        <f>IF('ketv. 4 '!X125&gt;0,"Taip","Ne")</f>
        <v>Ne</v>
      </c>
      <c r="AD125" s="971">
        <f ca="1">SUM('ketv. 6 '!AF124)</f>
        <v>0</v>
      </c>
      <c r="AE125" s="971">
        <f t="shared" ca="1" si="206"/>
        <v>0</v>
      </c>
      <c r="AF125" s="989">
        <v>43227</v>
      </c>
      <c r="AG125" s="776">
        <f>SUM('IV-2 amsa'!T50)</f>
        <v>43312</v>
      </c>
      <c r="AH125" s="776">
        <f>SUM('IV-2 amsa'!U50)</f>
        <v>43373</v>
      </c>
      <c r="AI125" s="776">
        <f>SUM('IV-2 amsa'!V50)</f>
        <v>43465</v>
      </c>
      <c r="AJ125" s="990">
        <f t="shared" si="207"/>
        <v>2018</v>
      </c>
      <c r="AK125" s="848">
        <f>SUM('IV-2 amsa'!W50)</f>
        <v>44561</v>
      </c>
      <c r="AL125" s="971">
        <f t="shared" si="208"/>
        <v>0</v>
      </c>
      <c r="AM125" s="971">
        <f t="shared" si="209"/>
        <v>0</v>
      </c>
      <c r="AN125" s="971">
        <f t="shared" si="210"/>
        <v>37478</v>
      </c>
      <c r="AO125" s="971">
        <f t="shared" si="211"/>
        <v>0</v>
      </c>
      <c r="AP125" s="973">
        <f t="shared" si="212"/>
        <v>0</v>
      </c>
      <c r="AQ125" s="377"/>
      <c r="AR125" s="55"/>
      <c r="AS125" s="55"/>
      <c r="AT125" s="56">
        <f t="shared" si="213"/>
        <v>1096</v>
      </c>
      <c r="AU125" s="736">
        <f t="shared" si="214"/>
        <v>30.416666666666668</v>
      </c>
      <c r="AV125" s="736">
        <f t="shared" si="215"/>
        <v>36.032876712328765</v>
      </c>
    </row>
    <row r="126" spans="1:48" ht="52.5" thickTop="1" thickBot="1" x14ac:dyDescent="0.3">
      <c r="A126" s="342" t="s">
        <v>205</v>
      </c>
      <c r="B126" s="342" t="s">
        <v>1479</v>
      </c>
      <c r="C126" s="970"/>
      <c r="D126" s="342" t="str">
        <f>CONCATENATE('IV-2 arsa'!C51)</f>
        <v>Pirminės asmens sveikatos priežiūros veiklos efektyvumo didinimas Alytaus rajono savivaldybėje</v>
      </c>
      <c r="E126" s="342" t="str">
        <f>CONCATENATE('IV-2 arsa'!D51)</f>
        <v>VšĮ Alytaus rajono savivaldybės pirminės sveikatos priežiūros centras</v>
      </c>
      <c r="F126" s="342" t="str">
        <f>CONCATENATE('IV-2 arsa'!E51)</f>
        <v>Lietuvos Respublikos Sveikatos apsaugos ministerija</v>
      </c>
      <c r="G126" s="342" t="str">
        <f>CONCATENATE('IV-2 arsa'!F51)</f>
        <v>Alytaus r. sav.</v>
      </c>
      <c r="H126" s="342" t="str">
        <f>CONCATENATE('IV-2 arsa'!G51)</f>
        <v>08.1.3-CPVA-R-609</v>
      </c>
      <c r="I126" s="342" t="str">
        <f>CONCATENATE('IV-2 arsa'!H51)</f>
        <v>R</v>
      </c>
      <c r="J126" s="342" t="str">
        <f>CONCATENATE('IV-2 arsa'!I51)</f>
        <v>-</v>
      </c>
      <c r="K126" s="342" t="str">
        <f>CONCATENATE('IV-2 arsa'!J51)</f>
        <v>-</v>
      </c>
      <c r="L126" s="1212">
        <f>SUM('IV-2 arsa'!K51)</f>
        <v>171636</v>
      </c>
      <c r="M126" s="1212"/>
      <c r="N126" s="1212"/>
      <c r="O126" s="1212">
        <f>SUM('IV-2 arsa'!L51)</f>
        <v>12873</v>
      </c>
      <c r="P126" s="1239">
        <f ca="1">SUM('ketv. 6 '!P125)</f>
        <v>0</v>
      </c>
      <c r="Q126" s="1239">
        <f t="shared" ref="Q126:Q133" ca="1" si="216">IF(P126&gt;0,O126-P126,0)</f>
        <v>0</v>
      </c>
      <c r="R126" s="1212">
        <f>SUM('IV-2 arsa'!M51)</f>
        <v>12873</v>
      </c>
      <c r="S126" s="1239">
        <f ca="1">SUM('ketv. 6 '!T125)</f>
        <v>0</v>
      </c>
      <c r="T126" s="1239">
        <f t="shared" ca="1" si="203"/>
        <v>0</v>
      </c>
      <c r="U126" s="1212">
        <f>SUM('IV-2 arsa'!N51)</f>
        <v>0</v>
      </c>
      <c r="V126" s="1239">
        <f ca="1">SUM('ketv. 6 '!X125)</f>
        <v>0</v>
      </c>
      <c r="W126" s="1239">
        <f t="shared" ca="1" si="204"/>
        <v>0</v>
      </c>
      <c r="X126" s="1212">
        <f>SUM('IV-2 arsa'!O51)</f>
        <v>0</v>
      </c>
      <c r="Y126" s="1239">
        <f ca="1">SUM('ketv. 6 '!AB125)</f>
        <v>0</v>
      </c>
      <c r="Z126" s="1239">
        <f t="shared" ca="1" si="205"/>
        <v>0</v>
      </c>
      <c r="AA126" s="1212">
        <f>SUM('IV-2 arsa'!P51)</f>
        <v>145890</v>
      </c>
      <c r="AB126" s="1212">
        <f>SUM('IV-2 vrsa'!R106)</f>
        <v>0</v>
      </c>
      <c r="AC126" s="971" t="str">
        <f>IF('ketv. 4 '!X126&gt;0,"Taip","Ne")</f>
        <v>Ne</v>
      </c>
      <c r="AD126" s="971">
        <f ca="1">SUM('ketv. 6 '!AF125)</f>
        <v>0</v>
      </c>
      <c r="AE126" s="971">
        <f t="shared" ca="1" si="206"/>
        <v>0</v>
      </c>
      <c r="AF126" s="989">
        <v>43227</v>
      </c>
      <c r="AG126" s="776">
        <f>SUM('IV-2 arsa'!S51)</f>
        <v>43312</v>
      </c>
      <c r="AH126" s="776">
        <f>SUM('IV-2 arsa'!T51)</f>
        <v>43403</v>
      </c>
      <c r="AI126" s="776">
        <f>SUM('IV-2 arsa'!U51)</f>
        <v>43496</v>
      </c>
      <c r="AJ126" s="990">
        <f t="shared" si="207"/>
        <v>2019</v>
      </c>
      <c r="AK126" s="848">
        <f>SUM('IV-2 arsa'!V51)</f>
        <v>44134</v>
      </c>
      <c r="AL126" s="971">
        <f t="shared" si="208"/>
        <v>0</v>
      </c>
      <c r="AM126" s="971">
        <f t="shared" si="209"/>
        <v>0</v>
      </c>
      <c r="AN126" s="971">
        <f t="shared" si="210"/>
        <v>0</v>
      </c>
      <c r="AO126" s="971">
        <f t="shared" si="211"/>
        <v>145890</v>
      </c>
      <c r="AP126" s="973">
        <f t="shared" si="212"/>
        <v>0</v>
      </c>
      <c r="AQ126" s="379"/>
      <c r="AR126" s="55"/>
      <c r="AS126" s="55"/>
      <c r="AT126" s="56">
        <f t="shared" si="213"/>
        <v>638</v>
      </c>
      <c r="AU126" s="736">
        <f t="shared" si="214"/>
        <v>30.416666666666668</v>
      </c>
      <c r="AV126" s="736">
        <f t="shared" si="215"/>
        <v>20.975342465753425</v>
      </c>
    </row>
    <row r="127" spans="1:48" ht="39.75" thickTop="1" thickBot="1" x14ac:dyDescent="0.3">
      <c r="A127" s="342" t="s">
        <v>206</v>
      </c>
      <c r="B127" s="342" t="s">
        <v>1480</v>
      </c>
      <c r="C127" s="970"/>
      <c r="D127" s="342" t="str">
        <f>CONCATENATE('IV-2 arsa'!C52)</f>
        <v>Sveikatos priežiūros paslaugų gerinimas "UAB "Disolis"</v>
      </c>
      <c r="E127" s="342" t="str">
        <f>CONCATENATE('IV-2 arsa'!D52)</f>
        <v>UAB „Disolis“</v>
      </c>
      <c r="F127" s="342" t="str">
        <f>CONCATENATE('IV-2 arsa'!E52)</f>
        <v>Lietuvos Respublikos Sveikatos apsaugos ministerija</v>
      </c>
      <c r="G127" s="342" t="str">
        <f>CONCATENATE('IV-2 arsa'!F52)</f>
        <v>Alytaus r. sav.</v>
      </c>
      <c r="H127" s="342" t="str">
        <f>CONCATENATE('IV-2 arsa'!G52)</f>
        <v>08.1.3-CPVA-R-609</v>
      </c>
      <c r="I127" s="342" t="str">
        <f>CONCATENATE('IV-2 arsa'!H52)</f>
        <v>R</v>
      </c>
      <c r="J127" s="342" t="str">
        <f>CONCATENATE('IV-2 arsa'!I52)</f>
        <v>-</v>
      </c>
      <c r="K127" s="342" t="str">
        <f>CONCATENATE('IV-2 arsa'!J52)</f>
        <v>-</v>
      </c>
      <c r="L127" s="1212">
        <f>SUM('IV-2 arsa'!K52)</f>
        <v>17386</v>
      </c>
      <c r="M127" s="1212"/>
      <c r="N127" s="1212"/>
      <c r="O127" s="1212">
        <f>SUM('IV-2 arsa'!L52)</f>
        <v>0</v>
      </c>
      <c r="P127" s="1239">
        <f ca="1">SUM('ketv. 6 '!P126)</f>
        <v>0</v>
      </c>
      <c r="Q127" s="1239">
        <f t="shared" ca="1" si="216"/>
        <v>0</v>
      </c>
      <c r="R127" s="1212">
        <f>SUM('IV-2 arsa'!M52)</f>
        <v>1304</v>
      </c>
      <c r="S127" s="1239">
        <f ca="1">SUM('ketv. 6 '!T126)</f>
        <v>0</v>
      </c>
      <c r="T127" s="1239">
        <f t="shared" ca="1" si="203"/>
        <v>0</v>
      </c>
      <c r="U127" s="1212">
        <f>SUM('IV-2 arsa'!N52)</f>
        <v>1304</v>
      </c>
      <c r="V127" s="1239">
        <f ca="1">SUM('ketv. 6 '!X126)</f>
        <v>0</v>
      </c>
      <c r="W127" s="1239">
        <f t="shared" ca="1" si="204"/>
        <v>0</v>
      </c>
      <c r="X127" s="1212">
        <f>SUM('IV-2 arsa'!O52)</f>
        <v>0</v>
      </c>
      <c r="Y127" s="1239">
        <f ca="1">SUM('ketv. 6 '!AB126)</f>
        <v>0</v>
      </c>
      <c r="Z127" s="1239">
        <f t="shared" ca="1" si="205"/>
        <v>0</v>
      </c>
      <c r="AA127" s="1212">
        <f>SUM('IV-2 arsa'!P52)</f>
        <v>14778</v>
      </c>
      <c r="AB127" s="1212">
        <f>SUM('IV-2 vrsa'!R107)</f>
        <v>0</v>
      </c>
      <c r="AC127" s="971" t="str">
        <f>IF('ketv. 4 '!X127&gt;0,"Taip","Ne")</f>
        <v>Ne</v>
      </c>
      <c r="AD127" s="971">
        <f ca="1">SUM('ketv. 6 '!AF126)</f>
        <v>0</v>
      </c>
      <c r="AE127" s="971">
        <f t="shared" ca="1" si="206"/>
        <v>0</v>
      </c>
      <c r="AF127" s="989">
        <v>43227</v>
      </c>
      <c r="AG127" s="776">
        <f>SUM('IV-2 arsa'!S52)</f>
        <v>43312</v>
      </c>
      <c r="AH127" s="776">
        <f>SUM('IV-2 arsa'!T52)</f>
        <v>43403</v>
      </c>
      <c r="AI127" s="776">
        <f>SUM('IV-2 arsa'!U52)</f>
        <v>43495</v>
      </c>
      <c r="AJ127" s="990">
        <f t="shared" si="207"/>
        <v>2019</v>
      </c>
      <c r="AK127" s="848">
        <f>SUM('IV-2 arsa'!V52)</f>
        <v>43830</v>
      </c>
      <c r="AL127" s="971">
        <f t="shared" si="208"/>
        <v>0</v>
      </c>
      <c r="AM127" s="971">
        <f t="shared" si="209"/>
        <v>0</v>
      </c>
      <c r="AN127" s="971">
        <f t="shared" si="210"/>
        <v>0</v>
      </c>
      <c r="AO127" s="971">
        <f t="shared" si="211"/>
        <v>14778</v>
      </c>
      <c r="AP127" s="973">
        <f t="shared" si="212"/>
        <v>0</v>
      </c>
      <c r="AQ127" s="379"/>
      <c r="AR127" s="55"/>
      <c r="AS127" s="55"/>
      <c r="AT127" s="56">
        <f t="shared" si="213"/>
        <v>335</v>
      </c>
      <c r="AU127" s="736">
        <f t="shared" si="214"/>
        <v>30.416666666666668</v>
      </c>
      <c r="AV127" s="736">
        <f t="shared" si="215"/>
        <v>11.013698630136986</v>
      </c>
    </row>
    <row r="128" spans="1:48" ht="39.75" thickTop="1" thickBot="1" x14ac:dyDescent="0.3">
      <c r="A128" s="342" t="s">
        <v>207</v>
      </c>
      <c r="B128" s="342" t="s">
        <v>1517</v>
      </c>
      <c r="C128" s="970"/>
      <c r="D128" s="342" t="str">
        <f>CONCATENATE('IV-2 dsa'!C54)</f>
        <v>Pirminės asmens sveikatos priežiūros kokybės ir prieinamumo gerinimas Druskininkų savivaldybėje</v>
      </c>
      <c r="E128" s="342" t="str">
        <f>CONCATENATE('IV-2 dsa'!D54)</f>
        <v>VšĮ Druskininkų pirminės sveikatos priežiūros centras</v>
      </c>
      <c r="F128" s="342" t="str">
        <f>CONCATENATE('IV-2 dsa'!E54)</f>
        <v>Lietuvos Respublikos Sveikatos apsaugos ministerija</v>
      </c>
      <c r="G128" s="342" t="str">
        <f>CONCATENATE('IV-2 dsa'!F54)</f>
        <v>Druskininkų sav.</v>
      </c>
      <c r="H128" s="342" t="str">
        <f>CONCATENATE('IV-2 dsa'!G54)</f>
        <v>08.1.3-CPVA-R-609</v>
      </c>
      <c r="I128" s="342" t="str">
        <f>CONCATENATE('IV-2 dsa'!H54)</f>
        <v>R</v>
      </c>
      <c r="J128" s="342" t="str">
        <f>CONCATENATE('IV-2 dsa'!I54)</f>
        <v>-</v>
      </c>
      <c r="K128" s="342" t="str">
        <f>CONCATENATE('IV-2 dsa'!J54)</f>
        <v>-</v>
      </c>
      <c r="L128" s="1212">
        <f>SUM('IV-2 dsa'!K54)</f>
        <v>163532</v>
      </c>
      <c r="M128" s="1212"/>
      <c r="N128" s="1212"/>
      <c r="O128" s="1212">
        <f>SUM('IV-2 dsa'!L54)</f>
        <v>0</v>
      </c>
      <c r="P128" s="1239">
        <f ca="1">SUM('ketv. 6 '!P127)</f>
        <v>0</v>
      </c>
      <c r="Q128" s="1239">
        <f t="shared" ca="1" si="216"/>
        <v>0</v>
      </c>
      <c r="R128" s="1212">
        <f>SUM('IV-2 dsa'!M54)</f>
        <v>12265</v>
      </c>
      <c r="S128" s="1239">
        <f ca="1">SUM('ketv. 6 '!T127)</f>
        <v>0</v>
      </c>
      <c r="T128" s="1239">
        <f t="shared" ca="1" si="203"/>
        <v>0</v>
      </c>
      <c r="U128" s="1212">
        <f>SUM('IV-2 dsa'!N54)</f>
        <v>12265</v>
      </c>
      <c r="V128" s="1239">
        <f ca="1">SUM('ketv. 6 '!X127)</f>
        <v>0</v>
      </c>
      <c r="W128" s="1239">
        <f t="shared" ca="1" si="204"/>
        <v>0</v>
      </c>
      <c r="X128" s="1212">
        <f>SUM('IV-2 dsa'!O54)</f>
        <v>0</v>
      </c>
      <c r="Y128" s="1239">
        <f ca="1">SUM('ketv. 6 '!AB127)</f>
        <v>0</v>
      </c>
      <c r="Z128" s="1239">
        <f t="shared" ca="1" si="205"/>
        <v>0</v>
      </c>
      <c r="AA128" s="1212">
        <f>SUM('IV-2 dsa'!P54)</f>
        <v>139002</v>
      </c>
      <c r="AB128" s="1212">
        <f>SUM('IV-2 vrsa'!R108)</f>
        <v>0</v>
      </c>
      <c r="AC128" s="971" t="str">
        <f>IF('ketv. 4 '!X128&gt;0,"Taip","Ne")</f>
        <v>Ne</v>
      </c>
      <c r="AD128" s="971">
        <f ca="1">SUM('ketv. 6 '!AF127)</f>
        <v>0</v>
      </c>
      <c r="AE128" s="971">
        <f t="shared" ca="1" si="206"/>
        <v>0</v>
      </c>
      <c r="AF128" s="989">
        <v>43227</v>
      </c>
      <c r="AG128" s="776">
        <f>SUM('IV-2 dsa'!S54)</f>
        <v>43312</v>
      </c>
      <c r="AH128" s="776">
        <f>SUM('IV-2 dsa'!T54)</f>
        <v>43403</v>
      </c>
      <c r="AI128" s="776">
        <f>SUM('IV-2 dsa'!U54)</f>
        <v>43465</v>
      </c>
      <c r="AJ128" s="990">
        <f t="shared" si="207"/>
        <v>2018</v>
      </c>
      <c r="AK128" s="848">
        <f>SUM('IV-2 dsa'!V54)</f>
        <v>44196</v>
      </c>
      <c r="AL128" s="971">
        <f t="shared" si="208"/>
        <v>0</v>
      </c>
      <c r="AM128" s="971">
        <f t="shared" si="209"/>
        <v>0</v>
      </c>
      <c r="AN128" s="971">
        <f t="shared" si="210"/>
        <v>139002</v>
      </c>
      <c r="AO128" s="971">
        <f t="shared" si="211"/>
        <v>0</v>
      </c>
      <c r="AP128" s="973">
        <f t="shared" si="212"/>
        <v>0</v>
      </c>
      <c r="AQ128" s="377"/>
      <c r="AR128" s="55"/>
      <c r="AS128" s="55"/>
      <c r="AT128" s="56">
        <f t="shared" si="213"/>
        <v>731</v>
      </c>
      <c r="AU128" s="736">
        <f t="shared" si="214"/>
        <v>30.416666666666668</v>
      </c>
      <c r="AV128" s="736">
        <f t="shared" si="215"/>
        <v>24.032876712328765</v>
      </c>
    </row>
    <row r="129" spans="1:48" ht="39.75" thickTop="1" thickBot="1" x14ac:dyDescent="0.3">
      <c r="A129" s="342" t="s">
        <v>217</v>
      </c>
      <c r="B129" s="342" t="s">
        <v>1473</v>
      </c>
      <c r="C129" s="970"/>
      <c r="D129" s="342" t="str">
        <f>CONCATENATE('IV-2 dsa'!C55)</f>
        <v>UAB "Druskininkų šeimos klinika" asmens sveikatos priežiūros paslaugų prieinamumo ir efektyvumo didinimas</v>
      </c>
      <c r="E129" s="342" t="str">
        <f>CONCATENATE('IV-2 dsa'!D55)</f>
        <v>UAB „Druskininkų šeimos klinika“</v>
      </c>
      <c r="F129" s="342" t="str">
        <f>CONCATENATE('IV-2 dsa'!E55)</f>
        <v>Lietuvos Respublikos Sveikatos apsaugos ministerija</v>
      </c>
      <c r="G129" s="342" t="str">
        <f>CONCATENATE('IV-2 dsa'!F55)</f>
        <v>Druskininkų sav.</v>
      </c>
      <c r="H129" s="342" t="str">
        <f>CONCATENATE('IV-2 dsa'!G55)</f>
        <v>08.1.3-CPVA-R-609</v>
      </c>
      <c r="I129" s="342" t="str">
        <f>CONCATENATE('IV-2 dsa'!H55)</f>
        <v>R</v>
      </c>
      <c r="J129" s="342" t="str">
        <f>CONCATENATE('IV-2 dsa'!I55)</f>
        <v>-</v>
      </c>
      <c r="K129" s="342" t="str">
        <f>CONCATENATE('IV-2 dsa'!J55)</f>
        <v>-</v>
      </c>
      <c r="L129" s="1212">
        <f>SUM('IV-2 dsa'!K55)</f>
        <v>12289</v>
      </c>
      <c r="M129" s="1212"/>
      <c r="N129" s="1212"/>
      <c r="O129" s="1212">
        <f>SUM('IV-2 dsa'!L55)</f>
        <v>0</v>
      </c>
      <c r="P129" s="1239">
        <f ca="1">SUM('ketv. 6 '!P128)</f>
        <v>0</v>
      </c>
      <c r="Q129" s="1239">
        <f t="shared" ca="1" si="216"/>
        <v>0</v>
      </c>
      <c r="R129" s="1212">
        <f>SUM('IV-2 dsa'!M55)</f>
        <v>922</v>
      </c>
      <c r="S129" s="1239">
        <f ca="1">SUM('ketv. 6 '!T128)</f>
        <v>0</v>
      </c>
      <c r="T129" s="1239">
        <f t="shared" ca="1" si="203"/>
        <v>0</v>
      </c>
      <c r="U129" s="1212">
        <f>SUM('IV-2 dsa'!N55)</f>
        <v>922</v>
      </c>
      <c r="V129" s="1239">
        <f ca="1">SUM('ketv. 6 '!X128)</f>
        <v>0</v>
      </c>
      <c r="W129" s="1239">
        <f t="shared" ca="1" si="204"/>
        <v>0</v>
      </c>
      <c r="X129" s="1212">
        <f>SUM('IV-2 dsa'!O55)</f>
        <v>0</v>
      </c>
      <c r="Y129" s="1239">
        <f ca="1">SUM('ketv. 6 '!AB128)</f>
        <v>0</v>
      </c>
      <c r="Z129" s="1239">
        <f t="shared" ca="1" si="205"/>
        <v>0</v>
      </c>
      <c r="AA129" s="1212">
        <f>SUM('IV-2 dsa'!P55)</f>
        <v>10445</v>
      </c>
      <c r="AB129" s="1212">
        <f>SUM('IV-2 vrsa'!R109)</f>
        <v>0</v>
      </c>
      <c r="AC129" s="971" t="str">
        <f>IF('ketv. 4 '!X129&gt;0,"Taip","Ne")</f>
        <v>Ne</v>
      </c>
      <c r="AD129" s="971">
        <f ca="1">SUM('ketv. 6 '!AF128)</f>
        <v>0</v>
      </c>
      <c r="AE129" s="971">
        <f t="shared" ca="1" si="206"/>
        <v>0</v>
      </c>
      <c r="AF129" s="989">
        <v>43227</v>
      </c>
      <c r="AG129" s="776">
        <f>SUM('IV-2 dsa'!S55)</f>
        <v>43312</v>
      </c>
      <c r="AH129" s="776">
        <f>SUM('IV-2 dsa'!T55)</f>
        <v>43403</v>
      </c>
      <c r="AI129" s="776">
        <f>SUM('IV-2 dsa'!U55)</f>
        <v>43495</v>
      </c>
      <c r="AJ129" s="990">
        <f t="shared" si="207"/>
        <v>2019</v>
      </c>
      <c r="AK129" s="848">
        <f>SUM('IV-2 dsa'!V55)</f>
        <v>43922</v>
      </c>
      <c r="AL129" s="971">
        <f t="shared" si="208"/>
        <v>0</v>
      </c>
      <c r="AM129" s="971">
        <f t="shared" si="209"/>
        <v>0</v>
      </c>
      <c r="AN129" s="971">
        <f t="shared" si="210"/>
        <v>0</v>
      </c>
      <c r="AO129" s="971">
        <f t="shared" si="211"/>
        <v>10445</v>
      </c>
      <c r="AP129" s="973">
        <f t="shared" si="212"/>
        <v>0</v>
      </c>
      <c r="AQ129" s="55"/>
      <c r="AR129" s="55"/>
      <c r="AS129" s="55"/>
      <c r="AT129" s="56">
        <f t="shared" si="213"/>
        <v>427</v>
      </c>
      <c r="AU129" s="736">
        <f t="shared" si="214"/>
        <v>30.416666666666668</v>
      </c>
      <c r="AV129" s="736">
        <f t="shared" si="215"/>
        <v>14.038356164383561</v>
      </c>
    </row>
    <row r="130" spans="1:48" ht="52.5" thickTop="1" thickBot="1" x14ac:dyDescent="0.3">
      <c r="A130" s="342" t="s">
        <v>1443</v>
      </c>
      <c r="B130" s="342" t="s">
        <v>1471</v>
      </c>
      <c r="C130" s="970"/>
      <c r="D130" s="342" t="str">
        <f>CONCATENATE('IV-2 dsa'!C56)</f>
        <v>I. S. Kavaliauskienės įmonės teikiamų pirminės ambulatorinės asmens sveikatos priežiūros paslaugų kokybės ir prieinamumo gerinimas.</v>
      </c>
      <c r="E130" s="342" t="str">
        <f>CONCATENATE('IV-2 dsa'!D56)</f>
        <v>Irenos Stanislavos Kavaliauskienės įmonė</v>
      </c>
      <c r="F130" s="342" t="str">
        <f>CONCATENATE('IV-2 dsa'!E56)</f>
        <v>Lietuvos Respublikos Sveikatos apsaugos ministerija</v>
      </c>
      <c r="G130" s="342" t="str">
        <f>CONCATENATE('IV-2 dsa'!F56)</f>
        <v>Druskininkų sav.</v>
      </c>
      <c r="H130" s="342" t="str">
        <f>CONCATENATE('IV-2 dsa'!G56)</f>
        <v>08.1.3-CPVA-R-609</v>
      </c>
      <c r="I130" s="342" t="str">
        <f>CONCATENATE('IV-2 dsa'!H56)</f>
        <v>R</v>
      </c>
      <c r="J130" s="342" t="str">
        <f>CONCATENATE('IV-2 dsa'!I56)</f>
        <v>-</v>
      </c>
      <c r="K130" s="342" t="str">
        <f>CONCATENATE('IV-2 dsa'!J56)</f>
        <v>-</v>
      </c>
      <c r="L130" s="1212">
        <f>SUM('IV-2 dsa'!K56)</f>
        <v>25517</v>
      </c>
      <c r="M130" s="1212"/>
      <c r="N130" s="1212"/>
      <c r="O130" s="1212">
        <f>SUM('IV-2 dsa'!L56)</f>
        <v>0</v>
      </c>
      <c r="P130" s="1239">
        <f ca="1">SUM('ketv. 6 '!P134)</f>
        <v>74624.070000000007</v>
      </c>
      <c r="Q130" s="1239">
        <f t="shared" ca="1" si="216"/>
        <v>-74624.070000000007</v>
      </c>
      <c r="R130" s="1212">
        <f>SUM('IV-2 dsa'!M56)</f>
        <v>1914</v>
      </c>
      <c r="S130" s="1239">
        <f ca="1">SUM('ketv. 6 '!T134)</f>
        <v>74623.62</v>
      </c>
      <c r="T130" s="1239">
        <f t="shared" ca="1" si="203"/>
        <v>-72709.62</v>
      </c>
      <c r="U130" s="1212">
        <f>SUM('IV-2 dsa'!N56)</f>
        <v>1914</v>
      </c>
      <c r="V130" s="1239">
        <f ca="1">SUM('ketv. 6 '!X134)</f>
        <v>0</v>
      </c>
      <c r="W130" s="1239">
        <f t="shared" ca="1" si="204"/>
        <v>0</v>
      </c>
      <c r="X130" s="1212">
        <f>SUM('IV-2 dsa'!O56)</f>
        <v>0</v>
      </c>
      <c r="Y130" s="1239">
        <f ca="1">SUM('ketv. 6 '!AB134)</f>
        <v>0</v>
      </c>
      <c r="Z130" s="1239">
        <f t="shared" ca="1" si="205"/>
        <v>0</v>
      </c>
      <c r="AA130" s="1212">
        <f>SUM('IV-2 dsa'!P56)</f>
        <v>21689</v>
      </c>
      <c r="AB130" s="1212">
        <f>SUM('IV-2 vrsa'!R110)</f>
        <v>0</v>
      </c>
      <c r="AC130" s="971" t="str">
        <f>IF('ketv. 4 '!X135&gt;0,"Taip","Ne")</f>
        <v>Ne</v>
      </c>
      <c r="AD130" s="971">
        <f ca="1">SUM('ketv. 6 '!AF129)</f>
        <v>0</v>
      </c>
      <c r="AE130" s="971">
        <f t="shared" ca="1" si="206"/>
        <v>0</v>
      </c>
      <c r="AF130" s="989">
        <v>43227</v>
      </c>
      <c r="AG130" s="776">
        <f>SUM('IV-2 dsa'!S56)</f>
        <v>43312</v>
      </c>
      <c r="AH130" s="776">
        <f>SUM('IV-2 dsa'!T56)</f>
        <v>43373</v>
      </c>
      <c r="AI130" s="776">
        <f>SUM('IV-2 dsa'!U56)</f>
        <v>43464</v>
      </c>
      <c r="AJ130" s="990">
        <f t="shared" si="207"/>
        <v>2018</v>
      </c>
      <c r="AK130" s="848">
        <f>SUM('IV-2 dsa'!V56)</f>
        <v>43830</v>
      </c>
      <c r="AL130" s="971">
        <f t="shared" si="208"/>
        <v>0</v>
      </c>
      <c r="AM130" s="971">
        <f t="shared" si="209"/>
        <v>0</v>
      </c>
      <c r="AN130" s="971">
        <f t="shared" si="210"/>
        <v>21689</v>
      </c>
      <c r="AO130" s="971">
        <f t="shared" si="211"/>
        <v>0</v>
      </c>
      <c r="AP130" s="973">
        <f t="shared" si="212"/>
        <v>0</v>
      </c>
      <c r="AQ130" s="55"/>
      <c r="AR130" s="55"/>
      <c r="AS130" s="55"/>
      <c r="AT130" s="56">
        <f t="shared" si="213"/>
        <v>366</v>
      </c>
      <c r="AU130" s="736">
        <f t="shared" si="214"/>
        <v>30.416666666666668</v>
      </c>
      <c r="AV130" s="736">
        <f t="shared" si="215"/>
        <v>12.032876712328767</v>
      </c>
    </row>
    <row r="131" spans="1:48" ht="52.5" thickTop="1" thickBot="1" x14ac:dyDescent="0.3">
      <c r="A131" s="342" t="s">
        <v>1444</v>
      </c>
      <c r="B131" s="342" t="s">
        <v>1470</v>
      </c>
      <c r="C131" s="970"/>
      <c r="D131" s="342" t="str">
        <f>CONCATENATE('IV-2 dsa'!C57)</f>
        <v>Pirminės ambulatorinės asmens sveikatos priežiūros efektyvumo didinimas R.Ambrazaitienės ir L. Puzinovienės šeimos gydytojų kabinetuose</v>
      </c>
      <c r="E131" s="342" t="str">
        <f>CONCATENATE('IV-2 dsa'!D57)</f>
        <v>UAB „Rasos Ambrazaitienės šeimos gydytojo kabinetas“</v>
      </c>
      <c r="F131" s="342" t="str">
        <f>CONCATENATE('IV-2 dsa'!E57)</f>
        <v>Lietuvos Respublikos Sveikatos apsaugos ministerija</v>
      </c>
      <c r="G131" s="342" t="str">
        <f>CONCATENATE('IV-2 dsa'!F57)</f>
        <v>Druskininkų sav.</v>
      </c>
      <c r="H131" s="342" t="str">
        <f>CONCATENATE('IV-2 dsa'!G57)</f>
        <v>08.1.3-CPVA-R-609</v>
      </c>
      <c r="I131" s="342" t="str">
        <f>CONCATENATE('IV-2 dsa'!H57)</f>
        <v>R</v>
      </c>
      <c r="J131" s="342" t="str">
        <f>CONCATENATE('IV-2 dsa'!I57)</f>
        <v>-</v>
      </c>
      <c r="K131" s="342" t="str">
        <f>CONCATENATE('IV-2 dsa'!J57)</f>
        <v>-</v>
      </c>
      <c r="L131" s="1212">
        <f>SUM('IV-2 dsa'!K57)</f>
        <v>27906</v>
      </c>
      <c r="M131" s="1212"/>
      <c r="N131" s="1212"/>
      <c r="O131" s="1212">
        <f>SUM('IV-2 dsa'!L57)</f>
        <v>0</v>
      </c>
      <c r="P131" s="1239">
        <f ca="1">SUM('ketv. 6 '!P135)</f>
        <v>14924.79</v>
      </c>
      <c r="Q131" s="1239">
        <f t="shared" ca="1" si="216"/>
        <v>-14924.79</v>
      </c>
      <c r="R131" s="1212">
        <f>SUM('IV-2 dsa'!M57)</f>
        <v>2093</v>
      </c>
      <c r="S131" s="1239">
        <f ca="1">SUM('ketv. 6 '!T135)</f>
        <v>14924.79</v>
      </c>
      <c r="T131" s="1239">
        <f t="shared" ca="1" si="203"/>
        <v>-12831.79</v>
      </c>
      <c r="U131" s="1212">
        <f>SUM('IV-2 dsa'!N57)</f>
        <v>2093</v>
      </c>
      <c r="V131" s="1239">
        <f ca="1">SUM('ketv. 6 '!X135)</f>
        <v>0</v>
      </c>
      <c r="W131" s="1239">
        <f t="shared" ca="1" si="204"/>
        <v>0</v>
      </c>
      <c r="X131" s="1212">
        <f>SUM('IV-2 dsa'!O57)</f>
        <v>0</v>
      </c>
      <c r="Y131" s="1239">
        <f ca="1">SUM('ketv. 6 '!AB135)</f>
        <v>0</v>
      </c>
      <c r="Z131" s="1239">
        <f t="shared" ca="1" si="205"/>
        <v>0</v>
      </c>
      <c r="AA131" s="1212">
        <f>SUM('IV-2 dsa'!P57)</f>
        <v>23720</v>
      </c>
      <c r="AB131" s="1212">
        <f>SUM('IV-2 vrsa'!R111)</f>
        <v>0</v>
      </c>
      <c r="AC131" s="971" t="str">
        <f>IF('ketv. 4 '!X136&gt;0,"Taip","Ne")</f>
        <v>Taip</v>
      </c>
      <c r="AD131" s="971">
        <f ca="1">SUM('ketv. 6 '!AF130)</f>
        <v>0</v>
      </c>
      <c r="AE131" s="971">
        <f t="shared" ca="1" si="206"/>
        <v>0</v>
      </c>
      <c r="AF131" s="989">
        <v>43227</v>
      </c>
      <c r="AG131" s="776">
        <f>SUM('IV-2 dsa'!S57)</f>
        <v>43312</v>
      </c>
      <c r="AH131" s="776">
        <f>SUM('IV-2 dsa'!T57)</f>
        <v>43403</v>
      </c>
      <c r="AI131" s="776">
        <f>SUM('IV-2 dsa'!U57)</f>
        <v>43495</v>
      </c>
      <c r="AJ131" s="990">
        <f t="shared" si="207"/>
        <v>2019</v>
      </c>
      <c r="AK131" s="848">
        <f>SUM('IV-2 dsa'!V57)</f>
        <v>44196</v>
      </c>
      <c r="AL131" s="971">
        <f t="shared" si="208"/>
        <v>0</v>
      </c>
      <c r="AM131" s="971">
        <f t="shared" si="209"/>
        <v>0</v>
      </c>
      <c r="AN131" s="971">
        <f t="shared" si="210"/>
        <v>0</v>
      </c>
      <c r="AO131" s="971">
        <f t="shared" si="211"/>
        <v>23720</v>
      </c>
      <c r="AP131" s="973">
        <f t="shared" si="212"/>
        <v>0</v>
      </c>
      <c r="AQ131" s="55"/>
      <c r="AR131" s="55"/>
      <c r="AS131" s="55"/>
      <c r="AT131" s="56">
        <f t="shared" si="213"/>
        <v>701</v>
      </c>
      <c r="AU131" s="736">
        <f t="shared" si="214"/>
        <v>30.416666666666668</v>
      </c>
      <c r="AV131" s="736">
        <f t="shared" si="215"/>
        <v>23.046575342465754</v>
      </c>
    </row>
    <row r="132" spans="1:48" ht="39.75" thickTop="1" thickBot="1" x14ac:dyDescent="0.3">
      <c r="A132" s="342" t="s">
        <v>1445</v>
      </c>
      <c r="B132" s="342" t="s">
        <v>1474</v>
      </c>
      <c r="C132" s="970"/>
      <c r="D132" s="342" t="str">
        <f>CONCATENATE('IV-2 lrsa'!D51)</f>
        <v xml:space="preserve">Pirminės asmens sveikatos priežiūros veiklos efektyvumo didinimas Lazdijų rajono savivaldybėje </v>
      </c>
      <c r="E132" s="342" t="str">
        <f>CONCATENATE('IV-2 lrsa'!E51)</f>
        <v>Lazdijų rajono savivaldybės administracija</v>
      </c>
      <c r="F132" s="342" t="str">
        <f>CONCATENATE('IV-2 lrsa'!F51)</f>
        <v>Lietuvos Respublikos Sveikatos apsaugos ministerija</v>
      </c>
      <c r="G132" s="342" t="str">
        <f>CONCATENATE('IV-2 lrsa'!G51)</f>
        <v>Lazdijų r. sav.</v>
      </c>
      <c r="H132" s="342" t="str">
        <f>CONCATENATE('IV-2 lrsa'!H51)</f>
        <v>08.1.3-CPVA-R-609</v>
      </c>
      <c r="I132" s="342" t="str">
        <f>CONCATENATE('IV-2 lrsa'!I51)</f>
        <v>R</v>
      </c>
      <c r="J132" s="342" t="str">
        <f>CONCATENATE('IV-2 lrsa'!J51)</f>
        <v>-</v>
      </c>
      <c r="K132" s="342" t="str">
        <f>CONCATENATE('IV-2 lrsa'!K51)</f>
        <v>-</v>
      </c>
      <c r="L132" s="1212">
        <f>SUM('IV-2 lrsa'!L51)</f>
        <v>192719</v>
      </c>
      <c r="M132" s="1212"/>
      <c r="N132" s="1212"/>
      <c r="O132" s="1212">
        <f>SUM('IV-2 lrsa'!M51)</f>
        <v>2983</v>
      </c>
      <c r="P132" s="1239">
        <f ca="1">SUM('ketv. 6 '!P136)</f>
        <v>14924.7</v>
      </c>
      <c r="Q132" s="1239">
        <f t="shared" ca="1" si="216"/>
        <v>-11941.7</v>
      </c>
      <c r="R132" s="1212">
        <f>SUM('IV-2 lrsa'!N51)</f>
        <v>14454</v>
      </c>
      <c r="S132" s="1239">
        <f ca="1">SUM('ketv. 6 '!T136)</f>
        <v>14924.7</v>
      </c>
      <c r="T132" s="1239">
        <f t="shared" ca="1" si="203"/>
        <v>-470.70000000000073</v>
      </c>
      <c r="U132" s="1212">
        <f>SUM('IV-2 lrsa'!O51)</f>
        <v>11471</v>
      </c>
      <c r="V132" s="1239">
        <f ca="1">SUM('ketv. 6 '!X136)</f>
        <v>0</v>
      </c>
      <c r="W132" s="1239">
        <f t="shared" ca="1" si="204"/>
        <v>0</v>
      </c>
      <c r="X132" s="1212">
        <f>SUM('IV-2 lrsa'!P51)</f>
        <v>0</v>
      </c>
      <c r="Y132" s="1239">
        <f ca="1">SUM('ketv. 6 '!AB136)</f>
        <v>0</v>
      </c>
      <c r="Z132" s="1239">
        <f t="shared" ca="1" si="205"/>
        <v>0</v>
      </c>
      <c r="AA132" s="1212">
        <f>SUM('IV-2 lrsa'!Q51)</f>
        <v>163811</v>
      </c>
      <c r="AB132" s="1212">
        <f>SUM('IV-2 vrsa'!R112)</f>
        <v>0</v>
      </c>
      <c r="AC132" s="971" t="str">
        <f>IF('ketv. 4 '!X137&gt;0,"Taip","Ne")</f>
        <v>Taip</v>
      </c>
      <c r="AD132" s="971">
        <f ca="1">SUM('ketv. 6 '!AF131)</f>
        <v>0</v>
      </c>
      <c r="AE132" s="971">
        <f t="shared" ca="1" si="206"/>
        <v>0</v>
      </c>
      <c r="AF132" s="989">
        <v>43227</v>
      </c>
      <c r="AG132" s="776">
        <f>SUM('IV-2 lrsa'!T51)</f>
        <v>43312</v>
      </c>
      <c r="AH132" s="776">
        <f>SUM('IV-2 lrsa'!U51)</f>
        <v>43404</v>
      </c>
      <c r="AI132" s="776">
        <f>SUM('IV-2 lrsa'!V51)</f>
        <v>43496</v>
      </c>
      <c r="AJ132" s="990">
        <f t="shared" si="207"/>
        <v>2019</v>
      </c>
      <c r="AK132" s="848">
        <f>SUM('IV-2 lrsa'!W51)</f>
        <v>44531</v>
      </c>
      <c r="AL132" s="971">
        <f t="shared" si="208"/>
        <v>0</v>
      </c>
      <c r="AM132" s="971">
        <f t="shared" si="209"/>
        <v>0</v>
      </c>
      <c r="AN132" s="971">
        <f t="shared" si="210"/>
        <v>0</v>
      </c>
      <c r="AO132" s="971">
        <f t="shared" si="211"/>
        <v>163811</v>
      </c>
      <c r="AP132" s="973">
        <f t="shared" si="212"/>
        <v>0</v>
      </c>
      <c r="AQ132" s="55"/>
      <c r="AR132" s="55"/>
      <c r="AS132" s="55"/>
      <c r="AT132" s="56">
        <f t="shared" si="213"/>
        <v>1035</v>
      </c>
      <c r="AU132" s="736">
        <f t="shared" si="214"/>
        <v>30.416666666666668</v>
      </c>
      <c r="AV132" s="736">
        <f t="shared" si="215"/>
        <v>34.027397260273972</v>
      </c>
    </row>
    <row r="133" spans="1:48" ht="39.75" thickTop="1" thickBot="1" x14ac:dyDescent="0.3">
      <c r="A133" s="342" t="s">
        <v>1446</v>
      </c>
      <c r="B133" s="342" t="s">
        <v>1481</v>
      </c>
      <c r="C133" s="970"/>
      <c r="D133" s="342" t="str">
        <f>CONCATENATE('IV-2 vrsa'!D56)</f>
        <v>Pirminės asmens sveikatos priežiūros veiklos efektyvumo didinimas Varėnos rajono savivaldybėje</v>
      </c>
      <c r="E133" s="342" t="str">
        <f>CONCATENATE('IV-2 vrsa'!E56)</f>
        <v>VšĮ Varėnos pirminės sveikatos priežiūros centras</v>
      </c>
      <c r="F133" s="342" t="str">
        <f>CONCATENATE('IV-2 vrsa'!F56)</f>
        <v>Lietuvos Respublikos Sveikatos apsaugos ministerija</v>
      </c>
      <c r="G133" s="342" t="str">
        <f>CONCATENATE('IV-2 vrsa'!G56)</f>
        <v>Varėnos r. sav.</v>
      </c>
      <c r="H133" s="342" t="str">
        <f>CONCATENATE('IV-2 vrsa'!H56)</f>
        <v>08.1.3-CPVA-R-609</v>
      </c>
      <c r="I133" s="342" t="str">
        <f>CONCATENATE('IV-2 vrsa'!I56)</f>
        <v>R</v>
      </c>
      <c r="J133" s="342" t="str">
        <f>CONCATENATE('IV-2 vrsa'!J56)</f>
        <v>-</v>
      </c>
      <c r="K133" s="342" t="str">
        <f>CONCATENATE('IV-2 vrsa'!K56)</f>
        <v>-</v>
      </c>
      <c r="L133" s="1212">
        <f>SUM('IV-2 vrsa'!L56)</f>
        <v>192678</v>
      </c>
      <c r="M133" s="1212"/>
      <c r="N133" s="1212"/>
      <c r="O133" s="1212">
        <f>SUM('IV-2 vrsa'!M56)</f>
        <v>14451</v>
      </c>
      <c r="P133" s="1239">
        <f ca="1">SUM('ketv. 6 '!P137)</f>
        <v>14925</v>
      </c>
      <c r="Q133" s="1239">
        <f t="shared" ca="1" si="216"/>
        <v>-474</v>
      </c>
      <c r="R133" s="1212">
        <f>SUM('IV-2 vrsa'!N56)</f>
        <v>14451</v>
      </c>
      <c r="S133" s="1239">
        <f ca="1">SUM('ketv. 6 '!T137)</f>
        <v>14924.55</v>
      </c>
      <c r="T133" s="1239">
        <f t="shared" ca="1" si="203"/>
        <v>-473.54999999999927</v>
      </c>
      <c r="U133" s="1212">
        <f>SUM('IV-2 vrsa'!O56)</f>
        <v>0</v>
      </c>
      <c r="V133" s="1239">
        <f ca="1">SUM('ketv. 6 '!X137)</f>
        <v>0</v>
      </c>
      <c r="W133" s="1239">
        <f t="shared" ca="1" si="204"/>
        <v>0</v>
      </c>
      <c r="X133" s="1212">
        <f>SUM('IV-2 vrsa'!P56)</f>
        <v>0</v>
      </c>
      <c r="Y133" s="1239">
        <f ca="1">SUM('ketv. 6 '!AB137)</f>
        <v>0</v>
      </c>
      <c r="Z133" s="1239">
        <f t="shared" ca="1" si="205"/>
        <v>0</v>
      </c>
      <c r="AA133" s="1212">
        <f>SUM('IV-2 vrsa'!Q56)</f>
        <v>163776</v>
      </c>
      <c r="AB133" s="1212">
        <f>SUM('IV-2 vrsa'!R113)</f>
        <v>0</v>
      </c>
      <c r="AC133" s="971" t="str">
        <f>IF('ketv. 4 '!X138&gt;0,"Taip","Ne")</f>
        <v>Taip</v>
      </c>
      <c r="AD133" s="971">
        <f ca="1">SUM('ketv. 6 '!AF132)</f>
        <v>0</v>
      </c>
      <c r="AE133" s="971">
        <f t="shared" ca="1" si="206"/>
        <v>0</v>
      </c>
      <c r="AF133" s="989">
        <v>43227</v>
      </c>
      <c r="AG133" s="776">
        <f>SUM('IV-2 vrsa'!T56)</f>
        <v>43312</v>
      </c>
      <c r="AH133" s="776">
        <f>SUM('IV-2 vrsa'!U56)</f>
        <v>43434</v>
      </c>
      <c r="AI133" s="776">
        <f>SUM('IV-2 vrsa'!V56)</f>
        <v>43496</v>
      </c>
      <c r="AJ133" s="990">
        <f t="shared" si="207"/>
        <v>2019</v>
      </c>
      <c r="AK133" s="848">
        <f>SUM('IV-2 vrsa'!W56)</f>
        <v>44227</v>
      </c>
      <c r="AL133" s="971">
        <f t="shared" si="208"/>
        <v>0</v>
      </c>
      <c r="AM133" s="971">
        <f t="shared" si="209"/>
        <v>0</v>
      </c>
      <c r="AN133" s="971">
        <f t="shared" si="210"/>
        <v>0</v>
      </c>
      <c r="AO133" s="971">
        <f t="shared" si="211"/>
        <v>163776</v>
      </c>
      <c r="AP133" s="973">
        <f t="shared" si="212"/>
        <v>0</v>
      </c>
      <c r="AQ133" s="55"/>
      <c r="AR133" s="55"/>
      <c r="AS133" s="55"/>
      <c r="AT133" s="56">
        <f t="shared" si="213"/>
        <v>731</v>
      </c>
      <c r="AU133" s="736">
        <f t="shared" si="214"/>
        <v>30.416666666666668</v>
      </c>
      <c r="AV133" s="736">
        <f t="shared" si="215"/>
        <v>24.032876712328765</v>
      </c>
    </row>
    <row r="134" spans="1:48" ht="39.75" thickTop="1" thickBot="1" x14ac:dyDescent="0.3">
      <c r="A134" s="1000" t="s">
        <v>1482</v>
      </c>
      <c r="B134" s="1000" t="s">
        <v>1516</v>
      </c>
      <c r="C134" s="970"/>
      <c r="D134" s="342" t="str">
        <f>CONCATENATE('IV-2 vrsa'!D57)</f>
        <v>Pirminės asmens sveikatos priežiūros veiklos efektyvumo didinimas N. Jarašienės personalinėje įmonėje</v>
      </c>
      <c r="E134" s="342" t="str">
        <f>CONCATENATE('IV-2 vrsa'!E57)</f>
        <v>N. Jarašienės personalinė įmonė</v>
      </c>
      <c r="F134" s="342" t="str">
        <f>CONCATENATE('IV-2 vrsa'!F57)</f>
        <v>Lietuvos Respublikos Sveikatos apsaugos ministerija</v>
      </c>
      <c r="G134" s="342" t="str">
        <f>CONCATENATE('IV-2 vrsa'!G57)</f>
        <v>Varėnos r. sav.</v>
      </c>
      <c r="H134" s="342" t="str">
        <f>CONCATENATE('IV-2 vrsa'!H57)</f>
        <v>08.1.3-CPVA-R-609</v>
      </c>
      <c r="I134" s="342" t="str">
        <f>CONCATENATE('IV-2 vrsa'!I57)</f>
        <v>R</v>
      </c>
      <c r="J134" s="342" t="str">
        <f>CONCATENATE('IV-2 vrsa'!J57)</f>
        <v>-</v>
      </c>
      <c r="K134" s="1001" t="str">
        <f>CONCATENATE('IV-2 vrsa'!K57)</f>
        <v>-</v>
      </c>
      <c r="L134" s="1212">
        <f>SUM('IV-2 vrsa'!L57)</f>
        <v>8305</v>
      </c>
      <c r="M134" s="1212"/>
      <c r="N134" s="1212"/>
      <c r="O134" s="1212">
        <f>SUM('IV-2 vrsa'!M57)</f>
        <v>0</v>
      </c>
      <c r="P134" s="1239">
        <f ca="1">SUM('ketv. 6 '!P138)</f>
        <v>14924.79</v>
      </c>
      <c r="Q134" s="1239">
        <f t="shared" ref="Q134" ca="1" si="217">IF(P134&gt;0,O134-P134,0)</f>
        <v>-14924.79</v>
      </c>
      <c r="R134" s="1212">
        <f>SUM('IV-2 vrsa'!N57)</f>
        <v>623</v>
      </c>
      <c r="S134" s="1239">
        <f ca="1">SUM('ketv. 6 '!T138)</f>
        <v>14924.79</v>
      </c>
      <c r="T134" s="1239">
        <f t="shared" ref="T134" ca="1" si="218">IF(S134&gt;0,R134-S134,0)</f>
        <v>-14301.79</v>
      </c>
      <c r="U134" s="1212">
        <f>SUM('IV-2 vrsa'!O57)</f>
        <v>623</v>
      </c>
      <c r="V134" s="1239">
        <f ca="1">SUM('ketv. 6 '!X138)</f>
        <v>0</v>
      </c>
      <c r="W134" s="1239">
        <f t="shared" ref="W134" ca="1" si="219">IF(V134&gt;0,U134-V134,0)</f>
        <v>0</v>
      </c>
      <c r="X134" s="1212">
        <f>SUM('IV-2 vrsa'!P57)</f>
        <v>0</v>
      </c>
      <c r="Y134" s="1239">
        <f ca="1">SUM('ketv. 6 '!AB138)</f>
        <v>0</v>
      </c>
      <c r="Z134" s="1239">
        <f t="shared" ref="Z134" ca="1" si="220">IF(Y134&gt;0,X134-Y134,0)</f>
        <v>0</v>
      </c>
      <c r="AA134" s="1212">
        <f>SUM('IV-2 vrsa'!Q57)</f>
        <v>7059</v>
      </c>
      <c r="AB134" s="1212">
        <f>SUM('IV-2 vrsa'!R114)</f>
        <v>0</v>
      </c>
      <c r="AC134" s="971" t="str">
        <f>IF('ketv. 4 '!X139&gt;0,"Taip","Ne")</f>
        <v>Taip</v>
      </c>
      <c r="AD134" s="971">
        <f ca="1">SUM('ketv. 6 '!AF133)</f>
        <v>0</v>
      </c>
      <c r="AE134" s="971">
        <f t="shared" ref="AE134" ca="1" si="221">IF(AD134&gt;0,AA134-AD134,0)</f>
        <v>0</v>
      </c>
      <c r="AF134" s="989">
        <v>43227</v>
      </c>
      <c r="AG134" s="1002">
        <f>SUM('IV-2 vrsa'!T57)</f>
        <v>43311</v>
      </c>
      <c r="AH134" s="1002">
        <f>SUM('IV-2 vrsa'!U57)</f>
        <v>43404</v>
      </c>
      <c r="AI134" s="1002">
        <f>SUM('IV-2 vrsa'!V57)</f>
        <v>43496</v>
      </c>
      <c r="AJ134" s="972">
        <f t="shared" ref="AJ134" si="222">IF(YEAR(AI134),YEAR(AI134))</f>
        <v>2019</v>
      </c>
      <c r="AK134" s="1003">
        <f>SUM('IV-2 vrsa'!W57)</f>
        <v>43830</v>
      </c>
      <c r="AL134" s="971">
        <f t="shared" ref="AL134" si="223">IF(YEAR(AI134)=2016,AA134,0)</f>
        <v>0</v>
      </c>
      <c r="AM134" s="971">
        <f t="shared" ref="AM134" si="224">IF(YEAR(AI134)=2017,AA134,0)</f>
        <v>0</v>
      </c>
      <c r="AN134" s="971">
        <f t="shared" ref="AN134" si="225">IF(YEAR(AI134)=2018,AA134,0)</f>
        <v>0</v>
      </c>
      <c r="AO134" s="971">
        <f t="shared" ref="AO134" si="226">IF(YEAR(AI134)=2019,AA134,0)</f>
        <v>7059</v>
      </c>
      <c r="AP134" s="973">
        <f t="shared" ref="AP134" si="227">IF(YEAR(AI134)=2020,AA134,0)</f>
        <v>0</v>
      </c>
      <c r="AQ134" s="55"/>
      <c r="AR134" s="55"/>
      <c r="AS134" s="55"/>
      <c r="AT134" s="56">
        <f t="shared" si="213"/>
        <v>334</v>
      </c>
      <c r="AU134" s="736">
        <f t="shared" si="214"/>
        <v>30.416666666666668</v>
      </c>
      <c r="AV134" s="736">
        <f t="shared" si="215"/>
        <v>10.980821917808219</v>
      </c>
    </row>
    <row r="135" spans="1:48" ht="26.25" customHeight="1" thickBot="1" x14ac:dyDescent="0.3">
      <c r="A135" s="843" t="s">
        <v>34</v>
      </c>
      <c r="B135" s="1874" t="s">
        <v>1504</v>
      </c>
      <c r="C135" s="1844"/>
      <c r="D135" s="1844"/>
      <c r="E135" s="1844"/>
      <c r="F135" s="1844"/>
      <c r="G135" s="1844"/>
      <c r="H135" s="1844"/>
      <c r="I135" s="1844"/>
      <c r="J135" s="1844"/>
      <c r="K135" s="1845"/>
      <c r="L135" s="1213">
        <f t="shared" ref="L135:AE135" si="228">SUM(L136:L140)</f>
        <v>994984.5399999998</v>
      </c>
      <c r="M135" s="1213">
        <f t="shared" ca="1" si="228"/>
        <v>795987.35999999987</v>
      </c>
      <c r="N135" s="1213">
        <f t="shared" ca="1" si="228"/>
        <v>0</v>
      </c>
      <c r="O135" s="1213">
        <f t="shared" si="228"/>
        <v>74624.070000000007</v>
      </c>
      <c r="P135" s="1213">
        <f t="shared" ca="1" si="228"/>
        <v>59699.280000000006</v>
      </c>
      <c r="Q135" s="1213">
        <f t="shared" ca="1" si="228"/>
        <v>0</v>
      </c>
      <c r="R135" s="1213">
        <f t="shared" si="228"/>
        <v>74623.62</v>
      </c>
      <c r="S135" s="1213">
        <f t="shared" ca="1" si="228"/>
        <v>59698.83</v>
      </c>
      <c r="T135" s="1213">
        <f t="shared" ca="1" si="228"/>
        <v>0</v>
      </c>
      <c r="U135" s="1213">
        <f t="shared" si="228"/>
        <v>0</v>
      </c>
      <c r="V135" s="1213">
        <f t="shared" ca="1" si="228"/>
        <v>0</v>
      </c>
      <c r="W135" s="1213">
        <f t="shared" ca="1" si="228"/>
        <v>0</v>
      </c>
      <c r="X135" s="1213">
        <f t="shared" si="228"/>
        <v>0</v>
      </c>
      <c r="Y135" s="1213">
        <f t="shared" ca="1" si="228"/>
        <v>0</v>
      </c>
      <c r="Z135" s="1213">
        <f t="shared" ca="1" si="228"/>
        <v>0</v>
      </c>
      <c r="AA135" s="1213">
        <f t="shared" si="228"/>
        <v>845736.85</v>
      </c>
      <c r="AB135" s="1213">
        <f>SUM('IV-2 vrsa'!R115)</f>
        <v>0</v>
      </c>
      <c r="AC135" s="835"/>
      <c r="AD135" s="835">
        <f t="shared" ca="1" si="228"/>
        <v>676589.25</v>
      </c>
      <c r="AE135" s="835">
        <f t="shared" ca="1" si="228"/>
        <v>0</v>
      </c>
      <c r="AF135" s="835"/>
      <c r="AG135" s="836"/>
      <c r="AH135" s="836"/>
      <c r="AI135" s="836"/>
      <c r="AJ135" s="972">
        <f t="shared" si="207"/>
        <v>1900</v>
      </c>
      <c r="AK135" s="838"/>
      <c r="AL135" s="306">
        <f>SUM(AL136:AL140)</f>
        <v>0</v>
      </c>
      <c r="AM135" s="306">
        <f t="shared" ref="AM135:AP135" si="229">SUM(AM136:AM140)</f>
        <v>0</v>
      </c>
      <c r="AN135" s="306">
        <f t="shared" si="229"/>
        <v>845736.85</v>
      </c>
      <c r="AO135" s="306">
        <f t="shared" si="229"/>
        <v>0</v>
      </c>
      <c r="AP135" s="306">
        <f t="shared" si="229"/>
        <v>0</v>
      </c>
      <c r="AQ135" s="55">
        <f>SUM('IV-2 amsa'!X51+'IV-2 arsa'!W53+'IV-2 dsa'!W58+'IV-2 lrsa'!X52+'IV-2 vrsa'!X58)</f>
        <v>855147.6</v>
      </c>
      <c r="AR135" s="55">
        <f>SUM(AQ135*120/100)</f>
        <v>1026177.12</v>
      </c>
      <c r="AS135" s="55">
        <f>SUM(AQ135-AA135)</f>
        <v>9410.75</v>
      </c>
    </row>
    <row r="136" spans="1:48" ht="51.75" thickBot="1" x14ac:dyDescent="0.3">
      <c r="A136" s="342" t="s">
        <v>149</v>
      </c>
      <c r="B136" s="342" t="s">
        <v>1352</v>
      </c>
      <c r="C136" s="1011" t="str">
        <f>CONCATENATE('ketv. 2'!B135)</f>
        <v>08.4.2-ESFA-R-630-11-0004</v>
      </c>
      <c r="D136" s="342" t="str">
        <f>CONCATENATE('IV-2 arsa'!C54)</f>
        <v>Sveikos gyvensenos skatinimas Alytaus rajone</v>
      </c>
      <c r="E136" s="342" t="str">
        <f>CONCATENATE('IV-2 arsa'!D54)</f>
        <v>Alytaus rajono savivaldybės visuomenės sveikatos biuras</v>
      </c>
      <c r="F136" s="342" t="str">
        <f>CONCATENATE('IV-2 arsa'!E54)</f>
        <v>Lietuvos Respublikos Sveikatos apsaugos ministerija</v>
      </c>
      <c r="G136" s="342" t="str">
        <f>CONCATENATE('IV-2 arsa'!F54)</f>
        <v>Alytaus r. sav.</v>
      </c>
      <c r="H136" s="345" t="str">
        <f>CONCATENATE('IV-2 arsa'!G54)</f>
        <v>08.4.2-ESFA-R-630</v>
      </c>
      <c r="I136" s="345" t="str">
        <f>CONCATENATE('IV-2 arsa'!H54)</f>
        <v>R</v>
      </c>
      <c r="J136" s="345" t="str">
        <f>CONCATENATE('IV-2 arsa'!I54)</f>
        <v>-</v>
      </c>
      <c r="K136" s="345" t="str">
        <f>CONCATENATE('IV-2 arsa'!J54)</f>
        <v>-</v>
      </c>
      <c r="L136" s="1217">
        <f>SUM('IV-2 arsa'!K54)</f>
        <v>198997.18</v>
      </c>
      <c r="M136" s="1217">
        <f ca="1">SUM('ketv. 6 '!L135)</f>
        <v>198997.18</v>
      </c>
      <c r="N136" s="1217">
        <f t="shared" ref="N136:N138" ca="1" si="230">IF(M136&gt;0,L136-M136,0)</f>
        <v>0</v>
      </c>
      <c r="O136" s="1217">
        <f>SUM('IV-2 arsa'!L54)</f>
        <v>14924.79</v>
      </c>
      <c r="P136" s="1217">
        <f ca="1">SUM('ketv. 6 '!P135)</f>
        <v>14924.79</v>
      </c>
      <c r="Q136" s="1217">
        <f t="shared" ref="Q136:Q138" ca="1" si="231">IF(P136&gt;0,O136-P136,0)</f>
        <v>0</v>
      </c>
      <c r="R136" s="1217">
        <f>SUM('IV-2 arsa'!M54)</f>
        <v>14924.79</v>
      </c>
      <c r="S136" s="1217">
        <f ca="1">SUM('ketv. 6 '!T135)</f>
        <v>14924.79</v>
      </c>
      <c r="T136" s="1217">
        <f t="shared" ref="T136:T138" ca="1" si="232">IF(S136&gt;0,R136-S136,0)</f>
        <v>0</v>
      </c>
      <c r="U136" s="1217">
        <f>SUM('IV-2 arsa'!N54)</f>
        <v>0</v>
      </c>
      <c r="V136" s="1217">
        <f ca="1">SUM('ketv. 6 '!X135)</f>
        <v>0</v>
      </c>
      <c r="W136" s="1217">
        <f t="shared" ref="W136:W138" ca="1" si="233">IF(V136&gt;0,U136-V136,0)</f>
        <v>0</v>
      </c>
      <c r="X136" s="1217">
        <f>SUM('IV-2 arsa'!O54)</f>
        <v>0</v>
      </c>
      <c r="Y136" s="1217">
        <f ca="1">SUM('ketv. 6 '!AB135)</f>
        <v>0</v>
      </c>
      <c r="Z136" s="1217">
        <f t="shared" ref="Z136:Z138" ca="1" si="234">IF(Y136&gt;0,X136-Y136,0)</f>
        <v>0</v>
      </c>
      <c r="AA136" s="1217">
        <f>SUM('IV-2 arsa'!P54)</f>
        <v>169147.6</v>
      </c>
      <c r="AB136" s="1217">
        <f>SUM('IV-2 vrsa'!R116)</f>
        <v>0</v>
      </c>
      <c r="AC136" s="306" t="str">
        <f>IF('ketv. 4 '!X136&gt;0,"Taip","Ne")</f>
        <v>Taip</v>
      </c>
      <c r="AD136" s="306">
        <f ca="1">SUM('ketv. 6 '!AF135)</f>
        <v>169147.6</v>
      </c>
      <c r="AE136" s="306">
        <f ca="1">IF(AD136&gt;0,AA136-AD136,0)</f>
        <v>0</v>
      </c>
      <c r="AF136" s="721">
        <v>43108</v>
      </c>
      <c r="AG136" s="373">
        <f>SUM('IV-2 arsa'!S54)</f>
        <v>43159</v>
      </c>
      <c r="AH136" s="373">
        <f>SUM('IV-2 arsa'!T54)</f>
        <v>43220</v>
      </c>
      <c r="AI136" s="373">
        <f>SUM('IV-2 arsa'!U54)</f>
        <v>43312</v>
      </c>
      <c r="AJ136" s="375">
        <f t="shared" ref="AJ136:AJ138" si="235">IF(YEAR(AI136),YEAR(AI136))</f>
        <v>2018</v>
      </c>
      <c r="AK136" s="1310">
        <f>SUM('IV-2 arsa'!V54)</f>
        <v>44380</v>
      </c>
      <c r="AL136" s="306">
        <f>IF(YEAR(AI136)=2016,AA136,0)</f>
        <v>0</v>
      </c>
      <c r="AM136" s="306">
        <f>IF(YEAR(AI136)=2017,AA136,0)</f>
        <v>0</v>
      </c>
      <c r="AN136" s="306">
        <f>IF(YEAR(AI136)=2018,AA136,0)</f>
        <v>169147.6</v>
      </c>
      <c r="AO136" s="306">
        <f>IF(YEAR(AI136)=2019,AA136,0)</f>
        <v>0</v>
      </c>
      <c r="AP136" s="830">
        <f>IF(YEAR(AI136)=2020,AA136,0)</f>
        <v>0</v>
      </c>
      <c r="AQ136" s="55"/>
      <c r="AR136" s="55"/>
      <c r="AS136" s="55"/>
    </row>
    <row r="137" spans="1:48" ht="39.75" thickTop="1" thickBot="1" x14ac:dyDescent="0.3">
      <c r="A137" s="342" t="s">
        <v>152</v>
      </c>
      <c r="B137" s="342" t="s">
        <v>1353</v>
      </c>
      <c r="C137" s="1012" t="str">
        <f>CONCATENATE('ketv. 2'!B136)</f>
        <v>08.4.2-ESFA-R-630-11-0001</v>
      </c>
      <c r="D137" s="342" t="str">
        <f>CONCATENATE('IV-2 amsa'!D52)</f>
        <v>Mažais žingsneliais – sveikos gyvensenos link</v>
      </c>
      <c r="E137" s="342" t="str">
        <f>CONCATENATE('IV-2 amsa'!E52)</f>
        <v>Alytaus miesto savivaldybės administracija</v>
      </c>
      <c r="F137" s="342" t="str">
        <f>CONCATENATE('IV-2 amsa'!F52)</f>
        <v>Lietuvos Respublikos Sveikatos apsaugos ministerija</v>
      </c>
      <c r="G137" s="345" t="str">
        <f>CONCATENATE('IV-2 amsa'!G52)</f>
        <v>Alytaus m. sav.</v>
      </c>
      <c r="H137" s="345" t="str">
        <f>CONCATENATE('IV-2 amsa'!H52)</f>
        <v>08.4.2-ESFA-R-630</v>
      </c>
      <c r="I137" s="345" t="str">
        <f>CONCATENATE('IV-2 amsa'!I52)</f>
        <v>R</v>
      </c>
      <c r="J137" s="345" t="str">
        <f>CONCATENATE('IV-2 amsa'!J52)</f>
        <v>-</v>
      </c>
      <c r="K137" s="345" t="str">
        <f>CONCATENATE('IV-2 amsa'!K52)</f>
        <v>-</v>
      </c>
      <c r="L137" s="1217">
        <f>SUM('IV-2 amsa'!L52)</f>
        <v>198996</v>
      </c>
      <c r="M137" s="1217">
        <f ca="1">SUM('ketv. 6 '!L136)</f>
        <v>198996</v>
      </c>
      <c r="N137" s="1217">
        <f t="shared" ca="1" si="230"/>
        <v>0</v>
      </c>
      <c r="O137" s="1217">
        <f>SUM('IV-2 amsa'!M52)</f>
        <v>14924.7</v>
      </c>
      <c r="P137" s="1217">
        <f ca="1">SUM('ketv. 6 '!P136)</f>
        <v>14924.7</v>
      </c>
      <c r="Q137" s="1217">
        <f t="shared" ca="1" si="231"/>
        <v>0</v>
      </c>
      <c r="R137" s="1217">
        <f>SUM('IV-2 amsa'!N52)</f>
        <v>14924.7</v>
      </c>
      <c r="S137" s="1217">
        <f ca="1">SUM('ketv. 6 '!T136)</f>
        <v>14924.7</v>
      </c>
      <c r="T137" s="1217">
        <f t="shared" ca="1" si="232"/>
        <v>0</v>
      </c>
      <c r="U137" s="1217">
        <f>SUM('IV-2 amsa'!O52)</f>
        <v>0</v>
      </c>
      <c r="V137" s="1217">
        <f ca="1">SUM('ketv. 6 '!X136)</f>
        <v>0</v>
      </c>
      <c r="W137" s="1217">
        <f t="shared" ca="1" si="233"/>
        <v>0</v>
      </c>
      <c r="X137" s="1217">
        <f>SUM('IV-2 amsa'!P52)</f>
        <v>0</v>
      </c>
      <c r="Y137" s="1217">
        <f ca="1">SUM('ketv. 6 '!AB136)</f>
        <v>0</v>
      </c>
      <c r="Z137" s="1217">
        <f t="shared" ca="1" si="234"/>
        <v>0</v>
      </c>
      <c r="AA137" s="1217">
        <f>SUM('IV-2 amsa'!Q52)</f>
        <v>169146.6</v>
      </c>
      <c r="AB137" s="1217">
        <f>SUM('IV-2 vrsa'!R117)</f>
        <v>0</v>
      </c>
      <c r="AC137" s="306" t="str">
        <f>IF('ketv. 4 '!X137&gt;0,"Taip","Ne")</f>
        <v>Taip</v>
      </c>
      <c r="AD137" s="306">
        <f ca="1">SUM('ketv. 6 '!AF136)</f>
        <v>169146.6</v>
      </c>
      <c r="AE137" s="306">
        <f ca="1">IF(AD137&gt;0,AA137-AD137,0)</f>
        <v>0</v>
      </c>
      <c r="AF137" s="721">
        <v>43108</v>
      </c>
      <c r="AG137" s="373">
        <f>SUM('IV-2 amsa'!T52)</f>
        <v>43189</v>
      </c>
      <c r="AH137" s="373">
        <f>SUM('IV-2 amsa'!U52)</f>
        <v>43251</v>
      </c>
      <c r="AI137" s="373">
        <f>SUM('IV-2 amsa'!V52)</f>
        <v>43343</v>
      </c>
      <c r="AJ137" s="375">
        <f t="shared" si="235"/>
        <v>2018</v>
      </c>
      <c r="AK137" s="1310">
        <f>SUM('IV-2 amsa'!W52)</f>
        <v>44380</v>
      </c>
      <c r="AL137" s="306">
        <f>IF(YEAR(AI137)=2016,AA137,0)</f>
        <v>0</v>
      </c>
      <c r="AM137" s="306">
        <f>IF(YEAR(AI137)=2017,AA137,0)</f>
        <v>0</v>
      </c>
      <c r="AN137" s="306">
        <f>IF(YEAR(AI137)=2018,AA137,0)</f>
        <v>169146.6</v>
      </c>
      <c r="AO137" s="306">
        <f>IF(YEAR(AI137)=2019,AA137,0)</f>
        <v>0</v>
      </c>
      <c r="AP137" s="830">
        <f>IF(YEAR(AI137)=2020,AA137,0)</f>
        <v>0</v>
      </c>
      <c r="AQ137" s="55"/>
      <c r="AR137" s="55"/>
      <c r="AS137" s="55"/>
    </row>
    <row r="138" spans="1:48" ht="52.5" thickTop="1" thickBot="1" x14ac:dyDescent="0.3">
      <c r="A138" s="342" t="s">
        <v>208</v>
      </c>
      <c r="B138" s="342" t="s">
        <v>1354</v>
      </c>
      <c r="C138" s="1012" t="str">
        <f>CONCATENATE('ketv. 2'!B137)</f>
        <v>08.4.2-ESFA-R-630-11-0005</v>
      </c>
      <c r="D138" s="342" t="str">
        <f>CONCATENATE('IV-2 vrsa'!D59)</f>
        <v>Sveikos gyvensenos skatinimas Varėnos rajono savivaldybėje</v>
      </c>
      <c r="E138" s="342" t="str">
        <f>CONCATENATE('IV-2 vrsa'!E59)</f>
        <v>Varėnos rajono savivaldybės visuomenės sveikatos biuras</v>
      </c>
      <c r="F138" s="342" t="str">
        <f>CONCATENATE('IV-2 vrsa'!F59)</f>
        <v>Lietuvos Respublikos Sveikatos apsaugos ministerija</v>
      </c>
      <c r="G138" s="342" t="str">
        <f>CONCATENATE('IV-2 vrsa'!G59)</f>
        <v>Varėnos r. sav.</v>
      </c>
      <c r="H138" s="345" t="str">
        <f>CONCATENATE('IV-2 vrsa'!H59)</f>
        <v>08.4.2-ESFA-R-630</v>
      </c>
      <c r="I138" s="345" t="str">
        <f>CONCATENATE('IV-2 vrsa'!I59)</f>
        <v>R</v>
      </c>
      <c r="J138" s="345" t="str">
        <f>CONCATENATE('IV-2 vrsa'!J59)</f>
        <v>-</v>
      </c>
      <c r="K138" s="345" t="str">
        <f>CONCATENATE('IV-2 vrsa'!K59)</f>
        <v>-</v>
      </c>
      <c r="L138" s="1217">
        <f>SUM('IV-2 vrsa'!L59)</f>
        <v>198997</v>
      </c>
      <c r="M138" s="1217">
        <f ca="1">SUM('ketv. 6 '!L137)</f>
        <v>198997</v>
      </c>
      <c r="N138" s="1217">
        <f t="shared" ca="1" si="230"/>
        <v>0</v>
      </c>
      <c r="O138" s="1217">
        <f>SUM('IV-2 vrsa'!M59)</f>
        <v>14925</v>
      </c>
      <c r="P138" s="1217">
        <f ca="1">SUM('ketv. 6 '!P137)</f>
        <v>14925</v>
      </c>
      <c r="Q138" s="1217">
        <f t="shared" ca="1" si="231"/>
        <v>0</v>
      </c>
      <c r="R138" s="1217">
        <f>SUM('IV-2 vrsa'!N59)</f>
        <v>14924.55</v>
      </c>
      <c r="S138" s="1217">
        <f ca="1">SUM('ketv. 6 '!T137)</f>
        <v>14924.55</v>
      </c>
      <c r="T138" s="1217">
        <f t="shared" ca="1" si="232"/>
        <v>0</v>
      </c>
      <c r="U138" s="1217">
        <f>SUM('IV-2 vrsa'!O59)</f>
        <v>0</v>
      </c>
      <c r="V138" s="1217">
        <f ca="1">SUM('ketv. 6 '!X137)</f>
        <v>0</v>
      </c>
      <c r="W138" s="1217">
        <f t="shared" ca="1" si="233"/>
        <v>0</v>
      </c>
      <c r="X138" s="1217">
        <f>SUM('IV-2 vrsa'!P59)</f>
        <v>0</v>
      </c>
      <c r="Y138" s="1217">
        <f ca="1">SUM('ketv. 6 '!AB137)</f>
        <v>0</v>
      </c>
      <c r="Z138" s="1217">
        <f t="shared" ca="1" si="234"/>
        <v>0</v>
      </c>
      <c r="AA138" s="1217">
        <f>SUM('IV-2 vrsa'!Q59)</f>
        <v>169147.45</v>
      </c>
      <c r="AB138" s="1217">
        <f>SUM('IV-2 vrsa'!R118)</f>
        <v>0</v>
      </c>
      <c r="AC138" s="306" t="str">
        <f>IF('ketv. 4 '!X138&gt;0,"Taip","Ne")</f>
        <v>Taip</v>
      </c>
      <c r="AD138" s="306">
        <f ca="1">SUM('ketv. 6 '!AF137)</f>
        <v>169147.45</v>
      </c>
      <c r="AE138" s="306">
        <f ca="1">IF(AD138&gt;0,AA138-AD138,0)</f>
        <v>0</v>
      </c>
      <c r="AF138" s="721">
        <v>43108</v>
      </c>
      <c r="AG138" s="373">
        <f>SUM('IV-2 vrsa'!T59)</f>
        <v>43160</v>
      </c>
      <c r="AH138" s="373">
        <f>SUM('IV-2 vrsa'!U59)</f>
        <v>43250</v>
      </c>
      <c r="AI138" s="373">
        <f>SUM('IV-2 vrsa'!V59)</f>
        <v>43342</v>
      </c>
      <c r="AJ138" s="375">
        <f t="shared" si="235"/>
        <v>2018</v>
      </c>
      <c r="AK138" s="829">
        <f>SUM('IV-2 vrsa'!W59)</f>
        <v>44561</v>
      </c>
      <c r="AL138" s="306">
        <f>IF(YEAR(AI138)=2016,AA138,0)</f>
        <v>0</v>
      </c>
      <c r="AM138" s="306">
        <f>IF(YEAR(AI138)=2017,AA138,0)</f>
        <v>0</v>
      </c>
      <c r="AN138" s="306">
        <f>IF(YEAR(AI138)=2018,AA138,0)</f>
        <v>169147.45</v>
      </c>
      <c r="AO138" s="306">
        <f>IF(YEAR(AI138)=2019,AA138,0)</f>
        <v>0</v>
      </c>
      <c r="AP138" s="830">
        <f>IF(YEAR(AI138)=2020,AA138,0)</f>
        <v>0</v>
      </c>
      <c r="AQ138" s="377"/>
      <c r="AR138" s="55"/>
      <c r="AS138" s="55"/>
    </row>
    <row r="139" spans="1:48" ht="52.5" thickTop="1" thickBot="1" x14ac:dyDescent="0.3">
      <c r="A139" s="342" t="s">
        <v>290</v>
      </c>
      <c r="B139" s="342" t="s">
        <v>1355</v>
      </c>
      <c r="C139" s="1012" t="str">
        <f>CONCATENATE('ketv. 2'!B138)</f>
        <v>08.4.2-ESFA-R-630-11-0003</v>
      </c>
      <c r="D139" s="342" t="str">
        <f>CONCATENATE('IV-2 dsa'!C59)</f>
        <v>Sveika bendruomenė – stipri visuomenė</v>
      </c>
      <c r="E139" s="342" t="str">
        <f>CONCATENATE('IV-2 dsa'!D59)</f>
        <v>Druskininkų savivaldybės visuomenės sveikatos biuras</v>
      </c>
      <c r="F139" s="342" t="str">
        <f>CONCATENATE('IV-2 dsa'!E59)</f>
        <v>Lietuvos Respublikos Sveikatos apsaugos ministerija</v>
      </c>
      <c r="G139" s="342" t="str">
        <f>CONCATENATE('IV-2 dsa'!F59)</f>
        <v>Druskininkų sav.</v>
      </c>
      <c r="H139" s="345" t="str">
        <f>CONCATENATE('IV-2 dsa'!G59)</f>
        <v>08.4.2-ESFA-R-630</v>
      </c>
      <c r="I139" s="345" t="str">
        <f>CONCATENATE('IV-2 dsa'!H59)</f>
        <v>R</v>
      </c>
      <c r="J139" s="345" t="str">
        <f>CONCATENATE('IV-2 dsa'!I59)</f>
        <v>-</v>
      </c>
      <c r="K139" s="345" t="str">
        <f>CONCATENATE('IV-2 dsa'!J59)</f>
        <v>-</v>
      </c>
      <c r="L139" s="1269">
        <f>SUM('IV-2 dsa'!K59)</f>
        <v>198997.18</v>
      </c>
      <c r="M139" s="1217"/>
      <c r="N139" s="1217"/>
      <c r="O139" s="1269">
        <f>SUM('IV-2 dsa'!L59)</f>
        <v>14924.79</v>
      </c>
      <c r="P139" s="1217"/>
      <c r="Q139" s="1217"/>
      <c r="R139" s="1269">
        <f>SUM('IV-2 dsa'!M59)</f>
        <v>14924.79</v>
      </c>
      <c r="S139" s="1217"/>
      <c r="T139" s="1217"/>
      <c r="U139" s="1269">
        <f>SUM('IV-2 dsa'!N59)</f>
        <v>0</v>
      </c>
      <c r="V139" s="1217"/>
      <c r="W139" s="1217"/>
      <c r="X139" s="1269">
        <f>SUM('IV-2 dsa'!O59)</f>
        <v>0</v>
      </c>
      <c r="Y139" s="1217"/>
      <c r="Z139" s="1217"/>
      <c r="AA139" s="1217">
        <f>SUM('IV-2 dsa'!P59)</f>
        <v>169147.6</v>
      </c>
      <c r="AB139" s="1217">
        <f>SUM('IV-2 vrsa'!R119)</f>
        <v>0</v>
      </c>
      <c r="AC139" s="306" t="str">
        <f>IF('ketv. 4 '!X139&gt;0,"Taip","Ne")</f>
        <v>Taip</v>
      </c>
      <c r="AD139" s="306"/>
      <c r="AE139" s="306"/>
      <c r="AF139" s="721">
        <v>43108</v>
      </c>
      <c r="AG139" s="373">
        <f>SUM('IV-2 dsa'!S59)</f>
        <v>43189</v>
      </c>
      <c r="AH139" s="373">
        <f>SUM('IV-2 dsa'!T59)</f>
        <v>43220</v>
      </c>
      <c r="AI139" s="373">
        <f>SUM('IV-2 dsa'!U59)</f>
        <v>43311</v>
      </c>
      <c r="AJ139" s="375">
        <v>2018</v>
      </c>
      <c r="AK139" s="829">
        <f>SUM('IV-2 dsa'!V59)</f>
        <v>44561</v>
      </c>
      <c r="AL139" s="306">
        <f>IF(YEAR(AI139)=2016,AA139,0)</f>
        <v>0</v>
      </c>
      <c r="AM139" s="306">
        <f>IF(YEAR(AI139)=2017,AA139,0)</f>
        <v>0</v>
      </c>
      <c r="AN139" s="306">
        <f>IF(YEAR(AI139)=2018,AA139,0)</f>
        <v>169147.6</v>
      </c>
      <c r="AO139" s="306">
        <f>IF(YEAR(AI139)=2019,AA139,0)</f>
        <v>0</v>
      </c>
      <c r="AP139" s="830">
        <f>IF(YEAR(AI139)=2020,AA139,0)</f>
        <v>0</v>
      </c>
      <c r="AQ139" s="377"/>
      <c r="AR139" s="55"/>
      <c r="AS139" s="55"/>
    </row>
    <row r="140" spans="1:48" ht="52.5" thickTop="1" thickBot="1" x14ac:dyDescent="0.3">
      <c r="A140" s="342" t="s">
        <v>291</v>
      </c>
      <c r="B140" s="342" t="s">
        <v>1356</v>
      </c>
      <c r="C140" s="1013" t="str">
        <f>CONCATENATE('ketv. 2'!B139)</f>
        <v>08.4.2-ESFA-R-630-11-0002</v>
      </c>
      <c r="D140" s="342" t="str">
        <f>CONCATENATE('IV-2 lrsa'!D53)</f>
        <v>Sveikos gyvensenos skatinimas Lazdijų rajono savivaldybėje</v>
      </c>
      <c r="E140" s="342" t="str">
        <f>CONCATENATE('IV-2 lrsa'!E53)</f>
        <v>Lazdijų rajono savivaldybės visuomenės sveikatos biuras</v>
      </c>
      <c r="F140" s="342" t="str">
        <f>CONCATENATE('IV-2 lrsa'!F53)</f>
        <v>Lietuvos Respublikos Sveikatos apsaugos ministerija</v>
      </c>
      <c r="G140" s="342" t="str">
        <f>CONCATENATE('IV-2 lrsa'!G53)</f>
        <v>Lazdijų r. sav.</v>
      </c>
      <c r="H140" s="345" t="str">
        <f>CONCATENATE('IV-2 lrsa'!H53)</f>
        <v>08.4.2-ESFA-R-630</v>
      </c>
      <c r="I140" s="345" t="str">
        <f>CONCATENATE('IV-2 lrsa'!I53)</f>
        <v>R</v>
      </c>
      <c r="J140" s="345" t="str">
        <f>CONCATENATE('IV-2 lrsa'!J53)</f>
        <v>-</v>
      </c>
      <c r="K140" s="345" t="str">
        <f>CONCATENATE('IV-2 lrsa'!K53)</f>
        <v>-</v>
      </c>
      <c r="L140" s="1217">
        <f>SUM('IV-2 lrsa'!L53)</f>
        <v>198997.18</v>
      </c>
      <c r="M140" s="1217">
        <f ca="1">SUM('ketv. 6 '!L139)</f>
        <v>198997.18</v>
      </c>
      <c r="N140" s="1217">
        <f t="shared" ref="N140" ca="1" si="236">IF(M140&gt;0,L140-M140,0)</f>
        <v>0</v>
      </c>
      <c r="O140" s="1217">
        <f>SUM('IV-2 lrsa'!M53)</f>
        <v>14924.79</v>
      </c>
      <c r="P140" s="1217">
        <f ca="1">SUM('ketv. 6 '!P139)</f>
        <v>14924.79</v>
      </c>
      <c r="Q140" s="1217">
        <f t="shared" ref="Q140" ca="1" si="237">IF(P140&gt;0,O140-P140,0)</f>
        <v>0</v>
      </c>
      <c r="R140" s="1217">
        <f>SUM('IV-2 lrsa'!N53)</f>
        <v>14924.79</v>
      </c>
      <c r="S140" s="1217">
        <f ca="1">SUM('ketv. 6 '!T139)</f>
        <v>14924.79</v>
      </c>
      <c r="T140" s="1217">
        <f t="shared" ref="T140" ca="1" si="238">IF(S140&gt;0,R140-S140,0)</f>
        <v>0</v>
      </c>
      <c r="U140" s="1217">
        <f>SUM('IV-2 lrsa'!O53)</f>
        <v>0</v>
      </c>
      <c r="V140" s="1217">
        <f ca="1">SUM('ketv. 6 '!X139)</f>
        <v>0</v>
      </c>
      <c r="W140" s="1217">
        <f t="shared" ref="W140" ca="1" si="239">IF(V140&gt;0,U140-V140,0)</f>
        <v>0</v>
      </c>
      <c r="X140" s="1217">
        <f>SUM('IV-2 lrsa'!P53)</f>
        <v>0</v>
      </c>
      <c r="Y140" s="1217">
        <f ca="1">SUM('ketv. 6 '!AB139)</f>
        <v>0</v>
      </c>
      <c r="Z140" s="1217">
        <f t="shared" ref="Z140" ca="1" si="240">IF(Y140&gt;0,X140-Y140,0)</f>
        <v>0</v>
      </c>
      <c r="AA140" s="1217">
        <f>SUM('IV-2 lrsa'!Q53)</f>
        <v>169147.6</v>
      </c>
      <c r="AB140" s="1217">
        <f>SUM('IV-2 vrsa'!R120)</f>
        <v>0</v>
      </c>
      <c r="AC140" s="306" t="str">
        <f>IF('ketv. 4 '!X140&gt;0,"Taip","Ne")</f>
        <v>Taip</v>
      </c>
      <c r="AD140" s="306">
        <f ca="1">SUM('ketv. 6 '!AF139)</f>
        <v>169147.6</v>
      </c>
      <c r="AE140" s="306">
        <f ca="1">IF(AD140&gt;0,AA140-AD140,0)</f>
        <v>0</v>
      </c>
      <c r="AF140" s="721">
        <v>43108</v>
      </c>
      <c r="AG140" s="373">
        <f>SUM('IV-2 lrsa'!T53)</f>
        <v>43189</v>
      </c>
      <c r="AH140" s="373">
        <f>SUM('IV-2 lrsa'!U53)</f>
        <v>43217</v>
      </c>
      <c r="AI140" s="373">
        <f>SUM('IV-2 lrsa'!V53)</f>
        <v>43278</v>
      </c>
      <c r="AJ140" s="375">
        <f t="shared" ref="AJ140" si="241">IF(YEAR(AI140),YEAR(AI140))</f>
        <v>2018</v>
      </c>
      <c r="AK140" s="829">
        <f>SUM('IV-2 lrsa'!W53)</f>
        <v>44561</v>
      </c>
      <c r="AL140" s="306">
        <f>IF(YEAR(AI140)=2016,AA140,0)</f>
        <v>0</v>
      </c>
      <c r="AM140" s="306">
        <f>IF(YEAR(AI140)=2017,AA140,0)</f>
        <v>0</v>
      </c>
      <c r="AN140" s="306">
        <f>IF(YEAR(AI140)=2018,AA140,0)</f>
        <v>169147.6</v>
      </c>
      <c r="AO140" s="306">
        <f>IF(YEAR(AI140)=2019,AA140,0)</f>
        <v>0</v>
      </c>
      <c r="AP140" s="830">
        <f>IF(YEAR(AI140)=2020,AA140,0)</f>
        <v>0</v>
      </c>
      <c r="AQ140" s="377"/>
      <c r="AR140" s="55"/>
      <c r="AS140" s="55"/>
    </row>
    <row r="141" spans="1:48" ht="26.25" customHeight="1" thickBot="1" x14ac:dyDescent="0.3">
      <c r="A141" s="843" t="s">
        <v>1202</v>
      </c>
      <c r="B141" s="1874" t="s">
        <v>1505</v>
      </c>
      <c r="C141" s="1844"/>
      <c r="D141" s="1844"/>
      <c r="E141" s="1844"/>
      <c r="F141" s="1844"/>
      <c r="G141" s="1844"/>
      <c r="H141" s="1844"/>
      <c r="I141" s="1844"/>
      <c r="J141" s="1844"/>
      <c r="K141" s="1845"/>
      <c r="L141" s="1213">
        <f>SUM(L142:L146)</f>
        <v>65213.18</v>
      </c>
      <c r="M141" s="1213"/>
      <c r="N141" s="1213"/>
      <c r="O141" s="1781">
        <f t="shared" ref="O141:AA141" si="242">SUM(O142:O146)</f>
        <v>3596.09</v>
      </c>
      <c r="P141" s="1213">
        <f t="shared" si="242"/>
        <v>0</v>
      </c>
      <c r="Q141" s="1213">
        <f t="shared" si="242"/>
        <v>0</v>
      </c>
      <c r="R141" s="1781">
        <f t="shared" si="242"/>
        <v>5556.4400000000005</v>
      </c>
      <c r="S141" s="1213">
        <f t="shared" si="242"/>
        <v>0</v>
      </c>
      <c r="T141" s="1213">
        <f t="shared" si="242"/>
        <v>0</v>
      </c>
      <c r="U141" s="1213">
        <f t="shared" si="242"/>
        <v>0</v>
      </c>
      <c r="V141" s="1213">
        <f t="shared" si="242"/>
        <v>0</v>
      </c>
      <c r="W141" s="1213">
        <f t="shared" si="242"/>
        <v>0</v>
      </c>
      <c r="X141" s="1781">
        <f t="shared" si="242"/>
        <v>1299.95</v>
      </c>
      <c r="Y141" s="1213">
        <f t="shared" si="242"/>
        <v>0</v>
      </c>
      <c r="Z141" s="1213">
        <f t="shared" si="242"/>
        <v>0</v>
      </c>
      <c r="AA141" s="1781">
        <f t="shared" si="242"/>
        <v>54760.7</v>
      </c>
      <c r="AB141" s="1213">
        <f>SUM('IV-2 vrsa'!R121)</f>
        <v>0</v>
      </c>
      <c r="AC141" s="835"/>
      <c r="AD141" s="835">
        <f ca="1">SUM(AD142:AD152)</f>
        <v>1647151.15</v>
      </c>
      <c r="AE141" s="835">
        <f ca="1">SUM(AE142:AE152)</f>
        <v>0</v>
      </c>
      <c r="AF141" s="835"/>
      <c r="AG141" s="836"/>
      <c r="AH141" s="836"/>
      <c r="AI141" s="836"/>
      <c r="AJ141" s="837"/>
      <c r="AK141" s="838"/>
      <c r="AL141" s="306">
        <f>SUM(AL142:AL146)</f>
        <v>0</v>
      </c>
      <c r="AM141" s="306">
        <f t="shared" ref="AM141:AP141" si="243">SUM(AM142:AM146)</f>
        <v>0</v>
      </c>
      <c r="AN141" s="306">
        <f t="shared" si="243"/>
        <v>54760.7</v>
      </c>
      <c r="AO141" s="306">
        <f t="shared" si="243"/>
        <v>0</v>
      </c>
      <c r="AP141" s="306">
        <f t="shared" si="243"/>
        <v>0</v>
      </c>
      <c r="AQ141" s="55">
        <v>55431</v>
      </c>
      <c r="AR141" s="55">
        <f>SUM(AQ141*120/100)</f>
        <v>66517.2</v>
      </c>
      <c r="AS141" s="55">
        <f>SUM(AQ141-AA141)</f>
        <v>670.30000000000291</v>
      </c>
    </row>
    <row r="142" spans="1:48" ht="52.5" thickTop="1" thickBot="1" x14ac:dyDescent="0.3">
      <c r="A142" s="342" t="s">
        <v>1203</v>
      </c>
      <c r="B142" s="342" t="s">
        <v>1357</v>
      </c>
      <c r="C142" s="970" t="str">
        <f>CONCATENATE('ketv. 2'!B141)</f>
        <v>08.4.2-ESFA-R-615-11-0004</v>
      </c>
      <c r="D142" s="342" t="str">
        <f>CONCATENATE('IV-2 arsa'!C56)</f>
        <v>Priemonių gerinančių ambulatorinių sveikatos priežiūros paslaugų prieinamumą tuberkulioze sergantiems asmenims, Alytaus rajone įgyvendinimas</v>
      </c>
      <c r="E142" s="342" t="str">
        <f>CONCATENATE('IV-2 arsa'!D56)</f>
        <v>VšĮ Alytaus rajono savivaldybės pirminės sveikatos priežiūros centras</v>
      </c>
      <c r="F142" s="342" t="str">
        <f>CONCATENATE('IV-2 arsa'!E56)</f>
        <v>Lietuvos Respublikos Sveikatos apsaugos ministerija</v>
      </c>
      <c r="G142" s="342" t="str">
        <f>CONCATENATE('IV-2 arsa'!F56)</f>
        <v>Alytaus r. sav.</v>
      </c>
      <c r="H142" s="345" t="str">
        <f>CONCATENATE('IV-2 arsa'!G56)</f>
        <v>08.4.2-ESFA-R-615</v>
      </c>
      <c r="I142" s="345" t="str">
        <f>CONCATENATE('IV-2 arsa'!H56)</f>
        <v>R</v>
      </c>
      <c r="J142" s="345" t="str">
        <f>CONCATENATE('IV-2 arsa'!I56)</f>
        <v>-</v>
      </c>
      <c r="K142" s="345" t="str">
        <f>CONCATENATE('IV-2 arsa'!J56)</f>
        <v>-</v>
      </c>
      <c r="L142" s="1212">
        <f>SUM('IV-2 arsa'!K56)</f>
        <v>10453</v>
      </c>
      <c r="M142" s="1212"/>
      <c r="N142" s="1212"/>
      <c r="O142" s="1212">
        <f>SUM('IV-2 arsa'!L56)</f>
        <v>0</v>
      </c>
      <c r="P142" s="1212"/>
      <c r="Q142" s="1212"/>
      <c r="R142" s="1784">
        <f>SUM('IV-2 arsa'!M56)</f>
        <v>1449.64</v>
      </c>
      <c r="S142" s="1212"/>
      <c r="T142" s="1212"/>
      <c r="U142" s="1212">
        <f>SUM('IV-2 arsa'!N56)</f>
        <v>0</v>
      </c>
      <c r="V142" s="1212"/>
      <c r="W142" s="1212"/>
      <c r="X142" s="1784">
        <f>SUM('IV-2 arsa'!O56)</f>
        <v>788.75</v>
      </c>
      <c r="Y142" s="1212"/>
      <c r="Z142" s="1212"/>
      <c r="AA142" s="1784">
        <f>SUM('IV-2 arsa'!P56)</f>
        <v>8214.61</v>
      </c>
      <c r="AB142" s="1212">
        <f>SUM('IV-2 vrsa'!R122)</f>
        <v>0</v>
      </c>
      <c r="AC142" s="306" t="str">
        <f>IF('ketv. 4 '!X142&gt;0,"Taip","Ne")</f>
        <v>Taip</v>
      </c>
      <c r="AD142" s="306"/>
      <c r="AE142" s="306"/>
      <c r="AF142" s="721">
        <v>43136</v>
      </c>
      <c r="AG142" s="373">
        <f>SUM('IV-2 arsa'!S56)</f>
        <v>43189</v>
      </c>
      <c r="AH142" s="373">
        <f>SUM('IV-2 arsa'!T56)</f>
        <v>43281</v>
      </c>
      <c r="AI142" s="373">
        <f>SUM('IV-2 arsa'!U56)</f>
        <v>43373</v>
      </c>
      <c r="AJ142" s="375">
        <v>2018</v>
      </c>
      <c r="AK142" s="1310">
        <f>SUM('IV-2 arsa'!V56)</f>
        <v>44686</v>
      </c>
      <c r="AL142" s="306">
        <f>IF(YEAR(AI142)=2016,AA142,0)</f>
        <v>0</v>
      </c>
      <c r="AM142" s="306">
        <f>IF(YEAR(AI142)=2017,AA142,0)</f>
        <v>0</v>
      </c>
      <c r="AN142" s="306">
        <f>IF(YEAR(AI142)=2018,AA142,0)</f>
        <v>8214.61</v>
      </c>
      <c r="AO142" s="306">
        <f>IF(YEAR(AI142)=2019,AA142,0)</f>
        <v>0</v>
      </c>
      <c r="AP142" s="830">
        <f>IF(YEAR(AI142)=2020,AA142,0)</f>
        <v>0</v>
      </c>
      <c r="AQ142" s="55"/>
      <c r="AR142" s="55"/>
      <c r="AS142" s="55"/>
    </row>
    <row r="143" spans="1:48" ht="39.75" thickTop="1" thickBot="1" x14ac:dyDescent="0.3">
      <c r="A143" s="342" t="s">
        <v>1204</v>
      </c>
      <c r="B143" s="342" t="s">
        <v>1358</v>
      </c>
      <c r="C143" s="970" t="str">
        <f>CONCATENATE('ketv. 2'!B142)</f>
        <v>08.4.2-ESFA-R-615-11-0005</v>
      </c>
      <c r="D143" s="342" t="str">
        <f>CONCATENATE('IV-2 amsa'!D59)</f>
        <v>Ambulatorinių sveikatos priežiūros paslaugų gerinimas tuberkulioze sergantiems asmenims</v>
      </c>
      <c r="E143" s="342" t="str">
        <f>CONCATENATE('IV-2 amsa'!E59)</f>
        <v>Alytaus miesto savivaldybės administracija</v>
      </c>
      <c r="F143" s="342" t="str">
        <f>CONCATENATE('IV-2 amsa'!F59)</f>
        <v>Lietuvos Respublikos Sveikatos apsaugos ministerija</v>
      </c>
      <c r="G143" s="342" t="str">
        <f>CONCATENATE('IV-2 amsa'!G59)</f>
        <v>Alytaus m. sav.</v>
      </c>
      <c r="H143" s="345" t="str">
        <f>CONCATENATE('IV-2 amsa'!H59)</f>
        <v>08.4.2-ESFA-R-615</v>
      </c>
      <c r="I143" s="345" t="str">
        <f>CONCATENATE('IV-2 amsa'!I59)</f>
        <v>R</v>
      </c>
      <c r="J143" s="345" t="str">
        <f>CONCATENATE('IV-2 amsa'!J59)</f>
        <v>-</v>
      </c>
      <c r="K143" s="345" t="str">
        <f>CONCATENATE('IV-2 amsa'!K59)</f>
        <v>-</v>
      </c>
      <c r="L143" s="1212">
        <f>SUM('IV-2 amsa'!L59)</f>
        <v>17041.18</v>
      </c>
      <c r="M143" s="1212"/>
      <c r="N143" s="1212"/>
      <c r="O143" s="1212">
        <f>SUM('IV-2 amsa'!M59)</f>
        <v>1278.0899999999999</v>
      </c>
      <c r="P143" s="1212"/>
      <c r="Q143" s="1212"/>
      <c r="R143" s="1784">
        <f>SUM('IV-2 amsa'!N59)</f>
        <v>1278</v>
      </c>
      <c r="S143" s="1212"/>
      <c r="T143" s="1212"/>
      <c r="U143" s="1212">
        <f>SUM('IV-2 amsa'!O59)</f>
        <v>0</v>
      </c>
      <c r="V143" s="1212"/>
      <c r="W143" s="1212"/>
      <c r="X143" s="1212">
        <f>SUM('IV-2 amsa'!P59)</f>
        <v>0</v>
      </c>
      <c r="Y143" s="1212"/>
      <c r="Z143" s="1212"/>
      <c r="AA143" s="1784">
        <f>SUM('IV-2 amsa'!Q59)</f>
        <v>14485.09</v>
      </c>
      <c r="AB143" s="1212">
        <f>SUM('IV-2 vrsa'!R123)</f>
        <v>0</v>
      </c>
      <c r="AC143" s="306" t="str">
        <f>IF('ketv. 4 '!X143&gt;0,"Taip","Ne")</f>
        <v>Taip</v>
      </c>
      <c r="AD143" s="306"/>
      <c r="AE143" s="306"/>
      <c r="AF143" s="721">
        <v>43136</v>
      </c>
      <c r="AG143" s="373">
        <f>SUM('IV-2 amsa'!T59)</f>
        <v>43189</v>
      </c>
      <c r="AH143" s="373">
        <f>SUM('IV-2 amsa'!U59)</f>
        <v>43281</v>
      </c>
      <c r="AI143" s="373">
        <f>SUM('IV-2 amsa'!V59)</f>
        <v>43373</v>
      </c>
      <c r="AJ143" s="375">
        <v>2018</v>
      </c>
      <c r="AK143" s="1310">
        <f>SUM('IV-2 amsa'!W59)</f>
        <v>44449</v>
      </c>
      <c r="AL143" s="306">
        <f>IF(YEAR(AI143)=2016,AA143,0)</f>
        <v>0</v>
      </c>
      <c r="AM143" s="306">
        <f>IF(YEAR(AI143)=2017,AA143,0)</f>
        <v>0</v>
      </c>
      <c r="AN143" s="306">
        <f>IF(YEAR(AI143)=2018,AA143,0)</f>
        <v>14485.09</v>
      </c>
      <c r="AO143" s="306">
        <f>IF(YEAR(AI143)=2019,AA143,0)</f>
        <v>0</v>
      </c>
      <c r="AP143" s="830">
        <f>IF(YEAR(AI143)=2020,AA143,0)</f>
        <v>0</v>
      </c>
      <c r="AQ143" s="55"/>
      <c r="AR143" s="55"/>
      <c r="AS143" s="55"/>
    </row>
    <row r="144" spans="1:48" ht="39.75" thickTop="1" thickBot="1" x14ac:dyDescent="0.3">
      <c r="A144" s="342" t="s">
        <v>1205</v>
      </c>
      <c r="B144" s="342" t="s">
        <v>1359</v>
      </c>
      <c r="C144" s="970" t="str">
        <f>CONCATENATE('ketv. 2'!B143)</f>
        <v>08.4.2-ESFA-R-615-11-0001</v>
      </c>
      <c r="D144" s="342" t="str">
        <f>CONCATENATE('IV-2 lrsa'!D55)</f>
        <v xml:space="preserve">Paslaugų tuberkulioze sergantiems asmenims gerinimas Lazdijų rajono savivaldybėje </v>
      </c>
      <c r="E144" s="342" t="str">
        <f>CONCATENATE('IV-2 lrsa'!E55)</f>
        <v>Lazdijų rajono savivaldybės administracija</v>
      </c>
      <c r="F144" s="342" t="str">
        <f>CONCATENATE('IV-2 lrsa'!F55)</f>
        <v>Lietuvos Respublikos Sveikatos apsaugos ministerija</v>
      </c>
      <c r="G144" s="342" t="str">
        <f>CONCATENATE('IV-2 lrsa'!G55)</f>
        <v>Lazdijų r. sav.</v>
      </c>
      <c r="H144" s="345" t="str">
        <f>CONCATENATE('IV-2 lrsa'!H55)</f>
        <v>08.4.2-ESFA-R-615</v>
      </c>
      <c r="I144" s="345" t="str">
        <f>CONCATENATE('IV-2 lrsa'!I55)</f>
        <v>R</v>
      </c>
      <c r="J144" s="345" t="str">
        <f>CONCATENATE('IV-2 lrsa'!J55)</f>
        <v>-</v>
      </c>
      <c r="K144" s="345" t="str">
        <f>CONCATENATE('IV-2 lrsa'!K55)</f>
        <v>-</v>
      </c>
      <c r="L144" s="1212">
        <f>SUM('IV-2 lrsa'!L55)</f>
        <v>15224</v>
      </c>
      <c r="M144" s="1212"/>
      <c r="N144" s="1212"/>
      <c r="O144" s="1212">
        <f>SUM('IV-2 lrsa'!M55)</f>
        <v>1142</v>
      </c>
      <c r="P144" s="1212"/>
      <c r="Q144" s="1212"/>
      <c r="R144" s="1212">
        <f>SUM('IV-2 lrsa'!N55)</f>
        <v>1141.5999999999999</v>
      </c>
      <c r="S144" s="1212"/>
      <c r="T144" s="1212"/>
      <c r="U144" s="1212">
        <f>SUM('IV-2 lrsa'!O55)</f>
        <v>0</v>
      </c>
      <c r="V144" s="1212"/>
      <c r="W144" s="1212"/>
      <c r="X144" s="1212">
        <f>SUM('IV-2 lrsa'!P55)</f>
        <v>0</v>
      </c>
      <c r="Y144" s="1212"/>
      <c r="Z144" s="1212"/>
      <c r="AA144" s="1212">
        <f>SUM('IV-2 lrsa'!Q55)</f>
        <v>12940.4</v>
      </c>
      <c r="AB144" s="1212">
        <f>SUM('IV-2 vrsa'!R124)</f>
        <v>0</v>
      </c>
      <c r="AC144" s="306" t="str">
        <f>IF('ketv. 4 '!X144&gt;0,"Taip","Ne")</f>
        <v>Taip</v>
      </c>
      <c r="AD144" s="306"/>
      <c r="AE144" s="306"/>
      <c r="AF144" s="721">
        <v>43136</v>
      </c>
      <c r="AG144" s="373">
        <f>SUM('IV-2 lrsa'!T55)</f>
        <v>43189</v>
      </c>
      <c r="AH144" s="373">
        <f>SUM('IV-2 lrsa'!U55)</f>
        <v>43189</v>
      </c>
      <c r="AI144" s="373">
        <f>SUM('IV-2 lrsa'!V55)</f>
        <v>43250</v>
      </c>
      <c r="AJ144" s="375">
        <v>2018</v>
      </c>
      <c r="AK144" s="829">
        <f>SUM('IV-2 lrsa'!W55)</f>
        <v>44561</v>
      </c>
      <c r="AL144" s="306">
        <f>IF(YEAR(AI144)=2016,AA144,0)</f>
        <v>0</v>
      </c>
      <c r="AM144" s="306">
        <f>IF(YEAR(AI144)=2017,AA144,0)</f>
        <v>0</v>
      </c>
      <c r="AN144" s="306">
        <f>IF(YEAR(AI144)=2018,AA144,0)</f>
        <v>12940.4</v>
      </c>
      <c r="AO144" s="306">
        <f>IF(YEAR(AI144)=2019,AA144,0)</f>
        <v>0</v>
      </c>
      <c r="AP144" s="830">
        <f>IF(YEAR(AI144)=2020,AA144,0)</f>
        <v>0</v>
      </c>
      <c r="AQ144" s="377"/>
      <c r="AR144" s="55"/>
      <c r="AS144" s="55"/>
    </row>
    <row r="145" spans="1:45" ht="52.5" thickTop="1" thickBot="1" x14ac:dyDescent="0.3">
      <c r="A145" s="342" t="s">
        <v>1362</v>
      </c>
      <c r="B145" s="342" t="s">
        <v>1360</v>
      </c>
      <c r="C145" s="970" t="str">
        <f>CONCATENATE('ketv. 2'!B144)</f>
        <v>08.4.2-ESFA-R-615-11-0002</v>
      </c>
      <c r="D145" s="342" t="str">
        <f>CONCATENATE('IV-2 dsa'!C61)</f>
        <v>Ambulatorinių sveikatos priežiūros paslaugų tuberkulioze sergantiems asmenims prieinamumo gerinimas Druskininkų savivaldybėje</v>
      </c>
      <c r="E145" s="342" t="str">
        <f>CONCATENATE('IV-2 dsa'!D61)</f>
        <v>Druskininkų pirminės sveikatos priežiūros centras</v>
      </c>
      <c r="F145" s="342" t="str">
        <f>CONCATENATE('IV-2 dsa'!E61)</f>
        <v>Lietuvos Respublikos Sveikatos apsaugos ministerija</v>
      </c>
      <c r="G145" s="342" t="str">
        <f>CONCATENATE('IV-2 dsa'!F61)</f>
        <v>Druskininkų sav.</v>
      </c>
      <c r="H145" s="345" t="str">
        <f>CONCATENATE('IV-2 dsa'!G61)</f>
        <v>08.4.2-ESFA-R-615</v>
      </c>
      <c r="I145" s="345" t="str">
        <f>CONCATENATE('IV-2 dsa'!H61)</f>
        <v>R</v>
      </c>
      <c r="J145" s="345" t="str">
        <f>CONCATENATE('IV-2 dsa'!I61)</f>
        <v>-</v>
      </c>
      <c r="K145" s="345" t="str">
        <f>CONCATENATE('IV-2 dsa'!J61)</f>
        <v>-</v>
      </c>
      <c r="L145" s="1240">
        <f>SUM('IV-2 dsa'!K61)</f>
        <v>6816</v>
      </c>
      <c r="M145" s="1212"/>
      <c r="N145" s="1212"/>
      <c r="O145" s="1774">
        <f>SUM('IV-2 dsa'!L61)</f>
        <v>0</v>
      </c>
      <c r="P145" s="1212"/>
      <c r="Q145" s="1212"/>
      <c r="R145" s="1240">
        <f>SUM('IV-2 dsa'!M61)</f>
        <v>511.2</v>
      </c>
      <c r="S145" s="1212"/>
      <c r="T145" s="1212"/>
      <c r="U145" s="1240">
        <f>SUM('IV-2 dsa'!N61)</f>
        <v>0</v>
      </c>
      <c r="V145" s="1212"/>
      <c r="W145" s="1212"/>
      <c r="X145" s="1774">
        <f>SUM('IV-2 dsa'!O61)</f>
        <v>511.2</v>
      </c>
      <c r="Y145" s="1212"/>
      <c r="Z145" s="1212"/>
      <c r="AA145" s="1212">
        <f>SUM('IV-2 dsa'!P61)</f>
        <v>5793.6</v>
      </c>
      <c r="AB145" s="1212">
        <f>SUM('IV-2 vrsa'!R125)</f>
        <v>0</v>
      </c>
      <c r="AC145" s="306" t="str">
        <f>IF('ketv. 4 '!X145&gt;0,"Taip","Ne")</f>
        <v>Taip</v>
      </c>
      <c r="AD145" s="306"/>
      <c r="AE145" s="306"/>
      <c r="AF145" s="721">
        <v>43136</v>
      </c>
      <c r="AG145" s="373">
        <f>SUM('IV-2 dsa'!S61)</f>
        <v>43159</v>
      </c>
      <c r="AH145" s="373">
        <f>SUM('IV-2 dsa'!T61)</f>
        <v>43255</v>
      </c>
      <c r="AI145" s="373">
        <f>SUM('IV-2 dsa'!U61)</f>
        <v>43344</v>
      </c>
      <c r="AJ145" s="375">
        <v>2018</v>
      </c>
      <c r="AK145" s="829">
        <f>SUM('IV-2 dsa'!V61)</f>
        <v>44440</v>
      </c>
      <c r="AL145" s="306">
        <f>IF(YEAR(AI145)=2016,AA145,0)</f>
        <v>0</v>
      </c>
      <c r="AM145" s="306">
        <f>IF(YEAR(AI145)=2017,AA145,0)</f>
        <v>0</v>
      </c>
      <c r="AN145" s="306">
        <f>IF(YEAR(AI145)=2018,AA145,0)</f>
        <v>5793.6</v>
      </c>
      <c r="AO145" s="306">
        <f>IF(YEAR(AI145)=2019,AA145,0)</f>
        <v>0</v>
      </c>
      <c r="AP145" s="830">
        <f>IF(YEAR(AI145)=2020,AA145,0)</f>
        <v>0</v>
      </c>
      <c r="AQ145" s="377"/>
      <c r="AR145" s="55"/>
      <c r="AS145" s="55"/>
    </row>
    <row r="146" spans="1:45" ht="52.5" thickTop="1" thickBot="1" x14ac:dyDescent="0.3">
      <c r="A146" s="342" t="s">
        <v>1206</v>
      </c>
      <c r="B146" s="977" t="s">
        <v>1361</v>
      </c>
      <c r="C146" s="970" t="str">
        <f>CONCATENATE('ketv. 2'!B145)</f>
        <v>08.4.2-ESFA-R-615-11-0003</v>
      </c>
      <c r="D146" s="977" t="str">
        <f>CONCATENATE('IV-2 vrsa'!D62)</f>
        <v>Ambulatorinių sveikatos priežiūros paslaugų prieinamumo gerinimas tuberkulioze sergantiems asmenims Varėnos rajono savivaldybėje</v>
      </c>
      <c r="E146" s="977" t="str">
        <f>CONCATENATE('IV-2 vrsa'!E62)</f>
        <v>Varėnos rajono savivaldybės administracija</v>
      </c>
      <c r="F146" s="977" t="str">
        <f>CONCATENATE('IV-2 vrsa'!F62)</f>
        <v>Lietuvos Respublikos Sveikatos apsaugos ministerija</v>
      </c>
      <c r="G146" s="977" t="str">
        <f>CONCATENATE('IV-2 vrsa'!G62)</f>
        <v>Varėnos r. sav.</v>
      </c>
      <c r="H146" s="978" t="str">
        <f>CONCATENATE('IV-2 vrsa'!H62)</f>
        <v>08.4.2-ESFA-R-615</v>
      </c>
      <c r="I146" s="978" t="str">
        <f>CONCATENATE('IV-2 vrsa'!I62)</f>
        <v>R</v>
      </c>
      <c r="J146" s="978" t="str">
        <f>CONCATENATE('IV-2 vrsa'!J62)</f>
        <v>-</v>
      </c>
      <c r="K146" s="978" t="str">
        <f>CONCATENATE('IV-2 vrsa'!K62)</f>
        <v>-</v>
      </c>
      <c r="L146" s="1212">
        <f>SUM('IV-2 vrsa'!L62)</f>
        <v>15679</v>
      </c>
      <c r="M146" s="1212"/>
      <c r="N146" s="1212"/>
      <c r="O146" s="1212">
        <f>SUM('IV-2 vrsa'!M62)</f>
        <v>1176</v>
      </c>
      <c r="P146" s="1212"/>
      <c r="Q146" s="1212"/>
      <c r="R146" s="1212">
        <f>SUM('IV-2 vrsa'!N62)</f>
        <v>1176</v>
      </c>
      <c r="S146" s="1212"/>
      <c r="T146" s="1212"/>
      <c r="U146" s="1212">
        <f>SUM('IV-2 vrsa'!O62)</f>
        <v>0</v>
      </c>
      <c r="V146" s="1212"/>
      <c r="W146" s="1212"/>
      <c r="X146" s="1212">
        <f>SUM('IV-2 vrsa'!P62)</f>
        <v>0</v>
      </c>
      <c r="Y146" s="1212"/>
      <c r="Z146" s="1212"/>
      <c r="AA146" s="1212">
        <f>SUM('IV-2 vrsa'!Q62)</f>
        <v>13327</v>
      </c>
      <c r="AB146" s="1212">
        <f>SUM('IV-2 vrsa'!R126)</f>
        <v>0</v>
      </c>
      <c r="AC146" s="306" t="str">
        <f>IF('ketv. 4 '!X146&gt;0,"Taip","Ne")</f>
        <v>Taip</v>
      </c>
      <c r="AD146" s="306"/>
      <c r="AE146" s="306"/>
      <c r="AF146" s="721">
        <v>43136</v>
      </c>
      <c r="AG146" s="373">
        <f>SUM('IV-2 vrsa'!T62)</f>
        <v>43160</v>
      </c>
      <c r="AH146" s="373">
        <f>SUM('IV-2 vrsa'!U62)</f>
        <v>43281</v>
      </c>
      <c r="AI146" s="373">
        <f>SUM('IV-2 vrsa'!V62)</f>
        <v>43373</v>
      </c>
      <c r="AJ146" s="375">
        <v>2018</v>
      </c>
      <c r="AK146" s="829">
        <f>SUM('IV-2 vrsa'!W62)</f>
        <v>44561</v>
      </c>
      <c r="AL146" s="306">
        <f>IF(YEAR(AI146)=2016,AA146,0)</f>
        <v>0</v>
      </c>
      <c r="AM146" s="306">
        <f>IF(YEAR(AI146)=2017,AA146,0)</f>
        <v>0</v>
      </c>
      <c r="AN146" s="306">
        <f>IF(YEAR(AI146)=2018,AA146,0)</f>
        <v>13327</v>
      </c>
      <c r="AO146" s="306">
        <f>IF(YEAR(AI146)=2019,AA146,0)</f>
        <v>0</v>
      </c>
      <c r="AP146" s="830">
        <f>IF(YEAR(AI146)=2020,AA146,0)</f>
        <v>0</v>
      </c>
      <c r="AQ146" s="377"/>
      <c r="AR146" s="55"/>
      <c r="AS146" s="55"/>
    </row>
    <row r="147" spans="1:45" ht="36" customHeight="1" thickBot="1" x14ac:dyDescent="0.3">
      <c r="A147" s="976" t="s">
        <v>35</v>
      </c>
      <c r="B147" s="1846" t="s">
        <v>1506</v>
      </c>
      <c r="C147" s="1847"/>
      <c r="D147" s="1847"/>
      <c r="E147" s="1847"/>
      <c r="F147" s="1847"/>
      <c r="G147" s="1847"/>
      <c r="H147" s="1847"/>
      <c r="I147" s="1847"/>
      <c r="J147" s="1847"/>
      <c r="K147" s="1848"/>
      <c r="L147" s="1308">
        <f t="shared" ref="L147:AA147" si="244">SUM(L148+L154)</f>
        <v>4201522.92</v>
      </c>
      <c r="M147" s="1308"/>
      <c r="N147" s="1308"/>
      <c r="O147" s="1308">
        <f t="shared" si="244"/>
        <v>772839.92999999993</v>
      </c>
      <c r="P147" s="1227"/>
      <c r="Q147" s="1227"/>
      <c r="R147" s="1308">
        <f t="shared" si="244"/>
        <v>21947.85</v>
      </c>
      <c r="S147" s="1227"/>
      <c r="T147" s="1227"/>
      <c r="U147" s="1227">
        <f t="shared" si="244"/>
        <v>0</v>
      </c>
      <c r="V147" s="1227"/>
      <c r="W147" s="1227"/>
      <c r="X147" s="1227">
        <f t="shared" si="244"/>
        <v>0</v>
      </c>
      <c r="Y147" s="1227"/>
      <c r="Z147" s="1227"/>
      <c r="AA147" s="1308">
        <f t="shared" si="244"/>
        <v>3406735.14</v>
      </c>
      <c r="AB147" s="1227">
        <f>SUM('IV-2 vrsa'!R127)</f>
        <v>0</v>
      </c>
      <c r="AC147" s="139"/>
      <c r="AD147" s="139"/>
      <c r="AE147" s="139"/>
      <c r="AF147" s="139"/>
      <c r="AG147" s="847"/>
      <c r="AH147" s="847"/>
      <c r="AI147" s="847"/>
      <c r="AJ147" s="376"/>
      <c r="AK147" s="818"/>
      <c r="AL147" s="306"/>
      <c r="AM147" s="819"/>
      <c r="AN147" s="819"/>
      <c r="AO147" s="819"/>
      <c r="AP147" s="819"/>
      <c r="AQ147" s="55"/>
      <c r="AR147" s="55"/>
      <c r="AS147" s="55">
        <f>SUM(AS148+AS154)</f>
        <v>0.85026876709889621</v>
      </c>
    </row>
    <row r="148" spans="1:45" ht="26.25" customHeight="1" thickBot="1" x14ac:dyDescent="0.3">
      <c r="A148" s="843" t="s">
        <v>36</v>
      </c>
      <c r="B148" s="1875" t="s">
        <v>1507</v>
      </c>
      <c r="C148" s="1847"/>
      <c r="D148" s="1847"/>
      <c r="E148" s="1847"/>
      <c r="F148" s="1847"/>
      <c r="G148" s="1847"/>
      <c r="H148" s="1847"/>
      <c r="I148" s="1847"/>
      <c r="J148" s="1847"/>
      <c r="K148" s="1848"/>
      <c r="L148" s="1781">
        <f t="shared" ref="L148:AA148" si="245">SUM(L149:L153)</f>
        <v>1235321.8</v>
      </c>
      <c r="M148" s="1213">
        <f ca="1">SUM(M149:M153)</f>
        <v>1272489.55</v>
      </c>
      <c r="N148" s="1213">
        <f ca="1">SUM(N149:N153)</f>
        <v>-37167.75</v>
      </c>
      <c r="O148" s="1781">
        <f t="shared" si="245"/>
        <v>327612.79999999999</v>
      </c>
      <c r="P148" s="1213">
        <f ca="1">SUM(P149:P153)</f>
        <v>364780.55</v>
      </c>
      <c r="Q148" s="1213">
        <f ca="1">SUM(Q149:Q153)</f>
        <v>-37167.75</v>
      </c>
      <c r="R148" s="1781">
        <f t="shared" si="245"/>
        <v>21947.85</v>
      </c>
      <c r="S148" s="1213">
        <f ca="1">SUM(S149:S153)</f>
        <v>21947.85</v>
      </c>
      <c r="T148" s="1213">
        <f ca="1">SUM(T149:T153)</f>
        <v>0</v>
      </c>
      <c r="U148" s="1213">
        <f t="shared" si="245"/>
        <v>0</v>
      </c>
      <c r="V148" s="1213">
        <f ca="1">SUM(V149:V153)</f>
        <v>0</v>
      </c>
      <c r="W148" s="1213">
        <f ca="1">SUM(W149:W153)</f>
        <v>0</v>
      </c>
      <c r="X148" s="1213">
        <f t="shared" si="245"/>
        <v>0</v>
      </c>
      <c r="Y148" s="1213">
        <f ca="1">SUM(Y149:Y153)</f>
        <v>0</v>
      </c>
      <c r="Z148" s="1213">
        <f ca="1">SUM(Z149:Z153)</f>
        <v>0</v>
      </c>
      <c r="AA148" s="1781">
        <f t="shared" si="245"/>
        <v>885761.15</v>
      </c>
      <c r="AB148" s="1213">
        <f>SUM('IV-2 vrsa'!R128)</f>
        <v>0</v>
      </c>
      <c r="AC148" s="835"/>
      <c r="AD148" s="835">
        <f ca="1">SUM(AD149:AD153)</f>
        <v>885761.15</v>
      </c>
      <c r="AE148" s="835">
        <f ca="1">SUM(AE149:AE153)</f>
        <v>0</v>
      </c>
      <c r="AF148" s="835"/>
      <c r="AG148" s="836"/>
      <c r="AH148" s="836"/>
      <c r="AI148" s="836"/>
      <c r="AJ148" s="837"/>
      <c r="AK148" s="838"/>
      <c r="AL148" s="846">
        <f>SUM(AL149:AL153)</f>
        <v>0</v>
      </c>
      <c r="AM148" s="846">
        <f t="shared" ref="AM148:AP148" si="246">SUM(AM149:AM153)</f>
        <v>885761.15</v>
      </c>
      <c r="AN148" s="846">
        <f t="shared" si="246"/>
        <v>0</v>
      </c>
      <c r="AO148" s="846">
        <f t="shared" si="246"/>
        <v>0</v>
      </c>
      <c r="AP148" s="846">
        <f t="shared" si="246"/>
        <v>0</v>
      </c>
      <c r="AQ148" s="55">
        <f>SUM('IV-2 amsa'!X61+'IV-2 arsa'!W58+'IV-2 dsa'!W63+'IV-2 lrsa'!X57+'IV-2 vrsa'!X64)</f>
        <v>885761.99026876735</v>
      </c>
      <c r="AR148" s="55">
        <f>SUM(AQ148*120/100)</f>
        <v>1062914.3883225208</v>
      </c>
      <c r="AS148" s="55">
        <f>SUM(AQ148-AA148)</f>
        <v>0.84026876732241362</v>
      </c>
    </row>
    <row r="149" spans="1:45" ht="39" thickBot="1" x14ac:dyDescent="0.3">
      <c r="A149" s="860" t="s">
        <v>107</v>
      </c>
      <c r="B149" s="860" t="s">
        <v>1363</v>
      </c>
      <c r="C149" s="1011" t="str">
        <f>CONCATENATE('ketv. 2'!B148)</f>
        <v>08.1.1-CPVA-R-407-11-0002</v>
      </c>
      <c r="D149" s="860" t="str">
        <f>CONCATENATE('IV-2 vrsa'!D65)</f>
        <v>Socialinių paslaugų infrastruktūros plėtra Varėnos rajono savivaldybėje</v>
      </c>
      <c r="E149" s="860" t="str">
        <f>CONCATENATE('IV-2 vrsa'!E65)</f>
        <v>Varėnos rajono savivaldybės administracija</v>
      </c>
      <c r="F149" s="860" t="str">
        <f>CONCATENATE('IV-2 vrsa'!F65)</f>
        <v>Lietuvos Respublikos socialinės apsaugos ir darbo ministerija</v>
      </c>
      <c r="G149" s="860" t="str">
        <f>CONCATENATE('IV-2 vrsa'!G65)</f>
        <v>Varėnos r. sav.</v>
      </c>
      <c r="H149" s="861" t="str">
        <f>CONCATENATE('IV-2 vrsa'!H65)</f>
        <v>08.1.2-CPVA-R-407</v>
      </c>
      <c r="I149" s="861" t="str">
        <f>CONCATENATE('IV-2 vrsa'!I65)</f>
        <v>R</v>
      </c>
      <c r="J149" s="861" t="str">
        <f>CONCATENATE('IV-2 vrsa'!J65)</f>
        <v>-</v>
      </c>
      <c r="K149" s="861" t="str">
        <f>CONCATENATE('IV-2 vrsa'!K65)</f>
        <v>-</v>
      </c>
      <c r="L149" s="1217">
        <f>SUM('IV-2 vrsa'!L65)</f>
        <v>148480</v>
      </c>
      <c r="M149" s="1217">
        <f ca="1">SUM('ketv. 6 '!L148)</f>
        <v>148480</v>
      </c>
      <c r="N149" s="1217">
        <f t="shared" ref="N149:N153" ca="1" si="247">IF(M149&gt;0,L149-M149,0)</f>
        <v>0</v>
      </c>
      <c r="O149" s="1217">
        <f>SUM('IV-2 vrsa'!M65)</f>
        <v>22272</v>
      </c>
      <c r="P149" s="1217">
        <f ca="1">SUM('ketv. 6 '!P148)</f>
        <v>22272</v>
      </c>
      <c r="Q149" s="1217">
        <f ca="1">IF(P149&gt;0,O149-P149,0)</f>
        <v>0</v>
      </c>
      <c r="R149" s="1217">
        <f>SUM('IV-2 vrsa'!N65)</f>
        <v>0</v>
      </c>
      <c r="S149" s="1217">
        <f ca="1">SUM('ketv. 6 '!T148)</f>
        <v>0</v>
      </c>
      <c r="T149" s="1217">
        <f t="shared" ref="T149:T153" ca="1" si="248">IF(S149&gt;0,R149-S149,0)</f>
        <v>0</v>
      </c>
      <c r="U149" s="1217">
        <f>SUM('IV-2 vrsa'!O65)</f>
        <v>0</v>
      </c>
      <c r="V149" s="1217">
        <f ca="1">SUM('ketv. 6 '!X148)</f>
        <v>0</v>
      </c>
      <c r="W149" s="1217">
        <f t="shared" ref="W149:W153" ca="1" si="249">IF(V149&gt;0,U149-V149,0)</f>
        <v>0</v>
      </c>
      <c r="X149" s="1217">
        <f>SUM('IV-2 vrsa'!P65)</f>
        <v>0</v>
      </c>
      <c r="Y149" s="1212">
        <f ca="1">SUM('ketv. 6 '!AB148)</f>
        <v>0</v>
      </c>
      <c r="Z149" s="1212">
        <f t="shared" ref="Z149:Z153" ca="1" si="250">IF(Y149&gt;0,X149-Y149,0)</f>
        <v>0</v>
      </c>
      <c r="AA149" s="1212">
        <f>SUM('IV-2 vrsa'!Q65)</f>
        <v>126208</v>
      </c>
      <c r="AB149" s="1212">
        <f>SUM('IV-2 vrsa'!R129)</f>
        <v>0</v>
      </c>
      <c r="AC149" s="306" t="str">
        <f>IF('ketv. 4 '!X149&gt;0,"Taip","Ne")</f>
        <v>Taip</v>
      </c>
      <c r="AD149" s="306">
        <f ca="1">SUM('ketv. 6 '!AF148)</f>
        <v>126208</v>
      </c>
      <c r="AE149" s="306">
        <f ca="1">IF(AD149&gt;0,AA149-AD149,0)</f>
        <v>0</v>
      </c>
      <c r="AF149" s="721">
        <f>SUM('IV-2 vrsa'!S65)</f>
        <v>42618</v>
      </c>
      <c r="AG149" s="862">
        <f>SUM('IV-2 vrsa'!T65)</f>
        <v>42669</v>
      </c>
      <c r="AH149" s="862">
        <f>SUM('IV-2 vrsa'!U65)</f>
        <v>42719</v>
      </c>
      <c r="AI149" s="862">
        <f>SUM('IV-2 vrsa'!V65)</f>
        <v>42855</v>
      </c>
      <c r="AJ149" s="375">
        <f t="shared" ref="AJ149:AJ153" si="251">IF(YEAR(AI149),YEAR(AI149))</f>
        <v>2017</v>
      </c>
      <c r="AK149" s="863">
        <f>SUM('IV-2 vrsa'!W65)</f>
        <v>43465</v>
      </c>
      <c r="AL149" s="306">
        <f>IF(YEAR(AI149)=2016,AA149,0)</f>
        <v>0</v>
      </c>
      <c r="AM149" s="306">
        <f>IF(YEAR(AI149)=2017,AA149,0)</f>
        <v>126208</v>
      </c>
      <c r="AN149" s="306">
        <f>IF(YEAR(AI149)=2018,AA149,0)</f>
        <v>0</v>
      </c>
      <c r="AO149" s="306">
        <f>IF(YEAR(AI149)=2019,AA149,0)</f>
        <v>0</v>
      </c>
      <c r="AP149" s="830">
        <f>IF(YEAR(AI149)=2020,AA149,0)</f>
        <v>0</v>
      </c>
      <c r="AQ149" s="55"/>
      <c r="AR149" s="55"/>
      <c r="AS149" s="55"/>
    </row>
    <row r="150" spans="1:45" ht="39.75" thickTop="1" thickBot="1" x14ac:dyDescent="0.3">
      <c r="A150" s="342" t="s">
        <v>108</v>
      </c>
      <c r="B150" s="342" t="s">
        <v>1364</v>
      </c>
      <c r="C150" s="1012" t="str">
        <f>CONCATENATE('ketv. 2'!B149)</f>
        <v>08.1.1-CPVA-R-407-11-0004</v>
      </c>
      <c r="D150" s="342" t="str">
        <f>CONCATENATE('IV-2 arsa'!C59)</f>
        <v>Psichosocialinės pagalbos centro įkūrimas</v>
      </c>
      <c r="E150" s="342" t="str">
        <f>CONCATENATE('IV-2 arsa'!D59)</f>
        <v>Alytaus rajono savivaldybės administracija</v>
      </c>
      <c r="F150" s="342" t="str">
        <f>CONCATENATE('IV-2 arsa'!E59)</f>
        <v>Lietuvos Respublikos socialinės apsaugos ir darbo ministerija</v>
      </c>
      <c r="G150" s="342" t="str">
        <f>CONCATENATE('IV-2 arsa'!F59)</f>
        <v>Alytaus r. sav.</v>
      </c>
      <c r="H150" s="345" t="str">
        <f>CONCATENATE('IV-2 arsa'!G59)</f>
        <v>08.1.2-CPVA-R-407</v>
      </c>
      <c r="I150" s="345" t="str">
        <f>CONCATENATE('IV-2 arsa'!H59)</f>
        <v>R</v>
      </c>
      <c r="J150" s="345" t="str">
        <f>CONCATENATE('IV-2 arsa'!I59)</f>
        <v/>
      </c>
      <c r="K150" s="345" t="str">
        <f>CONCATENATE('IV-2 arsa'!J59)</f>
        <v>-</v>
      </c>
      <c r="L150" s="1217">
        <f>SUM('IV-2 arsa'!K59)</f>
        <v>188353</v>
      </c>
      <c r="M150" s="1217">
        <f ca="1">SUM('ketv. 6 '!L149)</f>
        <v>188353</v>
      </c>
      <c r="N150" s="1217">
        <f t="shared" ca="1" si="247"/>
        <v>0</v>
      </c>
      <c r="O150" s="1217">
        <f>SUM('IV-2 arsa'!L59)</f>
        <v>28253</v>
      </c>
      <c r="P150" s="1217">
        <f ca="1">SUM('ketv. 6 '!P149)</f>
        <v>28253</v>
      </c>
      <c r="Q150" s="1217">
        <f ca="1">IF(P150&gt;0,O150-P150,0)</f>
        <v>0</v>
      </c>
      <c r="R150" s="1217">
        <f>SUM('IV-2 arsa'!M59)</f>
        <v>0</v>
      </c>
      <c r="S150" s="1217">
        <f ca="1">SUM('ketv. 6 '!T149)</f>
        <v>0</v>
      </c>
      <c r="T150" s="1217">
        <f t="shared" ca="1" si="248"/>
        <v>0</v>
      </c>
      <c r="U150" s="1217">
        <f>SUM('IV-2 arsa'!N59)</f>
        <v>0</v>
      </c>
      <c r="V150" s="1217">
        <f ca="1">SUM('ketv. 6 '!X149)</f>
        <v>0</v>
      </c>
      <c r="W150" s="1217">
        <f t="shared" ca="1" si="249"/>
        <v>0</v>
      </c>
      <c r="X150" s="1217">
        <f>SUM('IV-2 arsa'!O59)</f>
        <v>0</v>
      </c>
      <c r="Y150" s="1212">
        <f ca="1">SUM('ketv. 6 '!AB149)</f>
        <v>0</v>
      </c>
      <c r="Z150" s="1212">
        <f t="shared" ca="1" si="250"/>
        <v>0</v>
      </c>
      <c r="AA150" s="1212">
        <f>SUM('IV-2 arsa'!P59)</f>
        <v>160100</v>
      </c>
      <c r="AB150" s="1212">
        <f>SUM('IV-2 vrsa'!R130)</f>
        <v>0</v>
      </c>
      <c r="AC150" s="306" t="str">
        <f>IF('ketv. 4 '!X150&gt;0,"Taip","Ne")</f>
        <v>Taip</v>
      </c>
      <c r="AD150" s="306">
        <f ca="1">SUM('ketv. 6 '!AF149)</f>
        <v>160100</v>
      </c>
      <c r="AE150" s="306">
        <f ca="1">IF(AD150&gt;0,AA150-AD150,0)</f>
        <v>0</v>
      </c>
      <c r="AF150" s="721">
        <f>SUM('IV-2 arsa'!R59)</f>
        <v>42618</v>
      </c>
      <c r="AG150" s="373">
        <f>SUM('IV-2 arsa'!S59)</f>
        <v>42669</v>
      </c>
      <c r="AH150" s="373">
        <f>SUM('IV-2 arsa'!T59)</f>
        <v>42738</v>
      </c>
      <c r="AI150" s="373">
        <f>SUM('IV-2 arsa'!U59)</f>
        <v>42888</v>
      </c>
      <c r="AJ150" s="375">
        <f t="shared" si="251"/>
        <v>2017</v>
      </c>
      <c r="AK150" s="829">
        <f>SUM('IV-2 arsa'!V59)</f>
        <v>43646</v>
      </c>
      <c r="AL150" s="306">
        <f>IF(YEAR(AI150)=2016,AA150,0)</f>
        <v>0</v>
      </c>
      <c r="AM150" s="306">
        <f>IF(YEAR(AI150)=2017,AA150,0)</f>
        <v>160100</v>
      </c>
      <c r="AN150" s="306">
        <f>IF(YEAR(AI150)=2018,AA150,0)</f>
        <v>0</v>
      </c>
      <c r="AO150" s="306">
        <f>IF(YEAR(AI150)=2019,AA150,0)</f>
        <v>0</v>
      </c>
      <c r="AP150" s="830">
        <f>IF(YEAR(AI150)=2020,AA150,0)</f>
        <v>0</v>
      </c>
      <c r="AQ150" s="377"/>
      <c r="AR150" s="55"/>
      <c r="AS150" s="55"/>
    </row>
    <row r="151" spans="1:45" ht="39.75" thickTop="1" thickBot="1" x14ac:dyDescent="0.3">
      <c r="A151" s="342" t="s">
        <v>219</v>
      </c>
      <c r="B151" s="342" t="s">
        <v>1365</v>
      </c>
      <c r="C151" s="1012" t="str">
        <f>CONCATENATE('ketv. 2'!B150)</f>
        <v>08.1.1-CPVA-R-407-11-0005</v>
      </c>
      <c r="D151" s="342" t="str">
        <f>CONCATENATE('IV-2 amsa'!D62)</f>
        <v>Socialinių paslaugų plėtra Alytaus mieste</v>
      </c>
      <c r="E151" s="342" t="str">
        <f>CONCATENATE('IV-2 amsa'!E62)</f>
        <v>Alytaus miesto savivaldybės administracija</v>
      </c>
      <c r="F151" s="342" t="str">
        <f>CONCATENATE('IV-2 amsa'!F62)</f>
        <v>Lietuvos Respublikos socialinės apsaugos ir darbo ministerija</v>
      </c>
      <c r="G151" s="342" t="str">
        <f>CONCATENATE('IV-2 amsa'!G62)</f>
        <v>Alytaus m. sav.</v>
      </c>
      <c r="H151" s="345" t="str">
        <f>CONCATENATE('IV-2 amsa'!H62)</f>
        <v>08.1.2-CPVA-R-407</v>
      </c>
      <c r="I151" s="345" t="str">
        <f>CONCATENATE('IV-2 amsa'!I62)</f>
        <v>R</v>
      </c>
      <c r="J151" s="345" t="str">
        <f>CONCATENATE('IV-2 amsa'!J62)</f>
        <v>-</v>
      </c>
      <c r="K151" s="345" t="str">
        <f>CONCATENATE('IV-2 amsa'!K62)</f>
        <v>-</v>
      </c>
      <c r="L151" s="1780">
        <f>SUM('IV-2 amsa'!L62)</f>
        <v>600732.80000000005</v>
      </c>
      <c r="M151" s="1780">
        <f ca="1">SUM('ketv. 6 '!L150)</f>
        <v>637900.55000000005</v>
      </c>
      <c r="N151" s="1780">
        <f t="shared" ca="1" si="247"/>
        <v>-37167.75</v>
      </c>
      <c r="O151" s="1780">
        <f>SUM('IV-2 amsa'!M62)</f>
        <v>254371.8</v>
      </c>
      <c r="P151" s="1217">
        <f ca="1">SUM('ketv. 6 '!P150)</f>
        <v>291539.55</v>
      </c>
      <c r="Q151" s="1217">
        <f ca="1">IF(P151&gt;0,O151-P151,0)</f>
        <v>-37167.75</v>
      </c>
      <c r="R151" s="1217">
        <f>SUM('IV-2 amsa'!N62)</f>
        <v>0</v>
      </c>
      <c r="S151" s="1217">
        <f ca="1">SUM('ketv. 6 '!T150)</f>
        <v>0</v>
      </c>
      <c r="T151" s="1217">
        <f t="shared" ca="1" si="248"/>
        <v>0</v>
      </c>
      <c r="U151" s="1217">
        <f>SUM('IV-2 amsa'!O62)</f>
        <v>0</v>
      </c>
      <c r="V151" s="1217">
        <f ca="1">SUM('ketv. 6 '!X150)</f>
        <v>0</v>
      </c>
      <c r="W151" s="1217">
        <f t="shared" ca="1" si="249"/>
        <v>0</v>
      </c>
      <c r="X151" s="1217">
        <f>SUM('IV-2 amsa'!P62)</f>
        <v>0</v>
      </c>
      <c r="Y151" s="1212">
        <f ca="1">SUM('ketv. 6 '!AB150)</f>
        <v>0</v>
      </c>
      <c r="Z151" s="1212">
        <f t="shared" ca="1" si="250"/>
        <v>0</v>
      </c>
      <c r="AA151" s="1212">
        <f>SUM('IV-2 amsa'!Q62)</f>
        <v>346361</v>
      </c>
      <c r="AB151" s="1212">
        <f>SUM('IV-2 vrsa'!R131)</f>
        <v>0</v>
      </c>
      <c r="AC151" s="306" t="str">
        <f>IF('ketv. 4 '!X151&gt;0,"Taip","Ne")</f>
        <v>Taip</v>
      </c>
      <c r="AD151" s="306">
        <f ca="1">SUM('ketv. 6 '!AF150)</f>
        <v>346361</v>
      </c>
      <c r="AE151" s="306">
        <f ca="1">IF(AD151&gt;0,AA151-AD151,0)</f>
        <v>0</v>
      </c>
      <c r="AF151" s="721">
        <f>SUM('IV-2 amsa'!S62)</f>
        <v>42653</v>
      </c>
      <c r="AG151" s="373">
        <f>SUM('IV-2 amsa'!T62)</f>
        <v>42754</v>
      </c>
      <c r="AH151" s="373">
        <f>SUM('IV-2 amsa'!U62)</f>
        <v>42766</v>
      </c>
      <c r="AI151" s="373">
        <f>SUM('IV-2 amsa'!V62)</f>
        <v>42936</v>
      </c>
      <c r="AJ151" s="375">
        <f t="shared" si="251"/>
        <v>2017</v>
      </c>
      <c r="AK151" s="829">
        <f>SUM('IV-2 amsa'!W62)</f>
        <v>43646</v>
      </c>
      <c r="AL151" s="306">
        <f>IF(YEAR(AI151)=2016,AA151,0)</f>
        <v>0</v>
      </c>
      <c r="AM151" s="306">
        <f>IF(YEAR(AI151)=2017,AA151,0)</f>
        <v>346361</v>
      </c>
      <c r="AN151" s="306">
        <f>IF(YEAR(AI151)=2018,AA151,0)</f>
        <v>0</v>
      </c>
      <c r="AO151" s="306">
        <f>IF(YEAR(AI151)=2019,AA151,0)</f>
        <v>0</v>
      </c>
      <c r="AP151" s="830">
        <f>IF(YEAR(AI151)=2020,AA151,0)</f>
        <v>0</v>
      </c>
      <c r="AQ151" s="377"/>
      <c r="AR151" s="55"/>
      <c r="AS151" s="55"/>
    </row>
    <row r="152" spans="1:45" ht="39.75" thickTop="1" thickBot="1" x14ac:dyDescent="0.3">
      <c r="A152" s="342" t="s">
        <v>237</v>
      </c>
      <c r="B152" s="342" t="s">
        <v>1366</v>
      </c>
      <c r="C152" s="1012" t="str">
        <f>CONCATENATE('ketv. 2'!B151)</f>
        <v>08.1.1-CPVA-R-407-11-0001</v>
      </c>
      <c r="D152" s="342" t="str">
        <f>CONCATENATE('IV-2 dsa'!C64)</f>
        <v>Socialinių paslaugų infrastruktūros plėtra Druskininkų savivaldybėje</v>
      </c>
      <c r="E152" s="342" t="str">
        <f>CONCATENATE('IV-2 dsa'!D64)</f>
        <v>Druskininkų savivaldybės administracija</v>
      </c>
      <c r="F152" s="342" t="str">
        <f>CONCATENATE('IV-2 dsa'!E64)</f>
        <v>Lietuvos Respublikos socialinės apsaugos ir darbo ministerija</v>
      </c>
      <c r="G152" s="342" t="str">
        <f>CONCATENATE('IV-2 dsa'!F64)</f>
        <v>Druskininkų sav.</v>
      </c>
      <c r="H152" s="345" t="str">
        <f>CONCATENATE('IV-2 dsa'!G64)</f>
        <v>08.1.2-CPVA-R-407</v>
      </c>
      <c r="I152" s="345" t="str">
        <f>CONCATENATE('IV-2 dsa'!H64)</f>
        <v>R</v>
      </c>
      <c r="J152" s="345" t="str">
        <f>CONCATENATE('IV-2 dsa'!I64)</f>
        <v>-</v>
      </c>
      <c r="K152" s="345" t="str">
        <f>CONCATENATE('IV-2 dsa'!J64)</f>
        <v>-</v>
      </c>
      <c r="L152" s="1217">
        <f>SUM('IV-2 dsa'!K64)</f>
        <v>151437</v>
      </c>
      <c r="M152" s="1217">
        <f ca="1">SUM('ketv. 6 '!L151)</f>
        <v>151437</v>
      </c>
      <c r="N152" s="1217">
        <f t="shared" ca="1" si="247"/>
        <v>0</v>
      </c>
      <c r="O152" s="1217">
        <f>SUM('IV-2 dsa'!L64)</f>
        <v>22716</v>
      </c>
      <c r="P152" s="1217">
        <f ca="1">SUM('ketv. 6 '!P151)</f>
        <v>22716</v>
      </c>
      <c r="Q152" s="1217">
        <f ca="1">IF(P152&gt;0,O152-P152,0)</f>
        <v>0</v>
      </c>
      <c r="R152" s="1217">
        <f>SUM('IV-2 dsa'!M64)</f>
        <v>0</v>
      </c>
      <c r="S152" s="1217">
        <f ca="1">SUM('ketv. 6 '!T151)</f>
        <v>0</v>
      </c>
      <c r="T152" s="1217">
        <f t="shared" ca="1" si="248"/>
        <v>0</v>
      </c>
      <c r="U152" s="1217">
        <f>SUM('IV-2 dsa'!N64)</f>
        <v>0</v>
      </c>
      <c r="V152" s="1217">
        <f ca="1">SUM('ketv. 6 '!X151)</f>
        <v>0</v>
      </c>
      <c r="W152" s="1217">
        <f t="shared" ca="1" si="249"/>
        <v>0</v>
      </c>
      <c r="X152" s="1217">
        <f>SUM('IV-2 dsa'!O64)</f>
        <v>0</v>
      </c>
      <c r="Y152" s="1212">
        <f ca="1">SUM('ketv. 6 '!AB151)</f>
        <v>0</v>
      </c>
      <c r="Z152" s="1212">
        <f t="shared" ca="1" si="250"/>
        <v>0</v>
      </c>
      <c r="AA152" s="1212">
        <f>SUM('IV-2 dsa'!P64)</f>
        <v>128721</v>
      </c>
      <c r="AB152" s="1212">
        <f>SUM('IV-2 vrsa'!R132)</f>
        <v>0</v>
      </c>
      <c r="AC152" s="306" t="str">
        <f>IF('ketv. 4 '!X152&gt;0,"Taip","Ne")</f>
        <v>Taip</v>
      </c>
      <c r="AD152" s="306">
        <f ca="1">SUM('ketv. 6 '!AF151)</f>
        <v>128721</v>
      </c>
      <c r="AE152" s="306">
        <f ca="1">IF(AD152&gt;0,AA152-AD152,0)</f>
        <v>0</v>
      </c>
      <c r="AF152" s="721">
        <f>SUM('IV-2 dsa'!R64)</f>
        <v>42618</v>
      </c>
      <c r="AG152" s="373">
        <f>SUM('IV-2 dsa'!S64)</f>
        <v>42669</v>
      </c>
      <c r="AH152" s="373">
        <f>SUM('IV-2 dsa'!T64)</f>
        <v>42735</v>
      </c>
      <c r="AI152" s="373">
        <f>SUM('IV-2 dsa'!U64)</f>
        <v>42855</v>
      </c>
      <c r="AJ152" s="375">
        <f t="shared" si="251"/>
        <v>2017</v>
      </c>
      <c r="AK152" s="863">
        <f>SUM('IV-2 dsa'!V64)</f>
        <v>43738</v>
      </c>
      <c r="AL152" s="306">
        <f>IF(YEAR(AI152)=2016,AA152,0)</f>
        <v>0</v>
      </c>
      <c r="AM152" s="306">
        <f>IF(YEAR(AI152)=2017,AA152,0)</f>
        <v>128721</v>
      </c>
      <c r="AN152" s="306">
        <f>IF(YEAR(AI152)=2018,AA152,0)</f>
        <v>0</v>
      </c>
      <c r="AO152" s="306">
        <f>IF(YEAR(AI152)=2019,AA152,0)</f>
        <v>0</v>
      </c>
      <c r="AP152" s="830">
        <f>IF(YEAR(AI152)=2020,AA152,0)</f>
        <v>0</v>
      </c>
      <c r="AQ152" s="377"/>
      <c r="AR152" s="55"/>
      <c r="AS152" s="55"/>
    </row>
    <row r="153" spans="1:45" ht="39.75" thickTop="1" thickBot="1" x14ac:dyDescent="0.3">
      <c r="A153" s="342" t="s">
        <v>243</v>
      </c>
      <c r="B153" s="342" t="s">
        <v>1367</v>
      </c>
      <c r="C153" s="1013" t="str">
        <f>CONCATENATE('ketv. 2'!B152)</f>
        <v>08.1.1-CPVA-R-407-11-0003</v>
      </c>
      <c r="D153" s="342" t="str">
        <f>CONCATENATE('IV-2 lrsa'!D58)</f>
        <v>Socialinių paslaugų infrastruktūros modernizavimas ir plėtra VšĮ Kapčiamiesčio globos namuose</v>
      </c>
      <c r="E153" s="342" t="str">
        <f>CONCATENATE('IV-2 lrsa'!E58)</f>
        <v>VšĮ Kapčiamiesčio globos namai</v>
      </c>
      <c r="F153" s="342" t="str">
        <f>CONCATENATE('IV-2 lrsa'!F58)</f>
        <v>Lietuvos Respublikos socialinės apsaugos ir darbo ministerija</v>
      </c>
      <c r="G153" s="342" t="str">
        <f>CONCATENATE('IV-2 lrsa'!G58)</f>
        <v>Lazdijų r. sav.</v>
      </c>
      <c r="H153" s="345" t="str">
        <f>CONCATENATE('IV-2 lrsa'!H58)</f>
        <v>08.1.2-CPVA-R-407</v>
      </c>
      <c r="I153" s="345" t="str">
        <f>CONCATENATE('IV-2 lrsa'!I58)</f>
        <v>R</v>
      </c>
      <c r="J153" s="345" t="str">
        <f>CONCATENATE('IV-2 lrsa'!J58)</f>
        <v>-</v>
      </c>
      <c r="K153" s="345" t="str">
        <f>CONCATENATE('IV-2 lrsa'!K58)</f>
        <v>-</v>
      </c>
      <c r="L153" s="1217">
        <f>SUM('IV-2 lrsa'!L58)</f>
        <v>146319</v>
      </c>
      <c r="M153" s="1217">
        <f ca="1">SUM('ketv. 6 '!L152)</f>
        <v>146319</v>
      </c>
      <c r="N153" s="1217">
        <f t="shared" ca="1" si="247"/>
        <v>0</v>
      </c>
      <c r="O153" s="1217">
        <f>SUM('IV-2 lrsa'!M58)</f>
        <v>0</v>
      </c>
      <c r="P153" s="1217">
        <f ca="1">SUM('ketv. 6 '!P152)</f>
        <v>0</v>
      </c>
      <c r="Q153" s="1217">
        <f t="shared" ref="Q153" ca="1" si="252">IF(P153&gt;0,O153-P153,0)</f>
        <v>0</v>
      </c>
      <c r="R153" s="1780">
        <f>SUM('IV-2 lrsa'!N58)</f>
        <v>21947.85</v>
      </c>
      <c r="S153" s="1217">
        <f ca="1">SUM('ketv. 6 '!T152)</f>
        <v>21947.85</v>
      </c>
      <c r="T153" s="1217">
        <f t="shared" ca="1" si="248"/>
        <v>0</v>
      </c>
      <c r="U153" s="1217">
        <f>SUM('IV-2 lrsa'!O58)</f>
        <v>0</v>
      </c>
      <c r="V153" s="1217">
        <f ca="1">SUM('ketv. 6 '!X152)</f>
        <v>0</v>
      </c>
      <c r="W153" s="1217">
        <f t="shared" ca="1" si="249"/>
        <v>0</v>
      </c>
      <c r="X153" s="1217">
        <f>SUM('IV-2 lrsa'!P58)</f>
        <v>0</v>
      </c>
      <c r="Y153" s="1212">
        <f ca="1">SUM('ketv. 6 '!AB152)</f>
        <v>0</v>
      </c>
      <c r="Z153" s="1212">
        <f t="shared" ca="1" si="250"/>
        <v>0</v>
      </c>
      <c r="AA153" s="1784">
        <f>SUM('IV-2 lrsa'!Q58)</f>
        <v>124371.15</v>
      </c>
      <c r="AB153" s="1212">
        <f>SUM('IV-2 vrsa'!R133)</f>
        <v>0</v>
      </c>
      <c r="AC153" s="306" t="str">
        <f>IF('ketv. 4 '!X153&gt;0,"Taip","Ne")</f>
        <v>Taip</v>
      </c>
      <c r="AD153" s="306">
        <f ca="1">SUM('ketv. 6 '!AF152)</f>
        <v>124371.15</v>
      </c>
      <c r="AE153" s="306">
        <f ca="1">IF(AD153&gt;0,AA153-AD153,0)</f>
        <v>0</v>
      </c>
      <c r="AF153" s="721">
        <f>SUM('IV-2 lrsa'!S58)</f>
        <v>42618</v>
      </c>
      <c r="AG153" s="373">
        <f>SUM('IV-2 lrsa'!T58)</f>
        <v>42669</v>
      </c>
      <c r="AH153" s="373">
        <f>SUM('IV-2 lrsa'!U58)</f>
        <v>42737</v>
      </c>
      <c r="AI153" s="373">
        <f>SUM('IV-2 lrsa'!V58)</f>
        <v>42855</v>
      </c>
      <c r="AJ153" s="375">
        <f t="shared" si="251"/>
        <v>2017</v>
      </c>
      <c r="AK153" s="829">
        <f>SUM('IV-2 lrsa'!W58)</f>
        <v>43615</v>
      </c>
      <c r="AL153" s="306">
        <f>IF(YEAR(AI153)=2016,AA153,0)</f>
        <v>0</v>
      </c>
      <c r="AM153" s="306">
        <f>IF(YEAR(AI153)=2017,AA153,0)</f>
        <v>124371.15</v>
      </c>
      <c r="AN153" s="306">
        <f>IF(YEAR(AI153)=2018,AA153,0)</f>
        <v>0</v>
      </c>
      <c r="AO153" s="306">
        <f>IF(YEAR(AI153)=2019,AA153,0)</f>
        <v>0</v>
      </c>
      <c r="AP153" s="830">
        <f>IF(YEAR(AI153)=2020,AA153,0)</f>
        <v>0</v>
      </c>
      <c r="AQ153" s="377"/>
      <c r="AR153" s="380"/>
      <c r="AS153" s="377"/>
    </row>
    <row r="154" spans="1:45" ht="33.75" customHeight="1" thickBot="1" x14ac:dyDescent="0.3">
      <c r="A154" s="864" t="s">
        <v>37</v>
      </c>
      <c r="B154" s="1874" t="s">
        <v>1508</v>
      </c>
      <c r="C154" s="1844"/>
      <c r="D154" s="1844"/>
      <c r="E154" s="1844"/>
      <c r="F154" s="1844"/>
      <c r="G154" s="1844"/>
      <c r="H154" s="1844"/>
      <c r="I154" s="1844"/>
      <c r="J154" s="1844"/>
      <c r="K154" s="1845"/>
      <c r="L154" s="1242">
        <f>SUM(L155:L159)</f>
        <v>2966201.12</v>
      </c>
      <c r="M154" s="1242">
        <f ca="1">SUM(M155:M159)</f>
        <v>2966201.12</v>
      </c>
      <c r="N154" s="1242">
        <f ca="1">SUM(N155:N159)</f>
        <v>0</v>
      </c>
      <c r="O154" s="1242">
        <f t="shared" ref="O154" si="253">SUM(O155:O159)</f>
        <v>445227.13</v>
      </c>
      <c r="P154" s="1242">
        <f ca="1">SUM(P155:P159)</f>
        <v>445227.48000000004</v>
      </c>
      <c r="Q154" s="1242">
        <f ca="1">SUM(Q155:Q159)</f>
        <v>-0.34999999999854481</v>
      </c>
      <c r="R154" s="1242">
        <f t="shared" ref="R154" si="254">SUM(R155:R159)</f>
        <v>0</v>
      </c>
      <c r="S154" s="1242">
        <f ca="1">SUM(S155:S159)</f>
        <v>0</v>
      </c>
      <c r="T154" s="1242">
        <f ca="1">SUM(T155:T159)</f>
        <v>0</v>
      </c>
      <c r="U154" s="1242">
        <f t="shared" ref="U154" si="255">SUM(U155:U159)</f>
        <v>0</v>
      </c>
      <c r="V154" s="1242">
        <f ca="1">SUM(V155:V159)</f>
        <v>0</v>
      </c>
      <c r="W154" s="1242">
        <f ca="1">SUM(W155:W159)</f>
        <v>0</v>
      </c>
      <c r="X154" s="1242">
        <f t="shared" ref="X154" si="256">SUM(X155:X159)</f>
        <v>0</v>
      </c>
      <c r="Y154" s="1242">
        <f ca="1">SUM(Y155:Y159)</f>
        <v>0</v>
      </c>
      <c r="Z154" s="1242">
        <f ca="1">SUM(Z155:Z159)</f>
        <v>0</v>
      </c>
      <c r="AA154" s="1242">
        <f t="shared" ref="AA154" si="257">SUM(AA155:AA159)</f>
        <v>2520973.9900000002</v>
      </c>
      <c r="AB154" s="1242">
        <f>SUM('IV-2 vrsa'!R134)</f>
        <v>0</v>
      </c>
      <c r="AC154" s="865"/>
      <c r="AD154" s="865">
        <f ca="1">SUM(AD155:AD159)</f>
        <v>2520973.6399999997</v>
      </c>
      <c r="AE154" s="865">
        <f ca="1">SUM(AE155:AE159)</f>
        <v>0.35000000000582077</v>
      </c>
      <c r="AF154" s="865"/>
      <c r="AG154" s="866"/>
      <c r="AH154" s="866"/>
      <c r="AI154" s="866"/>
      <c r="AJ154" s="867"/>
      <c r="AK154" s="868"/>
      <c r="AL154" s="306">
        <f>SUM(AL155:AL159)</f>
        <v>2520973.9900000002</v>
      </c>
      <c r="AM154" s="306">
        <f t="shared" ref="AM154:AP154" si="258">SUM(AM155:AM159)</f>
        <v>0</v>
      </c>
      <c r="AN154" s="306">
        <f t="shared" si="258"/>
        <v>0</v>
      </c>
      <c r="AO154" s="306">
        <f t="shared" si="258"/>
        <v>0</v>
      </c>
      <c r="AP154" s="306">
        <f t="shared" si="258"/>
        <v>0</v>
      </c>
      <c r="AQ154" s="55">
        <f>SUM('IV-2 amsa'!X63+'IV-2 arsa'!W60+'IV-2 dsa'!W65+'IV-2 lrsa'!X59+'IV-2 vrsa'!X66)</f>
        <v>2520974</v>
      </c>
      <c r="AR154" s="55">
        <f>SUM(AQ154*120/100)</f>
        <v>3025168.8</v>
      </c>
      <c r="AS154" s="55">
        <f>SUM(AQ154-AA154)</f>
        <v>9.9999997764825821E-3</v>
      </c>
    </row>
    <row r="155" spans="1:45" ht="39.75" thickTop="1" thickBot="1" x14ac:dyDescent="0.3">
      <c r="A155" s="342" t="s">
        <v>159</v>
      </c>
      <c r="B155" s="342" t="s">
        <v>1368</v>
      </c>
      <c r="C155" s="970" t="str">
        <f>CONCATENATE('ketv. 2'!B154)</f>
        <v>08.1.2-CPVA-R-408-11-0001</v>
      </c>
      <c r="D155" s="342" t="str">
        <f>CONCATENATE('IV-2 vrsa'!D67)</f>
        <v>Socialinio būsto plėtra Varėnos rajone</v>
      </c>
      <c r="E155" s="342" t="str">
        <f>CONCATENATE('IV-2 vrsa'!E67)</f>
        <v>Varėnos rajono savivaldybės administracija</v>
      </c>
      <c r="F155" s="342" t="str">
        <f>CONCATENATE('IV-2 vrsa'!F67)</f>
        <v>Lietuvos Respublikos socialinės apsaugos ir darbo ministerija</v>
      </c>
      <c r="G155" s="342" t="str">
        <f>CONCATENATE('IV-2 vrsa'!G67)</f>
        <v>Varėnos r. sav.</v>
      </c>
      <c r="H155" s="345" t="str">
        <f>CONCATENATE('IV-2 vrsa'!H67)</f>
        <v>08.1.1-CPVA·R-408</v>
      </c>
      <c r="I155" s="345" t="str">
        <f>CONCATENATE('IV-2 vrsa'!I67)</f>
        <v>R</v>
      </c>
      <c r="J155" s="345" t="str">
        <f>CONCATENATE('IV-2 vrsa'!J67)</f>
        <v>-</v>
      </c>
      <c r="K155" s="345" t="str">
        <f>CONCATENATE('IV-2 vrsa'!K67)</f>
        <v>-</v>
      </c>
      <c r="L155" s="1212">
        <f>SUM('IV-2 vrsa'!L67)</f>
        <v>736499</v>
      </c>
      <c r="M155" s="1212">
        <f ca="1">SUM('ketv. 6 '!L154)</f>
        <v>736499</v>
      </c>
      <c r="N155" s="1212">
        <f t="shared" ref="N155:N159" ca="1" si="259">IF(M155&gt;0,L155-M155,0)</f>
        <v>0</v>
      </c>
      <c r="O155" s="1212">
        <f>SUM('IV-2 vrsa'!M67)</f>
        <v>110475</v>
      </c>
      <c r="P155" s="1212">
        <f ca="1">SUM('ketv. 6 '!P154)</f>
        <v>110475</v>
      </c>
      <c r="Q155" s="1212">
        <f ca="1">IF(P155&gt;0,O155-P155,0)</f>
        <v>0</v>
      </c>
      <c r="R155" s="1212">
        <f>SUM('IV-2 vrsa'!N67)</f>
        <v>0</v>
      </c>
      <c r="S155" s="1212">
        <f ca="1">SUM('ketv. 6 '!T154)</f>
        <v>0</v>
      </c>
      <c r="T155" s="1212">
        <f t="shared" ref="T155:T159" ca="1" si="260">IF(S155&gt;0,R155-S155,0)</f>
        <v>0</v>
      </c>
      <c r="U155" s="1212">
        <f>SUM('IV-2 vrsa'!O67)</f>
        <v>0</v>
      </c>
      <c r="V155" s="1212">
        <f ca="1">SUM('ketv. 6 '!X154)</f>
        <v>0</v>
      </c>
      <c r="W155" s="1212">
        <f t="shared" ref="W155:W159" ca="1" si="261">IF(V155&gt;0,U155-V155,0)</f>
        <v>0</v>
      </c>
      <c r="X155" s="1212">
        <f>SUM('IV-2 vrsa'!P67)</f>
        <v>0</v>
      </c>
      <c r="Y155" s="1212">
        <f ca="1">SUM('ketv. 6 '!AB154)</f>
        <v>0</v>
      </c>
      <c r="Z155" s="1212">
        <f t="shared" ref="Z155:Z159" ca="1" si="262">IF(Y155&gt;0,X155-Y155,0)</f>
        <v>0</v>
      </c>
      <c r="AA155" s="1212">
        <f>SUM('IV-2 vrsa'!Q67)</f>
        <v>626024</v>
      </c>
      <c r="AB155" s="1212">
        <f>SUM('IV-2 vrsa'!R135)</f>
        <v>0</v>
      </c>
      <c r="AC155" s="306" t="str">
        <f>IF('ketv. 4 '!X155&gt;0,"Taip","Ne")</f>
        <v>Taip</v>
      </c>
      <c r="AD155" s="306">
        <f ca="1">SUM('ketv. 6 '!AF154)</f>
        <v>626024</v>
      </c>
      <c r="AE155" s="306">
        <f ca="1">IF(AD155&gt;0,AA155-AD155,0)</f>
        <v>0</v>
      </c>
      <c r="AF155" s="721">
        <f>SUM('IV-2 vrsa'!S67)</f>
        <v>42401</v>
      </c>
      <c r="AG155" s="373">
        <f>SUM('IV-2 vrsa'!T67)</f>
        <v>42490</v>
      </c>
      <c r="AH155" s="373">
        <f>SUM('IV-2 vrsa'!U67)</f>
        <v>42674</v>
      </c>
      <c r="AI155" s="373">
        <f>SUM('IV-2 vrsa'!V67)</f>
        <v>42735</v>
      </c>
      <c r="AJ155" s="375">
        <f t="shared" ref="AJ155:AJ159" si="263">IF(YEAR(AI155),YEAR(AI155))</f>
        <v>2016</v>
      </c>
      <c r="AK155" s="829">
        <f>SUM('IV-2 vrsa'!W67)</f>
        <v>43738</v>
      </c>
      <c r="AL155" s="306">
        <f>IF(YEAR(AI155)=2016,AA155,0)</f>
        <v>626024</v>
      </c>
      <c r="AM155" s="306">
        <f>IF(YEAR(AI155)=2017,AA155,0)</f>
        <v>0</v>
      </c>
      <c r="AN155" s="306">
        <f>IF(YEAR(AI155)=2018,AA155,0)</f>
        <v>0</v>
      </c>
      <c r="AO155" s="306">
        <f>IF(YEAR(AI155)=2019,AA155,0)</f>
        <v>0</v>
      </c>
      <c r="AP155" s="830">
        <f>IF(YEAR(AI155)=2020,AA155,0)</f>
        <v>0</v>
      </c>
      <c r="AQ155" s="55"/>
      <c r="AR155" s="55"/>
      <c r="AS155" s="55"/>
    </row>
    <row r="156" spans="1:45" ht="39.75" thickTop="1" thickBot="1" x14ac:dyDescent="0.3">
      <c r="A156" s="342" t="s">
        <v>209</v>
      </c>
      <c r="B156" s="342" t="s">
        <v>1369</v>
      </c>
      <c r="C156" s="970" t="str">
        <f>CONCATENATE('ketv. 2'!B155)</f>
        <v>08.1.2-CPVA-R-408-11-0005</v>
      </c>
      <c r="D156" s="342" t="str">
        <f>CONCATENATE('IV-2 arsa'!C61)</f>
        <v>Būsto prieinamumo pažeidžiamoms gyventojų grupėms didinimas Alytaus rajone</v>
      </c>
      <c r="E156" s="342" t="str">
        <f>CONCATENATE('IV-2 arsa'!D61)</f>
        <v>Alytaus rajono savivaldybės administracija</v>
      </c>
      <c r="F156" s="342" t="str">
        <f>CONCATENATE('IV-2 arsa'!E61)</f>
        <v>Lietuvos Respublikos socialinės apsaugos ir darbo ministerija</v>
      </c>
      <c r="G156" s="342" t="str">
        <f>CONCATENATE('IV-2 arsa'!F61)</f>
        <v>Alytaus r. sav.</v>
      </c>
      <c r="H156" s="345" t="str">
        <f>CONCATENATE('IV-2 arsa'!G61)</f>
        <v>08.1.1-CPVA·R-408</v>
      </c>
      <c r="I156" s="345" t="str">
        <f>CONCATENATE('IV-2 arsa'!H61)</f>
        <v>R</v>
      </c>
      <c r="J156" s="345" t="str">
        <f>CONCATENATE('IV-2 arsa'!I61)</f>
        <v>-</v>
      </c>
      <c r="K156" s="345" t="str">
        <f>CONCATENATE('IV-2 arsa'!J61)</f>
        <v>-</v>
      </c>
      <c r="L156" s="1212">
        <f>SUM('IV-2 arsa'!K61)</f>
        <v>241889</v>
      </c>
      <c r="M156" s="1212">
        <f ca="1">SUM('ketv. 6 '!L155)</f>
        <v>241889</v>
      </c>
      <c r="N156" s="1212">
        <f t="shared" ca="1" si="259"/>
        <v>0</v>
      </c>
      <c r="O156" s="1212">
        <f>SUM('IV-2 arsa'!L61)</f>
        <v>36283</v>
      </c>
      <c r="P156" s="1212">
        <f ca="1">SUM('ketv. 6 '!P155)</f>
        <v>36283.35</v>
      </c>
      <c r="Q156" s="1212">
        <f ca="1">IF(P156&gt;0,O156-P156,0)</f>
        <v>-0.34999999999854481</v>
      </c>
      <c r="R156" s="1212">
        <f>SUM('IV-2 arsa'!M61)</f>
        <v>0</v>
      </c>
      <c r="S156" s="1212">
        <f ca="1">SUM('ketv. 6 '!T155)</f>
        <v>0</v>
      </c>
      <c r="T156" s="1212">
        <f t="shared" ca="1" si="260"/>
        <v>0</v>
      </c>
      <c r="U156" s="1212">
        <f>SUM('IV-2 arsa'!N61)</f>
        <v>0</v>
      </c>
      <c r="V156" s="1212">
        <f ca="1">SUM('ketv. 6 '!X155)</f>
        <v>0</v>
      </c>
      <c r="W156" s="1212">
        <f t="shared" ca="1" si="261"/>
        <v>0</v>
      </c>
      <c r="X156" s="1212">
        <f>SUM('IV-2 arsa'!O61)</f>
        <v>0</v>
      </c>
      <c r="Y156" s="1212">
        <f ca="1">SUM('ketv. 6 '!AB155)</f>
        <v>0</v>
      </c>
      <c r="Z156" s="1212">
        <f t="shared" ca="1" si="262"/>
        <v>0</v>
      </c>
      <c r="AA156" s="1212">
        <f>SUM('IV-2 arsa'!P61)</f>
        <v>205606</v>
      </c>
      <c r="AB156" s="1212">
        <f>SUM('IV-2 vrsa'!R136)</f>
        <v>0</v>
      </c>
      <c r="AC156" s="306" t="str">
        <f>IF('ketv. 4 '!X156&gt;0,"Taip","Ne")</f>
        <v>Taip</v>
      </c>
      <c r="AD156" s="306">
        <f ca="1">SUM('ketv. 6 '!AF155)</f>
        <v>205605.65</v>
      </c>
      <c r="AE156" s="306">
        <f ca="1">IF(AD156&gt;0,AA156-AD156,0)</f>
        <v>0.35000000000582077</v>
      </c>
      <c r="AF156" s="721">
        <f>SUM('IV-2 arsa'!R61)</f>
        <v>42401</v>
      </c>
      <c r="AG156" s="373">
        <f>SUM('IV-2 arsa'!S61)</f>
        <v>42490</v>
      </c>
      <c r="AH156" s="373">
        <f>SUM('IV-2 arsa'!T61)</f>
        <v>42674</v>
      </c>
      <c r="AI156" s="373">
        <f>SUM('IV-2 arsa'!U61)</f>
        <v>42735</v>
      </c>
      <c r="AJ156" s="375">
        <f t="shared" si="263"/>
        <v>2016</v>
      </c>
      <c r="AK156" s="829">
        <f>SUM('IV-2 arsa'!V61)</f>
        <v>43373</v>
      </c>
      <c r="AL156" s="306">
        <f>IF(YEAR(AI156)=2016,AA156,0)</f>
        <v>205606</v>
      </c>
      <c r="AM156" s="306">
        <f>IF(YEAR(AI156)=2017,AA156,0)</f>
        <v>0</v>
      </c>
      <c r="AN156" s="306">
        <f>IF(YEAR(AI156)=2018,AA156,0)</f>
        <v>0</v>
      </c>
      <c r="AO156" s="306">
        <f>IF(YEAR(AI156)=2019,AA156,0)</f>
        <v>0</v>
      </c>
      <c r="AP156" s="830">
        <f>IF(YEAR(AI156)=2020,AA156,0)</f>
        <v>0</v>
      </c>
      <c r="AQ156" s="377"/>
      <c r="AR156" s="55"/>
      <c r="AS156" s="55"/>
    </row>
    <row r="157" spans="1:45" ht="39.75" thickTop="1" thickBot="1" x14ac:dyDescent="0.3">
      <c r="A157" s="342" t="s">
        <v>219</v>
      </c>
      <c r="B157" s="342" t="s">
        <v>1370</v>
      </c>
      <c r="C157" s="970" t="str">
        <f>CONCATENATE('ketv. 2'!B156)</f>
        <v>08.1.2-CPVA-R-408-11-0002</v>
      </c>
      <c r="D157" s="342" t="str">
        <f>CONCATENATE('IV-2 amsa'!D64)</f>
        <v>Socialinio būsto plėtra Alytaus mieste</v>
      </c>
      <c r="E157" s="342" t="str">
        <f>CONCATENATE('IV-2 amsa'!E64)</f>
        <v>Alytaus miesto savivaldybės administracija</v>
      </c>
      <c r="F157" s="342" t="str">
        <f>CONCATENATE('IV-2 amsa'!F64)</f>
        <v>Lietuvos Respublikos socialinės apsaugos ir darbo ministerija</v>
      </c>
      <c r="G157" s="342" t="str">
        <f>CONCATENATE('IV-2 amsa'!G64)</f>
        <v>Alytaus m. sav.</v>
      </c>
      <c r="H157" s="345" t="str">
        <f>CONCATENATE('IV-2 amsa'!H64)</f>
        <v>08.1.1-CPVA·R-408</v>
      </c>
      <c r="I157" s="345" t="str">
        <f>CONCATENATE('IV-2 amsa'!I64)</f>
        <v>R</v>
      </c>
      <c r="J157" s="345" t="str">
        <f>CONCATENATE('IV-2 amsa'!J64)</f>
        <v>-</v>
      </c>
      <c r="K157" s="345" t="str">
        <f>CONCATENATE('IV-2 amsa'!K64)</f>
        <v>-</v>
      </c>
      <c r="L157" s="1212">
        <f>SUM('IV-2 amsa'!L64)</f>
        <v>891741.17999999993</v>
      </c>
      <c r="M157" s="1212">
        <f ca="1">SUM('ketv. 6 '!L156)</f>
        <v>891741.17999999993</v>
      </c>
      <c r="N157" s="1212">
        <f t="shared" ca="1" si="259"/>
        <v>0</v>
      </c>
      <c r="O157" s="1212">
        <f>SUM('IV-2 amsa'!M64)</f>
        <v>133761.18</v>
      </c>
      <c r="P157" s="1212">
        <f ca="1">SUM('ketv. 6 '!P156)</f>
        <v>133761.18</v>
      </c>
      <c r="Q157" s="1212">
        <f ca="1">IF(P157&gt;0,O157-P157,0)</f>
        <v>0</v>
      </c>
      <c r="R157" s="1212">
        <f>SUM('IV-2 amsa'!N64)</f>
        <v>0</v>
      </c>
      <c r="S157" s="1212">
        <f ca="1">SUM('ketv. 6 '!T156)</f>
        <v>0</v>
      </c>
      <c r="T157" s="1212">
        <f t="shared" ca="1" si="260"/>
        <v>0</v>
      </c>
      <c r="U157" s="1212">
        <f>SUM('IV-2 amsa'!O64)</f>
        <v>0</v>
      </c>
      <c r="V157" s="1212">
        <f ca="1">SUM('ketv. 6 '!X156)</f>
        <v>0</v>
      </c>
      <c r="W157" s="1212">
        <f t="shared" ca="1" si="261"/>
        <v>0</v>
      </c>
      <c r="X157" s="1212">
        <f>SUM('IV-2 amsa'!P64)</f>
        <v>0</v>
      </c>
      <c r="Y157" s="1212">
        <f ca="1">SUM('ketv. 6 '!AB156)</f>
        <v>0</v>
      </c>
      <c r="Z157" s="1212">
        <f t="shared" ca="1" si="262"/>
        <v>0</v>
      </c>
      <c r="AA157" s="1212">
        <f>SUM('IV-2 amsa'!Q64)</f>
        <v>757980</v>
      </c>
      <c r="AB157" s="1212">
        <f>SUM('IV-2 vrsa'!R137)</f>
        <v>0</v>
      </c>
      <c r="AC157" s="306" t="str">
        <f>IF('ketv. 4 '!X157&gt;0,"Taip","Ne")</f>
        <v>Taip</v>
      </c>
      <c r="AD157" s="306">
        <f ca="1">SUM('ketv. 6 '!AF156)</f>
        <v>757980</v>
      </c>
      <c r="AE157" s="306">
        <f ca="1">IF(AD157&gt;0,AA157-AD157,0)</f>
        <v>0</v>
      </c>
      <c r="AF157" s="721">
        <f>SUM('IV-2 amsa'!S64)</f>
        <v>42401</v>
      </c>
      <c r="AG157" s="373">
        <f>SUM('IV-2 amsa'!T64)</f>
        <v>42464</v>
      </c>
      <c r="AH157" s="373">
        <f>SUM('IV-2 amsa'!U64)</f>
        <v>42563</v>
      </c>
      <c r="AI157" s="373">
        <f>SUM('IV-2 amsa'!V64)</f>
        <v>42599</v>
      </c>
      <c r="AJ157" s="375">
        <f t="shared" si="263"/>
        <v>2016</v>
      </c>
      <c r="AK157" s="829">
        <f>SUM('IV-2 amsa'!W64)</f>
        <v>43707</v>
      </c>
      <c r="AL157" s="306">
        <f>IF(YEAR(AI157)=2016,AA157,0)</f>
        <v>757980</v>
      </c>
      <c r="AM157" s="306">
        <f>IF(YEAR(AI157)=2017,AA157,0)</f>
        <v>0</v>
      </c>
      <c r="AN157" s="306">
        <f>IF(YEAR(AI157)=2018,AA157,0)</f>
        <v>0</v>
      </c>
      <c r="AO157" s="306">
        <f>IF(YEAR(AI157)=2019,AA157,0)</f>
        <v>0</v>
      </c>
      <c r="AP157" s="830">
        <f>IF(YEAR(AI157)=2020,AA157,0)</f>
        <v>0</v>
      </c>
      <c r="AQ157" s="377"/>
      <c r="AR157" s="377"/>
      <c r="AS157" s="55"/>
    </row>
    <row r="158" spans="1:45" ht="39.75" thickTop="1" thickBot="1" x14ac:dyDescent="0.3">
      <c r="A158" s="342" t="s">
        <v>239</v>
      </c>
      <c r="B158" s="342" t="s">
        <v>1371</v>
      </c>
      <c r="C158" s="970" t="str">
        <f>CONCATENATE('ketv. 2'!B157)</f>
        <v>08.1.2-CPVA-R-408-11-0003</v>
      </c>
      <c r="D158" s="342" t="str">
        <f>CONCATENATE('IV-2 dsa'!C66)</f>
        <v>Socialinio būsto fondo plėtra Druskininkų savivaldybėje</v>
      </c>
      <c r="E158" s="342" t="str">
        <f>CONCATENATE('IV-2 dsa'!D66)</f>
        <v>Druskininkų savivaldybės administracija</v>
      </c>
      <c r="F158" s="342" t="str">
        <f>CONCATENATE('IV-2 dsa'!E66)</f>
        <v>Lietuvos Respublikos socialinės apsaugos ir darbo ministerija</v>
      </c>
      <c r="G158" s="342" t="str">
        <f>CONCATENATE('IV-2 dsa'!F66)</f>
        <v>Druskininkų sav.</v>
      </c>
      <c r="H158" s="345" t="str">
        <f>CONCATENATE('IV-2 dsa'!G66)</f>
        <v>08.1.1-CPVA·R-408</v>
      </c>
      <c r="I158" s="345" t="str">
        <f>CONCATENATE('IV-2 dsa'!H66)</f>
        <v>R</v>
      </c>
      <c r="J158" s="345" t="str">
        <f>CONCATENATE('IV-2 dsa'!I66)</f>
        <v>-</v>
      </c>
      <c r="K158" s="345" t="str">
        <f>CONCATENATE('IV-2 dsa'!J66)</f>
        <v>-</v>
      </c>
      <c r="L158" s="1212">
        <f>SUM('IV-2 dsa'!K66)</f>
        <v>727472.94</v>
      </c>
      <c r="M158" s="1212">
        <f ca="1">SUM('ketv. 6 '!L157)</f>
        <v>727472.94</v>
      </c>
      <c r="N158" s="1212">
        <f t="shared" ca="1" si="259"/>
        <v>0</v>
      </c>
      <c r="O158" s="1212">
        <f>SUM('IV-2 dsa'!L66)</f>
        <v>109120.95</v>
      </c>
      <c r="P158" s="1212">
        <f ca="1">SUM('ketv. 6 '!P157)</f>
        <v>109120.95</v>
      </c>
      <c r="Q158" s="1212">
        <f ca="1">IF(P158&gt;0,O158-P158,0)</f>
        <v>0</v>
      </c>
      <c r="R158" s="1212">
        <f>SUM('IV-2 dsa'!M66)</f>
        <v>0</v>
      </c>
      <c r="S158" s="1212">
        <f ca="1">SUM('ketv. 6 '!T157)</f>
        <v>0</v>
      </c>
      <c r="T158" s="1212">
        <f t="shared" ca="1" si="260"/>
        <v>0</v>
      </c>
      <c r="U158" s="1212">
        <f>SUM('IV-2 dsa'!N66)</f>
        <v>0</v>
      </c>
      <c r="V158" s="1212">
        <f ca="1">SUM('ketv. 6 '!X157)</f>
        <v>0</v>
      </c>
      <c r="W158" s="1212">
        <f t="shared" ca="1" si="261"/>
        <v>0</v>
      </c>
      <c r="X158" s="1212">
        <f>SUM('IV-2 dsa'!O66)</f>
        <v>0</v>
      </c>
      <c r="Y158" s="1212">
        <f ca="1">SUM('ketv. 6 '!AB157)</f>
        <v>0</v>
      </c>
      <c r="Z158" s="1212">
        <f t="shared" ca="1" si="262"/>
        <v>0</v>
      </c>
      <c r="AA158" s="1212">
        <f>SUM('IV-2 dsa'!P66)</f>
        <v>618351.99</v>
      </c>
      <c r="AB158" s="1212">
        <f>SUM('IV-2 vrsa'!R138)</f>
        <v>0</v>
      </c>
      <c r="AC158" s="306" t="str">
        <f>IF('ketv. 4 '!X158&gt;0,"Taip","Ne")</f>
        <v>Taip</v>
      </c>
      <c r="AD158" s="306">
        <f ca="1">SUM('ketv. 6 '!AF157)</f>
        <v>618351.99</v>
      </c>
      <c r="AE158" s="306">
        <f ca="1">IF(AD158&gt;0,AA158-AD158,0)</f>
        <v>0</v>
      </c>
      <c r="AF158" s="721">
        <f>SUM('IV-2 dsa'!R66)</f>
        <v>42401</v>
      </c>
      <c r="AG158" s="373">
        <f>SUM('IV-2 dsa'!S66)</f>
        <v>42490</v>
      </c>
      <c r="AH158" s="373">
        <f>SUM('IV-2 dsa'!T66)</f>
        <v>42674</v>
      </c>
      <c r="AI158" s="373">
        <f>SUM('IV-2 dsa'!U66)</f>
        <v>42735</v>
      </c>
      <c r="AJ158" s="375">
        <f t="shared" si="263"/>
        <v>2016</v>
      </c>
      <c r="AK158" s="829">
        <f>SUM('IV-2 dsa'!V66)</f>
        <v>43585</v>
      </c>
      <c r="AL158" s="306">
        <f>IF(YEAR(AI158)=2016,AA158,0)</f>
        <v>618351.99</v>
      </c>
      <c r="AM158" s="306">
        <f>IF(YEAR(AI158)=2017,AA158,0)</f>
        <v>0</v>
      </c>
      <c r="AN158" s="306">
        <f>IF(YEAR(AI158)=2018,AA158,0)</f>
        <v>0</v>
      </c>
      <c r="AO158" s="306">
        <f>IF(YEAR(AI158)=2019,AA158,0)</f>
        <v>0</v>
      </c>
      <c r="AP158" s="830">
        <f>IF(YEAR(AI158)=2020,AA158,0)</f>
        <v>0</v>
      </c>
      <c r="AQ158" s="377"/>
      <c r="AR158" s="377"/>
      <c r="AS158" s="55"/>
    </row>
    <row r="159" spans="1:45" ht="39.75" thickTop="1" thickBot="1" x14ac:dyDescent="0.3">
      <c r="A159" s="342" t="s">
        <v>287</v>
      </c>
      <c r="B159" s="977" t="s">
        <v>1372</v>
      </c>
      <c r="C159" s="970" t="str">
        <f>CONCATENATE('ketv. 2'!B158)</f>
        <v>08.1.2-CPVA-R-408-11-0004</v>
      </c>
      <c r="D159" s="977" t="str">
        <f>CONCATENATE('IV-2 lrsa'!D60)</f>
        <v>Socialinio būsto fondo plėtra Lazdijų rajono savivaldybėje</v>
      </c>
      <c r="E159" s="977" t="str">
        <f>CONCATENATE('IV-2 lrsa'!E60)</f>
        <v>Lazdijų rajono savivaldybės administracija</v>
      </c>
      <c r="F159" s="977" t="str">
        <f>CONCATENATE('IV-2 lrsa'!F60)</f>
        <v>Lietuvos Respublikos socialinės apsaugos ir darbo ministerija</v>
      </c>
      <c r="G159" s="977" t="str">
        <f>CONCATENATE('IV-2 lrsa'!G60)</f>
        <v>Lazdijų r. sav.</v>
      </c>
      <c r="H159" s="978" t="str">
        <f>CONCATENATE('IV-2 lrsa'!H60)</f>
        <v>08.1.1-CPVA·R-408</v>
      </c>
      <c r="I159" s="978" t="str">
        <f>CONCATENATE('IV-2 lrsa'!I60)</f>
        <v>R</v>
      </c>
      <c r="J159" s="978" t="str">
        <f>CONCATENATE('IV-2 lrsa'!J60)</f>
        <v>-</v>
      </c>
      <c r="K159" s="978" t="str">
        <f>CONCATENATE('IV-2 lrsa'!K60)</f>
        <v>-</v>
      </c>
      <c r="L159" s="1212">
        <f>SUM('IV-2 lrsa'!L60)</f>
        <v>368599</v>
      </c>
      <c r="M159" s="1212">
        <f ca="1">SUM('ketv. 6 '!L158)</f>
        <v>368599</v>
      </c>
      <c r="N159" s="1212">
        <f t="shared" ca="1" si="259"/>
        <v>0</v>
      </c>
      <c r="O159" s="1212">
        <f>SUM('IV-2 lrsa'!M60)</f>
        <v>55587</v>
      </c>
      <c r="P159" s="1212">
        <f ca="1">SUM('ketv. 6 '!P158)</f>
        <v>55587</v>
      </c>
      <c r="Q159" s="1212">
        <f ca="1">IF(P159&gt;0,O159-P159,0)</f>
        <v>0</v>
      </c>
      <c r="R159" s="1212">
        <f>SUM('IV-2 lrsa'!N60)</f>
        <v>0</v>
      </c>
      <c r="S159" s="1212">
        <f ca="1">SUM('ketv. 6 '!T158)</f>
        <v>0</v>
      </c>
      <c r="T159" s="1212">
        <f t="shared" ca="1" si="260"/>
        <v>0</v>
      </c>
      <c r="U159" s="1212">
        <f>SUM('IV-2 lrsa'!O60)</f>
        <v>0</v>
      </c>
      <c r="V159" s="1212">
        <f ca="1">SUM('ketv. 6 '!X158)</f>
        <v>0</v>
      </c>
      <c r="W159" s="1212">
        <f t="shared" ca="1" si="261"/>
        <v>0</v>
      </c>
      <c r="X159" s="1212">
        <f>SUM('IV-2 lrsa'!P60)</f>
        <v>0</v>
      </c>
      <c r="Y159" s="1212">
        <f ca="1">SUM('ketv. 6 '!AB158)</f>
        <v>0</v>
      </c>
      <c r="Z159" s="1212">
        <f t="shared" ca="1" si="262"/>
        <v>0</v>
      </c>
      <c r="AA159" s="1212">
        <f>SUM('IV-2 lrsa'!Q60)</f>
        <v>313012</v>
      </c>
      <c r="AB159" s="1212">
        <f>SUM('IV-2 vrsa'!R139)</f>
        <v>0</v>
      </c>
      <c r="AC159" s="306" t="str">
        <f>IF('ketv. 4 '!X159&gt;0,"Taip","Ne")</f>
        <v>Taip</v>
      </c>
      <c r="AD159" s="306">
        <f ca="1">SUM('ketv. 6 '!AF158)</f>
        <v>313012</v>
      </c>
      <c r="AE159" s="306">
        <f ca="1">IF(AD159&gt;0,AA159-AD159,0)</f>
        <v>0</v>
      </c>
      <c r="AF159" s="721">
        <f>SUM('IV-2 lrsa'!S60)</f>
        <v>42401</v>
      </c>
      <c r="AG159" s="373">
        <f>SUM('IV-2 lrsa'!T60)</f>
        <v>42490</v>
      </c>
      <c r="AH159" s="373">
        <f>SUM('IV-2 lrsa'!U60)</f>
        <v>42674</v>
      </c>
      <c r="AI159" s="373">
        <f>SUM('IV-2 lrsa'!V60)</f>
        <v>42735</v>
      </c>
      <c r="AJ159" s="375">
        <f t="shared" si="263"/>
        <v>2016</v>
      </c>
      <c r="AK159" s="829">
        <f>SUM('IV-2 lrsa'!W60)</f>
        <v>43554</v>
      </c>
      <c r="AL159" s="306">
        <f>IF(YEAR(AI159)=2016,AA159,0)</f>
        <v>313012</v>
      </c>
      <c r="AM159" s="306">
        <f>IF(YEAR(AI159)=2017,AA159,0)</f>
        <v>0</v>
      </c>
      <c r="AN159" s="306">
        <f>IF(YEAR(AI159)=2018,AA159,0)</f>
        <v>0</v>
      </c>
      <c r="AO159" s="306">
        <f>IF(YEAR(AI159)=2019,AA159,0)</f>
        <v>0</v>
      </c>
      <c r="AP159" s="830">
        <f>IF(YEAR(AI159)=2020,AA159,0)</f>
        <v>0</v>
      </c>
      <c r="AQ159" s="55"/>
      <c r="AR159" s="55"/>
      <c r="AS159" s="55"/>
    </row>
    <row r="160" spans="1:45" ht="38.25" customHeight="1" thickBot="1" x14ac:dyDescent="0.3">
      <c r="A160" s="976" t="s">
        <v>38</v>
      </c>
      <c r="B160" s="1846" t="s">
        <v>1509</v>
      </c>
      <c r="C160" s="1847"/>
      <c r="D160" s="1847"/>
      <c r="E160" s="1847"/>
      <c r="F160" s="1847"/>
      <c r="G160" s="1847"/>
      <c r="H160" s="1847"/>
      <c r="I160" s="1847"/>
      <c r="J160" s="1847"/>
      <c r="K160" s="1848"/>
      <c r="L160" s="1227">
        <f>SUM(L161)</f>
        <v>1106987.73</v>
      </c>
      <c r="M160" s="1227"/>
      <c r="N160" s="1227"/>
      <c r="O160" s="1227">
        <f t="shared" ref="O160:AA160" si="264">SUM(O161)</f>
        <v>166179.88999999998</v>
      </c>
      <c r="P160" s="1227"/>
      <c r="Q160" s="1227"/>
      <c r="R160" s="1227">
        <f t="shared" si="264"/>
        <v>0</v>
      </c>
      <c r="S160" s="1227"/>
      <c r="T160" s="1227"/>
      <c r="U160" s="1227">
        <f t="shared" si="264"/>
        <v>0</v>
      </c>
      <c r="V160" s="1227"/>
      <c r="W160" s="1227"/>
      <c r="X160" s="1227">
        <f t="shared" si="264"/>
        <v>0</v>
      </c>
      <c r="Y160" s="1227"/>
      <c r="Z160" s="1227"/>
      <c r="AA160" s="1227">
        <f t="shared" si="264"/>
        <v>940807.84000000008</v>
      </c>
      <c r="AB160" s="1227">
        <f>SUM('IV-2 vrsa'!R140)</f>
        <v>0</v>
      </c>
      <c r="AC160" s="139"/>
      <c r="AD160" s="139"/>
      <c r="AE160" s="139"/>
      <c r="AF160" s="139"/>
      <c r="AG160" s="869"/>
      <c r="AH160" s="869"/>
      <c r="AI160" s="869"/>
      <c r="AJ160" s="870"/>
      <c r="AK160" s="871"/>
      <c r="AL160" s="306"/>
      <c r="AM160" s="819"/>
      <c r="AN160" s="819"/>
      <c r="AO160" s="819"/>
      <c r="AP160" s="819"/>
      <c r="AQ160" s="55">
        <f>SUM(AQ161)</f>
        <v>982761</v>
      </c>
      <c r="AR160" s="55">
        <f>SUM(AR161)</f>
        <v>1179313.2</v>
      </c>
      <c r="AS160" s="55">
        <f>SUM(AS161)</f>
        <v>41953.159999999916</v>
      </c>
    </row>
    <row r="161" spans="1:49" ht="32.25" customHeight="1" thickBot="1" x14ac:dyDescent="0.3">
      <c r="A161" s="824" t="s">
        <v>109</v>
      </c>
      <c r="B161" s="1852" t="s">
        <v>1510</v>
      </c>
      <c r="C161" s="1850"/>
      <c r="D161" s="1850"/>
      <c r="E161" s="1850"/>
      <c r="F161" s="1850"/>
      <c r="G161" s="1850"/>
      <c r="H161" s="1850"/>
      <c r="I161" s="1850"/>
      <c r="J161" s="1850"/>
      <c r="K161" s="1851"/>
      <c r="L161" s="1213">
        <f>SUM(L162:L167)</f>
        <v>1106987.73</v>
      </c>
      <c r="M161" s="1213">
        <f ca="1">SUM(M162:M166)</f>
        <v>906987.73</v>
      </c>
      <c r="N161" s="1213">
        <f ca="1">SUM(N162:N166)</f>
        <v>0</v>
      </c>
      <c r="O161" s="1213">
        <f>SUM(O162:O167)</f>
        <v>166179.88999999998</v>
      </c>
      <c r="P161" s="1213">
        <f ca="1">SUM(P162:P166)</f>
        <v>136179.88999999998</v>
      </c>
      <c r="Q161" s="1213">
        <f ca="1">SUM(Q162:Q166)</f>
        <v>0</v>
      </c>
      <c r="R161" s="1213">
        <f>SUM(R162:R167)</f>
        <v>0</v>
      </c>
      <c r="S161" s="1213">
        <f ca="1">SUM(S162:S166)</f>
        <v>0</v>
      </c>
      <c r="T161" s="1213">
        <f ca="1">SUM(T162:T166)</f>
        <v>0</v>
      </c>
      <c r="U161" s="1213">
        <f>SUM(U162:U167)</f>
        <v>0</v>
      </c>
      <c r="V161" s="1213">
        <f ca="1">SUM(V162:V166)</f>
        <v>0</v>
      </c>
      <c r="W161" s="1213">
        <f ca="1">SUM(W162:W166)</f>
        <v>0</v>
      </c>
      <c r="X161" s="1213">
        <f>SUM(X162:X167)</f>
        <v>0</v>
      </c>
      <c r="Y161" s="1213">
        <f ca="1">SUM(Y162:Y166)</f>
        <v>0</v>
      </c>
      <c r="Z161" s="1213">
        <f ca="1">SUM(Z162:Z166)</f>
        <v>0</v>
      </c>
      <c r="AA161" s="1213">
        <f>SUM(AA162:AA167)</f>
        <v>940807.84000000008</v>
      </c>
      <c r="AB161" s="1213">
        <f>SUM('IV-2 vrsa'!R141)</f>
        <v>0</v>
      </c>
      <c r="AC161" s="835"/>
      <c r="AD161" s="835">
        <f ca="1">SUM(AD162:AD166)</f>
        <v>770807.84000000008</v>
      </c>
      <c r="AE161" s="835">
        <f ca="1">SUM(AE162:AE166)</f>
        <v>0</v>
      </c>
      <c r="AF161" s="835"/>
      <c r="AG161" s="836"/>
      <c r="AH161" s="836"/>
      <c r="AI161" s="836"/>
      <c r="AJ161" s="837"/>
      <c r="AK161" s="838"/>
      <c r="AL161" s="306">
        <f>SUM(AL162:AL167)</f>
        <v>0</v>
      </c>
      <c r="AM161" s="306">
        <f t="shared" ref="AM161:AP161" si="265">SUM(AM162:AM167)</f>
        <v>0</v>
      </c>
      <c r="AN161" s="306">
        <f t="shared" si="265"/>
        <v>770807.84000000008</v>
      </c>
      <c r="AO161" s="306">
        <f t="shared" si="265"/>
        <v>170000</v>
      </c>
      <c r="AP161" s="306">
        <f t="shared" si="265"/>
        <v>0</v>
      </c>
      <c r="AQ161" s="55">
        <f>SUM('IV-2 amsa'!X66+'IV-2 arsa'!W63+'IV-2 dsa'!W68+'IV-2 lrsa'!X62+'IV-2 vrsa'!X69)</f>
        <v>982761</v>
      </c>
      <c r="AR161" s="55">
        <f>SUM(AQ161*120/100)</f>
        <v>1179313.2</v>
      </c>
      <c r="AS161" s="55">
        <f>SUM(AQ161-AA161)</f>
        <v>41953.159999999916</v>
      </c>
    </row>
    <row r="162" spans="1:49" ht="39.75" thickTop="1" thickBot="1" x14ac:dyDescent="0.3">
      <c r="A162" s="342" t="s">
        <v>110</v>
      </c>
      <c r="B162" s="342" t="s">
        <v>1373</v>
      </c>
      <c r="C162" s="970" t="str">
        <f>CONCATENATE('ketv. 2'!B161)</f>
        <v>10.1.3-ESFA-R-920-11-0001</v>
      </c>
      <c r="D162" s="342" t="str">
        <f>CONCATENATE('IV-2 vrsa'!D70)</f>
        <v>Paslaugų teikimo ir asmenų aptarnavimo kokybės gerinimas Varėnos rajono savivaldybėje</v>
      </c>
      <c r="E162" s="342" t="str">
        <f>CONCATENATE('IV-2 vrsa'!E70)</f>
        <v>Varėnos rajono savivaldybės administracija</v>
      </c>
      <c r="F162" s="342" t="str">
        <f>CONCATENATE('IV-2 vrsa'!F70)</f>
        <v>Lietuvos Respublikos vidaus reikalų ministerija</v>
      </c>
      <c r="G162" s="342" t="str">
        <f>CONCATENATE('IV-2 vrsa'!G70)</f>
        <v>Varėnos r. sav.</v>
      </c>
      <c r="H162" s="345" t="str">
        <f>CONCATENATE('IV-2 vrsa'!H70)</f>
        <v>10.1.3-ESFA-R-920</v>
      </c>
      <c r="I162" s="345" t="str">
        <f>CONCATENATE('IV-2 vrsa'!I70)</f>
        <v>R</v>
      </c>
      <c r="J162" s="345" t="str">
        <f>CONCATENATE('IV-2 vrsa'!J70)</f>
        <v>-</v>
      </c>
      <c r="K162" s="345" t="str">
        <f>CONCATENATE('IV-2 vrsa'!K70)</f>
        <v>-</v>
      </c>
      <c r="L162" s="1212">
        <f>SUM('IV-2 vrsa'!L70)</f>
        <v>172733.52</v>
      </c>
      <c r="M162" s="1212">
        <f ca="1">SUM('ketv. 6 '!L161)</f>
        <v>172733.52</v>
      </c>
      <c r="N162" s="1212">
        <f t="shared" ref="N162:N166" ca="1" si="266">IF(M162&gt;0,L162-M162,0)</f>
        <v>0</v>
      </c>
      <c r="O162" s="1212">
        <f>SUM('IV-2 vrsa'!M70)</f>
        <v>25910.03</v>
      </c>
      <c r="P162" s="1212">
        <f ca="1">SUM('ketv. 6 '!P161)</f>
        <v>25910.03</v>
      </c>
      <c r="Q162" s="1212">
        <f t="shared" ref="Q162:Q166" ca="1" si="267">IF(P162&gt;0,O162-P162,0)</f>
        <v>0</v>
      </c>
      <c r="R162" s="1212">
        <f>SUM('IV-2 vrsa'!N70)</f>
        <v>0</v>
      </c>
      <c r="S162" s="1212">
        <f ca="1">SUM('ketv. 6 '!T161)</f>
        <v>0</v>
      </c>
      <c r="T162" s="1212">
        <f t="shared" ref="T162:T166" ca="1" si="268">IF(S162&gt;0,R162-S162,0)</f>
        <v>0</v>
      </c>
      <c r="U162" s="1212">
        <f>SUM('IV-2 vrsa'!O70)</f>
        <v>0</v>
      </c>
      <c r="V162" s="1212">
        <f ca="1">SUM('ketv. 6 '!X161)</f>
        <v>0</v>
      </c>
      <c r="W162" s="1212">
        <f t="shared" ref="W162:W166" ca="1" si="269">IF(V162&gt;0,U162-V162,0)</f>
        <v>0</v>
      </c>
      <c r="X162" s="1212">
        <f>SUM('IV-2 vrsa'!P70)</f>
        <v>0</v>
      </c>
      <c r="Y162" s="1212">
        <f ca="1">SUM('ketv. 6 '!AB161)</f>
        <v>0</v>
      </c>
      <c r="Z162" s="1212">
        <f t="shared" ref="Z162:Z166" ca="1" si="270">IF(Y162&gt;0,X162-Y162,0)</f>
        <v>0</v>
      </c>
      <c r="AA162" s="1212">
        <f>SUM('IV-2 vrsa'!Q70)</f>
        <v>146823.49</v>
      </c>
      <c r="AB162" s="1212">
        <f>SUM('IV-2 vrsa'!R142)</f>
        <v>0</v>
      </c>
      <c r="AC162" s="306" t="str">
        <f>IF('ketv. 4 '!X162&gt;0,"Taip","Ne")</f>
        <v>Taip</v>
      </c>
      <c r="AD162" s="306">
        <f ca="1">SUM('ketv. 6 '!AF161)</f>
        <v>146823.49</v>
      </c>
      <c r="AE162" s="306">
        <f t="shared" ref="AE162:AE167" ca="1" si="271">IF(AD162&gt;0,AA162-AD162,0)</f>
        <v>0</v>
      </c>
      <c r="AF162" s="721">
        <f>SUM('IV-2 vrsa'!S70)</f>
        <v>43017</v>
      </c>
      <c r="AG162" s="373">
        <f>SUM('IV-2 vrsa'!T70)</f>
        <v>42992</v>
      </c>
      <c r="AH162" s="373">
        <f>SUM('IV-2 vrsa'!U70)</f>
        <v>43039</v>
      </c>
      <c r="AI162" s="373">
        <f>SUM('IV-2 vrsa'!V70)</f>
        <v>43137</v>
      </c>
      <c r="AJ162" s="375">
        <f t="shared" ref="AJ162:AJ167" si="272">IF(YEAR(AI162),YEAR(AI162))</f>
        <v>2018</v>
      </c>
      <c r="AK162" s="829">
        <f>SUM('IV-2 vrsa'!W70)</f>
        <v>43830</v>
      </c>
      <c r="AL162" s="306">
        <f t="shared" ref="AL162:AL167" si="273">IF(YEAR(AI162)=2016,AA162,0)</f>
        <v>0</v>
      </c>
      <c r="AM162" s="306">
        <f t="shared" ref="AM162:AM167" si="274">IF(YEAR(AI162)=2017,AA162,0)</f>
        <v>0</v>
      </c>
      <c r="AN162" s="306">
        <f t="shared" ref="AN162:AN167" si="275">IF(YEAR(AI162)=2018,AA162,0)</f>
        <v>146823.49</v>
      </c>
      <c r="AO162" s="306">
        <f t="shared" ref="AO162:AO167" si="276">IF(YEAR(AI162)=2019,AA162,0)</f>
        <v>0</v>
      </c>
      <c r="AP162" s="830">
        <f t="shared" ref="AP162:AP167" si="277">IF(YEAR(AI162)=2020,AA162,0)</f>
        <v>0</v>
      </c>
      <c r="AQ162" s="55"/>
      <c r="AR162" s="55"/>
      <c r="AS162" s="55"/>
    </row>
    <row r="163" spans="1:49" ht="39.75" thickTop="1" thickBot="1" x14ac:dyDescent="0.3">
      <c r="A163" s="342" t="s">
        <v>210</v>
      </c>
      <c r="B163" s="342" t="s">
        <v>1374</v>
      </c>
      <c r="C163" s="970" t="str">
        <f>CONCATENATE('ketv. 2'!B162)</f>
        <v>10.1.3-ESFA-R-920-11-0005</v>
      </c>
      <c r="D163" s="342" t="str">
        <f>CONCATENATE('IV-2 arsa'!C64)</f>
        <v>Paslaugų ir asmenų aptarnavimo kokybės gerinimas Alytaus rajono savivaldybėje</v>
      </c>
      <c r="E163" s="342" t="str">
        <f>CONCATENATE('IV-2 arsa'!D64)</f>
        <v>Alytaus rajono savivaldybės administracija</v>
      </c>
      <c r="F163" s="342" t="str">
        <f>CONCATENATE('IV-2 arsa'!E64)</f>
        <v>Lietuvos Respublikos vidaus reikalų ministerija</v>
      </c>
      <c r="G163" s="342" t="str">
        <f>CONCATENATE('IV-2 arsa'!F64)</f>
        <v>Alytaus r. sav.</v>
      </c>
      <c r="H163" s="345" t="str">
        <f>CONCATENATE('IV-2 arsa'!G64)</f>
        <v>10.1.3-ESFA-R-920</v>
      </c>
      <c r="I163" s="345" t="str">
        <f>CONCATENATE('IV-2 arsa'!H64)</f>
        <v>R</v>
      </c>
      <c r="J163" s="345" t="str">
        <f>CONCATENATE('IV-2 arsa'!I64)</f>
        <v>-</v>
      </c>
      <c r="K163" s="345" t="str">
        <f>CONCATENATE('IV-2 arsa'!J64)</f>
        <v>-</v>
      </c>
      <c r="L163" s="1212">
        <f>SUM('IV-2 arsa'!K64)</f>
        <v>192832.21</v>
      </c>
      <c r="M163" s="1212">
        <f ca="1">SUM('ketv. 6 '!L162)</f>
        <v>192832.21</v>
      </c>
      <c r="N163" s="1212">
        <f t="shared" ca="1" si="266"/>
        <v>0</v>
      </c>
      <c r="O163" s="1212">
        <f>SUM('IV-2 arsa'!L64)</f>
        <v>28924.84</v>
      </c>
      <c r="P163" s="1212">
        <f ca="1">SUM('ketv. 6 '!P162)</f>
        <v>28924.84</v>
      </c>
      <c r="Q163" s="1212">
        <f t="shared" ca="1" si="267"/>
        <v>0</v>
      </c>
      <c r="R163" s="1212">
        <f>SUM('IV-2 arsa'!M64)</f>
        <v>0</v>
      </c>
      <c r="S163" s="1212">
        <f ca="1">SUM('ketv. 6 '!T162)</f>
        <v>0</v>
      </c>
      <c r="T163" s="1212">
        <f t="shared" ca="1" si="268"/>
        <v>0</v>
      </c>
      <c r="U163" s="1212">
        <f>SUM('IV-2 arsa'!N64)</f>
        <v>0</v>
      </c>
      <c r="V163" s="1212">
        <f ca="1">SUM('ketv. 6 '!X162)</f>
        <v>0</v>
      </c>
      <c r="W163" s="1212">
        <f t="shared" ca="1" si="269"/>
        <v>0</v>
      </c>
      <c r="X163" s="1212">
        <f>SUM('IV-2 arsa'!O64)</f>
        <v>0</v>
      </c>
      <c r="Y163" s="1212">
        <f ca="1">SUM('ketv. 6 '!AB162)</f>
        <v>0</v>
      </c>
      <c r="Z163" s="1212">
        <f t="shared" ca="1" si="270"/>
        <v>0</v>
      </c>
      <c r="AA163" s="1212">
        <f>SUM('IV-2 arsa'!P64)</f>
        <v>163907.37</v>
      </c>
      <c r="AB163" s="1212">
        <f>SUM('IV-2 vrsa'!R143)</f>
        <v>0</v>
      </c>
      <c r="AC163" s="306" t="str">
        <f>IF('ketv. 4 '!X163&gt;0,"Taip","Ne")</f>
        <v>Taip</v>
      </c>
      <c r="AD163" s="306">
        <f ca="1">SUM('ketv. 6 '!AF162)</f>
        <v>163907.37</v>
      </c>
      <c r="AE163" s="306">
        <f t="shared" ca="1" si="271"/>
        <v>0</v>
      </c>
      <c r="AF163" s="721">
        <f>SUM('IV-2 arsa'!R64)</f>
        <v>43017</v>
      </c>
      <c r="AG163" s="373">
        <f>SUM('IV-2 arsa'!S64)</f>
        <v>43100</v>
      </c>
      <c r="AH163" s="373">
        <f>SUM('IV-2 arsa'!T64)</f>
        <v>43131</v>
      </c>
      <c r="AI163" s="373">
        <f>SUM('IV-2 arsa'!U64)</f>
        <v>43190</v>
      </c>
      <c r="AJ163" s="375">
        <f t="shared" si="272"/>
        <v>2018</v>
      </c>
      <c r="AK163" s="829">
        <f>SUM('IV-2 arsa'!V64)</f>
        <v>44196</v>
      </c>
      <c r="AL163" s="306">
        <f t="shared" si="273"/>
        <v>0</v>
      </c>
      <c r="AM163" s="306">
        <f t="shared" si="274"/>
        <v>0</v>
      </c>
      <c r="AN163" s="306">
        <f t="shared" si="275"/>
        <v>163907.37</v>
      </c>
      <c r="AO163" s="306">
        <f t="shared" si="276"/>
        <v>0</v>
      </c>
      <c r="AP163" s="830">
        <f t="shared" si="277"/>
        <v>0</v>
      </c>
      <c r="AQ163" s="377"/>
      <c r="AR163" s="55"/>
      <c r="AS163" s="55"/>
    </row>
    <row r="164" spans="1:49" ht="39.75" thickTop="1" thickBot="1" x14ac:dyDescent="0.3">
      <c r="A164" s="342" t="s">
        <v>212</v>
      </c>
      <c r="B164" s="342" t="s">
        <v>1375</v>
      </c>
      <c r="C164" s="970" t="str">
        <f>CONCATENATE('ketv. 2'!B163)</f>
        <v>10.1.3-ESFA-R-920-11-0003</v>
      </c>
      <c r="D164" s="342" t="str">
        <f>CONCATENATE('IV-2 lrsa'!D63)</f>
        <v>Lazdijų rajono savivaldybės administracijos ir jos viešojo valdymo institucijų teikiamų paslaugų procesų tobulinimas</v>
      </c>
      <c r="E164" s="342" t="str">
        <f>CONCATENATE('IV-2 lrsa'!E63)</f>
        <v>Lazdijų rajono savivaldybės administracija</v>
      </c>
      <c r="F164" s="342" t="str">
        <f>CONCATENATE('IV-2 lrsa'!F63)</f>
        <v>Lietuvos Respublikos vidaus reikalų ministerija</v>
      </c>
      <c r="G164" s="342" t="str">
        <f>CONCATENATE('IV-2 lrsa'!G63)</f>
        <v>Lazdijų r. sav.</v>
      </c>
      <c r="H164" s="345" t="str">
        <f>CONCATENATE('IV-2 lrsa'!H63)</f>
        <v>10.1.3-ESFA-R-920</v>
      </c>
      <c r="I164" s="345" t="str">
        <f>CONCATENATE('IV-2 lrsa'!I63)</f>
        <v>R</v>
      </c>
      <c r="J164" s="345" t="str">
        <f>CONCATENATE('IV-2 lrsa'!J63)</f>
        <v>-</v>
      </c>
      <c r="K164" s="345" t="str">
        <f>CONCATENATE('IV-2 lrsa'!K63)</f>
        <v>-</v>
      </c>
      <c r="L164" s="1212">
        <f>SUM('IV-2 lrsa'!L63)</f>
        <v>163986.88</v>
      </c>
      <c r="M164" s="1212">
        <f ca="1">SUM('ketv. 6 '!L163)</f>
        <v>163986.88</v>
      </c>
      <c r="N164" s="1212">
        <f t="shared" ca="1" si="266"/>
        <v>0</v>
      </c>
      <c r="O164" s="1212">
        <f>SUM('IV-2 lrsa'!M63)</f>
        <v>24598.880000000001</v>
      </c>
      <c r="P164" s="1212">
        <f ca="1">SUM('ketv. 6 '!P163)</f>
        <v>24598.880000000001</v>
      </c>
      <c r="Q164" s="1212">
        <f t="shared" ca="1" si="267"/>
        <v>0</v>
      </c>
      <c r="R164" s="1212">
        <f>SUM('IV-2 lrsa'!N63)</f>
        <v>0</v>
      </c>
      <c r="S164" s="1212">
        <f ca="1">SUM('ketv. 6 '!T163)</f>
        <v>0</v>
      </c>
      <c r="T164" s="1212">
        <f t="shared" ca="1" si="268"/>
        <v>0</v>
      </c>
      <c r="U164" s="1212">
        <f>SUM('IV-2 lrsa'!O63)</f>
        <v>0</v>
      </c>
      <c r="V164" s="1212">
        <f ca="1">SUM('ketv. 6 '!X163)</f>
        <v>0</v>
      </c>
      <c r="W164" s="1212">
        <f t="shared" ca="1" si="269"/>
        <v>0</v>
      </c>
      <c r="X164" s="1212">
        <f>SUM('IV-2 lrsa'!P63)</f>
        <v>0</v>
      </c>
      <c r="Y164" s="1212">
        <f ca="1">SUM('ketv. 6 '!AB163)</f>
        <v>0</v>
      </c>
      <c r="Z164" s="1212">
        <f t="shared" ca="1" si="270"/>
        <v>0</v>
      </c>
      <c r="AA164" s="1212">
        <f>SUM('IV-2 lrsa'!Q63)</f>
        <v>139388</v>
      </c>
      <c r="AB164" s="1212">
        <f>SUM('IV-2 vrsa'!R144)</f>
        <v>0</v>
      </c>
      <c r="AC164" s="306" t="str">
        <f>IF('ketv. 4 '!X164&gt;0,"Taip","Ne")</f>
        <v>Taip</v>
      </c>
      <c r="AD164" s="306">
        <f ca="1">SUM('ketv. 6 '!AF163)</f>
        <v>139388</v>
      </c>
      <c r="AE164" s="306">
        <f t="shared" ca="1" si="271"/>
        <v>0</v>
      </c>
      <c r="AF164" s="721">
        <f>SUM('IV-2 lrsa'!S63)</f>
        <v>43017</v>
      </c>
      <c r="AG164" s="373">
        <f>SUM('IV-2 lrsa'!T63)</f>
        <v>43039</v>
      </c>
      <c r="AH164" s="373">
        <f>SUM('IV-2 lrsa'!U63)</f>
        <v>43063</v>
      </c>
      <c r="AI164" s="373">
        <f>SUM('IV-2 lrsa'!V63)</f>
        <v>43144</v>
      </c>
      <c r="AJ164" s="375">
        <f t="shared" si="272"/>
        <v>2018</v>
      </c>
      <c r="AK164" s="829">
        <f>SUM('IV-2 lrsa'!W63)</f>
        <v>44196</v>
      </c>
      <c r="AL164" s="306">
        <f t="shared" si="273"/>
        <v>0</v>
      </c>
      <c r="AM164" s="306">
        <f t="shared" si="274"/>
        <v>0</v>
      </c>
      <c r="AN164" s="306">
        <f t="shared" si="275"/>
        <v>139388</v>
      </c>
      <c r="AO164" s="306">
        <f t="shared" si="276"/>
        <v>0</v>
      </c>
      <c r="AP164" s="830">
        <f t="shared" si="277"/>
        <v>0</v>
      </c>
      <c r="AQ164" s="55"/>
      <c r="AR164" s="55"/>
      <c r="AS164" s="55"/>
    </row>
    <row r="165" spans="1:49" ht="49.5" customHeight="1" thickTop="1" thickBot="1" x14ac:dyDescent="0.3">
      <c r="A165" s="342" t="s">
        <v>221</v>
      </c>
      <c r="B165" s="342" t="s">
        <v>1376</v>
      </c>
      <c r="C165" s="970" t="str">
        <f>CONCATENATE('ketv. 2'!B164)</f>
        <v>10.1.3-ESFA-R-920-11-0007</v>
      </c>
      <c r="D165" s="342" t="str">
        <f>CONCATENATE('IV-2 amsa'!D67)</f>
        <v>Teikiamų paslaugų procesų tobulinimas ir asmenų aptarnavimo kokybės gerinimas Alytaus m. sav. administracijoje ir jai pavaldžiose įstaigose. I etapas</v>
      </c>
      <c r="E165" s="342" t="str">
        <f>CONCATENATE('IV-2 amsa'!E67)</f>
        <v>Alytaus miesto savivaldybės administracija</v>
      </c>
      <c r="F165" s="342" t="str">
        <f>CONCATENATE('IV-2 amsa'!F67)</f>
        <v>Lietuvos Respublikos vidaus reikalų ministerija</v>
      </c>
      <c r="G165" s="342" t="str">
        <f>CONCATENATE('IV-2 amsa'!G67)</f>
        <v>Alytaus m. sav.</v>
      </c>
      <c r="H165" s="345" t="str">
        <f>CONCATENATE('IV-2 amsa'!H67)</f>
        <v>10.1.3-ESFA-R-920</v>
      </c>
      <c r="I165" s="345" t="str">
        <f>CONCATENATE('IV-2 amsa'!I67)</f>
        <v>R</v>
      </c>
      <c r="J165" s="345" t="str">
        <f>CONCATENATE('IV-2 amsa'!J67)</f>
        <v>-</v>
      </c>
      <c r="K165" s="345" t="str">
        <f>CONCATENATE('IV-2 amsa'!K67)</f>
        <v>-</v>
      </c>
      <c r="L165" s="1212">
        <f>SUM('IV-2 amsa'!L67)</f>
        <v>215693.16</v>
      </c>
      <c r="M165" s="1212">
        <f ca="1">SUM('ketv. 6 '!L164)</f>
        <v>215693.16</v>
      </c>
      <c r="N165" s="1212">
        <f t="shared" ref="N165" ca="1" si="278">IF(M165&gt;0,L165-M165,0)</f>
        <v>0</v>
      </c>
      <c r="O165" s="1212">
        <f>SUM('IV-2 amsa'!M67)</f>
        <v>32353.98</v>
      </c>
      <c r="P165" s="1212">
        <f ca="1">SUM('ketv. 6 '!P164)</f>
        <v>32353.98</v>
      </c>
      <c r="Q165" s="1212">
        <f t="shared" ca="1" si="267"/>
        <v>0</v>
      </c>
      <c r="R165" s="1212">
        <f>SUM('IV-2 amsa'!N67)</f>
        <v>0</v>
      </c>
      <c r="S165" s="1212">
        <f ca="1">SUM('ketv. 6 '!T164)</f>
        <v>0</v>
      </c>
      <c r="T165" s="1212">
        <f t="shared" ca="1" si="268"/>
        <v>0</v>
      </c>
      <c r="U165" s="1212">
        <f>SUM('IV-2 amsa'!O67)</f>
        <v>0</v>
      </c>
      <c r="V165" s="1212">
        <f ca="1">SUM('ketv. 6 '!X164)</f>
        <v>0</v>
      </c>
      <c r="W165" s="1212">
        <f t="shared" ca="1" si="269"/>
        <v>0</v>
      </c>
      <c r="X165" s="1212">
        <f>SUM('IV-2 amsa'!P67)</f>
        <v>0</v>
      </c>
      <c r="Y165" s="1212">
        <f ca="1">SUM('ketv. 6 '!AB164)</f>
        <v>0</v>
      </c>
      <c r="Z165" s="1212">
        <f t="shared" ca="1" si="270"/>
        <v>0</v>
      </c>
      <c r="AA165" s="1212">
        <f>SUM('IV-2 amsa'!Q67)</f>
        <v>183339.18</v>
      </c>
      <c r="AB165" s="1212">
        <f>SUM('IV-2 vrsa'!R145)</f>
        <v>0</v>
      </c>
      <c r="AC165" s="306" t="str">
        <f>IF('ketv. 4 '!X165&gt;0,"Taip","Ne")</f>
        <v>Taip</v>
      </c>
      <c r="AD165" s="306">
        <f ca="1">SUM('ketv. 6 '!AF164)</f>
        <v>183339.18</v>
      </c>
      <c r="AE165" s="306">
        <f t="shared" ca="1" si="271"/>
        <v>0</v>
      </c>
      <c r="AF165" s="721">
        <f>SUM('IV-2 amsa'!S67)</f>
        <v>43017</v>
      </c>
      <c r="AG165" s="373">
        <f>SUM('IV-2 amsa'!T67)</f>
        <v>43100</v>
      </c>
      <c r="AH165" s="373">
        <f>SUM('IV-2 amsa'!U67)</f>
        <v>43159</v>
      </c>
      <c r="AI165" s="373">
        <f>SUM('IV-2 amsa'!V67)</f>
        <v>43220</v>
      </c>
      <c r="AJ165" s="375">
        <f t="shared" si="272"/>
        <v>2018</v>
      </c>
      <c r="AK165" s="829">
        <f>SUM('IV-2 amsa'!W67)</f>
        <v>44152</v>
      </c>
      <c r="AL165" s="306">
        <f t="shared" si="273"/>
        <v>0</v>
      </c>
      <c r="AM165" s="306">
        <f t="shared" si="274"/>
        <v>0</v>
      </c>
      <c r="AN165" s="306">
        <f t="shared" si="275"/>
        <v>183339.18</v>
      </c>
      <c r="AO165" s="306">
        <f t="shared" si="276"/>
        <v>0</v>
      </c>
      <c r="AP165" s="830">
        <f t="shared" si="277"/>
        <v>0</v>
      </c>
      <c r="AQ165" s="377"/>
      <c r="AR165" s="55"/>
      <c r="AS165" s="55"/>
    </row>
    <row r="166" spans="1:49" ht="39.75" thickTop="1" thickBot="1" x14ac:dyDescent="0.3">
      <c r="A166" s="342" t="s">
        <v>241</v>
      </c>
      <c r="B166" s="342" t="s">
        <v>1377</v>
      </c>
      <c r="C166" s="970" t="str">
        <f>CONCATENATE('ketv. 2'!B165)</f>
        <v>10.1.3-ESFA-R-920-11-0006</v>
      </c>
      <c r="D166" s="342" t="str">
        <f>CONCATENATE('IV-2 dsa'!C69)</f>
        <v>Paslaugų teikimo ir asmenų aptarnavimo kokybės gerinimas Druskininkų savivaldybėje</v>
      </c>
      <c r="E166" s="342" t="str">
        <f>CONCATENATE('IV-2 dsa'!D69)</f>
        <v>Druskininkų savivaldybės administracija</v>
      </c>
      <c r="F166" s="342" t="str">
        <f>CONCATENATE('IV-2 dsa'!E69)</f>
        <v>Lietuvos Respublikos vidaus reikalų ministerija</v>
      </c>
      <c r="G166" s="342" t="str">
        <f>CONCATENATE('IV-2 dsa'!F69)</f>
        <v>Druskininkų sav.</v>
      </c>
      <c r="H166" s="345" t="str">
        <f>CONCATENATE('IV-2 dsa'!G69)</f>
        <v>10.1.3-ESFA-R-920</v>
      </c>
      <c r="I166" s="345" t="str">
        <f>CONCATENATE('IV-2 dsa'!H69)</f>
        <v>R</v>
      </c>
      <c r="J166" s="345" t="str">
        <f>CONCATENATE('IV-2 dsa'!I69)</f>
        <v>-</v>
      </c>
      <c r="K166" s="345" t="str">
        <f>CONCATENATE('IV-2 dsa'!J69)</f>
        <v>-</v>
      </c>
      <c r="L166" s="1212">
        <f>SUM('IV-2 dsa'!K69)</f>
        <v>161741.96</v>
      </c>
      <c r="M166" s="1212">
        <f ca="1">SUM('ketv. 6 '!L165)</f>
        <v>161741.96</v>
      </c>
      <c r="N166" s="1212">
        <f t="shared" ca="1" si="266"/>
        <v>0</v>
      </c>
      <c r="O166" s="1212">
        <f>SUM('IV-2 dsa'!L69)</f>
        <v>24392.16</v>
      </c>
      <c r="P166" s="1212">
        <f ca="1">SUM('ketv. 6 '!P165)</f>
        <v>24392.16</v>
      </c>
      <c r="Q166" s="1212">
        <f t="shared" ca="1" si="267"/>
        <v>0</v>
      </c>
      <c r="R166" s="1212">
        <f>SUM('IV-2 dsa'!M69)</f>
        <v>0</v>
      </c>
      <c r="S166" s="1212">
        <f ca="1">SUM('ketv. 6 '!T165)</f>
        <v>0</v>
      </c>
      <c r="T166" s="1212">
        <f t="shared" ca="1" si="268"/>
        <v>0</v>
      </c>
      <c r="U166" s="1212">
        <f>SUM('IV-2 dsa'!N69)</f>
        <v>0</v>
      </c>
      <c r="V166" s="1212">
        <f ca="1">SUM('ketv. 6 '!X165)</f>
        <v>0</v>
      </c>
      <c r="W166" s="1212">
        <f t="shared" ca="1" si="269"/>
        <v>0</v>
      </c>
      <c r="X166" s="1212">
        <f>SUM('IV-2 dsa'!O69)</f>
        <v>0</v>
      </c>
      <c r="Y166" s="1212">
        <f ca="1">SUM('ketv. 6 '!AB165)</f>
        <v>0</v>
      </c>
      <c r="Z166" s="1212">
        <f t="shared" ca="1" si="270"/>
        <v>0</v>
      </c>
      <c r="AA166" s="1212">
        <f>SUM('IV-2 dsa'!P69)</f>
        <v>137349.79999999999</v>
      </c>
      <c r="AB166" s="1212">
        <f>SUM('IV-2 vrsa'!R146)</f>
        <v>0</v>
      </c>
      <c r="AC166" s="306" t="str">
        <f>IF('ketv. 4 '!X166&gt;0,"Taip","Ne")</f>
        <v>Taip</v>
      </c>
      <c r="AD166" s="306">
        <f ca="1">SUM('ketv. 6 '!AF165)</f>
        <v>137349.79999999999</v>
      </c>
      <c r="AE166" s="306">
        <f t="shared" ca="1" si="271"/>
        <v>0</v>
      </c>
      <c r="AF166" s="721">
        <f>SUM('IV-2 dsa'!R69)</f>
        <v>43017</v>
      </c>
      <c r="AG166" s="373">
        <f>SUM('IV-2 dsa'!S69)</f>
        <v>42992</v>
      </c>
      <c r="AH166" s="373">
        <f>SUM('IV-2 dsa'!T69)</f>
        <v>43146</v>
      </c>
      <c r="AI166" s="373">
        <f>SUM('IV-2 dsa'!U69)</f>
        <v>43235</v>
      </c>
      <c r="AJ166" s="375">
        <f t="shared" si="272"/>
        <v>2018</v>
      </c>
      <c r="AK166" s="829">
        <f>SUM('IV-2 dsa'!V69)</f>
        <v>44103.5</v>
      </c>
      <c r="AL166" s="306">
        <f t="shared" si="273"/>
        <v>0</v>
      </c>
      <c r="AM166" s="306">
        <f t="shared" si="274"/>
        <v>0</v>
      </c>
      <c r="AN166" s="306">
        <f t="shared" si="275"/>
        <v>137349.79999999999</v>
      </c>
      <c r="AO166" s="306">
        <f t="shared" si="276"/>
        <v>0</v>
      </c>
      <c r="AP166" s="830">
        <f t="shared" si="277"/>
        <v>0</v>
      </c>
      <c r="AQ166" s="377"/>
      <c r="AR166" s="55"/>
      <c r="AS166" s="55"/>
    </row>
    <row r="167" spans="1:49" ht="49.5" customHeight="1" thickTop="1" thickBot="1" x14ac:dyDescent="0.3">
      <c r="A167" s="342" t="s">
        <v>811</v>
      </c>
      <c r="B167" s="977" t="s">
        <v>1378</v>
      </c>
      <c r="C167" s="970"/>
      <c r="D167" s="977" t="str">
        <f>CONCATENATE('IV-2 amsa'!D68)</f>
        <v>Teikiamų paslaugų procesų tobulinimas ir asmenų aptarnavimo kokybės gerinimas Alytaus m. sav. administracijoje ir jai pavaldžiose įstaigose. II etapas</v>
      </c>
      <c r="E167" s="977" t="str">
        <f>CONCATENATE('IV-2 amsa'!E68)</f>
        <v>Alytaus miesto savivaldybės administracija</v>
      </c>
      <c r="F167" s="977" t="str">
        <f>CONCATENATE('IV-2 amsa'!F68)</f>
        <v>Lietuvos Respublikos vidaus reikalų ministerija</v>
      </c>
      <c r="G167" s="977" t="str">
        <f>CONCATENATE('IV-2 amsa'!G68)</f>
        <v>Alytaus m. sav.</v>
      </c>
      <c r="H167" s="978" t="str">
        <f>CONCATENATE('IV-2 amsa'!H68)</f>
        <v>10.1.3-ESFA-R-920</v>
      </c>
      <c r="I167" s="978" t="str">
        <f>CONCATENATE('IV-2 amsa'!I68)</f>
        <v>R</v>
      </c>
      <c r="J167" s="978" t="str">
        <f>CONCATENATE('IV-2 amsa'!J68)</f>
        <v>-</v>
      </c>
      <c r="K167" s="978" t="str">
        <f>CONCATENATE('IV-2 amsa'!K68)</f>
        <v>-</v>
      </c>
      <c r="L167" s="1212">
        <f>SUM('IV-2 amsa'!L68)</f>
        <v>200000</v>
      </c>
      <c r="M167" s="1212">
        <f ca="1">SUM('ketv. 6 '!L166)</f>
        <v>0</v>
      </c>
      <c r="N167" s="1212">
        <f ca="1">IF(M166&gt;0,L166-M166,0)</f>
        <v>0</v>
      </c>
      <c r="O167" s="1212">
        <f>SUM('IV-2 amsa'!M68)</f>
        <v>30000</v>
      </c>
      <c r="P167" s="1212">
        <f ca="1">SUM('ketv. 6 '!P166)</f>
        <v>0</v>
      </c>
      <c r="Q167" s="1212">
        <f t="shared" ref="Q167" ca="1" si="279">IF(P167&gt;0,O167-P167,0)</f>
        <v>0</v>
      </c>
      <c r="R167" s="1212">
        <f>SUM('IV-2 amsa'!N68)</f>
        <v>0</v>
      </c>
      <c r="S167" s="1212">
        <f ca="1">SUM('ketv. 6 '!T166)</f>
        <v>0</v>
      </c>
      <c r="T167" s="1212">
        <f t="shared" ref="T167" ca="1" si="280">IF(S167&gt;0,R167-S167,0)</f>
        <v>0</v>
      </c>
      <c r="U167" s="1212">
        <f>SUM('IV-2 amsa'!O68)</f>
        <v>0</v>
      </c>
      <c r="V167" s="1212">
        <f ca="1">SUM('ketv. 6 '!X166)</f>
        <v>0</v>
      </c>
      <c r="W167" s="1212">
        <f t="shared" ref="W167" ca="1" si="281">IF(V167&gt;0,U167-V167,0)</f>
        <v>0</v>
      </c>
      <c r="X167" s="1212">
        <f>SUM('IV-2 amsa'!P68)</f>
        <v>0</v>
      </c>
      <c r="Y167" s="1212">
        <f ca="1">SUM('ketv. 6 '!AB166)</f>
        <v>0</v>
      </c>
      <c r="Z167" s="1212">
        <f t="shared" ref="Z167" ca="1" si="282">IF(Y167&gt;0,X167-Y167,0)</f>
        <v>0</v>
      </c>
      <c r="AA167" s="1212">
        <f>SUM('IV-2 amsa'!Q68)</f>
        <v>170000</v>
      </c>
      <c r="AB167" s="1212">
        <f>SUM('IV-2 vrsa'!R147)</f>
        <v>0</v>
      </c>
      <c r="AC167" s="306" t="str">
        <f>IF('ketv. 4 '!X167&gt;0,"Taip","Ne")</f>
        <v>Ne</v>
      </c>
      <c r="AD167" s="306">
        <f ca="1">SUM('ketv. 6 '!AF166)</f>
        <v>0</v>
      </c>
      <c r="AE167" s="306">
        <f t="shared" ca="1" si="271"/>
        <v>0</v>
      </c>
      <c r="AF167" s="721">
        <f>SUM('IV-2 amsa'!S68)</f>
        <v>43434</v>
      </c>
      <c r="AG167" s="373">
        <f>SUM('IV-2 amsa'!T68)</f>
        <v>43465</v>
      </c>
      <c r="AH167" s="373">
        <f>SUM('IV-2 amsa'!U68)</f>
        <v>43524</v>
      </c>
      <c r="AI167" s="373">
        <f>SUM('IV-2 amsa'!V68)</f>
        <v>43616</v>
      </c>
      <c r="AJ167" s="375">
        <f t="shared" si="272"/>
        <v>2019</v>
      </c>
      <c r="AK167" s="829">
        <f>SUM('IV-2 amsa'!W68)</f>
        <v>44196</v>
      </c>
      <c r="AL167" s="306">
        <f t="shared" si="273"/>
        <v>0</v>
      </c>
      <c r="AM167" s="306">
        <f t="shared" si="274"/>
        <v>0</v>
      </c>
      <c r="AN167" s="306">
        <f t="shared" si="275"/>
        <v>0</v>
      </c>
      <c r="AO167" s="306">
        <f t="shared" si="276"/>
        <v>170000</v>
      </c>
      <c r="AP167" s="830">
        <f t="shared" si="277"/>
        <v>0</v>
      </c>
      <c r="AQ167" s="377"/>
      <c r="AR167" s="55"/>
      <c r="AS167" s="55"/>
    </row>
    <row r="168" spans="1:49" ht="40.5" customHeight="1" thickBot="1" x14ac:dyDescent="0.3">
      <c r="A168" s="996" t="s">
        <v>40</v>
      </c>
      <c r="B168" s="1876" t="s">
        <v>1511</v>
      </c>
      <c r="C168" s="1847"/>
      <c r="D168" s="1847"/>
      <c r="E168" s="1847"/>
      <c r="F168" s="1847"/>
      <c r="G168" s="1847"/>
      <c r="H168" s="1847"/>
      <c r="I168" s="1847"/>
      <c r="J168" s="1847"/>
      <c r="K168" s="1848"/>
      <c r="L168" s="1236">
        <f t="shared" ref="L168:AA168" si="283">SUM(L169+L172)</f>
        <v>6638484.8511764705</v>
      </c>
      <c r="M168" s="1236"/>
      <c r="N168" s="1236"/>
      <c r="O168" s="1785">
        <f t="shared" si="283"/>
        <v>1154049.3311764705</v>
      </c>
      <c r="P168" s="1236"/>
      <c r="Q168" s="1236"/>
      <c r="R168" s="1236">
        <f t="shared" si="283"/>
        <v>0</v>
      </c>
      <c r="S168" s="1236"/>
      <c r="T168" s="1236"/>
      <c r="U168" s="1236">
        <f t="shared" si="283"/>
        <v>0</v>
      </c>
      <c r="V168" s="1236"/>
      <c r="W168" s="1236"/>
      <c r="X168" s="1236">
        <f t="shared" si="283"/>
        <v>0</v>
      </c>
      <c r="Y168" s="1236"/>
      <c r="Z168" s="1236"/>
      <c r="AA168" s="1785">
        <f t="shared" si="283"/>
        <v>5484435.5199999996</v>
      </c>
      <c r="AB168" s="1236">
        <f>SUM('IV-2 vrsa'!R148)</f>
        <v>0</v>
      </c>
      <c r="AC168" s="853"/>
      <c r="AD168" s="853"/>
      <c r="AE168" s="853"/>
      <c r="AF168" s="853"/>
      <c r="AG168" s="869"/>
      <c r="AH168" s="869"/>
      <c r="AI168" s="869"/>
      <c r="AJ168" s="870"/>
      <c r="AK168" s="871"/>
      <c r="AL168" s="306"/>
      <c r="AM168" s="819"/>
      <c r="AN168" s="819"/>
      <c r="AO168" s="819"/>
      <c r="AP168" s="819"/>
      <c r="AQ168" s="55">
        <f>SUM(AQ169+AQ172)</f>
        <v>5484436.7699999996</v>
      </c>
      <c r="AR168" s="55">
        <f>SUM(AR169+AR172)</f>
        <v>6581324.1239999998</v>
      </c>
      <c r="AS168" s="55">
        <f>SUM(AS169+AS172)</f>
        <v>1.25</v>
      </c>
    </row>
    <row r="169" spans="1:49" ht="33.75" customHeight="1" thickBot="1" x14ac:dyDescent="0.3">
      <c r="A169" s="976" t="s">
        <v>41</v>
      </c>
      <c r="B169" s="1846" t="s">
        <v>1512</v>
      </c>
      <c r="C169" s="1847"/>
      <c r="D169" s="1847"/>
      <c r="E169" s="1847"/>
      <c r="F169" s="1847"/>
      <c r="G169" s="1847"/>
      <c r="H169" s="1847"/>
      <c r="I169" s="1847"/>
      <c r="J169" s="1847"/>
      <c r="K169" s="1848"/>
      <c r="L169" s="1227">
        <f>SUM(L170)</f>
        <v>4130687.05</v>
      </c>
      <c r="M169" s="1227"/>
      <c r="N169" s="1227"/>
      <c r="O169" s="1227">
        <f t="shared" ref="O169:AA169" si="284">SUM(O170)</f>
        <v>777879.2799999998</v>
      </c>
      <c r="P169" s="1227"/>
      <c r="Q169" s="1227"/>
      <c r="R169" s="1227">
        <f t="shared" si="284"/>
        <v>0</v>
      </c>
      <c r="S169" s="1227"/>
      <c r="T169" s="1227"/>
      <c r="U169" s="1227">
        <f t="shared" si="284"/>
        <v>0</v>
      </c>
      <c r="V169" s="1227"/>
      <c r="W169" s="1227"/>
      <c r="X169" s="1227">
        <f t="shared" si="284"/>
        <v>0</v>
      </c>
      <c r="Y169" s="1227"/>
      <c r="Z169" s="1227"/>
      <c r="AA169" s="1227">
        <f t="shared" si="284"/>
        <v>3352807.77</v>
      </c>
      <c r="AB169" s="1227">
        <f>SUM('IV-2 vrsa'!R149)</f>
        <v>0</v>
      </c>
      <c r="AC169" s="139"/>
      <c r="AD169" s="139"/>
      <c r="AE169" s="139"/>
      <c r="AF169" s="139"/>
      <c r="AG169" s="869"/>
      <c r="AH169" s="869"/>
      <c r="AI169" s="869"/>
      <c r="AJ169" s="870"/>
      <c r="AK169" s="871"/>
      <c r="AL169" s="306"/>
      <c r="AM169" s="819"/>
      <c r="AN169" s="819"/>
      <c r="AO169" s="819"/>
      <c r="AP169" s="819"/>
      <c r="AQ169" s="55">
        <f>SUM(AQ170)</f>
        <v>3352807.77</v>
      </c>
      <c r="AR169" s="55">
        <f>SUM(AR170)</f>
        <v>4023369.3239999996</v>
      </c>
      <c r="AS169" s="55">
        <f>SUM(AS170)</f>
        <v>0</v>
      </c>
    </row>
    <row r="170" spans="1:49" ht="32.25" customHeight="1" thickBot="1" x14ac:dyDescent="0.3">
      <c r="A170" s="997" t="s">
        <v>42</v>
      </c>
      <c r="B170" s="1875" t="s">
        <v>1513</v>
      </c>
      <c r="C170" s="1847"/>
      <c r="D170" s="1847"/>
      <c r="E170" s="1847"/>
      <c r="F170" s="1847"/>
      <c r="G170" s="1847"/>
      <c r="H170" s="1847"/>
      <c r="I170" s="1847"/>
      <c r="J170" s="1847"/>
      <c r="K170" s="1848"/>
      <c r="L170" s="1213">
        <f t="shared" ref="L170:AA170" si="285">SUM(L171:L171)</f>
        <v>4130687.05</v>
      </c>
      <c r="M170" s="1213">
        <f ca="1">SUM(M171)</f>
        <v>4130687.05</v>
      </c>
      <c r="N170" s="1213">
        <f ca="1">SUM(N171)</f>
        <v>0</v>
      </c>
      <c r="O170" s="1213">
        <f t="shared" si="285"/>
        <v>777879.2799999998</v>
      </c>
      <c r="P170" s="1213">
        <f ca="1">SUM(P171)</f>
        <v>0</v>
      </c>
      <c r="Q170" s="1213">
        <f ca="1">SUM(Q171)</f>
        <v>0</v>
      </c>
      <c r="R170" s="1213">
        <f t="shared" si="285"/>
        <v>0</v>
      </c>
      <c r="S170" s="1213">
        <f ca="1">SUM(S171)</f>
        <v>0</v>
      </c>
      <c r="T170" s="1213">
        <f ca="1">SUM(T171)</f>
        <v>0</v>
      </c>
      <c r="U170" s="1213">
        <f t="shared" si="285"/>
        <v>0</v>
      </c>
      <c r="V170" s="1213">
        <f ca="1">SUM(V171)</f>
        <v>777879.28</v>
      </c>
      <c r="W170" s="1213">
        <f ca="1">SUM(W171)</f>
        <v>-777879.28</v>
      </c>
      <c r="X170" s="1213">
        <f t="shared" si="285"/>
        <v>0</v>
      </c>
      <c r="Y170" s="1213">
        <f ca="1">SUM(Y171)</f>
        <v>0</v>
      </c>
      <c r="Z170" s="1213">
        <f ca="1">SUM(Z171)</f>
        <v>0</v>
      </c>
      <c r="AA170" s="1213">
        <f t="shared" si="285"/>
        <v>3352807.77</v>
      </c>
      <c r="AB170" s="1213">
        <f>SUM('IV-2 vrsa'!R150)</f>
        <v>0</v>
      </c>
      <c r="AC170" s="835"/>
      <c r="AD170" s="835">
        <f ca="1">SUM(AD171)</f>
        <v>3352807.77</v>
      </c>
      <c r="AE170" s="835">
        <f ca="1">SUM(AE171)</f>
        <v>0</v>
      </c>
      <c r="AF170" s="835"/>
      <c r="AG170" s="836"/>
      <c r="AH170" s="836"/>
      <c r="AI170" s="836"/>
      <c r="AJ170" s="837"/>
      <c r="AK170" s="838"/>
      <c r="AL170" s="835">
        <f>SUM(AL171)</f>
        <v>0</v>
      </c>
      <c r="AM170" s="306">
        <f t="shared" ref="AM170:AP170" si="286">SUM(AM171)</f>
        <v>3352807.77</v>
      </c>
      <c r="AN170" s="306">
        <f t="shared" si="286"/>
        <v>0</v>
      </c>
      <c r="AO170" s="306">
        <f t="shared" si="286"/>
        <v>0</v>
      </c>
      <c r="AP170" s="306">
        <f t="shared" si="286"/>
        <v>0</v>
      </c>
      <c r="AQ170" s="55">
        <f>SUM('IV-2 amsa'!X71+'IV-2 arsa'!W67+'IV-2 dsa'!W72+'IV-2 lrsa'!X66+'IV-2 vrsa'!X73)</f>
        <v>3352807.77</v>
      </c>
      <c r="AR170" s="55">
        <f>SUM(AQ170*120/100)</f>
        <v>4023369.3239999996</v>
      </c>
      <c r="AS170" s="55">
        <f>SUM(AQ170-AA170)</f>
        <v>0</v>
      </c>
    </row>
    <row r="171" spans="1:49" ht="39" thickBot="1" x14ac:dyDescent="0.3">
      <c r="A171" s="342" t="s">
        <v>112</v>
      </c>
      <c r="B171" s="998" t="s">
        <v>1379</v>
      </c>
      <c r="C171" s="1014" t="str">
        <f>CONCATENATE('ketv. 2'!B170)</f>
        <v>05.2.1-APVA-R-008-11-0001</v>
      </c>
      <c r="D171" s="998" t="s">
        <v>310</v>
      </c>
      <c r="E171" s="998" t="s">
        <v>190</v>
      </c>
      <c r="F171" s="998" t="s">
        <v>77</v>
      </c>
      <c r="G171" s="998" t="s">
        <v>185</v>
      </c>
      <c r="H171" s="850" t="s">
        <v>191</v>
      </c>
      <c r="I171" s="850" t="s">
        <v>119</v>
      </c>
      <c r="J171" s="850" t="s">
        <v>66</v>
      </c>
      <c r="K171" s="999" t="s">
        <v>66</v>
      </c>
      <c r="L171" s="1217">
        <f>SUM(O171+R171+U171+X171+AA171)</f>
        <v>4130687.05</v>
      </c>
      <c r="M171" s="1217">
        <f ca="1">SUM('ketv. 6 '!L170)</f>
        <v>4130687.05</v>
      </c>
      <c r="N171" s="1217">
        <f ca="1">IF(M171&gt;0,L171-M171,0)</f>
        <v>0</v>
      </c>
      <c r="O171" s="1217">
        <f>SUM('IV-2 amsa'!M72+'IV-2 arsa'!L68+'IV-2 dsa'!L73+'IV-2 lrsa'!M67+'IV-2 vrsa'!M74)</f>
        <v>777879.2799999998</v>
      </c>
      <c r="P171" s="1217">
        <f ca="1">SUM('ketv. 6 '!P170)</f>
        <v>0</v>
      </c>
      <c r="Q171" s="1217">
        <f ca="1">IF(P171&gt;0,O171-P171,0)</f>
        <v>0</v>
      </c>
      <c r="R171" s="1217">
        <f>SUM('IV-2 amsa'!N72+'IV-2 arsa'!M68+'IV-2 dsa'!M73+'IV-2 lrsa'!N67+'IV-2 vrsa'!N74)</f>
        <v>0</v>
      </c>
      <c r="S171" s="1217">
        <f ca="1">SUM('ketv. 6 '!T170)</f>
        <v>0</v>
      </c>
      <c r="T171" s="1217">
        <f ca="1">IF(S171&gt;0,R171-S171,0)</f>
        <v>0</v>
      </c>
      <c r="U171" s="1217">
        <f>SUM('IV-2 amsa'!O72+'IV-2 arsa'!N68+'IV-2 dsa'!N73+'IV-2 lrsa'!O67+'IV-2 vrsa'!O74)</f>
        <v>0</v>
      </c>
      <c r="V171" s="1217">
        <f ca="1">SUM('ketv. 6 '!X170)</f>
        <v>777879.28</v>
      </c>
      <c r="W171" s="1217">
        <f ca="1">IF(V171&gt;0,U171-V171,0)</f>
        <v>-777879.28</v>
      </c>
      <c r="X171" s="1217">
        <f>SUM('IV-2 amsa'!P72+'IV-2 arsa'!O68+'IV-2 dsa'!O73+'IV-2 lrsa'!P67+'IV-2 vrsa'!P74)</f>
        <v>0</v>
      </c>
      <c r="Y171" s="1217">
        <f ca="1">SUM('ketv. 6 '!AB170)</f>
        <v>0</v>
      </c>
      <c r="Z171" s="1217">
        <f ca="1">IF(Y171&gt;0,X171-Y171,0)</f>
        <v>0</v>
      </c>
      <c r="AA171" s="1217">
        <f>SUM('IV-2 amsa'!Q72+'IV-2 arsa'!P68+'IV-2 dsa'!P73+'IV-2 lrsa'!Q67+'IV-2 vrsa'!Q74)</f>
        <v>3352807.77</v>
      </c>
      <c r="AB171" s="1217">
        <f>SUM('IV-2 vrsa'!R151)</f>
        <v>0</v>
      </c>
      <c r="AC171" s="306" t="str">
        <f>IF('ketv. 4 '!X171&gt;0,"Taip","Ne")</f>
        <v>Taip</v>
      </c>
      <c r="AD171" s="306">
        <f ca="1">SUM('ketv. 6 '!AF170)</f>
        <v>3352807.77</v>
      </c>
      <c r="AE171" s="306">
        <f ca="1">IF(AD171&gt;0,AA171-AD171,0)</f>
        <v>0</v>
      </c>
      <c r="AF171" s="721">
        <f>SUM('IV-2 amsa'!S72)</f>
        <v>42590</v>
      </c>
      <c r="AG171" s="373">
        <f>SUM('IV-2 amsa'!T72)</f>
        <v>42754</v>
      </c>
      <c r="AH171" s="373">
        <f>SUM('IV-2 amsa'!U72)</f>
        <v>42916</v>
      </c>
      <c r="AI171" s="373">
        <f>SUM('IV-2 amsa'!V72)</f>
        <v>43008</v>
      </c>
      <c r="AJ171" s="375">
        <f>SUM('IV-2 amsa'!W72)</f>
        <v>43830</v>
      </c>
      <c r="AK171" s="829">
        <f>SUM('IV-2 amsa'!W72)</f>
        <v>43830</v>
      </c>
      <c r="AL171" s="306">
        <f>IF(YEAR(AI171)=2016,AA171,0)</f>
        <v>0</v>
      </c>
      <c r="AM171" s="306">
        <f>IF(YEAR(AI171)=2017,AA171,0)</f>
        <v>3352807.77</v>
      </c>
      <c r="AN171" s="306">
        <f>IF(YEAR(AI171)=2018,AA171,0)</f>
        <v>0</v>
      </c>
      <c r="AO171" s="306">
        <f>IF(YEAR(AI171)=2019,AA171,0)</f>
        <v>0</v>
      </c>
      <c r="AP171" s="830">
        <f>IF(YEAR(AI171)=2020,AA171,0)</f>
        <v>0</v>
      </c>
      <c r="AQ171" s="55"/>
      <c r="AR171" s="55"/>
      <c r="AS171" s="55"/>
    </row>
    <row r="172" spans="1:49" ht="36.75" customHeight="1" thickBot="1" x14ac:dyDescent="0.3">
      <c r="A172" s="976" t="s">
        <v>43</v>
      </c>
      <c r="B172" s="1846" t="s">
        <v>1514</v>
      </c>
      <c r="C172" s="1847"/>
      <c r="D172" s="1847"/>
      <c r="E172" s="1847"/>
      <c r="F172" s="1847"/>
      <c r="G172" s="1847"/>
      <c r="H172" s="1847"/>
      <c r="I172" s="1847"/>
      <c r="J172" s="1847"/>
      <c r="K172" s="1848"/>
      <c r="L172" s="1227">
        <f>SUM(L173)</f>
        <v>2507797.8011764702</v>
      </c>
      <c r="M172" s="1227"/>
      <c r="N172" s="1227"/>
      <c r="O172" s="1308">
        <f t="shared" ref="O172:AA172" si="287">SUM(O173)</f>
        <v>376170.05117647059</v>
      </c>
      <c r="P172" s="1227"/>
      <c r="Q172" s="1227"/>
      <c r="R172" s="1227">
        <f t="shared" si="287"/>
        <v>0</v>
      </c>
      <c r="S172" s="1227"/>
      <c r="T172" s="1227"/>
      <c r="U172" s="1227">
        <f t="shared" si="287"/>
        <v>0</v>
      </c>
      <c r="V172" s="1227"/>
      <c r="W172" s="1227"/>
      <c r="X172" s="1227">
        <f t="shared" si="287"/>
        <v>0</v>
      </c>
      <c r="Y172" s="1227"/>
      <c r="Z172" s="1227"/>
      <c r="AA172" s="1308">
        <f t="shared" si="287"/>
        <v>2131627.75</v>
      </c>
      <c r="AB172" s="1227">
        <f>SUM('IV-2 vrsa'!R152)</f>
        <v>0</v>
      </c>
      <c r="AC172" s="139"/>
      <c r="AD172" s="139"/>
      <c r="AE172" s="139"/>
      <c r="AF172" s="139"/>
      <c r="AG172" s="869"/>
      <c r="AH172" s="869"/>
      <c r="AI172" s="869"/>
      <c r="AJ172" s="870"/>
      <c r="AK172" s="871"/>
      <c r="AL172" s="306"/>
      <c r="AM172" s="819"/>
      <c r="AN172" s="819"/>
      <c r="AO172" s="819"/>
      <c r="AP172" s="819"/>
      <c r="AQ172" s="55">
        <f>SUM(AQ173)</f>
        <v>2131629</v>
      </c>
      <c r="AR172" s="55">
        <f>SUM(AR173)</f>
        <v>2557954.7999999998</v>
      </c>
      <c r="AS172" s="55">
        <f>SUM(AS173)</f>
        <v>1.25</v>
      </c>
    </row>
    <row r="173" spans="1:49" ht="32.25" customHeight="1" thickBot="1" x14ac:dyDescent="0.3">
      <c r="A173" s="824" t="s">
        <v>113</v>
      </c>
      <c r="B173" s="1852" t="s">
        <v>1515</v>
      </c>
      <c r="C173" s="1850"/>
      <c r="D173" s="1850"/>
      <c r="E173" s="1850"/>
      <c r="F173" s="1850"/>
      <c r="G173" s="1850"/>
      <c r="H173" s="1850"/>
      <c r="I173" s="1850"/>
      <c r="J173" s="1850"/>
      <c r="K173" s="1851"/>
      <c r="L173" s="1213">
        <f t="shared" ref="L173:X173" si="288">SUM(L174:L182)</f>
        <v>2507797.8011764702</v>
      </c>
      <c r="M173" s="1213">
        <f t="shared" ca="1" si="288"/>
        <v>1256409.6201235298</v>
      </c>
      <c r="N173" s="1213">
        <f t="shared" ca="1" si="288"/>
        <v>547384.96105294058</v>
      </c>
      <c r="O173" s="1781">
        <f t="shared" si="288"/>
        <v>376170.05117647059</v>
      </c>
      <c r="P173" s="1213">
        <f t="shared" ca="1" si="288"/>
        <v>188462.04090695237</v>
      </c>
      <c r="Q173" s="1213">
        <f t="shared" ca="1" si="288"/>
        <v>82107.180269518212</v>
      </c>
      <c r="R173" s="1213">
        <f t="shared" si="288"/>
        <v>0</v>
      </c>
      <c r="S173" s="1213">
        <f t="shared" ca="1" si="288"/>
        <v>0.83594160408870366</v>
      </c>
      <c r="T173" s="1213">
        <f t="shared" ca="1" si="288"/>
        <v>-0.83594160408870366</v>
      </c>
      <c r="U173" s="1213">
        <f t="shared" si="288"/>
        <v>0</v>
      </c>
      <c r="V173" s="1213">
        <f t="shared" ca="1" si="288"/>
        <v>0.86871478821908921</v>
      </c>
      <c r="W173" s="1213">
        <f t="shared" ca="1" si="288"/>
        <v>-0.86871478821908921</v>
      </c>
      <c r="X173" s="1213">
        <f t="shared" si="288"/>
        <v>0</v>
      </c>
      <c r="Y173" s="1213">
        <f ca="1">SUM(Y174:Y181)</f>
        <v>0</v>
      </c>
      <c r="Z173" s="1213">
        <f ca="1">SUM(Z174:Z181)</f>
        <v>0</v>
      </c>
      <c r="AA173" s="1781">
        <f>SUM(AA174:AA182)</f>
        <v>2131627.75</v>
      </c>
      <c r="AB173" s="1213">
        <f>SUM('IV-2 vrsa'!R153)</f>
        <v>0</v>
      </c>
      <c r="AC173" s="835"/>
      <c r="AD173" s="835">
        <f ca="1">SUM(AD174:AD181)</f>
        <v>1067947.48</v>
      </c>
      <c r="AE173" s="835">
        <f ca="1">SUM(AE174:AE181)</f>
        <v>390032.4</v>
      </c>
      <c r="AF173" s="835"/>
      <c r="AG173" s="836"/>
      <c r="AH173" s="836"/>
      <c r="AI173" s="836"/>
      <c r="AJ173" s="837"/>
      <c r="AK173" s="838"/>
      <c r="AL173" s="306">
        <f t="shared" ref="AL173:AP173" si="289">SUM(AL174:AL182)</f>
        <v>0</v>
      </c>
      <c r="AM173" s="306">
        <f t="shared" si="289"/>
        <v>831922.88</v>
      </c>
      <c r="AN173" s="306">
        <f t="shared" si="289"/>
        <v>626057</v>
      </c>
      <c r="AO173" s="306">
        <f t="shared" si="289"/>
        <v>673647.87</v>
      </c>
      <c r="AP173" s="306">
        <f t="shared" si="289"/>
        <v>0</v>
      </c>
      <c r="AQ173" s="378">
        <v>2131629</v>
      </c>
      <c r="AR173" s="55">
        <f>SUM(AQ173*120/100)</f>
        <v>2557954.7999999998</v>
      </c>
      <c r="AS173" s="55">
        <f>SUM(AQ173-AA173)</f>
        <v>1.25</v>
      </c>
    </row>
    <row r="174" spans="1:49" ht="39.75" thickTop="1" thickBot="1" x14ac:dyDescent="0.3">
      <c r="A174" s="342" t="s">
        <v>114</v>
      </c>
      <c r="B174" s="342" t="s">
        <v>1380</v>
      </c>
      <c r="C174" s="970" t="str">
        <f>CONCATENATE('ketv. 2'!B173)</f>
        <v>05.5.1-APVA-R-019-11-0002</v>
      </c>
      <c r="D174" s="342" t="str">
        <f>CONCATENATE('IV-2 vrsa'!D77)</f>
        <v>Kraštovaizdžio formavimas ir tvarkymas Varėnos r. savivaldybėje (I etapas)</v>
      </c>
      <c r="E174" s="342" t="str">
        <f>CONCATENATE('IV-2 vrsa'!E77)</f>
        <v>Varėnos rajono savivaldybės administracija</v>
      </c>
      <c r="F174" s="342" t="str">
        <f>CONCATENATE('IV-2 vrsa'!F77)</f>
        <v>Lietuvos Respublikos aplinkos ministerija</v>
      </c>
      <c r="G174" s="342" t="str">
        <f>CONCATENATE('IV-2 vrsa'!G77)</f>
        <v>Varėnos r. sav.</v>
      </c>
      <c r="H174" s="345" t="str">
        <f>CONCATENATE('IV-2 vrsa'!H77)</f>
        <v>05.5.1-APVA-R-019</v>
      </c>
      <c r="I174" s="345" t="str">
        <f>CONCATENATE('IV-2 vrsa'!I77)</f>
        <v>R</v>
      </c>
      <c r="J174" s="345" t="str">
        <f>CONCATENATE('IV-2 vrsa'!J77)</f>
        <v>-</v>
      </c>
      <c r="K174" s="345" t="str">
        <f>CONCATENATE('IV-2 vrsa'!K77)</f>
        <v>-</v>
      </c>
      <c r="L174" s="1217">
        <f>SUM('IV-2 vrsa'!L77)</f>
        <v>309522</v>
      </c>
      <c r="M174" s="1217">
        <f ca="1">SUM('ketv. 6 '!L173)</f>
        <v>309522</v>
      </c>
      <c r="N174" s="1217">
        <f t="shared" ref="N174:N181" ca="1" si="290">IF(M174&gt;0,L174-M174,0)</f>
        <v>0</v>
      </c>
      <c r="O174" s="1780">
        <f>SUM('IV-2 vrsa'!M77)</f>
        <v>46428.3</v>
      </c>
      <c r="P174" s="1217">
        <f ca="1">SUM('ketv. 6 '!P173)</f>
        <v>46428.3</v>
      </c>
      <c r="Q174" s="1217">
        <f ca="1">IF(P174&gt;0,O174-P174,0)</f>
        <v>0</v>
      </c>
      <c r="R174" s="1217">
        <f>SUM('IV-2 vrsa'!N77)</f>
        <v>0</v>
      </c>
      <c r="S174" s="1217">
        <f ca="1">SUM('ketv. 6 '!T173)</f>
        <v>0</v>
      </c>
      <c r="T174" s="1217">
        <f t="shared" ref="T174:T181" ca="1" si="291">IF(S174&gt;0,R174-S174,0)</f>
        <v>0</v>
      </c>
      <c r="U174" s="1217">
        <f>SUM('IV-2 vrsa'!O77)</f>
        <v>0</v>
      </c>
      <c r="V174" s="1217">
        <f ca="1">SUM('ketv. 6 '!X173)</f>
        <v>0</v>
      </c>
      <c r="W174" s="1217">
        <f t="shared" ref="W174:W181" ca="1" si="292">IF(V174&gt;0,U174-V174,0)</f>
        <v>0</v>
      </c>
      <c r="X174" s="1217">
        <f>SUM('IV-2 vrsa'!P77)</f>
        <v>0</v>
      </c>
      <c r="Y174" s="1217">
        <f ca="1">SUM('ketv. 6 '!AB173)</f>
        <v>0</v>
      </c>
      <c r="Z174" s="1217">
        <f t="shared" ref="Z174:Z181" ca="1" si="293">IF(Y174&gt;0,X174-Y174,0)</f>
        <v>0</v>
      </c>
      <c r="AA174" s="1780">
        <f>SUM('IV-2 vrsa'!Q77)</f>
        <v>263093.7</v>
      </c>
      <c r="AB174" s="1217">
        <f>SUM('IV-2 vrsa'!R154)</f>
        <v>0</v>
      </c>
      <c r="AC174" s="306" t="str">
        <f>IF('ketv. 4 '!X174&gt;0,"Taip","Ne")</f>
        <v>Taip</v>
      </c>
      <c r="AD174" s="306">
        <f ca="1">SUM('ketv. 6 '!AF173)</f>
        <v>263093.7</v>
      </c>
      <c r="AE174" s="306">
        <f t="shared" ref="AE174:AE181" ca="1" si="294">IF(AD174&gt;0,AA174-AD174,0)</f>
        <v>0</v>
      </c>
      <c r="AF174" s="721">
        <f>SUM('IV-2 vrsa'!S77)</f>
        <v>42598</v>
      </c>
      <c r="AG174" s="373">
        <f>SUM('IV-2 vrsa'!T77)</f>
        <v>42632</v>
      </c>
      <c r="AH174" s="373">
        <f>SUM('IV-2 vrsa'!U77)</f>
        <v>42795</v>
      </c>
      <c r="AI174" s="373">
        <f>SUM('IV-2 vrsa'!V77)</f>
        <v>42901</v>
      </c>
      <c r="AJ174" s="375">
        <f t="shared" ref="AJ174:AJ181" si="295">IF(YEAR(AI174),YEAR(AI174))</f>
        <v>2017</v>
      </c>
      <c r="AK174" s="1310">
        <f>SUM('IV-2 vrsa'!W77)</f>
        <v>43465</v>
      </c>
      <c r="AL174" s="306">
        <f t="shared" ref="AL174:AL181" si="296">IF(YEAR(AI174)=2016,AA174,0)</f>
        <v>0</v>
      </c>
      <c r="AM174" s="306">
        <f t="shared" ref="AM174:AM181" si="297">IF(YEAR(AI174)=2017,AA174,0)</f>
        <v>263093.7</v>
      </c>
      <c r="AN174" s="306">
        <f t="shared" ref="AN174:AN181" si="298">IF(YEAR(AI174)=2018,AA174,0)</f>
        <v>0</v>
      </c>
      <c r="AO174" s="306">
        <f t="shared" ref="AO174:AO181" si="299">IF(YEAR(AI174)=2019,AA174,0)</f>
        <v>0</v>
      </c>
      <c r="AP174" s="830">
        <f t="shared" ref="AP174:AP181" si="300">IF(YEAR(AI174)=2020,AA174,0)</f>
        <v>0</v>
      </c>
      <c r="AQ174" s="980">
        <v>2131629</v>
      </c>
      <c r="AR174" s="55"/>
      <c r="AS174" s="55"/>
      <c r="AT174" s="56">
        <f>SUM(AK174-AI174)</f>
        <v>564</v>
      </c>
      <c r="AU174" s="736">
        <f>SUM(365/12)</f>
        <v>30.416666666666668</v>
      </c>
      <c r="AV174" s="736">
        <f>SUM(AT174/AU174)</f>
        <v>18.542465753424658</v>
      </c>
      <c r="AW174" s="736"/>
    </row>
    <row r="175" spans="1:49" ht="39.75" thickTop="1" thickBot="1" x14ac:dyDescent="0.3">
      <c r="A175" s="342" t="s">
        <v>211</v>
      </c>
      <c r="B175" s="342" t="s">
        <v>1381</v>
      </c>
      <c r="C175" s="970" t="str">
        <f>CONCATENATE('ketv. 2'!B174)</f>
        <v/>
      </c>
      <c r="D175" s="342" t="str">
        <f>CONCATENATE('IV-2 vrsa'!D78)</f>
        <v>Kraštovaizdžio formavimas ir tvarkymas Varėnos r. savivaldybėje (II etapas)</v>
      </c>
      <c r="E175" s="342" t="str">
        <f>CONCATENATE('IV-2 vrsa'!E78)</f>
        <v>Varėnos rajono savivaldybės administracija</v>
      </c>
      <c r="F175" s="342" t="str">
        <f>CONCATENATE('IV-2 vrsa'!F78)</f>
        <v>Lietuvos Respublikos aplinkos ministerija</v>
      </c>
      <c r="G175" s="342" t="str">
        <f>CONCATENATE('IV-2 vrsa'!G78)</f>
        <v>Varėnos r. sav.</v>
      </c>
      <c r="H175" s="345" t="str">
        <f>CONCATENATE('IV-2 vrsa'!H78)</f>
        <v>05.5.1-APVA-R-019</v>
      </c>
      <c r="I175" s="345" t="str">
        <f>CONCATENATE('IV-2 vrsa'!I78)</f>
        <v>R</v>
      </c>
      <c r="J175" s="345" t="str">
        <f>CONCATENATE('IV-2 vrsa'!J78)</f>
        <v>-</v>
      </c>
      <c r="K175" s="345" t="str">
        <f>CONCATENATE('IV-2 vrsa'!K78)</f>
        <v>-</v>
      </c>
      <c r="L175" s="1217">
        <f>SUM('IV-2 vrsa'!L78)</f>
        <v>554211</v>
      </c>
      <c r="M175" s="1217">
        <f ca="1">SUM('ketv. 6 '!L174)</f>
        <v>0</v>
      </c>
      <c r="N175" s="1217">
        <f t="shared" ca="1" si="290"/>
        <v>0</v>
      </c>
      <c r="O175" s="1217">
        <f>SUM('IV-2 vrsa'!M78)</f>
        <v>83132</v>
      </c>
      <c r="P175" s="1217">
        <f ca="1">SUM('ketv. 6 '!P174)</f>
        <v>0</v>
      </c>
      <c r="Q175" s="1217">
        <f t="shared" ref="Q175:Q181" ca="1" si="301">IF(P175&gt;0,O175-P175,0)</f>
        <v>0</v>
      </c>
      <c r="R175" s="1217">
        <f>SUM('IV-2 vrsa'!N78)</f>
        <v>0</v>
      </c>
      <c r="S175" s="1217">
        <f ca="1">SUM('ketv. 6 '!T174)</f>
        <v>0</v>
      </c>
      <c r="T175" s="1217">
        <f t="shared" ca="1" si="291"/>
        <v>0</v>
      </c>
      <c r="U175" s="1217">
        <f>SUM('IV-2 vrsa'!O78)</f>
        <v>0</v>
      </c>
      <c r="V175" s="1217">
        <f ca="1">SUM('ketv. 6 '!X174)</f>
        <v>0</v>
      </c>
      <c r="W175" s="1217">
        <f t="shared" ca="1" si="292"/>
        <v>0</v>
      </c>
      <c r="X175" s="1217">
        <f>SUM('IV-2 vrsa'!P78)</f>
        <v>0</v>
      </c>
      <c r="Y175" s="1217">
        <f ca="1">SUM('ketv. 6 '!AB174)</f>
        <v>0</v>
      </c>
      <c r="Z175" s="1217">
        <f t="shared" ca="1" si="293"/>
        <v>0</v>
      </c>
      <c r="AA175" s="1217">
        <f>SUM('IV-2 vrsa'!Q78)</f>
        <v>471079</v>
      </c>
      <c r="AB175" s="1217">
        <f>SUM('IV-2 vrsa'!R155)</f>
        <v>0</v>
      </c>
      <c r="AC175" s="306" t="str">
        <f>IF('ketv. 4 '!X175&gt;0,"Taip","Ne")</f>
        <v>Ne</v>
      </c>
      <c r="AD175" s="306">
        <f ca="1">SUM('ketv. 6 '!AF174)</f>
        <v>0</v>
      </c>
      <c r="AE175" s="306">
        <f t="shared" ca="1" si="294"/>
        <v>0</v>
      </c>
      <c r="AF175" s="721">
        <f>SUM('IV-2 vrsa'!S78)</f>
        <v>43277</v>
      </c>
      <c r="AG175" s="373">
        <f>SUM('IV-2 vrsa'!T78)</f>
        <v>43373</v>
      </c>
      <c r="AH175" s="373">
        <f>SUM('IV-2 vrsa'!U78)</f>
        <v>43465</v>
      </c>
      <c r="AI175" s="373">
        <f>SUM('IV-2 vrsa'!V78)</f>
        <v>43555</v>
      </c>
      <c r="AJ175" s="375">
        <f t="shared" si="295"/>
        <v>2019</v>
      </c>
      <c r="AK175" s="829">
        <f>SUM('IV-2 vrsa'!W78)</f>
        <v>44651</v>
      </c>
      <c r="AL175" s="306">
        <f t="shared" si="296"/>
        <v>0</v>
      </c>
      <c r="AM175" s="306">
        <f t="shared" si="297"/>
        <v>0</v>
      </c>
      <c r="AN175" s="306">
        <f t="shared" si="298"/>
        <v>0</v>
      </c>
      <c r="AO175" s="306">
        <f t="shared" si="299"/>
        <v>471079</v>
      </c>
      <c r="AP175" s="830">
        <f t="shared" si="300"/>
        <v>0</v>
      </c>
      <c r="AQ175" s="981"/>
      <c r="AR175" s="55"/>
      <c r="AS175" s="55"/>
      <c r="AT175" s="56">
        <f t="shared" ref="AT175:AT182" si="302">SUM(AK175-AI175)</f>
        <v>1096</v>
      </c>
      <c r="AU175" s="736">
        <f t="shared" ref="AU175:AU182" si="303">SUM(365/12)</f>
        <v>30.416666666666668</v>
      </c>
      <c r="AV175" s="736">
        <f t="shared" ref="AV175:AV182" si="304">SUM(AT175/AU175)</f>
        <v>36.032876712328765</v>
      </c>
    </row>
    <row r="176" spans="1:49" ht="39.75" thickTop="1" thickBot="1" x14ac:dyDescent="0.3">
      <c r="A176" s="342" t="s">
        <v>222</v>
      </c>
      <c r="B176" s="342" t="s">
        <v>1382</v>
      </c>
      <c r="C176" s="970" t="str">
        <f>CONCATENATE('ketv. 2'!B175)</f>
        <v>05.5.1-APVA-R-019-11-0001</v>
      </c>
      <c r="D176" s="342" t="str">
        <f>CONCATENATE('IV-2 arsa'!C71)</f>
        <v>Bešeimininkių apleistų pastatų ir įrenginių tvarkymas Alytaus rajono savivaldybėje</v>
      </c>
      <c r="E176" s="342" t="str">
        <f>CONCATENATE('IV-2 arsa'!D71)</f>
        <v>Alytaus rajono savivaldybės administracija</v>
      </c>
      <c r="F176" s="342" t="str">
        <f>CONCATENATE('IV-2 arsa'!E71)</f>
        <v>Lietuvos Respublikos aplinkos ministerija</v>
      </c>
      <c r="G176" s="342" t="str">
        <f>CONCATENATE('IV-2 arsa'!F71)</f>
        <v>Alytaus r. sav.</v>
      </c>
      <c r="H176" s="345" t="str">
        <f>CONCATENATE('IV-2 arsa'!G71)</f>
        <v>05.5.1-APVA-R-019</v>
      </c>
      <c r="I176" s="345" t="str">
        <f>CONCATENATE('IV-2 arsa'!H71)</f>
        <v>R</v>
      </c>
      <c r="J176" s="345" t="str">
        <f>CONCATENATE('IV-2 arsa'!I71)</f>
        <v/>
      </c>
      <c r="K176" s="345" t="str">
        <f>CONCATENATE('IV-2 arsa'!J71)</f>
        <v/>
      </c>
      <c r="L176" s="1217">
        <f>SUM('IV-2 arsa'!K71)</f>
        <v>101765.7</v>
      </c>
      <c r="M176" s="1217">
        <f ca="1">SUM('ketv. 6 '!L175)</f>
        <v>101765.7</v>
      </c>
      <c r="N176" s="1217">
        <f t="shared" ca="1" si="290"/>
        <v>0</v>
      </c>
      <c r="O176" s="1217">
        <f>SUM('IV-2 arsa'!L71)</f>
        <v>15264.9</v>
      </c>
      <c r="P176" s="1217">
        <f ca="1">SUM('ketv. 6 '!P175)</f>
        <v>15264.9</v>
      </c>
      <c r="Q176" s="1217">
        <f ca="1">IF(P176&gt;0,O176-P176,0)</f>
        <v>0</v>
      </c>
      <c r="R176" s="1217">
        <f>SUM('IV-2 arsa'!M71)</f>
        <v>0</v>
      </c>
      <c r="S176" s="1217">
        <f ca="1">SUM('ketv. 6 '!T175)</f>
        <v>0</v>
      </c>
      <c r="T176" s="1217">
        <f t="shared" ca="1" si="291"/>
        <v>0</v>
      </c>
      <c r="U176" s="1217">
        <f>SUM('IV-2 arsa'!N71)</f>
        <v>0</v>
      </c>
      <c r="V176" s="1217">
        <f ca="1">SUM('ketv. 6 '!X175)</f>
        <v>0</v>
      </c>
      <c r="W176" s="1217">
        <f t="shared" ca="1" si="292"/>
        <v>0</v>
      </c>
      <c r="X176" s="1217">
        <f>SUM('IV-2 arsa'!O71)</f>
        <v>0</v>
      </c>
      <c r="Y176" s="1217">
        <f ca="1">SUM('ketv. 6 '!AB175)</f>
        <v>0</v>
      </c>
      <c r="Z176" s="1217">
        <f t="shared" ca="1" si="293"/>
        <v>0</v>
      </c>
      <c r="AA176" s="1217">
        <f>SUM('IV-2 arsa'!P71)</f>
        <v>86500.800000000003</v>
      </c>
      <c r="AB176" s="1217">
        <f>SUM('IV-2 vrsa'!R156)</f>
        <v>0</v>
      </c>
      <c r="AC176" s="306" t="str">
        <f>IF('ketv. 4 '!X176&gt;0,"Taip","Ne")</f>
        <v>Taip</v>
      </c>
      <c r="AD176" s="306">
        <f ca="1">SUM('ketv. 6 '!AF175)</f>
        <v>86500.800000000003</v>
      </c>
      <c r="AE176" s="306">
        <f t="shared" ca="1" si="294"/>
        <v>0</v>
      </c>
      <c r="AF176" s="721">
        <f>SUM('IV-2 arsa'!R71)</f>
        <v>42598</v>
      </c>
      <c r="AG176" s="373">
        <f>SUM('IV-2 arsa'!S71)</f>
        <v>42632</v>
      </c>
      <c r="AH176" s="373">
        <f>SUM('IV-2 arsa'!T71)</f>
        <v>42767</v>
      </c>
      <c r="AI176" s="373">
        <f>SUM('IV-2 arsa'!U71)</f>
        <v>42998</v>
      </c>
      <c r="AJ176" s="375">
        <f t="shared" si="295"/>
        <v>2017</v>
      </c>
      <c r="AK176" s="829">
        <f>SUM('IV-2 arsa'!V71)</f>
        <v>43465</v>
      </c>
      <c r="AL176" s="306">
        <f t="shared" si="296"/>
        <v>0</v>
      </c>
      <c r="AM176" s="306">
        <f t="shared" si="297"/>
        <v>86500.800000000003</v>
      </c>
      <c r="AN176" s="306">
        <f t="shared" si="298"/>
        <v>0</v>
      </c>
      <c r="AO176" s="306">
        <f t="shared" si="299"/>
        <v>0</v>
      </c>
      <c r="AP176" s="830">
        <f t="shared" si="300"/>
        <v>0</v>
      </c>
      <c r="AQ176" s="379"/>
      <c r="AR176" s="55"/>
      <c r="AS176" s="55"/>
      <c r="AT176" s="56">
        <f t="shared" si="302"/>
        <v>467</v>
      </c>
      <c r="AU176" s="736">
        <f t="shared" si="303"/>
        <v>30.416666666666668</v>
      </c>
      <c r="AV176" s="736">
        <f t="shared" si="304"/>
        <v>15.353424657534246</v>
      </c>
    </row>
    <row r="177" spans="1:48" ht="39.75" thickTop="1" thickBot="1" x14ac:dyDescent="0.3">
      <c r="A177" s="342" t="s">
        <v>248</v>
      </c>
      <c r="B177" s="342" t="s">
        <v>1383</v>
      </c>
      <c r="C177" s="970" t="str">
        <f>CONCATENATE('ketv. 2'!B176)</f>
        <v>05.5.1-APVA-R-019-11-0004</v>
      </c>
      <c r="D177" s="342" t="str">
        <f>CONCATENATE('IV-2 amsa'!D75)</f>
        <v>Alytaus miesto bendrojo plano korektūra zonuojant kraštovaizdžio struktūrą, nustatant reglamentus ir principus</v>
      </c>
      <c r="E177" s="342" t="str">
        <f>CONCATENATE('IV-2 amsa'!E75)</f>
        <v>Alytaus miesto savivaldybės administracija</v>
      </c>
      <c r="F177" s="342" t="str">
        <f>CONCATENATE('IV-2 amsa'!F75)</f>
        <v>Lietuvos Respublikos aplinkos ministerija</v>
      </c>
      <c r="G177" s="342" t="str">
        <f>CONCATENATE('IV-2 amsa'!G75)</f>
        <v>Alytaus m. sav.</v>
      </c>
      <c r="H177" s="345" t="str">
        <f>CONCATENATE('IV-2 amsa'!H75)</f>
        <v>05.5.1-APVA-R-019</v>
      </c>
      <c r="I177" s="345" t="str">
        <f>CONCATENATE('IV-2 amsa'!I75)</f>
        <v>R</v>
      </c>
      <c r="J177" s="345" t="str">
        <f>CONCATENATE('IV-2 amsa'!J75)</f>
        <v/>
      </c>
      <c r="K177" s="345" t="str">
        <f>CONCATENATE('IV-2 amsa'!K75)</f>
        <v>-</v>
      </c>
      <c r="L177" s="1217">
        <f>SUM('IV-2 amsa'!L75)</f>
        <v>3993</v>
      </c>
      <c r="M177" s="1217">
        <f ca="1">SUM('ketv. 6 '!L176)</f>
        <v>3993</v>
      </c>
      <c r="N177" s="1217">
        <f t="shared" ca="1" si="290"/>
        <v>0</v>
      </c>
      <c r="O177" s="1217">
        <f>SUM('IV-2 amsa'!M75)</f>
        <v>598.95000000000005</v>
      </c>
      <c r="P177" s="1217">
        <f ca="1">SUM('ketv. 6 '!P176)</f>
        <v>598.95000000000005</v>
      </c>
      <c r="Q177" s="1217">
        <f ca="1">IF(P177&gt;0,O177-P177,0)</f>
        <v>0</v>
      </c>
      <c r="R177" s="1217">
        <f>SUM('IV-2 amsa'!N75)</f>
        <v>0</v>
      </c>
      <c r="S177" s="1217">
        <f ca="1">SUM('ketv. 6 '!T176)</f>
        <v>0</v>
      </c>
      <c r="T177" s="1217">
        <f t="shared" ca="1" si="291"/>
        <v>0</v>
      </c>
      <c r="U177" s="1217">
        <f>SUM('IV-2 amsa'!O75)</f>
        <v>0</v>
      </c>
      <c r="V177" s="1217">
        <f ca="1">SUM('ketv. 6 '!X176)</f>
        <v>0</v>
      </c>
      <c r="W177" s="1217">
        <f t="shared" ca="1" si="292"/>
        <v>0</v>
      </c>
      <c r="X177" s="1217">
        <f>SUM('IV-2 amsa'!P75)</f>
        <v>0</v>
      </c>
      <c r="Y177" s="1217">
        <f ca="1">SUM('ketv. 6 '!AB176)</f>
        <v>0</v>
      </c>
      <c r="Z177" s="1217">
        <f t="shared" ca="1" si="293"/>
        <v>0</v>
      </c>
      <c r="AA177" s="1217">
        <f>SUM('IV-2 amsa'!Q75)</f>
        <v>3394.05</v>
      </c>
      <c r="AB177" s="1217">
        <f>SUM('IV-2 vrsa'!R157)</f>
        <v>0</v>
      </c>
      <c r="AC177" s="306" t="str">
        <f>IF('ketv. 4 '!X177&gt;0,"Taip","Ne")</f>
        <v>Taip</v>
      </c>
      <c r="AD177" s="306">
        <f ca="1">SUM('ketv. 6 '!AF176)</f>
        <v>3394.05</v>
      </c>
      <c r="AE177" s="306">
        <f t="shared" ca="1" si="294"/>
        <v>0</v>
      </c>
      <c r="AF177" s="721">
        <f>SUM('IV-2 amsa'!S75)</f>
        <v>42598</v>
      </c>
      <c r="AG177" s="373">
        <f>SUM('IV-2 amsa'!T75)</f>
        <v>42632</v>
      </c>
      <c r="AH177" s="373">
        <f>SUM('IV-2 amsa'!U75)</f>
        <v>42874</v>
      </c>
      <c r="AI177" s="373">
        <f>SUM('IV-2 amsa'!V75)</f>
        <v>42965</v>
      </c>
      <c r="AJ177" s="375">
        <f t="shared" si="295"/>
        <v>2017</v>
      </c>
      <c r="AK177" s="829">
        <f>SUM('IV-2 amsa'!W75)</f>
        <v>43465</v>
      </c>
      <c r="AL177" s="306">
        <f t="shared" si="296"/>
        <v>0</v>
      </c>
      <c r="AM177" s="306">
        <f t="shared" si="297"/>
        <v>3394.05</v>
      </c>
      <c r="AN177" s="306">
        <f t="shared" si="298"/>
        <v>0</v>
      </c>
      <c r="AO177" s="306">
        <f t="shared" si="299"/>
        <v>0</v>
      </c>
      <c r="AP177" s="830">
        <f t="shared" si="300"/>
        <v>0</v>
      </c>
      <c r="AQ177" s="379"/>
      <c r="AR177" s="55"/>
      <c r="AS177" s="55"/>
      <c r="AT177" s="56">
        <f t="shared" si="302"/>
        <v>500</v>
      </c>
      <c r="AU177" s="736">
        <f t="shared" si="303"/>
        <v>30.416666666666668</v>
      </c>
      <c r="AV177" s="736">
        <f t="shared" si="304"/>
        <v>16.43835616438356</v>
      </c>
    </row>
    <row r="178" spans="1:48" ht="39.75" thickTop="1" thickBot="1" x14ac:dyDescent="0.3">
      <c r="A178" s="342" t="s">
        <v>288</v>
      </c>
      <c r="B178" s="342" t="s">
        <v>1384</v>
      </c>
      <c r="C178" s="970" t="str">
        <f>CONCATENATE('ketv. 2'!B177)</f>
        <v>05.5.1-APVA-R-019-11-0005</v>
      </c>
      <c r="D178" s="342" t="str">
        <f>CONCATENATE('IV-2 dsa'!C76)</f>
        <v>Bešeimininkių apleistų pastatų Druskininkų savivaldybės teritorijoje likvidavimas</v>
      </c>
      <c r="E178" s="342" t="str">
        <f>CONCATENATE('IV-2 dsa'!D76)</f>
        <v>Druskininkų savivaldybės administracija</v>
      </c>
      <c r="F178" s="342" t="str">
        <f>CONCATENATE('IV-2 dsa'!E76)</f>
        <v>Lietuvos Respublikos aplinkos ministerija</v>
      </c>
      <c r="G178" s="342" t="str">
        <f>CONCATENATE('IV-2 dsa'!F76)</f>
        <v>Druskininkų sav.</v>
      </c>
      <c r="H178" s="345" t="str">
        <f>CONCATENATE('IV-2 dsa'!G76)</f>
        <v>05.5.1-APVA-R-019</v>
      </c>
      <c r="I178" s="345" t="str">
        <f>CONCATENATE('IV-2 dsa'!H76)</f>
        <v>R</v>
      </c>
      <c r="J178" s="345" t="str">
        <f>CONCATENATE('IV-2 dsa'!I76)</f>
        <v>-</v>
      </c>
      <c r="K178" s="345" t="str">
        <f>CONCATENATE('IV-2 dsa'!J76)</f>
        <v>-</v>
      </c>
      <c r="L178" s="1217">
        <f>SUM('IV-2 dsa'!K76)</f>
        <v>121153.55</v>
      </c>
      <c r="M178" s="1217">
        <f ca="1">SUM('ketv. 6 '!L177)</f>
        <v>121153.55</v>
      </c>
      <c r="N178" s="1217">
        <f t="shared" ca="1" si="290"/>
        <v>0</v>
      </c>
      <c r="O178" s="1217">
        <f>SUM('IV-2 dsa'!L76)</f>
        <v>18173.03</v>
      </c>
      <c r="P178" s="1217">
        <f ca="1">SUM('ketv. 6 '!P177)</f>
        <v>18173.03</v>
      </c>
      <c r="Q178" s="1217">
        <f ca="1">IF(P178&gt;0,O178-P178,0)</f>
        <v>0</v>
      </c>
      <c r="R178" s="1217">
        <f>SUM('IV-2 dsa'!M76)</f>
        <v>0</v>
      </c>
      <c r="S178" s="1217">
        <f ca="1">SUM('ketv. 6 '!T177)</f>
        <v>0</v>
      </c>
      <c r="T178" s="1217">
        <f t="shared" ca="1" si="291"/>
        <v>0</v>
      </c>
      <c r="U178" s="1217">
        <f>SUM('IV-2 dsa'!N76)</f>
        <v>0</v>
      </c>
      <c r="V178" s="1217">
        <f ca="1">SUM('ketv. 6 '!X177)</f>
        <v>0</v>
      </c>
      <c r="W178" s="1217">
        <f t="shared" ca="1" si="292"/>
        <v>0</v>
      </c>
      <c r="X178" s="1217">
        <f>SUM('IV-2 dsa'!O76)</f>
        <v>0</v>
      </c>
      <c r="Y178" s="1217">
        <f ca="1">SUM('ketv. 6 '!AB177)</f>
        <v>0</v>
      </c>
      <c r="Z178" s="1217">
        <f t="shared" ca="1" si="293"/>
        <v>0</v>
      </c>
      <c r="AA178" s="1217">
        <f>SUM('IV-2 dsa'!P76)</f>
        <v>102980.52</v>
      </c>
      <c r="AB178" s="1217">
        <f>SUM('IV-2 vrsa'!R158)</f>
        <v>0</v>
      </c>
      <c r="AC178" s="306" t="str">
        <f>IF('ketv. 4 '!X178&gt;0,"Taip","Ne")</f>
        <v>Taip</v>
      </c>
      <c r="AD178" s="306">
        <f ca="1">SUM('ketv. 6 '!AF177)</f>
        <v>102980.52</v>
      </c>
      <c r="AE178" s="306">
        <f t="shared" ca="1" si="294"/>
        <v>0</v>
      </c>
      <c r="AF178" s="721">
        <f>SUM('IV-2 dsa'!R76)</f>
        <v>42598</v>
      </c>
      <c r="AG178" s="373">
        <f>SUM('IV-2 dsa'!S76)</f>
        <v>42704</v>
      </c>
      <c r="AH178" s="373">
        <f>SUM('IV-2 dsa'!T76)</f>
        <v>42887</v>
      </c>
      <c r="AI178" s="373">
        <f>SUM('IV-2 dsa'!U76)</f>
        <v>42978</v>
      </c>
      <c r="AJ178" s="375">
        <f t="shared" si="295"/>
        <v>2017</v>
      </c>
      <c r="AK178" s="829">
        <f>SUM('IV-2 dsa'!V76)</f>
        <v>43465</v>
      </c>
      <c r="AL178" s="306">
        <f t="shared" si="296"/>
        <v>0</v>
      </c>
      <c r="AM178" s="306">
        <f t="shared" si="297"/>
        <v>102980.52</v>
      </c>
      <c r="AN178" s="306">
        <f t="shared" si="298"/>
        <v>0</v>
      </c>
      <c r="AO178" s="306">
        <f t="shared" si="299"/>
        <v>0</v>
      </c>
      <c r="AP178" s="830">
        <f t="shared" si="300"/>
        <v>0</v>
      </c>
      <c r="AQ178" s="379"/>
      <c r="AR178" s="55"/>
      <c r="AS178" s="55"/>
      <c r="AT178" s="56">
        <f t="shared" si="302"/>
        <v>487</v>
      </c>
      <c r="AU178" s="736">
        <f t="shared" si="303"/>
        <v>30.416666666666668</v>
      </c>
      <c r="AV178" s="736">
        <f t="shared" si="304"/>
        <v>16.010958904109589</v>
      </c>
    </row>
    <row r="179" spans="1:48" ht="39.75" thickTop="1" thickBot="1" x14ac:dyDescent="0.3">
      <c r="A179" s="342" t="s">
        <v>289</v>
      </c>
      <c r="B179" s="342" t="s">
        <v>1385</v>
      </c>
      <c r="C179" s="970" t="str">
        <f>CONCATENATE('ketv. 2'!B178)</f>
        <v>05.5.1-APVA-R-019-11-0003</v>
      </c>
      <c r="D179" s="342" t="str">
        <f>CONCATENATE('IV-2 lrsa'!D70)</f>
        <v>Kraštovaizdžio formavimas Lazdijų rajono savivaldybėje</v>
      </c>
      <c r="E179" s="342" t="str">
        <f>CONCATENATE('IV-2 lrsa'!E70)</f>
        <v>Lazdijų rajono savivaldybės administracija</v>
      </c>
      <c r="F179" s="342" t="str">
        <f>CONCATENATE('IV-2 lrsa'!F70)</f>
        <v>Lietuvos Respublikos aplinkos ministerija</v>
      </c>
      <c r="G179" s="342" t="str">
        <f>CONCATENATE('IV-2 lrsa'!G70)</f>
        <v>Lazdijų r. sav.</v>
      </c>
      <c r="H179" s="345" t="str">
        <f>CONCATENATE('IV-2 lrsa'!H70)</f>
        <v>05.5.1-APVA-R-019</v>
      </c>
      <c r="I179" s="345" t="str">
        <f>CONCATENATE('IV-2 lrsa'!I70)</f>
        <v>R</v>
      </c>
      <c r="J179" s="345" t="str">
        <f>CONCATENATE('IV-2 lrsa'!J70)</f>
        <v>-</v>
      </c>
      <c r="K179" s="345" t="str">
        <f>CONCATENATE('IV-2 lrsa'!K70)</f>
        <v>-</v>
      </c>
      <c r="L179" s="1217">
        <f>SUM('IV-2 lrsa'!L70)</f>
        <v>442298.58999999997</v>
      </c>
      <c r="M179" s="1217">
        <f ca="1">SUM('ketv. 6 '!L178)</f>
        <v>442298.58999999997</v>
      </c>
      <c r="N179" s="1217">
        <f t="shared" ca="1" si="290"/>
        <v>0</v>
      </c>
      <c r="O179" s="1217">
        <f>SUM('IV-2 lrsa'!M70)</f>
        <v>66344.78</v>
      </c>
      <c r="P179" s="1217">
        <f ca="1">SUM('ketv. 6 '!P178)</f>
        <v>66344.78</v>
      </c>
      <c r="Q179" s="1217">
        <f ca="1">IF(P179&gt;0,O179-P179,0)</f>
        <v>0</v>
      </c>
      <c r="R179" s="1217">
        <f>SUM('IV-2 lrsa'!N70)</f>
        <v>0</v>
      </c>
      <c r="S179" s="1217">
        <f ca="1">SUM('ketv. 6 '!T178)</f>
        <v>0</v>
      </c>
      <c r="T179" s="1217">
        <f t="shared" ca="1" si="291"/>
        <v>0</v>
      </c>
      <c r="U179" s="1217">
        <f>SUM('IV-2 lrsa'!O70)</f>
        <v>0</v>
      </c>
      <c r="V179" s="1217">
        <f ca="1">SUM('ketv. 6 '!X178)</f>
        <v>0</v>
      </c>
      <c r="W179" s="1217">
        <f t="shared" ca="1" si="292"/>
        <v>0</v>
      </c>
      <c r="X179" s="1217">
        <f>SUM('IV-2 lrsa'!P70)</f>
        <v>0</v>
      </c>
      <c r="Y179" s="1217">
        <f ca="1">SUM('ketv. 6 '!AB178)</f>
        <v>0</v>
      </c>
      <c r="Z179" s="1217">
        <f t="shared" ca="1" si="293"/>
        <v>0</v>
      </c>
      <c r="AA179" s="1217">
        <f>SUM('IV-2 lrsa'!Q70)</f>
        <v>375953.81</v>
      </c>
      <c r="AB179" s="1217">
        <f>SUM('IV-2 vrsa'!R159)</f>
        <v>0</v>
      </c>
      <c r="AC179" s="306" t="str">
        <f>IF('ketv. 4 '!X179&gt;0,"Taip","Ne")</f>
        <v>Taip</v>
      </c>
      <c r="AD179" s="306">
        <f ca="1">SUM('ketv. 6 '!AF178)</f>
        <v>375953.81</v>
      </c>
      <c r="AE179" s="306">
        <f t="shared" ca="1" si="294"/>
        <v>0</v>
      </c>
      <c r="AF179" s="721">
        <f>SUM('IV-2 lrsa'!S70)</f>
        <v>42598</v>
      </c>
      <c r="AG179" s="373">
        <f>SUM('IV-2 lrsa'!T70)</f>
        <v>42704</v>
      </c>
      <c r="AH179" s="373">
        <f>SUM('IV-2 lrsa'!U70)</f>
        <v>42825</v>
      </c>
      <c r="AI179" s="373">
        <f>SUM('IV-2 lrsa'!V70)</f>
        <v>42935</v>
      </c>
      <c r="AJ179" s="375">
        <f t="shared" si="295"/>
        <v>2017</v>
      </c>
      <c r="AK179" s="1310">
        <f>SUM('IV-2 lrsa'!W70)</f>
        <v>43465</v>
      </c>
      <c r="AL179" s="306">
        <f t="shared" si="296"/>
        <v>0</v>
      </c>
      <c r="AM179" s="306">
        <f t="shared" si="297"/>
        <v>375953.81</v>
      </c>
      <c r="AN179" s="306">
        <f t="shared" si="298"/>
        <v>0</v>
      </c>
      <c r="AO179" s="306">
        <f t="shared" si="299"/>
        <v>0</v>
      </c>
      <c r="AP179" s="830">
        <f t="shared" si="300"/>
        <v>0</v>
      </c>
      <c r="AQ179" s="379"/>
      <c r="AR179" s="55"/>
      <c r="AS179" s="55"/>
      <c r="AT179" s="56">
        <f t="shared" si="302"/>
        <v>530</v>
      </c>
      <c r="AU179" s="736">
        <f t="shared" si="303"/>
        <v>30.416666666666668</v>
      </c>
      <c r="AV179" s="736">
        <f t="shared" si="304"/>
        <v>17.424657534246574</v>
      </c>
    </row>
    <row r="180" spans="1:48" ht="39.75" thickTop="1" thickBot="1" x14ac:dyDescent="0.3">
      <c r="A180" s="342" t="s">
        <v>384</v>
      </c>
      <c r="B180" s="342" t="s">
        <v>1779</v>
      </c>
      <c r="C180" s="970" t="str">
        <f>CONCATENATE('ketv. 2'!B179)</f>
        <v/>
      </c>
      <c r="D180" s="342" t="str">
        <f>CONCATENATE('IV-2 lrsa'!D71)</f>
        <v>Kraštovaizdžio formavimas Lazdijų rajono savivaldybėje (II etapas)</v>
      </c>
      <c r="E180" s="342" t="str">
        <f>CONCATENATE('IV-2 lrsa'!E71)</f>
        <v>Lazdijų rajono savivaldybės administracija</v>
      </c>
      <c r="F180" s="342" t="str">
        <f>CONCATENATE('IV-2 lrsa'!F71)</f>
        <v>Lietuvos Respublikos aplinkos ministerija</v>
      </c>
      <c r="G180" s="342" t="str">
        <f>CONCATENATE('IV-2 lrsa'!G71)</f>
        <v>Lazdijų r. sav.</v>
      </c>
      <c r="H180" s="345" t="str">
        <f>CONCATENATE('IV-2 lrsa'!H71)</f>
        <v>05.5.1-APVA-R-019</v>
      </c>
      <c r="I180" s="345" t="str">
        <f>CONCATENATE('IV-2 lrsa'!I71)</f>
        <v>R</v>
      </c>
      <c r="J180" s="345" t="str">
        <f>CONCATENATE('IV-2 lrsa'!J71)</f>
        <v>-</v>
      </c>
      <c r="K180" s="345" t="str">
        <f>CONCATENATE('IV-2 lrsa'!K71)</f>
        <v>-</v>
      </c>
      <c r="L180" s="1217">
        <f>SUM('IV-2 lrsa'!L71)</f>
        <v>149792.22</v>
      </c>
      <c r="M180" s="1217">
        <f ca="1">SUM('ketv. 6 '!L179)</f>
        <v>0</v>
      </c>
      <c r="N180" s="1217">
        <f t="shared" ca="1" si="290"/>
        <v>0</v>
      </c>
      <c r="O180" s="1217">
        <f>SUM('IV-2 lrsa'!M71)</f>
        <v>22468.83</v>
      </c>
      <c r="P180" s="1217">
        <f ca="1">SUM('ketv. 6 '!P179)</f>
        <v>0</v>
      </c>
      <c r="Q180" s="1217">
        <f t="shared" ca="1" si="301"/>
        <v>0</v>
      </c>
      <c r="R180" s="1217">
        <f>SUM('IV-2 lrsa'!N71)</f>
        <v>0</v>
      </c>
      <c r="S180" s="1217">
        <f ca="1">SUM('ketv. 6 '!T179)</f>
        <v>0</v>
      </c>
      <c r="T180" s="1217">
        <f t="shared" ca="1" si="291"/>
        <v>0</v>
      </c>
      <c r="U180" s="1217">
        <f>SUM('IV-2 lrsa'!O71)</f>
        <v>0</v>
      </c>
      <c r="V180" s="1217">
        <f ca="1">SUM('ketv. 6 '!X179)</f>
        <v>0</v>
      </c>
      <c r="W180" s="1217">
        <f t="shared" ca="1" si="292"/>
        <v>0</v>
      </c>
      <c r="X180" s="1217">
        <f>SUM('IV-2 lrsa'!P71)</f>
        <v>0</v>
      </c>
      <c r="Y180" s="1217">
        <f ca="1">SUM('ketv. 6 '!AB179)</f>
        <v>0</v>
      </c>
      <c r="Z180" s="1217">
        <f t="shared" ca="1" si="293"/>
        <v>0</v>
      </c>
      <c r="AA180" s="1217">
        <f>SUM('IV-2 lrsa'!Q71)</f>
        <v>127323.39</v>
      </c>
      <c r="AB180" s="1217">
        <f>SUM('IV-2 vrsa'!R160)</f>
        <v>0</v>
      </c>
      <c r="AC180" s="306" t="str">
        <f>IF('ketv. 4 '!X180&gt;0,"Taip","Ne")</f>
        <v>Ne</v>
      </c>
      <c r="AD180" s="306">
        <f ca="1">SUM('ketv. 6 '!AF179)</f>
        <v>0</v>
      </c>
      <c r="AE180" s="306">
        <f t="shared" ca="1" si="294"/>
        <v>0</v>
      </c>
      <c r="AF180" s="721">
        <f>SUM('IV-2 lrsa'!S71)</f>
        <v>43277</v>
      </c>
      <c r="AG180" s="1779">
        <f>SUM('IV-2 lrsa'!T71)</f>
        <v>43343</v>
      </c>
      <c r="AH180" s="1779">
        <f>SUM('IV-2 lrsa'!U71)</f>
        <v>43495</v>
      </c>
      <c r="AI180" s="1779">
        <f>SUM('IV-2 lrsa'!V71)</f>
        <v>43554</v>
      </c>
      <c r="AJ180" s="375">
        <f t="shared" si="295"/>
        <v>2019</v>
      </c>
      <c r="AK180" s="829">
        <f>SUM('IV-2 lrsa'!W71)</f>
        <v>44469</v>
      </c>
      <c r="AL180" s="306">
        <f t="shared" si="296"/>
        <v>0</v>
      </c>
      <c r="AM180" s="306">
        <f t="shared" si="297"/>
        <v>0</v>
      </c>
      <c r="AN180" s="306">
        <f t="shared" si="298"/>
        <v>0</v>
      </c>
      <c r="AO180" s="306">
        <f t="shared" si="299"/>
        <v>127323.39</v>
      </c>
      <c r="AP180" s="830">
        <f t="shared" si="300"/>
        <v>0</v>
      </c>
      <c r="AQ180" s="379"/>
      <c r="AR180" s="55"/>
      <c r="AS180" s="55"/>
      <c r="AT180" s="56">
        <f t="shared" si="302"/>
        <v>915</v>
      </c>
      <c r="AU180" s="736">
        <f t="shared" si="303"/>
        <v>30.416666666666668</v>
      </c>
      <c r="AV180" s="736">
        <f t="shared" si="304"/>
        <v>30.082191780821915</v>
      </c>
    </row>
    <row r="181" spans="1:48" ht="39.75" thickTop="1" thickBot="1" x14ac:dyDescent="0.3">
      <c r="A181" s="342" t="s">
        <v>611</v>
      </c>
      <c r="B181" s="342" t="s">
        <v>1386</v>
      </c>
      <c r="C181" s="970" t="str">
        <f>CONCATENATE('ketv. 2'!B180)</f>
        <v>05.5.1-APVA-R-019-11-0006</v>
      </c>
      <c r="D181" s="342" t="str">
        <f>CONCATENATE('IV-2 arsa'!C72)</f>
        <v>Bešeimininkių apleistų pastatų ir įrenginių tvarkymas Alytaus rajono savivaldybėje (II etapas)</v>
      </c>
      <c r="E181" s="342" t="str">
        <f>CONCATENATE('IV-2 arsa'!D72)</f>
        <v>Alytaus rajono savivaldybės administracija</v>
      </c>
      <c r="F181" s="342" t="str">
        <f>CONCATENATE('IV-2 arsa'!E72)</f>
        <v>Lietuvos Respublikos aplinkos ministerija</v>
      </c>
      <c r="G181" s="342" t="str">
        <f>CONCATENATE('IV-2 arsa'!F72)</f>
        <v>Alytaus r. sav.</v>
      </c>
      <c r="H181" s="345" t="str">
        <f>CONCATENATE('IV-2 arsa'!G72)</f>
        <v>05.5.1-APVA-R-019</v>
      </c>
      <c r="I181" s="345" t="str">
        <f>CONCATENATE('IV-2 arsa'!H72)</f>
        <v>R</v>
      </c>
      <c r="J181" s="345" t="str">
        <f>CONCATENATE('IV-2 arsa'!I72)</f>
        <v>-</v>
      </c>
      <c r="K181" s="345" t="str">
        <f>CONCATENATE('IV-2 arsa'!J72)</f>
        <v>-</v>
      </c>
      <c r="L181" s="1217">
        <f>SUM('IV-2 arsa'!K72)</f>
        <v>736537.6470588235</v>
      </c>
      <c r="M181" s="1217">
        <f ca="1">SUM('ketv. 6 '!L180)</f>
        <v>277676</v>
      </c>
      <c r="N181" s="1217">
        <f t="shared" ca="1" si="290"/>
        <v>458861.6470588235</v>
      </c>
      <c r="O181" s="1217">
        <f>SUM('IV-2 arsa'!L72)</f>
        <v>110480.64705882352</v>
      </c>
      <c r="P181" s="1217">
        <f ca="1">SUM('ketv. 6 '!P180)</f>
        <v>41651.4</v>
      </c>
      <c r="Q181" s="1217">
        <f t="shared" ca="1" si="301"/>
        <v>68829.24705882353</v>
      </c>
      <c r="R181" s="1217">
        <f>SUM('IV-2 arsa'!M72)</f>
        <v>0</v>
      </c>
      <c r="S181" s="1217">
        <f ca="1">SUM('ketv. 6 '!T180)</f>
        <v>0</v>
      </c>
      <c r="T181" s="1217">
        <f t="shared" ca="1" si="291"/>
        <v>0</v>
      </c>
      <c r="U181" s="1217">
        <f>SUM('IV-2 arsa'!N72)</f>
        <v>0</v>
      </c>
      <c r="V181" s="1217">
        <f ca="1">SUM('ketv. 6 '!X180)</f>
        <v>0</v>
      </c>
      <c r="W181" s="1217">
        <f t="shared" ca="1" si="292"/>
        <v>0</v>
      </c>
      <c r="X181" s="1217">
        <f>SUM('IV-2 arsa'!O72)</f>
        <v>0</v>
      </c>
      <c r="Y181" s="1217">
        <f ca="1">SUM('ketv. 6 '!AB180)</f>
        <v>0</v>
      </c>
      <c r="Z181" s="1217">
        <f t="shared" ca="1" si="293"/>
        <v>0</v>
      </c>
      <c r="AA181" s="1217">
        <f>SUM('IV-2 arsa'!P72)</f>
        <v>626057</v>
      </c>
      <c r="AB181" s="1217">
        <f>SUM('IV-2 vrsa'!R161)</f>
        <v>0</v>
      </c>
      <c r="AC181" s="306"/>
      <c r="AD181" s="306">
        <f ca="1">SUM('ketv. 6 '!AF180)</f>
        <v>236024.6</v>
      </c>
      <c r="AE181" s="306">
        <f t="shared" ca="1" si="294"/>
        <v>390032.4</v>
      </c>
      <c r="AF181" s="721">
        <f>SUM('IV-2 arsa'!R72)</f>
        <v>43128</v>
      </c>
      <c r="AG181" s="373">
        <f>SUM('IV-2 arsa'!S72)</f>
        <v>43159</v>
      </c>
      <c r="AH181" s="373">
        <f>SUM('IV-2 arsa'!T72)</f>
        <v>43222</v>
      </c>
      <c r="AI181" s="373">
        <f>SUM('IV-2 arsa'!U72)</f>
        <v>43342</v>
      </c>
      <c r="AJ181" s="375">
        <f t="shared" si="295"/>
        <v>2018</v>
      </c>
      <c r="AK181" s="829">
        <f>SUM('IV-2 arsa'!V72)</f>
        <v>43830</v>
      </c>
      <c r="AL181" s="306">
        <f t="shared" si="296"/>
        <v>0</v>
      </c>
      <c r="AM181" s="306">
        <f t="shared" si="297"/>
        <v>0</v>
      </c>
      <c r="AN181" s="306">
        <f t="shared" si="298"/>
        <v>626057</v>
      </c>
      <c r="AO181" s="306">
        <f t="shared" si="299"/>
        <v>0</v>
      </c>
      <c r="AP181" s="830">
        <f t="shared" si="300"/>
        <v>0</v>
      </c>
      <c r="AQ181" s="379"/>
      <c r="AR181" s="55"/>
      <c r="AS181" s="55"/>
      <c r="AT181" s="56">
        <f t="shared" si="302"/>
        <v>488</v>
      </c>
      <c r="AU181" s="736">
        <f t="shared" si="303"/>
        <v>30.416666666666668</v>
      </c>
      <c r="AV181" s="736">
        <f t="shared" si="304"/>
        <v>16.043835616438354</v>
      </c>
    </row>
    <row r="182" spans="1:48" ht="51" customHeight="1" thickBot="1" x14ac:dyDescent="0.3">
      <c r="A182" s="342" t="s">
        <v>1464</v>
      </c>
      <c r="B182" s="342" t="s">
        <v>1465</v>
      </c>
      <c r="C182" s="974" t="str">
        <f>CONCATENATE('ketv. 2'!B183)</f>
        <v>* Pildoma projektams, kuriuos buvo numatyta įtraukti į regiono arba valstybės projektų sąrašus iki einamojo ketvirčio pabaigos.</v>
      </c>
      <c r="D182" s="342" t="str">
        <f>CONCATENATE('IV-2 dsa'!C77)</f>
        <v>Etaloninio kraštovaizdžio formavimas Druskininkų savivaldybės pasienyje</v>
      </c>
      <c r="E182" s="342" t="str">
        <f>CONCATENATE('IV-2 dsa'!D77)</f>
        <v>Druskininkų savivaldybės administracija</v>
      </c>
      <c r="F182" s="342" t="str">
        <f>CONCATENATE('IV-2 dsa'!E77)</f>
        <v>Lietuvos Respublikos aplinkos ministerija</v>
      </c>
      <c r="G182" s="342" t="str">
        <f>CONCATENATE('IV-2 dsa'!F77)</f>
        <v>Druskininkų sav.</v>
      </c>
      <c r="H182" s="345" t="str">
        <f>CONCATENATE('IV-2 dsa'!G77)</f>
        <v>05.5.1-APVA-R-019</v>
      </c>
      <c r="I182" s="342" t="str">
        <f>CONCATENATE('IV-2 dsa'!H77)</f>
        <v>R</v>
      </c>
      <c r="J182" s="342" t="str">
        <f>CONCATENATE('IV-2 dsa'!I77)</f>
        <v>-</v>
      </c>
      <c r="K182" s="342" t="str">
        <f>CONCATENATE('IV-2 dsa'!J77)</f>
        <v>-</v>
      </c>
      <c r="L182" s="1217">
        <f>SUM('IV-2 dsa'!K77)</f>
        <v>88524.094117647051</v>
      </c>
      <c r="M182" s="1217">
        <f ca="1">SUM('ketv. 6 '!L183)</f>
        <v>0.78012352994112977</v>
      </c>
      <c r="N182" s="1217">
        <f t="shared" ref="N182" ca="1" si="305">IF(M182&gt;0,L182-M182,0)</f>
        <v>88523.31399411711</v>
      </c>
      <c r="O182" s="1217">
        <f>SUM('IV-2 dsa'!L77)</f>
        <v>13278.614117647059</v>
      </c>
      <c r="P182" s="1217">
        <f ca="1">SUM('ketv. 6 '!P183)</f>
        <v>0.68090695237362941</v>
      </c>
      <c r="Q182" s="1217">
        <f t="shared" ref="Q182" ca="1" si="306">IF(P182&gt;0,O182-P182,0)</f>
        <v>13277.933210694686</v>
      </c>
      <c r="R182" s="1217">
        <f>SUM('IV-2 dsa'!M77)</f>
        <v>0</v>
      </c>
      <c r="S182" s="1217">
        <f ca="1">SUM('ketv. 6 '!T183)</f>
        <v>0.83594160408870366</v>
      </c>
      <c r="T182" s="1217">
        <f t="shared" ref="T182" ca="1" si="307">IF(S182&gt;0,R182-S182,0)</f>
        <v>-0.83594160408870366</v>
      </c>
      <c r="U182" s="1217">
        <f>SUM('IV-2 dsa'!N77)</f>
        <v>0</v>
      </c>
      <c r="V182" s="1217">
        <f ca="1">SUM('ketv. 6 '!X183)</f>
        <v>0.86871478821908921</v>
      </c>
      <c r="W182" s="1217">
        <f t="shared" ref="W182" ca="1" si="308">IF(V182&gt;0,U182-V182,0)</f>
        <v>-0.86871478821908921</v>
      </c>
      <c r="X182" s="1217">
        <f>SUM('IV-2 dsa'!O77)</f>
        <v>0</v>
      </c>
      <c r="Y182" s="1217">
        <f ca="1">SUM('ketv. 6 '!AB183)</f>
        <v>1</v>
      </c>
      <c r="Z182" s="1217">
        <f t="shared" ref="Z182" ca="1" si="309">IF(Y182&gt;0,X182-Y182,0)</f>
        <v>-1</v>
      </c>
      <c r="AA182" s="1217">
        <f>SUM('IV-2 dsa'!P77)</f>
        <v>75245.48</v>
      </c>
      <c r="AB182" s="1217">
        <f>SUM('IV-2 vrsa'!R162)</f>
        <v>0</v>
      </c>
      <c r="AC182" s="306"/>
      <c r="AD182" s="306">
        <f ca="1">SUM('ketv. 6 '!AF183)</f>
        <v>0.77809044361958724</v>
      </c>
      <c r="AE182" s="306">
        <f t="shared" ref="AE182" ca="1" si="310">IF(AD182&gt;0,AA182-AD182,0)</f>
        <v>75244.701909556374</v>
      </c>
      <c r="AF182" s="721">
        <f>SUM('IV-2 arsa'!R74)</f>
        <v>0</v>
      </c>
      <c r="AG182" s="373">
        <f>SUM('IV-2 dsa'!S77)</f>
        <v>43373</v>
      </c>
      <c r="AH182" s="373">
        <f>SUM('IV-2 dsa'!T77)</f>
        <v>43554</v>
      </c>
      <c r="AI182" s="373">
        <f>SUM('IV-2 dsa'!U77)</f>
        <v>43647</v>
      </c>
      <c r="AJ182" s="375">
        <f t="shared" ref="AJ182" si="311">IF(YEAR(AI182),YEAR(AI182))</f>
        <v>2019</v>
      </c>
      <c r="AK182" s="829">
        <f>SUM('IV-2 dsa'!V77)</f>
        <v>44196</v>
      </c>
      <c r="AL182" s="306">
        <f t="shared" ref="AL182" si="312">IF(YEAR(AI182)=2016,AA182,0)</f>
        <v>0</v>
      </c>
      <c r="AM182" s="306">
        <f t="shared" ref="AM182" si="313">IF(YEAR(AI182)=2017,AA182,0)</f>
        <v>0</v>
      </c>
      <c r="AN182" s="306">
        <f t="shared" ref="AN182" si="314">IF(YEAR(AI182)=2018,AA182,0)</f>
        <v>0</v>
      </c>
      <c r="AO182" s="306">
        <f t="shared" ref="AO182" si="315">IF(YEAR(AI182)=2019,AA182,0)</f>
        <v>75245.48</v>
      </c>
      <c r="AP182" s="830">
        <f t="shared" ref="AP182" si="316">IF(YEAR(AI182)=2020,AA182,0)</f>
        <v>0</v>
      </c>
      <c r="AQ182" s="379"/>
      <c r="AR182" s="55"/>
      <c r="AS182" s="55"/>
      <c r="AT182" s="56">
        <f t="shared" si="302"/>
        <v>549</v>
      </c>
      <c r="AU182" s="736">
        <f t="shared" si="303"/>
        <v>30.416666666666668</v>
      </c>
      <c r="AV182" s="736">
        <f t="shared" si="304"/>
        <v>18.049315068493151</v>
      </c>
    </row>
    <row r="183" spans="1:48" ht="15.75" thickBot="1" x14ac:dyDescent="0.3">
      <c r="L183" s="872">
        <f>SUM(L7+L100+L168)</f>
        <v>67386703.268235296</v>
      </c>
      <c r="M183" s="873"/>
      <c r="N183" s="873"/>
      <c r="O183" s="873">
        <f>SUM(O7+O100+O168)</f>
        <v>8559151.2782352939</v>
      </c>
      <c r="P183" s="873"/>
      <c r="Q183" s="873"/>
      <c r="R183" s="873">
        <f>SUM(R7+R100+R168)</f>
        <v>1667392.0799999998</v>
      </c>
      <c r="S183" s="873"/>
      <c r="T183" s="873"/>
      <c r="U183" s="873">
        <f>SUM(U7+U100+U168)</f>
        <v>8520797.0100000016</v>
      </c>
      <c r="V183" s="873"/>
      <c r="W183" s="873"/>
      <c r="X183" s="873">
        <f>SUM(X7+X100+X168)</f>
        <v>416360.77</v>
      </c>
      <c r="Y183" s="873"/>
      <c r="Z183" s="873"/>
      <c r="AA183" s="873">
        <f>SUM(AA7+AA100+AA168)</f>
        <v>48223002.129999995</v>
      </c>
      <c r="AB183" s="874"/>
      <c r="AC183" s="874"/>
      <c r="AD183" s="874"/>
      <c r="AE183" s="874"/>
      <c r="AF183" s="874"/>
      <c r="AL183" s="736">
        <f>SUM(O183:AA183)</f>
        <v>67386703.268235296</v>
      </c>
      <c r="AM183" s="736"/>
      <c r="AN183" s="736"/>
      <c r="AO183" s="736"/>
      <c r="AP183" s="736"/>
      <c r="AQ183" s="873"/>
      <c r="AR183" s="873"/>
      <c r="AS183" s="873"/>
    </row>
    <row r="184" spans="1:48" x14ac:dyDescent="0.25">
      <c r="O184" s="875"/>
      <c r="P184" s="875"/>
      <c r="Q184" s="875"/>
    </row>
    <row r="188" spans="1:48" x14ac:dyDescent="0.25">
      <c r="O188" s="736"/>
      <c r="P188" s="736"/>
      <c r="Q188" s="736"/>
      <c r="U188" s="875"/>
      <c r="V188" s="875"/>
      <c r="W188" s="875"/>
    </row>
  </sheetData>
  <autoFilter ref="A1:AK188"/>
  <mergeCells count="42">
    <mergeCell ref="B172:K172"/>
    <mergeCell ref="B173:K173"/>
    <mergeCell ref="B160:K160"/>
    <mergeCell ref="B161:K161"/>
    <mergeCell ref="B168:K168"/>
    <mergeCell ref="B169:K169"/>
    <mergeCell ref="B170:K170"/>
    <mergeCell ref="B135:K135"/>
    <mergeCell ref="B141:K141"/>
    <mergeCell ref="B147:K147"/>
    <mergeCell ref="B148:K148"/>
    <mergeCell ref="B154:K154"/>
    <mergeCell ref="AS3:AS4"/>
    <mergeCell ref="AR3:AR4"/>
    <mergeCell ref="A3:K3"/>
    <mergeCell ref="AQ3:AQ4"/>
    <mergeCell ref="AD3:AE3"/>
    <mergeCell ref="AF3:AP3"/>
    <mergeCell ref="L3:AB3"/>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B7:K7"/>
    <mergeCell ref="B50:K50"/>
    <mergeCell ref="B114:K114"/>
    <mergeCell ref="B120:K120"/>
    <mergeCell ref="B102:K102"/>
    <mergeCell ref="B108:K108"/>
    <mergeCell ref="B58:K58"/>
  </mergeCells>
  <pageMargins left="0.23622047244094491" right="0.23622047244094491" top="0.74803149606299213" bottom="0.74803149606299213" header="0.31496062992125984" footer="0.31496062992125984"/>
  <pageSetup paperSize="8" scale="69" fitToHeight="0" orientation="landscape" r:id="rId1"/>
  <headerFooter>
    <oddHeader>&amp;C&amp;"Times New Roman,Paprastas"&amp;12Alytaus regiono 2014 – 2020 metų plėtros planas</oddHeader>
  </headerFooter>
  <ignoredErrors>
    <ignoredError sqref="AE79 N86 Q86 T86 W86 Z86 AE86 AL86:AP86 Z92 AE92 N108 Q108 T108 W108 Z108 AE108 AL108:AP108 N114 Q114 T114 W114 Z114 AE114 AL114:AP114 N135 Q135 T135 W135 Z135 AE135 N154 Q154 T154 W154 Z154 AE154 AL154:AP154 O170 R170 U170 X170 AA170 N33 Q33 T33 W33 Z33 AE33 AL33:AP33 N46 Q46 T46 W46 Z46 AE46 AL46:AP46 N50 Q50 T50 W50 Z50 AE50 AL50:AP50 N56:O56 Q56:R56 T56:U56 W56:X56 Z79 AL67:AP67 AE67 Z67 W67 T67 Q67 N67 AL62:AP62 AE62 Z62 W62 T62 Q62 N62 AL58:AP58 AE58 Z58 W58 T58 Q58 N58 AL56:AP56 AE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pane ySplit="2190" topLeftCell="A13" activePane="bottomLeft"/>
      <selection pane="bottomLeft" activeCell="D29" sqref="D29"/>
    </sheetView>
  </sheetViews>
  <sheetFormatPr defaultRowHeight="15" x14ac:dyDescent="0.25"/>
  <cols>
    <col min="1" max="1" width="9.28515625" style="25" bestFit="1" customWidth="1"/>
    <col min="2" max="2" width="61.42578125" style="25" customWidth="1"/>
    <col min="3" max="3" width="22.140625" style="25" customWidth="1"/>
    <col min="4" max="4" width="36.5703125" style="25" bestFit="1" customWidth="1"/>
    <col min="5" max="5" width="19.28515625" style="25" customWidth="1"/>
    <col min="6" max="16384" width="9.140625" style="25"/>
  </cols>
  <sheetData>
    <row r="1" spans="1:5" s="148" customFormat="1" x14ac:dyDescent="0.25">
      <c r="A1" s="627" t="s">
        <v>754</v>
      </c>
    </row>
    <row r="2" spans="1:5" ht="15.75" thickBot="1" x14ac:dyDescent="0.3"/>
    <row r="3" spans="1:5" ht="63.75" thickBot="1" x14ac:dyDescent="0.3">
      <c r="A3" s="698" t="s">
        <v>371</v>
      </c>
      <c r="B3" s="1483" t="s">
        <v>372</v>
      </c>
      <c r="C3" s="1483" t="s">
        <v>374</v>
      </c>
      <c r="D3" s="1483" t="s">
        <v>755</v>
      </c>
    </row>
    <row r="4" spans="1:5" ht="15.75" x14ac:dyDescent="0.25">
      <c r="A4" s="696">
        <v>1</v>
      </c>
      <c r="B4" s="697" t="s">
        <v>375</v>
      </c>
      <c r="C4" s="695">
        <f>SUMIF('ketv. 5 '!$V$9:$V$181,"1",'ketv. 5 '!$W$9:$W$181)</f>
        <v>0</v>
      </c>
      <c r="D4" s="1542">
        <f>SUMIF('ketv. 5 '!$V$9:$V$181,"1",'ketv. 5 '!$K$9:$K$181)</f>
        <v>0</v>
      </c>
    </row>
    <row r="5" spans="1:5" ht="15.75" x14ac:dyDescent="0.25">
      <c r="A5" s="693">
        <v>2</v>
      </c>
      <c r="B5" s="694" t="s">
        <v>351</v>
      </c>
      <c r="C5" s="695">
        <f>SUMIF('ketv. 5 '!$V$9:$V$181,"2",'ketv. 5 '!$W$9:$W$181)</f>
        <v>0</v>
      </c>
      <c r="D5" s="1542">
        <f>SUMIF('ketv. 5 '!$V$9:$V$181,"2",'ketv. 5 '!$K$9:$K$181)</f>
        <v>0</v>
      </c>
    </row>
    <row r="6" spans="1:5" ht="31.5" x14ac:dyDescent="0.25">
      <c r="A6" s="693">
        <v>5</v>
      </c>
      <c r="B6" s="694" t="s">
        <v>369</v>
      </c>
      <c r="C6" s="695">
        <f>SUMIF('ketv. 5 '!$V$9:$V$181,"5",'ketv. 5 '!$W$9:$W$181)</f>
        <v>0</v>
      </c>
      <c r="D6" s="1542">
        <f>SUMIF('ketv. 5 '!$V$9:$V$181,"5",'ketv. 5 '!$K$9:$K$181)</f>
        <v>0</v>
      </c>
    </row>
    <row r="7" spans="1:5" ht="31.5" x14ac:dyDescent="0.25">
      <c r="A7" s="693">
        <v>6</v>
      </c>
      <c r="B7" s="694" t="s">
        <v>344</v>
      </c>
      <c r="C7" s="695">
        <f>SUMIF('ketv. 5 '!$V$9:$V$181,"6",'ketv. 5 '!$W$9:$W$181)</f>
        <v>0</v>
      </c>
      <c r="D7" s="1542">
        <f>SUMIF('ketv. 5 '!$V$9:$V$181,"6",'ketv. 5 '!$K$9:$K$181)</f>
        <v>0</v>
      </c>
    </row>
    <row r="8" spans="1:5" ht="15.75" x14ac:dyDescent="0.25">
      <c r="A8" s="693">
        <v>8</v>
      </c>
      <c r="B8" s="694" t="s">
        <v>346</v>
      </c>
      <c r="C8" s="695">
        <f>SUMIF('ketv. 5 '!$V$9:$V$181,"8",'ketv. 5 '!$W$9:$W$181)</f>
        <v>0</v>
      </c>
      <c r="D8" s="1542">
        <f>SUMIF('ketv. 5 '!$V$9:$V$181,"8",'ketv. 5 '!$K$9:$K$181)</f>
        <v>0</v>
      </c>
    </row>
    <row r="9" spans="1:5" ht="15.75" x14ac:dyDescent="0.25">
      <c r="A9" s="693">
        <v>9</v>
      </c>
      <c r="B9" s="694" t="s">
        <v>355</v>
      </c>
      <c r="C9" s="695">
        <f>SUMIF('ketv. 5 '!$V$9:$V$181,"9",'ketv. 5 '!$W$9:$W$181)</f>
        <v>0</v>
      </c>
      <c r="D9" s="1542">
        <f>SUMIF('ketv. 5 '!$V$9:$V$181,"9",'ketv. 5 '!$K$9:$K$181)</f>
        <v>0</v>
      </c>
    </row>
    <row r="10" spans="1:5" ht="15.75" x14ac:dyDescent="0.25">
      <c r="A10" s="693">
        <v>10</v>
      </c>
      <c r="B10" s="694" t="s">
        <v>353</v>
      </c>
      <c r="C10" s="695">
        <f>SUMIF('ketv. 5 '!$V$9:$V$181,"10",'ketv. 5 '!$W$9:$W$181)</f>
        <v>0</v>
      </c>
      <c r="D10" s="1542">
        <f>SUMIF('ketv. 5 '!$V$9:$V$181,"10",'ketv. 5 '!$K$9:$K$181)</f>
        <v>0</v>
      </c>
    </row>
    <row r="11" spans="1:5" ht="15.75" x14ac:dyDescent="0.25">
      <c r="A11" s="693">
        <v>11</v>
      </c>
      <c r="B11" s="694" t="s">
        <v>358</v>
      </c>
      <c r="C11" s="695">
        <f>SUMIF('ketv. 5 '!$V$9:$V$181,"11",'ketv. 5 '!$W$9:$W$181)</f>
        <v>0</v>
      </c>
      <c r="D11" s="1542">
        <f>SUMIF('ketv. 5 '!$V$9:$V$181,"11",'ketv. 5 '!$K$9:$K$181)</f>
        <v>0</v>
      </c>
    </row>
    <row r="12" spans="1:5" ht="15.75" x14ac:dyDescent="0.25">
      <c r="A12" s="693">
        <v>12</v>
      </c>
      <c r="B12" s="694" t="s">
        <v>354</v>
      </c>
      <c r="C12" s="695">
        <f>SUMIF('ketv. 5 '!$V$9:$V$181,"12",'ketv. 5 '!$W$9:$W$181)</f>
        <v>0</v>
      </c>
      <c r="D12" s="1542">
        <f>SUMIF('ketv. 5 '!$V$9:$V$181,"12",'ketv. 5 '!$K$9:$K$181)</f>
        <v>0</v>
      </c>
    </row>
    <row r="13" spans="1:5" ht="16.5" thickBot="1" x14ac:dyDescent="0.3">
      <c r="A13" s="938">
        <v>18</v>
      </c>
      <c r="B13" s="939" t="s">
        <v>1430</v>
      </c>
      <c r="C13" s="695">
        <f>SUMIF('ketv. 5 '!$V$9:$V$181,"18",'ketv. 5 '!$W$9:$W$181)</f>
        <v>0</v>
      </c>
      <c r="D13" s="1542">
        <f>SUMIF('ketv. 5 '!$V$9:$V$181,"18",'ketv. 5 '!$K$9:$K$181)</f>
        <v>0</v>
      </c>
    </row>
    <row r="14" spans="1:5" ht="47.25" x14ac:dyDescent="0.25">
      <c r="A14" s="693">
        <v>19</v>
      </c>
      <c r="B14" s="694" t="s">
        <v>684</v>
      </c>
      <c r="C14" s="695">
        <f>SUMIF('ketv. 5 '!$V$9:$V$181,"19",'ketv. 5 '!$W$9:$W$181)</f>
        <v>1</v>
      </c>
      <c r="D14" s="1542">
        <f>SUMIF('ketv. 5 '!$V$9:$V$181,"19",'ketv. 5 '!$K$9:$K$181)</f>
        <v>17000</v>
      </c>
      <c r="E14" s="1547"/>
    </row>
    <row r="15" spans="1:5" ht="15.75" x14ac:dyDescent="0.25">
      <c r="A15" s="693">
        <v>22</v>
      </c>
      <c r="B15" s="694" t="s">
        <v>360</v>
      </c>
      <c r="C15" s="695">
        <f>SUMIF('ketv. 5 '!$V$9:$V$181,"22",'ketv. 5 '!$W$9:$W$181)</f>
        <v>0</v>
      </c>
      <c r="D15" s="1542">
        <f>SUMIF('ketv. 5 '!$V$9:$V$181,"22",'ketv. 5 '!$K$9:$K$181)</f>
        <v>0</v>
      </c>
    </row>
    <row r="16" spans="1:5" ht="15.75" x14ac:dyDescent="0.25">
      <c r="A16" s="693">
        <v>23</v>
      </c>
      <c r="B16" s="694" t="s">
        <v>362</v>
      </c>
      <c r="C16" s="695">
        <f>SUMIF('ketv. 5 '!$V$9:$V$181,"23",'ketv. 5 '!$W$9:$W$181)</f>
        <v>0</v>
      </c>
      <c r="D16" s="1542">
        <f>SUMIF('ketv. 5 '!$V$9:$V$181,"23",'ketv. 5 '!$K$9:$K$181)</f>
        <v>0</v>
      </c>
    </row>
    <row r="17" spans="1:4" ht="15.75" x14ac:dyDescent="0.25">
      <c r="A17" s="693">
        <v>24</v>
      </c>
      <c r="B17" s="694" t="s">
        <v>361</v>
      </c>
      <c r="C17" s="695">
        <f>SUMIF('ketv. 5 '!$V$9:$V$181,"24",'ketv. 5 '!$W$9:$W$181)</f>
        <v>0</v>
      </c>
      <c r="D17" s="1542">
        <f>SUMIF('ketv. 5 '!$V$9:$V$181,"24",'ketv. 5 '!$K$9:$K$181)</f>
        <v>0</v>
      </c>
    </row>
    <row r="18" spans="1:4" ht="15.75" x14ac:dyDescent="0.25">
      <c r="A18" s="693">
        <v>25</v>
      </c>
      <c r="B18" s="694" t="s">
        <v>367</v>
      </c>
      <c r="C18" s="695">
        <f>SUMIF('ketv. 5 '!$V$9:$V$181,"25",'ketv. 5 '!$W$9:$W$181)</f>
        <v>0</v>
      </c>
      <c r="D18" s="1542">
        <f>SUMIF('ketv. 5 '!$V$9:$V$181,"25",'ketv. 5 '!$K$9:$K$181)</f>
        <v>0</v>
      </c>
    </row>
    <row r="19" spans="1:4" ht="15.75" x14ac:dyDescent="0.25">
      <c r="A19" s="693">
        <v>26</v>
      </c>
      <c r="B19" s="694" t="s">
        <v>366</v>
      </c>
      <c r="C19" s="695">
        <f>SUMIF('ketv. 5 '!$V$9:$V$181,"26",'ketv. 5 '!$W$9:$W$181)</f>
        <v>0</v>
      </c>
      <c r="D19" s="1542">
        <f>SUMIF('ketv. 5 '!$V$9:$V$181,"26",'ketv. 5 '!$K$9:$K$181)</f>
        <v>0</v>
      </c>
    </row>
    <row r="20" spans="1:4" ht="15.75" x14ac:dyDescent="0.25">
      <c r="A20" s="693">
        <v>27</v>
      </c>
      <c r="B20" s="1548" t="s">
        <v>1456</v>
      </c>
      <c r="C20" s="695">
        <f>SUMIF('ketv. 5 '!$V$9:$V$181,"27",'ketv. 5 '!$W$9:$W$181)</f>
        <v>0</v>
      </c>
      <c r="D20" s="1542">
        <f>SUMIF('ketv. 5 '!$V$9:$V$181,"27",'ketv. 5 '!$K$9:$K$181)</f>
        <v>0</v>
      </c>
    </row>
    <row r="21" spans="1:4" ht="31.5" x14ac:dyDescent="0.25">
      <c r="A21" s="693">
        <v>28</v>
      </c>
      <c r="B21" s="694" t="s">
        <v>341</v>
      </c>
      <c r="C21" s="695">
        <f>SUMIF('ketv. 5 '!$V$9:$V$181,"28",'ketv. 5 '!$W$9:$W$181)</f>
        <v>0</v>
      </c>
      <c r="D21" s="1542">
        <f>SUMIF('ketv. 5 '!$V$9:$V$181,"28",'ketv. 5 '!$K$9:$K$181)</f>
        <v>0</v>
      </c>
    </row>
    <row r="22" spans="1:4" ht="31.5" x14ac:dyDescent="0.25">
      <c r="A22" s="693">
        <v>29</v>
      </c>
      <c r="B22" s="694" t="s">
        <v>339</v>
      </c>
      <c r="C22" s="695">
        <f>SUMIF('ketv. 5 '!$V$9:$V$181,"29",'ketv. 5 '!$W$9:$W$181)</f>
        <v>0</v>
      </c>
      <c r="D22" s="1542">
        <f>SUMIF('ketv. 5 '!$V$9:$V$181,"29",'ketv. 5 '!$K$9:$K$181)</f>
        <v>0</v>
      </c>
    </row>
    <row r="23" spans="1:4" ht="31.5" x14ac:dyDescent="0.25">
      <c r="A23" s="693">
        <v>30</v>
      </c>
      <c r="B23" s="694" t="s">
        <v>338</v>
      </c>
      <c r="C23" s="695">
        <f>SUMIF('ketv. 5 '!$V$9:$V$181,"30",'ketv. 5 '!$W$9:$W$181)</f>
        <v>0</v>
      </c>
      <c r="D23" s="1542">
        <f>SUMIF('ketv. 5 '!$V$9:$V$181,"30",'ketv. 5 '!$K$9:$K$181)</f>
        <v>0</v>
      </c>
    </row>
    <row r="24" spans="1:4" ht="47.25" x14ac:dyDescent="0.25">
      <c r="A24" s="693">
        <v>31</v>
      </c>
      <c r="B24" s="694" t="s">
        <v>343</v>
      </c>
      <c r="C24" s="695">
        <f>SUMIF('ketv. 5 '!$V$9:$V$181,"31",'ketv. 5 '!$W$9:$W$181)</f>
        <v>1</v>
      </c>
      <c r="D24" s="1542">
        <f>SUMIF('ketv. 5 '!$V$9:$V$181,"31",'ketv. 5 '!$K$9:$K$181)</f>
        <v>1293732.5699999998</v>
      </c>
    </row>
    <row r="25" spans="1:4" ht="31.5" x14ac:dyDescent="0.25">
      <c r="A25" s="693">
        <v>32</v>
      </c>
      <c r="B25" s="694" t="s">
        <v>363</v>
      </c>
      <c r="C25" s="695">
        <f>SUMIF('ketv. 5 '!$V$9:$V$181,"32",'ketv. 5 '!$W$9:$W$181)</f>
        <v>0</v>
      </c>
      <c r="D25" s="1542">
        <f>SUMIF('ketv. 5 '!$V$9:$V$181,"32",'ketv. 5 '!$K$9:$K$181)</f>
        <v>0</v>
      </c>
    </row>
    <row r="26" spans="1:4" ht="31.5" x14ac:dyDescent="0.25">
      <c r="A26" s="693">
        <v>33</v>
      </c>
      <c r="B26" s="694" t="s">
        <v>349</v>
      </c>
      <c r="C26" s="695">
        <f>SUMIF('ketv. 5 '!$V$9:$V$181,"33",'ketv. 5 '!$W$9:$W$181)</f>
        <v>0</v>
      </c>
      <c r="D26" s="1542">
        <f>SUMIF('ketv. 5 '!$V$9:$V$181,"33",'ketv. 5 '!$K$9:$K$181)</f>
        <v>0</v>
      </c>
    </row>
    <row r="27" spans="1:4" ht="47.25" x14ac:dyDescent="0.25">
      <c r="A27" s="693">
        <v>34</v>
      </c>
      <c r="B27" s="694" t="s">
        <v>340</v>
      </c>
      <c r="C27" s="695">
        <f>SUMIF('ketv. 5 '!$V$9:$V$181,"34",'ketv. 5 '!$W$9:$W$181)</f>
        <v>0</v>
      </c>
      <c r="D27" s="1542">
        <f>SUMIF('ketv. 5 '!$V$9:$V$181,"34",'ketv. 5 '!$K$9:$K$181)</f>
        <v>0</v>
      </c>
    </row>
    <row r="28" spans="1:4" ht="31.5" x14ac:dyDescent="0.25">
      <c r="A28" s="693">
        <v>36</v>
      </c>
      <c r="B28" s="694" t="s">
        <v>342</v>
      </c>
      <c r="C28" s="695">
        <f>SUMIF('ketv. 5 '!$V$9:$V$181,"36",'ketv. 5 '!$W$9:$W$181)</f>
        <v>0</v>
      </c>
      <c r="D28" s="1542">
        <f>SUMIF('ketv. 5 '!$V$9:$V$181,"36",'ketv. 5 '!$K$9:$K$181)</f>
        <v>0</v>
      </c>
    </row>
    <row r="29" spans="1:4" ht="31.5" x14ac:dyDescent="0.25">
      <c r="A29" s="693">
        <v>38</v>
      </c>
      <c r="B29" s="694" t="s">
        <v>370</v>
      </c>
      <c r="C29" s="695">
        <f>SUMIF('ketv. 5 '!$V$9:$V$181,"38",'ketv. 5 '!$W$9:$W$181)</f>
        <v>1</v>
      </c>
      <c r="D29" s="1542">
        <f>SUMIF('ketv. 5 '!$V$9:$V$181,"38",'ketv. 5 '!$K$9:$K$181)</f>
        <v>121153.55</v>
      </c>
    </row>
    <row r="30" spans="1:4" ht="15.75" x14ac:dyDescent="0.25">
      <c r="A30" s="693">
        <v>41</v>
      </c>
      <c r="B30" s="694" t="s">
        <v>357</v>
      </c>
      <c r="C30" s="695">
        <f>SUMIF('ketv. 5 '!$V$9:$V$181,"41",'ketv. 5 '!$W$9:$W$181)</f>
        <v>0</v>
      </c>
      <c r="D30" s="1542">
        <f>SUMIF('ketv. 5 '!$V$9:$V$181,"41",'ketv. 5 '!$K$9:$K$181)</f>
        <v>0</v>
      </c>
    </row>
    <row r="31" spans="1:4" ht="15.75" x14ac:dyDescent="0.25">
      <c r="A31" s="693">
        <v>42</v>
      </c>
      <c r="B31" s="694" t="s">
        <v>348</v>
      </c>
      <c r="C31" s="695">
        <f>SUMIF('ketv. 5 '!$V$9:$V$181,"42",'ketv. 5 '!$W$9:$W$181)</f>
        <v>0</v>
      </c>
      <c r="D31" s="1542">
        <f>SUMIF('ketv. 5 '!$V$9:$V$181,"42",'ketv. 5 '!$K$9:$K$181)</f>
        <v>0</v>
      </c>
    </row>
    <row r="32" spans="1:4" ht="15.75" x14ac:dyDescent="0.25">
      <c r="A32" s="693">
        <v>44</v>
      </c>
      <c r="B32" s="694" t="s">
        <v>352</v>
      </c>
      <c r="C32" s="695">
        <f>SUMIF('ketv. 5 '!$V$9:$V$181,"44",'ketv. 5 '!$W$9:$W$181)</f>
        <v>0</v>
      </c>
      <c r="D32" s="1542">
        <f>SUMIF('ketv. 5 '!$V$9:$V$181,"44",'ketv. 5 '!$K$9:$K$181)</f>
        <v>0</v>
      </c>
    </row>
    <row r="33" spans="1:4" ht="15.75" x14ac:dyDescent="0.25">
      <c r="A33" s="693">
        <v>47</v>
      </c>
      <c r="B33" s="694" t="s">
        <v>364</v>
      </c>
      <c r="C33" s="695">
        <f>SUMIF('ketv. 5 '!$V$9:$V$181,"47",'ketv. 5 '!$W$9:$W$181)</f>
        <v>0</v>
      </c>
      <c r="D33" s="1542">
        <f>SUMIF('ketv. 5 '!$V$9:$V$181,"47",'ketv. 5 '!$K$9:$K$181)</f>
        <v>0</v>
      </c>
    </row>
    <row r="34" spans="1:4" ht="15.75" x14ac:dyDescent="0.25">
      <c r="A34" s="693">
        <v>48</v>
      </c>
      <c r="B34" s="694" t="s">
        <v>365</v>
      </c>
      <c r="C34" s="695">
        <f>SUMIF('ketv. 5 '!$V$9:$V$181,"48",'ketv. 5 '!$W$9:$W$181)</f>
        <v>0</v>
      </c>
      <c r="D34" s="1542">
        <f>SUMIF('ketv. 5 '!$V$9:$V$181,"48",'ketv. 5 '!$K$9:$K$181)</f>
        <v>0</v>
      </c>
    </row>
    <row r="35" spans="1:4" ht="15.75" x14ac:dyDescent="0.25">
      <c r="A35" s="693">
        <v>49</v>
      </c>
      <c r="B35" s="694" t="s">
        <v>368</v>
      </c>
      <c r="C35" s="695">
        <f>SUMIF('ketv. 5 '!$V$9:$V$181,"49",'ketv. 5 '!$W$9:$W$181)</f>
        <v>0</v>
      </c>
      <c r="D35" s="1542">
        <f>SUMIF('ketv. 5 '!$V$9:$V$181,"49",'ketv. 5 '!$K$9:$K$181)</f>
        <v>0</v>
      </c>
    </row>
    <row r="36" spans="1:4" ht="15.75" x14ac:dyDescent="0.25">
      <c r="A36" s="693">
        <v>50</v>
      </c>
      <c r="B36" s="694" t="s">
        <v>359</v>
      </c>
      <c r="C36" s="695">
        <f>SUMIF('ketv. 5 '!$V$9:$V$181,"50",'ketv. 5 '!$W$9:$W$181)</f>
        <v>0</v>
      </c>
      <c r="D36" s="1542">
        <f>SUMIF('ketv. 5 '!$V$9:$V$181,"50",'ketv. 5 '!$K$9:$K$181)</f>
        <v>0</v>
      </c>
    </row>
  </sheetData>
  <pageMargins left="0.70866141732283472" right="0.70866141732283472" top="0.74803149606299213" bottom="0.74803149606299213" header="0.31496062992125984" footer="0.31496062992125984"/>
  <pageSetup paperSize="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topLeftCell="A13" activePane="bottomLeft"/>
      <selection sqref="A1:XFD1048576"/>
      <selection pane="bottomLeft" activeCell="M27" sqref="M27"/>
    </sheetView>
  </sheetViews>
  <sheetFormatPr defaultRowHeight="15" x14ac:dyDescent="0.25"/>
  <cols>
    <col min="1" max="1" width="9.140625" style="25" bestFit="1" customWidth="1"/>
    <col min="2" max="2" width="51.7109375" style="25" customWidth="1"/>
    <col min="3" max="3" width="7.5703125" style="25" bestFit="1" customWidth="1"/>
    <col min="4" max="4" width="5.7109375" style="25" bestFit="1" customWidth="1"/>
    <col min="5" max="6" width="7.28515625" style="25" bestFit="1" customWidth="1"/>
    <col min="7" max="12" width="9" style="25" bestFit="1" customWidth="1"/>
    <col min="13" max="13" width="5.5703125" style="25" bestFit="1" customWidth="1"/>
    <col min="14" max="16384" width="9.140625" style="25"/>
  </cols>
  <sheetData>
    <row r="1" spans="1:12" x14ac:dyDescent="0.25">
      <c r="A1" s="2085" t="s">
        <v>1817</v>
      </c>
      <c r="B1" s="2086"/>
      <c r="C1" s="2086"/>
      <c r="D1" s="2086"/>
      <c r="E1" s="2086"/>
      <c r="F1" s="2086"/>
      <c r="G1" s="2086"/>
      <c r="H1" s="2086"/>
      <c r="I1" s="2086"/>
      <c r="J1" s="2086"/>
    </row>
    <row r="2" spans="1:12" ht="15.75" thickBot="1" x14ac:dyDescent="0.3"/>
    <row r="3" spans="1:12" ht="32.25" thickBot="1" x14ac:dyDescent="0.3">
      <c r="A3" s="1474" t="s">
        <v>371</v>
      </c>
      <c r="B3" s="1475" t="s">
        <v>756</v>
      </c>
      <c r="C3" s="1475" t="s">
        <v>749</v>
      </c>
      <c r="D3" s="1475">
        <v>2015</v>
      </c>
      <c r="E3" s="1475">
        <v>2016</v>
      </c>
      <c r="F3" s="1475">
        <v>2017</v>
      </c>
      <c r="G3" s="1475">
        <v>2018</v>
      </c>
      <c r="H3" s="1475">
        <v>2019</v>
      </c>
      <c r="I3" s="1475">
        <v>2020</v>
      </c>
      <c r="J3" s="1475">
        <v>2021</v>
      </c>
      <c r="K3" s="1475">
        <v>2022</v>
      </c>
      <c r="L3" s="1476">
        <v>2023</v>
      </c>
    </row>
    <row r="4" spans="1:12" ht="45" x14ac:dyDescent="0.25">
      <c r="A4" s="1477" t="s">
        <v>455</v>
      </c>
      <c r="B4" s="1477" t="s">
        <v>456</v>
      </c>
      <c r="C4" s="1478"/>
      <c r="D4" s="1478">
        <v>0</v>
      </c>
      <c r="E4" s="1478">
        <v>0</v>
      </c>
      <c r="F4" s="1478">
        <f>CONCATENATE('3 pr-3'!N9)+E4</f>
        <v>0</v>
      </c>
      <c r="G4" s="1478">
        <f>CONCATENATE('3 pr-3'!O9)+F4</f>
        <v>0</v>
      </c>
      <c r="H4" s="1478">
        <f>CONCATENATE('3 pr-3'!P9)+G4</f>
        <v>0</v>
      </c>
      <c r="I4" s="1478">
        <f>CONCATENATE('3 pr-3'!Q9)+H4</f>
        <v>0</v>
      </c>
      <c r="J4" s="1478">
        <f>CONCATENATE('3 pr-3'!R9)+I4</f>
        <v>0</v>
      </c>
      <c r="K4" s="1478">
        <f>CONCATENATE('3 pr-3'!S9)+J4</f>
        <v>0</v>
      </c>
      <c r="L4" s="1478">
        <f>CONCATENATE('3 pr-3'!T9)+K4</f>
        <v>0</v>
      </c>
    </row>
    <row r="5" spans="1:12" ht="60" x14ac:dyDescent="0.25">
      <c r="A5" s="1479" t="s">
        <v>457</v>
      </c>
      <c r="B5" s="1479" t="s">
        <v>458</v>
      </c>
      <c r="C5" s="704"/>
      <c r="D5" s="704">
        <v>0</v>
      </c>
      <c r="E5" s="704">
        <v>0</v>
      </c>
      <c r="F5" s="677">
        <f>CONCATENATE('3 pr-3'!AH9)+E5</f>
        <v>0</v>
      </c>
      <c r="G5" s="677">
        <f>CONCATENATE('3 pr-3'!AI9)+F5</f>
        <v>0</v>
      </c>
      <c r="H5" s="677">
        <f>CONCATENATE('3 pr-3'!AJ9)+G5</f>
        <v>0</v>
      </c>
      <c r="I5" s="677">
        <f>CONCATENATE('3 pr-3'!AK9)+H5</f>
        <v>0</v>
      </c>
      <c r="J5" s="677">
        <f>CONCATENATE('3 pr-3'!AL9)+I5</f>
        <v>0</v>
      </c>
      <c r="K5" s="677">
        <f>CONCATENATE('3 pr-3'!AM9)+J5</f>
        <v>0</v>
      </c>
      <c r="L5" s="677">
        <f>CONCATENATE('3 pr-3'!AN9)+K5</f>
        <v>0</v>
      </c>
    </row>
    <row r="6" spans="1:12" ht="45" x14ac:dyDescent="0.25">
      <c r="A6" s="1479" t="s">
        <v>459</v>
      </c>
      <c r="B6" s="1479" t="s">
        <v>792</v>
      </c>
      <c r="C6" s="704"/>
      <c r="D6" s="704">
        <v>0</v>
      </c>
      <c r="E6" s="704">
        <v>0</v>
      </c>
      <c r="F6" s="704" t="str">
        <f>CONCATENATE('3 pr-3'!BB9)</f>
        <v>0</v>
      </c>
      <c r="G6" s="704" t="str">
        <f>CONCATENATE('3 pr-3'!BC9)</f>
        <v>0</v>
      </c>
      <c r="H6" s="704" t="str">
        <f>CONCATENATE('3 pr-3'!BD9)</f>
        <v>0</v>
      </c>
      <c r="I6" s="704" t="str">
        <f>CONCATENATE('3 pr-3'!BE9)</f>
        <v>0</v>
      </c>
      <c r="J6" s="704" t="str">
        <f>CONCATENATE('3 pr-3'!BF9)</f>
        <v>0</v>
      </c>
      <c r="K6" s="704" t="str">
        <f>CONCATENATE('3 pr-3'!BG9)</f>
        <v>0</v>
      </c>
      <c r="L6" s="704" t="str">
        <f>CONCATENATE('3 pr-3'!BH9)</f>
        <v>0</v>
      </c>
    </row>
    <row r="7" spans="1:12" ht="15.75" x14ac:dyDescent="0.25">
      <c r="A7" s="705" t="s">
        <v>505</v>
      </c>
      <c r="B7" s="705" t="s">
        <v>506</v>
      </c>
      <c r="C7" s="675"/>
      <c r="D7" s="704">
        <v>0</v>
      </c>
      <c r="E7" s="704">
        <v>0</v>
      </c>
      <c r="F7" s="675">
        <f>SUM('3 pr-3'!N92)+E7</f>
        <v>0</v>
      </c>
      <c r="G7" s="675">
        <f>SUM('3 pr-3'!O92)+F7</f>
        <v>0</v>
      </c>
      <c r="H7" s="675">
        <f>SUM('3 pr-3'!P92)+G7</f>
        <v>0</v>
      </c>
      <c r="I7" s="675">
        <f>SUM('3 pr-3'!Q92)+H7</f>
        <v>0</v>
      </c>
      <c r="J7" s="675">
        <f>SUM('3 pr-3'!R92)+I7</f>
        <v>0</v>
      </c>
      <c r="K7" s="675">
        <f>SUM('3 pr-3'!S92)+J7</f>
        <v>0</v>
      </c>
      <c r="L7" s="675">
        <f>SUM('3 pr-3'!T92)+K7</f>
        <v>0</v>
      </c>
    </row>
    <row r="8" spans="1:12" ht="31.5" x14ac:dyDescent="0.25">
      <c r="A8" s="705" t="s">
        <v>513</v>
      </c>
      <c r="B8" s="705" t="s">
        <v>514</v>
      </c>
      <c r="C8" s="675"/>
      <c r="D8" s="704">
        <v>0</v>
      </c>
      <c r="E8" s="704">
        <v>0</v>
      </c>
      <c r="F8" s="675">
        <f>SUM('3 pr-3'!AH102+'3 pr-3'!AH108+'3 pr-3'!AH114)+E8</f>
        <v>0</v>
      </c>
      <c r="G8" s="675">
        <f>SUM('3 pr-3'!AI102+'3 pr-3'!AI108+'3 pr-3'!AI114)+F8</f>
        <v>0</v>
      </c>
      <c r="H8" s="675">
        <f>SUM('3 pr-3'!AJ102+'3 pr-3'!AJ108+'3 pr-3'!AJ114)+G8</f>
        <v>0</v>
      </c>
      <c r="I8" s="675">
        <f>SUM('3 pr-3'!AK102+'3 pr-3'!AK108+'3 pr-3'!AK114)+H8</f>
        <v>0</v>
      </c>
      <c r="J8" s="675">
        <f>SUM('3 pr-3'!AL102+'3 pr-3'!AL108+'3 pr-3'!AL114)+I8</f>
        <v>0</v>
      </c>
      <c r="K8" s="675">
        <f>SUM('3 pr-3'!AM102+'3 pr-3'!AM108+'3 pr-3'!AM114)+J8</f>
        <v>0</v>
      </c>
      <c r="L8" s="675">
        <f>SUM('3 pr-3'!AN102+'3 pr-3'!AN108+'3 pr-3'!AN114)+K8</f>
        <v>0</v>
      </c>
    </row>
    <row r="9" spans="1:12" ht="31.5" x14ac:dyDescent="0.25">
      <c r="A9" s="705" t="s">
        <v>519</v>
      </c>
      <c r="B9" s="705" t="s">
        <v>551</v>
      </c>
      <c r="C9" s="675"/>
      <c r="D9" s="704">
        <v>0</v>
      </c>
      <c r="E9" s="704">
        <v>0</v>
      </c>
      <c r="F9" s="675">
        <f>SUM('3 pr-3'!AH121)+E9</f>
        <v>0</v>
      </c>
      <c r="G9" s="675">
        <f>SUM('3 pr-3'!AI121)+F9</f>
        <v>0</v>
      </c>
      <c r="H9" s="675">
        <f>SUM('3 pr-3'!AJ121)+G9</f>
        <v>0</v>
      </c>
      <c r="I9" s="675">
        <f>SUM('3 pr-3'!AK121)+H9</f>
        <v>0</v>
      </c>
      <c r="J9" s="675">
        <f>SUM('3 pr-3'!AL121)+I9</f>
        <v>0</v>
      </c>
      <c r="K9" s="675">
        <f>SUM('3 pr-3'!AM121)+J9</f>
        <v>0</v>
      </c>
      <c r="L9" s="675">
        <f>SUM('3 pr-3'!AN121)+K9</f>
        <v>0</v>
      </c>
    </row>
    <row r="10" spans="1:12" ht="31.5" x14ac:dyDescent="0.25">
      <c r="A10" s="705" t="s">
        <v>466</v>
      </c>
      <c r="B10" s="705" t="s">
        <v>552</v>
      </c>
      <c r="C10" s="675"/>
      <c r="D10" s="704">
        <v>0</v>
      </c>
      <c r="E10" s="704">
        <v>0</v>
      </c>
      <c r="F10" s="1480">
        <f>SUM('3 pr-3'!N39+'3 pr-3'!N47)+E10</f>
        <v>0</v>
      </c>
      <c r="G10" s="1480">
        <f>SUM('3 pr-3'!O39+'3 pr-3'!O47)+F10</f>
        <v>16459.5</v>
      </c>
      <c r="H10" s="1480">
        <f>SUM('3 pr-3'!P39)+G10</f>
        <v>16459.5</v>
      </c>
      <c r="I10" s="1480">
        <f>SUM('3 pr-3'!Q39)+H10</f>
        <v>16459.5</v>
      </c>
      <c r="J10" s="1480">
        <f>SUM('3 pr-3'!R39)+I10</f>
        <v>16459.5</v>
      </c>
      <c r="K10" s="1480">
        <f>SUM('3 pr-3'!S39)+J10</f>
        <v>16459.5</v>
      </c>
      <c r="L10" s="1480">
        <f>SUM('3 pr-3'!T39)+K10</f>
        <v>16459.5</v>
      </c>
    </row>
    <row r="11" spans="1:12" ht="31.5" x14ac:dyDescent="0.25">
      <c r="A11" s="705" t="s">
        <v>468</v>
      </c>
      <c r="B11" s="705" t="s">
        <v>469</v>
      </c>
      <c r="C11" s="675"/>
      <c r="D11" s="704">
        <v>0</v>
      </c>
      <c r="E11" s="704">
        <v>0</v>
      </c>
      <c r="F11" s="675">
        <f>SUM('3 pr-3'!AH39+'3 pr-3'!AH46)+E11</f>
        <v>0</v>
      </c>
      <c r="G11" s="675">
        <f>SUM('3 pr-3'!AI39+'3 pr-3'!AI46)+F11</f>
        <v>0</v>
      </c>
      <c r="H11" s="675">
        <f>SUM('3 pr-3'!AJ39+'3 pr-3'!AJ46)+G11</f>
        <v>0</v>
      </c>
      <c r="I11" s="675">
        <f>SUM('3 pr-3'!AK39+'3 pr-3'!AK46)+H11</f>
        <v>0</v>
      </c>
      <c r="J11" s="675">
        <f>SUM('3 pr-3'!AL39+'3 pr-3'!AL46)+I11</f>
        <v>0</v>
      </c>
      <c r="K11" s="675">
        <f>SUM('3 pr-3'!AM39+'3 pr-3'!AM46)+J11</f>
        <v>0</v>
      </c>
      <c r="L11" s="675">
        <f>SUM('3 pr-3'!AN39+'3 pr-3'!AN46)+K11</f>
        <v>0</v>
      </c>
    </row>
    <row r="12" spans="1:12" s="1187" customFormat="1" ht="31.5" x14ac:dyDescent="0.25">
      <c r="A12" s="699" t="s">
        <v>486</v>
      </c>
      <c r="B12" s="700" t="s">
        <v>553</v>
      </c>
      <c r="C12" s="699"/>
      <c r="D12" s="701">
        <v>0</v>
      </c>
      <c r="E12" s="701">
        <v>0</v>
      </c>
      <c r="F12" s="699">
        <f>SUM('3 pr-3'!AH56)+E12</f>
        <v>0</v>
      </c>
      <c r="G12" s="699">
        <f>SUM('3 pr-3'!AI56)+F12</f>
        <v>0</v>
      </c>
      <c r="H12" s="699">
        <f>SUM('3 pr-3'!AJ56)+G12</f>
        <v>0</v>
      </c>
      <c r="I12" s="699">
        <f>SUM('3 pr-3'!AK56)+H12</f>
        <v>0</v>
      </c>
      <c r="J12" s="699">
        <f>SUM('3 pr-3'!AL56)+I12</f>
        <v>0</v>
      </c>
      <c r="K12" s="699">
        <f>SUM('3 pr-3'!AM56)+J12</f>
        <v>0</v>
      </c>
      <c r="L12" s="699">
        <f>SUM('3 pr-3'!AN56)+K12</f>
        <v>0</v>
      </c>
    </row>
    <row r="13" spans="1:12" ht="47.25" x14ac:dyDescent="0.25">
      <c r="A13" s="705" t="s">
        <v>471</v>
      </c>
      <c r="B13" s="705" t="s">
        <v>554</v>
      </c>
      <c r="C13" s="675"/>
      <c r="D13" s="704">
        <v>0</v>
      </c>
      <c r="E13" s="704">
        <v>0</v>
      </c>
      <c r="F13" s="675">
        <f>SUM('3 pr-3'!N50)+E13</f>
        <v>0</v>
      </c>
      <c r="G13" s="675">
        <f>SUM('3 pr-3'!O50)+F13</f>
        <v>0</v>
      </c>
      <c r="H13" s="675">
        <f>SUM('3 pr-3'!P50)+G13</f>
        <v>0</v>
      </c>
      <c r="I13" s="675">
        <f>SUM('3 pr-3'!Q50)+H13</f>
        <v>0</v>
      </c>
      <c r="J13" s="675">
        <f>SUM('3 pr-3'!R50)+I13</f>
        <v>0</v>
      </c>
      <c r="K13" s="675">
        <f>SUM('3 pr-3'!S50)+J13</f>
        <v>0</v>
      </c>
      <c r="L13" s="675">
        <f>SUM('3 pr-3'!T50)+K13</f>
        <v>0</v>
      </c>
    </row>
    <row r="14" spans="1:12" ht="47.25" x14ac:dyDescent="0.25">
      <c r="A14" s="705" t="s">
        <v>479</v>
      </c>
      <c r="B14" s="705" t="s">
        <v>555</v>
      </c>
      <c r="C14" s="675"/>
      <c r="D14" s="704">
        <v>0</v>
      </c>
      <c r="E14" s="704">
        <v>0</v>
      </c>
      <c r="F14" s="1480">
        <f>SUM('3 pr-3'!AH50)+E14</f>
        <v>0</v>
      </c>
      <c r="G14" s="1480">
        <f>SUM('3 pr-3'!AI50)+F14</f>
        <v>0</v>
      </c>
      <c r="H14" s="1480">
        <f>SUM('3 pr-3'!AJ50)+G14</f>
        <v>0</v>
      </c>
      <c r="I14" s="1480">
        <f>SUM('3 pr-3'!AK50)+H14</f>
        <v>0</v>
      </c>
      <c r="J14" s="1480">
        <f>SUM('3 pr-3'!AL50)+I14</f>
        <v>0</v>
      </c>
      <c r="K14" s="1480">
        <f>SUM('3 pr-3'!AM50)+J14</f>
        <v>0</v>
      </c>
      <c r="L14" s="1480">
        <f>SUM('3 pr-3'!AN50)+K14</f>
        <v>0</v>
      </c>
    </row>
    <row r="15" spans="1:12" ht="31.5" x14ac:dyDescent="0.25">
      <c r="A15" s="705" t="s">
        <v>473</v>
      </c>
      <c r="B15" s="705" t="s">
        <v>556</v>
      </c>
      <c r="C15" s="675"/>
      <c r="D15" s="704">
        <v>0</v>
      </c>
      <c r="E15" s="704">
        <v>0</v>
      </c>
      <c r="F15" s="675">
        <f>SUM('3 pr-3'!BB50)+E15</f>
        <v>0</v>
      </c>
      <c r="G15" s="675">
        <f>SUM('3 pr-3'!BC50)+F15</f>
        <v>0</v>
      </c>
      <c r="H15" s="675">
        <f>SUM('3 pr-3'!BD50)+G15</f>
        <v>0</v>
      </c>
      <c r="I15" s="675">
        <f>SUM('3 pr-3'!BE50)+H15</f>
        <v>0</v>
      </c>
      <c r="J15" s="675">
        <f>SUM('3 pr-3'!BF50)+I15</f>
        <v>0</v>
      </c>
      <c r="K15" s="675">
        <f>SUM('3 pr-3'!BG50)+J15</f>
        <v>0</v>
      </c>
      <c r="L15" s="675">
        <f>SUM('3 pr-3'!BH50)+K15</f>
        <v>0</v>
      </c>
    </row>
    <row r="16" spans="1:12" ht="47.25" x14ac:dyDescent="0.25">
      <c r="A16" s="705" t="s">
        <v>475</v>
      </c>
      <c r="B16" s="705" t="s">
        <v>557</v>
      </c>
      <c r="C16" s="675"/>
      <c r="D16" s="704">
        <v>0</v>
      </c>
      <c r="E16" s="704">
        <v>0</v>
      </c>
      <c r="F16" s="675">
        <f>SUM('3 pr-3'!BV50)+E16</f>
        <v>0</v>
      </c>
      <c r="G16" s="675">
        <f>SUM('3 pr-3'!BW50)+F16</f>
        <v>0</v>
      </c>
      <c r="H16" s="675">
        <f>SUM('3 pr-3'!BX50)+G16</f>
        <v>0</v>
      </c>
      <c r="I16" s="675">
        <f>SUM('3 pr-3'!BY50)+H16</f>
        <v>0</v>
      </c>
      <c r="J16" s="675">
        <f>SUM('3 pr-3'!BZ50)+I16</f>
        <v>0</v>
      </c>
      <c r="K16" s="675">
        <f>SUM('3 pr-3'!CA50)+J16</f>
        <v>0</v>
      </c>
      <c r="L16" s="675">
        <f>SUM('3 pr-3'!CB50)+K16</f>
        <v>0</v>
      </c>
    </row>
    <row r="17" spans="1:12" ht="47.25" x14ac:dyDescent="0.25">
      <c r="A17" s="705" t="s">
        <v>545</v>
      </c>
      <c r="B17" s="705" t="s">
        <v>548</v>
      </c>
      <c r="C17" s="675"/>
      <c r="D17" s="704">
        <v>0</v>
      </c>
      <c r="E17" s="704">
        <v>0</v>
      </c>
      <c r="F17" s="675">
        <f>SUM('3 pr-3'!AH173)+E17</f>
        <v>0</v>
      </c>
      <c r="G17" s="675">
        <f>SUM('3 pr-3'!AI173)+F17</f>
        <v>0</v>
      </c>
      <c r="H17" s="675">
        <f>SUM('3 pr-3'!AJ173)+G17</f>
        <v>0</v>
      </c>
      <c r="I17" s="675">
        <f>SUM('3 pr-3'!AK173)+H17</f>
        <v>0</v>
      </c>
      <c r="J17" s="675">
        <f>SUM('3 pr-3'!AL173)+I17</f>
        <v>0</v>
      </c>
      <c r="K17" s="675">
        <f>SUM('3 pr-3'!AM173)+J17</f>
        <v>0</v>
      </c>
      <c r="L17" s="675">
        <f>SUM('3 pr-3'!AN173)+K17</f>
        <v>0</v>
      </c>
    </row>
    <row r="18" spans="1:12" ht="31.5" x14ac:dyDescent="0.25">
      <c r="A18" s="705" t="s">
        <v>540</v>
      </c>
      <c r="B18" s="705" t="s">
        <v>558</v>
      </c>
      <c r="C18" s="675"/>
      <c r="D18" s="704">
        <v>0</v>
      </c>
      <c r="E18" s="704">
        <v>0</v>
      </c>
      <c r="F18" s="675">
        <f>SUM('3 pr-3'!BB173)+E18</f>
        <v>0</v>
      </c>
      <c r="G18" s="675">
        <f>SUM('3 pr-3'!BC173)+F18</f>
        <v>42</v>
      </c>
      <c r="H18" s="675">
        <f>SUM('3 pr-3'!BD173)+G18</f>
        <v>42</v>
      </c>
      <c r="I18" s="675">
        <f>SUM('3 pr-3'!BE173)+H18</f>
        <v>42</v>
      </c>
      <c r="J18" s="675">
        <f>SUM('3 pr-3'!BF173)+I18</f>
        <v>42</v>
      </c>
      <c r="K18" s="675">
        <f>SUM('3 pr-3'!BG173)+J18</f>
        <v>42</v>
      </c>
      <c r="L18" s="675">
        <f>SUM('3 pr-3'!BH173)+K18</f>
        <v>42</v>
      </c>
    </row>
    <row r="19" spans="1:12" ht="15.75" x14ac:dyDescent="0.25">
      <c r="A19" s="705" t="s">
        <v>541</v>
      </c>
      <c r="B19" s="705" t="s">
        <v>542</v>
      </c>
      <c r="C19" s="675"/>
      <c r="D19" s="704">
        <v>0</v>
      </c>
      <c r="E19" s="704">
        <v>0</v>
      </c>
      <c r="F19" s="675">
        <f>SUM('3 pr-3'!BV173)+E19</f>
        <v>0</v>
      </c>
      <c r="G19" s="675">
        <f>SUM('3 pr-3'!BW173)+F19</f>
        <v>0</v>
      </c>
      <c r="H19" s="675">
        <f>SUM('3 pr-3'!BX173)+G19</f>
        <v>0</v>
      </c>
      <c r="I19" s="675">
        <f>SUM('3 pr-3'!BY173)+H19</f>
        <v>0</v>
      </c>
      <c r="J19" s="675">
        <f>SUM('3 pr-3'!BZ173)+I19</f>
        <v>0</v>
      </c>
      <c r="K19" s="675">
        <f>SUM('3 pr-3'!CA173)+J19</f>
        <v>0</v>
      </c>
      <c r="L19" s="675">
        <f>SUM('3 pr-3'!CB173)+K19</f>
        <v>0</v>
      </c>
    </row>
    <row r="20" spans="1:12" ht="15.75" x14ac:dyDescent="0.25">
      <c r="A20" s="705" t="s">
        <v>490</v>
      </c>
      <c r="B20" s="705" t="s">
        <v>559</v>
      </c>
      <c r="C20" s="675"/>
      <c r="D20" s="704">
        <v>0</v>
      </c>
      <c r="E20" s="704">
        <v>0</v>
      </c>
      <c r="F20" s="675">
        <f>SUM('3 pr-3'!$AO$62)+E20</f>
        <v>0</v>
      </c>
      <c r="G20" s="675">
        <f>SUM('3 pr-3'!$AO$62)+F20</f>
        <v>0</v>
      </c>
      <c r="H20" s="675">
        <f>SUM('3 pr-3'!$AO$62)+G20</f>
        <v>0</v>
      </c>
      <c r="I20" s="675">
        <f>SUM('3 pr-3'!$AO$62)+H20</f>
        <v>0</v>
      </c>
      <c r="J20" s="675">
        <f>SUM('3 pr-3'!$AO$62)+I20</f>
        <v>0</v>
      </c>
      <c r="K20" s="675">
        <f>SUM('3 pr-3'!$AO$62)+J20</f>
        <v>0</v>
      </c>
      <c r="L20" s="675">
        <f>SUM('3 pr-3'!$AO$62)+K20</f>
        <v>0</v>
      </c>
    </row>
    <row r="21" spans="1:12" s="1187" customFormat="1" ht="15.75" x14ac:dyDescent="0.25">
      <c r="A21" s="699" t="s">
        <v>806</v>
      </c>
      <c r="B21" s="700" t="s">
        <v>807</v>
      </c>
      <c r="C21" s="699"/>
      <c r="D21" s="701">
        <v>0</v>
      </c>
      <c r="E21" s="701">
        <v>0</v>
      </c>
      <c r="F21" s="699">
        <f>SUM('3 pr-3'!AH79)+E21</f>
        <v>1</v>
      </c>
      <c r="G21" s="699">
        <f>SUM('3 pr-3'!AI79)+F21</f>
        <v>1</v>
      </c>
      <c r="H21" s="699">
        <f>SUM('3 pr-3'!AJ79)+G21</f>
        <v>1</v>
      </c>
      <c r="I21" s="699">
        <f>SUM('3 pr-3'!AK79)+H21</f>
        <v>1</v>
      </c>
      <c r="J21" s="699">
        <f>SUM('3 pr-3'!AL79)+I21</f>
        <v>1</v>
      </c>
      <c r="K21" s="699">
        <f>SUM('3 pr-3'!AM79)+J21</f>
        <v>1</v>
      </c>
      <c r="L21" s="699">
        <f>SUM('3 pr-3'!AN79)+K21</f>
        <v>1</v>
      </c>
    </row>
    <row r="22" spans="1:12" ht="15.75" x14ac:dyDescent="0.25">
      <c r="A22" s="705" t="s">
        <v>509</v>
      </c>
      <c r="B22" s="705" t="s">
        <v>510</v>
      </c>
      <c r="C22" s="675"/>
      <c r="D22" s="704">
        <v>0</v>
      </c>
      <c r="E22" s="704">
        <v>0</v>
      </c>
      <c r="F22" s="675">
        <f>SUM('3 pr-3'!BB92)+E22</f>
        <v>0</v>
      </c>
      <c r="G22" s="675">
        <f>SUM('3 pr-3'!BC92)+F22</f>
        <v>0</v>
      </c>
      <c r="H22" s="675">
        <f>SUM('3 pr-3'!BD92)+G22</f>
        <v>0</v>
      </c>
      <c r="I22" s="675">
        <f>SUM('3 pr-3'!BE92)+H22</f>
        <v>0</v>
      </c>
      <c r="J22" s="675">
        <f>SUM('3 pr-3'!BF92)+I22</f>
        <v>0</v>
      </c>
      <c r="K22" s="675">
        <f>SUM('3 pr-3'!BG92)+J22</f>
        <v>0</v>
      </c>
      <c r="L22" s="675">
        <f>SUM('3 pr-3'!BH92)+K22</f>
        <v>0</v>
      </c>
    </row>
    <row r="23" spans="1:12" ht="15.75" x14ac:dyDescent="0.25">
      <c r="A23" s="705" t="s">
        <v>522</v>
      </c>
      <c r="B23" s="705" t="s">
        <v>523</v>
      </c>
      <c r="C23" s="675"/>
      <c r="D23" s="704">
        <v>0</v>
      </c>
      <c r="E23" s="704">
        <v>0</v>
      </c>
      <c r="F23" s="675">
        <f>SUM('3 pr-3'!AH135)+E23</f>
        <v>0</v>
      </c>
      <c r="G23" s="675">
        <f>SUM('3 pr-3'!AI135)+F23</f>
        <v>0</v>
      </c>
      <c r="H23" s="675">
        <f>SUM('3 pr-3'!AJ135)+G23</f>
        <v>0</v>
      </c>
      <c r="I23" s="675">
        <f>SUM('3 pr-3'!AK135)+H23</f>
        <v>0</v>
      </c>
      <c r="J23" s="675">
        <f>SUM('3 pr-3'!AL135)+I23</f>
        <v>0</v>
      </c>
      <c r="K23" s="675">
        <f>SUM('3 pr-3'!AM135)+J23</f>
        <v>0</v>
      </c>
      <c r="L23" s="675">
        <f>SUM('3 pr-3'!AN135)+K23</f>
        <v>0</v>
      </c>
    </row>
    <row r="24" spans="1:12" ht="47.25" x14ac:dyDescent="0.25">
      <c r="A24" s="702" t="s">
        <v>1211</v>
      </c>
      <c r="B24" s="703" t="s">
        <v>1212</v>
      </c>
      <c r="C24" s="675"/>
      <c r="D24" s="704">
        <v>0</v>
      </c>
      <c r="E24" s="704">
        <v>0</v>
      </c>
      <c r="F24" s="675">
        <f>SUM('3 pr-3'!N141)+E24</f>
        <v>0</v>
      </c>
      <c r="G24" s="675">
        <f>SUM('3 pr-3'!O141)+F24</f>
        <v>0</v>
      </c>
      <c r="H24" s="675">
        <f>SUM('3 pr-3'!P141)+G24</f>
        <v>0</v>
      </c>
      <c r="I24" s="675">
        <f>SUM('3 pr-3'!Q141)+H24</f>
        <v>0</v>
      </c>
      <c r="J24" s="675">
        <f>SUM('3 pr-3'!R141)+I24</f>
        <v>0</v>
      </c>
      <c r="K24" s="675">
        <f>SUM('3 pr-3'!S141)+J24</f>
        <v>0</v>
      </c>
      <c r="L24" s="675">
        <f>SUM('3 pr-3'!T141)+K24</f>
        <v>0</v>
      </c>
    </row>
    <row r="25" spans="1:12" ht="15.75" x14ac:dyDescent="0.25">
      <c r="A25" s="702" t="s">
        <v>1199</v>
      </c>
      <c r="B25" s="703" t="s">
        <v>1200</v>
      </c>
      <c r="C25" s="675"/>
      <c r="D25" s="704">
        <v>0</v>
      </c>
      <c r="E25" s="704">
        <v>0</v>
      </c>
      <c r="F25" s="675">
        <f>SUM('3 pr-3'!AH135)+E25</f>
        <v>0</v>
      </c>
      <c r="G25" s="675">
        <f>SUM('3 pr-3'!AI135)+F25</f>
        <v>0</v>
      </c>
      <c r="H25" s="675">
        <f>SUM('3 pr-3'!AJ135)+G25</f>
        <v>0</v>
      </c>
      <c r="I25" s="675">
        <f>SUM('3 pr-3'!AK135)+H25</f>
        <v>0</v>
      </c>
      <c r="J25" s="675">
        <f>SUM('3 pr-3'!AL135)+I25</f>
        <v>0</v>
      </c>
      <c r="K25" s="675">
        <f>SUM('3 pr-3'!AM135)+J25</f>
        <v>0</v>
      </c>
      <c r="L25" s="675">
        <f>SUM('3 pr-3'!AN135)+K25</f>
        <v>0</v>
      </c>
    </row>
    <row r="26" spans="1:12" ht="31.5" x14ac:dyDescent="0.25">
      <c r="A26" s="705" t="s">
        <v>517</v>
      </c>
      <c r="B26" s="705" t="s">
        <v>560</v>
      </c>
      <c r="C26" s="675"/>
      <c r="D26" s="704">
        <v>0</v>
      </c>
      <c r="E26" s="704">
        <v>0</v>
      </c>
      <c r="F26" s="675">
        <f>SUM('3 pr-3'!N114)+E26</f>
        <v>0</v>
      </c>
      <c r="G26" s="675">
        <f>SUM('3 pr-3'!O114)+F26</f>
        <v>0</v>
      </c>
      <c r="H26" s="675">
        <f>SUM('3 pr-3'!P114)+G26</f>
        <v>0</v>
      </c>
      <c r="I26" s="675">
        <f>SUM('3 pr-3'!Q114)+H26</f>
        <v>0</v>
      </c>
      <c r="J26" s="675">
        <f>SUM('3 pr-3'!R114)+I26</f>
        <v>0</v>
      </c>
      <c r="K26" s="675">
        <f>SUM('3 pr-3'!S114)+J26</f>
        <v>0</v>
      </c>
      <c r="L26" s="675">
        <f>SUM('3 pr-3'!T114)+K26</f>
        <v>0</v>
      </c>
    </row>
    <row r="27" spans="1:12" ht="31.5" x14ac:dyDescent="0.25">
      <c r="A27" s="705" t="s">
        <v>561</v>
      </c>
      <c r="B27" s="705" t="s">
        <v>562</v>
      </c>
      <c r="C27" s="675"/>
      <c r="D27" s="704">
        <v>0</v>
      </c>
      <c r="E27" s="704">
        <v>0</v>
      </c>
      <c r="F27" s="675">
        <f>SUM('3 pr-3'!N102)+E27</f>
        <v>0</v>
      </c>
      <c r="G27" s="675">
        <f>SUM('3 pr-3'!O102)+F27</f>
        <v>0</v>
      </c>
      <c r="H27" s="675">
        <f>SUM('3 pr-3'!P102)+G27</f>
        <v>0</v>
      </c>
      <c r="I27" s="675">
        <f>SUM('3 pr-3'!Q102)+H27</f>
        <v>0</v>
      </c>
      <c r="J27" s="675">
        <f>SUM('3 pr-3'!R102)+I27</f>
        <v>0</v>
      </c>
      <c r="K27" s="675">
        <f>SUM('3 pr-3'!S102)+J27</f>
        <v>0</v>
      </c>
      <c r="L27" s="675">
        <f>SUM('3 pr-3'!T102)+K27</f>
        <v>0</v>
      </c>
    </row>
    <row r="28" spans="1:12" ht="31.5" x14ac:dyDescent="0.25">
      <c r="A28" s="705" t="s">
        <v>563</v>
      </c>
      <c r="B28" s="705" t="s">
        <v>564</v>
      </c>
      <c r="C28" s="675"/>
      <c r="D28" s="704">
        <v>0</v>
      </c>
      <c r="E28" s="704">
        <v>0</v>
      </c>
      <c r="F28" s="675">
        <f>SUM('3 pr-3'!N108)+E28</f>
        <v>0</v>
      </c>
      <c r="G28" s="675">
        <f>SUM('3 pr-3'!O108)+F28</f>
        <v>0</v>
      </c>
      <c r="H28" s="675">
        <f>SUM('3 pr-3'!P108)+G28</f>
        <v>0</v>
      </c>
      <c r="I28" s="675">
        <f>SUM('3 pr-3'!Q108)+H28</f>
        <v>0</v>
      </c>
      <c r="J28" s="675">
        <f>SUM('3 pr-3'!R108)+I28</f>
        <v>0</v>
      </c>
      <c r="K28" s="675">
        <f>SUM('3 pr-3'!S108)+J28</f>
        <v>0</v>
      </c>
      <c r="L28" s="675">
        <f>SUM('3 pr-3'!T108)+K28</f>
        <v>0</v>
      </c>
    </row>
    <row r="29" spans="1:12" ht="31.5" x14ac:dyDescent="0.25">
      <c r="A29" s="702" t="s">
        <v>598</v>
      </c>
      <c r="B29" s="703" t="s">
        <v>599</v>
      </c>
      <c r="C29" s="675"/>
      <c r="D29" s="704">
        <v>0</v>
      </c>
      <c r="E29" s="704">
        <v>0</v>
      </c>
      <c r="F29" s="675">
        <f>SUM('3 pr-3'!N114)+E29</f>
        <v>0</v>
      </c>
      <c r="G29" s="675">
        <f>SUM('3 pr-3'!O114)+F29</f>
        <v>0</v>
      </c>
      <c r="H29" s="675">
        <f>SUM('3 pr-3'!P114)+G29</f>
        <v>0</v>
      </c>
      <c r="I29" s="675">
        <f>SUM('3 pr-3'!Q114)+H29</f>
        <v>0</v>
      </c>
      <c r="J29" s="675">
        <f>SUM('3 pr-3'!R114)+I29</f>
        <v>0</v>
      </c>
      <c r="K29" s="675">
        <f>SUM('3 pr-3'!S114)+J29</f>
        <v>0</v>
      </c>
      <c r="L29" s="675">
        <f>SUM('3 pr-3'!T114)+K29</f>
        <v>0</v>
      </c>
    </row>
    <row r="30" spans="1:12" ht="15.75" x14ac:dyDescent="0.25">
      <c r="A30" s="705" t="s">
        <v>597</v>
      </c>
      <c r="B30" s="705" t="s">
        <v>489</v>
      </c>
      <c r="C30" s="675"/>
      <c r="D30" s="704">
        <v>0</v>
      </c>
      <c r="E30" s="704">
        <v>0</v>
      </c>
      <c r="F30" s="675">
        <f>SUM('3 pr-3'!N58)+E30</f>
        <v>0</v>
      </c>
      <c r="G30" s="675">
        <f>SUM('3 pr-3'!O58)+F30</f>
        <v>0</v>
      </c>
      <c r="H30" s="675">
        <f>SUM('3 pr-3'!P58)+G30</f>
        <v>0</v>
      </c>
      <c r="I30" s="675">
        <f>SUM('3 pr-3'!Q58)+H30</f>
        <v>0</v>
      </c>
      <c r="J30" s="675">
        <f>SUM('3 pr-3'!R58)+I30</f>
        <v>0</v>
      </c>
      <c r="K30" s="675">
        <f>SUM('3 pr-3'!S58)+J30</f>
        <v>0</v>
      </c>
      <c r="L30" s="675">
        <f>SUM('3 pr-3'!T58)+K30</f>
        <v>0</v>
      </c>
    </row>
    <row r="31" spans="1:12" ht="15.75" x14ac:dyDescent="0.25">
      <c r="A31" s="705" t="s">
        <v>793</v>
      </c>
      <c r="B31" s="705" t="s">
        <v>534</v>
      </c>
      <c r="C31" s="675"/>
      <c r="D31" s="704">
        <v>0</v>
      </c>
      <c r="E31" s="704">
        <v>0</v>
      </c>
      <c r="F31" s="675">
        <f>SUM('3 pr-3'!BB161)+E31</f>
        <v>0</v>
      </c>
      <c r="G31" s="675">
        <f>SUM('3 pr-3'!BC161)+F31</f>
        <v>0</v>
      </c>
      <c r="H31" s="675">
        <f>SUM('3 pr-3'!BD161)+G31</f>
        <v>0</v>
      </c>
      <c r="I31" s="675">
        <f>SUM('3 pr-3'!BE161)+H31</f>
        <v>0</v>
      </c>
      <c r="J31" s="675">
        <f>SUM('3 pr-3'!BF161)+I31</f>
        <v>0</v>
      </c>
      <c r="K31" s="675">
        <f>SUM('3 pr-3'!BG161)+J31</f>
        <v>0</v>
      </c>
      <c r="L31" s="675">
        <f>SUM('3 pr-3'!BH161)+K31</f>
        <v>0</v>
      </c>
    </row>
    <row r="32" spans="1:12" ht="31.5" x14ac:dyDescent="0.25">
      <c r="A32" s="705" t="s">
        <v>500</v>
      </c>
      <c r="B32" s="705" t="s">
        <v>566</v>
      </c>
      <c r="C32" s="675"/>
      <c r="D32" s="704">
        <v>0</v>
      </c>
      <c r="E32" s="704">
        <v>0</v>
      </c>
      <c r="F32" s="675">
        <f>SUM('3 pr-3'!N86)+E32</f>
        <v>0</v>
      </c>
      <c r="G32" s="675">
        <f>SUM('3 pr-3'!O86)+F32</f>
        <v>0</v>
      </c>
      <c r="H32" s="675">
        <f>SUM('3 pr-3'!P86)+G32</f>
        <v>0</v>
      </c>
      <c r="I32" s="675">
        <f>SUM('3 pr-3'!Q86)+H32</f>
        <v>0</v>
      </c>
      <c r="J32" s="675">
        <f>SUM('3 pr-3'!R86)+I32</f>
        <v>0</v>
      </c>
      <c r="K32" s="675">
        <f>SUM('3 pr-3'!S86)+J32</f>
        <v>0</v>
      </c>
      <c r="L32" s="675">
        <f>SUM('3 pr-3'!T86)+K32</f>
        <v>0</v>
      </c>
    </row>
    <row r="33" spans="1:12" ht="31.5" x14ac:dyDescent="0.25">
      <c r="A33" s="705" t="s">
        <v>503</v>
      </c>
      <c r="B33" s="705" t="s">
        <v>567</v>
      </c>
      <c r="C33" s="675"/>
      <c r="D33" s="704">
        <v>0</v>
      </c>
      <c r="E33" s="704">
        <v>0</v>
      </c>
      <c r="F33" s="675">
        <f>SUM('3 pr-3'!AH86)</f>
        <v>0</v>
      </c>
      <c r="G33" s="675">
        <f>SUM('3 pr-3'!AI86)+F33</f>
        <v>0</v>
      </c>
      <c r="H33" s="675">
        <f>SUM('3 pr-3'!AJ86)+G33</f>
        <v>0</v>
      </c>
      <c r="I33" s="675">
        <f>SUM('3 pr-3'!AK86)+H33</f>
        <v>0</v>
      </c>
      <c r="J33" s="675">
        <f>SUM('3 pr-3'!AL86)+I33</f>
        <v>0</v>
      </c>
      <c r="K33" s="675">
        <f>SUM('3 pr-3'!AM86)+J33</f>
        <v>0</v>
      </c>
      <c r="L33" s="675">
        <f>SUM('3 pr-3'!AN86)+K33</f>
        <v>0</v>
      </c>
    </row>
    <row r="34" spans="1:12" ht="15.75" x14ac:dyDescent="0.25">
      <c r="A34" s="705" t="s">
        <v>498</v>
      </c>
      <c r="B34" s="705" t="s">
        <v>568</v>
      </c>
      <c r="C34" s="705"/>
      <c r="D34" s="704">
        <v>0</v>
      </c>
      <c r="E34" s="704">
        <v>0</v>
      </c>
      <c r="F34" s="675">
        <f>SUM('3 pr-3'!N79)+E34</f>
        <v>0</v>
      </c>
      <c r="G34" s="675">
        <f>SUM('3 pr-3'!O79)+F34</f>
        <v>0</v>
      </c>
      <c r="H34" s="675">
        <f>SUM('3 pr-3'!P79)+G34</f>
        <v>0</v>
      </c>
      <c r="I34" s="675">
        <f>SUM('3 pr-3'!Q79)+H34</f>
        <v>0</v>
      </c>
      <c r="J34" s="675">
        <f>SUM('3 pr-3'!R79)+I34</f>
        <v>0</v>
      </c>
      <c r="K34" s="675">
        <f>SUM('3 pr-3'!S79)+J34</f>
        <v>0</v>
      </c>
      <c r="L34" s="675">
        <f>SUM('3 pr-3'!T79)+K34</f>
        <v>0</v>
      </c>
    </row>
    <row r="35" spans="1:12" ht="15.75" x14ac:dyDescent="0.25">
      <c r="A35" s="705" t="s">
        <v>1431</v>
      </c>
      <c r="B35" s="705" t="s">
        <v>1432</v>
      </c>
      <c r="C35" s="705"/>
      <c r="D35" s="704">
        <v>0</v>
      </c>
      <c r="E35" s="704">
        <v>0</v>
      </c>
      <c r="F35" s="675">
        <f>SUM('3 pr-3'!BB79)+E35</f>
        <v>0</v>
      </c>
      <c r="G35" s="675">
        <f>SUM('3 pr-3'!BC79)+F35</f>
        <v>0</v>
      </c>
      <c r="H35" s="675">
        <f>SUM('3 pr-3'!BD79)+G35</f>
        <v>0</v>
      </c>
      <c r="I35" s="675">
        <f>SUM('3 pr-3'!BE79)+H35</f>
        <v>0</v>
      </c>
      <c r="J35" s="675">
        <f>SUM('3 pr-3'!BF79)+I35</f>
        <v>0</v>
      </c>
      <c r="K35" s="675">
        <f>SUM('3 pr-3'!BG79)+J35</f>
        <v>0</v>
      </c>
      <c r="L35" s="675">
        <f>SUM('3 pr-3'!BH79)+K35</f>
        <v>0</v>
      </c>
    </row>
    <row r="36" spans="1:12" ht="31.5" x14ac:dyDescent="0.25">
      <c r="A36" s="705" t="s">
        <v>495</v>
      </c>
      <c r="B36" s="705" t="s">
        <v>569</v>
      </c>
      <c r="C36" s="705"/>
      <c r="D36" s="704">
        <v>0</v>
      </c>
      <c r="E36" s="704">
        <v>0</v>
      </c>
      <c r="F36" s="675">
        <f>SUM('3 pr-3'!N74)+E36</f>
        <v>0</v>
      </c>
      <c r="G36" s="675">
        <f>SUM('3 pr-3'!O74)+F36</f>
        <v>0</v>
      </c>
      <c r="H36" s="675">
        <f>SUM('3 pr-3'!P74)+G36</f>
        <v>0</v>
      </c>
      <c r="I36" s="675">
        <f>SUM('3 pr-3'!Q74)+H36</f>
        <v>0</v>
      </c>
      <c r="J36" s="675">
        <f>SUM('3 pr-3'!R74)+I36</f>
        <v>0</v>
      </c>
      <c r="K36" s="675">
        <f>SUM('3 pr-3'!S74)+J36</f>
        <v>0</v>
      </c>
      <c r="L36" s="675">
        <f>SUM('3 pr-3'!T74)+K36</f>
        <v>0</v>
      </c>
    </row>
    <row r="37" spans="1:12" ht="47.25" x14ac:dyDescent="0.25">
      <c r="A37" s="705" t="s">
        <v>484</v>
      </c>
      <c r="B37" s="705" t="s">
        <v>485</v>
      </c>
      <c r="C37" s="705"/>
      <c r="D37" s="704">
        <v>0</v>
      </c>
      <c r="E37" s="704">
        <v>0</v>
      </c>
      <c r="F37" s="675">
        <f>SUM('3 pr-3'!N56)+E37</f>
        <v>0</v>
      </c>
      <c r="G37" s="675">
        <f>SUM('3 pr-3'!O56)+F37</f>
        <v>0</v>
      </c>
      <c r="H37" s="675">
        <f>SUM('3 pr-3'!P56)+G37</f>
        <v>0</v>
      </c>
      <c r="I37" s="675">
        <f>SUM('3 pr-3'!Q56)+H37</f>
        <v>0</v>
      </c>
      <c r="J37" s="675">
        <f>SUM('3 pr-3'!R56)+I37</f>
        <v>0</v>
      </c>
      <c r="K37" s="675">
        <f>SUM('3 pr-3'!S56)+J37</f>
        <v>0</v>
      </c>
      <c r="L37" s="675">
        <f>SUM('3 pr-3'!T56)+K37</f>
        <v>0</v>
      </c>
    </row>
    <row r="38" spans="1:12" ht="31.5" x14ac:dyDescent="0.25">
      <c r="A38" s="705" t="s">
        <v>536</v>
      </c>
      <c r="B38" s="705" t="s">
        <v>570</v>
      </c>
      <c r="C38" s="705"/>
      <c r="D38" s="704">
        <v>0</v>
      </c>
      <c r="E38" s="704">
        <v>0</v>
      </c>
      <c r="F38" s="675">
        <f>SUM('3 pr-3'!N170)+E38</f>
        <v>0</v>
      </c>
      <c r="G38" s="675">
        <f>SUM('3 pr-3'!O170)+F38</f>
        <v>0</v>
      </c>
      <c r="H38" s="675">
        <f>SUM('3 pr-3'!P170)+G38</f>
        <v>0</v>
      </c>
      <c r="I38" s="675">
        <f>SUM('3 pr-3'!Q170)+H38</f>
        <v>0</v>
      </c>
      <c r="J38" s="675">
        <f>SUM('3 pr-3'!R170)+I38</f>
        <v>0</v>
      </c>
      <c r="K38" s="675">
        <f>SUM('3 pr-3'!S170)+J38</f>
        <v>0</v>
      </c>
      <c r="L38" s="675">
        <f>SUM('3 pr-3'!T170)+K38</f>
        <v>0</v>
      </c>
    </row>
    <row r="39" spans="1:12" ht="31.5" x14ac:dyDescent="0.25">
      <c r="A39" s="705" t="s">
        <v>477</v>
      </c>
      <c r="B39" s="705" t="s">
        <v>571</v>
      </c>
      <c r="C39" s="705"/>
      <c r="D39" s="704">
        <v>0</v>
      </c>
      <c r="E39" s="704">
        <v>0</v>
      </c>
      <c r="F39" s="675">
        <f>SUM('3 pr-3'!CP50)+E39</f>
        <v>0</v>
      </c>
      <c r="G39" s="675">
        <f>SUM('3 pr-3'!CQ50)+F39</f>
        <v>0</v>
      </c>
      <c r="H39" s="675">
        <f>SUM('3 pr-3'!CR50)+G39</f>
        <v>0</v>
      </c>
      <c r="I39" s="675">
        <f>SUM('3 pr-3'!CS50)+H39</f>
        <v>0</v>
      </c>
      <c r="J39" s="675">
        <f>SUM('3 pr-3'!CT50)+I39</f>
        <v>0</v>
      </c>
      <c r="K39" s="675">
        <f>SUM('3 pr-3'!CU50)+J39</f>
        <v>0</v>
      </c>
      <c r="L39" s="675">
        <f>SUM('3 pr-3'!CV50)+K39</f>
        <v>0</v>
      </c>
    </row>
    <row r="40" spans="1:12" ht="31.5" x14ac:dyDescent="0.25">
      <c r="A40" s="705" t="s">
        <v>492</v>
      </c>
      <c r="B40" s="705" t="s">
        <v>493</v>
      </c>
      <c r="C40" s="705"/>
      <c r="D40" s="704">
        <v>0</v>
      </c>
      <c r="E40" s="704">
        <v>0</v>
      </c>
      <c r="F40" s="675">
        <f>SUM('3 pr-3'!N67)+E40</f>
        <v>0</v>
      </c>
      <c r="G40" s="675">
        <f>SUM('3 pr-3'!O67)+F40</f>
        <v>0</v>
      </c>
      <c r="H40" s="675">
        <f>SUM('3 pr-3'!P67)+G40</f>
        <v>0</v>
      </c>
      <c r="I40" s="675">
        <f>SUM('3 pr-3'!Q67)+H40</f>
        <v>0</v>
      </c>
      <c r="J40" s="675">
        <f>SUM('3 pr-3'!R67)+I40</f>
        <v>0</v>
      </c>
      <c r="K40" s="675">
        <f>SUM('3 pr-3'!S67)+J40</f>
        <v>0</v>
      </c>
      <c r="L40" s="675">
        <f>SUM('3 pr-3'!T67)+K40</f>
        <v>0</v>
      </c>
    </row>
    <row r="41" spans="1:12" ht="31.5" x14ac:dyDescent="0.25">
      <c r="A41" s="705" t="s">
        <v>543</v>
      </c>
      <c r="B41" s="705" t="s">
        <v>572</v>
      </c>
      <c r="C41" s="705"/>
      <c r="D41" s="704">
        <v>0</v>
      </c>
      <c r="E41" s="704">
        <v>0</v>
      </c>
      <c r="F41" s="675">
        <f>SUM('3 pr-3'!CP173)+E41</f>
        <v>0</v>
      </c>
      <c r="G41" s="675">
        <f>SUM('3 pr-3'!CQ173)+F41</f>
        <v>0</v>
      </c>
      <c r="H41" s="675">
        <f>SUM('3 pr-3'!CR173)+G41</f>
        <v>0</v>
      </c>
      <c r="I41" s="675">
        <f>SUM('3 pr-3'!CS173)+H41</f>
        <v>0</v>
      </c>
      <c r="J41" s="675">
        <f>SUM('3 pr-3'!CT173)+I41</f>
        <v>0</v>
      </c>
      <c r="K41" s="675">
        <f>SUM('3 pr-3'!CU173)+J41</f>
        <v>0</v>
      </c>
      <c r="L41" s="675">
        <f>SUM('3 pr-3'!CV173)+K41</f>
        <v>0</v>
      </c>
    </row>
    <row r="42" spans="1:12" ht="31.5" x14ac:dyDescent="0.25">
      <c r="A42" s="705" t="s">
        <v>507</v>
      </c>
      <c r="B42" s="705" t="s">
        <v>508</v>
      </c>
      <c r="C42" s="705"/>
      <c r="D42" s="704">
        <v>0</v>
      </c>
      <c r="E42" s="704">
        <v>0</v>
      </c>
      <c r="F42" s="675">
        <f>SUM('3 pr-3'!AH92)+E42</f>
        <v>0</v>
      </c>
      <c r="G42" s="675">
        <f>SUM('3 pr-3'!AI92)+F42</f>
        <v>0</v>
      </c>
      <c r="H42" s="675">
        <f>SUM('3 pr-3'!AJ92)+G42</f>
        <v>0</v>
      </c>
      <c r="I42" s="675">
        <f>SUM('3 pr-3'!AK92)+H42</f>
        <v>0</v>
      </c>
      <c r="J42" s="675">
        <f>SUM('3 pr-3'!AL92)+I42</f>
        <v>0</v>
      </c>
      <c r="K42" s="675">
        <f>SUM('3 pr-3'!AM92)+J42</f>
        <v>0</v>
      </c>
      <c r="L42" s="675">
        <f>SUM('3 pr-3'!AN92)+K42</f>
        <v>0</v>
      </c>
    </row>
    <row r="43" spans="1:12" ht="31.5" x14ac:dyDescent="0.25">
      <c r="A43" s="705" t="s">
        <v>524</v>
      </c>
      <c r="B43" s="705" t="s">
        <v>573</v>
      </c>
      <c r="C43" s="705"/>
      <c r="D43" s="704">
        <v>0</v>
      </c>
      <c r="E43" s="704">
        <v>0</v>
      </c>
      <c r="F43" s="675">
        <f>SUM('3 pr-3'!N148)+E43</f>
        <v>0</v>
      </c>
      <c r="G43" s="675">
        <f>SUM('3 pr-3'!O148)+F43</f>
        <v>0</v>
      </c>
      <c r="H43" s="675">
        <f>SUM('3 pr-3'!P148)+G43</f>
        <v>0</v>
      </c>
      <c r="I43" s="675">
        <f>SUM('3 pr-3'!Q148)+H43</f>
        <v>0</v>
      </c>
      <c r="J43" s="675">
        <f>SUM('3 pr-3'!R148)+I43</f>
        <v>0</v>
      </c>
      <c r="K43" s="675">
        <f>SUM('3 pr-3'!S148)+J43</f>
        <v>0</v>
      </c>
      <c r="L43" s="675">
        <f>SUM('3 pr-3'!T148)+K43</f>
        <v>0</v>
      </c>
    </row>
    <row r="44" spans="1:12" s="1187" customFormat="1" ht="32.25" customHeight="1" x14ac:dyDescent="0.25">
      <c r="A44" s="699" t="s">
        <v>527</v>
      </c>
      <c r="B44" s="700" t="s">
        <v>574</v>
      </c>
      <c r="C44" s="699"/>
      <c r="D44" s="701">
        <v>0</v>
      </c>
      <c r="E44" s="701">
        <v>0</v>
      </c>
      <c r="F44" s="699">
        <f>SUM('3 pr-3'!N154)+E44</f>
        <v>41</v>
      </c>
      <c r="G44" s="699">
        <f>SUM('3 pr-3'!O154)+F44</f>
        <v>62</v>
      </c>
      <c r="H44" s="699">
        <f>SUM('3 pr-3'!P154)+G44</f>
        <v>62</v>
      </c>
      <c r="I44" s="699">
        <f>SUM('3 pr-3'!Q154)+H44</f>
        <v>62</v>
      </c>
      <c r="J44" s="699">
        <f>SUM('3 pr-3'!R154)+I44</f>
        <v>62</v>
      </c>
      <c r="K44" s="699">
        <f>SUM('3 pr-3'!S154)+J44</f>
        <v>62</v>
      </c>
      <c r="L44" s="699">
        <f>SUM('3 pr-3'!T154)+K44</f>
        <v>62</v>
      </c>
    </row>
    <row r="45" spans="1:12" s="1187" customFormat="1" ht="47.25" x14ac:dyDescent="0.25">
      <c r="A45" s="699" t="s">
        <v>1458</v>
      </c>
      <c r="B45" s="700" t="s">
        <v>1459</v>
      </c>
      <c r="C45" s="699"/>
      <c r="D45" s="701">
        <v>0</v>
      </c>
      <c r="E45" s="701">
        <v>0</v>
      </c>
      <c r="F45" s="699">
        <f>SUM('3 pr-3'!N121)+E45</f>
        <v>0</v>
      </c>
      <c r="G45" s="699">
        <f>SUM('3 pr-3'!O214)+F45</f>
        <v>0</v>
      </c>
      <c r="H45" s="699">
        <f>SUM('3 pr-3'!P121)+G45</f>
        <v>0</v>
      </c>
      <c r="I45" s="699">
        <f>SUM('3 pr-3'!Q121)+H45</f>
        <v>0</v>
      </c>
      <c r="J45" s="699">
        <f>SUM('3 pr-3'!R121)+I45</f>
        <v>0</v>
      </c>
      <c r="K45" s="699">
        <f>SUM('3 pr-3'!S121)+J45</f>
        <v>0</v>
      </c>
      <c r="L45" s="699">
        <f>SUM('3 pr-3'!T121)+K45</f>
        <v>0</v>
      </c>
    </row>
    <row r="46" spans="1:12" ht="31.5" x14ac:dyDescent="0.25">
      <c r="A46" s="705" t="s">
        <v>387</v>
      </c>
      <c r="B46" s="705" t="s">
        <v>794</v>
      </c>
      <c r="C46" s="705"/>
      <c r="D46" s="704">
        <v>0</v>
      </c>
      <c r="E46" s="704">
        <v>0</v>
      </c>
      <c r="F46" s="675">
        <f>SUM('3 pr-3'!N33)+E46</f>
        <v>0</v>
      </c>
      <c r="G46" s="675">
        <f>SUM('3 pr-3'!O33)+F46</f>
        <v>0</v>
      </c>
      <c r="H46" s="675">
        <f>SUM('3 pr-3'!P33)+G46</f>
        <v>0</v>
      </c>
      <c r="I46" s="675">
        <f>SUM('3 pr-3'!Q33)+H46</f>
        <v>0</v>
      </c>
      <c r="J46" s="675">
        <f>SUM('3 pr-3'!R33)+I46</f>
        <v>0</v>
      </c>
      <c r="K46" s="675">
        <f>SUM('3 pr-3'!S33)+J46</f>
        <v>0</v>
      </c>
      <c r="L46" s="675">
        <f>SUM('3 pr-3'!T33)+K46</f>
        <v>0</v>
      </c>
    </row>
    <row r="47" spans="1:12" ht="47.25" x14ac:dyDescent="0.25">
      <c r="A47" s="705" t="s">
        <v>388</v>
      </c>
      <c r="B47" s="705" t="s">
        <v>389</v>
      </c>
      <c r="C47" s="705"/>
      <c r="D47" s="704">
        <v>0</v>
      </c>
      <c r="E47" s="704">
        <v>0</v>
      </c>
      <c r="F47" s="675">
        <f>SUM('3 pr-3'!AH33)+E47</f>
        <v>0</v>
      </c>
      <c r="G47" s="675">
        <f>SUM('3 pr-3'!AI33)+F47</f>
        <v>0</v>
      </c>
      <c r="H47" s="675">
        <f>SUM('3 pr-3'!AJ33)+G47</f>
        <v>0</v>
      </c>
      <c r="I47" s="675">
        <f>SUM('3 pr-3'!AK33)+H47</f>
        <v>0</v>
      </c>
      <c r="J47" s="675">
        <f>SUM('3 pr-3'!AL33)+I47</f>
        <v>0</v>
      </c>
      <c r="K47" s="675">
        <f>SUM('3 pr-3'!AM33)+J47</f>
        <v>0</v>
      </c>
      <c r="L47" s="675">
        <f>SUM('3 pr-3'!AN33)+K47</f>
        <v>0</v>
      </c>
    </row>
    <row r="48" spans="1:12" ht="47.25" x14ac:dyDescent="0.25">
      <c r="A48" s="705" t="s">
        <v>1197</v>
      </c>
      <c r="B48" s="705" t="s">
        <v>1198</v>
      </c>
      <c r="C48" s="705"/>
      <c r="D48" s="704">
        <v>0</v>
      </c>
      <c r="E48" s="704">
        <v>0</v>
      </c>
      <c r="F48" s="675">
        <f>SUM('3 pr-3'!N135)+E48</f>
        <v>0</v>
      </c>
      <c r="G48" s="675">
        <f>SUM('3 pr-3'!O135)+F48</f>
        <v>0</v>
      </c>
      <c r="H48" s="675">
        <f>SUM('3 pr-3'!P135)+G48</f>
        <v>0</v>
      </c>
      <c r="I48" s="675">
        <f>SUM('3 pr-3'!Q135)+H48</f>
        <v>0</v>
      </c>
      <c r="J48" s="675">
        <f>SUM('3 pr-3'!R135)+I48</f>
        <v>0</v>
      </c>
      <c r="K48" s="675">
        <f>SUM('3 pr-3'!S135)+J48</f>
        <v>0</v>
      </c>
      <c r="L48" s="675">
        <f>SUM('3 pr-3'!T135)+K48</f>
        <v>0</v>
      </c>
    </row>
    <row r="49" spans="1:12" ht="31.5" x14ac:dyDescent="0.25">
      <c r="A49" s="675" t="s">
        <v>797</v>
      </c>
      <c r="B49" s="675" t="s">
        <v>798</v>
      </c>
      <c r="C49" s="705"/>
      <c r="D49" s="704">
        <v>0</v>
      </c>
      <c r="E49" s="704">
        <v>0</v>
      </c>
      <c r="F49" s="675">
        <f>SUM('3 pr-3'!BV114)+E49</f>
        <v>0</v>
      </c>
      <c r="G49" s="675">
        <f>SUM('3 pr-3'!BW114)+F49</f>
        <v>0</v>
      </c>
      <c r="H49" s="675">
        <f>SUM('3 pr-3'!BX114)+G49</f>
        <v>0</v>
      </c>
      <c r="I49" s="675">
        <f>SUM('3 pr-3'!BY114)+H49</f>
        <v>0</v>
      </c>
      <c r="J49" s="675">
        <f>SUM('3 pr-3'!BZ114)+I49</f>
        <v>0</v>
      </c>
      <c r="K49" s="675">
        <f>SUM('3 pr-3'!CA114)+J49</f>
        <v>0</v>
      </c>
      <c r="L49" s="675">
        <f>SUM('3 pr-3'!CB114)+K49</f>
        <v>0</v>
      </c>
    </row>
    <row r="50" spans="1:12" ht="47.25" x14ac:dyDescent="0.25">
      <c r="A50" s="705" t="s">
        <v>529</v>
      </c>
      <c r="B50" s="705" t="s">
        <v>575</v>
      </c>
      <c r="C50" s="705"/>
      <c r="D50" s="704">
        <v>0</v>
      </c>
      <c r="E50" s="704">
        <v>0</v>
      </c>
      <c r="F50" s="675">
        <f>SUM('3 pr-3'!N161)+E50</f>
        <v>0</v>
      </c>
      <c r="G50" s="675">
        <f>SUM('3 pr-3'!O161)+F50</f>
        <v>0</v>
      </c>
      <c r="H50" s="675">
        <f>SUM('3 pr-3'!P161)+G50</f>
        <v>0</v>
      </c>
      <c r="I50" s="675">
        <f>SUM('3 pr-3'!Q161)+H50</f>
        <v>0</v>
      </c>
      <c r="J50" s="675">
        <f>SUM('3 pr-3'!R161)+I50</f>
        <v>0</v>
      </c>
      <c r="K50" s="675">
        <f>SUM('3 pr-3'!S161)+J50</f>
        <v>0</v>
      </c>
      <c r="L50" s="675">
        <f>SUM('3 pr-3'!T161)+K50</f>
        <v>0</v>
      </c>
    </row>
    <row r="51" spans="1:12" ht="63" x14ac:dyDescent="0.25">
      <c r="A51" s="705" t="s">
        <v>531</v>
      </c>
      <c r="B51" s="705" t="s">
        <v>576</v>
      </c>
      <c r="C51" s="705"/>
      <c r="D51" s="704">
        <v>0</v>
      </c>
      <c r="E51" s="704">
        <v>0</v>
      </c>
      <c r="F51" s="675">
        <f>SUM('3 pr-3'!AH161)+E51</f>
        <v>0</v>
      </c>
      <c r="G51" s="675">
        <f>SUM('3 pr-3'!AI161)+F51</f>
        <v>0</v>
      </c>
      <c r="H51" s="675">
        <f>SUM('3 pr-3'!AJ161)+G51</f>
        <v>0</v>
      </c>
      <c r="I51" s="675">
        <f>SUM('3 pr-3'!AK161)+H51</f>
        <v>0</v>
      </c>
      <c r="J51" s="675">
        <f>SUM('3 pr-3'!AL161)+I51</f>
        <v>0</v>
      </c>
      <c r="K51" s="675">
        <f>SUM('3 pr-3'!AM161)+J51</f>
        <v>0</v>
      </c>
      <c r="L51" s="675">
        <f>SUM('3 pr-3'!AN161)+K51</f>
        <v>0</v>
      </c>
    </row>
    <row r="52" spans="1:12" ht="31.5" x14ac:dyDescent="0.25">
      <c r="A52" s="705" t="s">
        <v>538</v>
      </c>
      <c r="B52" s="705" t="s">
        <v>577</v>
      </c>
      <c r="C52" s="705"/>
      <c r="D52" s="704">
        <v>0</v>
      </c>
      <c r="E52" s="704">
        <v>0</v>
      </c>
      <c r="F52" s="675">
        <f>SUM('3 pr-3'!N173)+E52</f>
        <v>0</v>
      </c>
      <c r="G52" s="675">
        <f>SUM('3 pr-3'!O173)+F52</f>
        <v>7.1700000000000008</v>
      </c>
      <c r="H52" s="675">
        <f>SUM('3 pr-3'!P173)+G52</f>
        <v>7.1700000000000008</v>
      </c>
      <c r="I52" s="675">
        <f>SUM('3 pr-3'!Q173)+H52</f>
        <v>7.1700000000000008</v>
      </c>
      <c r="J52" s="675">
        <f>SUM('3 pr-3'!R173)+I52</f>
        <v>7.1700000000000008</v>
      </c>
      <c r="K52" s="675">
        <f>SUM('3 pr-3'!S173)+J52</f>
        <v>7.1700000000000008</v>
      </c>
      <c r="L52" s="675">
        <f>SUM('3 pr-3'!T173)+K52</f>
        <v>7.1700000000000008</v>
      </c>
    </row>
    <row r="53" spans="1:12" ht="31.5" x14ac:dyDescent="0.25">
      <c r="A53" s="705" t="s">
        <v>795</v>
      </c>
      <c r="B53" s="705" t="s">
        <v>796</v>
      </c>
      <c r="C53" s="705"/>
      <c r="D53" s="704">
        <v>0</v>
      </c>
      <c r="E53" s="704">
        <v>0</v>
      </c>
      <c r="F53" s="675"/>
      <c r="G53" s="675"/>
      <c r="H53" s="675"/>
      <c r="I53" s="675"/>
      <c r="J53" s="675"/>
      <c r="K53" s="675"/>
      <c r="L53" s="1481"/>
    </row>
    <row r="54" spans="1:12" ht="15.75" x14ac:dyDescent="0.25">
      <c r="A54" s="1482" t="s">
        <v>690</v>
      </c>
      <c r="B54" s="112"/>
      <c r="C54" s="112"/>
      <c r="D54" s="112"/>
      <c r="E54" s="112"/>
      <c r="F54" s="112"/>
      <c r="G54" s="112"/>
      <c r="H54" s="112"/>
      <c r="I54" s="112"/>
      <c r="J54" s="112"/>
      <c r="K54" s="112"/>
      <c r="L54" s="112"/>
    </row>
    <row r="55" spans="1:12" ht="15.75" x14ac:dyDescent="0.25">
      <c r="A55" s="1482" t="s">
        <v>690</v>
      </c>
      <c r="B55" s="112"/>
      <c r="C55" s="112"/>
      <c r="D55" s="112"/>
      <c r="E55" s="112"/>
      <c r="F55" s="112"/>
      <c r="G55" s="112"/>
      <c r="H55" s="112"/>
      <c r="I55" s="112"/>
      <c r="J55" s="112"/>
      <c r="K55" s="112"/>
      <c r="L55" s="112"/>
    </row>
  </sheetData>
  <mergeCells count="1">
    <mergeCell ref="A1:J1"/>
  </mergeCells>
  <pageMargins left="0.23622047244094491" right="0.23622047244094491"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5"/>
  <sheetViews>
    <sheetView workbookViewId="0">
      <pane ySplit="945" topLeftCell="A28" activePane="bottomLeft"/>
      <selection activeCell="F156" sqref="F156"/>
      <selection pane="bottomLeft" activeCell="B178" sqref="B178"/>
    </sheetView>
  </sheetViews>
  <sheetFormatPr defaultRowHeight="15" x14ac:dyDescent="0.25"/>
  <cols>
    <col min="2" max="2" width="32.7109375" customWidth="1"/>
    <col min="3" max="3" width="20.5703125" customWidth="1"/>
    <col min="4" max="4" width="20.42578125" customWidth="1"/>
    <col min="5" max="5" width="14.42578125" customWidth="1"/>
    <col min="6" max="7" width="13.7109375" bestFit="1" customWidth="1"/>
    <col min="8" max="9" width="13.42578125" customWidth="1"/>
    <col min="10" max="10" width="15.140625" customWidth="1"/>
    <col min="11" max="11" width="17" customWidth="1"/>
    <col min="12" max="12" width="19.5703125" hidden="1" customWidth="1"/>
    <col min="13" max="13" width="20.42578125" hidden="1" customWidth="1"/>
  </cols>
  <sheetData>
    <row r="1" spans="1:13" ht="32.25" thickBot="1" x14ac:dyDescent="0.3">
      <c r="A1" s="1628" t="s">
        <v>1061</v>
      </c>
      <c r="B1" s="1628" t="s">
        <v>1819</v>
      </c>
      <c r="C1" s="1628" t="s">
        <v>1820</v>
      </c>
      <c r="D1" s="1628" t="s">
        <v>1797</v>
      </c>
      <c r="E1" s="1628" t="s">
        <v>1841</v>
      </c>
      <c r="F1" s="1628" t="s">
        <v>1821</v>
      </c>
      <c r="G1" s="1628" t="s">
        <v>1822</v>
      </c>
      <c r="H1" s="1628" t="s">
        <v>1823</v>
      </c>
      <c r="I1" s="1628" t="s">
        <v>1827</v>
      </c>
      <c r="J1" s="1564"/>
      <c r="K1" s="1564"/>
      <c r="L1" s="76" t="s">
        <v>1887</v>
      </c>
      <c r="M1" s="76" t="s">
        <v>1888</v>
      </c>
    </row>
    <row r="2" spans="1:13" ht="37.5" thickBot="1" x14ac:dyDescent="0.3">
      <c r="A2" s="430">
        <v>1</v>
      </c>
      <c r="B2" s="429" t="str">
        <f>CONCATENATE('3 pr-2'!D10)</f>
        <v xml:space="preserve">Druskininkų savivaldybės Viečiūnų seniūnijos Ilgio ir Raigardo seniūnaitijų kelių būklės gerinimas  </v>
      </c>
      <c r="C2" s="429" t="str">
        <f>CONCATENATE('3 pr-2'!H10)</f>
        <v xml:space="preserve">Pagrindinės paslaugos ir kaimų atnaujinimas kaimo vietovėse </v>
      </c>
      <c r="D2" s="429" t="str">
        <f>CONCATENATE('3 pr-2'!E10)</f>
        <v xml:space="preserve">Druskininkų savivaldybės administracija  </v>
      </c>
      <c r="E2" s="429" t="str">
        <f>CONCATENATE('3 pr-2'!G10)</f>
        <v>Druskininkų sav.</v>
      </c>
      <c r="F2" s="1212">
        <f>SUM('3 pr-2'!AA10)</f>
        <v>135247</v>
      </c>
      <c r="G2" s="1212">
        <v>135247</v>
      </c>
      <c r="H2" s="1212">
        <f>SUM('ketv. 6 '!AF9)</f>
        <v>135247.75</v>
      </c>
      <c r="I2" s="1212">
        <f>SUM('ketv. 7 '!AK8)</f>
        <v>0</v>
      </c>
      <c r="L2" s="1739">
        <f>SUM(I2/G2)</f>
        <v>0</v>
      </c>
      <c r="M2" s="1740">
        <f>SUM(I2/F2)</f>
        <v>0</v>
      </c>
    </row>
    <row r="3" spans="1:13" ht="37.5" thickBot="1" x14ac:dyDescent="0.3">
      <c r="A3" s="430">
        <f>ROW(A2)</f>
        <v>2</v>
      </c>
      <c r="B3" s="429" t="str">
        <f>CONCATENATE('3 pr-2'!D11)</f>
        <v>Druskininkų savivaldybės Viečiūnų seniūnijos Ratnyčėlės seniūnaitijos kelių būklės gerinimas</v>
      </c>
      <c r="C3" s="429" t="str">
        <f>CONCATENATE('3 pr-2'!H11)</f>
        <v xml:space="preserve">Pagrindinės paslaugos ir kaimų atnaujinimas kaimo vietovėse </v>
      </c>
      <c r="D3" s="429" t="str">
        <f>CONCATENATE('3 pr-2'!E11)</f>
        <v xml:space="preserve">Druskininkų savivaldybės administracija  </v>
      </c>
      <c r="E3" s="429" t="str">
        <f>CONCATENATE('3 pr-2'!G11)</f>
        <v>Druskininkų sav.</v>
      </c>
      <c r="F3" s="1212">
        <f>SUM('3 pr-2'!AA11)</f>
        <v>102911</v>
      </c>
      <c r="G3" s="1212">
        <v>102911</v>
      </c>
      <c r="H3" s="1212">
        <f>SUM('ketv. 6 '!AF10)</f>
        <v>102910.35</v>
      </c>
      <c r="I3" s="1212">
        <f>SUM('ketv. 7 '!AK9)</f>
        <v>0</v>
      </c>
      <c r="L3" s="1739">
        <f t="shared" ref="L3:L66" si="0">SUM(I3/G3)</f>
        <v>0</v>
      </c>
      <c r="M3" s="1740">
        <f t="shared" ref="M3:M66" si="1">SUM(I3/F3)</f>
        <v>0</v>
      </c>
    </row>
    <row r="4" spans="1:13" ht="37.5" thickBot="1" x14ac:dyDescent="0.3">
      <c r="A4" s="430">
        <f t="shared" ref="A4:A34" si="2">ROW(A3)</f>
        <v>3</v>
      </c>
      <c r="B4" s="429" t="str">
        <f>CONCATENATE('3 pr-2'!D12)</f>
        <v>Druskininkų savivaldybės Leipalingio seniūnijos Klonio seniūnaitijos kelių būklės gerinimas</v>
      </c>
      <c r="C4" s="429" t="str">
        <f>CONCATENATE('3 pr-2'!H12)</f>
        <v xml:space="preserve">Pagrindinės paslaugos ir kaimų atnaujinimas kaimo vietovėse </v>
      </c>
      <c r="D4" s="429" t="str">
        <f>CONCATENATE('3 pr-2'!E12)</f>
        <v xml:space="preserve">Druskininkų savivaldybės administracija  </v>
      </c>
      <c r="E4" s="429" t="str">
        <f>CONCATENATE('3 pr-2'!G12)</f>
        <v>Druskininkų sav.</v>
      </c>
      <c r="F4" s="1212">
        <f>SUM('3 pr-2'!AA12)</f>
        <v>131280</v>
      </c>
      <c r="G4" s="1212">
        <v>131280</v>
      </c>
      <c r="H4" s="1212">
        <f>SUM('ketv. 6 '!AF11)</f>
        <v>131279.1</v>
      </c>
      <c r="I4" s="1212">
        <f>SUM('ketv. 7 '!AK10)</f>
        <v>0</v>
      </c>
      <c r="L4" s="1739">
        <f t="shared" si="0"/>
        <v>0</v>
      </c>
      <c r="M4" s="1740">
        <f t="shared" si="1"/>
        <v>0</v>
      </c>
    </row>
    <row r="5" spans="1:13" ht="37.5" thickBot="1" x14ac:dyDescent="0.3">
      <c r="A5" s="430">
        <f t="shared" si="2"/>
        <v>4</v>
      </c>
      <c r="B5" s="429" t="str">
        <f>CONCATENATE('3 pr-2'!D13)</f>
        <v>Rudaminos laisvalaikio salės pritaikymas bendruomenės poreikiams ir liaudies amatų plėtrai</v>
      </c>
      <c r="C5" s="429" t="str">
        <f>CONCATENATE('3 pr-2'!H13)</f>
        <v xml:space="preserve">Pagrindinės paslaugos ir kaimų atnaujinimas kaimo vietovėse </v>
      </c>
      <c r="D5" s="429" t="str">
        <f>CONCATENATE('3 pr-2'!E13)</f>
        <v>Viešoji įstaiga Lazdijų kultūros centras</v>
      </c>
      <c r="E5" s="429" t="str">
        <f>CONCATENATE('3 pr-2'!G13)</f>
        <v>Lazdijų r. sav.</v>
      </c>
      <c r="F5" s="1212">
        <f>SUM('3 pr-2'!AA13)</f>
        <v>85000</v>
      </c>
      <c r="G5" s="1212">
        <v>85000</v>
      </c>
      <c r="H5" s="1212">
        <f>SUM('ketv. 6 '!AF12)</f>
        <v>83748.800000000003</v>
      </c>
      <c r="I5" s="1212">
        <f>SUM('ketv. 7 '!AK11)</f>
        <v>0</v>
      </c>
      <c r="L5" s="1739">
        <f t="shared" si="0"/>
        <v>0</v>
      </c>
      <c r="M5" s="1740">
        <f t="shared" si="1"/>
        <v>0</v>
      </c>
    </row>
    <row r="6" spans="1:13" ht="37.5" thickBot="1" x14ac:dyDescent="0.3">
      <c r="A6" s="430">
        <f t="shared" si="2"/>
        <v>5</v>
      </c>
      <c r="B6" s="429" t="str">
        <f>CONCATENATE('3 pr-2'!D14)</f>
        <v>Druskininkų savivaldybės Leipalingio seniūnijos Bilso seniūnaitijos kelių būklės gerinimas</v>
      </c>
      <c r="C6" s="429" t="str">
        <f>CONCATENATE('3 pr-2'!H14)</f>
        <v xml:space="preserve">Pagrindinės paslaugos ir kaimų atnaujinimas kaimo vietovėse </v>
      </c>
      <c r="D6" s="429" t="str">
        <f>CONCATENATE('3 pr-2'!E14)</f>
        <v xml:space="preserve">Druskininkų savivaldybės administracija  </v>
      </c>
      <c r="E6" s="429" t="str">
        <f>CONCATENATE('3 pr-2'!G14)</f>
        <v>Druskininkų sav.</v>
      </c>
      <c r="F6" s="1212">
        <f>SUM('3 pr-2'!AA14)</f>
        <v>108837</v>
      </c>
      <c r="G6" s="1212">
        <v>108837</v>
      </c>
      <c r="H6" s="1212">
        <f>SUM('ketv. 6 '!AF13)</f>
        <v>108837.4</v>
      </c>
      <c r="I6" s="1212">
        <f>SUM('ketv. 7 '!AK12)</f>
        <v>0</v>
      </c>
      <c r="L6" s="1739">
        <f t="shared" si="0"/>
        <v>0</v>
      </c>
      <c r="M6" s="1740">
        <f t="shared" si="1"/>
        <v>0</v>
      </c>
    </row>
    <row r="7" spans="1:13" ht="37.5" thickBot="1" x14ac:dyDescent="0.3">
      <c r="A7" s="430">
        <f t="shared" si="2"/>
        <v>6</v>
      </c>
      <c r="B7" s="429" t="str">
        <f>CONCATENATE('3 pr-2'!D15)</f>
        <v>Lazdijų rajono kaimų patrauklumo didinimas atnaujinant bibliotekas</v>
      </c>
      <c r="C7" s="429" t="str">
        <f>CONCATENATE('3 pr-2'!H15)</f>
        <v xml:space="preserve">Pagrindinės paslaugos ir kaimų atnaujinimas kaimo vietovėse </v>
      </c>
      <c r="D7" s="429" t="str">
        <f>CONCATENATE('3 pr-2'!E15)</f>
        <v xml:space="preserve">Biudžetinė įstaiga Lazdijų rajono savivaldybės viešoji biblioteka </v>
      </c>
      <c r="E7" s="429" t="str">
        <f>CONCATENATE('3 pr-2'!G15)</f>
        <v>Lazdijų r. sav.</v>
      </c>
      <c r="F7" s="1212">
        <f>SUM('3 pr-2'!AA15)</f>
        <v>136680</v>
      </c>
      <c r="G7" s="1212">
        <v>136680</v>
      </c>
      <c r="H7" s="1212">
        <f>SUM('ketv. 6 '!AF14)</f>
        <v>135938.79999999999</v>
      </c>
      <c r="I7" s="1212">
        <f>SUM('ketv. 7 '!AK13)</f>
        <v>0</v>
      </c>
      <c r="L7" s="1739">
        <f t="shared" si="0"/>
        <v>0</v>
      </c>
      <c r="M7" s="1740">
        <f t="shared" si="1"/>
        <v>0</v>
      </c>
    </row>
    <row r="8" spans="1:13" ht="37.5" thickBot="1" x14ac:dyDescent="0.3">
      <c r="A8" s="430">
        <f t="shared" si="2"/>
        <v>7</v>
      </c>
      <c r="B8" s="429" t="str">
        <f>CONCATENATE('3 pr-2'!D16)</f>
        <v>Alytaus rajono Miroslavo kaimo multifunkcinės sporto aikštės įrengimas ir gatvių bei šaligatvių rekonstrukcija</v>
      </c>
      <c r="C8" s="429" t="str">
        <f>CONCATENATE('3 pr-2'!H16)</f>
        <v xml:space="preserve">Pagrindinės paslaugos ir kaimų atnaujinimas kaimo vietovėse </v>
      </c>
      <c r="D8" s="429" t="str">
        <f>CONCATENATE('3 pr-2'!E16)</f>
        <v>Alytaus rajono savivaldybės administracija</v>
      </c>
      <c r="E8" s="429" t="str">
        <f>CONCATENATE('3 pr-2'!G16)</f>
        <v>Alytaus r. sav.</v>
      </c>
      <c r="F8" s="1212">
        <f>SUM('3 pr-2'!AA16)</f>
        <v>170000</v>
      </c>
      <c r="G8" s="1212">
        <v>170000</v>
      </c>
      <c r="H8" s="1212">
        <f>SUM('ketv. 6 '!AF15)</f>
        <v>170000</v>
      </c>
      <c r="I8" s="1212">
        <f>SUM('ketv. 7 '!AK14)</f>
        <v>0</v>
      </c>
      <c r="L8" s="1739">
        <f t="shared" si="0"/>
        <v>0</v>
      </c>
      <c r="M8" s="1740">
        <f t="shared" si="1"/>
        <v>0</v>
      </c>
    </row>
    <row r="9" spans="1:13" ht="37.5" thickBot="1" x14ac:dyDescent="0.3">
      <c r="A9" s="430">
        <f t="shared" si="2"/>
        <v>8</v>
      </c>
      <c r="B9" s="429" t="str">
        <f>CONCATENATE('3 pr-2'!D17)</f>
        <v>Alytaus rajono Luksnėnų kaimo multifunkcinės sporto aikštės įrengimas ir gatvių rekonstrukcija</v>
      </c>
      <c r="C9" s="429" t="str">
        <f>CONCATENATE('3 pr-2'!H17)</f>
        <v xml:space="preserve">Pagrindinės paslaugos ir kaimų atnaujinimas kaimo vietovėse </v>
      </c>
      <c r="D9" s="429" t="str">
        <f>CONCATENATE('3 pr-2'!E17)</f>
        <v>Alytaus rajono savivaldybės administracija</v>
      </c>
      <c r="E9" s="429" t="str">
        <f>CONCATENATE('3 pr-2'!G17)</f>
        <v>Alytaus r. sav.</v>
      </c>
      <c r="F9" s="1212">
        <f>SUM('3 pr-2'!AA17)</f>
        <v>170000</v>
      </c>
      <c r="G9" s="1212">
        <v>170000</v>
      </c>
      <c r="H9" s="1212">
        <f>SUM('ketv. 6 '!AF16)</f>
        <v>170000</v>
      </c>
      <c r="I9" s="1212">
        <f>SUM('ketv. 7 '!AK15)</f>
        <v>0</v>
      </c>
      <c r="L9" s="1739">
        <f t="shared" si="0"/>
        <v>0</v>
      </c>
      <c r="M9" s="1740">
        <f t="shared" si="1"/>
        <v>0</v>
      </c>
    </row>
    <row r="10" spans="1:13" ht="37.5" thickBot="1" x14ac:dyDescent="0.3">
      <c r="A10" s="430">
        <f t="shared" si="2"/>
        <v>9</v>
      </c>
      <c r="B10" s="429" t="str">
        <f>CONCATENATE('3 pr-2'!D18)</f>
        <v>Krikštonių laisvalaikio salės pritaikymas bendruomenės poreikiams</v>
      </c>
      <c r="C10" s="429" t="str">
        <f>CONCATENATE('3 pr-2'!H18)</f>
        <v xml:space="preserve">Pagrindinės paslaugos ir kaimų atnaujinimas kaimo vietovėse </v>
      </c>
      <c r="D10" s="429" t="str">
        <f>CONCATENATE('3 pr-2'!E18)</f>
        <v xml:space="preserve">Viešoji įstaiga Lazdijų kultūros centras </v>
      </c>
      <c r="E10" s="429" t="str">
        <f>CONCATENATE('3 pr-2'!G18)</f>
        <v>Lazdijų r. sav.</v>
      </c>
      <c r="F10" s="1212">
        <f>SUM('3 pr-2'!AA18)</f>
        <v>170000</v>
      </c>
      <c r="G10" s="1212">
        <v>170000</v>
      </c>
      <c r="H10" s="1212">
        <f>SUM('ketv. 6 '!AF17)</f>
        <v>170000</v>
      </c>
      <c r="I10" s="1212">
        <f>SUM('ketv. 7 '!AK16)</f>
        <v>0</v>
      </c>
      <c r="L10" s="1739">
        <f t="shared" si="0"/>
        <v>0</v>
      </c>
      <c r="M10" s="1740">
        <f t="shared" si="1"/>
        <v>0</v>
      </c>
    </row>
    <row r="11" spans="1:13" ht="37.5" thickBot="1" x14ac:dyDescent="0.3">
      <c r="A11" s="430">
        <f t="shared" si="2"/>
        <v>10</v>
      </c>
      <c r="B11" s="429" t="str">
        <f>CONCATENATE('3 pr-2'!D19)</f>
        <v>Kučiūnų laisvalaikio salės pritaikymas bendruomenės poreikiams</v>
      </c>
      <c r="C11" s="429" t="str">
        <f>CONCATENATE('3 pr-2'!H19)</f>
        <v xml:space="preserve">Pagrindinės paslaugos ir kaimų atnaujinimas kaimo vietovėse </v>
      </c>
      <c r="D11" s="429" t="str">
        <f>CONCATENATE('3 pr-2'!E19)</f>
        <v xml:space="preserve">Viešoji įstaiga Lazdijų kultūros centras </v>
      </c>
      <c r="E11" s="429" t="str">
        <f>CONCATENATE('3 pr-2'!G19)</f>
        <v>Lazdijų r. sav.</v>
      </c>
      <c r="F11" s="1212">
        <f>SUM('3 pr-2'!AA19)</f>
        <v>170000</v>
      </c>
      <c r="G11" s="1212">
        <v>170000</v>
      </c>
      <c r="H11" s="1212">
        <f>SUM('ketv. 6 '!AF18)</f>
        <v>159409</v>
      </c>
      <c r="I11" s="1212">
        <f>SUM('ketv. 7 '!AK17)</f>
        <v>0</v>
      </c>
      <c r="L11" s="1739">
        <f t="shared" si="0"/>
        <v>0</v>
      </c>
      <c r="M11" s="1740">
        <f t="shared" si="1"/>
        <v>0</v>
      </c>
    </row>
    <row r="12" spans="1:13" ht="37.5" thickBot="1" x14ac:dyDescent="0.3">
      <c r="A12" s="430">
        <f t="shared" si="2"/>
        <v>11</v>
      </c>
      <c r="B12" s="429" t="str">
        <f>CONCATENATE('3 pr-2'!D20)</f>
        <v>Laisvalaikio infrastruktūros sukūrimas Lazdijų rajono kaimo gyvenamosiose vietovėse</v>
      </c>
      <c r="C12" s="429" t="str">
        <f>CONCATENATE('3 pr-2'!H20)</f>
        <v xml:space="preserve">Pagrindinės paslaugos ir kaimų atnaujinimas kaimo vietovėse </v>
      </c>
      <c r="D12" s="429" t="str">
        <f>CONCATENATE('3 pr-2'!E20)</f>
        <v>Lazdijų rajono savivaldybės administracija</v>
      </c>
      <c r="E12" s="429" t="str">
        <f>CONCATENATE('3 pr-2'!G20)</f>
        <v>Lazdijų r. sav.</v>
      </c>
      <c r="F12" s="1212">
        <f>SUM('3 pr-2'!AA20)</f>
        <v>85000</v>
      </c>
      <c r="G12" s="1212">
        <v>85000</v>
      </c>
      <c r="H12" s="1212">
        <f>SUM('ketv. 6 '!AF19)</f>
        <v>85000</v>
      </c>
      <c r="I12" s="1212">
        <f>SUM('ketv. 7 '!AK18)</f>
        <v>0</v>
      </c>
      <c r="L12" s="1739">
        <f t="shared" si="0"/>
        <v>0</v>
      </c>
      <c r="M12" s="1740">
        <f t="shared" si="1"/>
        <v>0</v>
      </c>
    </row>
    <row r="13" spans="1:13" ht="37.5" thickBot="1" x14ac:dyDescent="0.3">
      <c r="A13" s="430">
        <f t="shared" si="2"/>
        <v>12</v>
      </c>
      <c r="B13" s="429" t="str">
        <f>CONCATENATE('3 pr-2'!D21)</f>
        <v>Alytaus rajono Butrimonių miestelio šaligatvių kapitalinis remontas ir gyvenvietės apšvietimo įrengimas</v>
      </c>
      <c r="C13" s="429" t="str">
        <f>CONCATENATE('3 pr-2'!H21)</f>
        <v xml:space="preserve">Pagrindinės paslaugos ir kaimų atnaujinimas kaimo vietovėse </v>
      </c>
      <c r="D13" s="429" t="str">
        <f>CONCATENATE('3 pr-2'!E21)</f>
        <v>Alytaus rajono savivaldybės administracija</v>
      </c>
      <c r="E13" s="429" t="str">
        <f>CONCATENATE('3 pr-2'!G21)</f>
        <v>Alytaus r. sav.</v>
      </c>
      <c r="F13" s="1212">
        <f>SUM('3 pr-2'!AA21)</f>
        <v>104425</v>
      </c>
      <c r="G13" s="1212">
        <v>104425</v>
      </c>
      <c r="H13" s="1212">
        <f>SUM('ketv. 6 '!AF20)</f>
        <v>104424.2</v>
      </c>
      <c r="I13" s="1212">
        <f>SUM('ketv. 7 '!AK19)</f>
        <v>0</v>
      </c>
      <c r="L13" s="1739">
        <f t="shared" si="0"/>
        <v>0</v>
      </c>
      <c r="M13" s="1740">
        <f t="shared" si="1"/>
        <v>0</v>
      </c>
    </row>
    <row r="14" spans="1:13" ht="37.5" thickBot="1" x14ac:dyDescent="0.3">
      <c r="A14" s="430">
        <f t="shared" si="2"/>
        <v>13</v>
      </c>
      <c r="B14" s="429" t="str">
        <f>CONCATENATE('3 pr-2'!D22)</f>
        <v>Alytaus rajono Genių kaimo sporto aikštės įrengimas ir gatvių rekonstrukcija</v>
      </c>
      <c r="C14" s="429" t="str">
        <f>CONCATENATE('3 pr-2'!H22)</f>
        <v xml:space="preserve">Pagrindinės paslaugos ir kaimų atnaujinimas kaimo vietovėse </v>
      </c>
      <c r="D14" s="429" t="str">
        <f>CONCATENATE('3 pr-2'!E22)</f>
        <v>Alytaus rajono savivaldybės administracija</v>
      </c>
      <c r="E14" s="429" t="str">
        <f>CONCATENATE('3 pr-2'!G22)</f>
        <v>Alytaus r. sav.</v>
      </c>
      <c r="F14" s="1212">
        <f>SUM('3 pr-2'!AA22)</f>
        <v>170000</v>
      </c>
      <c r="G14" s="1212">
        <v>170000</v>
      </c>
      <c r="H14" s="1212">
        <f>SUM('ketv. 6 '!AF21)</f>
        <v>170000</v>
      </c>
      <c r="I14" s="1212">
        <f>SUM('ketv. 7 '!AK20)</f>
        <v>0</v>
      </c>
      <c r="L14" s="1739">
        <f t="shared" si="0"/>
        <v>0</v>
      </c>
      <c r="M14" s="1740">
        <f t="shared" si="1"/>
        <v>0</v>
      </c>
    </row>
    <row r="15" spans="1:13" ht="37.5" thickBot="1" x14ac:dyDescent="0.3">
      <c r="A15" s="430">
        <f t="shared" si="2"/>
        <v>14</v>
      </c>
      <c r="B15" s="429" t="str">
        <f>CONCATENATE('3 pr-2'!D23)</f>
        <v>Varėnos r. Dargužių kaimo Liepų gatvės ir viešosios erdvės įrengimas</v>
      </c>
      <c r="C15" s="429" t="str">
        <f>CONCATENATE('3 pr-2'!H23)</f>
        <v xml:space="preserve">Pagrindinės paslaugos ir kaimų atnaujinimas kaimo vietovėse </v>
      </c>
      <c r="D15" s="429" t="str">
        <f>CONCATENATE('3 pr-2'!E23)</f>
        <v xml:space="preserve">Varėnos rajono savivaldybės administracija </v>
      </c>
      <c r="E15" s="429" t="str">
        <f>CONCATENATE('3 pr-2'!G23)</f>
        <v>Varėnos r. sav.</v>
      </c>
      <c r="F15" s="1212">
        <f>SUM('3 pr-2'!AA23)</f>
        <v>146626</v>
      </c>
      <c r="G15" s="1212">
        <v>146626</v>
      </c>
      <c r="H15" s="1212">
        <f>SUM('ketv. 6 '!AF22)</f>
        <v>146625</v>
      </c>
      <c r="I15" s="1212">
        <f>SUM('ketv. 7 '!AK21)</f>
        <v>0</v>
      </c>
      <c r="L15" s="1739">
        <f t="shared" si="0"/>
        <v>0</v>
      </c>
      <c r="M15" s="1740">
        <f t="shared" si="1"/>
        <v>0</v>
      </c>
    </row>
    <row r="16" spans="1:13" ht="37.5" thickBot="1" x14ac:dyDescent="0.3">
      <c r="A16" s="430">
        <f t="shared" si="2"/>
        <v>15</v>
      </c>
      <c r="B16" s="429" t="str">
        <f>CONCATENATE('3 pr-2'!D24)</f>
        <v>Alytaus rajono Vaisodžių kaimo sporto aikštės įrengimas ir gatvių apšvietimo atnaujinimas bei plėtra</v>
      </c>
      <c r="C16" s="429" t="str">
        <f>CONCATENATE('3 pr-2'!H24)</f>
        <v xml:space="preserve">Pagrindinės paslaugos ir kaimų atnaujinimas kaimo vietovėse </v>
      </c>
      <c r="D16" s="429" t="str">
        <f>CONCATENATE('3 pr-2'!E24)</f>
        <v>Alytaus rajono savivaldybės administracija</v>
      </c>
      <c r="E16" s="429" t="str">
        <f>CONCATENATE('3 pr-2'!G24)</f>
        <v>Alytaus r. sav.</v>
      </c>
      <c r="F16" s="1212">
        <f>SUM('3 pr-2'!AA24)</f>
        <v>52006</v>
      </c>
      <c r="G16" s="1212">
        <v>52006</v>
      </c>
      <c r="H16" s="1212">
        <f>SUM('ketv. 6 '!AF23)</f>
        <v>0</v>
      </c>
      <c r="I16" s="1212">
        <f>SUM('ketv. 7 '!AK22)</f>
        <v>0</v>
      </c>
      <c r="L16" s="1739">
        <f t="shared" si="0"/>
        <v>0</v>
      </c>
      <c r="M16" s="1740">
        <f t="shared" si="1"/>
        <v>0</v>
      </c>
    </row>
    <row r="17" spans="1:13" ht="37.5" thickBot="1" x14ac:dyDescent="0.3">
      <c r="A17" s="430">
        <f t="shared" si="2"/>
        <v>16</v>
      </c>
      <c r="B17" s="429" t="str">
        <f>CONCATENATE('3 pr-2'!D25)</f>
        <v>Alytaus rajono Talokių kaimo sporto aikštės įrengimas ir Plytinės gatvės apšvietimas</v>
      </c>
      <c r="C17" s="429" t="str">
        <f>CONCATENATE('3 pr-2'!H25)</f>
        <v xml:space="preserve">Pagrindinės paslaugos ir kaimų atnaujinimas kaimo vietovėse </v>
      </c>
      <c r="D17" s="429" t="str">
        <f>CONCATENATE('3 pr-2'!E25)</f>
        <v>Alytaus rajono savivaldybės administracija</v>
      </c>
      <c r="E17" s="429" t="str">
        <f>CONCATENATE('3 pr-2'!G25)</f>
        <v>Alytaus r. sav.</v>
      </c>
      <c r="F17" s="1212">
        <f>SUM('3 pr-2'!AA25)</f>
        <v>94841</v>
      </c>
      <c r="G17" s="1212">
        <v>94841</v>
      </c>
      <c r="H17" s="1212">
        <f>SUM('ketv. 6 '!AF24)</f>
        <v>81939.149999999994</v>
      </c>
      <c r="I17" s="1212">
        <f>SUM('ketv. 7 '!AK23)</f>
        <v>0</v>
      </c>
      <c r="L17" s="1739">
        <f t="shared" si="0"/>
        <v>0</v>
      </c>
      <c r="M17" s="1740">
        <f t="shared" si="1"/>
        <v>0</v>
      </c>
    </row>
    <row r="18" spans="1:13" ht="37.5" thickBot="1" x14ac:dyDescent="0.3">
      <c r="A18" s="430">
        <f t="shared" si="2"/>
        <v>17</v>
      </c>
      <c r="B18" s="429" t="str">
        <f>CONCATENATE('3 pr-2'!D26)</f>
        <v>Varėnos r. Rudnios kaimo Pušyno gatvės įrengimas</v>
      </c>
      <c r="C18" s="429" t="str">
        <f>CONCATENATE('3 pr-2'!H26)</f>
        <v xml:space="preserve">Pagrindinės paslaugos ir kaimų atnaujinimas kaimo vietovėse </v>
      </c>
      <c r="D18" s="429" t="str">
        <f>CONCATENATE('3 pr-2'!E26)</f>
        <v xml:space="preserve">Varėnos rajono savivaldybės administracija </v>
      </c>
      <c r="E18" s="429" t="str">
        <f>CONCATENATE('3 pr-2'!G26)</f>
        <v>Varėnos r. sav.</v>
      </c>
      <c r="F18" s="1212">
        <f>SUM('3 pr-2'!AA26)</f>
        <v>78760</v>
      </c>
      <c r="G18" s="1212">
        <v>78760</v>
      </c>
      <c r="H18" s="1212">
        <f>SUM('ketv. 6 '!AF25)</f>
        <v>78624.149999999994</v>
      </c>
      <c r="I18" s="1212">
        <f>SUM('ketv. 7 '!AK24)</f>
        <v>0</v>
      </c>
      <c r="L18" s="1739">
        <f t="shared" si="0"/>
        <v>0</v>
      </c>
      <c r="M18" s="1740">
        <f t="shared" si="1"/>
        <v>0</v>
      </c>
    </row>
    <row r="19" spans="1:13" ht="37.5" thickBot="1" x14ac:dyDescent="0.3">
      <c r="A19" s="430">
        <f t="shared" si="2"/>
        <v>18</v>
      </c>
      <c r="B19" s="429" t="str">
        <f>CONCATENATE('3 pr-2'!D27)</f>
        <v>Varėnos kultūros centro Žilinų filialo pastato atnaujinimas ir pritaikymas bendruomenės poreikiams</v>
      </c>
      <c r="C19" s="429" t="str">
        <f>CONCATENATE('3 pr-2'!H27)</f>
        <v xml:space="preserve">Pagrindinės paslaugos ir kaimų atnaujinimas kaimo vietovėse </v>
      </c>
      <c r="D19" s="429" t="str">
        <f>CONCATENATE('3 pr-2'!E27)</f>
        <v xml:space="preserve">Varėnos rajono savivaldybės administracija </v>
      </c>
      <c r="E19" s="429" t="str">
        <f>CONCATENATE('3 pr-2'!G27)</f>
        <v>Varėnos r. sav.</v>
      </c>
      <c r="F19" s="1212">
        <f>SUM('3 pr-2'!AA27)</f>
        <v>170000</v>
      </c>
      <c r="G19" s="1212">
        <v>170000</v>
      </c>
      <c r="H19" s="1212">
        <f>SUM('ketv. 6 '!AF26)</f>
        <v>170000</v>
      </c>
      <c r="I19" s="1212">
        <f>SUM('ketv. 7 '!AK25)</f>
        <v>0</v>
      </c>
      <c r="L19" s="1739">
        <f t="shared" si="0"/>
        <v>0</v>
      </c>
      <c r="M19" s="1740">
        <f t="shared" si="1"/>
        <v>0</v>
      </c>
    </row>
    <row r="20" spans="1:13" ht="37.5" thickBot="1" x14ac:dyDescent="0.3">
      <c r="A20" s="430">
        <f t="shared" si="2"/>
        <v>19</v>
      </c>
      <c r="B20" s="429" t="str">
        <f>CONCATENATE('3 pr-2'!D28)</f>
        <v>Alytaus rajono Pivašiūnų kaimo šaligatvių, laiptų kapitalinis remontas ir gyvenvietės apšvietimo įrengimas</v>
      </c>
      <c r="C20" s="429" t="str">
        <f>CONCATENATE('3 pr-2'!H28)</f>
        <v xml:space="preserve">Pagrindinės paslaugos ir kaimų atnaujinimas kaimo vietovėse </v>
      </c>
      <c r="D20" s="429" t="str">
        <f>CONCATENATE('3 pr-2'!E28)</f>
        <v>Alytaus rajono savivaldybės administracija</v>
      </c>
      <c r="E20" s="429" t="str">
        <f>CONCATENATE('3 pr-2'!G28)</f>
        <v>Alytaus r. sav.</v>
      </c>
      <c r="F20" s="1212">
        <f>SUM('3 pr-2'!AA28)</f>
        <v>80231</v>
      </c>
      <c r="G20" s="1212">
        <v>80231</v>
      </c>
      <c r="H20" s="1212">
        <f>SUM('ketv. 6 '!AF27)</f>
        <v>80230.649999999994</v>
      </c>
      <c r="I20" s="1212">
        <f>SUM('ketv. 7 '!AK26)</f>
        <v>0</v>
      </c>
      <c r="L20" s="1739">
        <f t="shared" si="0"/>
        <v>0</v>
      </c>
      <c r="M20" s="1740">
        <f t="shared" si="1"/>
        <v>0</v>
      </c>
    </row>
    <row r="21" spans="1:13" ht="37.5" thickBot="1" x14ac:dyDescent="0.3">
      <c r="A21" s="430">
        <f t="shared" si="2"/>
        <v>20</v>
      </c>
      <c r="B21" s="429" t="str">
        <f>CONCATENATE('3 pr-2'!D29)</f>
        <v>Pastato, esančio Pušelės g. 11, Naujųjų Valkininkų k., Varėnos r., atnaujinimas ir pritaikymas bendruomenės poreikiams</v>
      </c>
      <c r="C21" s="429" t="str">
        <f>CONCATENATE('3 pr-2'!H29)</f>
        <v xml:space="preserve">Pagrindinės paslaugos ir kaimų atnaujinimas kaimo vietovėse </v>
      </c>
      <c r="D21" s="429" t="str">
        <f>CONCATENATE('3 pr-2'!E29)</f>
        <v xml:space="preserve">Varėnos rajono savivaldybės administracija </v>
      </c>
      <c r="E21" s="429" t="str">
        <f>CONCATENATE('3 pr-2'!G29)</f>
        <v>Varėnos r. sav.</v>
      </c>
      <c r="F21" s="1212">
        <f>SUM('3 pr-2'!AA29)</f>
        <v>170000</v>
      </c>
      <c r="G21" s="1212">
        <v>170000</v>
      </c>
      <c r="H21" s="1212">
        <f>SUM('ketv. 6 '!AF28)</f>
        <v>170000</v>
      </c>
      <c r="I21" s="1212">
        <f>SUM('ketv. 7 '!AK27)</f>
        <v>0</v>
      </c>
      <c r="L21" s="1739">
        <f t="shared" si="0"/>
        <v>0</v>
      </c>
      <c r="M21" s="1740">
        <f t="shared" si="1"/>
        <v>0</v>
      </c>
    </row>
    <row r="22" spans="1:13" ht="37.5" thickBot="1" x14ac:dyDescent="0.3">
      <c r="A22" s="430">
        <f t="shared" si="2"/>
        <v>21</v>
      </c>
      <c r="B22" s="429" t="str">
        <f>CONCATENATE('3 pr-2'!D30)</f>
        <v>Kaimo gyvenamųjų vietovių Lazdijų rajono savivaldybėje patrauklumo gerinimas</v>
      </c>
      <c r="C22" s="429" t="str">
        <f>CONCATENATE('3 pr-2'!H30)</f>
        <v xml:space="preserve">Pagrindinės paslaugos ir kaimų atnaujinimas kaimo vietovėse </v>
      </c>
      <c r="D22" s="429" t="str">
        <f>CONCATENATE('3 pr-2'!E30)</f>
        <v>Lazdijų rajono savivaldybės administracija</v>
      </c>
      <c r="E22" s="429" t="str">
        <f>CONCATENATE('3 pr-2'!G30)</f>
        <v>Lazdijų r. sav.</v>
      </c>
      <c r="F22" s="1212">
        <f>SUM('3 pr-2'!AA30)</f>
        <v>115600</v>
      </c>
      <c r="G22" s="1212">
        <v>115600</v>
      </c>
      <c r="H22" s="1212">
        <f>SUM('ketv. 6 '!AF29)</f>
        <v>115600</v>
      </c>
      <c r="I22" s="1212">
        <f>SUM('ketv. 7 '!AK28)</f>
        <v>0</v>
      </c>
      <c r="L22" s="1739">
        <f t="shared" si="0"/>
        <v>0</v>
      </c>
      <c r="M22" s="1740">
        <f t="shared" si="1"/>
        <v>0</v>
      </c>
    </row>
    <row r="23" spans="1:13" ht="37.5" thickBot="1" x14ac:dyDescent="0.3">
      <c r="A23" s="430">
        <f t="shared" si="2"/>
        <v>22</v>
      </c>
      <c r="B23" s="429" t="str">
        <f>CONCATENATE('3 pr-2'!D31)</f>
        <v>Alytaus rajono Makniūnų kaimo šaligatvių atnaujinimas ir plėtra</v>
      </c>
      <c r="C23" s="429" t="str">
        <f>CONCATENATE('3 pr-2'!H31)</f>
        <v xml:space="preserve">Pagrindinės paslaugos ir kaimų atnaujinimas kaimo vietovėse </v>
      </c>
      <c r="D23" s="429" t="str">
        <f>CONCATENATE('3 pr-2'!E31)</f>
        <v>Alytaus rajono savivaldybės administracija</v>
      </c>
      <c r="E23" s="429" t="str">
        <f>CONCATENATE('3 pr-2'!G31)</f>
        <v>Alytaus r. sav.</v>
      </c>
      <c r="F23" s="1212">
        <f>SUM('3 pr-2'!AA31)</f>
        <v>48274</v>
      </c>
      <c r="G23" s="1212">
        <v>48274</v>
      </c>
      <c r="H23" s="1212">
        <f>SUM('ketv. 6 '!AF30)</f>
        <v>0</v>
      </c>
      <c r="I23" s="1212">
        <f>SUM('ketv. 7 '!AK29)</f>
        <v>0</v>
      </c>
      <c r="L23" s="1739">
        <f t="shared" si="0"/>
        <v>0</v>
      </c>
      <c r="M23" s="1740">
        <f t="shared" si="1"/>
        <v>0</v>
      </c>
    </row>
    <row r="24" spans="1:13" ht="37.5" thickBot="1" x14ac:dyDescent="0.3">
      <c r="A24" s="430">
        <f t="shared" si="2"/>
        <v>23</v>
      </c>
      <c r="B24" s="429" t="str">
        <f>CONCATENATE('3 pr-2'!D32)</f>
        <v>Varėnos r. Vazgirdonių kaimo Klevų gatvės įrengimas</v>
      </c>
      <c r="C24" s="429" t="str">
        <f>CONCATENATE('3 pr-2'!H32)</f>
        <v xml:space="preserve">Pagrindinės paslaugos ir kaimų atnaujinimas kaimo vietovėse </v>
      </c>
      <c r="D24" s="429" t="str">
        <f>CONCATENATE('3 pr-2'!E32)</f>
        <v xml:space="preserve">Varėnos rajono savivaldybės administracija </v>
      </c>
      <c r="E24" s="429" t="str">
        <f>CONCATENATE('3 pr-2'!G32)</f>
        <v>Varėnos r. sav.</v>
      </c>
      <c r="F24" s="1212">
        <f>SUM('3 pr-2'!AA32)</f>
        <v>108833</v>
      </c>
      <c r="G24" s="1212">
        <v>108833</v>
      </c>
      <c r="H24" s="1212">
        <f>SUM('ketv. 6 '!AF31)</f>
        <v>0</v>
      </c>
      <c r="I24" s="1212">
        <f>SUM('ketv. 7 '!AK30)</f>
        <v>0</v>
      </c>
      <c r="L24" s="1739">
        <f t="shared" si="0"/>
        <v>0</v>
      </c>
      <c r="M24" s="1740">
        <f t="shared" si="1"/>
        <v>0</v>
      </c>
    </row>
    <row r="25" spans="1:13" ht="37.5" thickBot="1" x14ac:dyDescent="0.3">
      <c r="A25" s="430">
        <f t="shared" ref="A25" si="3">ROW(A24)</f>
        <v>24</v>
      </c>
      <c r="B25" s="429" t="str">
        <f>CONCATENATE('3 pr-2'!D34)</f>
        <v>Matuizų kaimo viešosios infrastruktūros atnaujinimas ir pritaikymas bendruomenės poreikiams</v>
      </c>
      <c r="C25" s="429" t="str">
        <f>CONCATENATE('3 pr-2'!H34)</f>
        <v>8.2.1-CPVA-R-908</v>
      </c>
      <c r="D25" s="429" t="str">
        <f>CONCATENATE('3 pr-2'!E34)</f>
        <v>Varėnos rajono savivaldybės administracija</v>
      </c>
      <c r="E25" s="429" t="str">
        <f>CONCATENATE('3 pr-2'!G34)</f>
        <v>Varėnos r. sav.</v>
      </c>
      <c r="F25" s="1212">
        <f>SUM('3 pr-2'!AA34)</f>
        <v>487341</v>
      </c>
      <c r="G25" s="1212">
        <v>487341</v>
      </c>
      <c r="H25" s="1212">
        <f ca="1">SUM('ketv. 6 '!AF33)</f>
        <v>487341</v>
      </c>
      <c r="I25" s="1212">
        <f>SUM('ketv. 7 '!AK32)</f>
        <v>0</v>
      </c>
      <c r="L25" s="1739">
        <f t="shared" si="0"/>
        <v>0</v>
      </c>
      <c r="M25" s="1740">
        <f t="shared" si="1"/>
        <v>0</v>
      </c>
    </row>
    <row r="26" spans="1:13" ht="37.5" thickBot="1" x14ac:dyDescent="0.3">
      <c r="A26" s="430">
        <f t="shared" si="2"/>
        <v>25</v>
      </c>
      <c r="B26" s="429" t="str">
        <f>CONCATENATE('3 pr-2'!D35)</f>
        <v>Senosios Varėnos kaimo viešosios infrastruktūros atnaujinimas ir pritaikymas bendruomenės poreikiams</v>
      </c>
      <c r="C26" s="429" t="str">
        <f>CONCATENATE('3 pr-2'!H35)</f>
        <v>8.2.1-CPVA-R-908</v>
      </c>
      <c r="D26" s="429" t="str">
        <f>CONCATENATE('3 pr-2'!E35)</f>
        <v>Varėnos rajono savivaldybės administracija</v>
      </c>
      <c r="E26" s="429" t="str">
        <f>CONCATENATE('3 pr-2'!G35)</f>
        <v>Varėnos r. sav.</v>
      </c>
      <c r="F26" s="1212">
        <f>SUM('3 pr-2'!AA35)</f>
        <v>514270.57</v>
      </c>
      <c r="G26" s="1212">
        <v>514270.57</v>
      </c>
      <c r="H26" s="1212">
        <f ca="1">SUM('ketv. 6 '!AF34)</f>
        <v>514270.57</v>
      </c>
      <c r="I26" s="1212">
        <f>SUM('ketv. 7 '!AK33)</f>
        <v>47701.89</v>
      </c>
      <c r="L26" s="1739">
        <f t="shared" si="0"/>
        <v>9.2756406418512335E-2</v>
      </c>
      <c r="M26" s="1740">
        <f t="shared" si="1"/>
        <v>9.2756406418512335E-2</v>
      </c>
    </row>
    <row r="27" spans="1:13" ht="25.5" thickBot="1" x14ac:dyDescent="0.3">
      <c r="A27" s="430">
        <f t="shared" si="2"/>
        <v>26</v>
      </c>
      <c r="B27" s="429" t="str">
        <f>CONCATENATE('3 pr-2'!D36)</f>
        <v>Kompleksinė Miklusėnų gyvenvietės plėtra</v>
      </c>
      <c r="C27" s="429" t="str">
        <f>CONCATENATE('3 pr-2'!H36)</f>
        <v>8.2.1-CPVA-R-908</v>
      </c>
      <c r="D27" s="429" t="str">
        <f>CONCATENATE('3 pr-2'!E36)</f>
        <v>Alytaus rajono savivaldybės administracija</v>
      </c>
      <c r="E27" s="429" t="str">
        <f>CONCATENATE('3 pr-2'!G36)</f>
        <v>Alytaus r. sav.</v>
      </c>
      <c r="F27" s="1212">
        <f>SUM('3 pr-2'!AA36)</f>
        <v>886947</v>
      </c>
      <c r="G27" s="1212">
        <v>0</v>
      </c>
      <c r="H27" s="1212">
        <f ca="1">SUM('ketv. 6 '!AF35)</f>
        <v>0</v>
      </c>
      <c r="I27" s="1212">
        <f>SUM('ketv. 7 '!AK34)</f>
        <v>0</v>
      </c>
      <c r="L27" s="1739" t="e">
        <f t="shared" si="0"/>
        <v>#DIV/0!</v>
      </c>
      <c r="M27" s="1740">
        <f t="shared" si="1"/>
        <v>0</v>
      </c>
    </row>
    <row r="28" spans="1:13" ht="25.5" thickBot="1" x14ac:dyDescent="0.3">
      <c r="A28" s="430">
        <f t="shared" si="2"/>
        <v>27</v>
      </c>
      <c r="B28" s="429" t="str">
        <f>CONCATENATE('3 pr-2'!D37)</f>
        <v>Leipalingio viešosios erdvės pritaikymas bendruomenės poreikiams</v>
      </c>
      <c r="C28" s="429" t="str">
        <f>CONCATENATE('3 pr-2'!H37)</f>
        <v>8.2.1-CPVA-R-908</v>
      </c>
      <c r="D28" s="429" t="str">
        <f>CONCATENATE('3 pr-2'!E37)</f>
        <v xml:space="preserve">Druskininkų savivaldybės administracija  </v>
      </c>
      <c r="E28" s="429" t="str">
        <f>CONCATENATE('3 pr-2'!G37)</f>
        <v>Druskininkų sav.</v>
      </c>
      <c r="F28" s="1212">
        <f>SUM('3 pr-2'!AA37)</f>
        <v>355096.91</v>
      </c>
      <c r="G28" s="1212">
        <v>355096.91</v>
      </c>
      <c r="H28" s="1212">
        <f ca="1">SUM('ketv. 6 '!AF36)</f>
        <v>355096.91</v>
      </c>
      <c r="I28" s="1212">
        <f>SUM('ketv. 7 '!AK35)</f>
        <v>0</v>
      </c>
      <c r="L28" s="1739">
        <f t="shared" si="0"/>
        <v>0</v>
      </c>
      <c r="M28" s="1740">
        <f t="shared" si="1"/>
        <v>0</v>
      </c>
    </row>
    <row r="29" spans="1:13" ht="25.5" thickBot="1" x14ac:dyDescent="0.3">
      <c r="A29" s="430">
        <f t="shared" si="2"/>
        <v>28</v>
      </c>
      <c r="B29" s="429" t="str">
        <f>CONCATENATE('3 pr-2'!D38)</f>
        <v>Viečiūnų viešosios erdvės pritaikymas bendruomenės poreikiams</v>
      </c>
      <c r="C29" s="429" t="str">
        <f>CONCATENATE('3 pr-2'!H38)</f>
        <v>8.2.1-CPVA-R-908</v>
      </c>
      <c r="D29" s="429" t="str">
        <f>CONCATENATE('3 pr-2'!E38)</f>
        <v xml:space="preserve">Druskininkų savivaldybės administracija  </v>
      </c>
      <c r="E29" s="429" t="str">
        <f>CONCATENATE('3 pr-2'!G38)</f>
        <v>Druskininkų sav.</v>
      </c>
      <c r="F29" s="1212">
        <f>SUM('3 pr-2'!AA38)</f>
        <v>572796.16000000003</v>
      </c>
      <c r="G29" s="1212">
        <v>572796.16000000003</v>
      </c>
      <c r="H29" s="1212">
        <f ca="1">SUM('ketv. 6 '!AF37)</f>
        <v>572796.16000000003</v>
      </c>
      <c r="I29" s="1212">
        <f>SUM('ketv. 7 '!AK36)</f>
        <v>0</v>
      </c>
      <c r="L29" s="1739">
        <f t="shared" si="0"/>
        <v>0</v>
      </c>
      <c r="M29" s="1740">
        <f t="shared" si="1"/>
        <v>0</v>
      </c>
    </row>
    <row r="30" spans="1:13" ht="37.5" thickBot="1" x14ac:dyDescent="0.3">
      <c r="A30" s="430">
        <f t="shared" si="2"/>
        <v>29</v>
      </c>
      <c r="B30" s="429" t="str">
        <f>CONCATENATE('3 pr-2'!D40)</f>
        <v>Varėnos miesto centrinės dalies modernizavimas ir pritaikymas visuomenės poreikiams (I etapas)</v>
      </c>
      <c r="C30" s="429" t="str">
        <f>CONCATENATE('3 pr-2'!H40)</f>
        <v xml:space="preserve">07.1.1-CPVA-R-905 </v>
      </c>
      <c r="D30" s="429" t="str">
        <f>CONCATENATE('3 pr-2'!E40)</f>
        <v>Varėnos rajono savivaldybės administracija</v>
      </c>
      <c r="E30" s="429" t="str">
        <f>CONCATENATE('3 pr-2'!G40)</f>
        <v>Varėnos r. sav.</v>
      </c>
      <c r="F30" s="1212">
        <f>SUM('3 pr-2'!AA40)</f>
        <v>1289392.2</v>
      </c>
      <c r="G30" s="1212">
        <v>1289392.2</v>
      </c>
      <c r="H30" s="1212">
        <f ca="1">SUM('ketv. 6 '!AF39)</f>
        <v>1289392.2</v>
      </c>
      <c r="I30" s="1212">
        <f>SUM('ketv. 7 '!AK38)</f>
        <v>1161706.0900000001</v>
      </c>
      <c r="L30" s="1739">
        <f t="shared" si="0"/>
        <v>0.90097186100551885</v>
      </c>
      <c r="M30" s="1740">
        <f t="shared" si="1"/>
        <v>0.90097186100551885</v>
      </c>
    </row>
    <row r="31" spans="1:13" ht="37.5" thickBot="1" x14ac:dyDescent="0.3">
      <c r="A31" s="430">
        <f t="shared" si="2"/>
        <v>30</v>
      </c>
      <c r="B31" s="429" t="str">
        <f>CONCATENATE('3 pr-2'!D41)</f>
        <v>Varėnos miesto centrinės dalies modernizavimas ir pritaikymas visuomenės poreikiams (II etapas)</v>
      </c>
      <c r="C31" s="429" t="str">
        <f>CONCATENATE('3 pr-2'!H41)</f>
        <v xml:space="preserve">07.1.1-CPVA-R-905 </v>
      </c>
      <c r="D31" s="429" t="str">
        <f>CONCATENATE('3 pr-2'!E41)</f>
        <v>Varėnos rajono savivaldybės administracija</v>
      </c>
      <c r="E31" s="429" t="str">
        <f>CONCATENATE('3 pr-2'!G41)</f>
        <v>Varėnos r. sav.</v>
      </c>
      <c r="F31" s="1212">
        <f>SUM('3 pr-2'!AA41)</f>
        <v>845933.69</v>
      </c>
      <c r="G31" s="1212">
        <v>845933.69</v>
      </c>
      <c r="H31" s="1212">
        <f ca="1">SUM('ketv. 6 '!AF40)</f>
        <v>845933.69</v>
      </c>
      <c r="I31" s="1212">
        <f>SUM('ketv. 7 '!AK39)</f>
        <v>589312.9</v>
      </c>
      <c r="L31" s="1739">
        <f t="shared" si="0"/>
        <v>0.69664195547052876</v>
      </c>
      <c r="M31" s="1740">
        <f t="shared" si="1"/>
        <v>0.69664195547052876</v>
      </c>
    </row>
    <row r="32" spans="1:13" ht="37.5" thickBot="1" x14ac:dyDescent="0.3">
      <c r="A32" s="430">
        <f t="shared" si="2"/>
        <v>31</v>
      </c>
      <c r="B32" s="429" t="str">
        <f>CONCATENATE('3 pr-2'!D42)</f>
        <v xml:space="preserve">Varėnos miesto Dainų slėnio infrastruktūros atnaujinimas ir pritaikymas visuomenės poreikiams </v>
      </c>
      <c r="C32" s="429" t="str">
        <f>CONCATENATE('3 pr-2'!H42)</f>
        <v xml:space="preserve">07.1.1-CPVA-R-905 </v>
      </c>
      <c r="D32" s="429" t="str">
        <f>CONCATENATE('3 pr-2'!E42)</f>
        <v>Varėnos rajono savivaldybės administracija</v>
      </c>
      <c r="E32" s="429" t="str">
        <f>CONCATENATE('3 pr-2'!G42)</f>
        <v>Varėnos r. sav.</v>
      </c>
      <c r="F32" s="1212">
        <f>SUM('3 pr-2'!AA42)</f>
        <v>535500</v>
      </c>
      <c r="G32" s="1212">
        <v>535500</v>
      </c>
      <c r="H32" s="1212">
        <f ca="1">SUM('ketv. 6 '!AF41)</f>
        <v>535500</v>
      </c>
      <c r="I32" s="1212">
        <f>SUM('ketv. 7 '!AK40)</f>
        <v>0</v>
      </c>
      <c r="L32" s="1739">
        <f t="shared" si="0"/>
        <v>0</v>
      </c>
      <c r="M32" s="1740">
        <f t="shared" si="1"/>
        <v>0</v>
      </c>
    </row>
    <row r="33" spans="1:13" ht="25.5" thickBot="1" x14ac:dyDescent="0.3">
      <c r="A33" s="430">
        <f t="shared" si="2"/>
        <v>32</v>
      </c>
      <c r="B33" s="429" t="str">
        <f>CONCATENATE('3 pr-2'!D43)</f>
        <v>Karloniškės ežero ir jo prieigų sutvarkymas ir pritaikymas aktyviam poilsiui</v>
      </c>
      <c r="C33" s="429" t="str">
        <f>CONCATENATE('3 pr-2'!H43)</f>
        <v xml:space="preserve">07.1.1-CPVA-R-905 </v>
      </c>
      <c r="D33" s="429" t="str">
        <f>CONCATENATE('3 pr-2'!E43)</f>
        <v>Varėnos rajono savivaldybės administracija</v>
      </c>
      <c r="E33" s="429" t="str">
        <f>CONCATENATE('3 pr-2'!G43)</f>
        <v>Varėnos r. sav.</v>
      </c>
      <c r="F33" s="1212">
        <f>SUM('3 pr-2'!AA43)</f>
        <v>643659</v>
      </c>
      <c r="G33" s="1212">
        <v>513543.65</v>
      </c>
      <c r="H33" s="1212">
        <f ca="1">SUM('ketv. 6 '!AF42)</f>
        <v>513543.65</v>
      </c>
      <c r="I33" s="1212">
        <f>SUM('ketv. 7 '!AK41)</f>
        <v>16408.97</v>
      </c>
      <c r="L33" s="1739">
        <f t="shared" si="0"/>
        <v>3.1952434812503282E-2</v>
      </c>
      <c r="M33" s="1740">
        <f t="shared" si="1"/>
        <v>2.5493265844181469E-2</v>
      </c>
    </row>
    <row r="34" spans="1:13" ht="25.5" thickBot="1" x14ac:dyDescent="0.3">
      <c r="A34" s="430">
        <f t="shared" si="2"/>
        <v>33</v>
      </c>
      <c r="B34" s="429" t="str">
        <f>CONCATENATE('3 pr-2'!D44)</f>
        <v xml:space="preserve">Nenaudojamų teritorijų Varėnos mieste sutvarkymas ir pritaikymas verslui </v>
      </c>
      <c r="C34" s="429" t="str">
        <f>CONCATENATE('3 pr-2'!H44)</f>
        <v xml:space="preserve">07.1.1-CPVA-R-905 </v>
      </c>
      <c r="D34" s="429" t="str">
        <f>CONCATENATE('3 pr-2'!E44)</f>
        <v>Varėnos rajono savivaldybės administracija</v>
      </c>
      <c r="E34" s="429" t="str">
        <f>CONCATENATE('3 pr-2'!G44)</f>
        <v>Varėnos r. sav.</v>
      </c>
      <c r="F34" s="1212">
        <f>SUM('3 pr-2'!AA44)</f>
        <v>127500</v>
      </c>
      <c r="G34" s="1212">
        <v>127500</v>
      </c>
      <c r="H34" s="1212">
        <f ca="1">SUM('ketv. 6 '!AF43)</f>
        <v>0</v>
      </c>
      <c r="I34" s="1212">
        <f>SUM('ketv. 7 '!AK42)</f>
        <v>0</v>
      </c>
      <c r="L34" s="1739">
        <f t="shared" si="0"/>
        <v>0</v>
      </c>
      <c r="M34" s="1740">
        <f t="shared" si="1"/>
        <v>0</v>
      </c>
    </row>
    <row r="35" spans="1:13" ht="37.5" thickBot="1" x14ac:dyDescent="0.3">
      <c r="A35" s="430">
        <f t="shared" ref="A35:A63" si="4">ROW(A34)</f>
        <v>34</v>
      </c>
      <c r="B35" s="429" t="str">
        <f>CONCATENATE('3 pr-2'!D45)</f>
        <v xml:space="preserve">Teritorijų prie daugiabučių gyvenamųjų pastatų Varėnos mieste sutvarkymas ir pritaikymas visuomenės poreikiams  </v>
      </c>
      <c r="C35" s="429" t="str">
        <f>CONCATENATE('3 pr-2'!H45)</f>
        <v xml:space="preserve">07.1.1-CPVA-R-905 </v>
      </c>
      <c r="D35" s="429" t="str">
        <f>CONCATENATE('3 pr-2'!E45)</f>
        <v>Varėnos rajono savivaldybės administracija</v>
      </c>
      <c r="E35" s="429" t="str">
        <f>CONCATENATE('3 pr-2'!G45)</f>
        <v>Varėnos r. sav.</v>
      </c>
      <c r="F35" s="1212">
        <f>SUM('3 pr-2'!AA45)</f>
        <v>255317</v>
      </c>
      <c r="G35" s="1212">
        <v>255317.05</v>
      </c>
      <c r="H35" s="1212">
        <f ca="1">SUM('ketv. 6 '!AF44)</f>
        <v>0</v>
      </c>
      <c r="I35" s="1212">
        <f>SUM('ketv. 7 '!AK43)</f>
        <v>0</v>
      </c>
      <c r="L35" s="1739">
        <f t="shared" si="0"/>
        <v>0</v>
      </c>
      <c r="M35" s="1740">
        <f t="shared" si="1"/>
        <v>0</v>
      </c>
    </row>
    <row r="36" spans="1:13" ht="25.5" thickBot="1" x14ac:dyDescent="0.3">
      <c r="A36" s="430">
        <f t="shared" si="4"/>
        <v>35</v>
      </c>
      <c r="B36" s="429" t="str">
        <f>CONCATENATE('3 pr-2'!D48)</f>
        <v>Amatų centro „Menų kalvė“ Druskininkuose įkūrimas</v>
      </c>
      <c r="C36" s="429" t="str">
        <f>CONCATENATE('3 pr-2'!H48)</f>
        <v>07.1.1-CPVA-R-903</v>
      </c>
      <c r="D36" s="429" t="str">
        <f>CONCATENATE('3 pr-2'!E48)</f>
        <v xml:space="preserve">Druskininkų savivaldybės administracija  </v>
      </c>
      <c r="E36" s="429" t="str">
        <f>CONCATENATE('3 pr-2'!G48)</f>
        <v>Druskininkų sav.</v>
      </c>
      <c r="F36" s="1212">
        <f>SUM('3 pr-2'!AA48)</f>
        <v>283503.94</v>
      </c>
      <c r="G36" s="1212">
        <v>283504</v>
      </c>
      <c r="H36" s="1212">
        <f ca="1">SUM('ketv. 6 '!AF47)</f>
        <v>283503.94</v>
      </c>
      <c r="I36" s="1212">
        <f>SUM('ketv. 7 '!AK46)</f>
        <v>229429.82</v>
      </c>
      <c r="L36" s="1739">
        <f t="shared" si="0"/>
        <v>0.80926484282408717</v>
      </c>
      <c r="M36" s="1740">
        <f t="shared" si="1"/>
        <v>0.80926501409468954</v>
      </c>
    </row>
    <row r="37" spans="1:13" ht="25.5" thickBot="1" x14ac:dyDescent="0.3">
      <c r="A37" s="430">
        <f t="shared" si="4"/>
        <v>36</v>
      </c>
      <c r="B37" s="429" t="str">
        <f>CONCATENATE('3 pr-2'!D49)</f>
        <v>Lazdijų miesto kompleksinė infrastruktūros plėtra, III etapas</v>
      </c>
      <c r="C37" s="429" t="str">
        <f>CONCATENATE('3 pr-2'!H49)</f>
        <v>07.1.1-CPVA-R-903</v>
      </c>
      <c r="D37" s="429" t="str">
        <f>CONCATENATE('3 pr-2'!E49)</f>
        <v>Lazdijų rajono savivaldybės administracija</v>
      </c>
      <c r="E37" s="429" t="str">
        <f>CONCATENATE('3 pr-2'!G49)</f>
        <v>Lazdijų r. sav.</v>
      </c>
      <c r="F37" s="1212">
        <f>SUM('3 pr-2'!AA49)</f>
        <v>291980.95</v>
      </c>
      <c r="G37" s="1212">
        <v>291981</v>
      </c>
      <c r="H37" s="1212">
        <f ca="1">SUM('ketv. 6 '!AF48)</f>
        <v>291980.95</v>
      </c>
      <c r="I37" s="1212">
        <f>SUM('ketv. 7 '!AK47)</f>
        <v>173440.55</v>
      </c>
      <c r="L37" s="1739">
        <f t="shared" si="0"/>
        <v>0.59401313784116083</v>
      </c>
      <c r="M37" s="1740">
        <f t="shared" si="1"/>
        <v>0.59401323956237551</v>
      </c>
    </row>
    <row r="38" spans="1:13" ht="37.5" thickBot="1" x14ac:dyDescent="0.3">
      <c r="A38" s="430">
        <f t="shared" si="4"/>
        <v>37</v>
      </c>
      <c r="B38" s="429" t="str">
        <f>CONCATENATE('3 pr-2'!D51)</f>
        <v>Geriamojo vandens tiekimo ir nuotekų tvarkymo sistemų renovavimas ir plėtra Varėnos rajone</v>
      </c>
      <c r="C38" s="429" t="str">
        <f>CONCATENATE('3 pr-2'!H51)</f>
        <v>05.3.2-APVA-R-014</v>
      </c>
      <c r="D38" s="429" t="str">
        <f>CONCATENATE('3 pr-2'!E51)</f>
        <v>UAB „Varėnos vandenys“</v>
      </c>
      <c r="E38" s="429" t="str">
        <f>CONCATENATE('3 pr-2'!G51)</f>
        <v>Varėnos r. sav.</v>
      </c>
      <c r="F38" s="1212">
        <f>SUM('3 pr-2'!AA51)</f>
        <v>1614228.26</v>
      </c>
      <c r="G38" s="1212">
        <v>1614228.26</v>
      </c>
      <c r="H38" s="1212">
        <f ca="1">SUM('ketv. 6 '!AF50)</f>
        <v>1614228.26</v>
      </c>
      <c r="I38" s="1212">
        <f>SUM('ketv. 7 '!AK49)</f>
        <v>787353.05999999994</v>
      </c>
      <c r="L38" s="1739">
        <f t="shared" si="0"/>
        <v>0.48775819350356309</v>
      </c>
      <c r="M38" s="1740">
        <f t="shared" si="1"/>
        <v>0.48775819350356309</v>
      </c>
    </row>
    <row r="39" spans="1:13" ht="25.5" thickBot="1" x14ac:dyDescent="0.3">
      <c r="A39" s="430">
        <f t="shared" si="4"/>
        <v>38</v>
      </c>
      <c r="B39" s="429" t="str">
        <f>CONCATENATE('3 pr-2'!D52)</f>
        <v>Geriamojo vandens ir nuotekų tvarkymo sistemų renovavimas Alytaus mieste</v>
      </c>
      <c r="C39" s="429" t="str">
        <f>CONCATENATE('3 pr-2'!H52)</f>
        <v>05.3.2-APVA-R-014</v>
      </c>
      <c r="D39" s="429" t="str">
        <f>CONCATENATE('3 pr-2'!E52)</f>
        <v>UAB “Dzūkijos vandenys“</v>
      </c>
      <c r="E39" s="429" t="str">
        <f>CONCATENATE('3 pr-2'!G52)</f>
        <v>Alytaus m. sav.</v>
      </c>
      <c r="F39" s="1212">
        <f>SUM('3 pr-2'!AA52)</f>
        <v>2696984.31</v>
      </c>
      <c r="G39" s="1212">
        <v>2645996.25</v>
      </c>
      <c r="H39" s="1212">
        <f ca="1">SUM('ketv. 6 '!AF51)</f>
        <v>2645996.25</v>
      </c>
      <c r="I39" s="1212">
        <f>SUM('ketv. 7 '!AK50)</f>
        <v>1139119.2100000002</v>
      </c>
      <c r="L39" s="1739">
        <f t="shared" si="0"/>
        <v>0.43050673635686376</v>
      </c>
      <c r="M39" s="1740">
        <f t="shared" si="1"/>
        <v>0.42236775563592366</v>
      </c>
    </row>
    <row r="40" spans="1:13" ht="37.5" thickBot="1" x14ac:dyDescent="0.3">
      <c r="A40" s="430">
        <f t="shared" si="4"/>
        <v>39</v>
      </c>
      <c r="B40" s="429" t="str">
        <f>CONCATENATE('3 pr-2'!D53)</f>
        <v>Geriamojo vandens tiekimo ir nuotekų tvarkymo sistemų renovavimas ir plėtra Lazdijų rajono savivaldybėje</v>
      </c>
      <c r="C40" s="429" t="str">
        <f>CONCATENATE('3 pr-2'!H53)</f>
        <v>05.3.2-APVA-R-014</v>
      </c>
      <c r="D40" s="429" t="str">
        <f>CONCATENATE('3 pr-2'!E53)</f>
        <v>UAB „Lazdijų vanduo“</v>
      </c>
      <c r="E40" s="429" t="str">
        <f>CONCATENATE('3 pr-2'!G53)</f>
        <v>Lazdijų r. sav.</v>
      </c>
      <c r="F40" s="1212">
        <f>SUM('3 pr-2'!AA53)</f>
        <v>796102</v>
      </c>
      <c r="G40" s="1212">
        <v>790102</v>
      </c>
      <c r="H40" s="1212">
        <f ca="1">SUM('ketv. 6 '!AF52)</f>
        <v>790102</v>
      </c>
      <c r="I40" s="1212">
        <f>SUM('ketv. 7 '!AK51)</f>
        <v>458579.5</v>
      </c>
      <c r="L40" s="1739">
        <f t="shared" si="0"/>
        <v>0.58040544132276595</v>
      </c>
      <c r="M40" s="1740">
        <f t="shared" si="1"/>
        <v>0.57603108646881929</v>
      </c>
    </row>
    <row r="41" spans="1:13" ht="37.5" thickBot="1" x14ac:dyDescent="0.3">
      <c r="A41" s="430">
        <f t="shared" si="4"/>
        <v>40</v>
      </c>
      <c r="B41" s="429" t="str">
        <f>CONCATENATE('3 pr-2'!D54)</f>
        <v>Vandens tiekimo ir nuotekų šalinimo infrastruktūros renovavimas ir plėtra Druskininkų savivaldybėje</v>
      </c>
      <c r="C41" s="429" t="str">
        <f>CONCATENATE('3 pr-2'!H54)</f>
        <v>05.3.2-APVA-R-014</v>
      </c>
      <c r="D41" s="429" t="str">
        <f>CONCATENATE('3 pr-2'!E54)</f>
        <v>UAB "Druskininkų vandenys"</v>
      </c>
      <c r="E41" s="429" t="str">
        <f>CONCATENATE('3 pr-2'!G54)</f>
        <v>Druskininkų sav.</v>
      </c>
      <c r="F41" s="1212">
        <f>SUM('3 pr-2'!AA54)</f>
        <v>2892603</v>
      </c>
      <c r="G41" s="1212">
        <v>2892603</v>
      </c>
      <c r="H41" s="1212">
        <f ca="1">SUM('ketv. 6 '!AF53)</f>
        <v>1479103.09</v>
      </c>
      <c r="I41" s="1212">
        <f>SUM('ketv. 7 '!AK52)</f>
        <v>243027.98</v>
      </c>
      <c r="L41" s="1739">
        <f t="shared" si="0"/>
        <v>8.4017053152472015E-2</v>
      </c>
      <c r="M41" s="1740">
        <f t="shared" si="1"/>
        <v>8.4017053152472015E-2</v>
      </c>
    </row>
    <row r="42" spans="1:13" ht="37.5" thickBot="1" x14ac:dyDescent="0.3">
      <c r="A42" s="430">
        <f t="shared" si="4"/>
        <v>41</v>
      </c>
      <c r="B42" s="429" t="str">
        <f>CONCATENATE('3 pr-2'!D55)</f>
        <v>Vandens tiekimo ir nuotekų tvarkymo infrastruktūros plėtra Alytaus rajone (Krokialaukyje)</v>
      </c>
      <c r="C42" s="429" t="str">
        <f>CONCATENATE('3 pr-2'!H55)</f>
        <v>05.3.2-APVA-R-014</v>
      </c>
      <c r="D42" s="429" t="str">
        <f>CONCATENATE('3 pr-2'!E55)</f>
        <v>SĮ „Simno komunalininkas“</v>
      </c>
      <c r="E42" s="429" t="str">
        <f>CONCATENATE('3 pr-2'!G55)</f>
        <v>Alytaus r. sav.</v>
      </c>
      <c r="F42" s="1212">
        <f>SUM('3 pr-2'!AA55)</f>
        <v>920475</v>
      </c>
      <c r="G42" s="1212">
        <v>867744</v>
      </c>
      <c r="H42" s="1212">
        <f ca="1">SUM('ketv. 6 '!AF54)</f>
        <v>867744</v>
      </c>
      <c r="I42" s="1212">
        <f>SUM('ketv. 7 '!AK53)</f>
        <v>5127.0600000000004</v>
      </c>
      <c r="L42" s="1739">
        <f t="shared" si="0"/>
        <v>5.9084937493085526E-3</v>
      </c>
      <c r="M42" s="1740">
        <f t="shared" si="1"/>
        <v>5.5700154811374565E-3</v>
      </c>
    </row>
    <row r="43" spans="1:13" ht="25.5" thickBot="1" x14ac:dyDescent="0.3">
      <c r="A43" s="430">
        <f t="shared" si="4"/>
        <v>42</v>
      </c>
      <c r="B43" s="429" t="str">
        <f>CONCATENATE('3 pr-2'!D57)</f>
        <v>Paviršinių nuotekų sistemų tvarkymas Alytaus mieste</v>
      </c>
      <c r="C43" s="429" t="str">
        <f>CONCATENATE('3 pr-2'!H57)</f>
        <v>05.1.1-APVA-R-007</v>
      </c>
      <c r="D43" s="429" t="str">
        <f>CONCATENATE('3 pr-2'!E57)</f>
        <v>UAB “Dzūkijos vandenys“</v>
      </c>
      <c r="E43" s="429" t="str">
        <f>CONCATENATE('3 pr-2'!G57)</f>
        <v>Alytaus m. sav.</v>
      </c>
      <c r="F43" s="1212">
        <f>SUM('3 pr-2'!AA57)</f>
        <v>3399493.48</v>
      </c>
      <c r="G43" s="1212">
        <v>3399493</v>
      </c>
      <c r="H43" s="1212">
        <f ca="1">SUM('ketv. 6 '!AF56)</f>
        <v>2387993.48</v>
      </c>
      <c r="I43" s="1212">
        <f>SUM('ketv. 7 '!AK55)</f>
        <v>917721.99</v>
      </c>
      <c r="L43" s="1739">
        <f t="shared" si="0"/>
        <v>0.26995848792746446</v>
      </c>
      <c r="M43" s="1740">
        <f t="shared" si="1"/>
        <v>0.26995844980999933</v>
      </c>
    </row>
    <row r="44" spans="1:13" ht="25.5" thickBot="1" x14ac:dyDescent="0.3">
      <c r="A44" s="430">
        <f t="shared" si="4"/>
        <v>43</v>
      </c>
      <c r="B44" s="429" t="str">
        <f>CONCATENATE('3 pr-2'!D59)</f>
        <v>Alytaus regiono turizmo informacinės infrastruktūros plėtra</v>
      </c>
      <c r="C44" s="429" t="str">
        <f>CONCATENATE('3 pr-2'!H59)</f>
        <v>05.4.1-LVPA-R-821</v>
      </c>
      <c r="D44" s="429" t="str">
        <f>CONCATENATE('3 pr-2'!E59)</f>
        <v>Alytaus miesto savivaldybės administracija</v>
      </c>
      <c r="E44" s="429" t="str">
        <f>CONCATENATE('3 pr-2'!G59)</f>
        <v>Alytaus m. sav.</v>
      </c>
      <c r="F44" s="1212">
        <f>SUM('3 pr-2'!AA59)</f>
        <v>176990</v>
      </c>
      <c r="G44" s="1212">
        <v>176990</v>
      </c>
      <c r="H44" s="1212">
        <f ca="1">SUM('ketv. 6 '!AF58)</f>
        <v>176990</v>
      </c>
      <c r="I44" s="1212">
        <f>SUM('ketv. 7 '!AK57)</f>
        <v>0</v>
      </c>
      <c r="L44" s="1739">
        <f t="shared" si="0"/>
        <v>0</v>
      </c>
      <c r="M44" s="1740">
        <f t="shared" si="1"/>
        <v>0</v>
      </c>
    </row>
    <row r="45" spans="1:13" ht="49.5" thickBot="1" x14ac:dyDescent="0.3">
      <c r="A45" s="430">
        <f t="shared" si="4"/>
        <v>44</v>
      </c>
      <c r="B45" s="429" t="str">
        <f>CONCATENATE('3 pr-2'!D60)</f>
        <v>„Turizmo trasų ir maršrutų informacinės infrastruktūros plėtra  Lazdijų, Varėnos rajonų ir Druskininkų savivaldybėse“</v>
      </c>
      <c r="C45" s="429" t="str">
        <f>CONCATENATE('3 pr-2'!H60)</f>
        <v>05.4.1-LVPA-R-821</v>
      </c>
      <c r="D45" s="429" t="str">
        <f>CONCATENATE('3 pr-2'!E60)</f>
        <v>Lazdijų rajono savivaldybės administracija</v>
      </c>
      <c r="E45" s="429" t="str">
        <f>CONCATENATE('3 pr-2'!G60)</f>
        <v xml:space="preserve">Lazdijų, Varėnos rajonų ir Druskininkų savivaldybės </v>
      </c>
      <c r="F45" s="1212">
        <f>SUM('3 pr-2'!AA60)</f>
        <v>244890.1</v>
      </c>
      <c r="G45" s="1212">
        <v>244890.1</v>
      </c>
      <c r="H45" s="1212">
        <f ca="1">SUM('ketv. 6 '!AF59)</f>
        <v>244890.1</v>
      </c>
      <c r="I45" s="1212">
        <f>SUM('ketv. 7 '!AK58)</f>
        <v>47727.439999999995</v>
      </c>
      <c r="L45" s="1739">
        <f t="shared" si="0"/>
        <v>0.19489330111752168</v>
      </c>
      <c r="M45" s="1740">
        <f t="shared" si="1"/>
        <v>0.19489330111752168</v>
      </c>
    </row>
    <row r="46" spans="1:13" ht="49.5" thickBot="1" x14ac:dyDescent="0.3">
      <c r="A46" s="430">
        <f t="shared" si="4"/>
        <v>45</v>
      </c>
      <c r="B46" s="429" t="str">
        <f>CONCATENATE('3 pr-2'!D61)</f>
        <v>„Turizmo trasų ir maršrutų informacinės infrastruktūros plėtra  Lazdijų, Varėnos rajonų ir Druskininkų savivaldybėse II etapas“</v>
      </c>
      <c r="C46" s="429" t="str">
        <f>CONCATENATE('3 pr-2'!H61)</f>
        <v>05.4.1-LVPA-R-821</v>
      </c>
      <c r="D46" s="429" t="str">
        <f>CONCATENATE('3 pr-2'!E61)</f>
        <v>Lazdijų rajono savivaldybės administracija</v>
      </c>
      <c r="E46" s="429" t="str">
        <f>CONCATENATE('3 pr-2'!G61)</f>
        <v xml:space="preserve">Lazdijų, Varėnos rajonų ir Druskininkų savivaldybės </v>
      </c>
      <c r="F46" s="1212">
        <f>SUM('3 pr-2'!AA61)</f>
        <v>189539.9</v>
      </c>
      <c r="G46" s="1212">
        <v>0</v>
      </c>
      <c r="H46" s="1212">
        <f ca="1">SUM('ketv. 6 '!AF60)</f>
        <v>0</v>
      </c>
      <c r="I46" s="1212">
        <f>SUM('ketv. 7 '!AK59)</f>
        <v>0</v>
      </c>
      <c r="L46" s="1739" t="e">
        <f t="shared" si="0"/>
        <v>#DIV/0!</v>
      </c>
      <c r="M46" s="1740">
        <f t="shared" si="1"/>
        <v>0</v>
      </c>
    </row>
    <row r="47" spans="1:13" ht="25.5" thickBot="1" x14ac:dyDescent="0.3">
      <c r="A47" s="430">
        <f t="shared" si="4"/>
        <v>46</v>
      </c>
      <c r="B47" s="429" t="str">
        <f>CONCATENATE('3 pr-2'!D63)</f>
        <v>Kultūros įstaigų infrastruktūros modernizavimas Varėnos mieste</v>
      </c>
      <c r="C47" s="429" t="str">
        <f>CONCATENATE('3 pr-2'!H63)</f>
        <v>07.1.1-CPVA-R-305</v>
      </c>
      <c r="D47" s="429" t="str">
        <f>CONCATENATE('3 pr-2'!E63)</f>
        <v>Varėnos rajono savivaldybės administracija</v>
      </c>
      <c r="E47" s="429" t="str">
        <f>CONCATENATE('3 pr-2'!G63)</f>
        <v>Varėnos r. sav.</v>
      </c>
      <c r="F47" s="1212">
        <f>SUM('3 pr-2'!AA63)</f>
        <v>299540.84999999998</v>
      </c>
      <c r="G47" s="1212">
        <v>299541</v>
      </c>
      <c r="H47" s="1212">
        <f ca="1">SUM('ketv. 6 '!AF62)</f>
        <v>299540.84999999998</v>
      </c>
      <c r="I47" s="1212">
        <f>SUM('ketv. 7 '!AK61)</f>
        <v>275001.21999999997</v>
      </c>
      <c r="L47" s="1739">
        <f t="shared" si="0"/>
        <v>0.91807538867801064</v>
      </c>
      <c r="M47" s="1740">
        <f t="shared" si="1"/>
        <v>0.91807584841933909</v>
      </c>
    </row>
    <row r="48" spans="1:13" ht="37.5" thickBot="1" x14ac:dyDescent="0.3">
      <c r="A48" s="430">
        <f t="shared" si="4"/>
        <v>47</v>
      </c>
      <c r="B48" s="429" t="str">
        <f>CONCATENATE('3 pr-2'!D64)</f>
        <v>VšĮ Alytaus kultūros ir komunikacijos centro pastato Alytuje, Pramonės g. 1B, rekonstravimas</v>
      </c>
      <c r="C48" s="429" t="str">
        <f>CONCATENATE('3 pr-2'!H64)</f>
        <v>07.1.1-CPVA-R-305</v>
      </c>
      <c r="D48" s="429" t="str">
        <f>CONCATENATE('3 pr-2'!E64)</f>
        <v>Alytaus miesto savivaldybės administracija</v>
      </c>
      <c r="E48" s="429" t="str">
        <f>CONCATENATE('3 pr-2'!G64)</f>
        <v>Alytaus m. sav.</v>
      </c>
      <c r="F48" s="1212">
        <f>SUM('3 pr-2'!AA64)</f>
        <v>299541</v>
      </c>
      <c r="G48" s="1212">
        <v>299541</v>
      </c>
      <c r="H48" s="1212">
        <f ca="1">SUM('ketv. 6 '!AF63)</f>
        <v>299541</v>
      </c>
      <c r="I48" s="1212">
        <f>SUM('ketv. 7 '!AK62)</f>
        <v>295499.17999999993</v>
      </c>
      <c r="L48" s="1739">
        <f t="shared" si="0"/>
        <v>0.9865066217980174</v>
      </c>
      <c r="M48" s="1740">
        <f t="shared" si="1"/>
        <v>0.9865066217980174</v>
      </c>
    </row>
    <row r="49" spans="1:13" ht="49.5" thickBot="1" x14ac:dyDescent="0.3">
      <c r="A49" s="430">
        <f t="shared" si="4"/>
        <v>48</v>
      </c>
      <c r="B49" s="429" t="str">
        <f>CONCATENATE('3 pr-2'!D65)</f>
        <v>Druskininkų kultūros centro lauko scenos, Vilniaus al. 24, Druskininkai, modernizavimas ir pritaikymas kultūros  poreikiams</v>
      </c>
      <c r="C49" s="429" t="str">
        <f>CONCATENATE('3 pr-2'!H65)</f>
        <v>07.1.1-CPVA-R-305</v>
      </c>
      <c r="D49" s="429" t="str">
        <f>CONCATENATE('3 pr-2'!E65)</f>
        <v xml:space="preserve">Druskininkų savivaldybės administracija  </v>
      </c>
      <c r="E49" s="429" t="str">
        <f>CONCATENATE('3 pr-2'!G65)</f>
        <v>Druskininkų sav.</v>
      </c>
      <c r="F49" s="1212">
        <f>SUM('3 pr-2'!AA65)</f>
        <v>299540.84999999998</v>
      </c>
      <c r="G49" s="1212">
        <v>299541</v>
      </c>
      <c r="H49" s="1212">
        <f ca="1">SUM('ketv. 6 '!AF64)</f>
        <v>299540.84999999998</v>
      </c>
      <c r="I49" s="1212">
        <f>SUM('ketv. 7 '!AK63)</f>
        <v>105370.47</v>
      </c>
      <c r="L49" s="1739">
        <f t="shared" si="0"/>
        <v>0.35177311286267993</v>
      </c>
      <c r="M49" s="1740">
        <f t="shared" si="1"/>
        <v>0.35177328901884336</v>
      </c>
    </row>
    <row r="50" spans="1:13" ht="37.5" thickBot="1" x14ac:dyDescent="0.3">
      <c r="A50" s="430">
        <f t="shared" si="4"/>
        <v>49</v>
      </c>
      <c r="B50" s="429" t="str">
        <f>CONCATENATE('3 pr-2'!D66)</f>
        <v>Pastato rekonstrukcija ir pritaikymas kultūrinėms, muziejinėms ir edukacinėms reikmėms</v>
      </c>
      <c r="C50" s="429" t="str">
        <f>CONCATENATE('3 pr-2'!H66)</f>
        <v>07.1.1-CPVA-R-305</v>
      </c>
      <c r="D50" s="429" t="str">
        <f>CONCATENATE('3 pr-2'!E66)</f>
        <v>Lazdijų rajono savivaldybės administracija</v>
      </c>
      <c r="E50" s="429" t="str">
        <f>CONCATENATE('3 pr-2'!G66)</f>
        <v>Lazdijų r. sav.</v>
      </c>
      <c r="F50" s="1212">
        <f>SUM('3 pr-2'!AA66)</f>
        <v>299541</v>
      </c>
      <c r="G50" s="1212">
        <v>299541</v>
      </c>
      <c r="H50" s="1212">
        <f ca="1">SUM('ketv. 6 '!AF65)</f>
        <v>299541</v>
      </c>
      <c r="I50" s="1212">
        <f>SUM('ketv. 7 '!AK64)</f>
        <v>13990.36</v>
      </c>
      <c r="L50" s="1739">
        <f t="shared" si="0"/>
        <v>4.6705993503393529E-2</v>
      </c>
      <c r="M50" s="1740">
        <f t="shared" si="1"/>
        <v>4.6705993503393529E-2</v>
      </c>
    </row>
    <row r="51" spans="1:13" ht="37.5" thickBot="1" x14ac:dyDescent="0.3">
      <c r="A51" s="430">
        <f t="shared" si="4"/>
        <v>50</v>
      </c>
      <c r="B51" s="429" t="str">
        <f>CONCATENATE('3 pr-2'!D68)</f>
        <v>Buvusios sinagogos pastato Kauno g. 9A Alytuje rekonstravimas ir aplinkinės teritorijos sutvarkymas</v>
      </c>
      <c r="C51" s="429" t="str">
        <f>CONCATENATE('3 pr-2'!H68)</f>
        <v>05.4.1-CPVA-R-302</v>
      </c>
      <c r="D51" s="429" t="str">
        <f>CONCATENATE('3 pr-2'!E68)</f>
        <v>Alytaus miesto savivaldybės administracija</v>
      </c>
      <c r="E51" s="429" t="str">
        <f>CONCATENATE('3 pr-2'!G68)</f>
        <v>Alytaus m. sav.</v>
      </c>
      <c r="F51" s="1212">
        <f>SUM('3 pr-2'!AA68)</f>
        <v>206056</v>
      </c>
      <c r="G51" s="1212">
        <v>206056</v>
      </c>
      <c r="H51" s="1212">
        <f ca="1">SUM('ketv. 6 '!AF67)</f>
        <v>206056</v>
      </c>
      <c r="I51" s="1212">
        <f>SUM('ketv. 7 '!AK66)</f>
        <v>0</v>
      </c>
      <c r="L51" s="1739">
        <f t="shared" si="0"/>
        <v>0</v>
      </c>
      <c r="M51" s="1740">
        <f t="shared" si="1"/>
        <v>0</v>
      </c>
    </row>
    <row r="52" spans="1:13" ht="37.5" thickBot="1" x14ac:dyDescent="0.3">
      <c r="A52" s="430">
        <f t="shared" si="4"/>
        <v>51</v>
      </c>
      <c r="B52" s="429" t="str">
        <f>CONCATENATE('3 pr-2'!D69)</f>
        <v>Mažosios dailės galerijos, M.K.Čiurlionio g. 37, Druskininkai, modernizavimas ir pritaikymas kultūros poreikiams</v>
      </c>
      <c r="C52" s="429" t="str">
        <f>CONCATENATE('3 pr-2'!H69)</f>
        <v>05.4.1-CPVA-R-302</v>
      </c>
      <c r="D52" s="429" t="str">
        <f>CONCATENATE('3 pr-2'!E69)</f>
        <v xml:space="preserve">Druskininkų savivaldybės administracija  </v>
      </c>
      <c r="E52" s="429" t="str">
        <f>CONCATENATE('3 pr-2'!G69)</f>
        <v>Druskininkų sav.</v>
      </c>
      <c r="F52" s="1212">
        <f>SUM('3 pr-2'!AA69)</f>
        <v>206056</v>
      </c>
      <c r="G52" s="1212">
        <v>206056</v>
      </c>
      <c r="H52" s="1212">
        <f ca="1">SUM('ketv. 6 '!AF68)</f>
        <v>206056</v>
      </c>
      <c r="I52" s="1212">
        <f>SUM('ketv. 7 '!AK67)</f>
        <v>7329.05</v>
      </c>
      <c r="L52" s="1739">
        <f t="shared" si="0"/>
        <v>3.5568243584268355E-2</v>
      </c>
      <c r="M52" s="1740">
        <f t="shared" si="1"/>
        <v>3.5568243584268355E-2</v>
      </c>
    </row>
    <row r="53" spans="1:13" ht="25.5" thickBot="1" x14ac:dyDescent="0.3">
      <c r="A53" s="430">
        <f t="shared" si="4"/>
        <v>52</v>
      </c>
      <c r="B53" s="429" t="str">
        <f>CONCATENATE('3 pr-2'!D70)</f>
        <v>Motiejaus  Gustaičio  memorialinio  namo  kompleksinis sutvarkymas</v>
      </c>
      <c r="C53" s="429" t="str">
        <f>CONCATENATE('3 pr-2'!H70)</f>
        <v>05.4.1-CPVA-R-302</v>
      </c>
      <c r="D53" s="429" t="str">
        <f>CONCATENATE('3 pr-2'!E70)</f>
        <v>Lazdijų rajono savivaldybės administracija</v>
      </c>
      <c r="E53" s="429" t="str">
        <f>CONCATENATE('3 pr-2'!G70)</f>
        <v>Lazdijų r. sav.</v>
      </c>
      <c r="F53" s="1212">
        <f>SUM('3 pr-2'!AA70)</f>
        <v>206056</v>
      </c>
      <c r="G53" s="1212">
        <v>206056</v>
      </c>
      <c r="H53" s="1212">
        <f ca="1">SUM('ketv. 6 '!AF69)</f>
        <v>206056</v>
      </c>
      <c r="I53" s="1212">
        <f>SUM('ketv. 7 '!AK68)</f>
        <v>0</v>
      </c>
      <c r="L53" s="1739">
        <f t="shared" si="0"/>
        <v>0</v>
      </c>
      <c r="M53" s="1740">
        <f t="shared" si="1"/>
        <v>0</v>
      </c>
    </row>
    <row r="54" spans="1:13" ht="37.5" thickBot="1" x14ac:dyDescent="0.3">
      <c r="A54" s="430">
        <f t="shared" si="4"/>
        <v>53</v>
      </c>
      <c r="B54" s="429" t="str">
        <f>CONCATENATE('3 pr-2'!D71)</f>
        <v>Kurnėnų Lauryno Radziukyno mokyklos pritaikymas kultūrinėms ir turistinėms reikmėms</v>
      </c>
      <c r="C54" s="429" t="str">
        <f>CONCATENATE('3 pr-2'!H71)</f>
        <v>05.4.1-CPVA-R-302</v>
      </c>
      <c r="D54" s="429" t="str">
        <f>CONCATENATE('3 pr-2'!E71)</f>
        <v>Alytaus rajono savivaldybės administracija</v>
      </c>
      <c r="E54" s="429" t="str">
        <f>CONCATENATE('3 pr-2'!G71)</f>
        <v>Alytaus r. sav.</v>
      </c>
      <c r="F54" s="1212">
        <f>SUM('3 pr-2'!AA71)</f>
        <v>206056</v>
      </c>
      <c r="G54" s="1212">
        <v>206056</v>
      </c>
      <c r="H54" s="1212">
        <f ca="1">SUM('ketv. 6 '!AF70)</f>
        <v>0</v>
      </c>
      <c r="I54" s="1212">
        <f>SUM('ketv. 7 '!AK69)</f>
        <v>0</v>
      </c>
      <c r="L54" s="1739">
        <f t="shared" si="0"/>
        <v>0</v>
      </c>
      <c r="M54" s="1740">
        <f t="shared" si="1"/>
        <v>0</v>
      </c>
    </row>
    <row r="55" spans="1:13" ht="25.5" thickBot="1" x14ac:dyDescent="0.3">
      <c r="A55" s="430">
        <f t="shared" si="4"/>
        <v>54</v>
      </c>
      <c r="B55" s="429" t="str">
        <f>CONCATENATE('3 pr-2'!D72)</f>
        <v>Vinco Krėvės-Mickevičiaus memorialinio muziejaus atnaujinimas</v>
      </c>
      <c r="C55" s="429" t="str">
        <f>CONCATENATE('3 pr-2'!H72)</f>
        <v>05.4.1-CPVA-R-302</v>
      </c>
      <c r="D55" s="429" t="str">
        <f>CONCATENATE('3 pr-2'!E72)</f>
        <v>Varėnos rajono savivaldybės administracija</v>
      </c>
      <c r="E55" s="429" t="str">
        <f>CONCATENATE('3 pr-2'!G72)</f>
        <v>Varėnos r. sav.</v>
      </c>
      <c r="F55" s="1212">
        <f>SUM('3 pr-2'!AA72)</f>
        <v>206056</v>
      </c>
      <c r="G55" s="1212">
        <v>206056</v>
      </c>
      <c r="H55" s="1212">
        <f ca="1">SUM('ketv. 6 '!AF71)</f>
        <v>173914.72</v>
      </c>
      <c r="I55" s="1212">
        <f>SUM('ketv. 7 '!AK70)</f>
        <v>13385.43</v>
      </c>
      <c r="L55" s="1739">
        <f t="shared" si="0"/>
        <v>6.4960156462320923E-2</v>
      </c>
      <c r="M55" s="1740">
        <f t="shared" si="1"/>
        <v>6.4960156462320923E-2</v>
      </c>
    </row>
    <row r="56" spans="1:13" ht="25.5" thickBot="1" x14ac:dyDescent="0.3">
      <c r="A56" s="430">
        <f t="shared" si="4"/>
        <v>55</v>
      </c>
      <c r="B56" s="429" t="str">
        <f>CONCATENATE('3 pr-2'!D75)</f>
        <v xml:space="preserve">Nekenksmingų aplinkai viešojo transporto priemonių įsigijimas Alytaus mieste </v>
      </c>
      <c r="C56" s="429" t="str">
        <f>CONCATENATE('3 pr-2'!H75)</f>
        <v>04.5.1-TID-R-518</v>
      </c>
      <c r="D56" s="429" t="str">
        <f>CONCATENATE('3 pr-2'!E75)</f>
        <v>Alytaus miesto savivaldybės administracija</v>
      </c>
      <c r="E56" s="429" t="str">
        <f>CONCATENATE('3 pr-2'!G75)</f>
        <v>Alytaus m. sav.</v>
      </c>
      <c r="F56" s="1212">
        <f>SUM('3 pr-2'!AA75)</f>
        <v>345177</v>
      </c>
      <c r="G56" s="1212">
        <v>0</v>
      </c>
      <c r="H56" s="1212">
        <f ca="1">SUM('ketv. 6 '!AF74)</f>
        <v>0</v>
      </c>
      <c r="I56" s="1212">
        <f>SUM('ketv. 7 '!AK73)</f>
        <v>0</v>
      </c>
      <c r="L56" s="1739" t="e">
        <f t="shared" si="0"/>
        <v>#DIV/0!</v>
      </c>
      <c r="M56" s="1740">
        <f t="shared" si="1"/>
        <v>0</v>
      </c>
    </row>
    <row r="57" spans="1:13" ht="25.5" thickBot="1" x14ac:dyDescent="0.3">
      <c r="A57" s="430">
        <f t="shared" si="4"/>
        <v>56</v>
      </c>
      <c r="B57" s="429" t="str">
        <f>CONCATENATE('3 pr-2'!D76)</f>
        <v>Vietinio susisiekimo transporto priemonių įsigijimas</v>
      </c>
      <c r="C57" s="429" t="str">
        <f>CONCATENATE('3 pr-2'!H76)</f>
        <v>04.5.1-TID-R-518</v>
      </c>
      <c r="D57" s="429" t="str">
        <f>CONCATENATE('3 pr-2'!E76)</f>
        <v>Alytaus rajono savivaldybės administracija</v>
      </c>
      <c r="E57" s="429" t="str">
        <f>CONCATENATE('3 pr-2'!G76)</f>
        <v>Alytaus r. sav.</v>
      </c>
      <c r="F57" s="1212">
        <f>SUM('3 pr-2'!AA76)</f>
        <v>277249</v>
      </c>
      <c r="G57" s="1212">
        <v>277249</v>
      </c>
      <c r="H57" s="1212">
        <f ca="1">SUM('ketv. 6 '!AF75)</f>
        <v>0</v>
      </c>
      <c r="I57" s="1212">
        <f>SUM('ketv. 7 '!AK74)</f>
        <v>0</v>
      </c>
      <c r="L57" s="1739">
        <f t="shared" si="0"/>
        <v>0</v>
      </c>
      <c r="M57" s="1740">
        <f t="shared" si="1"/>
        <v>0</v>
      </c>
    </row>
    <row r="58" spans="1:13" ht="25.5" thickBot="1" x14ac:dyDescent="0.3">
      <c r="A58" s="430">
        <f t="shared" si="4"/>
        <v>57</v>
      </c>
      <c r="B58" s="429" t="str">
        <f>CONCATENATE('3 pr-2'!D77)</f>
        <v>Ekologiškų transporto priemonių įsigijimas Druskininkų savivaldybėje</v>
      </c>
      <c r="C58" s="429" t="str">
        <f>CONCATENATE('3 pr-2'!H77)</f>
        <v>04.5.1-TID-R-518</v>
      </c>
      <c r="D58" s="429" t="str">
        <f>CONCATENATE('3 pr-2'!E77)</f>
        <v xml:space="preserve">Druskininkų savivaldybės administracija  </v>
      </c>
      <c r="E58" s="429" t="str">
        <f>CONCATENATE('3 pr-2'!G77)</f>
        <v>Druskininkų sav.</v>
      </c>
      <c r="F58" s="1212">
        <f>SUM('3 pr-2'!AA77)</f>
        <v>417548</v>
      </c>
      <c r="G58" s="1212">
        <v>417548</v>
      </c>
      <c r="H58" s="1212">
        <f ca="1">SUM('ketv. 6 '!AF76)</f>
        <v>0</v>
      </c>
      <c r="I58" s="1212">
        <f>SUM('ketv. 7 '!AK75)</f>
        <v>0</v>
      </c>
      <c r="L58" s="1739">
        <f t="shared" si="0"/>
        <v>0</v>
      </c>
      <c r="M58" s="1740">
        <f t="shared" si="1"/>
        <v>0</v>
      </c>
    </row>
    <row r="59" spans="1:13" ht="25.5" thickBot="1" x14ac:dyDescent="0.3">
      <c r="A59" s="430">
        <f t="shared" si="4"/>
        <v>58</v>
      </c>
      <c r="B59" s="429" t="str">
        <f>CONCATENATE('3 pr-2'!D78)</f>
        <v>Ekologiškų transporto priemonių įsigijimas  Lazdijų rajono savivaldybėje</v>
      </c>
      <c r="C59" s="429" t="str">
        <f>CONCATENATE('3 pr-2'!H78)</f>
        <v>04.5.1-TID-R-518</v>
      </c>
      <c r="D59" s="429" t="str">
        <f>CONCATENATE('3 pr-2'!E78)</f>
        <v>Lazdijų rajono savivaldybės administracija</v>
      </c>
      <c r="E59" s="429" t="str">
        <f>CONCATENATE('3 pr-2'!G78)</f>
        <v>Lazdijų r. sav.</v>
      </c>
      <c r="F59" s="1212">
        <f>SUM('3 pr-2'!AA78)</f>
        <v>223298</v>
      </c>
      <c r="G59" s="1212">
        <v>223297</v>
      </c>
      <c r="H59" s="1212">
        <f ca="1">SUM('ketv. 6 '!AF77)</f>
        <v>0</v>
      </c>
      <c r="I59" s="1212">
        <f>SUM('ketv. 7 '!AK76)</f>
        <v>0</v>
      </c>
      <c r="L59" s="1739">
        <f t="shared" si="0"/>
        <v>0</v>
      </c>
      <c r="M59" s="1740">
        <f t="shared" si="1"/>
        <v>0</v>
      </c>
    </row>
    <row r="60" spans="1:13" ht="25.5" thickBot="1" x14ac:dyDescent="0.3">
      <c r="A60" s="430">
        <f t="shared" si="4"/>
        <v>59</v>
      </c>
      <c r="B60" s="429" t="str">
        <f>CONCATENATE('3 pr-2'!D80)</f>
        <v>Darnaus judumo priemonių diegimas Alytaus mieste</v>
      </c>
      <c r="C60" s="429" t="str">
        <f>CONCATENATE('3 pr-2'!H80)</f>
        <v>04.5.1.-TID-R-514</v>
      </c>
      <c r="D60" s="429" t="str">
        <f>CONCATENATE('3 pr-2'!E80)</f>
        <v>Alytaus miesto savivaldybės administracija</v>
      </c>
      <c r="E60" s="429" t="str">
        <f>CONCATENATE('3 pr-2'!G80)</f>
        <v>Alytaus m. sav.</v>
      </c>
      <c r="F60" s="1212">
        <f>SUM('3 pr-2'!AA80)</f>
        <v>971949</v>
      </c>
      <c r="G60" s="1212">
        <v>971949</v>
      </c>
      <c r="H60" s="1212">
        <f ca="1">SUM('ketv. 6 '!AF79)</f>
        <v>0</v>
      </c>
      <c r="I60" s="1212">
        <f>SUM('ketv. 7 '!AK78)</f>
        <v>0</v>
      </c>
      <c r="L60" s="1739">
        <f t="shared" si="0"/>
        <v>0</v>
      </c>
      <c r="M60" s="1740">
        <f t="shared" si="1"/>
        <v>0</v>
      </c>
    </row>
    <row r="61" spans="1:13" ht="25.5" thickBot="1" x14ac:dyDescent="0.3">
      <c r="A61" s="430">
        <f t="shared" si="4"/>
        <v>60</v>
      </c>
      <c r="B61" s="429" t="str">
        <f>CONCATENATE('3 pr-2'!D82)</f>
        <v>Intelektinių transporto sistemų diegimas Druskininkuose</v>
      </c>
      <c r="C61" s="429" t="str">
        <f>CONCATENATE('3 pr-2'!H82)</f>
        <v>04.5.1.-TID-R-514</v>
      </c>
      <c r="D61" s="429" t="str">
        <f>CONCATENATE('3 pr-2'!E82)</f>
        <v>Druskininkų savivaldybės administracija</v>
      </c>
      <c r="E61" s="429" t="str">
        <f>CONCATENATE('3 pr-2'!G82)</f>
        <v>Druskininkų sav.</v>
      </c>
      <c r="F61" s="1212">
        <f>SUM('3 pr-2'!AA82)</f>
        <v>136710.79999999999</v>
      </c>
      <c r="G61" s="1212">
        <v>136710.79999999999</v>
      </c>
      <c r="H61" s="1212">
        <f ca="1">SUM('ketv. 6 '!AF81)</f>
        <v>0</v>
      </c>
      <c r="I61" s="1212">
        <f>SUM('ketv. 7 '!AK80)</f>
        <v>0</v>
      </c>
      <c r="L61" s="1739">
        <f t="shared" si="0"/>
        <v>0</v>
      </c>
      <c r="M61" s="1740">
        <f t="shared" si="1"/>
        <v>0</v>
      </c>
    </row>
    <row r="62" spans="1:13" ht="37.5" thickBot="1" x14ac:dyDescent="0.3">
      <c r="A62" s="430">
        <f t="shared" si="4"/>
        <v>61</v>
      </c>
      <c r="B62" s="429" t="str">
        <f>CONCATENATE('3 pr-2'!D84)</f>
        <v>Viešojo transporto organizavimo tobulinimas rekonstruojant Druskininkų miesto gatvių infrastruktūrą</v>
      </c>
      <c r="C62" s="429" t="str">
        <f>CONCATENATE('3 pr-2'!H84)</f>
        <v>04.5.1.-TID-R-514</v>
      </c>
      <c r="D62" s="429" t="str">
        <f>CONCATENATE('3 pr-2'!E84)</f>
        <v>Druskininkų savivaldybės administracija</v>
      </c>
      <c r="E62" s="429" t="str">
        <f>CONCATENATE('3 pr-2'!G84)</f>
        <v>Druskininkų sav.</v>
      </c>
      <c r="F62" s="1212">
        <f>SUM('3 pr-2'!AA84)</f>
        <v>246500</v>
      </c>
      <c r="G62" s="1212">
        <v>246500</v>
      </c>
      <c r="H62" s="1212">
        <f ca="1">SUM('ketv. 6 '!AF83)</f>
        <v>0</v>
      </c>
      <c r="I62" s="1212">
        <f>SUM('ketv. 7 '!AK82)</f>
        <v>0</v>
      </c>
      <c r="L62" s="1739">
        <f t="shared" si="0"/>
        <v>0</v>
      </c>
      <c r="M62" s="1740">
        <f t="shared" si="1"/>
        <v>0</v>
      </c>
    </row>
    <row r="63" spans="1:13" ht="25.5" thickBot="1" x14ac:dyDescent="0.3">
      <c r="A63" s="430">
        <f t="shared" si="4"/>
        <v>62</v>
      </c>
      <c r="B63" s="429" t="str">
        <f>CONCATENATE('3 pr-2'!D85)</f>
        <v>Vandens transporto infrastruktūros įrengimas skatinant kitų rūšių transportą</v>
      </c>
      <c r="C63" s="429" t="str">
        <f>CONCATENATE('3 pr-2'!H85)</f>
        <v>04.5.1.-TID-R-514</v>
      </c>
      <c r="D63" s="429" t="str">
        <f>CONCATENATE('3 pr-2'!E85)</f>
        <v>Druskininkų savivaldybės administracija</v>
      </c>
      <c r="E63" s="429" t="str">
        <f>CONCATENATE('3 pr-2'!G85)</f>
        <v>Druskininkų sav.</v>
      </c>
      <c r="F63" s="1212">
        <f>SUM('3 pr-2'!AA85)</f>
        <v>212500</v>
      </c>
      <c r="G63" s="1212">
        <v>212500</v>
      </c>
      <c r="H63" s="1212">
        <f ca="1">SUM('ketv. 6 '!AF84)</f>
        <v>0</v>
      </c>
      <c r="I63" s="1212">
        <f>SUM('ketv. 7 '!AK83)</f>
        <v>0</v>
      </c>
      <c r="L63" s="1739">
        <f t="shared" si="0"/>
        <v>0</v>
      </c>
      <c r="M63" s="1740">
        <f t="shared" si="1"/>
        <v>0</v>
      </c>
    </row>
    <row r="64" spans="1:13" ht="25.5" thickBot="1" x14ac:dyDescent="0.3">
      <c r="A64" s="430">
        <f t="shared" ref="A64:A97" si="5">ROW(A63)</f>
        <v>63</v>
      </c>
      <c r="B64" s="429" t="str">
        <f>CONCATENATE('3 pr-2'!D87)</f>
        <v>Dviračių ir pėsčiųjų takų įrengimas Varėnos miesto J. Basanavičiaus ir Žiedo gatvėse</v>
      </c>
      <c r="C64" s="429" t="str">
        <f>CONCATENATE('3 pr-2'!H87)</f>
        <v>04.5.1-TID-R-516</v>
      </c>
      <c r="D64" s="429" t="str">
        <f>CONCATENATE('3 pr-2'!E87)</f>
        <v>Varėnos rajono savivaldybės administracija</v>
      </c>
      <c r="E64" s="429" t="str">
        <f>CONCATENATE('3 pr-2'!G87)</f>
        <v>Varėnos r. sav.</v>
      </c>
      <c r="F64" s="1212">
        <f>SUM('3 pr-2'!AA87)</f>
        <v>82036</v>
      </c>
      <c r="G64" s="1212">
        <v>80810</v>
      </c>
      <c r="H64" s="1212">
        <f ca="1">SUM('ketv. 6 '!AF86)</f>
        <v>80810</v>
      </c>
      <c r="I64" s="1212">
        <f>SUM('ketv. 7 '!AK85)</f>
        <v>0</v>
      </c>
      <c r="L64" s="1739">
        <f t="shared" si="0"/>
        <v>0</v>
      </c>
      <c r="M64" s="1740">
        <f t="shared" si="1"/>
        <v>0</v>
      </c>
    </row>
    <row r="65" spans="1:13" ht="37.5" thickBot="1" x14ac:dyDescent="0.3">
      <c r="A65" s="430">
        <f t="shared" si="5"/>
        <v>64</v>
      </c>
      <c r="B65" s="429" t="str">
        <f>CONCATENATE('3 pr-2'!D88)</f>
        <v>Dviračių trasų infrastruktūros įrengimas nuo Putinų g. žiedo Pramonės gatvėje, Alytaus mieste</v>
      </c>
      <c r="C65" s="429" t="str">
        <f>CONCATENATE('3 pr-2'!H88)</f>
        <v>04.5.1-TID-R-516</v>
      </c>
      <c r="D65" s="429" t="str">
        <f>CONCATENATE('3 pr-2'!E88)</f>
        <v>Alytaus miesto savivaldybės administracija</v>
      </c>
      <c r="E65" s="429" t="str">
        <f>CONCATENATE('3 pr-2'!G88)</f>
        <v>Alytaus m. sav.</v>
      </c>
      <c r="F65" s="1212">
        <f>SUM('3 pr-2'!AA88)</f>
        <v>115332</v>
      </c>
      <c r="G65" s="1212">
        <v>113619.56</v>
      </c>
      <c r="H65" s="1212">
        <f ca="1">SUM('ketv. 6 '!AF87)</f>
        <v>113619.56</v>
      </c>
      <c r="I65" s="1212">
        <f>SUM('ketv. 7 '!AK86)</f>
        <v>81782.259999999995</v>
      </c>
      <c r="L65" s="1739">
        <f t="shared" si="0"/>
        <v>0.71979032483491401</v>
      </c>
      <c r="M65" s="1740">
        <f t="shared" si="1"/>
        <v>0.70910293760621501</v>
      </c>
    </row>
    <row r="66" spans="1:13" ht="37.5" thickBot="1" x14ac:dyDescent="0.3">
      <c r="A66" s="430">
        <f t="shared" si="5"/>
        <v>65</v>
      </c>
      <c r="B66" s="429" t="str">
        <f>CONCATENATE('3 pr-2'!D89)</f>
        <v>Dviračių ir pėsčiųjų takų plėtra Lazdijų miesto Turistų gatvėje iki sodų bendrijos „Baltasis“ Lazdijų seniūnijoje</v>
      </c>
      <c r="C66" s="429" t="str">
        <f>CONCATENATE('3 pr-2'!H89)</f>
        <v>04.5.1-TID-R-516</v>
      </c>
      <c r="D66" s="429" t="str">
        <f>CONCATENATE('3 pr-2'!E89)</f>
        <v>Lazdijų rajono savivaldybės administracija</v>
      </c>
      <c r="E66" s="429" t="str">
        <f>CONCATENATE('3 pr-2'!G89)</f>
        <v>Lazdijų r. sav.</v>
      </c>
      <c r="F66" s="1212">
        <f>SUM('3 pr-2'!AA89)</f>
        <v>74609</v>
      </c>
      <c r="G66" s="1212">
        <v>73501</v>
      </c>
      <c r="H66" s="1212">
        <f ca="1">SUM('ketv. 6 '!AF88)</f>
        <v>73501</v>
      </c>
      <c r="I66" s="1212">
        <f>SUM('ketv. 7 '!AK87)</f>
        <v>1988.6799999999998</v>
      </c>
      <c r="L66" s="1739">
        <f t="shared" si="0"/>
        <v>2.7056502632617239E-2</v>
      </c>
      <c r="M66" s="1740">
        <f t="shared" si="1"/>
        <v>2.6654693133536165E-2</v>
      </c>
    </row>
    <row r="67" spans="1:13" ht="25.5" thickBot="1" x14ac:dyDescent="0.3">
      <c r="A67" s="430">
        <f t="shared" si="5"/>
        <v>66</v>
      </c>
      <c r="B67" s="429" t="str">
        <f>CONCATENATE('3 pr-2'!D90)</f>
        <v>Pėsčiųjų ir dviračių takų plėtra Simno seniūnijoje</v>
      </c>
      <c r="C67" s="429" t="str">
        <f>CONCATENATE('3 pr-2'!H90)</f>
        <v>04.5.1-TID-R-516</v>
      </c>
      <c r="D67" s="429" t="str">
        <f>CONCATENATE('3 pr-2'!E90)</f>
        <v>Alytaus rajono savivaldybės administracija</v>
      </c>
      <c r="E67" s="429" t="str">
        <f>CONCATENATE('3 pr-2'!G90)</f>
        <v>Alytaus r. sav.</v>
      </c>
      <c r="F67" s="1212">
        <f>SUM('3 pr-2'!AA90)</f>
        <v>84107.13</v>
      </c>
      <c r="G67" s="1212">
        <v>84107.13</v>
      </c>
      <c r="H67" s="1212">
        <f ca="1">SUM('ketv. 6 '!AF89)</f>
        <v>84107.13</v>
      </c>
      <c r="I67" s="1212">
        <f>SUM('ketv. 7 '!AK88)</f>
        <v>14347.49</v>
      </c>
      <c r="L67" s="1739">
        <f t="shared" ref="L67:L130" si="6">SUM(I67/G67)</f>
        <v>0.17058589444200509</v>
      </c>
      <c r="M67" s="1740">
        <f t="shared" ref="M67:M130" si="7">SUM(I67/F67)</f>
        <v>0.17058589444200509</v>
      </c>
    </row>
    <row r="68" spans="1:13" ht="37.5" thickBot="1" x14ac:dyDescent="0.3">
      <c r="A68" s="430">
        <f t="shared" si="5"/>
        <v>67</v>
      </c>
      <c r="B68" s="429" t="str">
        <f>CONCATENATE('3 pr-2'!D91)</f>
        <v>Dviračių ir pėsčiųjų tako, esančio šalia Ratnyčios upelio, Druskininkų mieste, rekonstrukcija</v>
      </c>
      <c r="C68" s="429" t="str">
        <f>CONCATENATE('3 pr-2'!H91)</f>
        <v>04.5.1-TID-R-516</v>
      </c>
      <c r="D68" s="429" t="str">
        <f>CONCATENATE('3 pr-2'!E91)</f>
        <v xml:space="preserve">Druskininkų savivaldybės administracija  </v>
      </c>
      <c r="E68" s="429" t="str">
        <f>CONCATENATE('3 pr-2'!G91)</f>
        <v>Druskininkų sav.</v>
      </c>
      <c r="F68" s="1212">
        <f>SUM('3 pr-2'!AA91)</f>
        <v>56623</v>
      </c>
      <c r="G68" s="1212">
        <v>56623</v>
      </c>
      <c r="H68" s="1212">
        <f ca="1">SUM('ketv. 6 '!AF90)</f>
        <v>0</v>
      </c>
      <c r="I68" s="1212">
        <f>SUM('ketv. 7 '!AK89)</f>
        <v>0</v>
      </c>
      <c r="L68" s="1739">
        <f t="shared" si="6"/>
        <v>0</v>
      </c>
      <c r="M68" s="1740">
        <f t="shared" si="7"/>
        <v>0</v>
      </c>
    </row>
    <row r="69" spans="1:13" ht="25.5" thickBot="1" x14ac:dyDescent="0.3">
      <c r="A69" s="430">
        <f t="shared" si="5"/>
        <v>68</v>
      </c>
      <c r="B69" s="429" t="str">
        <f>CONCATENATE('3 pr-2'!D93)</f>
        <v>Varėnos miesto J. Basanavičiaus, Savanorių ir M. K. Čiurlionio gatvių rekonstrukcija</v>
      </c>
      <c r="C69" s="429" t="str">
        <f>CONCATENATE('3 pr-2'!H93)</f>
        <v>06.2.1-TID-R-511</v>
      </c>
      <c r="D69" s="429" t="str">
        <f>CONCATENATE('3 pr-2'!E93)</f>
        <v>Varėnos rajono savivaldybės administracija</v>
      </c>
      <c r="E69" s="429" t="str">
        <f>CONCATENATE('3 pr-2'!G93)</f>
        <v>Varėnos r. sav.</v>
      </c>
      <c r="F69" s="1212">
        <f>SUM('3 pr-2'!AA93)</f>
        <v>710144</v>
      </c>
      <c r="G69" s="1212">
        <v>710144</v>
      </c>
      <c r="H69" s="1212">
        <f ca="1">SUM('ketv. 6 '!AF92)</f>
        <v>710144</v>
      </c>
      <c r="I69" s="1212">
        <f>SUM('ketv. 7 '!AK91)</f>
        <v>496068.03</v>
      </c>
      <c r="L69" s="1739">
        <f t="shared" si="6"/>
        <v>0.69854568932498207</v>
      </c>
      <c r="M69" s="1740">
        <f t="shared" si="7"/>
        <v>0.69854568932498207</v>
      </c>
    </row>
    <row r="70" spans="1:13" ht="25.5" thickBot="1" x14ac:dyDescent="0.3">
      <c r="A70" s="430">
        <f t="shared" si="5"/>
        <v>69</v>
      </c>
      <c r="B70" s="429" t="str">
        <f>CONCATENATE('3 pr-2'!D94)</f>
        <v>Perspektyvinės gatvės nuo Pramonės g. iki Naujosios g. Alytuje įrengimas</v>
      </c>
      <c r="C70" s="429" t="str">
        <f>CONCATENATE('3 pr-2'!H94)</f>
        <v>06.2.1-TID-R-511</v>
      </c>
      <c r="D70" s="429" t="str">
        <f>CONCATENATE('3 pr-2'!E94)</f>
        <v>Alytaus miesto savivaldybės administracija</v>
      </c>
      <c r="E70" s="429" t="str">
        <f>CONCATENATE('3 pr-2'!G94)</f>
        <v>Alytaus m. sav.</v>
      </c>
      <c r="F70" s="1212">
        <f>SUM('3 pr-2'!AA94)</f>
        <v>747938</v>
      </c>
      <c r="G70" s="1212">
        <v>747938</v>
      </c>
      <c r="H70" s="1212">
        <f ca="1">SUM('ketv. 6 '!AF93)</f>
        <v>747938</v>
      </c>
      <c r="I70" s="1212">
        <f>SUM('ketv. 7 '!AK92)</f>
        <v>669660.37</v>
      </c>
      <c r="L70" s="1739">
        <f t="shared" si="6"/>
        <v>0.89534208717834896</v>
      </c>
      <c r="M70" s="1740">
        <f t="shared" si="7"/>
        <v>0.89534208717834896</v>
      </c>
    </row>
    <row r="71" spans="1:13" ht="25.5" thickBot="1" x14ac:dyDescent="0.3">
      <c r="A71" s="430">
        <f t="shared" si="5"/>
        <v>70</v>
      </c>
      <c r="B71" s="429" t="str">
        <f>CONCATENATE('3 pr-2'!D95)</f>
        <v>Saugaus eismo priemonių diegimas Alytaus mieste</v>
      </c>
      <c r="C71" s="429" t="str">
        <f>CONCATENATE('3 pr-2'!H95)</f>
        <v>06.2.1-TID-R-511</v>
      </c>
      <c r="D71" s="429" t="str">
        <f>CONCATENATE('3 pr-2'!E95)</f>
        <v>Alytaus miesto savivaldybės administracija</v>
      </c>
      <c r="E71" s="429" t="str">
        <f>CONCATENATE('3 pr-2'!G95)</f>
        <v>Alytaus m. sav.</v>
      </c>
      <c r="F71" s="1212">
        <f>SUM('3 pr-2'!AA95)</f>
        <v>250299</v>
      </c>
      <c r="G71" s="1212">
        <v>250299</v>
      </c>
      <c r="H71" s="1212">
        <f ca="1">SUM('ketv. 6 '!AF94)</f>
        <v>0</v>
      </c>
      <c r="I71" s="1212">
        <f>SUM('ketv. 7 '!AK93)</f>
        <v>0</v>
      </c>
      <c r="L71" s="1739">
        <f t="shared" si="6"/>
        <v>0</v>
      </c>
      <c r="M71" s="1740">
        <f t="shared" si="7"/>
        <v>0</v>
      </c>
    </row>
    <row r="72" spans="1:13" ht="25.5" thickBot="1" x14ac:dyDescent="0.3">
      <c r="A72" s="430">
        <f t="shared" si="5"/>
        <v>71</v>
      </c>
      <c r="B72" s="429" t="str">
        <f>CONCATENATE('3 pr-2'!D96)</f>
        <v>Eismo saugos priemonių diegimas Alytaus rajone</v>
      </c>
      <c r="C72" s="429" t="str">
        <f>CONCATENATE('3 pr-2'!H96)</f>
        <v>06.2.1-TID-R-511</v>
      </c>
      <c r="D72" s="429" t="str">
        <f>CONCATENATE('3 pr-2'!E96)</f>
        <v>Alytaus rajono savivaldybės administracija</v>
      </c>
      <c r="E72" s="429" t="str">
        <f>CONCATENATE('3 pr-2'!G96)</f>
        <v>Alytaus r. sav.</v>
      </c>
      <c r="F72" s="1212">
        <f>SUM('3 pr-2'!AA96)</f>
        <v>200844</v>
      </c>
      <c r="G72" s="1212">
        <v>200844</v>
      </c>
      <c r="H72" s="1212">
        <f ca="1">SUM('ketv. 6 '!AF95)</f>
        <v>200844</v>
      </c>
      <c r="I72" s="1212">
        <f>SUM('ketv. 7 '!AK94)</f>
        <v>0</v>
      </c>
      <c r="L72" s="1739">
        <f t="shared" si="6"/>
        <v>0</v>
      </c>
      <c r="M72" s="1740">
        <f t="shared" si="7"/>
        <v>0</v>
      </c>
    </row>
    <row r="73" spans="1:13" ht="25.5" thickBot="1" x14ac:dyDescent="0.3">
      <c r="A73" s="430">
        <f t="shared" si="5"/>
        <v>72</v>
      </c>
      <c r="B73" s="429" t="str">
        <f>CONCATENATE('3 pr-2'!D97)</f>
        <v>M. K. Čiurlionio gatvės atkarpos Druskininkų m. rekonstrukcija</v>
      </c>
      <c r="C73" s="429" t="str">
        <f>CONCATENATE('3 pr-2'!H97)</f>
        <v>06.2.1-TID-R-511</v>
      </c>
      <c r="D73" s="429" t="str">
        <f>CONCATENATE('3 pr-2'!E97)</f>
        <v xml:space="preserve">Druskininkų savivaldybės administracija  </v>
      </c>
      <c r="E73" s="429" t="str">
        <f>CONCATENATE('3 pr-2'!G97)</f>
        <v>Druskininkų sav.</v>
      </c>
      <c r="F73" s="1212">
        <f>SUM('3 pr-2'!AA97)</f>
        <v>384649</v>
      </c>
      <c r="G73" s="1212">
        <v>384649</v>
      </c>
      <c r="H73" s="1212">
        <f ca="1">SUM('ketv. 6 '!AF96)</f>
        <v>0</v>
      </c>
      <c r="I73" s="1212">
        <f>SUM('ketv. 7 '!AK95)</f>
        <v>0</v>
      </c>
      <c r="L73" s="1739">
        <f t="shared" si="6"/>
        <v>0</v>
      </c>
      <c r="M73" s="1740">
        <f t="shared" si="7"/>
        <v>0</v>
      </c>
    </row>
    <row r="74" spans="1:13" ht="37.5" thickBot="1" x14ac:dyDescent="0.3">
      <c r="A74" s="430">
        <f t="shared" si="5"/>
        <v>73</v>
      </c>
      <c r="B74" s="429" t="str">
        <f>CONCATENATE('3 pr-2'!D98)</f>
        <v>Lazdijų miesto Seinų ir Lazdijos gatvių bei vietinės reikšmės kelio nuo Janonio gatvės iki Lazdijų hipodromo rekonstravimas</v>
      </c>
      <c r="C74" s="429" t="str">
        <f>CONCATENATE('3 pr-2'!H98)</f>
        <v>06.2.1-TID-R-511</v>
      </c>
      <c r="D74" s="429" t="str">
        <f>CONCATENATE('3 pr-2'!E98)</f>
        <v>Lazdijų rajono savivaldybės administracija</v>
      </c>
      <c r="E74" s="429" t="str">
        <f>CONCATENATE('3 pr-2'!G98)</f>
        <v>Lazdijų r. sav.</v>
      </c>
      <c r="F74" s="1212">
        <f>SUM('3 pr-2'!AA98)</f>
        <v>645944</v>
      </c>
      <c r="G74" s="1212">
        <v>645944</v>
      </c>
      <c r="H74" s="1212">
        <f ca="1">SUM('ketv. 6 '!AF97)</f>
        <v>645944</v>
      </c>
      <c r="I74" s="1212">
        <f>SUM('ketv. 7 '!AK96)</f>
        <v>0</v>
      </c>
      <c r="L74" s="1739">
        <f t="shared" si="6"/>
        <v>0</v>
      </c>
      <c r="M74" s="1740">
        <f t="shared" si="7"/>
        <v>0</v>
      </c>
    </row>
    <row r="75" spans="1:13" ht="25.5" thickBot="1" x14ac:dyDescent="0.3">
      <c r="A75" s="430">
        <f t="shared" si="5"/>
        <v>74</v>
      </c>
      <c r="B75" s="429" t="str">
        <f>CONCATENATE('3 pr-2'!D99)</f>
        <v>Eismo saugumo priemonių diegimas Druskininkų savivaldybėje</v>
      </c>
      <c r="C75" s="429" t="str">
        <f>CONCATENATE('3 pr-2'!H99)</f>
        <v>06.2.1-TID-R-511</v>
      </c>
      <c r="D75" s="429" t="str">
        <f>CONCATENATE('3 pr-2'!E99)</f>
        <v xml:space="preserve">Druskininkų savivaldybės administracija  </v>
      </c>
      <c r="E75" s="429" t="str">
        <f>CONCATENATE('3 pr-2'!G99)</f>
        <v>Druskininkų sav.</v>
      </c>
      <c r="F75" s="1212">
        <f>SUM('3 pr-2'!AA99)</f>
        <v>112989</v>
      </c>
      <c r="G75" s="1212">
        <v>0</v>
      </c>
      <c r="H75" s="1212">
        <f ca="1">SUM('ketv. 6 '!AF98)</f>
        <v>0</v>
      </c>
      <c r="I75" s="1212">
        <f>SUM('ketv. 7 '!AK97)</f>
        <v>0</v>
      </c>
      <c r="L75" s="1739" t="e">
        <f t="shared" si="6"/>
        <v>#DIV/0!</v>
      </c>
      <c r="M75" s="1740">
        <f t="shared" si="7"/>
        <v>0</v>
      </c>
    </row>
    <row r="76" spans="1:13" ht="49.5" thickBot="1" x14ac:dyDescent="0.3">
      <c r="A76" s="430">
        <f t="shared" si="5"/>
        <v>75</v>
      </c>
      <c r="B76" s="429" t="str">
        <f>CONCATENATE('3 pr-2'!D103)</f>
        <v>Varėnos r. Merkinės Vinco Krėvės gimnazijos laisvų patalpų pritaikymas ikimokyklinio ir priešmokyklinio ugdymo grupėms įrengti</v>
      </c>
      <c r="C76" s="429" t="str">
        <f>CONCATENATE('3 pr-2'!H103)</f>
        <v>09.1.3-CPVA-R-724</v>
      </c>
      <c r="D76" s="429" t="str">
        <f>CONCATENATE('3 pr-2'!E103)</f>
        <v>Varėnos rajono savivaldybės administracija</v>
      </c>
      <c r="E76" s="429" t="str">
        <f>CONCATENATE('3 pr-2'!G103)</f>
        <v>Varėnos r. sav.</v>
      </c>
      <c r="F76" s="1212">
        <f>SUM('3 pr-2'!AA103)</f>
        <v>187385</v>
      </c>
      <c r="G76" s="1212">
        <v>187385</v>
      </c>
      <c r="H76" s="1212">
        <f ca="1">SUM('ketv. 6 '!AF102)</f>
        <v>187385</v>
      </c>
      <c r="I76" s="1212">
        <f>SUM('ketv. 7 '!AK101)</f>
        <v>0</v>
      </c>
      <c r="L76" s="1739">
        <f t="shared" si="6"/>
        <v>0</v>
      </c>
      <c r="M76" s="1740">
        <f t="shared" si="7"/>
        <v>0</v>
      </c>
    </row>
    <row r="77" spans="1:13" ht="37.5" thickBot="1" x14ac:dyDescent="0.3">
      <c r="A77" s="430">
        <f t="shared" si="5"/>
        <v>76</v>
      </c>
      <c r="B77" s="429" t="str">
        <f>CONCATENATE('3 pr-2'!D104)</f>
        <v>Alytaus rajono bendrojo ugdymo įstaigų aprūpinimas gamtos, technologijų, menų ir kitų mokslų laboratorijų įranga</v>
      </c>
      <c r="C77" s="429" t="str">
        <f>CONCATENATE('3 pr-2'!H104)</f>
        <v>09.1.3-CPVA-R-724</v>
      </c>
      <c r="D77" s="429" t="str">
        <f>CONCATENATE('3 pr-2'!E104)</f>
        <v>Alytaus rajono savivaldybės administracija</v>
      </c>
      <c r="E77" s="429" t="str">
        <f>CONCATENATE('3 pr-2'!G104)</f>
        <v>Alytaus r. sav.</v>
      </c>
      <c r="F77" s="1212">
        <f>SUM('3 pr-2'!AA104)</f>
        <v>90818</v>
      </c>
      <c r="G77" s="1212">
        <v>90818</v>
      </c>
      <c r="H77" s="1212">
        <f ca="1">SUM('ketv. 6 '!AF103)</f>
        <v>90818</v>
      </c>
      <c r="I77" s="1212">
        <f>SUM('ketv. 7 '!AK102)</f>
        <v>17868.78</v>
      </c>
      <c r="L77" s="1739">
        <f t="shared" si="6"/>
        <v>0.19675372723468915</v>
      </c>
      <c r="M77" s="1740">
        <f t="shared" si="7"/>
        <v>0.19675372723468915</v>
      </c>
    </row>
    <row r="78" spans="1:13" ht="25.5" thickBot="1" x14ac:dyDescent="0.3">
      <c r="A78" s="430">
        <f t="shared" si="5"/>
        <v>77</v>
      </c>
      <c r="B78" s="429" t="str">
        <f>CONCATENATE('3 pr-2'!D105)</f>
        <v>Modernių ir saugių erdvių kūrimas Dzūkijos pagrindinėje mokykloje, Alytuje</v>
      </c>
      <c r="C78" s="429" t="str">
        <f>CONCATENATE('3 pr-2'!H105)</f>
        <v>09.1.3-CPVA-R-724</v>
      </c>
      <c r="D78" s="429" t="str">
        <f>CONCATENATE('3 pr-2'!E105)</f>
        <v>Alytaus miesto savivaldybės administracija</v>
      </c>
      <c r="E78" s="429" t="str">
        <f>CONCATENATE('3 pr-2'!G105)</f>
        <v>Alytaus m. sav.</v>
      </c>
      <c r="F78" s="1212">
        <f>SUM('3 pr-2'!AA105)</f>
        <v>558467</v>
      </c>
      <c r="G78" s="1212">
        <v>558467</v>
      </c>
      <c r="H78" s="1212">
        <f ca="1">SUM('ketv. 6 '!AF104)</f>
        <v>558467</v>
      </c>
      <c r="I78" s="1212">
        <f>SUM('ketv. 7 '!AK103)</f>
        <v>116455.45000000001</v>
      </c>
      <c r="L78" s="1739">
        <f t="shared" si="6"/>
        <v>0.20852700338605507</v>
      </c>
      <c r="M78" s="1740">
        <f t="shared" si="7"/>
        <v>0.20852700338605507</v>
      </c>
    </row>
    <row r="79" spans="1:13" ht="37.5" thickBot="1" x14ac:dyDescent="0.3">
      <c r="A79" s="430">
        <f t="shared" si="5"/>
        <v>78</v>
      </c>
      <c r="B79" s="429" t="str">
        <f>CONCATENATE('3 pr-2'!D106)</f>
        <v>Modernių ir saugių erdvių sukūrimas bendrojo ugdymo mokyklose Druskininkų sav.</v>
      </c>
      <c r="C79" s="429" t="str">
        <f>CONCATENATE('3 pr-2'!H106)</f>
        <v>09.1.3-CPVA-R-724</v>
      </c>
      <c r="D79" s="429" t="str">
        <f>CONCATENATE('3 pr-2'!E106)</f>
        <v>Druskininkų savivaldybės administracija</v>
      </c>
      <c r="E79" s="429" t="str">
        <f>CONCATENATE('3 pr-2'!G106)</f>
        <v>Druskininkų sav.</v>
      </c>
      <c r="F79" s="1212">
        <f>SUM('3 pr-2'!AA106)</f>
        <v>139295</v>
      </c>
      <c r="G79" s="1212">
        <v>139295</v>
      </c>
      <c r="H79" s="1212">
        <f ca="1">SUM('ketv. 6 '!AF105)</f>
        <v>139295</v>
      </c>
      <c r="I79" s="1212">
        <f>SUM('ketv. 7 '!AK104)</f>
        <v>93740.57</v>
      </c>
      <c r="L79" s="1739">
        <f t="shared" si="6"/>
        <v>0.67296435622240569</v>
      </c>
      <c r="M79" s="1740">
        <f t="shared" si="7"/>
        <v>0.67296435622240569</v>
      </c>
    </row>
    <row r="80" spans="1:13" ht="37.5" thickBot="1" x14ac:dyDescent="0.3">
      <c r="A80" s="430">
        <f t="shared" si="5"/>
        <v>79</v>
      </c>
      <c r="B80" s="429" t="str">
        <f>CONCATENATE('3 pr-2'!D107)</f>
        <v>Modernių ir saugių erdvių sukūrimas bendrojo ugdymo įstaigose Lazdijų rajono savivaldybėje</v>
      </c>
      <c r="C80" s="429" t="str">
        <f>CONCATENATE('3 pr-2'!H107)</f>
        <v>09.1.3-CPVA-R-724</v>
      </c>
      <c r="D80" s="429" t="str">
        <f>CONCATENATE('3 pr-2'!E107)</f>
        <v>Lazdijų rajono savivaldybės administracija</v>
      </c>
      <c r="E80" s="429" t="str">
        <f>CONCATENATE('3 pr-2'!G107)</f>
        <v>Lazdijų r. sav.</v>
      </c>
      <c r="F80" s="1212">
        <f>SUM('3 pr-2'!AA107)</f>
        <v>166412</v>
      </c>
      <c r="G80" s="1212">
        <v>166412</v>
      </c>
      <c r="H80" s="1212">
        <f ca="1">SUM('ketv. 6 '!AF106)</f>
        <v>166412</v>
      </c>
      <c r="I80" s="1212">
        <f>SUM('ketv. 7 '!AK105)</f>
        <v>88968.44</v>
      </c>
      <c r="L80" s="1739">
        <f t="shared" si="6"/>
        <v>0.53462755089777181</v>
      </c>
      <c r="M80" s="1740">
        <f t="shared" si="7"/>
        <v>0.53462755089777181</v>
      </c>
    </row>
    <row r="81" spans="1:13" ht="37.5" thickBot="1" x14ac:dyDescent="0.3">
      <c r="A81" s="430">
        <f t="shared" si="5"/>
        <v>80</v>
      </c>
      <c r="B81" s="429" t="str">
        <f>CONCATENATE('3 pr-2'!D109)</f>
        <v>Varėnos moksleivių kūrybos centro pastato J. Basanavičiaus g. 38, Varėnoje, modernizavimas</v>
      </c>
      <c r="C81" s="429" t="str">
        <f>CONCATENATE('3 pr-2'!H109)</f>
        <v>09.13.CPVA-R-725</v>
      </c>
      <c r="D81" s="429" t="str">
        <f>CONCATENATE('3 pr-2'!E109)</f>
        <v>Varėnos rajono savivaldybės administracija</v>
      </c>
      <c r="E81" s="429" t="str">
        <f>CONCATENATE('3 pr-2'!G109)</f>
        <v>Varėnos r. sav.</v>
      </c>
      <c r="F81" s="1212">
        <f>SUM('3 pr-2'!AA109)</f>
        <v>371918</v>
      </c>
      <c r="G81" s="1212">
        <v>371918</v>
      </c>
      <c r="H81" s="1212">
        <f ca="1">SUM('ketv. 6 '!AF108)</f>
        <v>371918</v>
      </c>
      <c r="I81" s="1212">
        <f>SUM('ketv. 7 '!AK107)</f>
        <v>21596.75</v>
      </c>
      <c r="L81" s="1739">
        <f t="shared" si="6"/>
        <v>5.8068579633144941E-2</v>
      </c>
      <c r="M81" s="1740">
        <f t="shared" si="7"/>
        <v>5.8068579633144941E-2</v>
      </c>
    </row>
    <row r="82" spans="1:13" ht="25.5" thickBot="1" x14ac:dyDescent="0.3">
      <c r="A82" s="430">
        <f t="shared" si="5"/>
        <v>81</v>
      </c>
      <c r="B82" s="429" t="str">
        <f>CONCATENATE('3 pr-2'!D110)</f>
        <v>Alytaus r. meno ir sporto mokyklos edukacinių erdvių įkūrimas ir atnaujinimas</v>
      </c>
      <c r="C82" s="429" t="str">
        <f>CONCATENATE('3 pr-2'!H110)</f>
        <v>09.13.CPVA-R-725</v>
      </c>
      <c r="D82" s="429" t="str">
        <f>CONCATENATE('3 pr-2'!E110)</f>
        <v>Alytaus rajono savivaldybės administracija</v>
      </c>
      <c r="E82" s="429" t="str">
        <f>CONCATENATE('3 pr-2'!G110)</f>
        <v>Alytaus r. sav.</v>
      </c>
      <c r="F82" s="1212">
        <f>SUM('3 pr-2'!AA110)</f>
        <v>536611</v>
      </c>
      <c r="G82" s="1212">
        <v>536611</v>
      </c>
      <c r="H82" s="1212">
        <f ca="1">SUM('ketv. 6 '!AF109)</f>
        <v>536611</v>
      </c>
      <c r="I82" s="1212">
        <f>SUM('ketv. 7 '!AK108)</f>
        <v>140000</v>
      </c>
      <c r="L82" s="1739">
        <f t="shared" si="6"/>
        <v>0.26089662716567497</v>
      </c>
      <c r="M82" s="1740">
        <f t="shared" si="7"/>
        <v>0.26089662716567497</v>
      </c>
    </row>
    <row r="83" spans="1:13" ht="37.5" thickBot="1" x14ac:dyDescent="0.3">
      <c r="A83" s="430">
        <f t="shared" si="5"/>
        <v>82</v>
      </c>
      <c r="B83" s="429" t="str">
        <f>CONCATENATE('3 pr-2'!D111)</f>
        <v>Alytaus muzikos mokyklos pastato modernizavimas ir ugdymo aplinkos gerinimas</v>
      </c>
      <c r="C83" s="429" t="str">
        <f>CONCATENATE('3 pr-2'!H111)</f>
        <v>09.13.CPVA-R-725</v>
      </c>
      <c r="D83" s="429" t="str">
        <f>CONCATENATE('3 pr-2'!E111)</f>
        <v>Alytaus miesto savivaldybės administracija</v>
      </c>
      <c r="E83" s="429" t="str">
        <f>CONCATENATE('3 pr-2'!G111)</f>
        <v>Alytaus m. sav.</v>
      </c>
      <c r="F83" s="1212">
        <f>SUM('3 pr-2'!AA111)</f>
        <v>337771</v>
      </c>
      <c r="G83" s="1212">
        <v>337771</v>
      </c>
      <c r="H83" s="1212">
        <f ca="1">SUM('ketv. 6 '!AF110)</f>
        <v>337771</v>
      </c>
      <c r="I83" s="1212">
        <f>SUM('ketv. 7 '!AK109)</f>
        <v>6515.4599999999991</v>
      </c>
      <c r="L83" s="1739">
        <f t="shared" si="6"/>
        <v>1.9289577850081858E-2</v>
      </c>
      <c r="M83" s="1740">
        <f t="shared" si="7"/>
        <v>1.9289577850081858E-2</v>
      </c>
    </row>
    <row r="84" spans="1:13" ht="25.5" thickBot="1" x14ac:dyDescent="0.3">
      <c r="A84" s="430">
        <f t="shared" si="5"/>
        <v>83</v>
      </c>
      <c r="B84" s="429" t="str">
        <f>CONCATENATE('3 pr-2'!D112)</f>
        <v>Druskininkų M. K. Čiurlionio meno mokyklos infrastruktūros tobulinimas</v>
      </c>
      <c r="C84" s="429" t="str">
        <f>CONCATENATE('3 pr-2'!H112)</f>
        <v>09.13.CPVA-R-725</v>
      </c>
      <c r="D84" s="429" t="str">
        <f>CONCATENATE('3 pr-2'!E112)</f>
        <v xml:space="preserve">Druskininkų savivaldybės administracija  </v>
      </c>
      <c r="E84" s="429" t="str">
        <f>CONCATENATE('3 pr-2'!G112)</f>
        <v>Druskininkų sav.</v>
      </c>
      <c r="F84" s="1212">
        <f>SUM('3 pr-2'!AA112)</f>
        <v>124266</v>
      </c>
      <c r="G84" s="1212">
        <v>124266</v>
      </c>
      <c r="H84" s="1212">
        <f ca="1">SUM('ketv. 6 '!AF111)</f>
        <v>124266</v>
      </c>
      <c r="I84" s="1212">
        <f>SUM('ketv. 7 '!AK110)</f>
        <v>54680.33</v>
      </c>
      <c r="L84" s="1739">
        <f t="shared" si="6"/>
        <v>0.44002647546392415</v>
      </c>
      <c r="M84" s="1740">
        <f t="shared" si="7"/>
        <v>0.44002647546392415</v>
      </c>
    </row>
    <row r="85" spans="1:13" ht="25.5" thickBot="1" x14ac:dyDescent="0.3">
      <c r="A85" s="430">
        <f t="shared" si="5"/>
        <v>84</v>
      </c>
      <c r="B85" s="429" t="str">
        <f>CONCATENATE('3 pr-2'!D113)</f>
        <v>Neformaliojo švietimo įstaigų Lazdijų rajono savivaldybėje infrastruktūros tobulinimas</v>
      </c>
      <c r="C85" s="429" t="str">
        <f>CONCATENATE('3 pr-2'!H113)</f>
        <v>09.13.CPVA-R-725</v>
      </c>
      <c r="D85" s="429" t="str">
        <f>CONCATENATE('3 pr-2'!E113)</f>
        <v>VšĮ „Lazdijų sporto centras“</v>
      </c>
      <c r="E85" s="429" t="str">
        <f>CONCATENATE('3 pr-2'!G113)</f>
        <v>Lazdijų r. sav.</v>
      </c>
      <c r="F85" s="1212">
        <f>SUM('3 pr-2'!AA113)</f>
        <v>115441</v>
      </c>
      <c r="G85" s="1212">
        <v>115442</v>
      </c>
      <c r="H85" s="1212">
        <f ca="1">SUM('ketv. 6 '!AF112)</f>
        <v>115441</v>
      </c>
      <c r="I85" s="1212">
        <f>SUM('ketv. 7 '!AK111)</f>
        <v>103092.59</v>
      </c>
      <c r="L85" s="1739">
        <f t="shared" si="6"/>
        <v>0.89302498224216487</v>
      </c>
      <c r="M85" s="1740">
        <f t="shared" si="7"/>
        <v>0.89303271801179818</v>
      </c>
    </row>
    <row r="86" spans="1:13" ht="25.5" thickBot="1" x14ac:dyDescent="0.3">
      <c r="A86" s="430">
        <f t="shared" si="5"/>
        <v>85</v>
      </c>
      <c r="B86" s="429" t="str">
        <f>CONCATENATE('3 pr-2'!D115)</f>
        <v>Varėnos "Pasakos" vaikų lopšelio-darželio pastato modernizavimas</v>
      </c>
      <c r="C86" s="429" t="str">
        <f>CONCATENATE('3 pr-2'!H115)</f>
        <v>09.1.3-CPVA-R-705</v>
      </c>
      <c r="D86" s="429" t="str">
        <f>CONCATENATE('3 pr-2'!E115)</f>
        <v>Varėnos rajono savivaldybės administracija</v>
      </c>
      <c r="E86" s="429" t="str">
        <f>CONCATENATE('3 pr-2'!G115)</f>
        <v>Varėnos r. sav.</v>
      </c>
      <c r="F86" s="1212">
        <f>SUM('3 pr-2'!AA115)</f>
        <v>287307</v>
      </c>
      <c r="G86" s="1212">
        <v>287307</v>
      </c>
      <c r="H86" s="1212">
        <f ca="1">SUM('ketv. 6 '!AF114)</f>
        <v>287307</v>
      </c>
      <c r="I86" s="1212">
        <f>SUM('ketv. 7 '!AK113)</f>
        <v>718.1</v>
      </c>
      <c r="L86" s="1739">
        <f t="shared" si="6"/>
        <v>2.4994169999338687E-3</v>
      </c>
      <c r="M86" s="1740">
        <f t="shared" si="7"/>
        <v>2.4994169999338687E-3</v>
      </c>
    </row>
    <row r="87" spans="1:13" ht="37.5" thickBot="1" x14ac:dyDescent="0.3">
      <c r="A87" s="430">
        <f t="shared" si="5"/>
        <v>86</v>
      </c>
      <c r="B87" s="429" t="str">
        <f>CONCATENATE('3 pr-2'!D116)</f>
        <v>Alytaus r. ikimokyklinio ir priešmokyklinio ugdymo prieinamumo didinimas įkuriant ir atnaujinant edukacines erdves</v>
      </c>
      <c r="C87" s="429" t="str">
        <f>CONCATENATE('3 pr-2'!H116)</f>
        <v>09.1.3-CPVA-R-705</v>
      </c>
      <c r="D87" s="429" t="str">
        <f>CONCATENATE('3 pr-2'!E116)</f>
        <v>Alytaus rajono savivaldybės administracija</v>
      </c>
      <c r="E87" s="429" t="str">
        <f>CONCATENATE('3 pr-2'!G116)</f>
        <v>Alytaus r. sav.</v>
      </c>
      <c r="F87" s="1212">
        <f>SUM('3 pr-2'!AA116)</f>
        <v>494007</v>
      </c>
      <c r="G87" s="1212">
        <v>494007</v>
      </c>
      <c r="H87" s="1212">
        <f ca="1">SUM('ketv. 6 '!AF115)</f>
        <v>494007</v>
      </c>
      <c r="I87" s="1212">
        <f>SUM('ketv. 7 '!AK114)</f>
        <v>0</v>
      </c>
      <c r="L87" s="1739">
        <f t="shared" si="6"/>
        <v>0</v>
      </c>
      <c r="M87" s="1740">
        <f t="shared" si="7"/>
        <v>0</v>
      </c>
    </row>
    <row r="88" spans="1:13" ht="25.5" thickBot="1" x14ac:dyDescent="0.3">
      <c r="A88" s="430">
        <f t="shared" si="5"/>
        <v>87</v>
      </c>
      <c r="B88" s="429" t="str">
        <f>CONCATENATE('3 pr-2'!D117)</f>
        <v>Alytaus lopšelio-darželio " Girinukas" ugdymo aplinkos modernizavimas</v>
      </c>
      <c r="C88" s="429" t="str">
        <f>CONCATENATE('3 pr-2'!H117)</f>
        <v>09.1.3-CPVA-R-705</v>
      </c>
      <c r="D88" s="429" t="str">
        <f>CONCATENATE('3 pr-2'!E117)</f>
        <v>Alytaus miesto savivaldybės administracija</v>
      </c>
      <c r="E88" s="429" t="str">
        <f>CONCATENATE('3 pr-2'!G117)</f>
        <v>Alytaus m. sav.</v>
      </c>
      <c r="F88" s="1212">
        <f>SUM('3 pr-2'!AA117)</f>
        <v>154688</v>
      </c>
      <c r="G88" s="1212">
        <v>154688</v>
      </c>
      <c r="H88" s="1212">
        <f ca="1">SUM('ketv. 6 '!AF116)</f>
        <v>154688</v>
      </c>
      <c r="I88" s="1212">
        <f>SUM('ketv. 7 '!AK115)</f>
        <v>33980.69</v>
      </c>
      <c r="L88" s="1739">
        <f t="shared" si="6"/>
        <v>0.21967243742242451</v>
      </c>
      <c r="M88" s="1740">
        <f t="shared" si="7"/>
        <v>0.21967243742242451</v>
      </c>
    </row>
    <row r="89" spans="1:13" ht="37.5" thickBot="1" x14ac:dyDescent="0.3">
      <c r="A89" s="430">
        <f t="shared" si="5"/>
        <v>88</v>
      </c>
      <c r="B89" s="429" t="str">
        <f>CONCATENATE('3 pr-2'!D118)</f>
        <v>Druskininkų sav. Viečiūnų progimnazijos ikimokyklinio ugdymo skyriaus „Linelis“ ugdymo prieinamumo didinimas</v>
      </c>
      <c r="C89" s="429" t="str">
        <f>CONCATENATE('3 pr-2'!H118)</f>
        <v>09.1.3-CPVA-R-705</v>
      </c>
      <c r="D89" s="429" t="str">
        <f>CONCATENATE('3 pr-2'!E118)</f>
        <v xml:space="preserve">Druskininkų savivaldybės administracija  </v>
      </c>
      <c r="E89" s="429" t="str">
        <f>CONCATENATE('3 pr-2'!G118)</f>
        <v>Druskininkų sav.</v>
      </c>
      <c r="F89" s="1212">
        <f>SUM('3 pr-2'!AA118)</f>
        <v>89074</v>
      </c>
      <c r="G89" s="1212">
        <v>89074</v>
      </c>
      <c r="H89" s="1212">
        <f ca="1">SUM('ketv. 6 '!AF117)</f>
        <v>89074</v>
      </c>
      <c r="I89" s="1212">
        <f>SUM('ketv. 7 '!AK116)</f>
        <v>3027.08</v>
      </c>
      <c r="L89" s="1739">
        <f t="shared" si="6"/>
        <v>3.3983878572871995E-2</v>
      </c>
      <c r="M89" s="1740">
        <f t="shared" si="7"/>
        <v>3.3983878572871995E-2</v>
      </c>
    </row>
    <row r="90" spans="1:13" ht="37.5" thickBot="1" x14ac:dyDescent="0.3">
      <c r="A90" s="430">
        <f t="shared" si="5"/>
        <v>89</v>
      </c>
      <c r="B90" s="429" t="str">
        <f>CONCATENATE('3 pr-2'!D119)</f>
        <v>Ikimokyklinio ir priešmokyklinio ugdymo įstaigų Lazdijų rajono savivaldybėje modernizavimas</v>
      </c>
      <c r="C90" s="429" t="str">
        <f>CONCATENATE('3 pr-2'!H119)</f>
        <v>09.1.3-CPVA-R-705</v>
      </c>
      <c r="D90" s="429" t="str">
        <f>CONCATENATE('3 pr-2'!E119)</f>
        <v>Lazdijų rajono savivaldybės administracija</v>
      </c>
      <c r="E90" s="429" t="str">
        <f>CONCATENATE('3 pr-2'!G119)</f>
        <v>Lazdijų r. sav.</v>
      </c>
      <c r="F90" s="1212">
        <f>SUM('3 pr-2'!AA119)</f>
        <v>113512</v>
      </c>
      <c r="G90" s="1212">
        <v>113512</v>
      </c>
      <c r="H90" s="1212">
        <f ca="1">SUM('ketv. 6 '!AF118)</f>
        <v>113512</v>
      </c>
      <c r="I90" s="1212">
        <f>SUM('ketv. 7 '!AK117)</f>
        <v>35408.32</v>
      </c>
      <c r="L90" s="1739">
        <f t="shared" si="6"/>
        <v>0.31193459722320105</v>
      </c>
      <c r="M90" s="1740">
        <f t="shared" si="7"/>
        <v>0.31193459722320105</v>
      </c>
    </row>
    <row r="91" spans="1:13" ht="37.5" thickBot="1" x14ac:dyDescent="0.3">
      <c r="A91" s="430">
        <f t="shared" si="5"/>
        <v>90</v>
      </c>
      <c r="B91" s="429" t="str">
        <f>CONCATENATE('3 pr-2'!D122)</f>
        <v xml:space="preserve">Alytaus poliklinikos teikiamų pirminės sveikatos priežiūros paslaugų prieinamumo didinimas ir kokybės gerinimas </v>
      </c>
      <c r="C91" s="429" t="str">
        <f>CONCATENATE('3 pr-2'!H122)</f>
        <v>08.1.3-CPVA-R-609</v>
      </c>
      <c r="D91" s="429" t="str">
        <f>CONCATENATE('3 pr-2'!E122)</f>
        <v>VšĮ Alytaus poliklinika</v>
      </c>
      <c r="E91" s="429" t="str">
        <f>CONCATENATE('3 pr-2'!G122)</f>
        <v>Alytaus m. sav.</v>
      </c>
      <c r="F91" s="1212">
        <f>SUM('3 pr-2'!AA122)</f>
        <v>389456</v>
      </c>
      <c r="G91" s="1212">
        <v>389456</v>
      </c>
      <c r="H91" s="1212">
        <f ca="1">SUM('ketv. 6 '!AF121)</f>
        <v>0</v>
      </c>
      <c r="I91" s="1212">
        <f>SUM('ketv. 7 '!AK120)</f>
        <v>0</v>
      </c>
      <c r="L91" s="1739">
        <f t="shared" si="6"/>
        <v>0</v>
      </c>
      <c r="M91" s="1740">
        <f t="shared" si="7"/>
        <v>0</v>
      </c>
    </row>
    <row r="92" spans="1:13" ht="37.5" thickBot="1" x14ac:dyDescent="0.3">
      <c r="A92" s="430">
        <f t="shared" si="5"/>
        <v>91</v>
      </c>
      <c r="B92" s="429" t="str">
        <f>CONCATENATE('3 pr-2'!D123)</f>
        <v>Sveikatos priežiūros paslaugų modernizavimas bei optimizavimas pirminės sveikatos priežiūros centre</v>
      </c>
      <c r="C92" s="429" t="str">
        <f>CONCATENATE('3 pr-2'!H123)</f>
        <v>08.1.3-CPVA-R-609</v>
      </c>
      <c r="D92" s="429" t="str">
        <f>CONCATENATE('3 pr-2'!E123)</f>
        <v xml:space="preserve">VšĮ Alytaus miesto savivaldybės pirminės sveikatos priežiūros centras </v>
      </c>
      <c r="E92" s="429" t="str">
        <f>CONCATENATE('3 pr-2'!G123)</f>
        <v>Alytaus m. sav.</v>
      </c>
      <c r="F92" s="1212">
        <f>SUM('3 pr-2'!AA123)</f>
        <v>42802</v>
      </c>
      <c r="G92" s="1212">
        <v>42802</v>
      </c>
      <c r="H92" s="1212">
        <f ca="1">SUM('ketv. 6 '!AF122)</f>
        <v>0</v>
      </c>
      <c r="I92" s="1212">
        <f>SUM('ketv. 7 '!AK121)</f>
        <v>0</v>
      </c>
      <c r="L92" s="1739">
        <f t="shared" si="6"/>
        <v>0</v>
      </c>
      <c r="M92" s="1740">
        <f t="shared" si="7"/>
        <v>0</v>
      </c>
    </row>
    <row r="93" spans="1:13" ht="49.5" thickBot="1" x14ac:dyDescent="0.3">
      <c r="A93" s="430">
        <f t="shared" si="5"/>
        <v>92</v>
      </c>
      <c r="B93" s="429" t="str">
        <f>CONCATENATE('3 pr-2'!D124)</f>
        <v>UAB „MediCA klinika“ teikiamų pirminės asmens sveikatos priežiūros paslaugų efektyvumo didinimas Alytaus miesto savivaldybėje</v>
      </c>
      <c r="C93" s="429" t="str">
        <f>CONCATENATE('3 pr-2'!H124)</f>
        <v>08.1.3-CPVA-R-609</v>
      </c>
      <c r="D93" s="429" t="str">
        <f>CONCATENATE('3 pr-2'!E124)</f>
        <v>UAB „MediCA klinika“</v>
      </c>
      <c r="E93" s="429" t="str">
        <f>CONCATENATE('3 pr-2'!G124)</f>
        <v>Alytaus m. sav.</v>
      </c>
      <c r="F93" s="1212">
        <f>SUM('3 pr-2'!AA124)</f>
        <v>70948</v>
      </c>
      <c r="G93" s="1212">
        <v>70498</v>
      </c>
      <c r="H93" s="1212">
        <f ca="1">SUM('ketv. 6 '!AF123)</f>
        <v>0</v>
      </c>
      <c r="I93" s="1212">
        <f>SUM('ketv. 7 '!AK122)</f>
        <v>0</v>
      </c>
      <c r="L93" s="1739">
        <f t="shared" si="6"/>
        <v>0</v>
      </c>
      <c r="M93" s="1740">
        <f t="shared" si="7"/>
        <v>0</v>
      </c>
    </row>
    <row r="94" spans="1:13" ht="25.5" thickBot="1" x14ac:dyDescent="0.3">
      <c r="A94" s="430">
        <f t="shared" si="5"/>
        <v>93</v>
      </c>
      <c r="B94" s="429" t="str">
        <f>CONCATENATE('3 pr-2'!D125)</f>
        <v>UAB "Pagalba ligoniui" teikiamų paslaugų efektyvumo didinimas</v>
      </c>
      <c r="C94" s="429" t="str">
        <f>CONCATENATE('3 pr-2'!H125)</f>
        <v>08.1.3-CPVA-R-609</v>
      </c>
      <c r="D94" s="429" t="str">
        <f>CONCATENATE('3 pr-2'!E125)</f>
        <v>UAB „Pagalba ligoniui“, Alytaus filialas</v>
      </c>
      <c r="E94" s="429" t="str">
        <f>CONCATENATE('3 pr-2'!G125)</f>
        <v>Alytaus m. sav.</v>
      </c>
      <c r="F94" s="1212">
        <f>SUM('3 pr-2'!AA125)</f>
        <v>37478</v>
      </c>
      <c r="G94" s="1212">
        <v>36901.07</v>
      </c>
      <c r="H94" s="1212">
        <f ca="1">SUM('ketv. 6 '!AF124)</f>
        <v>0</v>
      </c>
      <c r="I94" s="1212">
        <f>SUM('ketv. 7 '!AK123)</f>
        <v>0</v>
      </c>
      <c r="L94" s="1739">
        <f t="shared" si="6"/>
        <v>0</v>
      </c>
      <c r="M94" s="1740">
        <f t="shared" si="7"/>
        <v>0</v>
      </c>
    </row>
    <row r="95" spans="1:13" ht="37.5" thickBot="1" x14ac:dyDescent="0.3">
      <c r="A95" s="430">
        <f t="shared" si="5"/>
        <v>94</v>
      </c>
      <c r="B95" s="429" t="str">
        <f>CONCATENATE('3 pr-2'!D126)</f>
        <v>Pirminės asmens sveikatos priežiūros veiklos efektyvumo didinimas Alytaus rajono savivaldybėje</v>
      </c>
      <c r="C95" s="429" t="str">
        <f>CONCATENATE('3 pr-2'!H126)</f>
        <v>08.1.3-CPVA-R-609</v>
      </c>
      <c r="D95" s="429" t="str">
        <f>CONCATENATE('3 pr-2'!E126)</f>
        <v>VšĮ Alytaus rajono savivaldybės pirminės sveikatos priežiūros centras</v>
      </c>
      <c r="E95" s="429" t="str">
        <f>CONCATENATE('3 pr-2'!G126)</f>
        <v>Alytaus r. sav.</v>
      </c>
      <c r="F95" s="1212">
        <f>SUM('3 pr-2'!AA126)</f>
        <v>145890</v>
      </c>
      <c r="G95" s="1212">
        <v>145890</v>
      </c>
      <c r="H95" s="1212">
        <f ca="1">SUM('ketv. 6 '!AF125)</f>
        <v>0</v>
      </c>
      <c r="I95" s="1212">
        <f>SUM('ketv. 7 '!AK124)</f>
        <v>0</v>
      </c>
      <c r="L95" s="1739">
        <f t="shared" si="6"/>
        <v>0</v>
      </c>
      <c r="M95" s="1740">
        <f t="shared" si="7"/>
        <v>0</v>
      </c>
    </row>
    <row r="96" spans="1:13" ht="25.5" thickBot="1" x14ac:dyDescent="0.3">
      <c r="A96" s="430">
        <f t="shared" si="5"/>
        <v>95</v>
      </c>
      <c r="B96" s="429" t="str">
        <f>CONCATENATE('3 pr-2'!D127)</f>
        <v>Sveikatos priežiūros paslaugų gerinimas "UAB "Disolis"</v>
      </c>
      <c r="C96" s="429" t="str">
        <f>CONCATENATE('3 pr-2'!H127)</f>
        <v>08.1.3-CPVA-R-609</v>
      </c>
      <c r="D96" s="429" t="str">
        <f>CONCATENATE('3 pr-2'!E127)</f>
        <v>UAB „Disolis“</v>
      </c>
      <c r="E96" s="429" t="str">
        <f>CONCATENATE('3 pr-2'!G127)</f>
        <v>Alytaus r. sav.</v>
      </c>
      <c r="F96" s="1212">
        <f>SUM('3 pr-2'!AA127)</f>
        <v>14778</v>
      </c>
      <c r="G96" s="1212">
        <v>14778</v>
      </c>
      <c r="H96" s="1212">
        <f ca="1">SUM('ketv. 6 '!AF126)</f>
        <v>0</v>
      </c>
      <c r="I96" s="1212">
        <f>SUM('ketv. 7 '!AK125)</f>
        <v>0</v>
      </c>
      <c r="L96" s="1739">
        <f t="shared" si="6"/>
        <v>0</v>
      </c>
      <c r="M96" s="1740">
        <f t="shared" si="7"/>
        <v>0</v>
      </c>
    </row>
    <row r="97" spans="1:13" ht="37.5" thickBot="1" x14ac:dyDescent="0.3">
      <c r="A97" s="430">
        <f t="shared" si="5"/>
        <v>96</v>
      </c>
      <c r="B97" s="429" t="str">
        <f>CONCATENATE('3 pr-2'!D128)</f>
        <v>Pirminės asmens sveikatos priežiūros kokybės ir prieinamumo gerinimas Druskininkų savivaldybėje</v>
      </c>
      <c r="C97" s="429" t="str">
        <f>CONCATENATE('3 pr-2'!H128)</f>
        <v>08.1.3-CPVA-R-609</v>
      </c>
      <c r="D97" s="429" t="str">
        <f>CONCATENATE('3 pr-2'!E128)</f>
        <v>VšĮ Druskininkų pirminės sveikatos priežiūros centras</v>
      </c>
      <c r="E97" s="429" t="str">
        <f>CONCATENATE('3 pr-2'!G128)</f>
        <v>Druskininkų sav.</v>
      </c>
      <c r="F97" s="1212">
        <f>SUM('3 pr-2'!AA128)</f>
        <v>139002</v>
      </c>
      <c r="G97" s="1212">
        <v>139002</v>
      </c>
      <c r="H97" s="1212">
        <f ca="1">SUM('ketv. 6 '!AF127)</f>
        <v>0</v>
      </c>
      <c r="I97" s="1212">
        <f>SUM('ketv. 7 '!AK126)</f>
        <v>0</v>
      </c>
      <c r="L97" s="1739">
        <f t="shared" si="6"/>
        <v>0</v>
      </c>
      <c r="M97" s="1740">
        <f t="shared" si="7"/>
        <v>0</v>
      </c>
    </row>
    <row r="98" spans="1:13" ht="37.5" thickBot="1" x14ac:dyDescent="0.3">
      <c r="A98" s="430">
        <f t="shared" ref="A98:A108" si="8">ROW(A97)</f>
        <v>97</v>
      </c>
      <c r="B98" s="429" t="str">
        <f>CONCATENATE('3 pr-2'!D129)</f>
        <v>UAB "Druskininkų šeimos klinika" asmens sveikatos priežiūros paslaugų prieinamumo ir efektyvumo didinimas</v>
      </c>
      <c r="C98" s="429" t="str">
        <f>CONCATENATE('3 pr-2'!H129)</f>
        <v>08.1.3-CPVA-R-609</v>
      </c>
      <c r="D98" s="429" t="str">
        <f>CONCATENATE('3 pr-2'!E129)</f>
        <v>UAB „Druskininkų šeimos klinika“</v>
      </c>
      <c r="E98" s="429" t="str">
        <f>CONCATENATE('3 pr-2'!G129)</f>
        <v>Druskininkų sav.</v>
      </c>
      <c r="F98" s="1212">
        <f>SUM('3 pr-2'!AA129)</f>
        <v>10445</v>
      </c>
      <c r="G98" s="1212">
        <v>10445</v>
      </c>
      <c r="H98" s="1212">
        <f ca="1">SUM('ketv. 6 '!AF128)</f>
        <v>0</v>
      </c>
      <c r="I98" s="1212">
        <f>SUM('ketv. 7 '!AK127)</f>
        <v>0</v>
      </c>
      <c r="L98" s="1739">
        <f t="shared" si="6"/>
        <v>0</v>
      </c>
      <c r="M98" s="1740">
        <f t="shared" si="7"/>
        <v>0</v>
      </c>
    </row>
    <row r="99" spans="1:13" ht="49.5" thickBot="1" x14ac:dyDescent="0.3">
      <c r="A99" s="430">
        <f t="shared" si="8"/>
        <v>98</v>
      </c>
      <c r="B99" s="429" t="str">
        <f>CONCATENATE('3 pr-2'!D130)</f>
        <v>I. S. Kavaliauskienės įmonės teikiamų pirminės ambulatorinės asmens sveikatos priežiūros paslaugų kokybės ir prieinamumo gerinimas.</v>
      </c>
      <c r="C99" s="429" t="str">
        <f>CONCATENATE('3 pr-2'!H130)</f>
        <v>08.1.3-CPVA-R-609</v>
      </c>
      <c r="D99" s="429" t="str">
        <f>CONCATENATE('3 pr-2'!E130)</f>
        <v>Irenos Stanislavos Kavaliauskienės įmonė</v>
      </c>
      <c r="E99" s="429" t="str">
        <f>CONCATENATE('3 pr-2'!G130)</f>
        <v>Druskininkų sav.</v>
      </c>
      <c r="F99" s="1212">
        <f>SUM('3 pr-2'!AA130)</f>
        <v>21689</v>
      </c>
      <c r="G99" s="1212">
        <v>21689</v>
      </c>
      <c r="H99" s="1212">
        <f ca="1">SUM('ketv. 6 '!AF129)</f>
        <v>0</v>
      </c>
      <c r="I99" s="1212">
        <f>SUM('ketv. 7 '!AK128)</f>
        <v>0</v>
      </c>
      <c r="L99" s="1739">
        <f t="shared" si="6"/>
        <v>0</v>
      </c>
      <c r="M99" s="1740">
        <f t="shared" si="7"/>
        <v>0</v>
      </c>
    </row>
    <row r="100" spans="1:13" ht="49.5" thickBot="1" x14ac:dyDescent="0.3">
      <c r="A100" s="430">
        <f t="shared" si="8"/>
        <v>99</v>
      </c>
      <c r="B100" s="429" t="str">
        <f>CONCATENATE('3 pr-2'!D131)</f>
        <v>Pirminės ambulatorinės asmens sveikatos priežiūros efektyvumo didinimas R.Ambrazaitienės ir L. Puzinovienės šeimos gydytojų kabinetuose</v>
      </c>
      <c r="C100" s="429" t="str">
        <f>CONCATENATE('3 pr-2'!H131)</f>
        <v>08.1.3-CPVA-R-609</v>
      </c>
      <c r="D100" s="429" t="str">
        <f>CONCATENATE('3 pr-2'!E131)</f>
        <v>UAB „Rasos Ambrazaitienės šeimos gydytojo kabinetas“</v>
      </c>
      <c r="E100" s="429" t="str">
        <f>CONCATENATE('3 pr-2'!G131)</f>
        <v>Druskininkų sav.</v>
      </c>
      <c r="F100" s="1212">
        <f>SUM('3 pr-2'!AA131)</f>
        <v>23720</v>
      </c>
      <c r="G100" s="1212">
        <v>23720</v>
      </c>
      <c r="H100" s="1212">
        <f ca="1">SUM('ketv. 6 '!AF130)</f>
        <v>0</v>
      </c>
      <c r="I100" s="1212">
        <f>SUM('ketv. 7 '!AK129)</f>
        <v>0</v>
      </c>
      <c r="L100" s="1739">
        <f t="shared" si="6"/>
        <v>0</v>
      </c>
      <c r="M100" s="1740">
        <f t="shared" si="7"/>
        <v>0</v>
      </c>
    </row>
    <row r="101" spans="1:13" ht="37.5" thickBot="1" x14ac:dyDescent="0.3">
      <c r="A101" s="430">
        <f t="shared" si="8"/>
        <v>100</v>
      </c>
      <c r="B101" s="429" t="str">
        <f>CONCATENATE('3 pr-2'!D132)</f>
        <v xml:space="preserve">Pirminės asmens sveikatos priežiūros veiklos efektyvumo didinimas Lazdijų rajono savivaldybėje </v>
      </c>
      <c r="C101" s="429" t="str">
        <f>CONCATENATE('3 pr-2'!H132)</f>
        <v>08.1.3-CPVA-R-609</v>
      </c>
      <c r="D101" s="429" t="str">
        <f>CONCATENATE('3 pr-2'!E132)</f>
        <v>Lazdijų rajono savivaldybės administracija</v>
      </c>
      <c r="E101" s="429" t="str">
        <f>CONCATENATE('3 pr-2'!G132)</f>
        <v>Lazdijų r. sav.</v>
      </c>
      <c r="F101" s="1212">
        <f>SUM('3 pr-2'!AA132)</f>
        <v>163811</v>
      </c>
      <c r="G101" s="1212">
        <v>163810.96</v>
      </c>
      <c r="H101" s="1212">
        <f ca="1">SUM('ketv. 6 '!AF131)</f>
        <v>0</v>
      </c>
      <c r="I101" s="1212">
        <f>SUM('ketv. 7 '!AK130)</f>
        <v>0</v>
      </c>
      <c r="L101" s="1739">
        <f t="shared" si="6"/>
        <v>0</v>
      </c>
      <c r="M101" s="1740">
        <f t="shared" si="7"/>
        <v>0</v>
      </c>
    </row>
    <row r="102" spans="1:13" ht="37.5" thickBot="1" x14ac:dyDescent="0.3">
      <c r="A102" s="430">
        <f t="shared" si="8"/>
        <v>101</v>
      </c>
      <c r="B102" s="429" t="str">
        <f>CONCATENATE('3 pr-2'!D133)</f>
        <v>Pirminės asmens sveikatos priežiūros veiklos efektyvumo didinimas Varėnos rajono savivaldybėje</v>
      </c>
      <c r="C102" s="429" t="str">
        <f>CONCATENATE('3 pr-2'!H133)</f>
        <v>08.1.3-CPVA-R-609</v>
      </c>
      <c r="D102" s="429" t="str">
        <f>CONCATENATE('3 pr-2'!E133)</f>
        <v>VšĮ Varėnos pirminės sveikatos priežiūros centras</v>
      </c>
      <c r="E102" s="429" t="str">
        <f>CONCATENATE('3 pr-2'!G133)</f>
        <v>Varėnos r. sav.</v>
      </c>
      <c r="F102" s="1212">
        <f>SUM('3 pr-2'!AA133)</f>
        <v>163776</v>
      </c>
      <c r="G102" s="1212">
        <v>163764.63</v>
      </c>
      <c r="H102" s="1212">
        <f ca="1">SUM('ketv. 6 '!AF132)</f>
        <v>0</v>
      </c>
      <c r="I102" s="1212">
        <f>SUM('ketv. 7 '!AK131)</f>
        <v>0</v>
      </c>
      <c r="L102" s="1739">
        <f t="shared" si="6"/>
        <v>0</v>
      </c>
      <c r="M102" s="1740">
        <f t="shared" si="7"/>
        <v>0</v>
      </c>
    </row>
    <row r="103" spans="1:13" ht="37.5" thickBot="1" x14ac:dyDescent="0.3">
      <c r="A103" s="430">
        <f t="shared" si="8"/>
        <v>102</v>
      </c>
      <c r="B103" s="429" t="str">
        <f>CONCATENATE('3 pr-2'!D134)</f>
        <v>Pirminės asmens sveikatos priežiūros veiklos efektyvumo didinimas N. Jarašienės personalinėje įmonėje</v>
      </c>
      <c r="C103" s="429" t="str">
        <f>CONCATENATE('3 pr-2'!H134)</f>
        <v>08.1.3-CPVA-R-609</v>
      </c>
      <c r="D103" s="429" t="str">
        <f>CONCATENATE('3 pr-2'!E134)</f>
        <v>N. Jarašienės personalinė įmonė</v>
      </c>
      <c r="E103" s="429" t="str">
        <f>CONCATENATE('3 pr-2'!G134)</f>
        <v>Varėnos r. sav.</v>
      </c>
      <c r="F103" s="1212">
        <f>SUM('3 pr-2'!AA134)</f>
        <v>7059</v>
      </c>
      <c r="G103" s="1212">
        <v>7059</v>
      </c>
      <c r="H103" s="1212">
        <f ca="1">SUM('ketv. 6 '!AF133)</f>
        <v>0</v>
      </c>
      <c r="I103" s="1212">
        <f>SUM('ketv. 7 '!AK132)</f>
        <v>0</v>
      </c>
      <c r="L103" s="1739">
        <f t="shared" si="6"/>
        <v>0</v>
      </c>
      <c r="M103" s="1740">
        <f t="shared" si="7"/>
        <v>0</v>
      </c>
    </row>
    <row r="104" spans="1:13" ht="37.5" thickBot="1" x14ac:dyDescent="0.3">
      <c r="A104" s="430">
        <f t="shared" si="8"/>
        <v>103</v>
      </c>
      <c r="B104" s="429" t="str">
        <f>CONCATENATE('3 pr-2'!D136)</f>
        <v>Sveikos gyvensenos skatinimas Alytaus rajone</v>
      </c>
      <c r="C104" s="429" t="str">
        <f>CONCATENATE('3 pr-2'!H136)</f>
        <v>08.4.2-ESFA-R-630</v>
      </c>
      <c r="D104" s="429" t="str">
        <f>CONCATENATE('3 pr-2'!E136)</f>
        <v>Alytaus rajono savivaldybės visuomenės sveikatos biuras</v>
      </c>
      <c r="E104" s="429" t="str">
        <f>CONCATENATE('3 pr-2'!G136)</f>
        <v>Alytaus r. sav.</v>
      </c>
      <c r="F104" s="1212">
        <f>SUM('3 pr-2'!AA136)</f>
        <v>169147.6</v>
      </c>
      <c r="G104" s="1212">
        <v>169147.6</v>
      </c>
      <c r="H104" s="1212">
        <f ca="1">SUM('ketv. 6 '!AF135)</f>
        <v>169147.6</v>
      </c>
      <c r="I104" s="1212">
        <f>SUM('ketv. 7 '!AK134)</f>
        <v>11122.36</v>
      </c>
      <c r="L104" s="1739">
        <f t="shared" si="6"/>
        <v>6.5755352130328779E-2</v>
      </c>
      <c r="M104" s="1740">
        <f t="shared" si="7"/>
        <v>6.5755352130328779E-2</v>
      </c>
    </row>
    <row r="105" spans="1:13" ht="25.5" thickBot="1" x14ac:dyDescent="0.3">
      <c r="A105" s="430">
        <f t="shared" si="8"/>
        <v>104</v>
      </c>
      <c r="B105" s="429" t="str">
        <f>CONCATENATE('3 pr-2'!D137)</f>
        <v>Mažais žingsneliais – sveikos gyvensenos link</v>
      </c>
      <c r="C105" s="429" t="str">
        <f>CONCATENATE('3 pr-2'!H137)</f>
        <v>08.4.2-ESFA-R-630</v>
      </c>
      <c r="D105" s="429" t="str">
        <f>CONCATENATE('3 pr-2'!E137)</f>
        <v>Alytaus miesto savivaldybės administracija</v>
      </c>
      <c r="E105" s="429" t="str">
        <f>CONCATENATE('3 pr-2'!G137)</f>
        <v>Alytaus m. sav.</v>
      </c>
      <c r="F105" s="1212">
        <f>SUM('3 pr-2'!AA137)</f>
        <v>169146.6</v>
      </c>
      <c r="G105" s="1212">
        <v>169147.6</v>
      </c>
      <c r="H105" s="1212">
        <f ca="1">SUM('ketv. 6 '!AF136)</f>
        <v>169146.6</v>
      </c>
      <c r="I105" s="1212">
        <f>SUM('ketv. 7 '!AK135)</f>
        <v>41801.620000000003</v>
      </c>
      <c r="L105" s="1739">
        <f t="shared" si="6"/>
        <v>0.24713102639351667</v>
      </c>
      <c r="M105" s="1740">
        <f t="shared" si="7"/>
        <v>0.24713248743988941</v>
      </c>
    </row>
    <row r="106" spans="1:13" ht="37.5" thickBot="1" x14ac:dyDescent="0.3">
      <c r="A106" s="430">
        <f t="shared" si="8"/>
        <v>105</v>
      </c>
      <c r="B106" s="429" t="str">
        <f>CONCATENATE('3 pr-2'!D138)</f>
        <v>Sveikos gyvensenos skatinimas Varėnos rajono savivaldybėje</v>
      </c>
      <c r="C106" s="429" t="str">
        <f>CONCATENATE('3 pr-2'!H138)</f>
        <v>08.4.2-ESFA-R-630</v>
      </c>
      <c r="D106" s="429" t="str">
        <f>CONCATENATE('3 pr-2'!E138)</f>
        <v>Varėnos rajono savivaldybės visuomenės sveikatos biuras</v>
      </c>
      <c r="E106" s="429" t="str">
        <f>CONCATENATE('3 pr-2'!G138)</f>
        <v>Varėnos r. sav.</v>
      </c>
      <c r="F106" s="1212">
        <f>SUM('3 pr-2'!AA138)</f>
        <v>169147.45</v>
      </c>
      <c r="G106" s="1212">
        <v>169147.6</v>
      </c>
      <c r="H106" s="1212">
        <f ca="1">SUM('ketv. 6 '!AF137)</f>
        <v>169147.45</v>
      </c>
      <c r="I106" s="1212">
        <f>SUM('ketv. 7 '!AK136)</f>
        <v>0</v>
      </c>
      <c r="L106" s="1739">
        <f t="shared" si="6"/>
        <v>0</v>
      </c>
      <c r="M106" s="1740">
        <f t="shared" si="7"/>
        <v>0</v>
      </c>
    </row>
    <row r="107" spans="1:13" ht="37.5" thickBot="1" x14ac:dyDescent="0.3">
      <c r="A107" s="430">
        <f t="shared" si="8"/>
        <v>106</v>
      </c>
      <c r="B107" s="429" t="str">
        <f>CONCATENATE('3 pr-2'!D139)</f>
        <v>Sveika bendruomenė – stipri visuomenė</v>
      </c>
      <c r="C107" s="429" t="str">
        <f>CONCATENATE('3 pr-2'!H139)</f>
        <v>08.4.2-ESFA-R-630</v>
      </c>
      <c r="D107" s="429" t="str">
        <f>CONCATENATE('3 pr-2'!E139)</f>
        <v>Druskininkų savivaldybės visuomenės sveikatos biuras</v>
      </c>
      <c r="E107" s="429" t="str">
        <f>CONCATENATE('3 pr-2'!G139)</f>
        <v>Druskininkų sav.</v>
      </c>
      <c r="F107" s="1212">
        <f>SUM('3 pr-2'!AA139)</f>
        <v>169147.6</v>
      </c>
      <c r="G107" s="1212">
        <v>169147.6</v>
      </c>
      <c r="H107" s="1212">
        <f ca="1">SUM('ketv. 6 '!AF138)</f>
        <v>169147.6</v>
      </c>
      <c r="I107" s="1212">
        <f>SUM('ketv. 7 '!AK137)</f>
        <v>50540.54</v>
      </c>
      <c r="L107" s="1739">
        <f t="shared" si="6"/>
        <v>0.29879548985619658</v>
      </c>
      <c r="M107" s="1740">
        <f t="shared" si="7"/>
        <v>0.29879548985619658</v>
      </c>
    </row>
    <row r="108" spans="1:13" ht="37.5" thickBot="1" x14ac:dyDescent="0.3">
      <c r="A108" s="430">
        <f t="shared" si="8"/>
        <v>107</v>
      </c>
      <c r="B108" s="429" t="str">
        <f>CONCATENATE('3 pr-2'!D140)</f>
        <v>Sveikos gyvensenos skatinimas Lazdijų rajono savivaldybėje</v>
      </c>
      <c r="C108" s="429" t="str">
        <f>CONCATENATE('3 pr-2'!H140)</f>
        <v>08.4.2-ESFA-R-630</v>
      </c>
      <c r="D108" s="429" t="str">
        <f>CONCATENATE('3 pr-2'!E140)</f>
        <v>Lazdijų rajono savivaldybės visuomenės sveikatos biuras</v>
      </c>
      <c r="E108" s="429" t="str">
        <f>CONCATENATE('3 pr-2'!G140)</f>
        <v>Lazdijų r. sav.</v>
      </c>
      <c r="F108" s="1212">
        <f>SUM('3 pr-2'!AA140)</f>
        <v>169147.6</v>
      </c>
      <c r="G108" s="1212">
        <v>169147.6</v>
      </c>
      <c r="H108" s="1212">
        <f ca="1">SUM('ketv. 6 '!AF139)</f>
        <v>169147.6</v>
      </c>
      <c r="I108" s="1212">
        <f>SUM('ketv. 7 '!AK138)</f>
        <v>50744.28</v>
      </c>
      <c r="L108" s="1739">
        <f t="shared" si="6"/>
        <v>0.3</v>
      </c>
      <c r="M108" s="1740">
        <f t="shared" si="7"/>
        <v>0.3</v>
      </c>
    </row>
    <row r="109" spans="1:13" ht="49.5" thickBot="1" x14ac:dyDescent="0.3">
      <c r="A109" s="430">
        <f t="shared" ref="A109:A116" si="9">ROW(A108)</f>
        <v>108</v>
      </c>
      <c r="B109" s="429" t="str">
        <f>CONCATENATE('3 pr-2'!D142)</f>
        <v>Priemonių gerinančių ambulatorinių sveikatos priežiūros paslaugų prieinamumą tuberkulioze sergantiems asmenims, Alytaus rajone įgyvendinimas</v>
      </c>
      <c r="C109" s="429" t="str">
        <f>CONCATENATE('3 pr-2'!H142)</f>
        <v>08.4.2-ESFA-R-615</v>
      </c>
      <c r="D109" s="429" t="str">
        <f>CONCATENATE('3 pr-2'!E142)</f>
        <v>VšĮ Alytaus rajono savivaldybės pirminės sveikatos priežiūros centras</v>
      </c>
      <c r="E109" s="429" t="str">
        <f>CONCATENATE('3 pr-2'!G142)</f>
        <v>Alytaus r. sav.</v>
      </c>
      <c r="F109" s="1212">
        <f>SUM('3 pr-2'!AA142)</f>
        <v>8214.61</v>
      </c>
      <c r="G109" s="1212">
        <v>8885</v>
      </c>
      <c r="H109" s="1212">
        <f ca="1">SUM('ketv. 6 '!AF141)</f>
        <v>8214.61</v>
      </c>
      <c r="I109" s="1212">
        <f>SUM('ketv. 7 '!AK140)</f>
        <v>0</v>
      </c>
      <c r="L109" s="1739">
        <f t="shared" si="6"/>
        <v>0</v>
      </c>
      <c r="M109" s="1740">
        <f t="shared" si="7"/>
        <v>0</v>
      </c>
    </row>
    <row r="110" spans="1:13" ht="25.5" thickBot="1" x14ac:dyDescent="0.3">
      <c r="A110" s="430">
        <f t="shared" si="9"/>
        <v>109</v>
      </c>
      <c r="B110" s="429" t="str">
        <f>CONCATENATE('3 pr-2'!D143)</f>
        <v>Ambulatorinių sveikatos priežiūros paslaugų gerinimas tuberkulioze sergantiems asmenims</v>
      </c>
      <c r="C110" s="429" t="str">
        <f>CONCATENATE('3 pr-2'!H143)</f>
        <v>08.4.2-ESFA-R-615</v>
      </c>
      <c r="D110" s="429" t="str">
        <f>CONCATENATE('3 pr-2'!E143)</f>
        <v>Alytaus miesto savivaldybės administracija</v>
      </c>
      <c r="E110" s="429" t="str">
        <f>CONCATENATE('3 pr-2'!G143)</f>
        <v>Alytaus m. sav.</v>
      </c>
      <c r="F110" s="1212">
        <f>SUM('3 pr-2'!AA143)</f>
        <v>14485.09</v>
      </c>
      <c r="G110" s="1212">
        <v>14485</v>
      </c>
      <c r="H110" s="1212">
        <f ca="1">SUM('ketv. 6 '!AF142)</f>
        <v>14485.09</v>
      </c>
      <c r="I110" s="1212">
        <f>SUM('ketv. 7 '!AK141)</f>
        <v>0</v>
      </c>
      <c r="L110" s="1739">
        <f t="shared" si="6"/>
        <v>0</v>
      </c>
      <c r="M110" s="1740">
        <f t="shared" si="7"/>
        <v>0</v>
      </c>
    </row>
    <row r="111" spans="1:13" ht="25.5" thickBot="1" x14ac:dyDescent="0.3">
      <c r="A111" s="430">
        <f t="shared" si="9"/>
        <v>110</v>
      </c>
      <c r="B111" s="429" t="str">
        <f>CONCATENATE('3 pr-2'!D144)</f>
        <v xml:space="preserve">Paslaugų tuberkulioze sergantiems asmenims gerinimas Lazdijų rajono savivaldybėje </v>
      </c>
      <c r="C111" s="429" t="str">
        <f>CONCATENATE('3 pr-2'!H144)</f>
        <v>08.4.2-ESFA-R-615</v>
      </c>
      <c r="D111" s="429" t="str">
        <f>CONCATENATE('3 pr-2'!E144)</f>
        <v>Lazdijų rajono savivaldybės administracija</v>
      </c>
      <c r="E111" s="429" t="str">
        <f>CONCATENATE('3 pr-2'!G144)</f>
        <v>Lazdijų r. sav.</v>
      </c>
      <c r="F111" s="1212">
        <f>SUM('3 pr-2'!AA144)</f>
        <v>12940.4</v>
      </c>
      <c r="G111" s="1212">
        <v>12940</v>
      </c>
      <c r="H111" s="1212">
        <f ca="1">SUM('ketv. 6 '!AF143)</f>
        <v>12940.4</v>
      </c>
      <c r="I111" s="1212">
        <f>SUM('ketv. 7 '!AK142)</f>
        <v>0</v>
      </c>
      <c r="L111" s="1739">
        <f t="shared" si="6"/>
        <v>0</v>
      </c>
      <c r="M111" s="1740">
        <f t="shared" si="7"/>
        <v>0</v>
      </c>
    </row>
    <row r="112" spans="1:13" ht="49.5" thickBot="1" x14ac:dyDescent="0.3">
      <c r="A112" s="430">
        <f t="shared" si="9"/>
        <v>111</v>
      </c>
      <c r="B112" s="429" t="str">
        <f>CONCATENATE('3 pr-2'!D145)</f>
        <v>Ambulatorinių sveikatos priežiūros paslaugų tuberkulioze sergantiems asmenims prieinamumo gerinimas Druskininkų savivaldybėje</v>
      </c>
      <c r="C112" s="429" t="str">
        <f>CONCATENATE('3 pr-2'!H145)</f>
        <v>08.4.2-ESFA-R-615</v>
      </c>
      <c r="D112" s="429" t="str">
        <f>CONCATENATE('3 pr-2'!E145)</f>
        <v>Druskininkų pirminės sveikatos priežiūros centras</v>
      </c>
      <c r="E112" s="429" t="str">
        <f>CONCATENATE('3 pr-2'!G145)</f>
        <v>Druskininkų sav.</v>
      </c>
      <c r="F112" s="1212">
        <f>SUM('3 pr-2'!AA145)</f>
        <v>5793.6</v>
      </c>
      <c r="G112" s="1212">
        <v>5793.6</v>
      </c>
      <c r="H112" s="1212">
        <f ca="1">SUM('ketv. 6 '!AF144)</f>
        <v>5793.6</v>
      </c>
      <c r="I112" s="1212">
        <f>SUM('ketv. 7 '!AK143)</f>
        <v>0</v>
      </c>
      <c r="L112" s="1739">
        <f t="shared" si="6"/>
        <v>0</v>
      </c>
      <c r="M112" s="1740">
        <f t="shared" si="7"/>
        <v>0</v>
      </c>
    </row>
    <row r="113" spans="1:13" ht="49.5" thickBot="1" x14ac:dyDescent="0.3">
      <c r="A113" s="430">
        <f t="shared" si="9"/>
        <v>112</v>
      </c>
      <c r="B113" s="429" t="str">
        <f>CONCATENATE('3 pr-2'!D146)</f>
        <v>Ambulatorinių sveikatos priežiūros paslaugų prieinamumo gerinimas tuberkulioze sergantiems asmenims Varėnos rajono savivaldybėje</v>
      </c>
      <c r="C113" s="429" t="str">
        <f>CONCATENATE('3 pr-2'!H146)</f>
        <v>08.4.2-ESFA-R-615</v>
      </c>
      <c r="D113" s="429" t="str">
        <f>CONCATENATE('3 pr-2'!E146)</f>
        <v>Varėnos rajono savivaldybės administracija</v>
      </c>
      <c r="E113" s="429" t="str">
        <f>CONCATENATE('3 pr-2'!G146)</f>
        <v>Varėnos r. sav.</v>
      </c>
      <c r="F113" s="1212">
        <f>SUM('3 pr-2'!AA146)</f>
        <v>13327</v>
      </c>
      <c r="G113" s="1212">
        <v>13327</v>
      </c>
      <c r="H113" s="1212">
        <f ca="1">SUM('ketv. 6 '!AF145)</f>
        <v>13327</v>
      </c>
      <c r="I113" s="1212">
        <f>SUM('ketv. 7 '!AK144)</f>
        <v>0</v>
      </c>
      <c r="L113" s="1739">
        <f t="shared" si="6"/>
        <v>0</v>
      </c>
      <c r="M113" s="1740">
        <f t="shared" si="7"/>
        <v>0</v>
      </c>
    </row>
    <row r="114" spans="1:13" ht="25.5" thickBot="1" x14ac:dyDescent="0.3">
      <c r="A114" s="430">
        <f t="shared" si="9"/>
        <v>113</v>
      </c>
      <c r="B114" s="429" t="str">
        <f>CONCATENATE('3 pr-2'!D149)</f>
        <v>Socialinių paslaugų infrastruktūros plėtra Varėnos rajono savivaldybėje</v>
      </c>
      <c r="C114" s="429" t="str">
        <f>CONCATENATE('3 pr-2'!H149)</f>
        <v>08.1.2-CPVA-R-407</v>
      </c>
      <c r="D114" s="429" t="str">
        <f>CONCATENATE('3 pr-2'!E149)</f>
        <v>Varėnos rajono savivaldybės administracija</v>
      </c>
      <c r="E114" s="429" t="str">
        <f>CONCATENATE('3 pr-2'!G149)</f>
        <v>Varėnos r. sav.</v>
      </c>
      <c r="F114" s="1212">
        <f>SUM('3 pr-2'!AA149)</f>
        <v>126208</v>
      </c>
      <c r="G114" s="1212">
        <v>126208</v>
      </c>
      <c r="H114" s="1212">
        <f ca="1">SUM('ketv. 6 '!AF148)</f>
        <v>126208</v>
      </c>
      <c r="I114" s="1212">
        <f>SUM('ketv. 7 '!AK147)</f>
        <v>12756.46</v>
      </c>
      <c r="L114" s="1739">
        <f t="shared" si="6"/>
        <v>0.1010748922413793</v>
      </c>
      <c r="M114" s="1740">
        <f t="shared" si="7"/>
        <v>0.1010748922413793</v>
      </c>
    </row>
    <row r="115" spans="1:13" ht="25.5" thickBot="1" x14ac:dyDescent="0.3">
      <c r="A115" s="430">
        <f t="shared" si="9"/>
        <v>114</v>
      </c>
      <c r="B115" s="429" t="str">
        <f>CONCATENATE('3 pr-2'!D150)</f>
        <v>Psichosocialinės pagalbos centro įkūrimas</v>
      </c>
      <c r="C115" s="429" t="str">
        <f>CONCATENATE('3 pr-2'!H150)</f>
        <v>08.1.2-CPVA-R-407</v>
      </c>
      <c r="D115" s="429" t="str">
        <f>CONCATENATE('3 pr-2'!E150)</f>
        <v>Alytaus rajono savivaldybės administracija</v>
      </c>
      <c r="E115" s="429" t="str">
        <f>CONCATENATE('3 pr-2'!G150)</f>
        <v>Alytaus r. sav.</v>
      </c>
      <c r="F115" s="1212">
        <f>SUM('3 pr-2'!AA150)</f>
        <v>160100</v>
      </c>
      <c r="G115" s="1212">
        <v>160100</v>
      </c>
      <c r="H115" s="1212">
        <f ca="1">SUM('ketv. 6 '!AF149)</f>
        <v>160100</v>
      </c>
      <c r="I115" s="1212">
        <f>SUM('ketv. 7 '!AK148)</f>
        <v>2050.56</v>
      </c>
      <c r="L115" s="1739">
        <f t="shared" si="6"/>
        <v>1.2807995003123048E-2</v>
      </c>
      <c r="M115" s="1740">
        <f t="shared" si="7"/>
        <v>1.2807995003123048E-2</v>
      </c>
    </row>
    <row r="116" spans="1:13" ht="25.5" thickBot="1" x14ac:dyDescent="0.3">
      <c r="A116" s="430">
        <f t="shared" si="9"/>
        <v>115</v>
      </c>
      <c r="B116" s="429" t="str">
        <f>CONCATENATE('3 pr-2'!D151)</f>
        <v>Socialinių paslaugų plėtra Alytaus mieste</v>
      </c>
      <c r="C116" s="429" t="str">
        <f>CONCATENATE('3 pr-2'!H151)</f>
        <v>08.1.2-CPVA-R-407</v>
      </c>
      <c r="D116" s="429" t="str">
        <f>CONCATENATE('3 pr-2'!E151)</f>
        <v>Alytaus miesto savivaldybės administracija</v>
      </c>
      <c r="E116" s="429" t="str">
        <f>CONCATENATE('3 pr-2'!G151)</f>
        <v>Alytaus m. sav.</v>
      </c>
      <c r="F116" s="1212">
        <f>SUM('3 pr-2'!AA151)</f>
        <v>346361</v>
      </c>
      <c r="G116" s="1212">
        <v>346361</v>
      </c>
      <c r="H116" s="1212">
        <f ca="1">SUM('ketv. 6 '!AF150)</f>
        <v>346361</v>
      </c>
      <c r="I116" s="1212">
        <f>SUM('ketv. 7 '!AK149)</f>
        <v>326125.34000000003</v>
      </c>
      <c r="L116" s="1739">
        <f t="shared" si="6"/>
        <v>0.94157638995152459</v>
      </c>
      <c r="M116" s="1740">
        <f t="shared" si="7"/>
        <v>0.94157638995152459</v>
      </c>
    </row>
    <row r="117" spans="1:13" ht="25.5" thickBot="1" x14ac:dyDescent="0.3">
      <c r="A117" s="430">
        <f t="shared" ref="A117:A126" si="10">ROW(A116)</f>
        <v>116</v>
      </c>
      <c r="B117" s="429" t="str">
        <f>CONCATENATE('3 pr-2'!D152)</f>
        <v>Socialinių paslaugų infrastruktūros plėtra Druskininkų savivaldybėje</v>
      </c>
      <c r="C117" s="429" t="str">
        <f>CONCATENATE('3 pr-2'!H152)</f>
        <v>08.1.2-CPVA-R-407</v>
      </c>
      <c r="D117" s="429" t="str">
        <f>CONCATENATE('3 pr-2'!E152)</f>
        <v>Druskininkų savivaldybės administracija</v>
      </c>
      <c r="E117" s="429" t="str">
        <f>CONCATENATE('3 pr-2'!G152)</f>
        <v>Druskininkų sav.</v>
      </c>
      <c r="F117" s="1212">
        <f>SUM('3 pr-2'!AA152)</f>
        <v>128721</v>
      </c>
      <c r="G117" s="1212">
        <v>128721</v>
      </c>
      <c r="H117" s="1212">
        <f ca="1">SUM('ketv. 6 '!AF151)</f>
        <v>128721</v>
      </c>
      <c r="I117" s="1212">
        <f>SUM('ketv. 7 '!AK150)</f>
        <v>13425.43</v>
      </c>
      <c r="L117" s="1739">
        <f t="shared" si="6"/>
        <v>0.10429867698355358</v>
      </c>
      <c r="M117" s="1740">
        <f t="shared" si="7"/>
        <v>0.10429867698355358</v>
      </c>
    </row>
    <row r="118" spans="1:13" ht="37.5" thickBot="1" x14ac:dyDescent="0.3">
      <c r="A118" s="430">
        <f t="shared" si="10"/>
        <v>117</v>
      </c>
      <c r="B118" s="429" t="str">
        <f>CONCATENATE('3 pr-2'!D153)</f>
        <v>Socialinių paslaugų infrastruktūros modernizavimas ir plėtra VšĮ Kapčiamiesčio globos namuose</v>
      </c>
      <c r="C118" s="429" t="str">
        <f>CONCATENATE('3 pr-2'!H153)</f>
        <v>08.1.2-CPVA-R-407</v>
      </c>
      <c r="D118" s="429" t="str">
        <f>CONCATENATE('3 pr-2'!E153)</f>
        <v>VšĮ Kapčiamiesčio globos namai</v>
      </c>
      <c r="E118" s="429" t="str">
        <f>CONCATENATE('3 pr-2'!G153)</f>
        <v>Lazdijų r. sav.</v>
      </c>
      <c r="F118" s="1212">
        <f>SUM('3 pr-2'!AA153)</f>
        <v>124371.15</v>
      </c>
      <c r="G118" s="1212">
        <v>124371</v>
      </c>
      <c r="H118" s="1212">
        <f ca="1">SUM('ketv. 6 '!AF152)</f>
        <v>124371.15</v>
      </c>
      <c r="I118" s="1212">
        <f>SUM('ketv. 7 '!AK151)</f>
        <v>123485.59</v>
      </c>
      <c r="L118" s="1739">
        <f t="shared" si="6"/>
        <v>0.9928808966720537</v>
      </c>
      <c r="M118" s="1740">
        <f t="shared" si="7"/>
        <v>0.99287969919068852</v>
      </c>
    </row>
    <row r="119" spans="1:13" ht="25.5" thickBot="1" x14ac:dyDescent="0.3">
      <c r="A119" s="430">
        <f t="shared" si="10"/>
        <v>118</v>
      </c>
      <c r="B119" s="429" t="str">
        <f>CONCATENATE('3 pr-2'!D155)</f>
        <v>Socialinio būsto plėtra Varėnos rajone</v>
      </c>
      <c r="C119" s="429" t="str">
        <f>CONCATENATE('3 pr-2'!H155)</f>
        <v>08.1.1-CPVA·R-408</v>
      </c>
      <c r="D119" s="429" t="str">
        <f>CONCATENATE('3 pr-2'!E155)</f>
        <v>Varėnos rajono savivaldybės administracija</v>
      </c>
      <c r="E119" s="429" t="str">
        <f>CONCATENATE('3 pr-2'!G155)</f>
        <v>Varėnos r. sav.</v>
      </c>
      <c r="F119" s="1212">
        <f>SUM('3 pr-2'!AA155)</f>
        <v>626024</v>
      </c>
      <c r="G119" s="1212">
        <v>626024</v>
      </c>
      <c r="H119" s="1212">
        <f ca="1">SUM('ketv. 6 '!AF154)</f>
        <v>626024</v>
      </c>
      <c r="I119" s="1212">
        <f>SUM('ketv. 7 '!AK153)</f>
        <v>438705.82999999996</v>
      </c>
      <c r="L119" s="1739">
        <f t="shared" si="6"/>
        <v>0.70078116813412894</v>
      </c>
      <c r="M119" s="1740">
        <f t="shared" si="7"/>
        <v>0.70078116813412894</v>
      </c>
    </row>
    <row r="120" spans="1:13" ht="25.5" thickBot="1" x14ac:dyDescent="0.3">
      <c r="A120" s="430">
        <f t="shared" si="10"/>
        <v>119</v>
      </c>
      <c r="B120" s="429" t="str">
        <f>CONCATENATE('3 pr-2'!D156)</f>
        <v>Būsto prieinamumo pažeidžiamoms gyventojų grupėms didinimas Alytaus rajone</v>
      </c>
      <c r="C120" s="429" t="str">
        <f>CONCATENATE('3 pr-2'!H156)</f>
        <v>08.1.1-CPVA·R-408</v>
      </c>
      <c r="D120" s="429" t="str">
        <f>CONCATENATE('3 pr-2'!E156)</f>
        <v>Alytaus rajono savivaldybės administracija</v>
      </c>
      <c r="E120" s="429" t="str">
        <f>CONCATENATE('3 pr-2'!G156)</f>
        <v>Alytaus r. sav.</v>
      </c>
      <c r="F120" s="1212">
        <f>SUM('3 pr-2'!AA156)</f>
        <v>205606</v>
      </c>
      <c r="G120" s="1212">
        <v>205606</v>
      </c>
      <c r="H120" s="1212">
        <f ca="1">SUM('ketv. 6 '!AF155)</f>
        <v>205605.65</v>
      </c>
      <c r="I120" s="1212">
        <f>SUM('ketv. 7 '!AK154)</f>
        <v>197013.66</v>
      </c>
      <c r="L120" s="1739">
        <f t="shared" si="6"/>
        <v>0.95820968259681139</v>
      </c>
      <c r="M120" s="1740">
        <f t="shared" si="7"/>
        <v>0.95820968259681139</v>
      </c>
    </row>
    <row r="121" spans="1:13" ht="25.5" thickBot="1" x14ac:dyDescent="0.3">
      <c r="A121" s="430">
        <f t="shared" si="10"/>
        <v>120</v>
      </c>
      <c r="B121" s="429" t="str">
        <f>CONCATENATE('3 pr-2'!D157)</f>
        <v>Socialinio būsto plėtra Alytaus mieste</v>
      </c>
      <c r="C121" s="429" t="str">
        <f>CONCATENATE('3 pr-2'!H157)</f>
        <v>08.1.1-CPVA·R-408</v>
      </c>
      <c r="D121" s="429" t="str">
        <f>CONCATENATE('3 pr-2'!E157)</f>
        <v>Alytaus miesto savivaldybės administracija</v>
      </c>
      <c r="E121" s="429" t="str">
        <f>CONCATENATE('3 pr-2'!G157)</f>
        <v>Alytaus m. sav.</v>
      </c>
      <c r="F121" s="1212">
        <f>SUM('3 pr-2'!AA157)</f>
        <v>757980</v>
      </c>
      <c r="G121" s="1212">
        <v>757980</v>
      </c>
      <c r="H121" s="1212">
        <f ca="1">SUM('ketv. 6 '!AF156)</f>
        <v>757980</v>
      </c>
      <c r="I121" s="1212">
        <f>SUM('ketv. 7 '!AK155)</f>
        <v>585857.47</v>
      </c>
      <c r="L121" s="1739">
        <f t="shared" si="6"/>
        <v>0.77291943059183621</v>
      </c>
      <c r="M121" s="1740">
        <f t="shared" si="7"/>
        <v>0.77291943059183621</v>
      </c>
    </row>
    <row r="122" spans="1:13" ht="25.5" thickBot="1" x14ac:dyDescent="0.3">
      <c r="A122" s="430">
        <f t="shared" si="10"/>
        <v>121</v>
      </c>
      <c r="B122" s="429" t="str">
        <f>CONCATENATE('3 pr-2'!D158)</f>
        <v>Socialinio būsto fondo plėtra Druskininkų savivaldybėje</v>
      </c>
      <c r="C122" s="429" t="str">
        <f>CONCATENATE('3 pr-2'!H158)</f>
        <v>08.1.1-CPVA·R-408</v>
      </c>
      <c r="D122" s="429" t="str">
        <f>CONCATENATE('3 pr-2'!E158)</f>
        <v>Druskininkų savivaldybės administracija</v>
      </c>
      <c r="E122" s="429" t="str">
        <f>CONCATENATE('3 pr-2'!G158)</f>
        <v>Druskininkų sav.</v>
      </c>
      <c r="F122" s="1212">
        <f>SUM('3 pr-2'!AA158)</f>
        <v>618351.99</v>
      </c>
      <c r="G122" s="1212">
        <v>618352</v>
      </c>
      <c r="H122" s="1212">
        <f ca="1">SUM('ketv. 6 '!AF157)</f>
        <v>618351.99</v>
      </c>
      <c r="I122" s="1212">
        <f>SUM('ketv. 7 '!AK156)</f>
        <v>329306.48</v>
      </c>
      <c r="L122" s="1739">
        <f t="shared" si="6"/>
        <v>0.5325550495510647</v>
      </c>
      <c r="M122" s="1740">
        <f t="shared" si="7"/>
        <v>0.53255505816355497</v>
      </c>
    </row>
    <row r="123" spans="1:13" ht="25.5" thickBot="1" x14ac:dyDescent="0.3">
      <c r="A123" s="430">
        <f t="shared" si="10"/>
        <v>122</v>
      </c>
      <c r="B123" s="429" t="str">
        <f>CONCATENATE('3 pr-2'!D159)</f>
        <v>Socialinio būsto fondo plėtra Lazdijų rajono savivaldybėje</v>
      </c>
      <c r="C123" s="429" t="str">
        <f>CONCATENATE('3 pr-2'!H159)</f>
        <v>08.1.1-CPVA·R-408</v>
      </c>
      <c r="D123" s="429" t="str">
        <f>CONCATENATE('3 pr-2'!E159)</f>
        <v>Lazdijų rajono savivaldybės administracija</v>
      </c>
      <c r="E123" s="429" t="str">
        <f>CONCATENATE('3 pr-2'!G159)</f>
        <v>Lazdijų r. sav.</v>
      </c>
      <c r="F123" s="1212">
        <f>SUM('3 pr-2'!AA159)</f>
        <v>313012</v>
      </c>
      <c r="G123" s="1212">
        <v>313012</v>
      </c>
      <c r="H123" s="1212">
        <f ca="1">SUM('ketv. 6 '!AF158)</f>
        <v>313012</v>
      </c>
      <c r="I123" s="1212">
        <f>SUM('ketv. 7 '!AK157)</f>
        <v>147714.85000000003</v>
      </c>
      <c r="L123" s="1739">
        <f t="shared" si="6"/>
        <v>0.47191433555263068</v>
      </c>
      <c r="M123" s="1740">
        <f t="shared" si="7"/>
        <v>0.47191433555263068</v>
      </c>
    </row>
    <row r="124" spans="1:13" ht="37.5" thickBot="1" x14ac:dyDescent="0.3">
      <c r="A124" s="430">
        <f t="shared" si="10"/>
        <v>123</v>
      </c>
      <c r="B124" s="429" t="str">
        <f>CONCATENATE('3 pr-2'!D162)</f>
        <v>Paslaugų teikimo ir asmenų aptarnavimo kokybės gerinimas Varėnos rajono savivaldybėje</v>
      </c>
      <c r="C124" s="429" t="str">
        <f>CONCATENATE('3 pr-2'!H162)</f>
        <v>10.1.3-ESFA-R-920</v>
      </c>
      <c r="D124" s="429" t="str">
        <f>CONCATENATE('3 pr-2'!E162)</f>
        <v>Varėnos rajono savivaldybės administracija</v>
      </c>
      <c r="E124" s="429" t="str">
        <f>CONCATENATE('3 pr-2'!G162)</f>
        <v>Varėnos r. sav.</v>
      </c>
      <c r="F124" s="1212">
        <f>SUM('3 pr-2'!AA162)</f>
        <v>146823.49</v>
      </c>
      <c r="G124" s="1212">
        <v>146823.49</v>
      </c>
      <c r="H124" s="1212">
        <f ca="1">SUM('ketv. 6 '!AF161)</f>
        <v>146823.49</v>
      </c>
      <c r="I124" s="1212">
        <f>SUM('ketv. 7 '!AK160)</f>
        <v>36384.050000000003</v>
      </c>
      <c r="L124" s="1739">
        <f t="shared" si="6"/>
        <v>0.24780809937156517</v>
      </c>
      <c r="M124" s="1740">
        <f t="shared" si="7"/>
        <v>0.24780809937156517</v>
      </c>
    </row>
    <row r="125" spans="1:13" ht="25.5" thickBot="1" x14ac:dyDescent="0.3">
      <c r="A125" s="430">
        <f t="shared" si="10"/>
        <v>124</v>
      </c>
      <c r="B125" s="429" t="str">
        <f>CONCATENATE('3 pr-2'!D163)</f>
        <v>Paslaugų ir asmenų aptarnavimo kokybės gerinimas Alytaus rajono savivaldybėje</v>
      </c>
      <c r="C125" s="429" t="str">
        <f>CONCATENATE('3 pr-2'!H163)</f>
        <v>10.1.3-ESFA-R-920</v>
      </c>
      <c r="D125" s="429" t="str">
        <f>CONCATENATE('3 pr-2'!E163)</f>
        <v>Alytaus rajono savivaldybės administracija</v>
      </c>
      <c r="E125" s="429" t="str">
        <f>CONCATENATE('3 pr-2'!G163)</f>
        <v>Alytaus r. sav.</v>
      </c>
      <c r="F125" s="1212">
        <f>SUM('3 pr-2'!AA163)</f>
        <v>163907.37</v>
      </c>
      <c r="G125" s="1212">
        <v>163907.37</v>
      </c>
      <c r="H125" s="1212">
        <f ca="1">SUM('ketv. 6 '!AF162)</f>
        <v>163907.37</v>
      </c>
      <c r="I125" s="1212">
        <f>SUM('ketv. 7 '!AK161)</f>
        <v>2599.2199999999998</v>
      </c>
      <c r="L125" s="1739">
        <f t="shared" si="6"/>
        <v>1.5857859228660676E-2</v>
      </c>
      <c r="M125" s="1740">
        <f t="shared" si="7"/>
        <v>1.5857859228660676E-2</v>
      </c>
    </row>
    <row r="126" spans="1:13" ht="37.5" thickBot="1" x14ac:dyDescent="0.3">
      <c r="A126" s="430">
        <f t="shared" si="10"/>
        <v>125</v>
      </c>
      <c r="B126" s="429" t="str">
        <f>CONCATENATE('3 pr-2'!D164)</f>
        <v>Lazdijų rajono savivaldybės administracijos ir jos viešojo valdymo institucijų teikiamų paslaugų procesų tobulinimas</v>
      </c>
      <c r="C126" s="429" t="str">
        <f>CONCATENATE('3 pr-2'!H164)</f>
        <v>10.1.3-ESFA-R-920</v>
      </c>
      <c r="D126" s="429" t="str">
        <f>CONCATENATE('3 pr-2'!E164)</f>
        <v>Lazdijų rajono savivaldybės administracija</v>
      </c>
      <c r="E126" s="429" t="str">
        <f>CONCATENATE('3 pr-2'!G164)</f>
        <v>Lazdijų r. sav.</v>
      </c>
      <c r="F126" s="1212">
        <f>SUM('3 pr-2'!AA164)</f>
        <v>139388</v>
      </c>
      <c r="G126" s="1212">
        <v>139388</v>
      </c>
      <c r="H126" s="1212">
        <f ca="1">SUM('ketv. 6 '!AF163)</f>
        <v>139388</v>
      </c>
      <c r="I126" s="1212">
        <f>SUM('ketv. 7 '!AK162)</f>
        <v>72203.819999999992</v>
      </c>
      <c r="L126" s="1739">
        <f t="shared" si="6"/>
        <v>0.51800599764685618</v>
      </c>
      <c r="M126" s="1740">
        <f t="shared" si="7"/>
        <v>0.51800599764685618</v>
      </c>
    </row>
    <row r="127" spans="1:13" ht="49.5" thickBot="1" x14ac:dyDescent="0.3">
      <c r="A127" s="430">
        <f t="shared" ref="A127:A132" si="11">ROW(A126)</f>
        <v>126</v>
      </c>
      <c r="B127" s="429" t="str">
        <f>CONCATENATE('3 pr-2'!D165)</f>
        <v>Teikiamų paslaugų procesų tobulinimas ir asmenų aptarnavimo kokybės gerinimas Alytaus m. sav. administracijoje ir jai pavaldžiose įstaigose. I etapas</v>
      </c>
      <c r="C127" s="429" t="str">
        <f>CONCATENATE('3 pr-2'!H165)</f>
        <v>10.1.3-ESFA-R-920</v>
      </c>
      <c r="D127" s="429" t="str">
        <f>CONCATENATE('3 pr-2'!E165)</f>
        <v>Alytaus miesto savivaldybės administracija</v>
      </c>
      <c r="E127" s="429" t="str">
        <f>CONCATENATE('3 pr-2'!G165)</f>
        <v>Alytaus m. sav.</v>
      </c>
      <c r="F127" s="1212">
        <f>SUM('3 pr-2'!AA165)</f>
        <v>183339.18</v>
      </c>
      <c r="G127" s="1212">
        <v>183339.18</v>
      </c>
      <c r="H127" s="1212">
        <f ca="1">SUM('ketv. 6 '!AF164)</f>
        <v>183339.18</v>
      </c>
      <c r="I127" s="1212">
        <f>SUM('ketv. 7 '!AK163)</f>
        <v>5781.43</v>
      </c>
      <c r="L127" s="1739">
        <f t="shared" si="6"/>
        <v>3.1534067077206303E-2</v>
      </c>
      <c r="M127" s="1740">
        <f t="shared" si="7"/>
        <v>3.1534067077206303E-2</v>
      </c>
    </row>
    <row r="128" spans="1:13" ht="37.5" thickBot="1" x14ac:dyDescent="0.3">
      <c r="A128" s="430">
        <f t="shared" si="11"/>
        <v>127</v>
      </c>
      <c r="B128" s="429" t="str">
        <f>CONCATENATE('3 pr-2'!D166)</f>
        <v>Paslaugų teikimo ir asmenų aptarnavimo kokybės gerinimas Druskininkų savivaldybėje</v>
      </c>
      <c r="C128" s="429" t="str">
        <f>CONCATENATE('3 pr-2'!H166)</f>
        <v>10.1.3-ESFA-R-920</v>
      </c>
      <c r="D128" s="429" t="str">
        <f>CONCATENATE('3 pr-2'!E166)</f>
        <v>Druskininkų savivaldybės administracija</v>
      </c>
      <c r="E128" s="429" t="str">
        <f>CONCATENATE('3 pr-2'!G166)</f>
        <v>Druskininkų sav.</v>
      </c>
      <c r="F128" s="1212">
        <f>SUM('3 pr-2'!AA166)</f>
        <v>137349.79999999999</v>
      </c>
      <c r="G128" s="1212">
        <v>137350</v>
      </c>
      <c r="H128" s="1212">
        <f ca="1">SUM('ketv. 6 '!AF165)</f>
        <v>137349.79999999999</v>
      </c>
      <c r="I128" s="1212">
        <f>SUM('ketv. 7 '!AK164)</f>
        <v>28630.95</v>
      </c>
      <c r="L128" s="1739">
        <f t="shared" si="6"/>
        <v>0.2084524936294139</v>
      </c>
      <c r="M128" s="1740">
        <f t="shared" si="7"/>
        <v>0.20845279716461185</v>
      </c>
    </row>
    <row r="129" spans="1:13" ht="49.5" thickBot="1" x14ac:dyDescent="0.3">
      <c r="A129" s="430">
        <f t="shared" si="11"/>
        <v>128</v>
      </c>
      <c r="B129" s="429" t="str">
        <f>CONCATENATE('3 pr-2'!D167)</f>
        <v>Teikiamų paslaugų procesų tobulinimas ir asmenų aptarnavimo kokybės gerinimas Alytaus m. sav. administracijoje ir jai pavaldžiose įstaigose. II etapas</v>
      </c>
      <c r="C129" s="429" t="str">
        <f>CONCATENATE('3 pr-2'!H167)</f>
        <v>10.1.3-ESFA-R-920</v>
      </c>
      <c r="D129" s="429" t="str">
        <f>CONCATENATE('3 pr-2'!E167)</f>
        <v>Alytaus miesto savivaldybės administracija</v>
      </c>
      <c r="E129" s="429" t="str">
        <f>CONCATENATE('3 pr-2'!G167)</f>
        <v>Alytaus m. sav.</v>
      </c>
      <c r="F129" s="1212">
        <f>SUM('3 pr-2'!AA167)</f>
        <v>170000</v>
      </c>
      <c r="G129" s="1212">
        <v>0</v>
      </c>
      <c r="H129" s="1212">
        <f ca="1">SUM('ketv. 6 '!AF166)</f>
        <v>0</v>
      </c>
      <c r="I129" s="1212">
        <f>SUM('ketv. 7 '!AK165)</f>
        <v>0</v>
      </c>
      <c r="L129" s="1739" t="e">
        <f t="shared" si="6"/>
        <v>#DIV/0!</v>
      </c>
      <c r="M129" s="1740">
        <f t="shared" si="7"/>
        <v>0</v>
      </c>
    </row>
    <row r="130" spans="1:13" ht="25.5" thickBot="1" x14ac:dyDescent="0.3">
      <c r="A130" s="430">
        <f t="shared" si="11"/>
        <v>129</v>
      </c>
      <c r="B130" s="429" t="str">
        <f>CONCATENATE('3 pr-2'!D171)</f>
        <v>Komunalinių atliekų tvarkymo sistemos plėtra Alytaus regione</v>
      </c>
      <c r="C130" s="429" t="str">
        <f>CONCATENATE('3 pr-2'!H171)</f>
        <v>05.2.1-APVA-R-008</v>
      </c>
      <c r="D130" s="429" t="str">
        <f>CONCATENATE('3 pr-2'!E171)</f>
        <v>Alytaus regiono atliekų tvarkymo centras</v>
      </c>
      <c r="E130" s="429" t="str">
        <f>CONCATENATE('3 pr-2'!G171)</f>
        <v>Alytaus regionas</v>
      </c>
      <c r="F130" s="1212">
        <f>SUM('3 pr-2'!AA171)</f>
        <v>3352807.77</v>
      </c>
      <c r="G130" s="1212">
        <v>3352807.77</v>
      </c>
      <c r="H130" s="1212">
        <f ca="1">SUM('ketv. 6 '!AF170)</f>
        <v>3352807.77</v>
      </c>
      <c r="I130" s="1212">
        <f>SUM('ketv. 7 '!AK169)</f>
        <v>607002.71</v>
      </c>
      <c r="L130" s="1739">
        <f t="shared" si="6"/>
        <v>0.18104309928868959</v>
      </c>
      <c r="M130" s="1740">
        <f t="shared" si="7"/>
        <v>0.18104309928868959</v>
      </c>
    </row>
    <row r="131" spans="1:13" ht="25.5" thickBot="1" x14ac:dyDescent="0.3">
      <c r="A131" s="430">
        <f t="shared" si="11"/>
        <v>130</v>
      </c>
      <c r="B131" s="429" t="str">
        <f>CONCATENATE('3 pr-2'!D174)</f>
        <v>Kraštovaizdžio formavimas ir tvarkymas Varėnos r. savivaldybėje (I etapas)</v>
      </c>
      <c r="C131" s="429" t="str">
        <f>CONCATENATE('3 pr-2'!H174)</f>
        <v>05.5.1-APVA-R-019</v>
      </c>
      <c r="D131" s="429" t="str">
        <f>CONCATENATE('3 pr-2'!E174)</f>
        <v>Varėnos rajono savivaldybės administracija</v>
      </c>
      <c r="E131" s="429" t="str">
        <f>CONCATENATE('3 pr-2'!G174)</f>
        <v>Varėnos r. sav.</v>
      </c>
      <c r="F131" s="1212">
        <f>SUM('3 pr-2'!AA174)</f>
        <v>263093.7</v>
      </c>
      <c r="G131" s="1212">
        <v>263094</v>
      </c>
      <c r="H131" s="1212">
        <f ca="1">SUM('ketv. 6 '!AF173)</f>
        <v>263093.7</v>
      </c>
      <c r="I131" s="1212">
        <f>SUM('ketv. 7 '!AK172)</f>
        <v>190951.38</v>
      </c>
      <c r="L131" s="1739">
        <f t="shared" ref="L131:L139" si="12">SUM(I131/G131)</f>
        <v>0.72579146616798562</v>
      </c>
      <c r="M131" s="1740">
        <f t="shared" ref="M131:M139" si="13">SUM(I131/F131)</f>
        <v>0.72579229377214272</v>
      </c>
    </row>
    <row r="132" spans="1:13" ht="25.5" thickBot="1" x14ac:dyDescent="0.3">
      <c r="A132" s="430">
        <f t="shared" si="11"/>
        <v>131</v>
      </c>
      <c r="B132" s="429" t="str">
        <f>CONCATENATE('3 pr-2'!D175)</f>
        <v>Kraštovaizdžio formavimas ir tvarkymas Varėnos r. savivaldybėje (II etapas)</v>
      </c>
      <c r="C132" s="429" t="str">
        <f>CONCATENATE('3 pr-2'!H175)</f>
        <v>05.5.1-APVA-R-019</v>
      </c>
      <c r="D132" s="429" t="str">
        <f>CONCATENATE('3 pr-2'!E175)</f>
        <v>Varėnos rajono savivaldybės administracija</v>
      </c>
      <c r="E132" s="429" t="str">
        <f>CONCATENATE('3 pr-2'!G175)</f>
        <v>Varėnos r. sav.</v>
      </c>
      <c r="F132" s="1212">
        <f>SUM('3 pr-2'!AA175)</f>
        <v>471079</v>
      </c>
      <c r="G132" s="1212">
        <v>471079</v>
      </c>
      <c r="H132" s="1212">
        <f ca="1">SUM('ketv. 6 '!AF174)</f>
        <v>0</v>
      </c>
      <c r="I132" s="1212">
        <f>SUM('ketv. 7 '!AK173)</f>
        <v>0</v>
      </c>
      <c r="L132" s="1739">
        <f t="shared" si="12"/>
        <v>0</v>
      </c>
      <c r="M132" s="1740">
        <f t="shared" si="13"/>
        <v>0</v>
      </c>
    </row>
    <row r="133" spans="1:13" ht="25.5" thickBot="1" x14ac:dyDescent="0.3">
      <c r="A133" s="430">
        <f t="shared" ref="A133:A138" si="14">ROW(A132)</f>
        <v>132</v>
      </c>
      <c r="B133" s="429" t="str">
        <f>CONCATENATE('3 pr-2'!D176)</f>
        <v>Bešeimininkių apleistų pastatų ir įrenginių tvarkymas Alytaus rajono savivaldybėje</v>
      </c>
      <c r="C133" s="429" t="str">
        <f>CONCATENATE('3 pr-2'!H176)</f>
        <v>05.5.1-APVA-R-019</v>
      </c>
      <c r="D133" s="429" t="str">
        <f>CONCATENATE('3 pr-2'!E176)</f>
        <v>Alytaus rajono savivaldybės administracija</v>
      </c>
      <c r="E133" s="429" t="str">
        <f>CONCATENATE('3 pr-2'!G176)</f>
        <v>Alytaus r. sav.</v>
      </c>
      <c r="F133" s="1212">
        <f>SUM('3 pr-2'!AA176)</f>
        <v>86500.800000000003</v>
      </c>
      <c r="G133" s="1212">
        <v>86501</v>
      </c>
      <c r="H133" s="1212">
        <f ca="1">SUM('ketv. 6 '!AF175)</f>
        <v>86500.800000000003</v>
      </c>
      <c r="I133" s="1212">
        <f>SUM('ketv. 7 '!AK174)</f>
        <v>45457.02</v>
      </c>
      <c r="L133" s="1739">
        <f t="shared" si="12"/>
        <v>0.52550860683691514</v>
      </c>
      <c r="M133" s="1740">
        <f t="shared" si="13"/>
        <v>0.5255098218744797</v>
      </c>
    </row>
    <row r="134" spans="1:13" ht="37.5" thickBot="1" x14ac:dyDescent="0.3">
      <c r="A134" s="430">
        <f t="shared" si="14"/>
        <v>133</v>
      </c>
      <c r="B134" s="429" t="str">
        <f>CONCATENATE('3 pr-2'!D177)</f>
        <v>Alytaus miesto bendrojo plano korektūra zonuojant kraštovaizdžio struktūrą, nustatant reglamentus ir principus</v>
      </c>
      <c r="C134" s="429" t="str">
        <f>CONCATENATE('3 pr-2'!H177)</f>
        <v>05.5.1-APVA-R-019</v>
      </c>
      <c r="D134" s="429" t="str">
        <f>CONCATENATE('3 pr-2'!E177)</f>
        <v>Alytaus miesto savivaldybės administracija</v>
      </c>
      <c r="E134" s="429" t="str">
        <f>CONCATENATE('3 pr-2'!G177)</f>
        <v>Alytaus m. sav.</v>
      </c>
      <c r="F134" s="1212">
        <f>SUM('3 pr-2'!AA177)</f>
        <v>3394.05</v>
      </c>
      <c r="G134" s="1212">
        <v>3394.05</v>
      </c>
      <c r="H134" s="1212">
        <f ca="1">SUM('ketv. 6 '!AF176)</f>
        <v>3394.05</v>
      </c>
      <c r="I134" s="1212">
        <f>SUM('ketv. 7 '!AK175)</f>
        <v>1018.22</v>
      </c>
      <c r="L134" s="1739">
        <f t="shared" si="12"/>
        <v>0.30000147316627629</v>
      </c>
      <c r="M134" s="1740">
        <f t="shared" si="13"/>
        <v>0.30000147316627629</v>
      </c>
    </row>
    <row r="135" spans="1:13" ht="25.5" thickBot="1" x14ac:dyDescent="0.3">
      <c r="A135" s="430">
        <f t="shared" si="14"/>
        <v>134</v>
      </c>
      <c r="B135" s="429" t="str">
        <f>CONCATENATE('3 pr-2'!D178)</f>
        <v>Bešeimininkių apleistų pastatų Druskininkų savivaldybės teritorijoje likvidavimas</v>
      </c>
      <c r="C135" s="429" t="str">
        <f>CONCATENATE('3 pr-2'!H178)</f>
        <v>05.5.1-APVA-R-019</v>
      </c>
      <c r="D135" s="429" t="str">
        <f>CONCATENATE('3 pr-2'!E178)</f>
        <v>Druskininkų savivaldybės administracija</v>
      </c>
      <c r="E135" s="429" t="str">
        <f>CONCATENATE('3 pr-2'!G178)</f>
        <v>Druskininkų sav.</v>
      </c>
      <c r="F135" s="1212">
        <f>SUM('3 pr-2'!AA178)</f>
        <v>102980.52</v>
      </c>
      <c r="G135" s="1212">
        <v>102980.52</v>
      </c>
      <c r="H135" s="1212">
        <f ca="1">SUM('ketv. 6 '!AF177)</f>
        <v>102980.52</v>
      </c>
      <c r="I135" s="1212">
        <f>SUM('ketv. 7 '!AK176)</f>
        <v>102980.52</v>
      </c>
      <c r="L135" s="1739">
        <f t="shared" si="12"/>
        <v>1</v>
      </c>
      <c r="M135" s="1740">
        <f t="shared" si="13"/>
        <v>1</v>
      </c>
    </row>
    <row r="136" spans="1:13" ht="25.5" thickBot="1" x14ac:dyDescent="0.3">
      <c r="A136" s="430">
        <f t="shared" si="14"/>
        <v>135</v>
      </c>
      <c r="B136" s="429" t="str">
        <f>CONCATENATE('3 pr-2'!D179)</f>
        <v>Kraštovaizdžio formavimas Lazdijų rajono savivaldybėje</v>
      </c>
      <c r="C136" s="429" t="str">
        <f>CONCATENATE('3 pr-2'!H179)</f>
        <v>05.5.1-APVA-R-019</v>
      </c>
      <c r="D136" s="429" t="str">
        <f>CONCATENATE('3 pr-2'!E179)</f>
        <v>Lazdijų rajono savivaldybės administracija</v>
      </c>
      <c r="E136" s="429" t="str">
        <f>CONCATENATE('3 pr-2'!G179)</f>
        <v>Lazdijų r. sav.</v>
      </c>
      <c r="F136" s="1212">
        <f>SUM('3 pr-2'!AA179)</f>
        <v>375953.81</v>
      </c>
      <c r="G136" s="1212">
        <v>375953.81</v>
      </c>
      <c r="H136" s="1212">
        <f ca="1">SUM('ketv. 6 '!AF178)</f>
        <v>375953.81</v>
      </c>
      <c r="I136" s="1212">
        <f>SUM('ketv. 7 '!AK177)</f>
        <v>193242.66000000003</v>
      </c>
      <c r="L136" s="1739">
        <f t="shared" si="12"/>
        <v>0.51400638817837763</v>
      </c>
      <c r="M136" s="1740">
        <f t="shared" si="13"/>
        <v>0.51400638817837763</v>
      </c>
    </row>
    <row r="137" spans="1:13" ht="25.5" thickBot="1" x14ac:dyDescent="0.3">
      <c r="A137" s="430">
        <f t="shared" si="14"/>
        <v>136</v>
      </c>
      <c r="B137" s="429" t="str">
        <f>CONCATENATE('3 pr-2'!D180)</f>
        <v>Kraštovaizdžio formavimas Lazdijų rajono savivaldybėje (II etapas)</v>
      </c>
      <c r="C137" s="429" t="str">
        <f>CONCATENATE('3 pr-2'!H180)</f>
        <v>05.5.1-APVA-R-019</v>
      </c>
      <c r="D137" s="429" t="str">
        <f>CONCATENATE('3 pr-2'!E180)</f>
        <v>Lazdijų rajono savivaldybės administracija</v>
      </c>
      <c r="E137" s="429" t="str">
        <f>CONCATENATE('3 pr-2'!G180)</f>
        <v>Lazdijų r. sav.</v>
      </c>
      <c r="F137" s="1212">
        <f>SUM('3 pr-2'!AA180)</f>
        <v>127323.39</v>
      </c>
      <c r="G137" s="1212">
        <v>127323</v>
      </c>
      <c r="H137" s="1212">
        <f ca="1">SUM('ketv. 6 '!AF179)</f>
        <v>0</v>
      </c>
      <c r="I137" s="1212">
        <f>SUM('ketv. 7 '!AK178)</f>
        <v>0</v>
      </c>
      <c r="L137" s="1739">
        <f t="shared" si="12"/>
        <v>0</v>
      </c>
      <c r="M137" s="1740">
        <f t="shared" si="13"/>
        <v>0</v>
      </c>
    </row>
    <row r="138" spans="1:13" ht="37.5" thickBot="1" x14ac:dyDescent="0.3">
      <c r="A138" s="430">
        <f t="shared" si="14"/>
        <v>137</v>
      </c>
      <c r="B138" s="429" t="str">
        <f>CONCATENATE('3 pr-2'!D181)</f>
        <v>Bešeimininkių apleistų pastatų ir įrenginių tvarkymas Alytaus rajono savivaldybėje (II etapas)</v>
      </c>
      <c r="C138" s="429" t="str">
        <f>CONCATENATE('3 pr-2'!H181)</f>
        <v>05.5.1-APVA-R-019</v>
      </c>
      <c r="D138" s="429" t="str">
        <f>CONCATENATE('3 pr-2'!E181)</f>
        <v>Alytaus rajono savivaldybės administracija</v>
      </c>
      <c r="E138" s="429" t="str">
        <f>CONCATENATE('3 pr-2'!G181)</f>
        <v>Alytaus r. sav.</v>
      </c>
      <c r="F138" s="1212">
        <f>SUM('3 pr-2'!AA181)</f>
        <v>626057</v>
      </c>
      <c r="G138" s="1212">
        <v>626057</v>
      </c>
      <c r="H138" s="1212">
        <f ca="1">SUM('ketv. 6 '!AF180)</f>
        <v>236024.6</v>
      </c>
      <c r="I138" s="1212">
        <f>SUM('ketv. 7 '!AK179)</f>
        <v>0</v>
      </c>
      <c r="L138" s="1739">
        <f t="shared" si="12"/>
        <v>0</v>
      </c>
      <c r="M138" s="1740">
        <f t="shared" si="13"/>
        <v>0</v>
      </c>
    </row>
    <row r="139" spans="1:13" ht="25.5" thickBot="1" x14ac:dyDescent="0.3">
      <c r="A139" s="430">
        <f t="shared" ref="A139" si="15">ROW(A138)</f>
        <v>138</v>
      </c>
      <c r="B139" s="429" t="str">
        <f>CONCATENATE('3 pr-2'!D182)</f>
        <v>Etaloninio kraštovaizdžio formavimas Druskininkų savivaldybės pasienyje</v>
      </c>
      <c r="C139" s="429" t="str">
        <f>CONCATENATE('3 pr-2'!H182)</f>
        <v>05.5.1-APVA-R-019</v>
      </c>
      <c r="D139" s="429" t="str">
        <f>CONCATENATE('3 pr-2'!E182)</f>
        <v>Druskininkų savivaldybės administracija</v>
      </c>
      <c r="E139" s="429" t="str">
        <f>CONCATENATE('3 pr-2'!G182)</f>
        <v>Druskininkų sav.</v>
      </c>
      <c r="F139" s="1212">
        <f>SUM('3 pr-2'!AA182)</f>
        <v>75245.48</v>
      </c>
      <c r="G139" s="1212">
        <v>75245</v>
      </c>
      <c r="H139" s="1212">
        <f ca="1">SUM('ketv. 6 '!AF181)</f>
        <v>0</v>
      </c>
      <c r="I139" s="1212">
        <f>SUM('ketv. 7 '!AK180)</f>
        <v>0</v>
      </c>
      <c r="L139" s="1739">
        <f t="shared" si="12"/>
        <v>0</v>
      </c>
      <c r="M139" s="1740">
        <f t="shared" si="13"/>
        <v>0</v>
      </c>
    </row>
    <row r="140" spans="1:13" ht="32.25" thickBot="1" x14ac:dyDescent="0.3">
      <c r="E140" s="1628" t="s">
        <v>1841</v>
      </c>
      <c r="F140" s="1628" t="s">
        <v>1821</v>
      </c>
      <c r="G140" s="1628" t="s">
        <v>1822</v>
      </c>
      <c r="H140" s="1628" t="s">
        <v>1823</v>
      </c>
      <c r="I140" s="76" t="s">
        <v>1827</v>
      </c>
      <c r="L140" s="1629"/>
      <c r="M140" s="1629"/>
    </row>
    <row r="141" spans="1:13" ht="15.75" thickBot="1" x14ac:dyDescent="0.3">
      <c r="E141" s="1630" t="s">
        <v>1825</v>
      </c>
      <c r="F141" s="1632">
        <f t="shared" ref="F141:F147" si="16">SUMIF($E$2:$E$139,E141,$F$2:$F$139)</f>
        <v>12446075.709999999</v>
      </c>
      <c r="G141" s="1634">
        <f t="shared" ref="G141:G147" si="17">SUMIF($E$2:$E$139,E141,$G$2:$G$139)</f>
        <v>11877171.709999999</v>
      </c>
      <c r="H141" s="1632">
        <f t="shared" ref="H141:H147" ca="1" si="18">SUMIF($E$2:$E$139,E141,$H$2:$H$139)</f>
        <v>9103766.2100000009</v>
      </c>
      <c r="I141" s="1632">
        <f t="shared" ref="I141:I147" si="19">SUMIF($E$2:$E$139,E141,$I$2:$I$139)</f>
        <v>4221318.6899999995</v>
      </c>
      <c r="L141" s="1629"/>
      <c r="M141" s="1629"/>
    </row>
    <row r="142" spans="1:13" ht="15.75" thickBot="1" x14ac:dyDescent="0.3">
      <c r="E142" s="1631" t="s">
        <v>1824</v>
      </c>
      <c r="F142" s="1633">
        <f t="shared" si="16"/>
        <v>6167092.5099999998</v>
      </c>
      <c r="G142" s="1635">
        <f t="shared" si="17"/>
        <v>5228085.1000000006</v>
      </c>
      <c r="H142" s="1633">
        <f t="shared" ca="1" si="18"/>
        <v>4080225.76</v>
      </c>
      <c r="I142" s="1633">
        <f t="shared" si="19"/>
        <v>435586.15</v>
      </c>
      <c r="L142" s="1629"/>
      <c r="M142" s="1629"/>
    </row>
    <row r="143" spans="1:13" ht="30.75" thickBot="1" x14ac:dyDescent="0.3">
      <c r="E143" s="1630" t="s">
        <v>1469</v>
      </c>
      <c r="F143" s="1632">
        <f t="shared" si="16"/>
        <v>8440472.6499999985</v>
      </c>
      <c r="G143" s="1634">
        <f t="shared" si="17"/>
        <v>8327483.5899999989</v>
      </c>
      <c r="H143" s="1632">
        <f t="shared" ca="1" si="18"/>
        <v>5189351.0599999996</v>
      </c>
      <c r="I143" s="1632">
        <f t="shared" si="19"/>
        <v>1261489.22</v>
      </c>
      <c r="L143" s="1629"/>
      <c r="M143" s="1629"/>
    </row>
    <row r="144" spans="1:13" ht="15.75" thickBot="1" x14ac:dyDescent="0.3">
      <c r="E144" s="1630" t="s">
        <v>1826</v>
      </c>
      <c r="F144" s="1633">
        <f t="shared" si="16"/>
        <v>5121123.2999999989</v>
      </c>
      <c r="G144" s="1636">
        <f t="shared" si="17"/>
        <v>5114014.37</v>
      </c>
      <c r="H144" s="1633">
        <f t="shared" ca="1" si="18"/>
        <v>4586999.5099999988</v>
      </c>
      <c r="I144" s="1633">
        <f t="shared" si="19"/>
        <v>1462859.6400000001</v>
      </c>
      <c r="L144" s="1629"/>
      <c r="M144" s="1629"/>
    </row>
    <row r="145" spans="3:13" ht="15.75" thickBot="1" x14ac:dyDescent="0.3">
      <c r="E145" s="1630" t="s">
        <v>1484</v>
      </c>
      <c r="F145" s="1632">
        <f t="shared" si="16"/>
        <v>11118285.209999999</v>
      </c>
      <c r="G145" s="1637">
        <f t="shared" si="17"/>
        <v>10986933.140000001</v>
      </c>
      <c r="H145" s="1632">
        <f t="shared" ca="1" si="18"/>
        <v>9821101.7299999986</v>
      </c>
      <c r="I145" s="1632">
        <f t="shared" si="19"/>
        <v>4088050.1599999997</v>
      </c>
      <c r="L145" s="1629"/>
      <c r="M145" s="1629"/>
    </row>
    <row r="146" spans="3:13" ht="30.75" thickBot="1" x14ac:dyDescent="0.3">
      <c r="E146" s="1630" t="s">
        <v>185</v>
      </c>
      <c r="F146" s="1632">
        <f t="shared" si="16"/>
        <v>3352807.77</v>
      </c>
      <c r="G146" s="1637">
        <f t="shared" si="17"/>
        <v>3352807.77</v>
      </c>
      <c r="H146" s="1632">
        <f t="shared" ca="1" si="18"/>
        <v>3352807.77</v>
      </c>
      <c r="I146" s="1632">
        <f t="shared" si="19"/>
        <v>607002.71</v>
      </c>
      <c r="L146" s="1629"/>
      <c r="M146" s="1629"/>
    </row>
    <row r="147" spans="3:13" ht="60.75" thickBot="1" x14ac:dyDescent="0.3">
      <c r="E147" s="1630" t="s">
        <v>312</v>
      </c>
      <c r="F147" s="1632">
        <f t="shared" si="16"/>
        <v>434430</v>
      </c>
      <c r="G147" s="1637">
        <f t="shared" si="17"/>
        <v>244890.1</v>
      </c>
      <c r="H147" s="1632">
        <f t="shared" ca="1" si="18"/>
        <v>244890.1</v>
      </c>
      <c r="I147" s="1632">
        <f t="shared" si="19"/>
        <v>47727.439999999995</v>
      </c>
      <c r="L147" s="1629"/>
      <c r="M147" s="1629"/>
    </row>
    <row r="148" spans="3:13" ht="15.75" thickBot="1" x14ac:dyDescent="0.3">
      <c r="F148" s="256"/>
    </row>
    <row r="149" spans="3:13" ht="15.75" thickBot="1" x14ac:dyDescent="0.3">
      <c r="E149" s="1630" t="s">
        <v>336</v>
      </c>
      <c r="F149" s="1632">
        <f>SUM(F141:F148)</f>
        <v>47080287.149999999</v>
      </c>
      <c r="G149" s="1637">
        <f>SUM(G141:G148)</f>
        <v>45131385.780000001</v>
      </c>
      <c r="H149" s="1632">
        <f ca="1">SUM(H141:H148)</f>
        <v>36379142.140000001</v>
      </c>
      <c r="I149" s="1632">
        <f>SUM(I141:I148)</f>
        <v>12124034.01</v>
      </c>
    </row>
    <row r="150" spans="3:13" ht="15.75" thickBot="1" x14ac:dyDescent="0.3"/>
    <row r="151" spans="3:13" ht="48" thickBot="1" x14ac:dyDescent="0.3">
      <c r="C151" s="1628" t="s">
        <v>1820</v>
      </c>
      <c r="D151" s="2087" t="s">
        <v>2718</v>
      </c>
      <c r="E151" s="2088"/>
      <c r="F151" s="1628" t="s">
        <v>1821</v>
      </c>
      <c r="G151" s="1628" t="s">
        <v>1822</v>
      </c>
      <c r="H151" s="1628" t="s">
        <v>1823</v>
      </c>
      <c r="I151" s="76" t="s">
        <v>1827</v>
      </c>
      <c r="J151" s="76" t="s">
        <v>1887</v>
      </c>
      <c r="K151" s="76" t="s">
        <v>1888</v>
      </c>
    </row>
    <row r="152" spans="3:13" ht="45.75" customHeight="1" thickBot="1" x14ac:dyDescent="0.3">
      <c r="C152" s="1630" t="s">
        <v>444</v>
      </c>
      <c r="D152" s="2089" t="s">
        <v>3547</v>
      </c>
      <c r="E152" s="2066"/>
      <c r="F152" s="1632">
        <f>SUMIF($C$2:$C$139,C152,$F$2:$F$139)</f>
        <v>2804551</v>
      </c>
      <c r="G152" s="1637">
        <f>SUMIF($C$2:$C$139,C152,$G$2:$G$139)</f>
        <v>2804551</v>
      </c>
      <c r="H152" s="1632">
        <f>SUMIF($C$2:$C$139,C152,$H$2:$H$139)</f>
        <v>2569814.3499999996</v>
      </c>
      <c r="I152" s="1632">
        <f>SUMIF($C$2:$C$139,C152,$I$2:$I$139)</f>
        <v>0</v>
      </c>
      <c r="J152" s="1655">
        <f>SUM(I152/G152)</f>
        <v>0</v>
      </c>
      <c r="K152" s="1655">
        <f>SUM(I152/F152)</f>
        <v>0</v>
      </c>
    </row>
    <row r="153" spans="3:13" ht="31.5" customHeight="1" thickBot="1" x14ac:dyDescent="0.3">
      <c r="C153" s="1738" t="s">
        <v>146</v>
      </c>
      <c r="D153" s="2089" t="s">
        <v>3546</v>
      </c>
      <c r="E153" s="2066"/>
      <c r="F153" s="1632">
        <f t="shared" ref="F153:F175" si="20">SUMIF($C$2:$C$139,C153,$F$2:$F$139)</f>
        <v>2816451.64</v>
      </c>
      <c r="G153" s="1637">
        <f t="shared" ref="G153:G175" si="21">SUMIF($C$2:$C$139,C153,$G$2:$G$139)</f>
        <v>1929504.6400000001</v>
      </c>
      <c r="H153" s="1632">
        <f t="shared" ref="H153:H175" ca="1" si="22">SUMIF($C$2:$C$139,C153,$H$2:$H$139)</f>
        <v>1929504.6400000001</v>
      </c>
      <c r="I153" s="1632">
        <f t="shared" ref="I153:I175" si="23">SUMIF($C$2:$C$139,C153,$I$2:$I$139)</f>
        <v>47701.89</v>
      </c>
      <c r="J153" s="1655">
        <f t="shared" ref="J153:J175" si="24">SUM(I153/G153)</f>
        <v>2.4722350499245236E-2</v>
      </c>
      <c r="K153" s="1655">
        <f t="shared" ref="K153:K175" si="25">SUM(I153/F153)</f>
        <v>1.6936875223605825E-2</v>
      </c>
    </row>
    <row r="154" spans="3:13" ht="15.75" thickBot="1" x14ac:dyDescent="0.3">
      <c r="C154" s="1738" t="s">
        <v>850</v>
      </c>
      <c r="D154" s="2089" t="s">
        <v>3548</v>
      </c>
      <c r="E154" s="2066"/>
      <c r="F154" s="1632">
        <f t="shared" si="20"/>
        <v>3697301.8899999997</v>
      </c>
      <c r="G154" s="1637">
        <f t="shared" si="21"/>
        <v>3567186.5899999994</v>
      </c>
      <c r="H154" s="1632">
        <f t="shared" ca="1" si="22"/>
        <v>3184369.5399999996</v>
      </c>
      <c r="I154" s="1632">
        <f t="shared" si="23"/>
        <v>1767427.9600000002</v>
      </c>
      <c r="J154" s="1655">
        <f t="shared" si="24"/>
        <v>0.49546832367969867</v>
      </c>
      <c r="K154" s="1655">
        <f t="shared" si="25"/>
        <v>0.47803182228108521</v>
      </c>
    </row>
    <row r="155" spans="3:13" ht="34.5" customHeight="1" thickBot="1" x14ac:dyDescent="0.3">
      <c r="C155" s="1738" t="s">
        <v>268</v>
      </c>
      <c r="D155" s="2089" t="s">
        <v>3549</v>
      </c>
      <c r="E155" s="2066"/>
      <c r="F155" s="1632">
        <f t="shared" si="20"/>
        <v>575484.89</v>
      </c>
      <c r="G155" s="1637">
        <f t="shared" si="21"/>
        <v>575485</v>
      </c>
      <c r="H155" s="1632">
        <f t="shared" ca="1" si="22"/>
        <v>575484.89</v>
      </c>
      <c r="I155" s="1632">
        <f t="shared" si="23"/>
        <v>402870.37</v>
      </c>
      <c r="J155" s="1655">
        <f t="shared" si="24"/>
        <v>0.70005364171090467</v>
      </c>
      <c r="K155" s="1655">
        <f t="shared" si="25"/>
        <v>0.70005377552136949</v>
      </c>
    </row>
    <row r="156" spans="3:13" ht="48.75" customHeight="1" thickBot="1" x14ac:dyDescent="0.3">
      <c r="C156" s="1738" t="s">
        <v>144</v>
      </c>
      <c r="D156" s="2089" t="s">
        <v>380</v>
      </c>
      <c r="E156" s="2066"/>
      <c r="F156" s="1632">
        <f t="shared" si="20"/>
        <v>8920392.5700000003</v>
      </c>
      <c r="G156" s="1637">
        <f t="shared" si="21"/>
        <v>8810673.5099999998</v>
      </c>
      <c r="H156" s="1632">
        <f t="shared" ca="1" si="22"/>
        <v>7397173.5999999996</v>
      </c>
      <c r="I156" s="1632">
        <f t="shared" si="23"/>
        <v>2633206.81</v>
      </c>
      <c r="J156" s="1655">
        <f t="shared" si="24"/>
        <v>0.29886555290141492</v>
      </c>
      <c r="K156" s="1655">
        <f t="shared" si="25"/>
        <v>0.29518956585562017</v>
      </c>
    </row>
    <row r="157" spans="3:13" ht="15.75" thickBot="1" x14ac:dyDescent="0.3">
      <c r="C157" s="1738" t="s">
        <v>179</v>
      </c>
      <c r="D157" s="2089" t="s">
        <v>661</v>
      </c>
      <c r="E157" s="2066"/>
      <c r="F157" s="1632">
        <f t="shared" si="20"/>
        <v>3399493.48</v>
      </c>
      <c r="G157" s="1637">
        <f t="shared" si="21"/>
        <v>3399493</v>
      </c>
      <c r="H157" s="1632">
        <f t="shared" ca="1" si="22"/>
        <v>2387993.48</v>
      </c>
      <c r="I157" s="1632">
        <f t="shared" si="23"/>
        <v>917721.99</v>
      </c>
      <c r="J157" s="1655">
        <f t="shared" si="24"/>
        <v>0.26995848792746446</v>
      </c>
      <c r="K157" s="1655">
        <f t="shared" si="25"/>
        <v>0.26995844980999933</v>
      </c>
    </row>
    <row r="158" spans="3:13" ht="46.5" customHeight="1" thickBot="1" x14ac:dyDescent="0.3">
      <c r="C158" s="1738" t="s">
        <v>774</v>
      </c>
      <c r="D158" s="2089" t="s">
        <v>133</v>
      </c>
      <c r="E158" s="2066"/>
      <c r="F158" s="1632">
        <f t="shared" si="20"/>
        <v>611420</v>
      </c>
      <c r="G158" s="1637">
        <f t="shared" si="21"/>
        <v>421880.1</v>
      </c>
      <c r="H158" s="1632">
        <f t="shared" ca="1" si="22"/>
        <v>421880.1</v>
      </c>
      <c r="I158" s="1632">
        <f t="shared" si="23"/>
        <v>47727.439999999995</v>
      </c>
      <c r="J158" s="1655">
        <f t="shared" si="24"/>
        <v>0.11313034200949511</v>
      </c>
      <c r="K158" s="1655">
        <f t="shared" si="25"/>
        <v>7.805999149520787E-2</v>
      </c>
    </row>
    <row r="159" spans="3:13" ht="36" customHeight="1" thickBot="1" x14ac:dyDescent="0.3">
      <c r="C159" s="1738" t="s">
        <v>143</v>
      </c>
      <c r="D159" s="2089" t="s">
        <v>255</v>
      </c>
      <c r="E159" s="2066"/>
      <c r="F159" s="1632">
        <f t="shared" si="20"/>
        <v>1198163.7</v>
      </c>
      <c r="G159" s="1637">
        <f t="shared" si="21"/>
        <v>1198164</v>
      </c>
      <c r="H159" s="1632">
        <f t="shared" ca="1" si="22"/>
        <v>1198163.7</v>
      </c>
      <c r="I159" s="1632">
        <f t="shared" si="23"/>
        <v>689861.22999999986</v>
      </c>
      <c r="J159" s="1655">
        <f t="shared" si="24"/>
        <v>0.57576527921052534</v>
      </c>
      <c r="K159" s="1655">
        <f t="shared" si="25"/>
        <v>0.57576542337244896</v>
      </c>
    </row>
    <row r="160" spans="3:13" ht="31.5" customHeight="1" thickBot="1" x14ac:dyDescent="0.3">
      <c r="C160" s="1738" t="s">
        <v>182</v>
      </c>
      <c r="D160" s="2089" t="s">
        <v>256</v>
      </c>
      <c r="E160" s="2066"/>
      <c r="F160" s="1632">
        <f t="shared" si="20"/>
        <v>1030280</v>
      </c>
      <c r="G160" s="1637">
        <f t="shared" si="21"/>
        <v>1030280</v>
      </c>
      <c r="H160" s="1632">
        <f t="shared" ca="1" si="22"/>
        <v>792082.72</v>
      </c>
      <c r="I160" s="1632">
        <f t="shared" si="23"/>
        <v>20714.48</v>
      </c>
      <c r="J160" s="1655">
        <f t="shared" si="24"/>
        <v>2.0105680009317856E-2</v>
      </c>
      <c r="K160" s="1655">
        <f t="shared" si="25"/>
        <v>2.0105680009317856E-2</v>
      </c>
    </row>
    <row r="161" spans="3:11" ht="39.75" customHeight="1" thickBot="1" x14ac:dyDescent="0.3">
      <c r="C161" s="1738" t="s">
        <v>135</v>
      </c>
      <c r="D161" s="2089" t="s">
        <v>3550</v>
      </c>
      <c r="E161" s="2066"/>
      <c r="F161" s="1632">
        <f t="shared" si="20"/>
        <v>1263272</v>
      </c>
      <c r="G161" s="1637">
        <f t="shared" si="21"/>
        <v>918094</v>
      </c>
      <c r="H161" s="1632">
        <f t="shared" ca="1" si="22"/>
        <v>0</v>
      </c>
      <c r="I161" s="1632">
        <f t="shared" si="23"/>
        <v>0</v>
      </c>
      <c r="J161" s="1655">
        <f t="shared" si="24"/>
        <v>0</v>
      </c>
      <c r="K161" s="1655">
        <f t="shared" si="25"/>
        <v>0</v>
      </c>
    </row>
    <row r="162" spans="3:11" ht="15.75" thickBot="1" x14ac:dyDescent="0.3">
      <c r="C162" s="1738" t="s">
        <v>147</v>
      </c>
      <c r="D162" s="2089" t="s">
        <v>3551</v>
      </c>
      <c r="E162" s="2066"/>
      <c r="F162" s="1632">
        <f t="shared" si="20"/>
        <v>1567659.8</v>
      </c>
      <c r="G162" s="1637">
        <f t="shared" si="21"/>
        <v>1567659.8</v>
      </c>
      <c r="H162" s="1632">
        <f t="shared" ca="1" si="22"/>
        <v>0</v>
      </c>
      <c r="I162" s="1632">
        <f t="shared" si="23"/>
        <v>0</v>
      </c>
      <c r="J162" s="1655">
        <f t="shared" si="24"/>
        <v>0</v>
      </c>
      <c r="K162" s="1655">
        <f t="shared" si="25"/>
        <v>0</v>
      </c>
    </row>
    <row r="163" spans="3:11" ht="36" customHeight="1" thickBot="1" x14ac:dyDescent="0.3">
      <c r="C163" s="1738" t="s">
        <v>148</v>
      </c>
      <c r="D163" s="2089" t="s">
        <v>3552</v>
      </c>
      <c r="E163" s="2066"/>
      <c r="F163" s="1632">
        <f t="shared" si="20"/>
        <v>412707.13</v>
      </c>
      <c r="G163" s="1637">
        <f t="shared" si="21"/>
        <v>408660.69</v>
      </c>
      <c r="H163" s="1632">
        <f t="shared" ca="1" si="22"/>
        <v>352037.69</v>
      </c>
      <c r="I163" s="1632">
        <f t="shared" si="23"/>
        <v>98118.43</v>
      </c>
      <c r="J163" s="1655">
        <f t="shared" si="24"/>
        <v>0.2400975488980846</v>
      </c>
      <c r="K163" s="1655">
        <f t="shared" si="25"/>
        <v>0.23774348167912676</v>
      </c>
    </row>
    <row r="164" spans="3:11" ht="15.75" thickBot="1" x14ac:dyDescent="0.3">
      <c r="C164" s="1738" t="s">
        <v>141</v>
      </c>
      <c r="D164" s="2089" t="s">
        <v>3553</v>
      </c>
      <c r="E164" s="2066"/>
      <c r="F164" s="1632">
        <f t="shared" si="20"/>
        <v>3052807</v>
      </c>
      <c r="G164" s="1637">
        <f t="shared" si="21"/>
        <v>2939818</v>
      </c>
      <c r="H164" s="1632">
        <f t="shared" ca="1" si="22"/>
        <v>2304870</v>
      </c>
      <c r="I164" s="1632">
        <f t="shared" si="23"/>
        <v>1165728.3999999999</v>
      </c>
      <c r="J164" s="1655">
        <f t="shared" si="24"/>
        <v>0.3965308056485129</v>
      </c>
      <c r="K164" s="1655">
        <f t="shared" si="25"/>
        <v>0.38185460135540827</v>
      </c>
    </row>
    <row r="165" spans="3:11" ht="15.75" thickBot="1" x14ac:dyDescent="0.3">
      <c r="C165" s="1738" t="s">
        <v>136</v>
      </c>
      <c r="D165" s="2089" t="s">
        <v>381</v>
      </c>
      <c r="E165" s="2066"/>
      <c r="F165" s="1632">
        <f t="shared" si="20"/>
        <v>1142377</v>
      </c>
      <c r="G165" s="1637">
        <f t="shared" si="21"/>
        <v>1142377</v>
      </c>
      <c r="H165" s="1632">
        <f t="shared" ca="1" si="22"/>
        <v>1142377</v>
      </c>
      <c r="I165" s="1632">
        <f t="shared" si="23"/>
        <v>317033.24</v>
      </c>
      <c r="J165" s="1655">
        <f t="shared" si="24"/>
        <v>0.27752067837500227</v>
      </c>
      <c r="K165" s="1655">
        <f t="shared" si="25"/>
        <v>0.27752067837500227</v>
      </c>
    </row>
    <row r="166" spans="3:11" ht="30" customHeight="1" thickBot="1" x14ac:dyDescent="0.3">
      <c r="C166" s="1738" t="s">
        <v>139</v>
      </c>
      <c r="D166" s="2089" t="s">
        <v>3554</v>
      </c>
      <c r="E166" s="2066"/>
      <c r="F166" s="1632">
        <f t="shared" si="20"/>
        <v>1486007</v>
      </c>
      <c r="G166" s="1637">
        <f t="shared" si="21"/>
        <v>1486008</v>
      </c>
      <c r="H166" s="1632">
        <f t="shared" ca="1" si="22"/>
        <v>1486007</v>
      </c>
      <c r="I166" s="1632">
        <f t="shared" si="23"/>
        <v>325885.13</v>
      </c>
      <c r="J166" s="1655">
        <f t="shared" si="24"/>
        <v>0.21930240617816324</v>
      </c>
      <c r="K166" s="1655">
        <f t="shared" si="25"/>
        <v>0.21930255375647625</v>
      </c>
    </row>
    <row r="167" spans="3:11" ht="36.75" customHeight="1" thickBot="1" x14ac:dyDescent="0.3">
      <c r="C167" s="1738" t="s">
        <v>140</v>
      </c>
      <c r="D167" s="2089" t="s">
        <v>261</v>
      </c>
      <c r="E167" s="2066"/>
      <c r="F167" s="1632">
        <f t="shared" si="20"/>
        <v>1138588</v>
      </c>
      <c r="G167" s="1637">
        <f t="shared" si="21"/>
        <v>1138588</v>
      </c>
      <c r="H167" s="1632">
        <f t="shared" ca="1" si="22"/>
        <v>1138588</v>
      </c>
      <c r="I167" s="1632">
        <f t="shared" si="23"/>
        <v>73134.19</v>
      </c>
      <c r="J167" s="1655">
        <f t="shared" si="24"/>
        <v>6.4232356216647288E-2</v>
      </c>
      <c r="K167" s="1655">
        <f t="shared" si="25"/>
        <v>6.4232356216647288E-2</v>
      </c>
    </row>
    <row r="168" spans="3:11" ht="33" customHeight="1" thickBot="1" x14ac:dyDescent="0.3">
      <c r="C168" s="1738" t="s">
        <v>153</v>
      </c>
      <c r="D168" s="2089" t="s">
        <v>3555</v>
      </c>
      <c r="E168" s="2066"/>
      <c r="F168" s="1632">
        <f t="shared" si="20"/>
        <v>1230854</v>
      </c>
      <c r="G168" s="1637">
        <f t="shared" si="21"/>
        <v>1229815.6600000001</v>
      </c>
      <c r="H168" s="1632">
        <f t="shared" ca="1" si="22"/>
        <v>0</v>
      </c>
      <c r="I168" s="1632">
        <f t="shared" si="23"/>
        <v>0</v>
      </c>
      <c r="J168" s="1655">
        <f t="shared" si="24"/>
        <v>0</v>
      </c>
      <c r="K168" s="1655">
        <f t="shared" si="25"/>
        <v>0</v>
      </c>
    </row>
    <row r="169" spans="3:11" ht="30.75" customHeight="1" thickBot="1" x14ac:dyDescent="0.3">
      <c r="C169" s="1738" t="s">
        <v>1193</v>
      </c>
      <c r="D169" s="2089" t="s">
        <v>1219</v>
      </c>
      <c r="E169" s="2066"/>
      <c r="F169" s="1632">
        <f t="shared" si="20"/>
        <v>845736.85</v>
      </c>
      <c r="G169" s="1637">
        <f t="shared" si="21"/>
        <v>845738</v>
      </c>
      <c r="H169" s="1632">
        <f t="shared" ca="1" si="22"/>
        <v>845736.85</v>
      </c>
      <c r="I169" s="1632">
        <f t="shared" si="23"/>
        <v>154208.79999999999</v>
      </c>
      <c r="J169" s="1655">
        <f t="shared" si="24"/>
        <v>0.18233637367600838</v>
      </c>
      <c r="K169" s="1655">
        <f t="shared" si="25"/>
        <v>0.18233662160990147</v>
      </c>
    </row>
    <row r="170" spans="3:11" ht="63" customHeight="1" thickBot="1" x14ac:dyDescent="0.3">
      <c r="C170" s="1738" t="s">
        <v>1208</v>
      </c>
      <c r="D170" s="2089" t="s">
        <v>1225</v>
      </c>
      <c r="E170" s="2066"/>
      <c r="F170" s="1632">
        <f t="shared" si="20"/>
        <v>54760.7</v>
      </c>
      <c r="G170" s="1637">
        <f t="shared" si="21"/>
        <v>55430.6</v>
      </c>
      <c r="H170" s="1632">
        <f t="shared" ca="1" si="22"/>
        <v>54760.7</v>
      </c>
      <c r="I170" s="1632">
        <f t="shared" si="23"/>
        <v>0</v>
      </c>
      <c r="J170" s="1655">
        <f t="shared" si="24"/>
        <v>0</v>
      </c>
      <c r="K170" s="1655">
        <f t="shared" si="25"/>
        <v>0</v>
      </c>
    </row>
    <row r="171" spans="3:11" ht="15.75" thickBot="1" x14ac:dyDescent="0.3">
      <c r="C171" s="1738" t="s">
        <v>154</v>
      </c>
      <c r="D171" s="2089" t="s">
        <v>3101</v>
      </c>
      <c r="E171" s="2066"/>
      <c r="F171" s="1632">
        <f t="shared" si="20"/>
        <v>885761.15</v>
      </c>
      <c r="G171" s="1637">
        <f t="shared" si="21"/>
        <v>885761</v>
      </c>
      <c r="H171" s="1632">
        <f t="shared" ca="1" si="22"/>
        <v>885761.15</v>
      </c>
      <c r="I171" s="1632">
        <f t="shared" si="23"/>
        <v>477843.38</v>
      </c>
      <c r="J171" s="1655">
        <f t="shared" si="24"/>
        <v>0.53947213751790835</v>
      </c>
      <c r="K171" s="1655">
        <f t="shared" si="25"/>
        <v>0.53947204616052535</v>
      </c>
    </row>
    <row r="172" spans="3:11" ht="15.75" thickBot="1" x14ac:dyDescent="0.3">
      <c r="C172" s="1738" t="s">
        <v>155</v>
      </c>
      <c r="D172" s="2089" t="s">
        <v>264</v>
      </c>
      <c r="E172" s="2066"/>
      <c r="F172" s="1632">
        <f t="shared" si="20"/>
        <v>2520973.9900000002</v>
      </c>
      <c r="G172" s="1637">
        <f t="shared" si="21"/>
        <v>2520974</v>
      </c>
      <c r="H172" s="1632">
        <f t="shared" ca="1" si="22"/>
        <v>2520973.6399999997</v>
      </c>
      <c r="I172" s="1632">
        <f t="shared" si="23"/>
        <v>1698598.29</v>
      </c>
      <c r="J172" s="1655">
        <f t="shared" si="24"/>
        <v>0.67378651663999711</v>
      </c>
      <c r="K172" s="1655">
        <f t="shared" si="25"/>
        <v>0.67378651931272004</v>
      </c>
    </row>
    <row r="173" spans="3:11" ht="28.5" customHeight="1" thickBot="1" x14ac:dyDescent="0.3">
      <c r="C173" s="1738" t="s">
        <v>1138</v>
      </c>
      <c r="D173" s="2089" t="s">
        <v>3371</v>
      </c>
      <c r="E173" s="2066"/>
      <c r="F173" s="1632">
        <f t="shared" si="20"/>
        <v>940807.84000000008</v>
      </c>
      <c r="G173" s="1637">
        <f t="shared" si="21"/>
        <v>770808.04</v>
      </c>
      <c r="H173" s="1632">
        <f t="shared" ca="1" si="22"/>
        <v>770807.84000000008</v>
      </c>
      <c r="I173" s="1632">
        <f t="shared" si="23"/>
        <v>145599.47</v>
      </c>
      <c r="J173" s="1655">
        <f t="shared" si="24"/>
        <v>0.18889199702691217</v>
      </c>
      <c r="K173" s="1655">
        <f t="shared" si="25"/>
        <v>0.15476005174446675</v>
      </c>
    </row>
    <row r="174" spans="3:11" ht="34.5" customHeight="1" thickBot="1" x14ac:dyDescent="0.3">
      <c r="C174" s="1738" t="s">
        <v>191</v>
      </c>
      <c r="D174" s="2089" t="s">
        <v>266</v>
      </c>
      <c r="E174" s="2066"/>
      <c r="F174" s="1632">
        <f t="shared" si="20"/>
        <v>3352807.77</v>
      </c>
      <c r="G174" s="1637">
        <f t="shared" si="21"/>
        <v>3352807.77</v>
      </c>
      <c r="H174" s="1632">
        <f t="shared" ca="1" si="22"/>
        <v>3352807.77</v>
      </c>
      <c r="I174" s="1632">
        <f t="shared" si="23"/>
        <v>607002.71</v>
      </c>
      <c r="J174" s="1655">
        <f t="shared" si="24"/>
        <v>0.18104309928868959</v>
      </c>
      <c r="K174" s="1655">
        <f t="shared" si="25"/>
        <v>0.18104309928868959</v>
      </c>
    </row>
    <row r="175" spans="3:11" ht="15.75" thickBot="1" x14ac:dyDescent="0.3">
      <c r="C175" s="1738" t="s">
        <v>193</v>
      </c>
      <c r="D175" s="2089" t="s">
        <v>267</v>
      </c>
      <c r="E175" s="2066"/>
      <c r="F175" s="1632">
        <f t="shared" si="20"/>
        <v>2131627.75</v>
      </c>
      <c r="G175" s="1637">
        <f t="shared" si="21"/>
        <v>2131627.38</v>
      </c>
      <c r="H175" s="1632">
        <f t="shared" ca="1" si="22"/>
        <v>1067947.48</v>
      </c>
      <c r="I175" s="1632">
        <f t="shared" si="23"/>
        <v>533649.80000000005</v>
      </c>
      <c r="J175" s="1655">
        <f t="shared" si="24"/>
        <v>0.25034853887080399</v>
      </c>
      <c r="K175" s="1655">
        <f t="shared" si="25"/>
        <v>0.25034849541623766</v>
      </c>
    </row>
  </sheetData>
  <autoFilter ref="A1:I147"/>
  <mergeCells count="25">
    <mergeCell ref="D175:E175"/>
    <mergeCell ref="D152:E152"/>
    <mergeCell ref="D165:E165"/>
    <mergeCell ref="D166:E166"/>
    <mergeCell ref="D167:E167"/>
    <mergeCell ref="D168:E168"/>
    <mergeCell ref="D169:E169"/>
    <mergeCell ref="D170:E170"/>
    <mergeCell ref="D159:E159"/>
    <mergeCell ref="D160:E160"/>
    <mergeCell ref="D161:E161"/>
    <mergeCell ref="D162:E162"/>
    <mergeCell ref="D163:E163"/>
    <mergeCell ref="D164:E164"/>
    <mergeCell ref="D153:E153"/>
    <mergeCell ref="D154:E154"/>
    <mergeCell ref="D151:E151"/>
    <mergeCell ref="D171:E171"/>
    <mergeCell ref="D172:E172"/>
    <mergeCell ref="D173:E173"/>
    <mergeCell ref="D174:E174"/>
    <mergeCell ref="D155:E155"/>
    <mergeCell ref="D156:E156"/>
    <mergeCell ref="D157:E157"/>
    <mergeCell ref="D158:E158"/>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8"/>
  <sheetViews>
    <sheetView workbookViewId="0">
      <pane ySplit="1740" activePane="bottomLeft"/>
      <selection activeCell="J1" sqref="J1"/>
      <selection pane="bottomLeft" activeCell="J5" sqref="J5"/>
    </sheetView>
  </sheetViews>
  <sheetFormatPr defaultRowHeight="12" x14ac:dyDescent="0.2"/>
  <cols>
    <col min="1" max="1" width="5.140625" style="1640" customWidth="1"/>
    <col min="2" max="2" width="15.28515625" style="1640" customWidth="1"/>
    <col min="3" max="3" width="11.7109375" style="1640" customWidth="1"/>
    <col min="4" max="4" width="24.140625" style="1640" customWidth="1"/>
    <col min="5" max="5" width="16.42578125" style="1640" customWidth="1"/>
    <col min="6" max="6" width="12.28515625" style="1640" customWidth="1"/>
    <col min="7" max="7" width="11" style="1640" customWidth="1"/>
    <col min="8" max="8" width="10.7109375" style="1640" customWidth="1"/>
    <col min="9" max="9" width="11.5703125" style="1640" customWidth="1"/>
    <col min="10" max="10" width="13.140625" style="1640" customWidth="1"/>
    <col min="11" max="11" width="12.7109375" style="1640" customWidth="1"/>
    <col min="12" max="12" width="10.5703125" style="1640" customWidth="1"/>
    <col min="13" max="13" width="10.7109375" style="1640" customWidth="1"/>
    <col min="14" max="14" width="10.140625" style="1640" customWidth="1"/>
    <col min="15" max="15" width="9.5703125" style="1640" hidden="1" customWidth="1"/>
    <col min="16" max="16" width="9.5703125" style="1640" customWidth="1"/>
    <col min="17" max="17" width="9.140625" style="1640" customWidth="1"/>
    <col min="18" max="18" width="15.28515625" style="1640" hidden="1" customWidth="1"/>
    <col min="19" max="19" width="15.28515625" style="1640" customWidth="1"/>
    <col min="20" max="20" width="11.5703125" style="1640" customWidth="1"/>
    <col min="21" max="21" width="11.28515625" style="1640" customWidth="1"/>
    <col min="22" max="22" width="9.140625" style="1640"/>
    <col min="23" max="23" width="12.85546875" style="1640" customWidth="1"/>
    <col min="24" max="24" width="12.140625" style="1640" customWidth="1"/>
    <col min="25" max="16384" width="9.140625" style="1640"/>
  </cols>
  <sheetData>
    <row r="1" spans="1:26" ht="72" x14ac:dyDescent="0.2">
      <c r="A1" s="1638" t="s">
        <v>1061</v>
      </c>
      <c r="B1" s="1639" t="s">
        <v>1855</v>
      </c>
      <c r="C1" s="1639" t="s">
        <v>703</v>
      </c>
      <c r="D1" s="1639" t="s">
        <v>1842</v>
      </c>
      <c r="E1" s="1639" t="s">
        <v>1843</v>
      </c>
      <c r="F1" s="1639" t="s">
        <v>1841</v>
      </c>
      <c r="G1" s="1639" t="s">
        <v>1844</v>
      </c>
      <c r="H1" s="1639" t="s">
        <v>1845</v>
      </c>
      <c r="I1" s="1639" t="s">
        <v>3568</v>
      </c>
      <c r="J1" s="1639" t="s">
        <v>3569</v>
      </c>
      <c r="K1" s="1639" t="s">
        <v>3567</v>
      </c>
      <c r="L1" s="1639" t="s">
        <v>3566</v>
      </c>
      <c r="M1" s="1639" t="s">
        <v>1939</v>
      </c>
      <c r="N1" s="1639" t="s">
        <v>3563</v>
      </c>
      <c r="O1" s="1639" t="s">
        <v>3556</v>
      </c>
      <c r="P1" s="1639" t="s">
        <v>3564</v>
      </c>
      <c r="Q1" s="1639" t="s">
        <v>1938</v>
      </c>
      <c r="R1" s="1639" t="s">
        <v>3570</v>
      </c>
      <c r="S1" s="1671" t="s">
        <v>1846</v>
      </c>
      <c r="T1" s="1671" t="s">
        <v>1847</v>
      </c>
      <c r="U1" s="1639" t="s">
        <v>1848</v>
      </c>
      <c r="V1" s="1639" t="s">
        <v>1849</v>
      </c>
      <c r="W1" s="1639" t="s">
        <v>1850</v>
      </c>
      <c r="X1" s="1639" t="s">
        <v>1945</v>
      </c>
      <c r="Y1" s="1639" t="s">
        <v>1851</v>
      </c>
      <c r="Z1" s="1639" t="s">
        <v>1852</v>
      </c>
    </row>
    <row r="2" spans="1:26" s="1652" customFormat="1" ht="48" x14ac:dyDescent="0.25">
      <c r="A2" s="1646">
        <f>SUM('ES lėšos'!A2)</f>
        <v>1</v>
      </c>
      <c r="B2" s="1650" t="str">
        <f>CONCATENATE('ES lėšos'!C2)</f>
        <v xml:space="preserve">Pagrindinės paslaugos ir kaimų atnaujinimas kaimo vietovėse </v>
      </c>
      <c r="C2" s="1650" t="str">
        <f>CONCATENATE('ketv. 6 '!C9)</f>
        <v>20KI-KA-17-1-02616-PR001</v>
      </c>
      <c r="D2" s="1650" t="str">
        <f>CONCATENATE('ES lėšos'!B2)</f>
        <v xml:space="preserve">Druskininkų savivaldybės Viečiūnų seniūnijos Ilgio ir Raigardo seniūnaitijų kelių būklės gerinimas  </v>
      </c>
      <c r="E2" s="1650" t="str">
        <f>CONCATENATE('ES lėšos'!D2)</f>
        <v xml:space="preserve">Druskininkų savivaldybės administracija  </v>
      </c>
      <c r="F2" s="1650" t="str">
        <f>CONCATENATE('ES lėšos'!E2)</f>
        <v>Druskininkų sav.</v>
      </c>
      <c r="G2" s="1653">
        <v>42776</v>
      </c>
      <c r="H2" s="1646" t="s">
        <v>1870</v>
      </c>
      <c r="I2" s="1759">
        <f>SUM('ES lėšos'!G2)</f>
        <v>135247</v>
      </c>
      <c r="J2" s="1760">
        <f>SUM('ES lėšos'!H2)</f>
        <v>135247.75</v>
      </c>
      <c r="K2" s="1647">
        <f>IF(J2&gt;0,I2-J2,"finansavimas dar neskirtas")</f>
        <v>-0.75</v>
      </c>
      <c r="L2" s="1649">
        <f>IF(J2&gt;0,'ketv. 6 '!AF9/'ketv. 6 '!L9,"finansavimas dar neskirtas")</f>
        <v>0.67999879332103186</v>
      </c>
      <c r="M2" s="1757"/>
      <c r="N2" s="1651">
        <f>IF('ketv. 5 '!S9=0,'ketv. 5 '!R9,'ketv. 5 '!S9)</f>
        <v>43465</v>
      </c>
      <c r="O2" s="1651"/>
      <c r="P2" s="1755"/>
      <c r="Q2" s="1658">
        <f t="shared" ref="Q2:Q24" si="0">SUM((M2-O2)/(365/12))</f>
        <v>0</v>
      </c>
      <c r="R2" s="1648"/>
      <c r="S2" s="1760">
        <f>SUMIF('mokėjimų ataskaita'!I13:I600,C2,'mokėjimų ataskaita'!AK13:AK600)</f>
        <v>0</v>
      </c>
      <c r="T2" s="1760">
        <f>SUMIF('mokėjimų ataskaita'!I13:I600,C2,'mokėjimų ataskaita'!BS13:BS600)/2</f>
        <v>0</v>
      </c>
      <c r="U2" s="1649">
        <f t="shared" ref="U2:U24" si="1">IF(J2&gt;0,R2/J2,"finansavimas dar neskirtas")</f>
        <v>0</v>
      </c>
      <c r="V2" s="1761"/>
      <c r="W2" s="1758" t="s">
        <v>1940</v>
      </c>
      <c r="X2" s="1761"/>
      <c r="Y2" s="1650" t="s">
        <v>1854</v>
      </c>
      <c r="Z2" s="1650"/>
    </row>
    <row r="3" spans="1:26" ht="48" x14ac:dyDescent="0.2">
      <c r="A3" s="1646">
        <f>SUM('ES lėšos'!A3)</f>
        <v>2</v>
      </c>
      <c r="B3" s="1641" t="str">
        <f>CONCATENATE('ES lėšos'!C3)</f>
        <v xml:space="preserve">Pagrindinės paslaugos ir kaimų atnaujinimas kaimo vietovėse </v>
      </c>
      <c r="C3" s="1641" t="str">
        <f>CONCATENATE('ketv. 6 '!C10)</f>
        <v>20KI-KA-17-1-02617-PR001</v>
      </c>
      <c r="D3" s="1641" t="str">
        <f>CONCATENATE('ES lėšos'!B3)</f>
        <v>Druskininkų savivaldybės Viečiūnų seniūnijos Ratnyčėlės seniūnaitijos kelių būklės gerinimas</v>
      </c>
      <c r="E3" s="1641" t="str">
        <f>CONCATENATE('ES lėšos'!D3)</f>
        <v xml:space="preserve">Druskininkų savivaldybės administracija  </v>
      </c>
      <c r="F3" s="1641" t="str">
        <f>CONCATENATE('ES lėšos'!E3)</f>
        <v>Druskininkų sav.</v>
      </c>
      <c r="G3" s="1653">
        <v>42776</v>
      </c>
      <c r="H3" s="1646" t="s">
        <v>1871</v>
      </c>
      <c r="I3" s="1759">
        <f>SUM('ES lėšos'!G3)</f>
        <v>102911</v>
      </c>
      <c r="J3" s="1760">
        <f>SUM('ES lėšos'!H3)</f>
        <v>102910.35</v>
      </c>
      <c r="K3" s="1647">
        <f t="shared" ref="K3:K66" si="2">IF(J3&gt;0,I3-J3,"finansavimas dar neskirtas")</f>
        <v>0.64999999999417923</v>
      </c>
      <c r="L3" s="1649">
        <f>IF(J3&gt;0,'ketv. 6 '!AF10/'ketv. 6 '!L10,"finansavimas dar neskirtas")</f>
        <v>0.63693971653153436</v>
      </c>
      <c r="M3" s="1757"/>
      <c r="N3" s="1651">
        <f>IF('ketv. 5 '!S10=0,'ketv. 5 '!R10,'ketv. 5 '!S10)</f>
        <v>43465</v>
      </c>
      <c r="O3" s="1651"/>
      <c r="P3" s="1755"/>
      <c r="Q3" s="1658">
        <f t="shared" si="0"/>
        <v>0</v>
      </c>
      <c r="R3" s="1673"/>
      <c r="S3" s="1760">
        <f>SUMIF('mokėjimų ataskaita'!I14:I601,C3,'mokėjimų ataskaita'!AK14:AK601)</f>
        <v>0</v>
      </c>
      <c r="T3" s="1760">
        <f>SUMIF('mokėjimų ataskaita'!I14:I601,C3,'mokėjimų ataskaita'!BS14:BS601)/2</f>
        <v>0</v>
      </c>
      <c r="U3" s="1649">
        <f t="shared" si="1"/>
        <v>0</v>
      </c>
      <c r="V3" s="1762"/>
      <c r="W3" s="1758" t="s">
        <v>1940</v>
      </c>
      <c r="X3" s="1762"/>
      <c r="Y3" s="1641"/>
      <c r="Z3" s="1641"/>
    </row>
    <row r="4" spans="1:26" ht="48" x14ac:dyDescent="0.2">
      <c r="A4" s="1646">
        <f>SUM('ES lėšos'!A4)</f>
        <v>3</v>
      </c>
      <c r="B4" s="1641" t="str">
        <f>CONCATENATE('ES lėšos'!C4)</f>
        <v xml:space="preserve">Pagrindinės paslaugos ir kaimų atnaujinimas kaimo vietovėse </v>
      </c>
      <c r="C4" s="1641" t="str">
        <f>CONCATENATE('ketv. 6 '!C11)</f>
        <v>20KI-KA-17-1-02622-PR001</v>
      </c>
      <c r="D4" s="1641" t="str">
        <f>CONCATENATE('ES lėšos'!B4)</f>
        <v>Druskininkų savivaldybės Leipalingio seniūnijos Klonio seniūnaitijos kelių būklės gerinimas</v>
      </c>
      <c r="E4" s="1641" t="str">
        <f>CONCATENATE('ES lėšos'!D4)</f>
        <v xml:space="preserve">Druskininkų savivaldybės administracija  </v>
      </c>
      <c r="F4" s="1641" t="str">
        <f>CONCATENATE('ES lėšos'!E4)</f>
        <v>Druskininkų sav.</v>
      </c>
      <c r="G4" s="1653">
        <v>42776</v>
      </c>
      <c r="H4" s="1646" t="s">
        <v>1869</v>
      </c>
      <c r="I4" s="1759">
        <f>SUM('ES lėšos'!G4)</f>
        <v>131280</v>
      </c>
      <c r="J4" s="1760">
        <f>SUM('ES lėšos'!H4)</f>
        <v>131279.1</v>
      </c>
      <c r="K4" s="1647">
        <f t="shared" si="2"/>
        <v>0.89999999999417923</v>
      </c>
      <c r="L4" s="1649">
        <f>IF(J4&gt;0,'ketv. 6 '!AF11/'ketv. 6 '!L11,"finansavimas dar neskirtas")</f>
        <v>0.69135504305568385</v>
      </c>
      <c r="M4" s="1757"/>
      <c r="N4" s="1651">
        <f>IF('ketv. 5 '!S11=0,'ketv. 5 '!R11,'ketv. 5 '!S11)</f>
        <v>43465</v>
      </c>
      <c r="O4" s="1651"/>
      <c r="P4" s="1755"/>
      <c r="Q4" s="1658">
        <f t="shared" si="0"/>
        <v>0</v>
      </c>
      <c r="R4" s="1673"/>
      <c r="S4" s="1760">
        <f>SUMIF('mokėjimų ataskaita'!I15:I602,C4,'mokėjimų ataskaita'!AK15:AK602)</f>
        <v>0</v>
      </c>
      <c r="T4" s="1760">
        <f>SUMIF('mokėjimų ataskaita'!I15:I602,C4,'mokėjimų ataskaita'!BS15:BS602)/2</f>
        <v>0</v>
      </c>
      <c r="U4" s="1649">
        <f t="shared" si="1"/>
        <v>0</v>
      </c>
      <c r="V4" s="1762"/>
      <c r="W4" s="1758" t="s">
        <v>1940</v>
      </c>
      <c r="X4" s="1762"/>
      <c r="Y4" s="1641"/>
      <c r="Z4" s="1641"/>
    </row>
    <row r="5" spans="1:26" ht="48" x14ac:dyDescent="0.2">
      <c r="A5" s="1646">
        <f>SUM('ES lėšos'!A5)</f>
        <v>4</v>
      </c>
      <c r="B5" s="1641" t="str">
        <f>CONCATENATE('ES lėšos'!C5)</f>
        <v xml:space="preserve">Pagrindinės paslaugos ir kaimų atnaujinimas kaimo vietovėse </v>
      </c>
      <c r="C5" s="1641" t="str">
        <f>CONCATENATE('ketv. 6 '!C12)</f>
        <v>20KI-KA-17-1-02368-PR001</v>
      </c>
      <c r="D5" s="1641" t="str">
        <f>CONCATENATE('ES lėšos'!B5)</f>
        <v>Rudaminos laisvalaikio salės pritaikymas bendruomenės poreikiams ir liaudies amatų plėtrai</v>
      </c>
      <c r="E5" s="1641" t="str">
        <f>CONCATENATE('ES lėšos'!D5)</f>
        <v>Viešoji įstaiga Lazdijų kultūros centras</v>
      </c>
      <c r="F5" s="1641" t="str">
        <f>CONCATENATE('ES lėšos'!E5)</f>
        <v>Lazdijų r. sav.</v>
      </c>
      <c r="G5" s="1653">
        <v>42775</v>
      </c>
      <c r="H5" s="1646" t="s">
        <v>1864</v>
      </c>
      <c r="I5" s="1759">
        <f>SUM('ES lėšos'!G5)</f>
        <v>85000</v>
      </c>
      <c r="J5" s="1760">
        <f>SUM('ES lėšos'!H5)</f>
        <v>83748.800000000003</v>
      </c>
      <c r="K5" s="1647">
        <f t="shared" si="2"/>
        <v>1251.1999999999971</v>
      </c>
      <c r="L5" s="1649">
        <f>IF(J5&gt;0,'ketv. 6 '!AF12/'ketv. 6 '!L12,"finansavimas dar neskirtas")</f>
        <v>0.68</v>
      </c>
      <c r="M5" s="1757"/>
      <c r="N5" s="1651">
        <f>IF('ketv. 5 '!S12=0,'ketv. 5 '!R12,'ketv. 5 '!S12)</f>
        <v>43373</v>
      </c>
      <c r="O5" s="1651"/>
      <c r="P5" s="1755"/>
      <c r="Q5" s="1658">
        <f t="shared" si="0"/>
        <v>0</v>
      </c>
      <c r="R5" s="1673"/>
      <c r="S5" s="1760">
        <f>SUMIF('mokėjimų ataskaita'!I16:I603,C5,'mokėjimų ataskaita'!AK16:AK603)</f>
        <v>0</v>
      </c>
      <c r="T5" s="1760">
        <f>SUMIF('mokėjimų ataskaita'!I16:I603,C5,'mokėjimų ataskaita'!BS16:BS603)/2</f>
        <v>0</v>
      </c>
      <c r="U5" s="1649">
        <f t="shared" si="1"/>
        <v>0</v>
      </c>
      <c r="V5" s="1762"/>
      <c r="W5" s="1758" t="s">
        <v>1940</v>
      </c>
      <c r="X5" s="1762"/>
      <c r="Y5" s="1641"/>
      <c r="Z5" s="1641"/>
    </row>
    <row r="6" spans="1:26" ht="48" x14ac:dyDescent="0.2">
      <c r="A6" s="1646">
        <f>SUM('ES lėšos'!A6)</f>
        <v>5</v>
      </c>
      <c r="B6" s="1641" t="str">
        <f>CONCATENATE('ES lėšos'!C6)</f>
        <v xml:space="preserve">Pagrindinės paslaugos ir kaimų atnaujinimas kaimo vietovėse </v>
      </c>
      <c r="C6" s="1641" t="str">
        <f>CONCATENATE('ketv. 6 '!C13)</f>
        <v>20KI-KA-17-1-02619-PR001</v>
      </c>
      <c r="D6" s="1641" t="str">
        <f>CONCATENATE('ES lėšos'!B6)</f>
        <v>Druskininkų savivaldybės Leipalingio seniūnijos Bilso seniūnaitijos kelių būklės gerinimas</v>
      </c>
      <c r="E6" s="1641" t="str">
        <f>CONCATENATE('ES lėšos'!D6)</f>
        <v xml:space="preserve">Druskininkų savivaldybės administracija  </v>
      </c>
      <c r="F6" s="1641" t="str">
        <f>CONCATENATE('ES lėšos'!E6)</f>
        <v>Druskininkų sav.</v>
      </c>
      <c r="G6" s="1653">
        <v>42775</v>
      </c>
      <c r="H6" s="1646" t="s">
        <v>1868</v>
      </c>
      <c r="I6" s="1759">
        <f>SUM('ES lėšos'!G6)</f>
        <v>108837</v>
      </c>
      <c r="J6" s="1760">
        <f>SUM('ES lėšos'!H6)</f>
        <v>108837.4</v>
      </c>
      <c r="K6" s="1647">
        <f t="shared" si="2"/>
        <v>-0.39999999999417923</v>
      </c>
      <c r="L6" s="1649">
        <f>IF(J6&gt;0,'ketv. 6 '!AF13/'ketv. 6 '!L13,"finansavimas dar neskirtas")</f>
        <v>0.52449259165430617</v>
      </c>
      <c r="M6" s="1757"/>
      <c r="N6" s="1651">
        <f>IF('ketv. 5 '!S13=0,'ketv. 5 '!R13,'ketv. 5 '!S13)</f>
        <v>43465</v>
      </c>
      <c r="O6" s="1651"/>
      <c r="P6" s="1755"/>
      <c r="Q6" s="1658">
        <f t="shared" si="0"/>
        <v>0</v>
      </c>
      <c r="R6" s="1673"/>
      <c r="S6" s="1760">
        <f>SUMIF('mokėjimų ataskaita'!I17:I604,C6,'mokėjimų ataskaita'!AK17:AK604)</f>
        <v>0</v>
      </c>
      <c r="T6" s="1760">
        <f>SUMIF('mokėjimų ataskaita'!I17:I604,C6,'mokėjimų ataskaita'!BS17:BS604)/2</f>
        <v>0</v>
      </c>
      <c r="U6" s="1649">
        <f t="shared" si="1"/>
        <v>0</v>
      </c>
      <c r="V6" s="1762"/>
      <c r="W6" s="1758" t="s">
        <v>1940</v>
      </c>
      <c r="X6" s="1762"/>
      <c r="Y6" s="1641"/>
      <c r="Z6" s="1641"/>
    </row>
    <row r="7" spans="1:26" ht="48" x14ac:dyDescent="0.2">
      <c r="A7" s="1646">
        <f>SUM('ES lėšos'!A7)</f>
        <v>6</v>
      </c>
      <c r="B7" s="1641" t="str">
        <f>CONCATENATE('ES lėšos'!C7)</f>
        <v xml:space="preserve">Pagrindinės paslaugos ir kaimų atnaujinimas kaimo vietovėse </v>
      </c>
      <c r="C7" s="1641" t="str">
        <f>CONCATENATE('ketv. 6 '!C14)</f>
        <v>20KI-KA-17-1-02374-PR001</v>
      </c>
      <c r="D7" s="1641" t="str">
        <f>CONCATENATE('ES lėšos'!B7)</f>
        <v>Lazdijų rajono kaimų patrauklumo didinimas atnaujinant bibliotekas</v>
      </c>
      <c r="E7" s="1641" t="str">
        <f>CONCATENATE('ES lėšos'!D7)</f>
        <v xml:space="preserve">Biudžetinė įstaiga Lazdijų rajono savivaldybės viešoji biblioteka </v>
      </c>
      <c r="F7" s="1641" t="str">
        <f>CONCATENATE('ES lėšos'!E7)</f>
        <v>Lazdijų r. sav.</v>
      </c>
      <c r="G7" s="1653">
        <v>42775</v>
      </c>
      <c r="H7" s="1646" t="s">
        <v>1861</v>
      </c>
      <c r="I7" s="1759">
        <f>SUM('ES lėšos'!G7)</f>
        <v>136680</v>
      </c>
      <c r="J7" s="1760">
        <f>SUM('ES lėšos'!H7)</f>
        <v>135938.79999999999</v>
      </c>
      <c r="K7" s="1647">
        <f t="shared" si="2"/>
        <v>741.20000000001164</v>
      </c>
      <c r="L7" s="1649">
        <f>IF(J7&gt;0,'ketv. 6 '!AF14/'ketv. 6 '!L14,"finansavimas dar neskirtas")</f>
        <v>0.67631580256618185</v>
      </c>
      <c r="M7" s="1758"/>
      <c r="N7" s="1651">
        <f>IF('ketv. 5 '!S14=0,'ketv. 5 '!R14,'ketv. 5 '!S14)</f>
        <v>43373</v>
      </c>
      <c r="O7" s="1651"/>
      <c r="P7" s="1755"/>
      <c r="Q7" s="1658">
        <f t="shared" si="0"/>
        <v>0</v>
      </c>
      <c r="R7" s="1673"/>
      <c r="S7" s="1760">
        <f>SUMIF('mokėjimų ataskaita'!I18:I605,C7,'mokėjimų ataskaita'!AK18:AK605)</f>
        <v>0</v>
      </c>
      <c r="T7" s="1760">
        <f>SUMIF('mokėjimų ataskaita'!I18:I605,C7,'mokėjimų ataskaita'!BS18:BS605)/2</f>
        <v>0</v>
      </c>
      <c r="U7" s="1649">
        <f t="shared" si="1"/>
        <v>0</v>
      </c>
      <c r="V7" s="1762"/>
      <c r="W7" s="1758" t="s">
        <v>1940</v>
      </c>
      <c r="X7" s="1762"/>
      <c r="Y7" s="1641"/>
      <c r="Z7" s="1641"/>
    </row>
    <row r="8" spans="1:26" ht="48" x14ac:dyDescent="0.2">
      <c r="A8" s="1646">
        <f>SUM('ES lėšos'!A8)</f>
        <v>7</v>
      </c>
      <c r="B8" s="1641" t="str">
        <f>CONCATENATE('ES lėšos'!C8)</f>
        <v xml:space="preserve">Pagrindinės paslaugos ir kaimų atnaujinimas kaimo vietovėse </v>
      </c>
      <c r="C8" s="1641" t="str">
        <f>CONCATENATE('ketv. 6 '!C15)</f>
        <v>20KI-KA-17-1-02437-PR001</v>
      </c>
      <c r="D8" s="1641" t="str">
        <f>CONCATENATE('ES lėšos'!B8)</f>
        <v>Alytaus rajono Miroslavo kaimo multifunkcinės sporto aikštės įrengimas ir gatvių bei šaligatvių rekonstrukcija</v>
      </c>
      <c r="E8" s="1641" t="str">
        <f>CONCATENATE('ES lėšos'!D8)</f>
        <v>Alytaus rajono savivaldybės administracija</v>
      </c>
      <c r="F8" s="1641" t="str">
        <f>CONCATENATE('ES lėšos'!E8)</f>
        <v>Alytaus r. sav.</v>
      </c>
      <c r="G8" s="1653">
        <v>42776</v>
      </c>
      <c r="H8" s="1646" t="s">
        <v>1875</v>
      </c>
      <c r="I8" s="1759">
        <f>SUM('ES lėšos'!G8)</f>
        <v>170000</v>
      </c>
      <c r="J8" s="1760">
        <f>SUM('ES lėšos'!H8)</f>
        <v>170000</v>
      </c>
      <c r="K8" s="1647">
        <f t="shared" si="2"/>
        <v>0</v>
      </c>
      <c r="L8" s="1649">
        <f>IF(J8&gt;0,'ketv. 6 '!AF15/'ketv. 6 '!L15,"finansavimas dar neskirtas")</f>
        <v>0.67403612833647886</v>
      </c>
      <c r="M8" s="1757"/>
      <c r="N8" s="1651">
        <f>IF('ketv. 5 '!S15=0,'ketv. 5 '!R15,'ketv. 5 '!S15)</f>
        <v>43465</v>
      </c>
      <c r="O8" s="1651"/>
      <c r="P8" s="1755"/>
      <c r="Q8" s="1658">
        <f t="shared" si="0"/>
        <v>0</v>
      </c>
      <c r="R8" s="1673"/>
      <c r="S8" s="1760">
        <f>SUMIF('mokėjimų ataskaita'!I19:I606,C8,'mokėjimų ataskaita'!AK19:AK606)</f>
        <v>0</v>
      </c>
      <c r="T8" s="1760">
        <f>SUMIF('mokėjimų ataskaita'!I19:I606,C8,'mokėjimų ataskaita'!BS19:BS606)/2</f>
        <v>0</v>
      </c>
      <c r="U8" s="1649">
        <f t="shared" si="1"/>
        <v>0</v>
      </c>
      <c r="V8" s="1762"/>
      <c r="W8" s="1758" t="s">
        <v>1940</v>
      </c>
      <c r="X8" s="1762"/>
      <c r="Y8" s="1641"/>
      <c r="Z8" s="1641"/>
    </row>
    <row r="9" spans="1:26" ht="48" x14ac:dyDescent="0.2">
      <c r="A9" s="1646">
        <f>SUM('ES lėšos'!A9)</f>
        <v>8</v>
      </c>
      <c r="B9" s="1641" t="str">
        <f>CONCATENATE('ES lėšos'!C9)</f>
        <v xml:space="preserve">Pagrindinės paslaugos ir kaimų atnaujinimas kaimo vietovėse </v>
      </c>
      <c r="C9" s="1641" t="str">
        <f>CONCATENATE('ketv. 6 '!C16)</f>
        <v>20KI-KA-17-1-02242-PR001</v>
      </c>
      <c r="D9" s="1641" t="str">
        <f>CONCATENATE('ES lėšos'!B9)</f>
        <v>Alytaus rajono Luksnėnų kaimo multifunkcinės sporto aikštės įrengimas ir gatvių rekonstrukcija</v>
      </c>
      <c r="E9" s="1641" t="str">
        <f>CONCATENATE('ES lėšos'!D9)</f>
        <v>Alytaus rajono savivaldybės administracija</v>
      </c>
      <c r="F9" s="1641" t="str">
        <f>CONCATENATE('ES lėšos'!E9)</f>
        <v>Alytaus r. sav.</v>
      </c>
      <c r="G9" s="1653">
        <v>42776</v>
      </c>
      <c r="H9" s="1646" t="s">
        <v>1874</v>
      </c>
      <c r="I9" s="1759">
        <f>SUM('ES lėšos'!G9)</f>
        <v>170000</v>
      </c>
      <c r="J9" s="1760">
        <f>SUM('ES lėšos'!H9)</f>
        <v>170000</v>
      </c>
      <c r="K9" s="1647">
        <f t="shared" si="2"/>
        <v>0</v>
      </c>
      <c r="L9" s="1649">
        <f>IF(J9&gt;0,'ketv. 6 '!AF16/'ketv. 6 '!L16,"finansavimas dar neskirtas")</f>
        <v>0.68</v>
      </c>
      <c r="M9" s="1757"/>
      <c r="N9" s="1651">
        <f>IF('ketv. 5 '!S16=0,'ketv. 5 '!R16,'ketv. 5 '!S16)</f>
        <v>43465</v>
      </c>
      <c r="O9" s="1651"/>
      <c r="P9" s="1755"/>
      <c r="Q9" s="1658">
        <f t="shared" si="0"/>
        <v>0</v>
      </c>
      <c r="R9" s="1673"/>
      <c r="S9" s="1760">
        <f>SUMIF('mokėjimų ataskaita'!I20:I607,C9,'mokėjimų ataskaita'!AK20:AK607)</f>
        <v>0</v>
      </c>
      <c r="T9" s="1760">
        <f>SUMIF('mokėjimų ataskaita'!I20:I607,C9,'mokėjimų ataskaita'!BS20:BS607)/2</f>
        <v>0</v>
      </c>
      <c r="U9" s="1649">
        <f t="shared" si="1"/>
        <v>0</v>
      </c>
      <c r="V9" s="1762"/>
      <c r="W9" s="1758" t="s">
        <v>1940</v>
      </c>
      <c r="X9" s="1762"/>
      <c r="Y9" s="1641"/>
      <c r="Z9" s="1641"/>
    </row>
    <row r="10" spans="1:26" ht="48" x14ac:dyDescent="0.2">
      <c r="A10" s="1646">
        <f>SUM('ES lėšos'!A10)</f>
        <v>9</v>
      </c>
      <c r="B10" s="1641" t="str">
        <f>CONCATENATE('ES lėšos'!C10)</f>
        <v xml:space="preserve">Pagrindinės paslaugos ir kaimų atnaujinimas kaimo vietovėse </v>
      </c>
      <c r="C10" s="1641" t="str">
        <f>CONCATENATE('ketv. 6 '!C17)</f>
        <v>20KI-KA-17-1-02372-PR001</v>
      </c>
      <c r="D10" s="1641" t="str">
        <f>CONCATENATE('ES lėšos'!B10)</f>
        <v>Krikštonių laisvalaikio salės pritaikymas bendruomenės poreikiams</v>
      </c>
      <c r="E10" s="1641" t="str">
        <f>CONCATENATE('ES lėšos'!D10)</f>
        <v xml:space="preserve">Viešoji įstaiga Lazdijų kultūros centras </v>
      </c>
      <c r="F10" s="1641" t="str">
        <f>CONCATENATE('ES lėšos'!E10)</f>
        <v>Lazdijų r. sav.</v>
      </c>
      <c r="G10" s="1653">
        <v>42775</v>
      </c>
      <c r="H10" s="1646" t="s">
        <v>1862</v>
      </c>
      <c r="I10" s="1759">
        <f>SUM('ES lėšos'!G10)</f>
        <v>170000</v>
      </c>
      <c r="J10" s="1760">
        <f>SUM('ES lėšos'!H10)</f>
        <v>170000</v>
      </c>
      <c r="K10" s="1647">
        <f t="shared" si="2"/>
        <v>0</v>
      </c>
      <c r="L10" s="1649">
        <f>IF(J10&gt;0,'ketv. 6 '!AF17/'ketv. 6 '!L17,"finansavimas dar neskirtas")</f>
        <v>0.68</v>
      </c>
      <c r="M10" s="1757"/>
      <c r="N10" s="1651">
        <f>IF('ketv. 5 '!S17=0,'ketv. 5 '!R17,'ketv. 5 '!S17)</f>
        <v>43373</v>
      </c>
      <c r="O10" s="1651"/>
      <c r="P10" s="1755"/>
      <c r="Q10" s="1658">
        <f t="shared" si="0"/>
        <v>0</v>
      </c>
      <c r="R10" s="1673"/>
      <c r="S10" s="1760">
        <f>SUMIF('mokėjimų ataskaita'!I21:I608,C10,'mokėjimų ataskaita'!AK21:AK608)</f>
        <v>0</v>
      </c>
      <c r="T10" s="1760">
        <f>SUMIF('mokėjimų ataskaita'!I21:I608,C10,'mokėjimų ataskaita'!BS21:BS608)/2</f>
        <v>0</v>
      </c>
      <c r="U10" s="1649">
        <f t="shared" si="1"/>
        <v>0</v>
      </c>
      <c r="V10" s="1762"/>
      <c r="W10" s="1758" t="s">
        <v>1940</v>
      </c>
      <c r="X10" s="1762"/>
      <c r="Y10" s="1641"/>
      <c r="Z10" s="1641"/>
    </row>
    <row r="11" spans="1:26" ht="48" x14ac:dyDescent="0.2">
      <c r="A11" s="1646">
        <f>SUM('ES lėšos'!A11)</f>
        <v>10</v>
      </c>
      <c r="B11" s="1641" t="str">
        <f>CONCATENATE('ES lėšos'!C11)</f>
        <v xml:space="preserve">Pagrindinės paslaugos ir kaimų atnaujinimas kaimo vietovėse </v>
      </c>
      <c r="C11" s="1641" t="str">
        <f>CONCATENATE('ketv. 6 '!C18)</f>
        <v>20KI-KA-17-1-02370-PR001</v>
      </c>
      <c r="D11" s="1641" t="str">
        <f>CONCATENATE('ES lėšos'!B11)</f>
        <v>Kučiūnų laisvalaikio salės pritaikymas bendruomenės poreikiams</v>
      </c>
      <c r="E11" s="1641" t="str">
        <f>CONCATENATE('ES lėšos'!D11)</f>
        <v xml:space="preserve">Viešoji įstaiga Lazdijų kultūros centras </v>
      </c>
      <c r="F11" s="1641" t="str">
        <f>CONCATENATE('ES lėšos'!E11)</f>
        <v>Lazdijų r. sav.</v>
      </c>
      <c r="G11" s="1653">
        <v>42775</v>
      </c>
      <c r="H11" s="1646" t="s">
        <v>1863</v>
      </c>
      <c r="I11" s="1759">
        <f>SUM('ES lėšos'!G11)</f>
        <v>170000</v>
      </c>
      <c r="J11" s="1760">
        <f>SUM('ES lėšos'!H11)</f>
        <v>159409</v>
      </c>
      <c r="K11" s="1647">
        <f t="shared" si="2"/>
        <v>10591</v>
      </c>
      <c r="L11" s="1649">
        <f>IF(J11&gt;0,'ketv. 6 '!AF18/'ketv. 6 '!L18,"finansavimas dar neskirtas")</f>
        <v>0.63763599999999998</v>
      </c>
      <c r="M11" s="1757"/>
      <c r="N11" s="1651">
        <f>IF('ketv. 5 '!S18=0,'ketv. 5 '!R18,'ketv. 5 '!S18)</f>
        <v>43291</v>
      </c>
      <c r="O11" s="1651"/>
      <c r="P11" s="1755"/>
      <c r="Q11" s="1658">
        <f t="shared" si="0"/>
        <v>0</v>
      </c>
      <c r="R11" s="1673"/>
      <c r="S11" s="1760">
        <f>SUMIF('mokėjimų ataskaita'!I22:I609,C11,'mokėjimų ataskaita'!AK22:AK609)</f>
        <v>0</v>
      </c>
      <c r="T11" s="1760">
        <f>SUMIF('mokėjimų ataskaita'!I22:I609,C11,'mokėjimų ataskaita'!BS22:BS609)/2</f>
        <v>0</v>
      </c>
      <c r="U11" s="1649">
        <f t="shared" si="1"/>
        <v>0</v>
      </c>
      <c r="V11" s="1762"/>
      <c r="W11" s="1758" t="s">
        <v>1940</v>
      </c>
      <c r="X11" s="1762"/>
      <c r="Y11" s="1641"/>
      <c r="Z11" s="1641"/>
    </row>
    <row r="12" spans="1:26" ht="48" x14ac:dyDescent="0.2">
      <c r="A12" s="1646">
        <f>SUM('ES lėšos'!A12)</f>
        <v>11</v>
      </c>
      <c r="B12" s="1641" t="str">
        <f>CONCATENATE('ES lėšos'!C12)</f>
        <v xml:space="preserve">Pagrindinės paslaugos ir kaimų atnaujinimas kaimo vietovėse </v>
      </c>
      <c r="C12" s="1641" t="str">
        <f>CONCATENATE('ketv. 6 '!C19)</f>
        <v>20KI-KA-17-1-02354-PR001</v>
      </c>
      <c r="D12" s="1641" t="str">
        <f>CONCATENATE('ES lėšos'!B12)</f>
        <v>Laisvalaikio infrastruktūros sukūrimas Lazdijų rajono kaimo gyvenamosiose vietovėse</v>
      </c>
      <c r="E12" s="1641" t="str">
        <f>CONCATENATE('ES lėšos'!D12)</f>
        <v>Lazdijų rajono savivaldybės administracija</v>
      </c>
      <c r="F12" s="1641" t="str">
        <f>CONCATENATE('ES lėšos'!E12)</f>
        <v>Lazdijų r. sav.</v>
      </c>
      <c r="G12" s="1653">
        <v>42775</v>
      </c>
      <c r="H12" s="1646" t="s">
        <v>1866</v>
      </c>
      <c r="I12" s="1759">
        <f>SUM('ES lėšos'!G12)</f>
        <v>85000</v>
      </c>
      <c r="J12" s="1760">
        <f>SUM('ES lėšos'!H12)</f>
        <v>85000</v>
      </c>
      <c r="K12" s="1647">
        <f t="shared" si="2"/>
        <v>0</v>
      </c>
      <c r="L12" s="1649">
        <f>IF(J12&gt;0,'ketv. 6 '!AF19/'ketv. 6 '!L19,"finansavimas dar neskirtas")</f>
        <v>0.66050711405015194</v>
      </c>
      <c r="M12" s="1757"/>
      <c r="N12" s="1651">
        <f>IF('ketv. 5 '!S19=0,'ketv. 5 '!R19,'ketv. 5 '!S19)</f>
        <v>43292</v>
      </c>
      <c r="O12" s="1651"/>
      <c r="P12" s="1755"/>
      <c r="Q12" s="1658">
        <f t="shared" si="0"/>
        <v>0</v>
      </c>
      <c r="R12" s="1673"/>
      <c r="S12" s="1760">
        <f>SUMIF('mokėjimų ataskaita'!I23:I610,C12,'mokėjimų ataskaita'!AK23:AK610)</f>
        <v>0</v>
      </c>
      <c r="T12" s="1760">
        <f>SUMIF('mokėjimų ataskaita'!I23:I610,C12,'mokėjimų ataskaita'!BS23:BS610)/2</f>
        <v>0</v>
      </c>
      <c r="U12" s="1649">
        <f t="shared" si="1"/>
        <v>0</v>
      </c>
      <c r="V12" s="1762"/>
      <c r="W12" s="1758" t="s">
        <v>1940</v>
      </c>
      <c r="X12" s="1762"/>
      <c r="Y12" s="1641"/>
      <c r="Z12" s="1641"/>
    </row>
    <row r="13" spans="1:26" ht="48" x14ac:dyDescent="0.2">
      <c r="A13" s="1646">
        <f>SUM('ES lėšos'!A13)</f>
        <v>12</v>
      </c>
      <c r="B13" s="1641" t="str">
        <f>CONCATENATE('ES lėšos'!C13)</f>
        <v xml:space="preserve">Pagrindinės paslaugos ir kaimų atnaujinimas kaimo vietovėse </v>
      </c>
      <c r="C13" s="1641" t="str">
        <f>CONCATENATE('ketv. 6 '!C20)</f>
        <v>20KI-KA-17-1-02470-PR001</v>
      </c>
      <c r="D13" s="1641" t="str">
        <f>CONCATENATE('ES lėšos'!B13)</f>
        <v>Alytaus rajono Butrimonių miestelio šaligatvių kapitalinis remontas ir gyvenvietės apšvietimo įrengimas</v>
      </c>
      <c r="E13" s="1641" t="str">
        <f>CONCATENATE('ES lėšos'!D13)</f>
        <v>Alytaus rajono savivaldybės administracija</v>
      </c>
      <c r="F13" s="1641" t="str">
        <f>CONCATENATE('ES lėšos'!E13)</f>
        <v>Alytaus r. sav.</v>
      </c>
      <c r="G13" s="1653">
        <v>42776</v>
      </c>
      <c r="H13" s="1646" t="s">
        <v>1872</v>
      </c>
      <c r="I13" s="1759">
        <f>SUM('ES lėšos'!G13)</f>
        <v>104425</v>
      </c>
      <c r="J13" s="1760">
        <f>SUM('ES lėšos'!H13)</f>
        <v>104424.2</v>
      </c>
      <c r="K13" s="1647">
        <f t="shared" si="2"/>
        <v>0.80000000000291038</v>
      </c>
      <c r="L13" s="1649">
        <f>IF(J13&gt;0,'ketv. 6 '!AF20/'ketv. 6 '!L20,"finansavimas dar neskirtas")</f>
        <v>0.68000104189769417</v>
      </c>
      <c r="M13" s="1757"/>
      <c r="N13" s="1651">
        <f>IF('ketv. 5 '!S20=0,'ketv. 5 '!R20,'ketv. 5 '!S20)</f>
        <v>43465</v>
      </c>
      <c r="O13" s="1651"/>
      <c r="P13" s="1755"/>
      <c r="Q13" s="1658">
        <f t="shared" si="0"/>
        <v>0</v>
      </c>
      <c r="R13" s="1673"/>
      <c r="S13" s="1760">
        <f>SUMIF('mokėjimų ataskaita'!I24:I611,C13,'mokėjimų ataskaita'!AK24:AK611)</f>
        <v>0</v>
      </c>
      <c r="T13" s="1760">
        <f>SUMIF('mokėjimų ataskaita'!I24:I611,C13,'mokėjimų ataskaita'!BS24:BS611)/2</f>
        <v>0</v>
      </c>
      <c r="U13" s="1649">
        <f t="shared" si="1"/>
        <v>0</v>
      </c>
      <c r="V13" s="1762"/>
      <c r="W13" s="1758" t="s">
        <v>1940</v>
      </c>
      <c r="X13" s="1762"/>
      <c r="Y13" s="1641"/>
      <c r="Z13" s="1641"/>
    </row>
    <row r="14" spans="1:26" ht="48" x14ac:dyDescent="0.2">
      <c r="A14" s="1646">
        <f>SUM('ES lėšos'!A14)</f>
        <v>13</v>
      </c>
      <c r="B14" s="1641" t="str">
        <f>CONCATENATE('ES lėšos'!C14)</f>
        <v xml:space="preserve">Pagrindinės paslaugos ir kaimų atnaujinimas kaimo vietovėse </v>
      </c>
      <c r="C14" s="1641" t="str">
        <f>CONCATENATE('ketv. 6 '!C21)</f>
        <v>20KI-KA-17-1-02438-PR001</v>
      </c>
      <c r="D14" s="1641" t="str">
        <f>CONCATENATE('ES lėšos'!B14)</f>
        <v>Alytaus rajono Genių kaimo sporto aikštės įrengimas ir gatvių rekonstrukcija</v>
      </c>
      <c r="E14" s="1641" t="str">
        <f>CONCATENATE('ES lėšos'!D14)</f>
        <v>Alytaus rajono savivaldybės administracija</v>
      </c>
      <c r="F14" s="1641" t="str">
        <f>CONCATENATE('ES lėšos'!E14)</f>
        <v>Alytaus r. sav.</v>
      </c>
      <c r="G14" s="1653">
        <v>42776</v>
      </c>
      <c r="H14" s="1646" t="s">
        <v>1873</v>
      </c>
      <c r="I14" s="1759">
        <f>SUM('ES lėšos'!G14)</f>
        <v>170000</v>
      </c>
      <c r="J14" s="1760">
        <f>SUM('ES lėšos'!H14)</f>
        <v>170000</v>
      </c>
      <c r="K14" s="1647">
        <f t="shared" si="2"/>
        <v>0</v>
      </c>
      <c r="L14" s="1649">
        <f>IF(J14&gt;0,'ketv. 6 '!AF21/'ketv. 6 '!L21,"finansavimas dar neskirtas")</f>
        <v>0.40282641972617284</v>
      </c>
      <c r="M14" s="1757"/>
      <c r="N14" s="1651">
        <f>IF('ketv. 5 '!S21=0,'ketv. 5 '!R21,'ketv. 5 '!S21)</f>
        <v>43465</v>
      </c>
      <c r="O14" s="1651"/>
      <c r="P14" s="1755"/>
      <c r="Q14" s="1658">
        <f t="shared" si="0"/>
        <v>0</v>
      </c>
      <c r="R14" s="1673"/>
      <c r="S14" s="1760">
        <f>SUMIF('mokėjimų ataskaita'!I25:I612,C14,'mokėjimų ataskaita'!AK25:AK612)</f>
        <v>0</v>
      </c>
      <c r="T14" s="1760">
        <f>SUMIF('mokėjimų ataskaita'!I25:I612,C14,'mokėjimų ataskaita'!BS25:BS612)/2</f>
        <v>0</v>
      </c>
      <c r="U14" s="1649">
        <f t="shared" si="1"/>
        <v>0</v>
      </c>
      <c r="V14" s="1762"/>
      <c r="W14" s="1758" t="s">
        <v>1940</v>
      </c>
      <c r="X14" s="1762"/>
      <c r="Y14" s="1641"/>
      <c r="Z14" s="1641"/>
    </row>
    <row r="15" spans="1:26" ht="48" x14ac:dyDescent="0.2">
      <c r="A15" s="1646">
        <f>SUM('ES lėšos'!A15)</f>
        <v>14</v>
      </c>
      <c r="B15" s="1641" t="str">
        <f>CONCATENATE('ES lėšos'!C15)</f>
        <v xml:space="preserve">Pagrindinės paslaugos ir kaimų atnaujinimas kaimo vietovėse </v>
      </c>
      <c r="C15" s="1641" t="str">
        <f>CONCATENATE('ketv. 6 '!C22)</f>
        <v>20KI-KA-17-1-01647-PR001</v>
      </c>
      <c r="D15" s="1641" t="str">
        <f>CONCATENATE('ES lėšos'!B15)</f>
        <v>Varėnos r. Dargužių kaimo Liepų gatvės ir viešosios erdvės įrengimas</v>
      </c>
      <c r="E15" s="1641" t="str">
        <f>CONCATENATE('ES lėšos'!D15)</f>
        <v xml:space="preserve">Varėnos rajono savivaldybės administracija </v>
      </c>
      <c r="F15" s="1641" t="str">
        <f>CONCATENATE('ES lėšos'!E15)</f>
        <v>Varėnos r. sav.</v>
      </c>
      <c r="G15" s="1653">
        <v>42775</v>
      </c>
      <c r="H15" s="1646" t="s">
        <v>1856</v>
      </c>
      <c r="I15" s="1759">
        <f>SUM('ES lėšos'!G15)</f>
        <v>146626</v>
      </c>
      <c r="J15" s="1760">
        <f>SUM('ES lėšos'!H15)</f>
        <v>146625</v>
      </c>
      <c r="K15" s="1647">
        <f t="shared" si="2"/>
        <v>1</v>
      </c>
      <c r="L15" s="1649">
        <f>IF(J15&gt;0,'ketv. 6 '!AF22/'ketv. 6 '!L22,"finansavimas dar neskirtas")</f>
        <v>0.67999684639143698</v>
      </c>
      <c r="M15" s="1757"/>
      <c r="N15" s="1651">
        <f>IF('ketv. 5 '!S22=0,'ketv. 5 '!R22,'ketv. 5 '!S22)</f>
        <v>43830</v>
      </c>
      <c r="O15" s="1656"/>
      <c r="P15" s="1756"/>
      <c r="Q15" s="1658">
        <f t="shared" si="0"/>
        <v>0</v>
      </c>
      <c r="R15" s="1673"/>
      <c r="S15" s="1760">
        <f>SUMIF('mokėjimų ataskaita'!I26:I613,C15,'mokėjimų ataskaita'!AK26:AK613)</f>
        <v>0</v>
      </c>
      <c r="T15" s="1760">
        <f>SUMIF('mokėjimų ataskaita'!I26:I613,C15,'mokėjimų ataskaita'!BS26:BS613)/2</f>
        <v>0</v>
      </c>
      <c r="U15" s="1649">
        <f t="shared" si="1"/>
        <v>0</v>
      </c>
      <c r="V15" s="1762"/>
      <c r="W15" s="1758" t="s">
        <v>1940</v>
      </c>
      <c r="X15" s="1762"/>
      <c r="Y15" s="1641"/>
      <c r="Z15" s="1641"/>
    </row>
    <row r="16" spans="1:26" ht="48" x14ac:dyDescent="0.2">
      <c r="A16" s="1646">
        <f>SUM('ES lėšos'!A16)</f>
        <v>15</v>
      </c>
      <c r="B16" s="1641" t="str">
        <f>CONCATENATE('ES lėšos'!C16)</f>
        <v xml:space="preserve">Pagrindinės paslaugos ir kaimų atnaujinimas kaimo vietovėse </v>
      </c>
      <c r="C16" s="1641" t="str">
        <f>CONCATENATE('ketv. 4 '!C24)</f>
        <v>20KI-KA-17-1-02469-PR001</v>
      </c>
      <c r="D16" s="1641" t="str">
        <f>CONCATENATE('ES lėšos'!B16)</f>
        <v>Alytaus rajono Vaisodžių kaimo sporto aikštės įrengimas ir gatvių apšvietimo atnaujinimas bei plėtra</v>
      </c>
      <c r="E16" s="1641" t="str">
        <f>CONCATENATE('ES lėšos'!D16)</f>
        <v>Alytaus rajono savivaldybės administracija</v>
      </c>
      <c r="F16" s="1641" t="str">
        <f>CONCATENATE('ES lėšos'!E16)</f>
        <v>Alytaus r. sav.</v>
      </c>
      <c r="G16" s="1653">
        <v>42776</v>
      </c>
      <c r="H16" s="1646" t="s">
        <v>1878</v>
      </c>
      <c r="I16" s="1759">
        <f>SUM('ES lėšos'!G16)</f>
        <v>52006</v>
      </c>
      <c r="J16" s="1760">
        <f>SUM('ES lėšos'!H16)</f>
        <v>0</v>
      </c>
      <c r="K16" s="1647" t="str">
        <f t="shared" si="2"/>
        <v>finansavimas dar neskirtas</v>
      </c>
      <c r="L16" s="1649" t="str">
        <f>IF(J16&gt;0,'ketv. 6 '!AF23/'ketv. 6 '!L23,"finansavimas dar neskirtas")</f>
        <v>finansavimas dar neskirtas</v>
      </c>
      <c r="M16" s="1757"/>
      <c r="N16" s="1651">
        <f>IF('ketv. 5 '!S23=0,'ketv. 5 '!R23,'ketv. 5 '!S23)</f>
        <v>43465</v>
      </c>
      <c r="O16" s="1651"/>
      <c r="P16" s="1755"/>
      <c r="Q16" s="1658">
        <f t="shared" si="0"/>
        <v>0</v>
      </c>
      <c r="R16" s="1673"/>
      <c r="S16" s="1760">
        <f>SUMIF('mokėjimų ataskaita'!I27:I614,C16,'mokėjimų ataskaita'!AK27:AK614)</f>
        <v>0</v>
      </c>
      <c r="T16" s="1760">
        <f>SUMIF('mokėjimų ataskaita'!I27:I614,C16,'mokėjimų ataskaita'!BS27:BS614)/2</f>
        <v>0</v>
      </c>
      <c r="U16" s="1649" t="str">
        <f t="shared" si="1"/>
        <v>finansavimas dar neskirtas</v>
      </c>
      <c r="V16" s="1762"/>
      <c r="W16" s="1758" t="s">
        <v>1968</v>
      </c>
      <c r="X16" s="1762"/>
      <c r="Y16" s="1641"/>
      <c r="Z16" s="1641"/>
    </row>
    <row r="17" spans="1:26" ht="48" x14ac:dyDescent="0.2">
      <c r="A17" s="1646">
        <f>SUM('ES lėšos'!A17)</f>
        <v>16</v>
      </c>
      <c r="B17" s="1641" t="str">
        <f>CONCATENATE('ES lėšos'!C17)</f>
        <v xml:space="preserve">Pagrindinės paslaugos ir kaimų atnaujinimas kaimo vietovėse </v>
      </c>
      <c r="C17" s="1641" t="str">
        <f>CONCATENATE('ketv. 6 '!C24)</f>
        <v>20KI-KA-17-1-02240-PR001</v>
      </c>
      <c r="D17" s="1641" t="str">
        <f>CONCATENATE('ES lėšos'!B17)</f>
        <v>Alytaus rajono Talokių kaimo sporto aikštės įrengimas ir Plytinės gatvės apšvietimas</v>
      </c>
      <c r="E17" s="1641" t="str">
        <f>CONCATENATE('ES lėšos'!D17)</f>
        <v>Alytaus rajono savivaldybės administracija</v>
      </c>
      <c r="F17" s="1641" t="str">
        <f>CONCATENATE('ES lėšos'!E17)</f>
        <v>Alytaus r. sav.</v>
      </c>
      <c r="G17" s="1653">
        <v>42776</v>
      </c>
      <c r="H17" s="1646" t="s">
        <v>1877</v>
      </c>
      <c r="I17" s="1759">
        <f>SUM('ES lėšos'!G17)</f>
        <v>94841</v>
      </c>
      <c r="J17" s="1760">
        <f>SUM('ES lėšos'!H17)</f>
        <v>81939.149999999994</v>
      </c>
      <c r="K17" s="1647">
        <f t="shared" si="2"/>
        <v>12901.850000000006</v>
      </c>
      <c r="L17" s="1649">
        <f>IF(J17&gt;0,'ketv. 6 '!AF24/'ketv. 6 '!L24,"finansavimas dar neskirtas")</f>
        <v>0.57984566066576082</v>
      </c>
      <c r="M17" s="1757"/>
      <c r="N17" s="1651">
        <f>IF('ketv. 5 '!S24=0,'ketv. 5 '!R24,'ketv. 5 '!S24)</f>
        <v>43465</v>
      </c>
      <c r="O17" s="1651"/>
      <c r="P17" s="1755"/>
      <c r="Q17" s="1658">
        <f t="shared" si="0"/>
        <v>0</v>
      </c>
      <c r="R17" s="1673"/>
      <c r="S17" s="1760">
        <f>SUMIF('mokėjimų ataskaita'!I28:I615,C17,'mokėjimų ataskaita'!AK28:AK615)</f>
        <v>0</v>
      </c>
      <c r="T17" s="1760">
        <f>SUMIF('mokėjimų ataskaita'!I28:I615,C17,'mokėjimų ataskaita'!BS28:BS615)/2</f>
        <v>0</v>
      </c>
      <c r="U17" s="1649">
        <f t="shared" si="1"/>
        <v>0</v>
      </c>
      <c r="V17" s="1762"/>
      <c r="W17" s="1758" t="s">
        <v>1940</v>
      </c>
      <c r="X17" s="1762"/>
      <c r="Y17" s="1641"/>
      <c r="Z17" s="1641"/>
    </row>
    <row r="18" spans="1:26" ht="48" x14ac:dyDescent="0.2">
      <c r="A18" s="1646">
        <f>SUM('ES lėšos'!A18)</f>
        <v>17</v>
      </c>
      <c r="B18" s="1641" t="str">
        <f>CONCATENATE('ES lėšos'!C18)</f>
        <v xml:space="preserve">Pagrindinės paslaugos ir kaimų atnaujinimas kaimo vietovėse </v>
      </c>
      <c r="C18" s="1641" t="str">
        <f>CONCATENATE('ketv. 6 '!C25)</f>
        <v>20KI-KA-17-1-01639-PR001</v>
      </c>
      <c r="D18" s="1641" t="str">
        <f>CONCATENATE('ES lėšos'!B18)</f>
        <v>Varėnos r. Rudnios kaimo Pušyno gatvės įrengimas</v>
      </c>
      <c r="E18" s="1641" t="str">
        <f>CONCATENATE('ES lėšos'!D18)</f>
        <v xml:space="preserve">Varėnos rajono savivaldybės administracija </v>
      </c>
      <c r="F18" s="1641" t="str">
        <f>CONCATENATE('ES lėšos'!E18)</f>
        <v>Varėnos r. sav.</v>
      </c>
      <c r="G18" s="1653">
        <v>42775</v>
      </c>
      <c r="H18" s="1646" t="s">
        <v>1859</v>
      </c>
      <c r="I18" s="1759">
        <f>SUM('ES lėšos'!G18)</f>
        <v>78760</v>
      </c>
      <c r="J18" s="1760">
        <f>SUM('ES lėšos'!H18)</f>
        <v>78624.149999999994</v>
      </c>
      <c r="K18" s="1647">
        <f t="shared" si="2"/>
        <v>135.85000000000582</v>
      </c>
      <c r="L18" s="1649">
        <f>IF(J18&gt;0,'ketv. 6 '!AF25/'ketv. 6 '!L25,"finansavimas dar neskirtas")</f>
        <v>0.67999852971701369</v>
      </c>
      <c r="M18" s="1757"/>
      <c r="N18" s="1651">
        <f>IF('ketv. 5 '!S25=0,'ketv. 5 '!R25,'ketv. 5 '!S25)</f>
        <v>43830</v>
      </c>
      <c r="O18" s="1651"/>
      <c r="P18" s="1755"/>
      <c r="Q18" s="1658">
        <f t="shared" si="0"/>
        <v>0</v>
      </c>
      <c r="R18" s="1673"/>
      <c r="S18" s="1760">
        <f>SUMIF('mokėjimų ataskaita'!I29:I616,C18,'mokėjimų ataskaita'!AK29:AK616)</f>
        <v>0</v>
      </c>
      <c r="T18" s="1760">
        <f>SUMIF('mokėjimų ataskaita'!I29:I616,C18,'mokėjimų ataskaita'!BS29:BS616)/2</f>
        <v>0</v>
      </c>
      <c r="U18" s="1649">
        <f t="shared" si="1"/>
        <v>0</v>
      </c>
      <c r="V18" s="1762"/>
      <c r="W18" s="1758" t="s">
        <v>1940</v>
      </c>
      <c r="X18" s="1762"/>
      <c r="Y18" s="1641"/>
      <c r="Z18" s="1641"/>
    </row>
    <row r="19" spans="1:26" ht="48" x14ac:dyDescent="0.2">
      <c r="A19" s="1646">
        <f>SUM('ES lėšos'!A19)</f>
        <v>18</v>
      </c>
      <c r="B19" s="1641" t="str">
        <f>CONCATENATE('ES lėšos'!C19)</f>
        <v xml:space="preserve">Pagrindinės paslaugos ir kaimų atnaujinimas kaimo vietovėse </v>
      </c>
      <c r="C19" s="1641" t="str">
        <f>CONCATENATE('ketv. 6 '!C26)</f>
        <v>20KI-KA-17-1-01666-PR001</v>
      </c>
      <c r="D19" s="1641" t="str">
        <f>CONCATENATE('ES lėšos'!B19)</f>
        <v>Varėnos kultūros centro Žilinų filialo pastato atnaujinimas ir pritaikymas bendruomenės poreikiams</v>
      </c>
      <c r="E19" s="1641" t="str">
        <f>CONCATENATE('ES lėšos'!D19)</f>
        <v xml:space="preserve">Varėnos rajono savivaldybės administracija </v>
      </c>
      <c r="F19" s="1641" t="str">
        <f>CONCATENATE('ES lėšos'!E19)</f>
        <v>Varėnos r. sav.</v>
      </c>
      <c r="G19" s="1653">
        <v>42775</v>
      </c>
      <c r="H19" s="1646" t="s">
        <v>1860</v>
      </c>
      <c r="I19" s="1759">
        <f>SUM('ES lėšos'!G19)</f>
        <v>170000</v>
      </c>
      <c r="J19" s="1760">
        <f>SUM('ES lėšos'!H19)</f>
        <v>170000</v>
      </c>
      <c r="K19" s="1647">
        <f t="shared" si="2"/>
        <v>0</v>
      </c>
      <c r="L19" s="1649">
        <f>IF(J19&gt;0,'ketv. 6 '!AF26/'ketv. 6 '!L26,"finansavimas dar neskirtas")</f>
        <v>0.68</v>
      </c>
      <c r="M19" s="1757"/>
      <c r="N19" s="1651">
        <f>IF('ketv. 5 '!S26=0,'ketv. 5 '!R26,'ketv. 5 '!S26)</f>
        <v>43830</v>
      </c>
      <c r="O19" s="1651"/>
      <c r="P19" s="1755"/>
      <c r="Q19" s="1658">
        <f t="shared" si="0"/>
        <v>0</v>
      </c>
      <c r="R19" s="1673"/>
      <c r="S19" s="1760">
        <f>SUMIF('mokėjimų ataskaita'!I30:I617,C19,'mokėjimų ataskaita'!AK30:AK617)</f>
        <v>0</v>
      </c>
      <c r="T19" s="1760">
        <f>SUMIF('mokėjimų ataskaita'!I30:I617,C19,'mokėjimų ataskaita'!BS30:BS617)/2</f>
        <v>0</v>
      </c>
      <c r="U19" s="1649">
        <f t="shared" si="1"/>
        <v>0</v>
      </c>
      <c r="V19" s="1762"/>
      <c r="W19" s="1758" t="s">
        <v>1940</v>
      </c>
      <c r="X19" s="1762"/>
      <c r="Y19" s="1641"/>
      <c r="Z19" s="1641"/>
    </row>
    <row r="20" spans="1:26" ht="48" x14ac:dyDescent="0.2">
      <c r="A20" s="1646">
        <f>SUM('ES lėšos'!A20)</f>
        <v>19</v>
      </c>
      <c r="B20" s="1641" t="str">
        <f>CONCATENATE('ES lėšos'!C20)</f>
        <v xml:space="preserve">Pagrindinės paslaugos ir kaimų atnaujinimas kaimo vietovėse </v>
      </c>
      <c r="C20" s="1641" t="str">
        <f>CONCATENATE('ketv. 6 '!C27)</f>
        <v>20KI-KA-17-1-02648-PR001</v>
      </c>
      <c r="D20" s="1641" t="str">
        <f>CONCATENATE('ES lėšos'!B20)</f>
        <v>Alytaus rajono Pivašiūnų kaimo šaligatvių, laiptų kapitalinis remontas ir gyvenvietės apšvietimo įrengimas</v>
      </c>
      <c r="E20" s="1641" t="str">
        <f>CONCATENATE('ES lėšos'!D20)</f>
        <v>Alytaus rajono savivaldybės administracija</v>
      </c>
      <c r="F20" s="1641" t="str">
        <f>CONCATENATE('ES lėšos'!E20)</f>
        <v>Alytaus r. sav.</v>
      </c>
      <c r="G20" s="1653">
        <v>42776</v>
      </c>
      <c r="H20" s="1646" t="s">
        <v>1876</v>
      </c>
      <c r="I20" s="1759">
        <f>SUM('ES lėšos'!G20)</f>
        <v>80231</v>
      </c>
      <c r="J20" s="1760">
        <f>SUM('ES lėšos'!H20)</f>
        <v>80230.649999999994</v>
      </c>
      <c r="K20" s="1647">
        <f t="shared" si="2"/>
        <v>0.35000000000582077</v>
      </c>
      <c r="L20" s="1649">
        <f>IF(J20&gt;0,'ketv. 6 '!AF27/'ketv. 6 '!L27,"finansavimas dar neskirtas")</f>
        <v>0.68000203413254456</v>
      </c>
      <c r="M20" s="1757"/>
      <c r="N20" s="1651">
        <f>IF('ketv. 5 '!S27=0,'ketv. 5 '!R27,'ketv. 5 '!S27)</f>
        <v>43465</v>
      </c>
      <c r="O20" s="1651"/>
      <c r="P20" s="1755"/>
      <c r="Q20" s="1658">
        <f t="shared" si="0"/>
        <v>0</v>
      </c>
      <c r="R20" s="1673"/>
      <c r="S20" s="1760">
        <f>SUMIF('mokėjimų ataskaita'!I31:I618,C20,'mokėjimų ataskaita'!AK31:AK618)</f>
        <v>0</v>
      </c>
      <c r="T20" s="1760">
        <f>SUMIF('mokėjimų ataskaita'!I31:I618,C20,'mokėjimų ataskaita'!BS31:BS618)/2</f>
        <v>0</v>
      </c>
      <c r="U20" s="1649">
        <f t="shared" si="1"/>
        <v>0</v>
      </c>
      <c r="V20" s="1762"/>
      <c r="W20" s="1758" t="s">
        <v>1940</v>
      </c>
      <c r="X20" s="1762"/>
      <c r="Y20" s="1641"/>
      <c r="Z20" s="1641"/>
    </row>
    <row r="21" spans="1:26" ht="48" x14ac:dyDescent="0.2">
      <c r="A21" s="1646">
        <f>SUM('ES lėšos'!A21)</f>
        <v>20</v>
      </c>
      <c r="B21" s="1641" t="str">
        <f>CONCATENATE('ES lėšos'!C21)</f>
        <v xml:space="preserve">Pagrindinės paslaugos ir kaimų atnaujinimas kaimo vietovėse </v>
      </c>
      <c r="C21" s="1641" t="str">
        <f>CONCATENATE('ketv. 6 '!C28)</f>
        <v>20KI-KA-17-1-01736-PR001</v>
      </c>
      <c r="D21" s="1641" t="str">
        <f>CONCATENATE('ES lėšos'!B21)</f>
        <v>Pastato, esančio Pušelės g. 11, Naujųjų Valkininkų k., Varėnos r., atnaujinimas ir pritaikymas bendruomenės poreikiams</v>
      </c>
      <c r="E21" s="1641" t="str">
        <f>CONCATENATE('ES lėšos'!D21)</f>
        <v xml:space="preserve">Varėnos rajono savivaldybės administracija </v>
      </c>
      <c r="F21" s="1641" t="str">
        <f>CONCATENATE('ES lėšos'!E21)</f>
        <v>Varėnos r. sav.</v>
      </c>
      <c r="G21" s="1653">
        <v>42775</v>
      </c>
      <c r="H21" s="1646" t="s">
        <v>1858</v>
      </c>
      <c r="I21" s="1759">
        <f>SUM('ES lėšos'!G21)</f>
        <v>170000</v>
      </c>
      <c r="J21" s="1760">
        <f>SUM('ES lėšos'!H21)</f>
        <v>170000</v>
      </c>
      <c r="K21" s="1647">
        <f t="shared" si="2"/>
        <v>0</v>
      </c>
      <c r="L21" s="1649">
        <f>IF(J21&gt;0,'ketv. 6 '!AF28/'ketv. 6 '!L28,"finansavimas dar neskirtas")</f>
        <v>0.3473108943255529</v>
      </c>
      <c r="M21" s="1757"/>
      <c r="N21" s="1651">
        <f>IF('ketv. 5 '!S28=0,'ketv. 5 '!R28,'ketv. 5 '!S28)</f>
        <v>43830</v>
      </c>
      <c r="O21" s="1651"/>
      <c r="P21" s="1755"/>
      <c r="Q21" s="1658">
        <f t="shared" si="0"/>
        <v>0</v>
      </c>
      <c r="R21" s="1673"/>
      <c r="S21" s="1760">
        <f>SUMIF('mokėjimų ataskaita'!I32:I619,C21,'mokėjimų ataskaita'!AK32:AK619)</f>
        <v>0</v>
      </c>
      <c r="T21" s="1760">
        <f>SUMIF('mokėjimų ataskaita'!I32:I619,C21,'mokėjimų ataskaita'!BS32:BS619)/2</f>
        <v>0</v>
      </c>
      <c r="U21" s="1649">
        <f t="shared" si="1"/>
        <v>0</v>
      </c>
      <c r="V21" s="1762"/>
      <c r="W21" s="1758" t="s">
        <v>1940</v>
      </c>
      <c r="X21" s="1762"/>
      <c r="Y21" s="1641"/>
      <c r="Z21" s="1641"/>
    </row>
    <row r="22" spans="1:26" ht="48" x14ac:dyDescent="0.2">
      <c r="A22" s="1646">
        <f>SUM('ES lėšos'!A22)</f>
        <v>21</v>
      </c>
      <c r="B22" s="1641" t="str">
        <f>CONCATENATE('ES lėšos'!C22)</f>
        <v xml:space="preserve">Pagrindinės paslaugos ir kaimų atnaujinimas kaimo vietovėse </v>
      </c>
      <c r="C22" s="1641" t="str">
        <f>CONCATENATE('ketv. 6 '!C29)</f>
        <v>20KI-KA-17-1-02364-PR001</v>
      </c>
      <c r="D22" s="1641" t="str">
        <f>CONCATENATE('ES lėšos'!B22)</f>
        <v>Kaimo gyvenamųjų vietovių Lazdijų rajono savivaldybėje patrauklumo gerinimas</v>
      </c>
      <c r="E22" s="1641" t="str">
        <f>CONCATENATE('ES lėšos'!D22)</f>
        <v>Lazdijų rajono savivaldybės administracija</v>
      </c>
      <c r="F22" s="1641" t="str">
        <f>CONCATENATE('ES lėšos'!E22)</f>
        <v>Lazdijų r. sav.</v>
      </c>
      <c r="G22" s="1653">
        <v>42775</v>
      </c>
      <c r="H22" s="1646" t="s">
        <v>1865</v>
      </c>
      <c r="I22" s="1759">
        <f>SUM('ES lėšos'!G22)</f>
        <v>115600</v>
      </c>
      <c r="J22" s="1760">
        <f>SUM('ES lėšos'!H22)</f>
        <v>115600</v>
      </c>
      <c r="K22" s="1647">
        <f t="shared" si="2"/>
        <v>0</v>
      </c>
      <c r="L22" s="1649">
        <f>IF(J22&gt;0,'ketv. 6 '!AF29/'ketv. 6 '!L29,"finansavimas dar neskirtas")</f>
        <v>0.68</v>
      </c>
      <c r="M22" s="1757"/>
      <c r="N22" s="1651">
        <f>IF('ketv. 5 '!S29=0,'ketv. 5 '!R29,'ketv. 5 '!S29)</f>
        <v>43291</v>
      </c>
      <c r="O22" s="1651"/>
      <c r="P22" s="1755"/>
      <c r="Q22" s="1658">
        <f t="shared" si="0"/>
        <v>0</v>
      </c>
      <c r="R22" s="1673"/>
      <c r="S22" s="1760">
        <f>SUMIF('mokėjimų ataskaita'!I33:I620,C22,'mokėjimų ataskaita'!AK33:AK620)</f>
        <v>0</v>
      </c>
      <c r="T22" s="1760">
        <f>SUMIF('mokėjimų ataskaita'!I33:I620,C22,'mokėjimų ataskaita'!BS33:BS620)/2</f>
        <v>0</v>
      </c>
      <c r="U22" s="1649">
        <f t="shared" si="1"/>
        <v>0</v>
      </c>
      <c r="V22" s="1762"/>
      <c r="W22" s="1758" t="s">
        <v>1940</v>
      </c>
      <c r="X22" s="1762"/>
      <c r="Y22" s="1641"/>
      <c r="Z22" s="1641"/>
    </row>
    <row r="23" spans="1:26" ht="48" x14ac:dyDescent="0.2">
      <c r="A23" s="1646">
        <f>SUM('ES lėšos'!A23)</f>
        <v>22</v>
      </c>
      <c r="B23" s="1641" t="str">
        <f>CONCATENATE('ES lėšos'!C23)</f>
        <v xml:space="preserve">Pagrindinės paslaugos ir kaimų atnaujinimas kaimo vietovėse </v>
      </c>
      <c r="C23" s="1641" t="str">
        <f>CONCATENATE('ketv. 4 '!C31)</f>
        <v>20KI-KA-17-1-02241-PR001</v>
      </c>
      <c r="D23" s="1641" t="str">
        <f>CONCATENATE('ES lėšos'!B23)</f>
        <v>Alytaus rajono Makniūnų kaimo šaligatvių atnaujinimas ir plėtra</v>
      </c>
      <c r="E23" s="1641" t="str">
        <f>CONCATENATE('ES lėšos'!D23)</f>
        <v>Alytaus rajono savivaldybės administracija</v>
      </c>
      <c r="F23" s="1641" t="str">
        <f>CONCATENATE('ES lėšos'!E23)</f>
        <v>Alytaus r. sav.</v>
      </c>
      <c r="G23" s="1653">
        <v>42775</v>
      </c>
      <c r="H23" s="1646" t="s">
        <v>1867</v>
      </c>
      <c r="I23" s="1759">
        <f>SUM('ES lėšos'!G23)</f>
        <v>48274</v>
      </c>
      <c r="J23" s="1760">
        <f>SUM('ES lėšos'!H23)</f>
        <v>0</v>
      </c>
      <c r="K23" s="1647" t="str">
        <f t="shared" si="2"/>
        <v>finansavimas dar neskirtas</v>
      </c>
      <c r="L23" s="1649" t="str">
        <f>IF(J23&gt;0,'ketv. 6 '!AF30/'ketv. 6 '!L30,"finansavimas dar neskirtas")</f>
        <v>finansavimas dar neskirtas</v>
      </c>
      <c r="M23" s="1758"/>
      <c r="N23" s="1651">
        <f>IF('ketv. 5 '!S30=0,'ketv. 5 '!R30,'ketv. 5 '!S30)</f>
        <v>43465</v>
      </c>
      <c r="O23" s="1651"/>
      <c r="P23" s="1755"/>
      <c r="Q23" s="1658">
        <f t="shared" si="0"/>
        <v>0</v>
      </c>
      <c r="R23" s="1673"/>
      <c r="S23" s="1760">
        <f>SUMIF('mokėjimų ataskaita'!I34:I621,C23,'mokėjimų ataskaita'!AK34:AK621)</f>
        <v>0</v>
      </c>
      <c r="T23" s="1760">
        <f>SUMIF('mokėjimų ataskaita'!I34:I621,C23,'mokėjimų ataskaita'!BS34:BS621)/2</f>
        <v>0</v>
      </c>
      <c r="U23" s="1649" t="str">
        <f t="shared" si="1"/>
        <v>finansavimas dar neskirtas</v>
      </c>
      <c r="V23" s="1762"/>
      <c r="W23" s="1758" t="s">
        <v>1968</v>
      </c>
      <c r="X23" s="1762"/>
      <c r="Y23" s="1641"/>
      <c r="Z23" s="1641"/>
    </row>
    <row r="24" spans="1:26" ht="48" x14ac:dyDescent="0.2">
      <c r="A24" s="1646">
        <f>SUM('ES lėšos'!A24)</f>
        <v>23</v>
      </c>
      <c r="B24" s="1641" t="str">
        <f>CONCATENATE('ES lėšos'!C24)</f>
        <v xml:space="preserve">Pagrindinės paslaugos ir kaimų atnaujinimas kaimo vietovėse </v>
      </c>
      <c r="C24" s="1646" t="str">
        <f>CONCATENATE('ketv. 6 '!C31)</f>
        <v>-</v>
      </c>
      <c r="D24" s="1641" t="str">
        <f>CONCATENATE('ES lėšos'!B24)</f>
        <v>Varėnos r. Vazgirdonių kaimo Klevų gatvės įrengimas</v>
      </c>
      <c r="E24" s="1641" t="str">
        <f>CONCATENATE('ES lėšos'!D24)</f>
        <v xml:space="preserve">Varėnos rajono savivaldybės administracija </v>
      </c>
      <c r="F24" s="1641" t="str">
        <f>CONCATENATE('ES lėšos'!E24)</f>
        <v>Varėnos r. sav.</v>
      </c>
      <c r="G24" s="1653">
        <v>42775</v>
      </c>
      <c r="H24" s="1646" t="s">
        <v>1857</v>
      </c>
      <c r="I24" s="1759">
        <f>SUM('ES lėšos'!G24)</f>
        <v>108833</v>
      </c>
      <c r="J24" s="1760">
        <f>SUM('ES lėšos'!H24)</f>
        <v>0</v>
      </c>
      <c r="K24" s="1647" t="str">
        <f t="shared" si="2"/>
        <v>finansavimas dar neskirtas</v>
      </c>
      <c r="L24" s="1649" t="str">
        <f>IF(J24&gt;0,'ketv. 6 '!AF31/'ketv. 6 '!L31,"finansavimas dar neskirtas")</f>
        <v>finansavimas dar neskirtas</v>
      </c>
      <c r="M24" s="1757"/>
      <c r="N24" s="1651">
        <f>IF('ketv. 5 '!S31=0,'ketv. 5 '!R31,'ketv. 5 '!S31)</f>
        <v>43830</v>
      </c>
      <c r="O24" s="1651"/>
      <c r="P24" s="1755"/>
      <c r="Q24" s="1658">
        <f t="shared" si="0"/>
        <v>0</v>
      </c>
      <c r="R24" s="1673"/>
      <c r="S24" s="1760">
        <f>SUMIF('mokėjimų ataskaita'!I35:I622,C24,'mokėjimų ataskaita'!AK35:AK622)</f>
        <v>0</v>
      </c>
      <c r="T24" s="1760">
        <f>SUMIF('mokėjimų ataskaita'!I35:I622,C24,'mokėjimų ataskaita'!BS35:BS622)/2</f>
        <v>0</v>
      </c>
      <c r="U24" s="1649" t="str">
        <f t="shared" si="1"/>
        <v>finansavimas dar neskirtas</v>
      </c>
      <c r="V24" s="1762"/>
      <c r="W24" s="1763"/>
      <c r="X24" s="1762"/>
      <c r="Y24" s="1641"/>
      <c r="Z24" s="1641"/>
    </row>
    <row r="25" spans="1:26" ht="47.25" customHeight="1" x14ac:dyDescent="0.2">
      <c r="A25" s="1646">
        <f>SUM('ES lėšos'!A25)</f>
        <v>24</v>
      </c>
      <c r="B25" s="1641" t="str">
        <f>CONCATENATE('ES lėšos'!C25)</f>
        <v>8.2.1-CPVA-R-908</v>
      </c>
      <c r="C25" s="1641" t="str">
        <f>CONCATENATE('ketv. 6 '!C33)</f>
        <v>08.2.1-CPVA-R-908-11-0002</v>
      </c>
      <c r="D25" s="1641" t="str">
        <f>CONCATENATE('ES lėšos'!B25)</f>
        <v>Matuizų kaimo viešosios infrastruktūros atnaujinimas ir pritaikymas bendruomenės poreikiams</v>
      </c>
      <c r="E25" s="1641" t="str">
        <f>CONCATENATE('ES lėšos'!D25)</f>
        <v>Varėnos rajono savivaldybės administracija</v>
      </c>
      <c r="F25" s="1641" t="str">
        <f>CONCATENATE('ES lėšos'!E25)</f>
        <v>Varėnos r. sav.</v>
      </c>
      <c r="G25" s="1653">
        <v>43090</v>
      </c>
      <c r="H25" s="1646" t="s">
        <v>1880</v>
      </c>
      <c r="I25" s="1647">
        <f>SUM('ES lėšos'!G25)</f>
        <v>487341</v>
      </c>
      <c r="J25" s="1648">
        <f ca="1">SUM('ES lėšos'!H25)</f>
        <v>487341</v>
      </c>
      <c r="K25" s="1647">
        <f t="shared" ca="1" si="2"/>
        <v>0</v>
      </c>
      <c r="L25" s="1649">
        <f ca="1">IF(J25&gt;0,'ketv. 6 '!AF33/'ketv. 6 '!L33,"finansavimas dar neskirtas")</f>
        <v>0.5975702334561861</v>
      </c>
      <c r="M25" s="1657">
        <f>SUMIF('sutarčių ataskaita'!$J$19:$J$600,C25,'sutarčių ataskaita'!$BP$19:$BP$600)</f>
        <v>44196</v>
      </c>
      <c r="N25" s="1651">
        <f>IF('ketv. 5 '!S33=0,'ketv. 5 '!R33,'ketv. 5 '!S33)</f>
        <v>44196</v>
      </c>
      <c r="O25" s="1657">
        <f>SUMIF('sutarčių ataskaita'!$J$19:$J$600,C25,'sutarčių ataskaita'!$BO$19:$BO$600)</f>
        <v>42188</v>
      </c>
      <c r="P25" s="1657">
        <f>SUMIF('sutarčių ataskaita'!$J$19:$J$600,C25,'sutarčių ataskaita'!$L$19:$L$600)</f>
        <v>43279</v>
      </c>
      <c r="Q25" s="1658">
        <f t="shared" ref="Q25:Q33" si="3">SUM((M25-O25)/(365/12))</f>
        <v>66.016438356164386</v>
      </c>
      <c r="R25" s="1648">
        <f>SUM('ketv. 7 '!AK32)</f>
        <v>0</v>
      </c>
      <c r="S25" s="1648">
        <f>SUMIF('mokėjimų ataskaita'!I36:I623,C25,'mokėjimų ataskaita'!AK36:AK623)/2</f>
        <v>0</v>
      </c>
      <c r="T25" s="1648">
        <f>SUMIF('mokėjimų ataskaita'!I36:I623,C25,'mokėjimų ataskaita'!BS36:BS623)/2</f>
        <v>0</v>
      </c>
      <c r="U25" s="1649">
        <f t="shared" ref="U25:U56" ca="1" si="4">IF(J25&gt;0,R25/J25,"finansavimas dar neskirtas")</f>
        <v>0</v>
      </c>
      <c r="V25" s="1758"/>
      <c r="W25" s="1758" t="s">
        <v>1940</v>
      </c>
      <c r="X25" s="1762" t="s">
        <v>1960</v>
      </c>
      <c r="Y25" s="1641"/>
      <c r="Z25" s="1641"/>
    </row>
    <row r="26" spans="1:26" ht="48" x14ac:dyDescent="0.2">
      <c r="A26" s="1646">
        <f>SUM('ES lėšos'!A26)</f>
        <v>25</v>
      </c>
      <c r="B26" s="1641" t="str">
        <f>CONCATENATE('ES lėšos'!C26)</f>
        <v>8.2.1-CPVA-R-908</v>
      </c>
      <c r="C26" s="1641" t="str">
        <f>CONCATENATE('ketv. 6 '!C34)</f>
        <v>08.2.1-CPVA-R-908-11-0001</v>
      </c>
      <c r="D26" s="1641" t="str">
        <f>CONCATENATE('ES lėšos'!B26)</f>
        <v>Senosios Varėnos kaimo viešosios infrastruktūros atnaujinimas ir pritaikymas bendruomenės poreikiams</v>
      </c>
      <c r="E26" s="1641" t="str">
        <f>CONCATENATE('ES lėšos'!D26)</f>
        <v>Varėnos rajono savivaldybės administracija</v>
      </c>
      <c r="F26" s="1641" t="str">
        <f>CONCATENATE('ES lėšos'!E26)</f>
        <v>Varėnos r. sav.</v>
      </c>
      <c r="G26" s="1653">
        <v>42958</v>
      </c>
      <c r="H26" s="1646" t="s">
        <v>1879</v>
      </c>
      <c r="I26" s="1647">
        <f>SUM('ES lėšos'!G26)</f>
        <v>514270.57</v>
      </c>
      <c r="J26" s="1648">
        <f ca="1">SUM('ES lėšos'!H26)</f>
        <v>514270.57</v>
      </c>
      <c r="K26" s="1647">
        <f t="shared" ca="1" si="2"/>
        <v>0</v>
      </c>
      <c r="L26" s="1649">
        <f ca="1">IF(J26&gt;0,'ketv. 6 '!AF34/'ketv. 6 '!L34,"finansavimas dar neskirtas")</f>
        <v>0.85000000000000009</v>
      </c>
      <c r="M26" s="1657">
        <f>SUMIF('sutarčių ataskaita'!$J$19:$J$600,C26,'sutarčių ataskaita'!$BP$19:$BP$600)</f>
        <v>43890</v>
      </c>
      <c r="N26" s="1651">
        <f>IF('ketv. 5 '!S34=0,'ketv. 5 '!R34,'ketv. 5 '!S34)</f>
        <v>44196</v>
      </c>
      <c r="O26" s="1657">
        <f>SUMIF('sutarčių ataskaita'!$J$19:$J$600,C26,'sutarčių ataskaita'!$BO$19:$BO$600)</f>
        <v>42188</v>
      </c>
      <c r="P26" s="1657">
        <f>SUMIF('sutarčių ataskaita'!$J$19:$J$600,C26,'sutarčių ataskaita'!$L$19:$L$600)</f>
        <v>43125</v>
      </c>
      <c r="Q26" s="1658">
        <f t="shared" si="3"/>
        <v>55.956164383561642</v>
      </c>
      <c r="R26" s="1648">
        <f>SUM('ketv. 7 '!AK33)</f>
        <v>47701.89</v>
      </c>
      <c r="S26" s="1648">
        <f>SUMIF('mokėjimų ataskaita'!I37:I624,C26,'mokėjimų ataskaita'!AK37:AK624)/2</f>
        <v>47701.89</v>
      </c>
      <c r="T26" s="1648">
        <f>SUMIF('mokėjimų ataskaita'!I37:I624,C26,'mokėjimų ataskaita'!BS37:BS624)/2</f>
        <v>28233.67</v>
      </c>
      <c r="U26" s="1649">
        <f t="shared" ca="1" si="4"/>
        <v>9.2756406418512335E-2</v>
      </c>
      <c r="V26" s="1758"/>
      <c r="W26" s="1758" t="s">
        <v>1940</v>
      </c>
      <c r="X26" s="1762" t="s">
        <v>1960</v>
      </c>
      <c r="Y26" s="1641"/>
      <c r="Z26" s="1641"/>
    </row>
    <row r="27" spans="1:26" ht="36" x14ac:dyDescent="0.2">
      <c r="A27" s="1646">
        <f>SUM('ES lėšos'!A27)</f>
        <v>26</v>
      </c>
      <c r="B27" s="1641" t="str">
        <f>CONCATENATE('ES lėšos'!C27)</f>
        <v>8.2.1-CPVA-R-908</v>
      </c>
      <c r="C27" s="1646" t="str">
        <f>CONCATENATE('ketv. 6 '!C35)</f>
        <v>-</v>
      </c>
      <c r="D27" s="1641" t="str">
        <f>CONCATENATE('ES lėšos'!B27)</f>
        <v>Kompleksinė Miklusėnų gyvenvietės plėtra</v>
      </c>
      <c r="E27" s="1641" t="str">
        <f>CONCATENATE('ES lėšos'!D27)</f>
        <v>Alytaus rajono savivaldybės administracija</v>
      </c>
      <c r="F27" s="1641" t="str">
        <f>CONCATENATE('ES lėšos'!E27)</f>
        <v>Alytaus r. sav.</v>
      </c>
      <c r="G27" s="1653" t="s">
        <v>66</v>
      </c>
      <c r="H27" s="1646" t="s">
        <v>66</v>
      </c>
      <c r="I27" s="1647">
        <f>SUM('ES lėšos'!G27)</f>
        <v>0</v>
      </c>
      <c r="J27" s="1648">
        <f ca="1">SUM('ES lėšos'!H27)</f>
        <v>0</v>
      </c>
      <c r="K27" s="1647" t="str">
        <f t="shared" ca="1" si="2"/>
        <v>finansavimas dar neskirtas</v>
      </c>
      <c r="L27" s="1649" t="str">
        <f ca="1">IF(J27&gt;0,'ketv. 6 '!AF35/'ketv. 6 '!L35,"finansavimas dar neskirtas")</f>
        <v>finansavimas dar neskirtas</v>
      </c>
      <c r="M27" s="1657"/>
      <c r="N27" s="1651">
        <f>IF('ketv. 5 '!S35=0,'ketv. 5 '!R35,'ketv. 5 '!S35)</f>
        <v>44377</v>
      </c>
      <c r="O27" s="1657"/>
      <c r="P27" s="1657"/>
      <c r="Q27" s="1658">
        <f t="shared" si="3"/>
        <v>0</v>
      </c>
      <c r="R27" s="1648">
        <f>SUM('ketv. 7 '!AK34)</f>
        <v>0</v>
      </c>
      <c r="S27" s="1648">
        <f>SUMIF('mokėjimų ataskaita'!I38:I625,C27,'mokėjimų ataskaita'!AK38:AK625)/2</f>
        <v>0</v>
      </c>
      <c r="T27" s="1648">
        <f>SUMIF('mokėjimų ataskaita'!I38:I625,C27,'mokėjimų ataskaita'!BS38:BS625)/2</f>
        <v>0</v>
      </c>
      <c r="U27" s="1649" t="str">
        <f t="shared" ca="1" si="4"/>
        <v>finansavimas dar neskirtas</v>
      </c>
      <c r="V27" s="1758"/>
      <c r="W27" s="1763"/>
      <c r="X27" s="1762"/>
      <c r="Y27" s="1641"/>
      <c r="Z27" s="1641"/>
    </row>
    <row r="28" spans="1:26" ht="36" x14ac:dyDescent="0.2">
      <c r="A28" s="1646">
        <f>SUM('ES lėšos'!A28)</f>
        <v>27</v>
      </c>
      <c r="B28" s="1641" t="str">
        <f>CONCATENATE('ES lėšos'!C28)</f>
        <v>8.2.1-CPVA-R-908</v>
      </c>
      <c r="C28" s="1641" t="str">
        <f>CONCATENATE('ketv. 6 '!C36)</f>
        <v>08.2.1-CPVA-R-908-11-0003</v>
      </c>
      <c r="D28" s="1641" t="str">
        <f>CONCATENATE('ES lėšos'!B28)</f>
        <v>Leipalingio viešosios erdvės pritaikymas bendruomenės poreikiams</v>
      </c>
      <c r="E28" s="1641" t="str">
        <f>CONCATENATE('ES lėšos'!D28)</f>
        <v xml:space="preserve">Druskininkų savivaldybės administracija  </v>
      </c>
      <c r="F28" s="1641" t="str">
        <f>CONCATENATE('ES lėšos'!E28)</f>
        <v>Druskininkų sav.</v>
      </c>
      <c r="G28" s="1653">
        <v>43087</v>
      </c>
      <c r="H28" s="1646" t="s">
        <v>1881</v>
      </c>
      <c r="I28" s="1647">
        <f>SUM('ES lėšos'!G28)</f>
        <v>355096.91</v>
      </c>
      <c r="J28" s="1648">
        <f ca="1">SUM('ES lėšos'!H28)</f>
        <v>355096.91</v>
      </c>
      <c r="K28" s="1647">
        <f t="shared" ca="1" si="2"/>
        <v>0</v>
      </c>
      <c r="L28" s="1649">
        <f ca="1">IF(J28&gt;0,'ketv. 6 '!AF36/'ketv. 6 '!L36,"finansavimas dar neskirtas")</f>
        <v>0.61284996889729138</v>
      </c>
      <c r="M28" s="1657">
        <f>SUMIF('sutarčių ataskaita'!$J$19:$J$600,C28,'sutarčių ataskaita'!$BP$19:$BP$600)</f>
        <v>43708</v>
      </c>
      <c r="N28" s="1651">
        <f>IF('ketv. 5 '!S36=0,'ketv. 5 '!R36,'ketv. 5 '!S36)</f>
        <v>43830</v>
      </c>
      <c r="O28" s="1657">
        <f>SUMIF('sutarčių ataskaita'!$J$19:$J$600,C28,'sutarčių ataskaita'!$BO$19:$BO$600)</f>
        <v>42524</v>
      </c>
      <c r="P28" s="1657">
        <f>SUMIF('sutarčių ataskaita'!$J$19:$J$600,C28,'sutarčių ataskaita'!$L$19:$L$600)</f>
        <v>43328</v>
      </c>
      <c r="Q28" s="1658">
        <f t="shared" si="3"/>
        <v>38.92602739726027</v>
      </c>
      <c r="R28" s="1648">
        <f>SUM('ketv. 7 '!AK35)</f>
        <v>0</v>
      </c>
      <c r="S28" s="1648">
        <f>SUMIF('mokėjimų ataskaita'!I39:I626,C28,'mokėjimų ataskaita'!AK39:AK626)/2</f>
        <v>0</v>
      </c>
      <c r="T28" s="1648">
        <f>SUMIF('mokėjimų ataskaita'!I39:I626,C28,'mokėjimų ataskaita'!BS39:BS626)/2</f>
        <v>0</v>
      </c>
      <c r="U28" s="1649">
        <f t="shared" ca="1" si="4"/>
        <v>0</v>
      </c>
      <c r="V28" s="1758"/>
      <c r="W28" s="1758" t="s">
        <v>1940</v>
      </c>
      <c r="X28" s="1762" t="s">
        <v>1969</v>
      </c>
      <c r="Y28" s="1641"/>
      <c r="Z28" s="1641"/>
    </row>
    <row r="29" spans="1:26" ht="36" x14ac:dyDescent="0.2">
      <c r="A29" s="1646">
        <f>SUM('ES lėšos'!A29)</f>
        <v>28</v>
      </c>
      <c r="B29" s="1641" t="str">
        <f>CONCATENATE('ES lėšos'!C29)</f>
        <v>8.2.1-CPVA-R-908</v>
      </c>
      <c r="C29" s="1641" t="str">
        <f>CONCATENATE('ketv. 6 '!C37)</f>
        <v>08.2.1-CPVA-R-908-11-0004</v>
      </c>
      <c r="D29" s="1641" t="str">
        <f>CONCATENATE('ES lėšos'!B29)</f>
        <v>Viečiūnų viešosios erdvės pritaikymas bendruomenės poreikiams</v>
      </c>
      <c r="E29" s="1641" t="str">
        <f>CONCATENATE('ES lėšos'!D29)</f>
        <v xml:space="preserve">Druskininkų savivaldybės administracija  </v>
      </c>
      <c r="F29" s="1641" t="str">
        <f>CONCATENATE('ES lėšos'!E29)</f>
        <v>Druskininkų sav.</v>
      </c>
      <c r="G29" s="1653">
        <v>43115</v>
      </c>
      <c r="H29" s="1646" t="s">
        <v>1882</v>
      </c>
      <c r="I29" s="1647">
        <f>SUM('ES lėšos'!G29)</f>
        <v>572796.16000000003</v>
      </c>
      <c r="J29" s="1648">
        <f ca="1">SUM('ES lėšos'!H29)</f>
        <v>572796.16000000003</v>
      </c>
      <c r="K29" s="1647">
        <f t="shared" ca="1" si="2"/>
        <v>0</v>
      </c>
      <c r="L29" s="1649">
        <f ca="1">IF(J29&gt;0,'ketv. 6 '!AF37/'ketv. 6 '!L37,"finansavimas dar neskirtas")</f>
        <v>0.84999979224726141</v>
      </c>
      <c r="M29" s="1657">
        <f>SUMIF('sutarčių ataskaita'!$J$19:$J$600,C29,'sutarčių ataskaita'!$BP$19:$BP$600)</f>
        <v>43830</v>
      </c>
      <c r="N29" s="1651">
        <f>IF('ketv. 5 '!S37=0,'ketv. 5 '!R37,'ketv. 5 '!S37)</f>
        <v>43830</v>
      </c>
      <c r="O29" s="1657">
        <f>SUMIF('sutarčių ataskaita'!$J$19:$J$600,C29,'sutarčių ataskaita'!$BO$19:$BO$600)</f>
        <v>43333</v>
      </c>
      <c r="P29" s="1657">
        <f>SUMIF('sutarčių ataskaita'!$J$19:$J$600,C29,'sutarčių ataskaita'!$L$19:$L$600)</f>
        <v>43333</v>
      </c>
      <c r="Q29" s="1658">
        <f t="shared" si="3"/>
        <v>16.339726027397258</v>
      </c>
      <c r="R29" s="1648">
        <f>SUM('ketv. 7 '!AK36)</f>
        <v>0</v>
      </c>
      <c r="S29" s="1648">
        <f>SUMIF('mokėjimų ataskaita'!I40:I627,C29,'mokėjimų ataskaita'!AK40:AK627)/2</f>
        <v>0</v>
      </c>
      <c r="T29" s="1648">
        <f>SUMIF('mokėjimų ataskaita'!I40:I627,C29,'mokėjimų ataskaita'!BS40:BS627)/2</f>
        <v>0</v>
      </c>
      <c r="U29" s="1649">
        <f t="shared" ca="1" si="4"/>
        <v>0</v>
      </c>
      <c r="V29" s="1758"/>
      <c r="W29" s="1758" t="s">
        <v>1940</v>
      </c>
      <c r="X29" s="1762" t="s">
        <v>1969</v>
      </c>
      <c r="Y29" s="1641"/>
      <c r="Z29" s="1641"/>
    </row>
    <row r="30" spans="1:26" ht="48" x14ac:dyDescent="0.2">
      <c r="A30" s="1646">
        <f>SUM('ES lėšos'!A30)</f>
        <v>29</v>
      </c>
      <c r="B30" s="1641" t="str">
        <f>CONCATENATE('ES lėšos'!C30)</f>
        <v xml:space="preserve">07.1.1-CPVA-R-905 </v>
      </c>
      <c r="C30" s="1641" t="str">
        <f>CONCATENATE('ketv. 6 '!C39)</f>
        <v>07.1.1-CPVA-R-905-11-0001</v>
      </c>
      <c r="D30" s="1641" t="str">
        <f>CONCATENATE('ES lėšos'!B30)</f>
        <v>Varėnos miesto centrinės dalies modernizavimas ir pritaikymas visuomenės poreikiams (I etapas)</v>
      </c>
      <c r="E30" s="1641" t="str">
        <f>CONCATENATE('ES lėšos'!D30)</f>
        <v>Varėnos rajono savivaldybės administracija</v>
      </c>
      <c r="F30" s="1641" t="str">
        <f>CONCATENATE('ES lėšos'!E30)</f>
        <v>Varėnos r. sav.</v>
      </c>
      <c r="G30" s="1653">
        <v>42516</v>
      </c>
      <c r="H30" s="1646" t="s">
        <v>1859</v>
      </c>
      <c r="I30" s="1647">
        <f>SUM('ES lėšos'!G30)</f>
        <v>1289392.2</v>
      </c>
      <c r="J30" s="1648">
        <f ca="1">SUM('ES lėšos'!H30)</f>
        <v>1289392.2</v>
      </c>
      <c r="K30" s="1647">
        <f t="shared" ca="1" si="2"/>
        <v>0</v>
      </c>
      <c r="L30" s="1649">
        <f ca="1">IF(J30&gt;0,'ketv. 6 '!AF39/'ketv. 6 '!L39,"finansavimas dar neskirtas")</f>
        <v>0.84999999439658469</v>
      </c>
      <c r="M30" s="1657">
        <f>SUMIF('sutarčių ataskaita'!$J$19:$J$600,C30,'sutarčių ataskaita'!$BP$19:$BP$600)</f>
        <v>43354</v>
      </c>
      <c r="N30" s="1651">
        <f>IF('ketv. 5 '!S39=0,'ketv. 5 '!R39,'ketv. 5 '!S39)</f>
        <v>43465</v>
      </c>
      <c r="O30" s="1657">
        <f>SUMIF('sutarčių ataskaita'!$J$19:$J$600,C30,'sutarčių ataskaita'!$BO$19:$BO$600)</f>
        <v>41969</v>
      </c>
      <c r="P30" s="1657">
        <f>SUMIF('sutarčių ataskaita'!$J$19:$J$600,C30,'sutarčių ataskaita'!$L$19:$L$600)</f>
        <v>42733</v>
      </c>
      <c r="Q30" s="1658">
        <f t="shared" si="3"/>
        <v>45.534246575342465</v>
      </c>
      <c r="R30" s="1648">
        <f>SUM('ketv. 7 '!AK38)</f>
        <v>1161706.0900000001</v>
      </c>
      <c r="S30" s="1648">
        <f>SUMIF('mokėjimų ataskaita'!I41:I628,C30,'mokėjimų ataskaita'!AK41:AK628)/2</f>
        <v>1161706.0900000001</v>
      </c>
      <c r="T30" s="1648">
        <f>SUMIF('mokėjimų ataskaita'!I41:I628,C30,'mokėjimų ataskaita'!BS41:BS628)/2</f>
        <v>801920.16999999981</v>
      </c>
      <c r="U30" s="1649">
        <f t="shared" ca="1" si="4"/>
        <v>0.90097186100551885</v>
      </c>
      <c r="V30" s="1758"/>
      <c r="W30" s="1758" t="s">
        <v>1940</v>
      </c>
      <c r="X30" s="1762" t="s">
        <v>1967</v>
      </c>
      <c r="Y30" s="1641"/>
      <c r="Z30" s="1641"/>
    </row>
    <row r="31" spans="1:26" ht="48" x14ac:dyDescent="0.2">
      <c r="A31" s="1646">
        <f>SUM('ES lėšos'!A31)</f>
        <v>30</v>
      </c>
      <c r="B31" s="1641" t="str">
        <f>CONCATENATE('ES lėšos'!C31)</f>
        <v xml:space="preserve">07.1.1-CPVA-R-905 </v>
      </c>
      <c r="C31" s="1641" t="str">
        <f>CONCATENATE('ketv. 6 '!C40)</f>
        <v>07.1.1-CPVA-R-905-11-0002</v>
      </c>
      <c r="D31" s="1641" t="str">
        <f>CONCATENATE('ES lėšos'!B31)</f>
        <v>Varėnos miesto centrinės dalies modernizavimas ir pritaikymas visuomenės poreikiams (II etapas)</v>
      </c>
      <c r="E31" s="1641" t="str">
        <f>CONCATENATE('ES lėšos'!D31)</f>
        <v>Varėnos rajono savivaldybės administracija</v>
      </c>
      <c r="F31" s="1641" t="str">
        <f>CONCATENATE('ES lėšos'!E31)</f>
        <v>Varėnos r. sav.</v>
      </c>
      <c r="G31" s="1654">
        <v>42815</v>
      </c>
      <c r="H31" s="1646" t="s">
        <v>1883</v>
      </c>
      <c r="I31" s="1647">
        <f>SUM('ES lėšos'!G31)</f>
        <v>845933.69</v>
      </c>
      <c r="J31" s="1648">
        <f ca="1">SUM('ES lėšos'!H31)</f>
        <v>845933.69</v>
      </c>
      <c r="K31" s="1647">
        <f t="shared" ca="1" si="2"/>
        <v>0</v>
      </c>
      <c r="L31" s="1649">
        <f ca="1">IF(J31&gt;0,'ketv. 6 '!AF40/'ketv. 6 '!L40,"finansavimas dar neskirtas")</f>
        <v>0.84999999648317581</v>
      </c>
      <c r="M31" s="1657">
        <f>SUMIF('sutarčių ataskaita'!$J$19:$J$600,C31,'sutarčių ataskaita'!$BP$19:$BP$600)</f>
        <v>43738</v>
      </c>
      <c r="N31" s="1651">
        <f>IF('ketv. 5 '!S40=0,'ketv. 5 '!R40,'ketv. 5 '!S40)</f>
        <v>43830</v>
      </c>
      <c r="O31" s="1657">
        <f>SUMIF('sutarčių ataskaita'!$J$19:$J$600,C31,'sutarčių ataskaita'!$BO$19:$BO$600)</f>
        <v>42095</v>
      </c>
      <c r="P31" s="1657">
        <f>SUMIF('sutarčių ataskaita'!$J$19:$J$600,C31,'sutarčių ataskaita'!$L$19:$L$600)</f>
        <v>42984</v>
      </c>
      <c r="Q31" s="1658">
        <f t="shared" si="3"/>
        <v>54.016438356164379</v>
      </c>
      <c r="R31" s="1648">
        <f>SUM('ketv. 7 '!AK39)</f>
        <v>589312.9</v>
      </c>
      <c r="S31" s="1648">
        <f>SUMIF('mokėjimų ataskaita'!I42:I629,C31,'mokėjimų ataskaita'!AK42:AK629)/2</f>
        <v>589312.9</v>
      </c>
      <c r="T31" s="1648">
        <f>SUMIF('mokėjimų ataskaita'!I42:I629,C31,'mokėjimų ataskaita'!BS42:BS629)/2</f>
        <v>133476.74</v>
      </c>
      <c r="U31" s="1649">
        <f t="shared" ca="1" si="4"/>
        <v>0.69664195547052876</v>
      </c>
      <c r="V31" s="1758"/>
      <c r="W31" s="1758" t="s">
        <v>1940</v>
      </c>
      <c r="X31" s="1762" t="s">
        <v>1967</v>
      </c>
      <c r="Y31" s="1641"/>
      <c r="Z31" s="1641"/>
    </row>
    <row r="32" spans="1:26" ht="48" x14ac:dyDescent="0.2">
      <c r="A32" s="1646">
        <f>SUM('ES lėšos'!A32)</f>
        <v>31</v>
      </c>
      <c r="B32" s="1641" t="str">
        <f>CONCATENATE('ES lėšos'!C32)</f>
        <v xml:space="preserve">07.1.1-CPVA-R-905 </v>
      </c>
      <c r="C32" s="1641" t="str">
        <f>CONCATENATE('ketv. 6 '!C41)</f>
        <v>07.1.1-CPVA-R-905-11-0004</v>
      </c>
      <c r="D32" s="1641" t="str">
        <f>CONCATENATE('ES lėšos'!B32)</f>
        <v xml:space="preserve">Varėnos miesto Dainų slėnio infrastruktūros atnaujinimas ir pritaikymas visuomenės poreikiams </v>
      </c>
      <c r="E32" s="1641" t="str">
        <f>CONCATENATE('ES lėšos'!D32)</f>
        <v>Varėnos rajono savivaldybės administracija</v>
      </c>
      <c r="F32" s="1641" t="str">
        <f>CONCATENATE('ES lėšos'!E32)</f>
        <v>Varėnos r. sav.</v>
      </c>
      <c r="G32" s="1653">
        <v>43166</v>
      </c>
      <c r="H32" s="1646" t="s">
        <v>1884</v>
      </c>
      <c r="I32" s="1647">
        <f>SUM('ES lėšos'!G32)</f>
        <v>535500</v>
      </c>
      <c r="J32" s="1648">
        <f ca="1">SUM('ES lėšos'!H32)</f>
        <v>535500</v>
      </c>
      <c r="K32" s="1647">
        <f t="shared" ca="1" si="2"/>
        <v>0</v>
      </c>
      <c r="L32" s="1649">
        <f ca="1">IF(J32&gt;0,'ketv. 6 '!AF41/'ketv. 6 '!L41,"finansavimas dar neskirtas")</f>
        <v>0.80760562712454564</v>
      </c>
      <c r="M32" s="1657">
        <f>SUMIF('sutarčių ataskaita'!$J$19:$J$600,C32,'sutarčių ataskaita'!$BP$19:$BP$600)</f>
        <v>43982</v>
      </c>
      <c r="N32" s="1651">
        <f>IF('ketv. 5 '!S41=0,'ketv. 5 '!R41,'ketv. 5 '!S41)</f>
        <v>44196</v>
      </c>
      <c r="O32" s="1657">
        <f>SUMIF('sutarčių ataskaita'!$J$19:$J$600,C32,'sutarčių ataskaita'!$BO$19:$BO$600)</f>
        <v>41967</v>
      </c>
      <c r="P32" s="1657">
        <f>SUMIF('sutarčių ataskaita'!$J$19:$J$600,C32,'sutarčių ataskaita'!$L$19:$L$600)</f>
        <v>43321</v>
      </c>
      <c r="Q32" s="1658">
        <f t="shared" si="3"/>
        <v>66.246575342465746</v>
      </c>
      <c r="R32" s="1648">
        <f>SUM('ketv. 7 '!AK40)</f>
        <v>0</v>
      </c>
      <c r="S32" s="1648">
        <f>SUMIF('mokėjimų ataskaita'!I43:I630,C32,'mokėjimų ataskaita'!AK43:AK630)/2</f>
        <v>0</v>
      </c>
      <c r="T32" s="1648">
        <f>SUMIF('mokėjimų ataskaita'!I43:I630,C32,'mokėjimų ataskaita'!BS43:BS630)/2</f>
        <v>0</v>
      </c>
      <c r="U32" s="1649">
        <f t="shared" ca="1" si="4"/>
        <v>0</v>
      </c>
      <c r="V32" s="1758"/>
      <c r="W32" s="1758" t="s">
        <v>1940</v>
      </c>
      <c r="X32" s="1762" t="s">
        <v>1957</v>
      </c>
      <c r="Y32" s="1641"/>
      <c r="Z32" s="1641"/>
    </row>
    <row r="33" spans="1:26" ht="36" x14ac:dyDescent="0.2">
      <c r="A33" s="1646">
        <f>SUM('ES lėšos'!A33)</f>
        <v>32</v>
      </c>
      <c r="B33" s="1641" t="str">
        <f>CONCATENATE('ES lėšos'!C33)</f>
        <v xml:space="preserve">07.1.1-CPVA-R-905 </v>
      </c>
      <c r="C33" s="1641" t="str">
        <f>CONCATENATE('ketv. 6 '!C42)</f>
        <v>07.1.1-CPVA-R-905-11-0003</v>
      </c>
      <c r="D33" s="1641" t="str">
        <f>CONCATENATE('ES lėšos'!B33)</f>
        <v>Karloniškės ežero ir jo prieigų sutvarkymas ir pritaikymas aktyviam poilsiui</v>
      </c>
      <c r="E33" s="1641" t="str">
        <f>CONCATENATE('ES lėšos'!D33)</f>
        <v>Varėnos rajono savivaldybės administracija</v>
      </c>
      <c r="F33" s="1641" t="str">
        <f>CONCATENATE('ES lėšos'!E33)</f>
        <v>Varėnos r. sav.</v>
      </c>
      <c r="G33" s="1653">
        <v>42909</v>
      </c>
      <c r="H33" s="1646" t="s">
        <v>1885</v>
      </c>
      <c r="I33" s="1647">
        <f>SUM('ES lėšos'!G33)</f>
        <v>513543.65</v>
      </c>
      <c r="J33" s="1648">
        <f ca="1">SUM('ES lėšos'!H33)</f>
        <v>513543.65</v>
      </c>
      <c r="K33" s="1647">
        <f t="shared" ca="1" si="2"/>
        <v>0</v>
      </c>
      <c r="L33" s="1649">
        <f ca="1">IF(J33&gt;0,'ketv. 6 '!AF42/'ketv. 6 '!L42,"finansavimas dar neskirtas")</f>
        <v>0.67817280410629044</v>
      </c>
      <c r="M33" s="1657">
        <f>SUMIF('sutarčių ataskaita'!$J$19:$J$600,C33,'sutarčių ataskaita'!$BP$19:$BP$600)</f>
        <v>43769</v>
      </c>
      <c r="N33" s="1651">
        <f>IF('ketv. 5 '!S42=0,'ketv. 5 '!R42,'ketv. 5 '!S42)</f>
        <v>43861</v>
      </c>
      <c r="O33" s="1657">
        <f>SUMIF('sutarčių ataskaita'!$J$19:$J$600,C33,'sutarčių ataskaita'!$BO$19:$BO$600)</f>
        <v>42796</v>
      </c>
      <c r="P33" s="1657">
        <f>SUMIF('sutarčių ataskaita'!$J$19:$J$600,C33,'sutarčių ataskaita'!$L$19:$L$600)</f>
        <v>43105</v>
      </c>
      <c r="Q33" s="1658">
        <f t="shared" si="3"/>
        <v>31.989041095890411</v>
      </c>
      <c r="R33" s="1648">
        <f>SUM('ketv. 7 '!AK41)</f>
        <v>16408.97</v>
      </c>
      <c r="S33" s="1648">
        <f>SUMIF('mokėjimų ataskaita'!I44:I631,C33,'mokėjimų ataskaita'!AK44:AK631)/2</f>
        <v>16408.97</v>
      </c>
      <c r="T33" s="1648">
        <f>SUMIF('mokėjimų ataskaita'!I44:I631,C33,'mokėjimų ataskaita'!BS44:BS631)/2</f>
        <v>3466.05</v>
      </c>
      <c r="U33" s="1649">
        <f t="shared" ca="1" si="4"/>
        <v>3.1952434812503282E-2</v>
      </c>
      <c r="V33" s="1758"/>
      <c r="W33" s="1758" t="s">
        <v>1940</v>
      </c>
      <c r="X33" s="1762" t="s">
        <v>1967</v>
      </c>
      <c r="Y33" s="1641"/>
      <c r="Z33" s="1641"/>
    </row>
    <row r="34" spans="1:26" ht="36" x14ac:dyDescent="0.2">
      <c r="A34" s="1646">
        <f>SUM('ES lėšos'!A34)</f>
        <v>33</v>
      </c>
      <c r="B34" s="1641" t="str">
        <f>CONCATENATE('ES lėšos'!C34)</f>
        <v xml:space="preserve">07.1.1-CPVA-R-905 </v>
      </c>
      <c r="C34" s="1641" t="str">
        <f>CONCATENATE('ketv. 2'!B43)</f>
        <v>07.1.1-CPVA-R-905-11-0005</v>
      </c>
      <c r="D34" s="1641" t="str">
        <f>CONCATENATE('ES lėšos'!B34)</f>
        <v xml:space="preserve">Nenaudojamų teritorijų Varėnos mieste sutvarkymas ir pritaikymas verslui </v>
      </c>
      <c r="E34" s="1641" t="str">
        <f>CONCATENATE('ES lėšos'!D34)</f>
        <v>Varėnos rajono savivaldybės administracija</v>
      </c>
      <c r="F34" s="1641" t="str">
        <f>CONCATENATE('ES lėšos'!E34)</f>
        <v>Varėnos r. sav.</v>
      </c>
      <c r="G34" s="1653">
        <v>43304</v>
      </c>
      <c r="H34" s="1646" t="s">
        <v>1885</v>
      </c>
      <c r="I34" s="1647">
        <f>SUM('ES lėšos'!G34)</f>
        <v>127500</v>
      </c>
      <c r="J34" s="1648">
        <f ca="1">SUM('ES lėšos'!H34)</f>
        <v>0</v>
      </c>
      <c r="K34" s="1647" t="str">
        <f t="shared" ca="1" si="2"/>
        <v>finansavimas dar neskirtas</v>
      </c>
      <c r="L34" s="1649" t="str">
        <f ca="1">IF(J34&gt;0,'ketv. 6 '!AF43/'ketv. 6 '!L43,"finansavimas dar neskirtas")</f>
        <v>finansavimas dar neskirtas</v>
      </c>
      <c r="M34" s="1657"/>
      <c r="N34" s="1651">
        <f>IF('ketv. 5 '!S43=0,'ketv. 5 '!R43,'ketv. 5 '!S43)</f>
        <v>44165</v>
      </c>
      <c r="O34" s="1657"/>
      <c r="P34" s="1657"/>
      <c r="Q34" s="1658"/>
      <c r="R34" s="1648">
        <f>SUM('ketv. 7 '!AK42)</f>
        <v>0</v>
      </c>
      <c r="S34" s="1648">
        <f>SUMIF('mokėjimų ataskaita'!I45:I632,C34,'mokėjimų ataskaita'!AK45:AK632)/2</f>
        <v>0</v>
      </c>
      <c r="T34" s="1648">
        <f>SUMIF('mokėjimų ataskaita'!I45:I632,C34,'mokėjimų ataskaita'!BS45:BS632)/2</f>
        <v>0</v>
      </c>
      <c r="U34" s="1649" t="str">
        <f t="shared" ca="1" si="4"/>
        <v>finansavimas dar neskirtas</v>
      </c>
      <c r="V34" s="1758"/>
      <c r="W34" s="1763" t="s">
        <v>1968</v>
      </c>
      <c r="X34" s="1762" t="s">
        <v>1967</v>
      </c>
      <c r="Y34" s="1641"/>
      <c r="Z34" s="1641"/>
    </row>
    <row r="35" spans="1:26" ht="60" x14ac:dyDescent="0.2">
      <c r="A35" s="1646">
        <f>SUM('ES lėšos'!A35)</f>
        <v>34</v>
      </c>
      <c r="B35" s="1641" t="str">
        <f>CONCATENATE('ES lėšos'!C35)</f>
        <v xml:space="preserve">07.1.1-CPVA-R-905 </v>
      </c>
      <c r="C35" s="1641" t="str">
        <f>CONCATENATE('ketv. 2'!B44)</f>
        <v>07.1.1-CPVA-R-905-11-0006</v>
      </c>
      <c r="D35" s="1641" t="str">
        <f>CONCATENATE('ES lėšos'!B35)</f>
        <v xml:space="preserve">Teritorijų prie daugiabučių gyvenamųjų pastatų Varėnos mieste sutvarkymas ir pritaikymas visuomenės poreikiams  </v>
      </c>
      <c r="E35" s="1641" t="str">
        <f>CONCATENATE('ES lėšos'!D35)</f>
        <v>Varėnos rajono savivaldybės administracija</v>
      </c>
      <c r="F35" s="1641" t="str">
        <f>CONCATENATE('ES lėšos'!E35)</f>
        <v>Varėnos r. sav.</v>
      </c>
      <c r="G35" s="1653">
        <v>43304</v>
      </c>
      <c r="H35" s="1646" t="s">
        <v>1886</v>
      </c>
      <c r="I35" s="1647">
        <f>SUM('ES lėšos'!G35)</f>
        <v>255317.05</v>
      </c>
      <c r="J35" s="1648">
        <f ca="1">SUM('ES lėšos'!H35)</f>
        <v>0</v>
      </c>
      <c r="K35" s="1647" t="str">
        <f t="shared" ca="1" si="2"/>
        <v>finansavimas dar neskirtas</v>
      </c>
      <c r="L35" s="1649" t="str">
        <f ca="1">IF(J35&gt;0,'ketv. 6 '!AF44/'ketv. 6 '!L44,"finansavimas dar neskirtas")</f>
        <v>finansavimas dar neskirtas</v>
      </c>
      <c r="M35" s="1657"/>
      <c r="N35" s="1651">
        <f>IF('ketv. 5 '!S44=0,'ketv. 5 '!R44,'ketv. 5 '!S44)</f>
        <v>44165</v>
      </c>
      <c r="O35" s="1657"/>
      <c r="P35" s="1657"/>
      <c r="Q35" s="1658"/>
      <c r="R35" s="1648">
        <f>SUM('ketv. 7 '!AK43)</f>
        <v>0</v>
      </c>
      <c r="S35" s="1648">
        <f>SUMIF('mokėjimų ataskaita'!I46:I633,C35,'mokėjimų ataskaita'!AK46:AK633)/2</f>
        <v>0</v>
      </c>
      <c r="T35" s="1648">
        <f>SUMIF('mokėjimų ataskaita'!I46:I633,C35,'mokėjimų ataskaita'!BS46:BS633)/2</f>
        <v>0</v>
      </c>
      <c r="U35" s="1649" t="str">
        <f t="shared" ca="1" si="4"/>
        <v>finansavimas dar neskirtas</v>
      </c>
      <c r="V35" s="1758"/>
      <c r="W35" s="1763" t="s">
        <v>1968</v>
      </c>
      <c r="X35" s="1762" t="s">
        <v>1967</v>
      </c>
      <c r="Y35" s="1641"/>
      <c r="Z35" s="1641"/>
    </row>
    <row r="36" spans="1:26" ht="36" x14ac:dyDescent="0.2">
      <c r="A36" s="1646">
        <f>SUM('ES lėšos'!A36)</f>
        <v>35</v>
      </c>
      <c r="B36" s="1641" t="str">
        <f>CONCATENATE('ES lėšos'!C36)</f>
        <v>07.1.1-CPVA-R-903</v>
      </c>
      <c r="C36" s="1641" t="str">
        <f>CONCATENATE('ketv. 6 '!C47)</f>
        <v>07.1.1-CPVA-R-903-11-0001</v>
      </c>
      <c r="D36" s="1641" t="str">
        <f>CONCATENATE('ES lėšos'!B36)</f>
        <v>Amatų centro „Menų kalvė“ Druskininkuose įkūrimas</v>
      </c>
      <c r="E36" s="1641" t="str">
        <f>CONCATENATE('ES lėšos'!D36)</f>
        <v xml:space="preserve">Druskininkų savivaldybės administracija  </v>
      </c>
      <c r="F36" s="1641" t="str">
        <f>CONCATENATE('ES lėšos'!E36)</f>
        <v>Druskininkų sav.</v>
      </c>
      <c r="G36" s="1653">
        <v>42458</v>
      </c>
      <c r="H36" s="1646" t="s">
        <v>1889</v>
      </c>
      <c r="I36" s="1647">
        <f>SUM('ES lėšos'!G36)</f>
        <v>283504</v>
      </c>
      <c r="J36" s="1648">
        <f ca="1">SUM('ES lėšos'!H36)</f>
        <v>283503.94</v>
      </c>
      <c r="K36" s="1647">
        <f t="shared" ca="1" si="2"/>
        <v>5.9999999997671694E-2</v>
      </c>
      <c r="L36" s="1649">
        <f ca="1">IF(J36&gt;0,'ketv. 6 '!AF47/'ketv. 6 '!L47,"finansavimas dar neskirtas")</f>
        <v>0.59712193334231989</v>
      </c>
      <c r="M36" s="1657">
        <f>SUMIF('sutarčių ataskaita'!$J$19:$J$600,C36,'sutarčių ataskaita'!$BP$19:$BP$600)</f>
        <v>43616</v>
      </c>
      <c r="N36" s="1651">
        <f>IF('ketv. 5 '!S47=0,'ketv. 5 '!R47,'ketv. 5 '!S47)</f>
        <v>43465</v>
      </c>
      <c r="O36" s="1657">
        <f>SUMIF('sutarčių ataskaita'!$J$19:$J$600,C36,'sutarčių ataskaita'!$BO$19:$BO$600)</f>
        <v>42468</v>
      </c>
      <c r="P36" s="1657">
        <f>SUMIF('sutarčių ataskaita'!$J$19:$J$600,C36,'sutarčių ataskaita'!$L$19:$L$600)</f>
        <v>42699</v>
      </c>
      <c r="Q36" s="1658">
        <f t="shared" ref="Q36:Q45" si="5">SUM((M36-O36)/(365/12))</f>
        <v>37.742465753424653</v>
      </c>
      <c r="R36" s="1648">
        <f>SUM('ketv. 7 '!AK46)</f>
        <v>229429.82</v>
      </c>
      <c r="S36" s="1648">
        <f>SUMIF('mokėjimų ataskaita'!I47:I634,C36,'mokėjimų ataskaita'!AK47:AK634)/2</f>
        <v>229429.82</v>
      </c>
      <c r="T36" s="1648">
        <f>SUMIF('mokėjimų ataskaita'!I47:I634,C36,'mokėjimų ataskaita'!BS47:BS634)/2</f>
        <v>80243.87</v>
      </c>
      <c r="U36" s="1649">
        <f t="shared" ca="1" si="4"/>
        <v>0.80926501409468954</v>
      </c>
      <c r="V36" s="1758"/>
      <c r="W36" s="1758" t="s">
        <v>1940</v>
      </c>
      <c r="X36" s="1762" t="s">
        <v>1966</v>
      </c>
      <c r="Y36" s="1641"/>
      <c r="Z36" s="1641"/>
    </row>
    <row r="37" spans="1:26" ht="36" x14ac:dyDescent="0.2">
      <c r="A37" s="1646">
        <f>SUM('ES lėšos'!A37)</f>
        <v>36</v>
      </c>
      <c r="B37" s="1641" t="str">
        <f>CONCATENATE('ES lėšos'!C37)</f>
        <v>07.1.1-CPVA-R-903</v>
      </c>
      <c r="C37" s="1641" t="str">
        <f>CONCATENATE('ketv. 6 '!C48)</f>
        <v>07.1.1-CPVA-R-903-11-0002</v>
      </c>
      <c r="D37" s="1641" t="str">
        <f>CONCATENATE('ES lėšos'!B37)</f>
        <v>Lazdijų miesto kompleksinė infrastruktūros plėtra, III etapas</v>
      </c>
      <c r="E37" s="1641" t="str">
        <f>CONCATENATE('ES lėšos'!D37)</f>
        <v>Lazdijų rajono savivaldybės administracija</v>
      </c>
      <c r="F37" s="1641" t="str">
        <f>CONCATENATE('ES lėšos'!E37)</f>
        <v>Lazdijų r. sav.</v>
      </c>
      <c r="G37" s="1653">
        <v>42482</v>
      </c>
      <c r="H37" s="1646" t="s">
        <v>1857</v>
      </c>
      <c r="I37" s="1647">
        <f>SUM('ES lėšos'!G37)</f>
        <v>291981</v>
      </c>
      <c r="J37" s="1648">
        <f ca="1">SUM('ES lėšos'!H37)</f>
        <v>291980.95</v>
      </c>
      <c r="K37" s="1647">
        <f t="shared" ca="1" si="2"/>
        <v>4.9999999988358468E-2</v>
      </c>
      <c r="L37" s="1649">
        <f ca="1">IF(J37&gt;0,'ketv. 6 '!AF48/'ketv. 6 '!L48,"finansavimas dar neskirtas")</f>
        <v>0.85000000000000009</v>
      </c>
      <c r="M37" s="1657">
        <f>SUMIF('sutarčių ataskaita'!$J$19:$J$600,C37,'sutarčių ataskaita'!$BP$19:$BP$600)</f>
        <v>43553</v>
      </c>
      <c r="N37" s="1651">
        <f>IF('ketv. 5 '!S48=0,'ketv. 5 '!R48,'ketv. 5 '!S48)</f>
        <v>43465</v>
      </c>
      <c r="O37" s="1657">
        <f>SUMIF('sutarčių ataskaita'!$J$19:$J$600,C37,'sutarčių ataskaita'!$BO$19:$BO$600)</f>
        <v>42383</v>
      </c>
      <c r="P37" s="1657">
        <f>SUMIF('sutarčių ataskaita'!$J$19:$J$600,C37,'sutarčių ataskaita'!$L$19:$L$600)</f>
        <v>42709</v>
      </c>
      <c r="Q37" s="1658">
        <f t="shared" si="5"/>
        <v>38.465753424657535</v>
      </c>
      <c r="R37" s="1648">
        <f>SUM('ketv. 7 '!AK47)</f>
        <v>173440.55</v>
      </c>
      <c r="S37" s="1648">
        <f>SUMIF('mokėjimų ataskaita'!I48:I635,C37,'mokėjimų ataskaita'!AK48:AK635)/2</f>
        <v>173440.55</v>
      </c>
      <c r="T37" s="1648">
        <f>SUMIF('mokėjimų ataskaita'!I48:I635,C37,'mokėjimų ataskaita'!BS48:BS635)/2</f>
        <v>85846.27</v>
      </c>
      <c r="U37" s="1649">
        <f t="shared" ca="1" si="4"/>
        <v>0.59401323956237551</v>
      </c>
      <c r="V37" s="1758"/>
      <c r="W37" s="1758" t="s">
        <v>1940</v>
      </c>
      <c r="X37" s="1762" t="s">
        <v>1942</v>
      </c>
      <c r="Y37" s="1641"/>
      <c r="Z37" s="1641"/>
    </row>
    <row r="38" spans="1:26" ht="48" x14ac:dyDescent="0.2">
      <c r="A38" s="1646">
        <f>SUM('ES lėšos'!A38)</f>
        <v>37</v>
      </c>
      <c r="B38" s="1641" t="str">
        <f>CONCATENATE('ES lėšos'!C38)</f>
        <v>05.3.2-APVA-R-014</v>
      </c>
      <c r="C38" s="1641" t="str">
        <f>CONCATENATE('ketv. 6 '!C50)</f>
        <v>05.3.2-APVA-R-014-11-0001</v>
      </c>
      <c r="D38" s="1641" t="str">
        <f>CONCATENATE('ES lėšos'!B38)</f>
        <v>Geriamojo vandens tiekimo ir nuotekų tvarkymo sistemų renovavimas ir plėtra Varėnos rajone</v>
      </c>
      <c r="E38" s="1641" t="str">
        <f>CONCATENATE('ES lėšos'!D38)</f>
        <v>UAB „Varėnos vandenys“</v>
      </c>
      <c r="F38" s="1641" t="str">
        <f>CONCATENATE('ES lėšos'!E38)</f>
        <v>Varėnos r. sav.</v>
      </c>
      <c r="G38" s="1653">
        <v>42508</v>
      </c>
      <c r="H38" s="1646" t="s">
        <v>1890</v>
      </c>
      <c r="I38" s="1647">
        <f>SUM('ES lėšos'!G38)</f>
        <v>1614228.26</v>
      </c>
      <c r="J38" s="1648">
        <f ca="1">SUM('ES lėšos'!H38)</f>
        <v>1614228.26</v>
      </c>
      <c r="K38" s="1647">
        <f t="shared" ca="1" si="2"/>
        <v>0</v>
      </c>
      <c r="L38" s="1649">
        <f ca="1">IF(J38&gt;0,'ketv. 6 '!AF50/'ketv. 6 '!L50,"finansavimas dar neskirtas")</f>
        <v>0.65165966458329638</v>
      </c>
      <c r="M38" s="1657">
        <f>SUMIF('sutarčių ataskaita'!$J$19:$J$600,C38,'sutarčių ataskaita'!$BP$19:$BP$600)</f>
        <v>43861</v>
      </c>
      <c r="N38" s="1651">
        <f>IF('ketv. 5 '!S50=0,'ketv. 5 '!R50,'ketv. 5 '!S50)</f>
        <v>44012</v>
      </c>
      <c r="O38" s="1657">
        <f>SUMIF('sutarčių ataskaita'!$J$19:$J$600,C38,'sutarčių ataskaita'!$BO$19:$BO$600)</f>
        <v>42044</v>
      </c>
      <c r="P38" s="1657">
        <f>SUMIF('sutarčių ataskaita'!$J$19:$J$600,C38,'sutarčių ataskaita'!$L$19:$L$600)</f>
        <v>42766</v>
      </c>
      <c r="Q38" s="1658">
        <f t="shared" si="5"/>
        <v>59.736986301369861</v>
      </c>
      <c r="R38" s="1672">
        <f>SUM('ketv. 7 '!AK49)</f>
        <v>787353.05999999994</v>
      </c>
      <c r="S38" s="1648">
        <f>SUMIF('mokėjimų ataskaita'!I49:I636,C38,'mokėjimų ataskaita'!AK49:AK636)/2</f>
        <v>787353.05999999994</v>
      </c>
      <c r="T38" s="1648">
        <f>SUMIF('mokėjimų ataskaita'!I49:I636,C38,'mokėjimų ataskaita'!BS49:BS636)/2</f>
        <v>434048.99</v>
      </c>
      <c r="U38" s="1649">
        <f t="shared" ca="1" si="4"/>
        <v>0.48775819350356309</v>
      </c>
      <c r="V38" s="1758"/>
      <c r="W38" s="1758" t="s">
        <v>1940</v>
      </c>
      <c r="X38" s="1762" t="s">
        <v>1950</v>
      </c>
      <c r="Y38" s="1641"/>
      <c r="Z38" s="1641"/>
    </row>
    <row r="39" spans="1:26" ht="36" x14ac:dyDescent="0.2">
      <c r="A39" s="1646">
        <f>SUM('ES lėšos'!A39)</f>
        <v>38</v>
      </c>
      <c r="B39" s="1641" t="str">
        <f>CONCATENATE('ES lėšos'!C39)</f>
        <v>05.3.2-APVA-R-014</v>
      </c>
      <c r="C39" s="1641" t="str">
        <f>CONCATENATE('ketv. 6 '!C51)</f>
        <v>05.3.2-APVA-R-014-11-0002</v>
      </c>
      <c r="D39" s="1641" t="str">
        <f>CONCATENATE('ES lėšos'!B39)</f>
        <v>Geriamojo vandens ir nuotekų tvarkymo sistemų renovavimas Alytaus mieste</v>
      </c>
      <c r="E39" s="1641" t="str">
        <f>CONCATENATE('ES lėšos'!D39)</f>
        <v>UAB “Dzūkijos vandenys“</v>
      </c>
      <c r="F39" s="1641" t="str">
        <f>CONCATENATE('ES lėšos'!E39)</f>
        <v>Alytaus m. sav.</v>
      </c>
      <c r="G39" s="1653">
        <v>42528</v>
      </c>
      <c r="H39" s="1646" t="s">
        <v>1884</v>
      </c>
      <c r="I39" s="1647">
        <f>SUM('ES lėšos'!G39)</f>
        <v>2645996.25</v>
      </c>
      <c r="J39" s="1648">
        <f ca="1">SUM('ES lėšos'!H39)</f>
        <v>2645996.25</v>
      </c>
      <c r="K39" s="1647">
        <f t="shared" ca="1" si="2"/>
        <v>0</v>
      </c>
      <c r="L39" s="1649">
        <f ca="1">IF(J39&gt;0,'ketv. 6 '!AF51/'ketv. 6 '!L51,"finansavimas dar neskirtas")</f>
        <v>0.44144943269663423</v>
      </c>
      <c r="M39" s="1657">
        <f>SUMIF('sutarčių ataskaita'!$J$19:$J$600,C39,'sutarčių ataskaita'!$BP$19:$BP$600)</f>
        <v>43830</v>
      </c>
      <c r="N39" s="1651">
        <f>IF('ketv. 5 '!S51=0,'ketv. 5 '!R51,'ketv. 5 '!S51)</f>
        <v>44195</v>
      </c>
      <c r="O39" s="1657">
        <f>SUMIF('sutarčių ataskaita'!$J$19:$J$600,C39,'sutarčių ataskaita'!$BO$19:$BO$600)</f>
        <v>42173</v>
      </c>
      <c r="P39" s="1657">
        <f>SUMIF('sutarčių ataskaita'!$J$19:$J$600,C39,'sutarčių ataskaita'!$L$19:$L$600)</f>
        <v>42726</v>
      </c>
      <c r="Q39" s="1658">
        <f t="shared" si="5"/>
        <v>54.476712328767121</v>
      </c>
      <c r="R39" s="1648">
        <f>SUM('ketv. 7 '!AK50)</f>
        <v>1139119.2100000002</v>
      </c>
      <c r="S39" s="1648">
        <f>SUMIF('mokėjimų ataskaita'!I50:I637,C39,'mokėjimų ataskaita'!AK50:AK637)/2</f>
        <v>1139119.2100000002</v>
      </c>
      <c r="T39" s="1648">
        <f>SUMIF('mokėjimų ataskaita'!I50:I637,C39,'mokėjimų ataskaita'!BS50:BS637)/2</f>
        <v>926115.46</v>
      </c>
      <c r="U39" s="1649">
        <f t="shared" ca="1" si="4"/>
        <v>0.43050673635686376</v>
      </c>
      <c r="V39" s="1758"/>
      <c r="W39" s="1758" t="s">
        <v>1940</v>
      </c>
      <c r="X39" s="1762" t="s">
        <v>1948</v>
      </c>
      <c r="Y39" s="1641"/>
      <c r="Z39" s="1641"/>
    </row>
    <row r="40" spans="1:26" ht="48" x14ac:dyDescent="0.2">
      <c r="A40" s="1646">
        <f>SUM('ES lėšos'!A40)</f>
        <v>39</v>
      </c>
      <c r="B40" s="1641" t="str">
        <f>CONCATENATE('ES lėšos'!C40)</f>
        <v>05.3.2-APVA-R-014</v>
      </c>
      <c r="C40" s="1641" t="str">
        <f>CONCATENATE('ketv. 6 '!C52)</f>
        <v>05.3.2-APVA-R-014-11-0004</v>
      </c>
      <c r="D40" s="1641" t="str">
        <f>CONCATENATE('ES lėšos'!B40)</f>
        <v>Geriamojo vandens tiekimo ir nuotekų tvarkymo sistemų renovavimas ir plėtra Lazdijų rajono savivaldybėje</v>
      </c>
      <c r="E40" s="1641" t="str">
        <f>CONCATENATE('ES lėšos'!D40)</f>
        <v>UAB „Lazdijų vanduo“</v>
      </c>
      <c r="F40" s="1641" t="str">
        <f>CONCATENATE('ES lėšos'!E40)</f>
        <v>Lazdijų r. sav.</v>
      </c>
      <c r="G40" s="1653">
        <v>42515</v>
      </c>
      <c r="H40" s="1646" t="s">
        <v>1860</v>
      </c>
      <c r="I40" s="1647">
        <f>SUM('ES lėšos'!G40)</f>
        <v>790102</v>
      </c>
      <c r="J40" s="1648">
        <f ca="1">SUM('ES lėšos'!H40)</f>
        <v>790102</v>
      </c>
      <c r="K40" s="1647">
        <f t="shared" ca="1" si="2"/>
        <v>0</v>
      </c>
      <c r="L40" s="1649">
        <f ca="1">IF(J40&gt;0,'ketv. 6 '!AF52/'ketv. 6 '!L52,"finansavimas dar neskirtas")</f>
        <v>0.61332465515945422</v>
      </c>
      <c r="M40" s="1657">
        <f>SUMIF('sutarčių ataskaita'!$J$19:$J$600,C40,'sutarčių ataskaita'!$BP$19:$BP$600)</f>
        <v>43616</v>
      </c>
      <c r="N40" s="1651">
        <f>IF('ketv. 5 '!S52=0,'ketv. 5 '!R52,'ketv. 5 '!S52)</f>
        <v>43646</v>
      </c>
      <c r="O40" s="1657">
        <f>SUMIF('sutarčių ataskaita'!$J$19:$J$600,C40,'sutarčių ataskaita'!$BO$19:$BO$600)</f>
        <v>42818</v>
      </c>
      <c r="P40" s="1657">
        <f>SUMIF('sutarčių ataskaita'!$J$19:$J$600,C40,'sutarčių ataskaita'!$L$19:$L$600)</f>
        <v>42818</v>
      </c>
      <c r="Q40" s="1658">
        <f t="shared" si="5"/>
        <v>26.235616438356164</v>
      </c>
      <c r="R40" s="1648">
        <f>SUM('ketv. 7 '!AK51)</f>
        <v>458579.5</v>
      </c>
      <c r="S40" s="1648">
        <f>SUMIF('mokėjimų ataskaita'!I51:I638,C40,'mokėjimų ataskaita'!AK51:AK638)/2</f>
        <v>458579.5</v>
      </c>
      <c r="T40" s="1648">
        <f>SUMIF('mokėjimų ataskaita'!I51:I638,C40,'mokėjimų ataskaita'!BS51:BS638)/2</f>
        <v>384717.28</v>
      </c>
      <c r="U40" s="1649">
        <f t="shared" ca="1" si="4"/>
        <v>0.58040544132276595</v>
      </c>
      <c r="V40" s="1758"/>
      <c r="W40" s="1758" t="s">
        <v>1940</v>
      </c>
      <c r="X40" s="1762" t="s">
        <v>1952</v>
      </c>
      <c r="Y40" s="1641"/>
      <c r="Z40" s="1641"/>
    </row>
    <row r="41" spans="1:26" ht="48" x14ac:dyDescent="0.2">
      <c r="A41" s="1646">
        <f>SUM('ES lėšos'!A41)</f>
        <v>40</v>
      </c>
      <c r="B41" s="1641" t="str">
        <f>CONCATENATE('ES lėšos'!C41)</f>
        <v>05.3.2-APVA-R-014</v>
      </c>
      <c r="C41" s="1641" t="str">
        <f>CONCATENATE('ketv. 6 '!C53)</f>
        <v>05.3.2-APVA-R-014-11-0003</v>
      </c>
      <c r="D41" s="1641" t="str">
        <f>CONCATENATE('ES lėšos'!B41)</f>
        <v>Vandens tiekimo ir nuotekų šalinimo infrastruktūros renovavimas ir plėtra Druskininkų savivaldybėje</v>
      </c>
      <c r="E41" s="1641" t="str">
        <f>CONCATENATE('ES lėšos'!D41)</f>
        <v>UAB "Druskininkų vandenys"</v>
      </c>
      <c r="F41" s="1641" t="str">
        <f>CONCATENATE('ES lėšos'!E41)</f>
        <v>Druskininkų sav.</v>
      </c>
      <c r="G41" s="1653">
        <v>43252</v>
      </c>
      <c r="H41" s="1646" t="s">
        <v>1875</v>
      </c>
      <c r="I41" s="1647">
        <f>SUM('ES lėšos'!G41)</f>
        <v>2892603</v>
      </c>
      <c r="J41" s="1648">
        <f ca="1">SUM('ES lėšos'!H41)</f>
        <v>1479103.09</v>
      </c>
      <c r="K41" s="1647">
        <f t="shared" ca="1" si="2"/>
        <v>1413499.91</v>
      </c>
      <c r="L41" s="1649">
        <f ca="1">IF(J41&gt;0,'ketv. 6 '!AF53/'ketv. 6 '!L53,"finansavimas dar neskirtas")</f>
        <v>0.626788570566711</v>
      </c>
      <c r="M41" s="1657">
        <f>SUMIF('sutarčių ataskaita'!$J$19:$J$600,C41,'sutarčių ataskaita'!$BP$19:$BP$600)</f>
        <v>43533</v>
      </c>
      <c r="N41" s="1651">
        <f>IF('ketv. 5 '!S53=0,'ketv. 5 '!R53,'ketv. 5 '!S53)</f>
        <v>44440</v>
      </c>
      <c r="O41" s="1657">
        <f>SUMIF('sutarčių ataskaita'!$J$19:$J$600,C41,'sutarčių ataskaita'!$BO$19:$BO$600)</f>
        <v>41978</v>
      </c>
      <c r="P41" s="1657">
        <f>SUMIF('sutarčių ataskaita'!$J$19:$J$600,C41,'sutarčių ataskaita'!$L$19:$L$600)</f>
        <v>42810</v>
      </c>
      <c r="Q41" s="1658">
        <f t="shared" si="5"/>
        <v>51.123287671232873</v>
      </c>
      <c r="R41" s="1672">
        <f>SUM('ketv. 7 '!AK52)</f>
        <v>243027.98</v>
      </c>
      <c r="S41" s="1648">
        <f>SUMIF('mokėjimų ataskaita'!I52:I639,C41,'mokėjimų ataskaita'!AK52:AK639)/2</f>
        <v>243027.98</v>
      </c>
      <c r="T41" s="1648">
        <f>SUMIF('mokėjimų ataskaita'!I52:I639,C41,'mokėjimų ataskaita'!BS52:BS639)/2</f>
        <v>89057.49</v>
      </c>
      <c r="U41" s="1649">
        <f t="shared" ca="1" si="4"/>
        <v>0.16430766837218899</v>
      </c>
      <c r="V41" s="1758"/>
      <c r="W41" s="1758" t="s">
        <v>1940</v>
      </c>
      <c r="X41" s="1762" t="s">
        <v>1951</v>
      </c>
      <c r="Y41" s="1641"/>
      <c r="Z41" s="1641"/>
    </row>
    <row r="42" spans="1:26" ht="36" x14ac:dyDescent="0.2">
      <c r="A42" s="1646">
        <f>SUM('ES lėšos'!A42)</f>
        <v>41</v>
      </c>
      <c r="B42" s="1641" t="str">
        <f>CONCATENATE('ES lėšos'!C42)</f>
        <v>05.3.2-APVA-R-014</v>
      </c>
      <c r="C42" s="1641" t="str">
        <f>CONCATENATE('ketv. 6 '!C54)</f>
        <v>05.3.2-APVA-R-014-11-0005</v>
      </c>
      <c r="D42" s="1641" t="str">
        <f>CONCATENATE('ES lėšos'!B42)</f>
        <v>Vandens tiekimo ir nuotekų tvarkymo infrastruktūros plėtra Alytaus rajone (Krokialaukyje)</v>
      </c>
      <c r="E42" s="1641" t="str">
        <f>CONCATENATE('ES lėšos'!D42)</f>
        <v>SĮ „Simno komunalininkas“</v>
      </c>
      <c r="F42" s="1641" t="str">
        <f>CONCATENATE('ES lėšos'!E42)</f>
        <v>Alytaus r. sav.</v>
      </c>
      <c r="G42" s="1653">
        <v>42528</v>
      </c>
      <c r="H42" s="1646" t="s">
        <v>1891</v>
      </c>
      <c r="I42" s="1647">
        <f>SUM('ES lėšos'!G42)</f>
        <v>867744</v>
      </c>
      <c r="J42" s="1648">
        <f ca="1">SUM('ES lėšos'!H42)</f>
        <v>867744</v>
      </c>
      <c r="K42" s="1647">
        <f t="shared" ca="1" si="2"/>
        <v>0</v>
      </c>
      <c r="L42" s="1649">
        <f ca="1">IF(J42&gt;0,'ketv. 6 '!AF54/'ketv. 6 '!L54,"finansavimas dar neskirtas")</f>
        <v>0.58591762322754892</v>
      </c>
      <c r="M42" s="1657">
        <f>SUMIF('sutarčių ataskaita'!$J$19:$J$600,C42,'sutarčių ataskaita'!$BP$19:$BP$600)</f>
        <v>44027</v>
      </c>
      <c r="N42" s="1651">
        <f>IF('ketv. 5 '!S54=0,'ketv. 5 '!R54,'ketv. 5 '!S54)</f>
        <v>44196</v>
      </c>
      <c r="O42" s="1657">
        <f>SUMIF('sutarčių ataskaita'!$J$19:$J$600,C42,'sutarčių ataskaita'!$BO$19:$BO$600)</f>
        <v>42403</v>
      </c>
      <c r="P42" s="1657">
        <f>SUMIF('sutarčių ataskaita'!$J$19:$J$600,C42,'sutarčių ataskaita'!$L$19:$L$600)</f>
        <v>43146</v>
      </c>
      <c r="Q42" s="1658">
        <f t="shared" si="5"/>
        <v>53.391780821917806</v>
      </c>
      <c r="R42" s="1648">
        <f>SUM('ketv. 7 '!AK53)</f>
        <v>5127.0600000000004</v>
      </c>
      <c r="S42" s="1648">
        <f>SUMIF('mokėjimų ataskaita'!I53:I640,C42,'mokėjimų ataskaita'!AK53:AK640)/2</f>
        <v>5127.0600000000004</v>
      </c>
      <c r="T42" s="1648">
        <f>SUMIF('mokėjimų ataskaita'!I53:I640,C42,'mokėjimų ataskaita'!BS53:BS640)/2</f>
        <v>2955.66</v>
      </c>
      <c r="U42" s="1649">
        <f t="shared" ca="1" si="4"/>
        <v>5.9084937493085526E-3</v>
      </c>
      <c r="V42" s="1758"/>
      <c r="W42" s="1758" t="s">
        <v>1940</v>
      </c>
      <c r="X42" s="1762" t="s">
        <v>1953</v>
      </c>
      <c r="Y42" s="1641"/>
      <c r="Z42" s="1641"/>
    </row>
    <row r="43" spans="1:26" ht="24" x14ac:dyDescent="0.2">
      <c r="A43" s="1646">
        <f>SUM('ES lėšos'!A43)</f>
        <v>42</v>
      </c>
      <c r="B43" s="1641" t="str">
        <f>CONCATENATE('ES lėšos'!C43)</f>
        <v>05.1.1-APVA-R-007</v>
      </c>
      <c r="C43" s="1641" t="str">
        <f>CONCATENATE('ketv. 6 '!C56)</f>
        <v>05.1.1-APVA-R-007-11-0001</v>
      </c>
      <c r="D43" s="1641" t="str">
        <f>CONCATENATE('ES lėšos'!B43)</f>
        <v>Paviršinių nuotekų sistemų tvarkymas Alytaus mieste</v>
      </c>
      <c r="E43" s="1641" t="str">
        <f>CONCATENATE('ES lėšos'!D43)</f>
        <v>UAB “Dzūkijos vandenys“</v>
      </c>
      <c r="F43" s="1641" t="str">
        <f>CONCATENATE('ES lėšos'!E43)</f>
        <v>Alytaus m. sav.</v>
      </c>
      <c r="G43" s="1653">
        <v>43227</v>
      </c>
      <c r="H43" s="1646" t="s">
        <v>1892</v>
      </c>
      <c r="I43" s="1647">
        <f>SUM('ES lėšos'!G43)</f>
        <v>3399493</v>
      </c>
      <c r="J43" s="1648">
        <f ca="1">SUM('ES lėšos'!H43)</f>
        <v>2387993.48</v>
      </c>
      <c r="K43" s="1647">
        <f t="shared" ca="1" si="2"/>
        <v>1011499.52</v>
      </c>
      <c r="L43" s="1649">
        <f ca="1">IF(J43&gt;0,'ketv. 6 '!AF56/'ketv. 6 '!L56,"finansavimas dar neskirtas")</f>
        <v>0.85000000124581587</v>
      </c>
      <c r="M43" s="1657">
        <f>SUMIF('sutarčių ataskaita'!$J$19:$J$600,C43,'sutarčių ataskaita'!$BP$19:$BP$600)</f>
        <v>43921</v>
      </c>
      <c r="N43" s="1651">
        <f>IF('ketv. 5 '!S56=0,'ketv. 5 '!R56,'ketv. 5 '!S56)</f>
        <v>44196</v>
      </c>
      <c r="O43" s="1657">
        <f>SUMIF('sutarčių ataskaita'!$J$19:$J$600,C43,'sutarčių ataskaita'!$BO$19:$BO$600)</f>
        <v>42724</v>
      </c>
      <c r="P43" s="1657">
        <f>SUMIF('sutarčių ataskaita'!$J$19:$J$600,C43,'sutarčių ataskaita'!$L$19:$L$600)</f>
        <v>42815</v>
      </c>
      <c r="Q43" s="1658">
        <f t="shared" si="5"/>
        <v>39.353424657534248</v>
      </c>
      <c r="R43" s="1672">
        <f>SUM('ketv. 7 '!AK55)</f>
        <v>917721.99</v>
      </c>
      <c r="S43" s="1648">
        <f>SUMIF('mokėjimų ataskaita'!I54:I641,C43,'mokėjimų ataskaita'!AK54:AK641)/2</f>
        <v>0</v>
      </c>
      <c r="T43" s="1648">
        <f>SUMIF('mokėjimų ataskaita'!I54:I641,C43,'mokėjimų ataskaita'!BS54:BS641)/2</f>
        <v>0</v>
      </c>
      <c r="U43" s="1649">
        <f t="shared" ca="1" si="4"/>
        <v>0.38430674023448341</v>
      </c>
      <c r="V43" s="1758"/>
      <c r="W43" s="1758" t="s">
        <v>1940</v>
      </c>
      <c r="X43" s="1762" t="s">
        <v>1948</v>
      </c>
      <c r="Y43" s="1641"/>
      <c r="Z43" s="1641"/>
    </row>
    <row r="44" spans="1:26" ht="36" x14ac:dyDescent="0.2">
      <c r="A44" s="1646">
        <f>SUM('ES lėšos'!A44)</f>
        <v>43</v>
      </c>
      <c r="B44" s="1641" t="str">
        <f>CONCATENATE('ES lėšos'!C44)</f>
        <v>05.4.1-LVPA-R-821</v>
      </c>
      <c r="C44" s="1641" t="str">
        <f>CONCATENATE('ketv. 6 '!C58)</f>
        <v>05.4.1-LVPA-R-821-11-0002</v>
      </c>
      <c r="D44" s="1641" t="str">
        <f>CONCATENATE('ES lėšos'!B44)</f>
        <v>Alytaus regiono turizmo informacinės infrastruktūros plėtra</v>
      </c>
      <c r="E44" s="1641" t="str">
        <f>CONCATENATE('ES lėšos'!D44)</f>
        <v>Alytaus miesto savivaldybės administracija</v>
      </c>
      <c r="F44" s="1641" t="str">
        <f>CONCATENATE('ES lėšos'!E44)</f>
        <v>Alytaus m. sav.</v>
      </c>
      <c r="G44" s="1653">
        <v>42618</v>
      </c>
      <c r="H44" s="1646" t="s">
        <v>1869</v>
      </c>
      <c r="I44" s="1647">
        <f>SUM('ES lėšos'!G44)</f>
        <v>176990</v>
      </c>
      <c r="J44" s="1648">
        <f ca="1">SUM('ES lėšos'!H44)</f>
        <v>176990</v>
      </c>
      <c r="K44" s="1647">
        <f t="shared" ca="1" si="2"/>
        <v>0</v>
      </c>
      <c r="L44" s="1649">
        <f ca="1">IF(J44&gt;0,'ketv. 6 '!AF58/'ketv. 6 '!L58,"finansavimas dar neskirtas")</f>
        <v>0.84999999759873446</v>
      </c>
      <c r="M44" s="1657">
        <f>SUMIF('sutarčių ataskaita'!$J$19:$J$600,C44,'sutarčių ataskaita'!$BP$19:$BP$600)</f>
        <v>43465</v>
      </c>
      <c r="N44" s="1651">
        <f>IF('ketv. 5 '!S58=0,'ketv. 5 '!R58,'ketv. 5 '!S58)</f>
        <v>43465</v>
      </c>
      <c r="O44" s="1657">
        <f>SUMIF('sutarčių ataskaita'!$J$19:$J$600,C44,'sutarčių ataskaita'!$BO$19:$BO$600)</f>
        <v>42835</v>
      </c>
      <c r="P44" s="1657">
        <f>SUMIF('sutarčių ataskaita'!$J$19:$J$600,C44,'sutarčių ataskaita'!$L$19:$L$600)</f>
        <v>42835</v>
      </c>
      <c r="Q44" s="1658">
        <f t="shared" si="5"/>
        <v>20.712328767123285</v>
      </c>
      <c r="R44" s="1648">
        <f>SUM('ketv. 7 '!AK57)</f>
        <v>0</v>
      </c>
      <c r="S44" s="1648">
        <f>SUMIF('mokėjimų ataskaita'!I55:I642,C44,'mokėjimų ataskaita'!AK55:AK642)/2</f>
        <v>0</v>
      </c>
      <c r="T44" s="1648">
        <f>SUMIF('mokėjimų ataskaita'!I55:I642,C44,'mokėjimų ataskaita'!BS55:BS642)/2</f>
        <v>0</v>
      </c>
      <c r="U44" s="1649">
        <f t="shared" ca="1" si="4"/>
        <v>0</v>
      </c>
      <c r="V44" s="1758"/>
      <c r="W44" s="1758" t="s">
        <v>1940</v>
      </c>
      <c r="X44" s="1762" t="s">
        <v>1941</v>
      </c>
      <c r="Y44" s="1641"/>
      <c r="Z44" s="1641"/>
    </row>
    <row r="45" spans="1:26" ht="108" x14ac:dyDescent="0.2">
      <c r="A45" s="1646">
        <f>SUM('ES lėšos'!A45)</f>
        <v>44</v>
      </c>
      <c r="B45" s="1641" t="str">
        <f>CONCATENATE('ES lėšos'!C45)</f>
        <v>05.4.1-LVPA-R-821</v>
      </c>
      <c r="C45" s="1641" t="str">
        <f>CONCATENATE('ketv. 6 '!C59)</f>
        <v>05.4.1-LVPA-R-821-11-0001</v>
      </c>
      <c r="D45" s="1641" t="str">
        <f>CONCATENATE('ES lėšos'!B45)</f>
        <v>„Turizmo trasų ir maršrutų informacinės infrastruktūros plėtra  Lazdijų, Varėnos rajonų ir Druskininkų savivaldybėse“</v>
      </c>
      <c r="E45" s="1641" t="str">
        <f>CONCATENATE('ES lėšos'!D45)</f>
        <v>Lazdijų rajono savivaldybės administracija</v>
      </c>
      <c r="F45" s="1641" t="str">
        <f>CONCATENATE('ES lėšos'!E45)</f>
        <v xml:space="preserve">Lazdijų, Varėnos rajonų ir Druskininkų savivaldybės </v>
      </c>
      <c r="G45" s="1653">
        <v>42626</v>
      </c>
      <c r="H45" s="1646" t="s">
        <v>1872</v>
      </c>
      <c r="I45" s="1647">
        <f>SUM('ES lėšos'!G45)</f>
        <v>244890.1</v>
      </c>
      <c r="J45" s="1648">
        <f ca="1">SUM('ES lėšos'!H45)</f>
        <v>244890.1</v>
      </c>
      <c r="K45" s="1647">
        <f t="shared" ca="1" si="2"/>
        <v>0</v>
      </c>
      <c r="L45" s="1649">
        <f ca="1">IF(J45&gt;0,'ketv. 6 '!AF59/'ketv. 6 '!L59,"finansavimas dar neskirtas")</f>
        <v>0.85</v>
      </c>
      <c r="M45" s="1657">
        <f>SUMIF('sutarčių ataskaita'!$J$19:$J$600,C45,'sutarčių ataskaita'!$BP$19:$BP$600)</f>
        <v>43539</v>
      </c>
      <c r="N45" s="1651">
        <f>IF('ketv. 5 '!S59=0,'ketv. 5 '!R59,'ketv. 5 '!S59)</f>
        <v>43585</v>
      </c>
      <c r="O45" s="1657">
        <f>SUMIF('sutarčių ataskaita'!$J$19:$J$600,C45,'sutarčių ataskaita'!$BO$19:$BO$600)</f>
        <v>42811</v>
      </c>
      <c r="P45" s="1657">
        <f>SUMIF('sutarčių ataskaita'!$J$19:$J$600,C45,'sutarčių ataskaita'!$L$19:$L$600)</f>
        <v>42811</v>
      </c>
      <c r="Q45" s="1658">
        <f t="shared" si="5"/>
        <v>23.934246575342463</v>
      </c>
      <c r="R45" s="1648">
        <f>SUM('ketv. 7 '!AK58)</f>
        <v>47727.439999999995</v>
      </c>
      <c r="S45" s="1648">
        <f>SUMIF('mokėjimų ataskaita'!I56:I643,C45,'mokėjimų ataskaita'!AK56:AK643)/2</f>
        <v>47727.439999999995</v>
      </c>
      <c r="T45" s="1648">
        <f>SUMIF('mokėjimų ataskaita'!I56:I643,C45,'mokėjimų ataskaita'!BS56:BS643)/2</f>
        <v>0</v>
      </c>
      <c r="U45" s="1649">
        <f t="shared" ca="1" si="4"/>
        <v>0.19489330111752168</v>
      </c>
      <c r="V45" s="1758"/>
      <c r="W45" s="1758" t="s">
        <v>1940</v>
      </c>
      <c r="X45" s="1762" t="s">
        <v>1958</v>
      </c>
      <c r="Y45" s="1641"/>
      <c r="Z45" s="1641"/>
    </row>
    <row r="46" spans="1:26" ht="60" x14ac:dyDescent="0.2">
      <c r="A46" s="1646">
        <f>SUM('ES lėšos'!A46)</f>
        <v>45</v>
      </c>
      <c r="B46" s="1641" t="str">
        <f>CONCATENATE('ES lėšos'!C46)</f>
        <v>05.4.1-LVPA-R-821</v>
      </c>
      <c r="C46" s="1641" t="str">
        <f>CONCATENATE('ketv. 6 '!C60)</f>
        <v>-</v>
      </c>
      <c r="D46" s="1641" t="str">
        <f>CONCATENATE('ES lėšos'!B46)</f>
        <v>„Turizmo trasų ir maršrutų informacinės infrastruktūros plėtra  Lazdijų, Varėnos rajonų ir Druskininkų savivaldybėse II etapas“</v>
      </c>
      <c r="E46" s="1641" t="str">
        <f>CONCATENATE('ES lėšos'!D46)</f>
        <v>Lazdijų rajono savivaldybės administracija</v>
      </c>
      <c r="F46" s="1641" t="str">
        <f>CONCATENATE('ES lėšos'!E46)</f>
        <v xml:space="preserve">Lazdijų, Varėnos rajonų ir Druskininkų savivaldybės </v>
      </c>
      <c r="G46" s="1653" t="s">
        <v>66</v>
      </c>
      <c r="H46" s="1646" t="s">
        <v>66</v>
      </c>
      <c r="I46" s="1647">
        <f>SUM('ES lėšos'!G46)</f>
        <v>0</v>
      </c>
      <c r="J46" s="1648">
        <f ca="1">SUM('ES lėšos'!H46)</f>
        <v>0</v>
      </c>
      <c r="K46" s="1647" t="str">
        <f t="shared" ca="1" si="2"/>
        <v>finansavimas dar neskirtas</v>
      </c>
      <c r="L46" s="1649" t="str">
        <f ca="1">IF(J46&gt;0,'ketv. 6 '!AF60/'ketv. 6 '!L60,"finansavimas dar neskirtas")</f>
        <v>finansavimas dar neskirtas</v>
      </c>
      <c r="M46" s="1657"/>
      <c r="N46" s="1651">
        <f>IF('ketv. 5 '!S60=0,'ketv. 5 '!R60,'ketv. 5 '!S60)</f>
        <v>44376</v>
      </c>
      <c r="O46" s="1657"/>
      <c r="P46" s="1657"/>
      <c r="Q46" s="1658"/>
      <c r="R46" s="1648">
        <f>SUM('ketv. 7 '!AK59)</f>
        <v>0</v>
      </c>
      <c r="S46" s="1648">
        <f>SUMIF('mokėjimų ataskaita'!I57:I644,C46,'mokėjimų ataskaita'!AK57:AK644)/2</f>
        <v>0</v>
      </c>
      <c r="T46" s="1648">
        <f>SUMIF('mokėjimų ataskaita'!I57:I644,C46,'mokėjimų ataskaita'!BS57:BS644)/2</f>
        <v>0</v>
      </c>
      <c r="U46" s="1649" t="str">
        <f t="shared" ca="1" si="4"/>
        <v>finansavimas dar neskirtas</v>
      </c>
      <c r="V46" s="1758"/>
      <c r="W46" s="1763"/>
      <c r="X46" s="1762"/>
      <c r="Y46" s="1641"/>
      <c r="Z46" s="1641"/>
    </row>
    <row r="47" spans="1:26" ht="36" x14ac:dyDescent="0.2">
      <c r="A47" s="1646">
        <f>SUM('ES lėšos'!A47)</f>
        <v>46</v>
      </c>
      <c r="B47" s="1641" t="str">
        <f>CONCATENATE('ES lėšos'!C47)</f>
        <v>07.1.1-CPVA-R-305</v>
      </c>
      <c r="C47" s="1641" t="str">
        <f>CONCATENATE('ketv. 6 '!C62)</f>
        <v>07.1.1-CPVA-R-305-11-0001</v>
      </c>
      <c r="D47" s="1641" t="str">
        <f>CONCATENATE('ES lėšos'!B47)</f>
        <v>Kultūros įstaigų infrastruktūros modernizavimas Varėnos mieste</v>
      </c>
      <c r="E47" s="1641" t="str">
        <f>CONCATENATE('ES lėšos'!D47)</f>
        <v>Varėnos rajono savivaldybės administracija</v>
      </c>
      <c r="F47" s="1641" t="str">
        <f>CONCATENATE('ES lėšos'!E47)</f>
        <v>Varėnos r. sav.</v>
      </c>
      <c r="G47" s="1653">
        <v>42613</v>
      </c>
      <c r="H47" s="1646" t="s">
        <v>1867</v>
      </c>
      <c r="I47" s="1647">
        <f>SUM('ES lėšos'!G47)</f>
        <v>299541</v>
      </c>
      <c r="J47" s="1648">
        <f ca="1">SUM('ES lėšos'!H47)</f>
        <v>299540.84999999998</v>
      </c>
      <c r="K47" s="1647">
        <f t="shared" ca="1" si="2"/>
        <v>0.15000000002328306</v>
      </c>
      <c r="L47" s="1649">
        <f ca="1">IF(J47&gt;0,'ketv. 6 '!AF62/'ketv. 6 '!L62,"finansavimas dar neskirtas")</f>
        <v>0.85</v>
      </c>
      <c r="M47" s="1657">
        <f>SUMIF('sutarčių ataskaita'!$J$19:$J$600,C47,'sutarčių ataskaita'!$BP$19:$BP$600)</f>
        <v>43585</v>
      </c>
      <c r="N47" s="1651">
        <f>IF('ketv. 5 '!S62=0,'ketv. 5 '!R62,'ketv. 5 '!S62)</f>
        <v>43585</v>
      </c>
      <c r="O47" s="1657">
        <f>SUMIF('sutarčių ataskaita'!$J$19:$J$600,C47,'sutarčių ataskaita'!$BO$19:$BO$600)</f>
        <v>42327</v>
      </c>
      <c r="P47" s="1657">
        <f>SUMIF('sutarčių ataskaita'!$J$19:$J$600,C47,'sutarčių ataskaita'!$L$19:$L$600)</f>
        <v>42860</v>
      </c>
      <c r="Q47" s="1658">
        <f t="shared" ref="Q47:Q53" si="6">SUM((M47-O47)/(365/12))</f>
        <v>41.358904109589041</v>
      </c>
      <c r="R47" s="1648">
        <f>SUM('ketv. 7 '!AK61)</f>
        <v>275001.21999999997</v>
      </c>
      <c r="S47" s="1648">
        <f>SUMIF('mokėjimų ataskaita'!I58:I645,C47,'mokėjimų ataskaita'!AK58:AK645)/2</f>
        <v>275001.21999999997</v>
      </c>
      <c r="T47" s="1648">
        <f>SUMIF('mokėjimų ataskaita'!I58:I645,C47,'mokėjimų ataskaita'!BS58:BS645)/2</f>
        <v>120435.69</v>
      </c>
      <c r="U47" s="1649">
        <f t="shared" ca="1" si="4"/>
        <v>0.91807584841933909</v>
      </c>
      <c r="V47" s="1758"/>
      <c r="W47" s="1758" t="s">
        <v>1940</v>
      </c>
      <c r="X47" s="1762" t="s">
        <v>1957</v>
      </c>
      <c r="Y47" s="1641"/>
      <c r="Z47" s="1641"/>
    </row>
    <row r="48" spans="1:26" ht="48" x14ac:dyDescent="0.2">
      <c r="A48" s="1646">
        <f>SUM('ES lėšos'!A48)</f>
        <v>47</v>
      </c>
      <c r="B48" s="1641" t="str">
        <f>CONCATENATE('ES lėšos'!C48)</f>
        <v>07.1.1-CPVA-R-305</v>
      </c>
      <c r="C48" s="1641" t="str">
        <f>CONCATENATE('ketv. 6 '!C63)</f>
        <v>07.1.1-CPVA-R-305-11-0002</v>
      </c>
      <c r="D48" s="1641" t="str">
        <f>CONCATENATE('ES lėšos'!B48)</f>
        <v>VšĮ Alytaus kultūros ir komunikacijos centro pastato Alytuje, Pramonės g. 1B, rekonstravimas</v>
      </c>
      <c r="E48" s="1641" t="str">
        <f>CONCATENATE('ES lėšos'!D48)</f>
        <v>Alytaus miesto savivaldybės administracija</v>
      </c>
      <c r="F48" s="1641" t="str">
        <f>CONCATENATE('ES lėšos'!E48)</f>
        <v>Alytaus m. sav.</v>
      </c>
      <c r="G48" s="1653">
        <v>42664</v>
      </c>
      <c r="H48" s="1646" t="s">
        <v>1893</v>
      </c>
      <c r="I48" s="1647">
        <f>SUM('ES lėšos'!G48)</f>
        <v>299541</v>
      </c>
      <c r="J48" s="1648">
        <f ca="1">SUM('ES lėšos'!H48)</f>
        <v>299541</v>
      </c>
      <c r="K48" s="1647">
        <f t="shared" ca="1" si="2"/>
        <v>0</v>
      </c>
      <c r="L48" s="1649">
        <f ca="1">IF(J48&gt;0,'ketv. 6 '!AF63/'ketv. 6 '!L63,"finansavimas dar neskirtas")</f>
        <v>0.38242653666165444</v>
      </c>
      <c r="M48" s="1657">
        <f>SUMIF('sutarčių ataskaita'!$J$19:$J$600,C48,'sutarčių ataskaita'!$BP$19:$BP$600)</f>
        <v>43373</v>
      </c>
      <c r="N48" s="1651">
        <f>IF('ketv. 5 '!S63=0,'ketv. 5 '!R63,'ketv. 5 '!S63)</f>
        <v>43465</v>
      </c>
      <c r="O48" s="1657">
        <f>SUMIF('sutarčių ataskaita'!$J$19:$J$600,C48,'sutarčių ataskaita'!$BO$19:$BO$600)</f>
        <v>42584</v>
      </c>
      <c r="P48" s="1657">
        <f>SUMIF('sutarčių ataskaita'!$J$19:$J$600,C48,'sutarčių ataskaita'!$L$19:$L$600)</f>
        <v>42886</v>
      </c>
      <c r="Q48" s="1658">
        <f t="shared" si="6"/>
        <v>25.93972602739726</v>
      </c>
      <c r="R48" s="1648">
        <f>SUM('ketv. 7 '!AK62)</f>
        <v>295499.17999999993</v>
      </c>
      <c r="S48" s="1648">
        <f>SUMIF('mokėjimų ataskaita'!I59:I646,C48,'mokėjimų ataskaita'!AK59:AK646)/2</f>
        <v>295499.17999999993</v>
      </c>
      <c r="T48" s="1648">
        <f>SUMIF('mokėjimų ataskaita'!I59:I646,C48,'mokėjimų ataskaita'!BS59:BS646)/2</f>
        <v>222127.46</v>
      </c>
      <c r="U48" s="1649">
        <f t="shared" ca="1" si="4"/>
        <v>0.9865066217980174</v>
      </c>
      <c r="V48" s="1758"/>
      <c r="W48" s="1758" t="s">
        <v>1940</v>
      </c>
      <c r="X48" s="1762" t="s">
        <v>1956</v>
      </c>
      <c r="Y48" s="1641"/>
      <c r="Z48" s="1641"/>
    </row>
    <row r="49" spans="1:26" ht="60" x14ac:dyDescent="0.2">
      <c r="A49" s="1646">
        <f>SUM('ES lėšos'!A49)</f>
        <v>48</v>
      </c>
      <c r="B49" s="1641" t="str">
        <f>CONCATENATE('ES lėšos'!C49)</f>
        <v>07.1.1-CPVA-R-305</v>
      </c>
      <c r="C49" s="1641" t="str">
        <f>CONCATENATE('ketv. 6 '!C64)</f>
        <v>07.1.1-CPVA-R-305-11-0003</v>
      </c>
      <c r="D49" s="1641" t="str">
        <f>CONCATENATE('ES lėšos'!B49)</f>
        <v>Druskininkų kultūros centro lauko scenos, Vilniaus al. 24, Druskininkai, modernizavimas ir pritaikymas kultūros  poreikiams</v>
      </c>
      <c r="E49" s="1641" t="str">
        <f>CONCATENATE('ES lėšos'!D49)</f>
        <v xml:space="preserve">Druskininkų savivaldybės administracija  </v>
      </c>
      <c r="F49" s="1641" t="str">
        <f>CONCATENATE('ES lėšos'!E49)</f>
        <v>Druskininkų sav.</v>
      </c>
      <c r="G49" s="1653">
        <v>42655</v>
      </c>
      <c r="H49" s="1646" t="s">
        <v>1877</v>
      </c>
      <c r="I49" s="1647">
        <f>SUM('ES lėšos'!G49)</f>
        <v>299541</v>
      </c>
      <c r="J49" s="1648">
        <f ca="1">SUM('ES lėšos'!H49)</f>
        <v>299540.84999999998</v>
      </c>
      <c r="K49" s="1647">
        <f t="shared" ca="1" si="2"/>
        <v>0.15000000002328306</v>
      </c>
      <c r="L49" s="1649">
        <f ca="1">IF(J49&gt;0,'ketv. 6 '!AF64/'ketv. 6 '!L64,"finansavimas dar neskirtas")</f>
        <v>0.85</v>
      </c>
      <c r="M49" s="1657">
        <f>SUMIF('sutarčių ataskaita'!$J$19:$J$600,C49,'sutarčių ataskaita'!$BP$19:$BP$600)</f>
        <v>43830</v>
      </c>
      <c r="N49" s="1651">
        <f>IF('ketv. 5 '!S64=0,'ketv. 5 '!R64,'ketv. 5 '!S64)</f>
        <v>43830</v>
      </c>
      <c r="O49" s="1657">
        <f>SUMIF('sutarčių ataskaita'!$J$19:$J$600,C49,'sutarčių ataskaita'!$BO$19:$BO$600)</f>
        <v>42857</v>
      </c>
      <c r="P49" s="1657">
        <f>SUMIF('sutarčių ataskaita'!$J$19:$J$600,C49,'sutarčių ataskaita'!$L$19:$L$600)</f>
        <v>42857</v>
      </c>
      <c r="Q49" s="1658">
        <f t="shared" si="6"/>
        <v>31.989041095890411</v>
      </c>
      <c r="R49" s="1648">
        <f>SUM('ketv. 7 '!AK63)</f>
        <v>105370.47</v>
      </c>
      <c r="S49" s="1648">
        <f>SUMIF('mokėjimų ataskaita'!I60:I647,C49,'mokėjimų ataskaita'!AK60:AK647)/2</f>
        <v>105370.47</v>
      </c>
      <c r="T49" s="1648">
        <f>SUMIF('mokėjimų ataskaita'!I60:I647,C49,'mokėjimų ataskaita'!BS60:BS647)/2</f>
        <v>40859.43</v>
      </c>
      <c r="U49" s="1649">
        <f t="shared" ca="1" si="4"/>
        <v>0.35177328901884336</v>
      </c>
      <c r="V49" s="1758"/>
      <c r="W49" s="1758" t="s">
        <v>1940</v>
      </c>
      <c r="X49" s="1762" t="s">
        <v>1955</v>
      </c>
      <c r="Y49" s="1641"/>
      <c r="Z49" s="1641"/>
    </row>
    <row r="50" spans="1:26" ht="48" x14ac:dyDescent="0.2">
      <c r="A50" s="1646">
        <f>SUM('ES lėšos'!A50)</f>
        <v>49</v>
      </c>
      <c r="B50" s="1641" t="str">
        <f>CONCATENATE('ES lėšos'!C50)</f>
        <v>07.1.1-CPVA-R-305</v>
      </c>
      <c r="C50" s="1641" t="str">
        <f>CONCATENATE('ketv. 6 '!C65)</f>
        <v>07.1.1-CPVA-R-305-11-0004</v>
      </c>
      <c r="D50" s="1641" t="str">
        <f>CONCATENATE('ES lėšos'!B50)</f>
        <v>Pastato rekonstrukcija ir pritaikymas kultūrinėms, muziejinėms ir edukacinėms reikmėms</v>
      </c>
      <c r="E50" s="1641" t="str">
        <f>CONCATENATE('ES lėšos'!D50)</f>
        <v>Lazdijų rajono savivaldybės administracija</v>
      </c>
      <c r="F50" s="1641" t="str">
        <f>CONCATENATE('ES lėšos'!E50)</f>
        <v>Lazdijų r. sav.</v>
      </c>
      <c r="G50" s="1653">
        <v>42655</v>
      </c>
      <c r="H50" s="1646" t="s">
        <v>1878</v>
      </c>
      <c r="I50" s="1647">
        <f>SUM('ES lėšos'!G50)</f>
        <v>299541</v>
      </c>
      <c r="J50" s="1648">
        <f ca="1">SUM('ES lėšos'!H50)</f>
        <v>299541</v>
      </c>
      <c r="K50" s="1647">
        <f t="shared" ca="1" si="2"/>
        <v>0</v>
      </c>
      <c r="L50" s="1649">
        <f ca="1">IF(J50&gt;0,'ketv. 6 '!AF65/'ketv. 6 '!L65,"finansavimas dar neskirtas")</f>
        <v>0.61790416411433602</v>
      </c>
      <c r="M50" s="1657">
        <f>SUMIF('sutarčių ataskaita'!$J$19:$J$600,C50,'sutarčių ataskaita'!$BP$19:$BP$600)</f>
        <v>43830</v>
      </c>
      <c r="N50" s="1651">
        <f>IF('ketv. 5 '!S65=0,'ketv. 5 '!R65,'ketv. 5 '!S65)</f>
        <v>43830</v>
      </c>
      <c r="O50" s="1657">
        <f>SUMIF('sutarčių ataskaita'!$J$19:$J$600,C50,'sutarčių ataskaita'!$BO$19:$BO$600)</f>
        <v>42501</v>
      </c>
      <c r="P50" s="1657">
        <f>SUMIF('sutarčių ataskaita'!$J$19:$J$600,C50,'sutarčių ataskaita'!$L$19:$L$600)</f>
        <v>43203</v>
      </c>
      <c r="Q50" s="1658">
        <f t="shared" si="6"/>
        <v>43.693150684931503</v>
      </c>
      <c r="R50" s="1648">
        <f>SUM('ketv. 7 '!AK64)</f>
        <v>13990.36</v>
      </c>
      <c r="S50" s="1648">
        <f>SUMIF('mokėjimų ataskaita'!I61:I648,C50,'mokėjimų ataskaita'!AK61:AK648)/2</f>
        <v>13990.36</v>
      </c>
      <c r="T50" s="1648">
        <f>SUMIF('mokėjimų ataskaita'!I61:I648,C50,'mokėjimų ataskaita'!BS61:BS648)/2</f>
        <v>0</v>
      </c>
      <c r="U50" s="1649">
        <f t="shared" ca="1" si="4"/>
        <v>4.6705993503393529E-2</v>
      </c>
      <c r="V50" s="1758"/>
      <c r="W50" s="1758" t="s">
        <v>1940</v>
      </c>
      <c r="X50" s="1762" t="s">
        <v>1954</v>
      </c>
      <c r="Y50" s="1641"/>
      <c r="Z50" s="1641"/>
    </row>
    <row r="51" spans="1:26" ht="48" x14ac:dyDescent="0.2">
      <c r="A51" s="1646">
        <f>SUM('ES lėšos'!A51)</f>
        <v>50</v>
      </c>
      <c r="B51" s="1641" t="str">
        <f>CONCATENATE('ES lėšos'!C51)</f>
        <v>05.4.1-CPVA-R-302</v>
      </c>
      <c r="C51" s="1641" t="str">
        <f>CONCATENATE('ketv. 6 '!C67)</f>
        <v>05.4.1-CPVA-R-302-11-0003</v>
      </c>
      <c r="D51" s="1641" t="str">
        <f>CONCATENATE('ES lėšos'!B51)</f>
        <v>Buvusios sinagogos pastato Kauno g. 9A Alytuje rekonstravimas ir aplinkinės teritorijos sutvarkymas</v>
      </c>
      <c r="E51" s="1641" t="str">
        <f>CONCATENATE('ES lėšos'!D51)</f>
        <v>Alytaus miesto savivaldybės administracija</v>
      </c>
      <c r="F51" s="1641" t="str">
        <f>CONCATENATE('ES lėšos'!E51)</f>
        <v>Alytaus m. sav.</v>
      </c>
      <c r="G51" s="1653">
        <v>42767</v>
      </c>
      <c r="H51" s="1646" t="s">
        <v>1898</v>
      </c>
      <c r="I51" s="1647">
        <f>SUM('ES lėšos'!G51)</f>
        <v>206056</v>
      </c>
      <c r="J51" s="1648">
        <f ca="1">SUM('ES lėšos'!H51)</f>
        <v>206056</v>
      </c>
      <c r="K51" s="1647">
        <f t="shared" ca="1" si="2"/>
        <v>0</v>
      </c>
      <c r="L51" s="1649">
        <f ca="1">IF(J51&gt;0,'ketv. 6 '!AF67/'ketv. 6 '!L67,"finansavimas dar neskirtas")</f>
        <v>0.46350532175442799</v>
      </c>
      <c r="M51" s="1657">
        <f>SUMIF('sutarčių ataskaita'!$J$19:$J$600,C51,'sutarčių ataskaita'!$BP$19:$BP$600)</f>
        <v>44012</v>
      </c>
      <c r="N51" s="1651">
        <f>IF('ketv. 5 '!S67=0,'ketv. 5 '!R67,'ketv. 5 '!S67)</f>
        <v>44196</v>
      </c>
      <c r="O51" s="1657">
        <f>SUMIF('sutarčių ataskaita'!$J$19:$J$600,C51,'sutarčių ataskaita'!$BO$19:$BO$600)</f>
        <v>43276</v>
      </c>
      <c r="P51" s="1657">
        <f>SUMIF('sutarčių ataskaita'!$J$19:$J$600,C51,'sutarčių ataskaita'!$L$19:$L$600)</f>
        <v>43276</v>
      </c>
      <c r="Q51" s="1658">
        <f t="shared" si="6"/>
        <v>24.197260273972603</v>
      </c>
      <c r="R51" s="1648">
        <f>SUM('ketv. 7 '!AK66)</f>
        <v>0</v>
      </c>
      <c r="S51" s="1648">
        <f>SUMIF('mokėjimų ataskaita'!I62:I649,C51,'mokėjimų ataskaita'!AK62:AK649)/2</f>
        <v>0</v>
      </c>
      <c r="T51" s="1648">
        <f>SUMIF('mokėjimų ataskaita'!I62:I649,C51,'mokėjimų ataskaita'!BS62:BS649)/2</f>
        <v>0</v>
      </c>
      <c r="U51" s="1649">
        <f t="shared" ca="1" si="4"/>
        <v>0</v>
      </c>
      <c r="V51" s="1758"/>
      <c r="W51" s="1758" t="s">
        <v>1940</v>
      </c>
      <c r="X51" s="1762" t="s">
        <v>1956</v>
      </c>
      <c r="Y51" s="1641"/>
      <c r="Z51" s="1641"/>
    </row>
    <row r="52" spans="1:26" ht="48" x14ac:dyDescent="0.2">
      <c r="A52" s="1646">
        <f>SUM('ES lėšos'!A52)</f>
        <v>51</v>
      </c>
      <c r="B52" s="1641" t="str">
        <f>CONCATENATE('ES lėšos'!C52)</f>
        <v>05.4.1-CPVA-R-302</v>
      </c>
      <c r="C52" s="1641" t="str">
        <f>CONCATENATE('ketv. 6 '!C68)</f>
        <v>05.4.1-CPVA-R-302-11-0002</v>
      </c>
      <c r="D52" s="1641" t="str">
        <f>CONCATENATE('ES lėšos'!B52)</f>
        <v>Mažosios dailės galerijos, M.K.Čiurlionio g. 37, Druskininkai, modernizavimas ir pritaikymas kultūros poreikiams</v>
      </c>
      <c r="E52" s="1641" t="str">
        <f>CONCATENATE('ES lėšos'!D52)</f>
        <v xml:space="preserve">Druskininkų savivaldybės administracija  </v>
      </c>
      <c r="F52" s="1641" t="str">
        <f>CONCATENATE('ES lėšos'!E52)</f>
        <v>Druskininkų sav.</v>
      </c>
      <c r="G52" s="1653">
        <v>42740</v>
      </c>
      <c r="H52" s="1646" t="s">
        <v>1897</v>
      </c>
      <c r="I52" s="1647">
        <f>SUM('ES lėšos'!G52)</f>
        <v>206056</v>
      </c>
      <c r="J52" s="1648">
        <f ca="1">SUM('ES lėšos'!H52)</f>
        <v>206056</v>
      </c>
      <c r="K52" s="1647">
        <f t="shared" ca="1" si="2"/>
        <v>0</v>
      </c>
      <c r="L52" s="1649">
        <f ca="1">IF(J52&gt;0,'ketv. 6 '!AF68/'ketv. 6 '!L68,"finansavimas dar neskirtas")</f>
        <v>0.69222869683284938</v>
      </c>
      <c r="M52" s="1657">
        <f>SUMIF('sutarčių ataskaita'!$J$19:$J$600,C52,'sutarčių ataskaita'!$BP$19:$BP$600)</f>
        <v>43738</v>
      </c>
      <c r="N52" s="1651">
        <f>IF('ketv. 5 '!S68=0,'ketv. 5 '!R68,'ketv. 5 '!S68)</f>
        <v>43739</v>
      </c>
      <c r="O52" s="1657">
        <f>SUMIF('sutarčių ataskaita'!$J$19:$J$600,C52,'sutarčių ataskaita'!$BO$19:$BO$600)</f>
        <v>43039</v>
      </c>
      <c r="P52" s="1657">
        <f>SUMIF('sutarčių ataskaita'!$J$19:$J$600,C52,'sutarčių ataskaita'!$L$19:$L$600)</f>
        <v>43285</v>
      </c>
      <c r="Q52" s="1658">
        <f t="shared" si="6"/>
        <v>22.980821917808218</v>
      </c>
      <c r="R52" s="1648">
        <f>SUM('ketv. 7 '!AK67)</f>
        <v>7329.05</v>
      </c>
      <c r="S52" s="1648">
        <f>SUMIF('mokėjimų ataskaita'!I63:I650,C52,'mokėjimų ataskaita'!AK63:AK650)/2</f>
        <v>7329.05</v>
      </c>
      <c r="T52" s="1648">
        <f>SUMIF('mokėjimų ataskaita'!I63:I650,C52,'mokėjimų ataskaita'!BS63:BS650)/2</f>
        <v>0</v>
      </c>
      <c r="U52" s="1649">
        <f t="shared" ca="1" si="4"/>
        <v>3.5568243584268355E-2</v>
      </c>
      <c r="V52" s="1758"/>
      <c r="W52" s="1758" t="s">
        <v>1940</v>
      </c>
      <c r="X52" s="1762" t="s">
        <v>1955</v>
      </c>
      <c r="Y52" s="1641"/>
      <c r="Z52" s="1641"/>
    </row>
    <row r="53" spans="1:26" ht="36" x14ac:dyDescent="0.2">
      <c r="A53" s="1646">
        <f>SUM('ES lėšos'!A53)</f>
        <v>52</v>
      </c>
      <c r="B53" s="1641" t="str">
        <f>CONCATENATE('ES lėšos'!C53)</f>
        <v>05.4.1-CPVA-R-302</v>
      </c>
      <c r="C53" s="1641" t="str">
        <f>CONCATENATE('ketv. 6 '!C69)</f>
        <v>05.4.1-CPVA-R-302-11-0001</v>
      </c>
      <c r="D53" s="1641" t="str">
        <f>CONCATENATE('ES lėšos'!B53)</f>
        <v>Motiejaus  Gustaičio  memorialinio  namo  kompleksinis sutvarkymas</v>
      </c>
      <c r="E53" s="1641" t="str">
        <f>CONCATENATE('ES lėšos'!D53)</f>
        <v>Lazdijų rajono savivaldybės administracija</v>
      </c>
      <c r="F53" s="1641" t="str">
        <f>CONCATENATE('ES lėšos'!E53)</f>
        <v>Lazdijų r. sav.</v>
      </c>
      <c r="G53" s="1653">
        <v>42765</v>
      </c>
      <c r="H53" s="1646" t="s">
        <v>1896</v>
      </c>
      <c r="I53" s="1647">
        <f>SUM('ES lėšos'!G53)</f>
        <v>206056</v>
      </c>
      <c r="J53" s="1648">
        <f ca="1">SUM('ES lėšos'!H53)</f>
        <v>206056</v>
      </c>
      <c r="K53" s="1647">
        <f t="shared" ca="1" si="2"/>
        <v>0</v>
      </c>
      <c r="L53" s="1649">
        <f ca="1">IF(J53&gt;0,'ketv. 6 '!AF69/'ketv. 6 '!L69,"finansavimas dar neskirtas")</f>
        <v>0.84999938123661922</v>
      </c>
      <c r="M53" s="1657">
        <f>SUMIF('sutarčių ataskaita'!$J$19:$J$600,C53,'sutarčių ataskaita'!$BP$19:$BP$600)</f>
        <v>43861</v>
      </c>
      <c r="N53" s="1651">
        <f>IF('ketv. 5 '!S69=0,'ketv. 5 '!R69,'ketv. 5 '!S69)</f>
        <v>43830</v>
      </c>
      <c r="O53" s="1657">
        <f>SUMIF('sutarčių ataskaita'!$J$19:$J$600,C53,'sutarčių ataskaita'!$BO$19:$BO$600)</f>
        <v>42501</v>
      </c>
      <c r="P53" s="1657">
        <f>SUMIF('sutarčių ataskaita'!$J$19:$J$600,C53,'sutarčių ataskaita'!$L$19:$L$600)</f>
        <v>43335</v>
      </c>
      <c r="Q53" s="1658">
        <f t="shared" si="6"/>
        <v>44.712328767123289</v>
      </c>
      <c r="R53" s="1648">
        <f>SUM('ketv. 7 '!AK68)</f>
        <v>0</v>
      </c>
      <c r="S53" s="1648">
        <f>SUMIF('mokėjimų ataskaita'!I64:I651,C53,'mokėjimų ataskaita'!AK64:AK651)/2</f>
        <v>0</v>
      </c>
      <c r="T53" s="1648">
        <f>SUMIF('mokėjimų ataskaita'!I64:I651,C53,'mokėjimų ataskaita'!BS64:BS651)/2</f>
        <v>0</v>
      </c>
      <c r="U53" s="1649">
        <f t="shared" ca="1" si="4"/>
        <v>0</v>
      </c>
      <c r="V53" s="1758"/>
      <c r="W53" s="1758" t="s">
        <v>1940</v>
      </c>
      <c r="X53" s="1762" t="s">
        <v>1954</v>
      </c>
      <c r="Y53" s="1641"/>
      <c r="Z53" s="1641"/>
    </row>
    <row r="54" spans="1:26" ht="48" x14ac:dyDescent="0.2">
      <c r="A54" s="1646">
        <f>SUM('ES lėšos'!A54)</f>
        <v>53</v>
      </c>
      <c r="B54" s="1641" t="str">
        <f>CONCATENATE('ES lėšos'!C54)</f>
        <v>05.4.1-CPVA-R-302</v>
      </c>
      <c r="C54" s="1641" t="str">
        <f>CONCATENATE('ketv. 4 '!C71)</f>
        <v>05.4.1-CPVA-R-302-11-0004</v>
      </c>
      <c r="D54" s="1641" t="str">
        <f>CONCATENATE('ES lėšos'!B54)</f>
        <v>Kurnėnų Lauryno Radziukyno mokyklos pritaikymas kultūrinėms ir turistinėms reikmėms</v>
      </c>
      <c r="E54" s="1641" t="str">
        <f>CONCATENATE('ES lėšos'!D54)</f>
        <v>Alytaus rajono savivaldybės administracija</v>
      </c>
      <c r="F54" s="1641" t="str">
        <f>CONCATENATE('ES lėšos'!E54)</f>
        <v>Alytaus r. sav.</v>
      </c>
      <c r="G54" s="1653">
        <v>42968</v>
      </c>
      <c r="H54" s="1646" t="s">
        <v>1899</v>
      </c>
      <c r="I54" s="1647">
        <f>SUM('ES lėšos'!G54)</f>
        <v>206056</v>
      </c>
      <c r="J54" s="1648">
        <f ca="1">SUM('ES lėšos'!H54)</f>
        <v>0</v>
      </c>
      <c r="K54" s="1647" t="str">
        <f t="shared" ca="1" si="2"/>
        <v>finansavimas dar neskirtas</v>
      </c>
      <c r="L54" s="1649" t="str">
        <f ca="1">IF(J54&gt;0,'ketv. 6 '!AF70/'ketv. 6 '!L70,"finansavimas dar neskirtas")</f>
        <v>finansavimas dar neskirtas</v>
      </c>
      <c r="M54" s="1657"/>
      <c r="N54" s="1651">
        <f>IF('ketv. 5 '!S70=0,'ketv. 5 '!R70,'ketv. 5 '!S70)</f>
        <v>44196</v>
      </c>
      <c r="O54" s="1657"/>
      <c r="P54" s="1657"/>
      <c r="Q54" s="1658"/>
      <c r="R54" s="1648">
        <f>SUM('ketv. 7 '!AK69)</f>
        <v>0</v>
      </c>
      <c r="S54" s="1648">
        <f>SUMIF('mokėjimų ataskaita'!I65:I652,C54,'mokėjimų ataskaita'!AK65:AK652)/2</f>
        <v>0</v>
      </c>
      <c r="T54" s="1648">
        <f>SUMIF('mokėjimų ataskaita'!I65:I652,C54,'mokėjimų ataskaita'!BS65:BS652)/2</f>
        <v>0</v>
      </c>
      <c r="U54" s="1649" t="str">
        <f t="shared" ca="1" si="4"/>
        <v>finansavimas dar neskirtas</v>
      </c>
      <c r="V54" s="1758"/>
      <c r="W54" s="1763" t="s">
        <v>1968</v>
      </c>
      <c r="X54" s="1762" t="s">
        <v>1944</v>
      </c>
      <c r="Y54" s="1641"/>
      <c r="Z54" s="1641"/>
    </row>
    <row r="55" spans="1:26" ht="36" x14ac:dyDescent="0.2">
      <c r="A55" s="1646">
        <f>SUM('ES lėšos'!A55)</f>
        <v>54</v>
      </c>
      <c r="B55" s="1641" t="str">
        <f>CONCATENATE('ES lėšos'!C55)</f>
        <v>05.4.1-CPVA-R-302</v>
      </c>
      <c r="C55" s="1641" t="str">
        <f>CONCATENATE('ketv. 6 '!C71)</f>
        <v>05.4.1-CPVA-R-302-11-0005</v>
      </c>
      <c r="D55" s="1641" t="str">
        <f>CONCATENATE('ES lėšos'!B55)</f>
        <v>Vinco Krėvės-Mickevičiaus memorialinio muziejaus atnaujinimas</v>
      </c>
      <c r="E55" s="1641" t="str">
        <f>CONCATENATE('ES lėšos'!D55)</f>
        <v>Varėnos rajono savivaldybės administracija</v>
      </c>
      <c r="F55" s="1641" t="str">
        <f>CONCATENATE('ES lėšos'!E55)</f>
        <v>Varėnos r. sav.</v>
      </c>
      <c r="G55" s="1653">
        <v>42765</v>
      </c>
      <c r="H55" s="1646" t="s">
        <v>1895</v>
      </c>
      <c r="I55" s="1647">
        <f>SUM('ES lėšos'!G55)</f>
        <v>206056</v>
      </c>
      <c r="J55" s="1648">
        <f ca="1">SUM('ES lėšos'!H55)</f>
        <v>173914.72</v>
      </c>
      <c r="K55" s="1647">
        <f t="shared" ca="1" si="2"/>
        <v>32141.279999999999</v>
      </c>
      <c r="L55" s="1649">
        <f ca="1">IF(J55&gt;0,'ketv. 6 '!AF71/'ketv. 6 '!L71,"finansavimas dar neskirtas")</f>
        <v>0.84999997067528377</v>
      </c>
      <c r="M55" s="1657">
        <f>SUMIF('sutarčių ataskaita'!$J$19:$J$600,C55,'sutarčių ataskaita'!$BP$19:$BP$600)</f>
        <v>43951</v>
      </c>
      <c r="N55" s="1651">
        <f>IF('ketv. 5 '!S71=0,'ketv. 5 '!R71,'ketv. 5 '!S71)</f>
        <v>44196</v>
      </c>
      <c r="O55" s="1657">
        <f>SUMIF('sutarčių ataskaita'!$J$19:$J$600,C55,'sutarčių ataskaita'!$BO$19:$BO$600)</f>
        <v>42515</v>
      </c>
      <c r="P55" s="1657">
        <f>SUMIF('sutarčių ataskaita'!$J$19:$J$600,C55,'sutarčių ataskaita'!$L$19:$L$600)</f>
        <v>43307</v>
      </c>
      <c r="Q55" s="1658">
        <f>SUM((M55-O55)/(365/12))</f>
        <v>47.210958904109589</v>
      </c>
      <c r="R55" s="1672">
        <f>SUM('ketv. 7 '!AK70)</f>
        <v>13385.43</v>
      </c>
      <c r="S55" s="1648">
        <f>SUMIF('mokėjimų ataskaita'!I66:I653,C55,'mokėjimų ataskaita'!AK66:AK653)/2</f>
        <v>13385.43</v>
      </c>
      <c r="T55" s="1648">
        <f>SUMIF('mokėjimų ataskaita'!I66:I653,C55,'mokėjimų ataskaita'!BS66:BS653)/2</f>
        <v>0</v>
      </c>
      <c r="U55" s="1649">
        <f t="shared" ca="1" si="4"/>
        <v>7.6965480552767473E-2</v>
      </c>
      <c r="V55" s="1758"/>
      <c r="W55" s="1758" t="s">
        <v>1940</v>
      </c>
      <c r="X55" s="1762" t="s">
        <v>1957</v>
      </c>
      <c r="Y55" s="1641"/>
      <c r="Z55" s="1641"/>
    </row>
    <row r="56" spans="1:26" ht="36" x14ac:dyDescent="0.2">
      <c r="A56" s="1646">
        <f>SUM('ES lėšos'!A56)</f>
        <v>55</v>
      </c>
      <c r="B56" s="1641" t="str">
        <f>CONCATENATE('ES lėšos'!C56)</f>
        <v>04.5.1-TID-R-518</v>
      </c>
      <c r="C56" s="1646" t="str">
        <f>CONCATENATE('ketv. 6 '!C74)</f>
        <v>-</v>
      </c>
      <c r="D56" s="1641" t="str">
        <f>CONCATENATE('ES lėšos'!B56)</f>
        <v xml:space="preserve">Nekenksmingų aplinkai viešojo transporto priemonių įsigijimas Alytaus mieste </v>
      </c>
      <c r="E56" s="1641" t="str">
        <f>CONCATENATE('ES lėšos'!D56)</f>
        <v>Alytaus miesto savivaldybės administracija</v>
      </c>
      <c r="F56" s="1641" t="str">
        <f>CONCATENATE('ES lėšos'!E56)</f>
        <v>Alytaus m. sav.</v>
      </c>
      <c r="G56" s="1653" t="s">
        <v>66</v>
      </c>
      <c r="H56" s="1646" t="s">
        <v>66</v>
      </c>
      <c r="I56" s="1647">
        <f>SUM('ES lėšos'!G56)</f>
        <v>0</v>
      </c>
      <c r="J56" s="1648">
        <f ca="1">SUM('ES lėšos'!H56)</f>
        <v>0</v>
      </c>
      <c r="K56" s="1647" t="str">
        <f t="shared" ca="1" si="2"/>
        <v>finansavimas dar neskirtas</v>
      </c>
      <c r="L56" s="1649" t="str">
        <f ca="1">IF(J56&gt;0,'ketv. 6 '!AF74/'ketv. 6 '!L74,"finansavimas dar neskirtas")</f>
        <v>finansavimas dar neskirtas</v>
      </c>
      <c r="M56" s="1657"/>
      <c r="N56" s="1651">
        <f>IF('ketv. 5 '!S74=0,'ketv. 5 '!R74,'ketv. 5 '!S74)</f>
        <v>44377</v>
      </c>
      <c r="O56" s="1657"/>
      <c r="P56" s="1657"/>
      <c r="Q56" s="1658"/>
      <c r="R56" s="1648">
        <f>SUM('ketv. 7 '!AK72)</f>
        <v>0</v>
      </c>
      <c r="S56" s="1648">
        <f>SUMIF('mokėjimų ataskaita'!I67:I654,C56,'mokėjimų ataskaita'!AK67:AK654)/2</f>
        <v>0</v>
      </c>
      <c r="T56" s="1648">
        <f>SUMIF('mokėjimų ataskaita'!I67:I654,C56,'mokėjimų ataskaita'!BS67:BS654)/2</f>
        <v>0</v>
      </c>
      <c r="U56" s="1649" t="str">
        <f t="shared" ca="1" si="4"/>
        <v>finansavimas dar neskirtas</v>
      </c>
      <c r="V56" s="1758"/>
      <c r="W56" s="1763"/>
      <c r="X56" s="1762"/>
      <c r="Y56" s="1641"/>
      <c r="Z56" s="1641"/>
    </row>
    <row r="57" spans="1:26" ht="36" x14ac:dyDescent="0.2">
      <c r="A57" s="1646">
        <f>SUM('ES lėšos'!A57)</f>
        <v>56</v>
      </c>
      <c r="B57" s="1641" t="str">
        <f>CONCATENATE('ES lėšos'!C57)</f>
        <v>04.5.1-TID-R-518</v>
      </c>
      <c r="C57" s="1646" t="str">
        <f>CONCATENATE('ketv. 6 '!C75)</f>
        <v>-</v>
      </c>
      <c r="D57" s="1641" t="str">
        <f>CONCATENATE('ES lėšos'!B57)</f>
        <v>Vietinio susisiekimo transporto priemonių įsigijimas</v>
      </c>
      <c r="E57" s="1641" t="str">
        <f>CONCATENATE('ES lėšos'!D57)</f>
        <v>Alytaus rajono savivaldybės administracija</v>
      </c>
      <c r="F57" s="1641" t="str">
        <f>CONCATENATE('ES lėšos'!E57)</f>
        <v>Alytaus r. sav.</v>
      </c>
      <c r="G57" s="1653">
        <v>43279</v>
      </c>
      <c r="H57" s="1646" t="s">
        <v>1893</v>
      </c>
      <c r="I57" s="1647">
        <f>SUM('ES lėšos'!G57)</f>
        <v>277249</v>
      </c>
      <c r="J57" s="1648">
        <f ca="1">SUM('ES lėšos'!H57)</f>
        <v>0</v>
      </c>
      <c r="K57" s="1647" t="str">
        <f t="shared" ca="1" si="2"/>
        <v>finansavimas dar neskirtas</v>
      </c>
      <c r="L57" s="1649" t="str">
        <f ca="1">IF(J57&gt;0,'ketv. 6 '!AF75/'ketv. 6 '!L75,"finansavimas dar neskirtas")</f>
        <v>finansavimas dar neskirtas</v>
      </c>
      <c r="M57" s="1657"/>
      <c r="N57" s="1651">
        <f>IF('ketv. 5 '!S75=0,'ketv. 5 '!R75,'ketv. 5 '!S75)</f>
        <v>43920</v>
      </c>
      <c r="O57" s="1657"/>
      <c r="P57" s="1657"/>
      <c r="Q57" s="1658"/>
      <c r="R57" s="1648">
        <f>SUM('ketv. 7 '!AK73)</f>
        <v>0</v>
      </c>
      <c r="S57" s="1648">
        <f>SUMIF('mokėjimų ataskaita'!I68:I655,C57,'mokėjimų ataskaita'!AK68:AK655)/2</f>
        <v>0</v>
      </c>
      <c r="T57" s="1648">
        <f>SUMIF('mokėjimų ataskaita'!I68:I655,C57,'mokėjimų ataskaita'!BS68:BS655)/2</f>
        <v>0</v>
      </c>
      <c r="U57" s="1649" t="str">
        <f t="shared" ref="U57:U88" ca="1" si="7">IF(J57&gt;0,R57/J57,"finansavimas dar neskirtas")</f>
        <v>finansavimas dar neskirtas</v>
      </c>
      <c r="V57" s="1758"/>
      <c r="W57" s="1763"/>
      <c r="X57" s="1762"/>
      <c r="Y57" s="1641"/>
      <c r="Z57" s="1641"/>
    </row>
    <row r="58" spans="1:26" ht="36" x14ac:dyDescent="0.2">
      <c r="A58" s="1646">
        <f>SUM('ES lėšos'!A58)</f>
        <v>57</v>
      </c>
      <c r="B58" s="1641" t="str">
        <f>CONCATENATE('ES lėšos'!C58)</f>
        <v>04.5.1-TID-R-518</v>
      </c>
      <c r="C58" s="1646" t="str">
        <f>CONCATENATE('ketv. 2'!B76)</f>
        <v>04.5.1-TID-R-518-11-0002</v>
      </c>
      <c r="D58" s="1641" t="str">
        <f>CONCATENATE('ES lėšos'!B58)</f>
        <v>Ekologiškų transporto priemonių įsigijimas Druskininkų savivaldybėje</v>
      </c>
      <c r="E58" s="1641" t="str">
        <f>CONCATENATE('ES lėšos'!D58)</f>
        <v xml:space="preserve">Druskininkų savivaldybės administracija  </v>
      </c>
      <c r="F58" s="1641" t="str">
        <f>CONCATENATE('ES lėšos'!E58)</f>
        <v>Druskininkų sav.</v>
      </c>
      <c r="G58" s="1653">
        <v>43081</v>
      </c>
      <c r="H58" s="1646" t="s">
        <v>1901</v>
      </c>
      <c r="I58" s="1647">
        <f>SUM('ES lėšos'!G58)</f>
        <v>417548</v>
      </c>
      <c r="J58" s="1648">
        <f ca="1">SUM('ES lėšos'!H58)</f>
        <v>0</v>
      </c>
      <c r="K58" s="1647" t="str">
        <f t="shared" ca="1" si="2"/>
        <v>finansavimas dar neskirtas</v>
      </c>
      <c r="L58" s="1649" t="str">
        <f ca="1">IF(J58&gt;0,'ketv. 6 '!AF76/'ketv. 6 '!L76,"finansavimas dar neskirtas")</f>
        <v>finansavimas dar neskirtas</v>
      </c>
      <c r="M58" s="1657"/>
      <c r="N58" s="1651">
        <f>IF('ketv. 5 '!S76=0,'ketv. 5 '!R76,'ketv. 5 '!S76)</f>
        <v>43830</v>
      </c>
      <c r="O58" s="1657"/>
      <c r="P58" s="1657"/>
      <c r="Q58" s="1658"/>
      <c r="R58" s="1648">
        <f>SUM('ketv. 7 '!AK74)</f>
        <v>0</v>
      </c>
      <c r="S58" s="1648">
        <f>SUMIF('mokėjimų ataskaita'!I69:I656,C58,'mokėjimų ataskaita'!AK69:AK656)/2</f>
        <v>0</v>
      </c>
      <c r="T58" s="1648">
        <f>SUMIF('mokėjimų ataskaita'!I69:I656,C58,'mokėjimų ataskaita'!BS69:BS656)/2</f>
        <v>0</v>
      </c>
      <c r="U58" s="1649" t="str">
        <f t="shared" ca="1" si="7"/>
        <v>finansavimas dar neskirtas</v>
      </c>
      <c r="V58" s="1758"/>
      <c r="W58" s="1763" t="s">
        <v>1968</v>
      </c>
      <c r="X58" s="1762" t="s">
        <v>1947</v>
      </c>
      <c r="Y58" s="1641"/>
      <c r="Z58" s="1641"/>
    </row>
    <row r="59" spans="1:26" ht="36" x14ac:dyDescent="0.2">
      <c r="A59" s="1646">
        <f>SUM('ES lėšos'!A59)</f>
        <v>58</v>
      </c>
      <c r="B59" s="1641" t="str">
        <f>CONCATENATE('ES lėšos'!C59)</f>
        <v>04.5.1-TID-R-518</v>
      </c>
      <c r="C59" s="1646" t="str">
        <f>CONCATENATE('ketv. 2'!B77)</f>
        <v>04.5.1-TID-R-518-11-0001</v>
      </c>
      <c r="D59" s="1641" t="str">
        <f>CONCATENATE('ES lėšos'!B59)</f>
        <v>Ekologiškų transporto priemonių įsigijimas  Lazdijų rajono savivaldybėje</v>
      </c>
      <c r="E59" s="1641" t="str">
        <f>CONCATENATE('ES lėšos'!D59)</f>
        <v>Lazdijų rajono savivaldybės administracija</v>
      </c>
      <c r="F59" s="1641" t="str">
        <f>CONCATENATE('ES lėšos'!E59)</f>
        <v>Lazdijų r. sav.</v>
      </c>
      <c r="G59" s="1653">
        <v>42934</v>
      </c>
      <c r="H59" s="1646" t="s">
        <v>1900</v>
      </c>
      <c r="I59" s="1647">
        <f>SUM('ES lėšos'!G59)</f>
        <v>223297</v>
      </c>
      <c r="J59" s="1648">
        <f ca="1">SUM('ES lėšos'!H59)</f>
        <v>0</v>
      </c>
      <c r="K59" s="1647" t="str">
        <f t="shared" ca="1" si="2"/>
        <v>finansavimas dar neskirtas</v>
      </c>
      <c r="L59" s="1649" t="str">
        <f ca="1">IF(J59&gt;0,'ketv. 6 '!AF77/'ketv. 6 '!L77,"finansavimas dar neskirtas")</f>
        <v>finansavimas dar neskirtas</v>
      </c>
      <c r="M59" s="1657"/>
      <c r="N59" s="1651">
        <f>IF('ketv. 5 '!S77=0,'ketv. 5 '!R77,'ketv. 5 '!S77)</f>
        <v>44165</v>
      </c>
      <c r="O59" s="1657"/>
      <c r="P59" s="1657"/>
      <c r="Q59" s="1658"/>
      <c r="R59" s="1648">
        <f>SUM('ketv. 7 '!AK75)</f>
        <v>0</v>
      </c>
      <c r="S59" s="1648">
        <f>SUMIF('mokėjimų ataskaita'!I70:I657,C59,'mokėjimų ataskaita'!AK70:AK657)/2</f>
        <v>0</v>
      </c>
      <c r="T59" s="1648">
        <f>SUMIF('mokėjimų ataskaita'!I70:I657,C59,'mokėjimų ataskaita'!BS70:BS657)/2</f>
        <v>0</v>
      </c>
      <c r="U59" s="1649" t="str">
        <f t="shared" ca="1" si="7"/>
        <v>finansavimas dar neskirtas</v>
      </c>
      <c r="V59" s="1758"/>
      <c r="W59" s="1763" t="s">
        <v>1968</v>
      </c>
      <c r="X59" s="1762" t="s">
        <v>1946</v>
      </c>
      <c r="Y59" s="1641"/>
      <c r="Z59" s="1641"/>
    </row>
    <row r="60" spans="1:26" ht="36" x14ac:dyDescent="0.2">
      <c r="A60" s="1646">
        <f>SUM('ES lėšos'!A60)</f>
        <v>59</v>
      </c>
      <c r="B60" s="1641" t="str">
        <f>CONCATENATE('ES lėšos'!C60)</f>
        <v>04.5.1.-TID-R-514</v>
      </c>
      <c r="C60" s="1646" t="str">
        <f>CONCATENATE('ketv. 6 '!C79)</f>
        <v>-</v>
      </c>
      <c r="D60" s="1641" t="str">
        <f>CONCATENATE('ES lėšos'!B60)</f>
        <v>Darnaus judumo priemonių diegimas Alytaus mieste</v>
      </c>
      <c r="E60" s="1641" t="str">
        <f>CONCATENATE('ES lėšos'!D60)</f>
        <v>Alytaus miesto savivaldybės administracija</v>
      </c>
      <c r="F60" s="1641" t="str">
        <f>CONCATENATE('ES lėšos'!E60)</f>
        <v>Alytaus m. sav.</v>
      </c>
      <c r="G60" s="1653">
        <v>43377</v>
      </c>
      <c r="H60" s="1646" t="s">
        <v>1904</v>
      </c>
      <c r="I60" s="1647">
        <f>SUM('ES lėšos'!G60)</f>
        <v>971949</v>
      </c>
      <c r="J60" s="1648">
        <f ca="1">SUM('ES lėšos'!H60)</f>
        <v>0</v>
      </c>
      <c r="K60" s="1647" t="str">
        <f t="shared" ca="1" si="2"/>
        <v>finansavimas dar neskirtas</v>
      </c>
      <c r="L60" s="1649" t="str">
        <f ca="1">IF(J60&gt;0,'ketv. 6 '!AF79/'ketv. 6 '!L79,"finansavimas dar neskirtas")</f>
        <v>finansavimas dar neskirtas</v>
      </c>
      <c r="M60" s="1657"/>
      <c r="N60" s="1651">
        <f>IF('ketv. 5 '!S79=0,'ketv. 5 '!R79,'ketv. 5 '!S79)</f>
        <v>44346</v>
      </c>
      <c r="O60" s="1657"/>
      <c r="P60" s="1657"/>
      <c r="Q60" s="1658"/>
      <c r="R60" s="1648">
        <f>SUM('ketv. 7 '!AK78)</f>
        <v>0</v>
      </c>
      <c r="S60" s="1648">
        <f>SUMIF('mokėjimų ataskaita'!I71:I658,C60,'mokėjimų ataskaita'!AK71:AK658)/2</f>
        <v>0</v>
      </c>
      <c r="T60" s="1648">
        <f>SUMIF('mokėjimų ataskaita'!I71:I658,C60,'mokėjimų ataskaita'!BS71:BS658)/2</f>
        <v>0</v>
      </c>
      <c r="U60" s="1649" t="str">
        <f t="shared" ca="1" si="7"/>
        <v>finansavimas dar neskirtas</v>
      </c>
      <c r="V60" s="1758"/>
      <c r="W60" s="1763"/>
      <c r="X60" s="1762"/>
      <c r="Y60" s="1641"/>
      <c r="Z60" s="1641"/>
    </row>
    <row r="61" spans="1:26" ht="36" x14ac:dyDescent="0.2">
      <c r="A61" s="1646">
        <f>SUM('ES lėšos'!A61)</f>
        <v>60</v>
      </c>
      <c r="B61" s="1641" t="str">
        <f>CONCATENATE('ES lėšos'!C61)</f>
        <v>04.5.1.-TID-R-514</v>
      </c>
      <c r="C61" s="1646" t="str">
        <f>CONCATENATE('ketv. 6 '!C81)</f>
        <v>-</v>
      </c>
      <c r="D61" s="1641" t="str">
        <f>CONCATENATE('ES lėšos'!B61)</f>
        <v>Intelektinių transporto sistemų diegimas Druskininkuose</v>
      </c>
      <c r="E61" s="1641" t="str">
        <f>CONCATENATE('ES lėšos'!D61)</f>
        <v>Druskininkų savivaldybės administracija</v>
      </c>
      <c r="F61" s="1641" t="str">
        <f>CONCATENATE('ES lėšos'!E61)</f>
        <v>Druskininkų sav.</v>
      </c>
      <c r="G61" s="1653">
        <v>43291</v>
      </c>
      <c r="H61" s="1646" t="s">
        <v>1902</v>
      </c>
      <c r="I61" s="1647">
        <f>SUM('ES lėšos'!G61)</f>
        <v>136710.79999999999</v>
      </c>
      <c r="J61" s="1648">
        <f ca="1">SUM('ES lėšos'!H61)</f>
        <v>0</v>
      </c>
      <c r="K61" s="1647" t="str">
        <f t="shared" ca="1" si="2"/>
        <v>finansavimas dar neskirtas</v>
      </c>
      <c r="L61" s="1649" t="str">
        <f ca="1">IF(J61&gt;0,'ketv. 6 '!AF81/'ketv. 6 '!L81,"finansavimas dar neskirtas")</f>
        <v>finansavimas dar neskirtas</v>
      </c>
      <c r="M61" s="1657"/>
      <c r="N61" s="1651">
        <f>IF('ketv. 5 '!S81=0,'ketv. 5 '!R81,'ketv. 5 '!S81)</f>
        <v>44136</v>
      </c>
      <c r="O61" s="1657"/>
      <c r="P61" s="1657"/>
      <c r="Q61" s="1658"/>
      <c r="R61" s="1648">
        <f>SUM('ketv. 7 '!AK80)</f>
        <v>0</v>
      </c>
      <c r="S61" s="1648">
        <f>SUMIF('mokėjimų ataskaita'!I72:I659,C61,'mokėjimų ataskaita'!AK72:AK659)/2</f>
        <v>0</v>
      </c>
      <c r="T61" s="1648">
        <f>SUMIF('mokėjimų ataskaita'!I72:I659,C61,'mokėjimų ataskaita'!BS72:BS659)/2</f>
        <v>0</v>
      </c>
      <c r="U61" s="1649" t="str">
        <f t="shared" ca="1" si="7"/>
        <v>finansavimas dar neskirtas</v>
      </c>
      <c r="V61" s="1758"/>
      <c r="W61" s="1763"/>
      <c r="X61" s="1762"/>
      <c r="Y61" s="1641"/>
      <c r="Z61" s="1641"/>
    </row>
    <row r="62" spans="1:26" ht="48" x14ac:dyDescent="0.2">
      <c r="A62" s="1646">
        <f>SUM('ES lėšos'!A62)</f>
        <v>61</v>
      </c>
      <c r="B62" s="1641" t="str">
        <f>CONCATENATE('ES lėšos'!C62)</f>
        <v>04.5.1.-TID-R-514</v>
      </c>
      <c r="C62" s="1646" t="str">
        <f>CONCATENATE('ketv. 6 '!C83)</f>
        <v>-</v>
      </c>
      <c r="D62" s="1641" t="str">
        <f>CONCATENATE('ES lėšos'!B62)</f>
        <v>Viešojo transporto organizavimo tobulinimas rekonstruojant Druskininkų miesto gatvių infrastruktūrą</v>
      </c>
      <c r="E62" s="1641" t="str">
        <f>CONCATENATE('ES lėšos'!D62)</f>
        <v>Druskininkų savivaldybės administracija</v>
      </c>
      <c r="F62" s="1641" t="str">
        <f>CONCATENATE('ES lėšos'!E62)</f>
        <v>Druskininkų sav.</v>
      </c>
      <c r="G62" s="1653">
        <v>43291</v>
      </c>
      <c r="H62" s="1646" t="s">
        <v>1894</v>
      </c>
      <c r="I62" s="1647">
        <f>SUM('ES lėšos'!G62)</f>
        <v>246500</v>
      </c>
      <c r="J62" s="1648">
        <f ca="1">SUM('ES lėšos'!H62)</f>
        <v>0</v>
      </c>
      <c r="K62" s="1647" t="str">
        <f t="shared" ca="1" si="2"/>
        <v>finansavimas dar neskirtas</v>
      </c>
      <c r="L62" s="1649" t="str">
        <f ca="1">IF(J62&gt;0,'ketv. 6 '!AF82/'ketv. 6 '!L82,"finansavimas dar neskirtas")</f>
        <v>finansavimas dar neskirtas</v>
      </c>
      <c r="M62" s="1657"/>
      <c r="N62" s="1651">
        <f>IF('ketv. 5 '!S83=0,'ketv. 5 '!R83,'ketv. 5 '!S83)</f>
        <v>43800</v>
      </c>
      <c r="O62" s="1657"/>
      <c r="P62" s="1657"/>
      <c r="Q62" s="1658"/>
      <c r="R62" s="1648">
        <f>SUM('ketv. 7 '!AK82)</f>
        <v>0</v>
      </c>
      <c r="S62" s="1648">
        <f>SUMIF('mokėjimų ataskaita'!I73:I660,C62,'mokėjimų ataskaita'!AK73:AK660)/2</f>
        <v>0</v>
      </c>
      <c r="T62" s="1648">
        <f>SUMIF('mokėjimų ataskaita'!I73:I660,C62,'mokėjimų ataskaita'!BS73:BS660)/2</f>
        <v>0</v>
      </c>
      <c r="U62" s="1649" t="str">
        <f t="shared" ca="1" si="7"/>
        <v>finansavimas dar neskirtas</v>
      </c>
      <c r="V62" s="1758"/>
      <c r="W62" s="1763"/>
      <c r="X62" s="1762"/>
      <c r="Y62" s="1641"/>
      <c r="Z62" s="1641"/>
    </row>
    <row r="63" spans="1:26" ht="36" x14ac:dyDescent="0.2">
      <c r="A63" s="1646">
        <f>SUM('ES lėšos'!A63)</f>
        <v>62</v>
      </c>
      <c r="B63" s="1641" t="str">
        <f>CONCATENATE('ES lėšos'!C63)</f>
        <v>04.5.1.-TID-R-514</v>
      </c>
      <c r="C63" s="1646" t="str">
        <f>CONCATENATE('ketv. 6 '!C84)</f>
        <v>-</v>
      </c>
      <c r="D63" s="1641" t="str">
        <f>CONCATENATE('ES lėšos'!B63)</f>
        <v>Vandens transporto infrastruktūros įrengimas skatinant kitų rūšių transportą</v>
      </c>
      <c r="E63" s="1641" t="str">
        <f>CONCATENATE('ES lėšos'!D63)</f>
        <v>Druskininkų savivaldybės administracija</v>
      </c>
      <c r="F63" s="1641" t="str">
        <f>CONCATENATE('ES lėšos'!E63)</f>
        <v>Druskininkų sav.</v>
      </c>
      <c r="G63" s="1653">
        <v>43291</v>
      </c>
      <c r="H63" s="1646" t="s">
        <v>1903</v>
      </c>
      <c r="I63" s="1647">
        <f>SUM('ES lėšos'!G63)</f>
        <v>212500</v>
      </c>
      <c r="J63" s="1648">
        <f ca="1">SUM('ES lėšos'!H63)</f>
        <v>0</v>
      </c>
      <c r="K63" s="1647" t="str">
        <f t="shared" ca="1" si="2"/>
        <v>finansavimas dar neskirtas</v>
      </c>
      <c r="L63" s="1649" t="str">
        <f ca="1">IF(J63&gt;0,'ketv. 6 '!AF83/'ketv. 6 '!L83,"finansavimas dar neskirtas")</f>
        <v>finansavimas dar neskirtas</v>
      </c>
      <c r="M63" s="1657"/>
      <c r="N63" s="1651">
        <f>IF('ketv. 5 '!S84=0,'ketv. 5 '!R84,'ketv. 5 '!S84)</f>
        <v>44501</v>
      </c>
      <c r="O63" s="1657"/>
      <c r="P63" s="1657"/>
      <c r="Q63" s="1658"/>
      <c r="R63" s="1648">
        <f>SUM('ketv. 7 '!AK83)</f>
        <v>0</v>
      </c>
      <c r="S63" s="1648">
        <f>SUMIF('mokėjimų ataskaita'!I74:I661,C63,'mokėjimų ataskaita'!AK74:AK661)/2</f>
        <v>0</v>
      </c>
      <c r="T63" s="1648">
        <f>SUMIF('mokėjimų ataskaita'!I74:I661,C63,'mokėjimų ataskaita'!BS74:BS661)/2</f>
        <v>0</v>
      </c>
      <c r="U63" s="1649" t="str">
        <f t="shared" ca="1" si="7"/>
        <v>finansavimas dar neskirtas</v>
      </c>
      <c r="V63" s="1758"/>
      <c r="W63" s="1763"/>
      <c r="X63" s="1762"/>
      <c r="Y63" s="1641"/>
      <c r="Z63" s="1641"/>
    </row>
    <row r="64" spans="1:26" ht="36" x14ac:dyDescent="0.2">
      <c r="A64" s="1646">
        <f>SUM('ES lėšos'!A64)</f>
        <v>63</v>
      </c>
      <c r="B64" s="1641" t="str">
        <f>CONCATENATE('ES lėšos'!C64)</f>
        <v>04.5.1-TID-R-516</v>
      </c>
      <c r="C64" s="1641" t="str">
        <f>CONCATENATE('ketv. 6 '!C86)</f>
        <v>04.5.1-TID-R-516-11-0004</v>
      </c>
      <c r="D64" s="1641" t="str">
        <f>CONCATENATE('ES lėšos'!B64)</f>
        <v>Dviračių ir pėsčiųjų takų įrengimas Varėnos miesto J. Basanavičiaus ir Žiedo gatvėse</v>
      </c>
      <c r="E64" s="1641" t="str">
        <f>CONCATENATE('ES lėšos'!D64)</f>
        <v>Varėnos rajono savivaldybės administracija</v>
      </c>
      <c r="F64" s="1641" t="str">
        <f>CONCATENATE('ES lėšos'!E64)</f>
        <v>Varėnos r. sav.</v>
      </c>
      <c r="G64" s="1653">
        <v>42703</v>
      </c>
      <c r="H64" s="1646" t="s">
        <v>1885</v>
      </c>
      <c r="I64" s="1647">
        <f>SUM('ES lėšos'!G64)</f>
        <v>80810</v>
      </c>
      <c r="J64" s="1648">
        <f ca="1">SUM('ES lėšos'!H64)</f>
        <v>80810</v>
      </c>
      <c r="K64" s="1647">
        <f t="shared" ca="1" si="2"/>
        <v>0</v>
      </c>
      <c r="L64" s="1649">
        <f ca="1">IF(J64&gt;0,'ketv. 6 '!AF86/'ketv. 6 '!L86,"finansavimas dar neskirtas")</f>
        <v>0.8499158603281447</v>
      </c>
      <c r="M64" s="1657">
        <f>SUMIF('sutarčių ataskaita'!$J$19:$J$600,C64,'sutarčių ataskaita'!$BP$19:$BP$600)</f>
        <v>44104</v>
      </c>
      <c r="N64" s="1651">
        <f>IF('ketv. 5 '!S86=0,'ketv. 5 '!R86,'ketv. 5 '!S86)</f>
        <v>43465</v>
      </c>
      <c r="O64" s="1657">
        <f>SUMIF('sutarčių ataskaita'!$J$19:$J$600,C64,'sutarčių ataskaita'!$BO$19:$BO$600)</f>
        <v>42878</v>
      </c>
      <c r="P64" s="1657">
        <f>SUMIF('sutarčių ataskaita'!$J$19:$J$600,C64,'sutarčių ataskaita'!$L$19:$L$600)</f>
        <v>43193</v>
      </c>
      <c r="Q64" s="1658">
        <f>SUM((M64-P64)/(365/12))</f>
        <v>29.950684931506849</v>
      </c>
      <c r="R64" s="1648">
        <f>SUM('ketv. 7 '!AK85)</f>
        <v>0</v>
      </c>
      <c r="S64" s="1648">
        <f>SUMIF('mokėjimų ataskaita'!I13:I600,C64,'mokėjimų ataskaita'!AK13:AK600)/2</f>
        <v>0</v>
      </c>
      <c r="T64" s="1648">
        <f>SUMIF('mokėjimų ataskaita'!I13:I600,C64,'mokėjimų ataskaita'!BS13:BS600)/2</f>
        <v>0</v>
      </c>
      <c r="U64" s="1649">
        <f t="shared" ca="1" si="7"/>
        <v>0</v>
      </c>
      <c r="V64" s="1758"/>
      <c r="W64" s="1758" t="s">
        <v>1940</v>
      </c>
      <c r="X64" s="1762" t="s">
        <v>1943</v>
      </c>
      <c r="Y64" s="1641"/>
      <c r="Z64" s="1641"/>
    </row>
    <row r="65" spans="1:26" ht="48" x14ac:dyDescent="0.2">
      <c r="A65" s="1646">
        <f>SUM('ES lėšos'!A65)</f>
        <v>64</v>
      </c>
      <c r="B65" s="1641" t="str">
        <f>CONCATENATE('ES lėšos'!C65)</f>
        <v>04.5.1-TID-R-516</v>
      </c>
      <c r="C65" s="1641" t="str">
        <f>CONCATENATE('ketv. 6 '!C87)</f>
        <v>04.5.1-TID-R-516-11-0001</v>
      </c>
      <c r="D65" s="1641" t="str">
        <f>CONCATENATE('ES lėšos'!B65)</f>
        <v>Dviračių trasų infrastruktūros įrengimas nuo Putinų g. žiedo Pramonės gatvėje, Alytaus mieste</v>
      </c>
      <c r="E65" s="1641" t="str">
        <f>CONCATENATE('ES lėšos'!D65)</f>
        <v>Alytaus miesto savivaldybės administracija</v>
      </c>
      <c r="F65" s="1641" t="str">
        <f>CONCATENATE('ES lėšos'!E65)</f>
        <v>Alytaus m. sav.</v>
      </c>
      <c r="G65" s="1653">
        <v>42703</v>
      </c>
      <c r="H65" s="1646" t="s">
        <v>1905</v>
      </c>
      <c r="I65" s="1647">
        <f>SUM('ES lėšos'!G65)</f>
        <v>113619.56</v>
      </c>
      <c r="J65" s="1648">
        <f ca="1">SUM('ES lėšos'!H65)</f>
        <v>113619.56</v>
      </c>
      <c r="K65" s="1647">
        <f t="shared" ca="1" si="2"/>
        <v>0</v>
      </c>
      <c r="L65" s="1649">
        <f ca="1">IF(J65&gt;0,'ketv. 6 '!AF87/'ketv. 6 '!L87,"finansavimas dar neskirtas")</f>
        <v>0.85000000374055307</v>
      </c>
      <c r="M65" s="1657">
        <f>SUMIF('sutarčių ataskaita'!$J$19:$J$600,C65,'sutarčių ataskaita'!$BP$19:$BP$600)</f>
        <v>43343</v>
      </c>
      <c r="N65" s="1651">
        <f>IF('ketv. 5 '!S87=0,'ketv. 5 '!R87,'ketv. 5 '!S87)</f>
        <v>43465</v>
      </c>
      <c r="O65" s="1657">
        <f>SUMIF('sutarčių ataskaita'!$J$19:$J$600,C65,'sutarčių ataskaita'!$BO$19:$BO$600)</f>
        <v>42905</v>
      </c>
      <c r="P65" s="1657">
        <f>SUMIF('sutarčių ataskaita'!$J$19:$J$600,C65,'sutarčių ataskaita'!$L$19:$L$600)</f>
        <v>42991</v>
      </c>
      <c r="Q65" s="1658">
        <f t="shared" ref="Q65:Q128" si="8">SUM((M65-P65)/(365/12))</f>
        <v>11.572602739726028</v>
      </c>
      <c r="R65" s="1672">
        <f>SUM('ketv. 7 '!AK86)</f>
        <v>81782.259999999995</v>
      </c>
      <c r="S65" s="1648">
        <f>SUMIF('mokėjimų ataskaita'!$I$14:$I$601,C65,'mokėjimų ataskaita'!$AK$14:$AK$601)/2</f>
        <v>81782.259999999995</v>
      </c>
      <c r="T65" s="1648">
        <f>SUMIF('mokėjimų ataskaita'!I14:I601,C65,'mokėjimų ataskaita'!BS14:BS601)/2</f>
        <v>62183.95</v>
      </c>
      <c r="U65" s="1649">
        <f t="shared" ca="1" si="7"/>
        <v>0.71979032483491401</v>
      </c>
      <c r="V65" s="1758"/>
      <c r="W65" s="1758" t="s">
        <v>1940</v>
      </c>
      <c r="X65" s="1762" t="s">
        <v>1941</v>
      </c>
      <c r="Y65" s="1641"/>
      <c r="Z65" s="1641"/>
    </row>
    <row r="66" spans="1:26" ht="48" x14ac:dyDescent="0.2">
      <c r="A66" s="1646">
        <f>SUM('ES lėšos'!A66)</f>
        <v>65</v>
      </c>
      <c r="B66" s="1641" t="str">
        <f>CONCATENATE('ES lėšos'!C66)</f>
        <v>04.5.1-TID-R-516</v>
      </c>
      <c r="C66" s="1641" t="str">
        <f>CONCATENATE('ketv. 6 '!C88)</f>
        <v>04.5.1-TID-R-516-11-0002</v>
      </c>
      <c r="D66" s="1641" t="str">
        <f>CONCATENATE('ES lėšos'!B66)</f>
        <v>Dviračių ir pėsčiųjų takų plėtra Lazdijų miesto Turistų gatvėje iki sodų bendrijos „Baltasis“ Lazdijų seniūnijoje</v>
      </c>
      <c r="E66" s="1641" t="str">
        <f>CONCATENATE('ES lėšos'!D66)</f>
        <v>Lazdijų rajono savivaldybės administracija</v>
      </c>
      <c r="F66" s="1641" t="str">
        <f>CONCATENATE('ES lėšos'!E66)</f>
        <v>Lazdijų r. sav.</v>
      </c>
      <c r="G66" s="1653">
        <v>42703</v>
      </c>
      <c r="H66" s="1646" t="s">
        <v>1886</v>
      </c>
      <c r="I66" s="1647">
        <f>SUM('ES lėšos'!G66)</f>
        <v>73501</v>
      </c>
      <c r="J66" s="1648">
        <f ca="1">SUM('ES lėšos'!H66)</f>
        <v>73501</v>
      </c>
      <c r="K66" s="1647">
        <f t="shared" ca="1" si="2"/>
        <v>0</v>
      </c>
      <c r="L66" s="1649">
        <f ca="1">IF(J66&gt;0,'ketv. 6 '!AF88/'ketv. 6 '!L88,"finansavimas dar neskirtas")</f>
        <v>0.78243811211642689</v>
      </c>
      <c r="M66" s="1657">
        <f>SUMIF('sutarčių ataskaita'!$J$19:$J$600,C66,'sutarčių ataskaita'!$BP$19:$BP$600)</f>
        <v>43465</v>
      </c>
      <c r="N66" s="1651">
        <f>IF('ketv. 5 '!S88=0,'ketv. 5 '!R88,'ketv. 5 '!S88)</f>
        <v>43830</v>
      </c>
      <c r="O66" s="1657">
        <f>SUMIF('sutarčių ataskaita'!$J$19:$J$600,C66,'sutarčių ataskaita'!$BO$19:$BO$600)</f>
        <v>42773</v>
      </c>
      <c r="P66" s="1657">
        <f>SUMIF('sutarčių ataskaita'!$J$19:$J$600,C66,'sutarčių ataskaita'!$L$19:$L$600)</f>
        <v>43119</v>
      </c>
      <c r="Q66" s="1658">
        <f t="shared" si="8"/>
        <v>11.375342465753425</v>
      </c>
      <c r="R66" s="1648">
        <f>SUM('ketv. 7 '!AK87)</f>
        <v>1988.6799999999998</v>
      </c>
      <c r="S66" s="1648">
        <f>SUMIF('mokėjimų ataskaita'!$I$14:$I$601,C66,'mokėjimų ataskaita'!$AK$14:$AK$601)/2</f>
        <v>1988.6799999999998</v>
      </c>
      <c r="T66" s="1648">
        <f>SUMIF('mokėjimų ataskaita'!I15:I602,C66,'mokėjimų ataskaita'!BS15:BS602)/2</f>
        <v>1988.6799999999998</v>
      </c>
      <c r="U66" s="1649">
        <f t="shared" ca="1" si="7"/>
        <v>2.7056502632617239E-2</v>
      </c>
      <c r="V66" s="1758"/>
      <c r="W66" s="1758" t="s">
        <v>1940</v>
      </c>
      <c r="X66" s="1762" t="s">
        <v>1942</v>
      </c>
      <c r="Y66" s="1641"/>
      <c r="Z66" s="1641"/>
    </row>
    <row r="67" spans="1:26" ht="36" x14ac:dyDescent="0.2">
      <c r="A67" s="1646">
        <f>SUM('ES lėšos'!A67)</f>
        <v>66</v>
      </c>
      <c r="B67" s="1641" t="str">
        <f>CONCATENATE('ES lėšos'!C67)</f>
        <v>04.5.1-TID-R-516</v>
      </c>
      <c r="C67" s="1641" t="str">
        <f>CONCATENATE('ketv. 6 '!C89)</f>
        <v>04.5.1-TID-R-516-11-0005</v>
      </c>
      <c r="D67" s="1641" t="str">
        <f>CONCATENATE('ES lėšos'!B67)</f>
        <v>Pėsčiųjų ir dviračių takų plėtra Simno seniūnijoje</v>
      </c>
      <c r="E67" s="1641" t="str">
        <f>CONCATENATE('ES lėšos'!D67)</f>
        <v>Alytaus rajono savivaldybės administracija</v>
      </c>
      <c r="F67" s="1641" t="str">
        <f>CONCATENATE('ES lėšos'!E67)</f>
        <v>Alytaus r. sav.</v>
      </c>
      <c r="G67" s="1653">
        <v>42724</v>
      </c>
      <c r="H67" s="1646" t="s">
        <v>1900</v>
      </c>
      <c r="I67" s="1647">
        <f>SUM('ES lėšos'!G67)</f>
        <v>84107.13</v>
      </c>
      <c r="J67" s="1648">
        <f ca="1">SUM('ES lėšos'!H67)</f>
        <v>84107.13</v>
      </c>
      <c r="K67" s="1647">
        <f t="shared" ref="K67:K130" ca="1" si="9">IF(J67&gt;0,I67-J67,"finansavimas dar neskirtas")</f>
        <v>0</v>
      </c>
      <c r="L67" s="1649">
        <f ca="1">IF(J67&gt;0,'ketv. 6 '!AF89/'ketv. 6 '!L89,"finansavimas dar neskirtas")</f>
        <v>0.85000004042463662</v>
      </c>
      <c r="M67" s="1657">
        <f>SUMIF('sutarčių ataskaita'!$J$19:$J$600,C67,'sutarčių ataskaita'!$BP$19:$BP$600)</f>
        <v>43585</v>
      </c>
      <c r="N67" s="1651">
        <f>IF('ketv. 5 '!S89=0,'ketv. 5 '!R89,'ketv. 5 '!S89)</f>
        <v>43830</v>
      </c>
      <c r="O67" s="1657">
        <f>SUMIF('sutarčių ataskaita'!$J$19:$J$600,C67,'sutarčių ataskaita'!$BO$19:$BO$600)</f>
        <v>43126</v>
      </c>
      <c r="P67" s="1657">
        <f>SUMIF('sutarčių ataskaita'!$J$19:$J$600,C67,'sutarčių ataskaita'!$L$19:$L$600)</f>
        <v>43243</v>
      </c>
      <c r="Q67" s="1658">
        <f t="shared" si="8"/>
        <v>11.243835616438355</v>
      </c>
      <c r="R67" s="1672">
        <f>SUM('ketv. 7 '!AK88)</f>
        <v>14347.49</v>
      </c>
      <c r="S67" s="1648">
        <f>SUMIF('mokėjimų ataskaita'!$I$14:$I$601,C67,'mokėjimų ataskaita'!$AK$14:$AK$601)/2</f>
        <v>14347.49</v>
      </c>
      <c r="T67" s="1648">
        <f>SUMIF('mokėjimų ataskaita'!I16:I603,C67,'mokėjimų ataskaita'!BS16:BS603)/2</f>
        <v>0</v>
      </c>
      <c r="U67" s="1649">
        <f t="shared" ca="1" si="7"/>
        <v>0.17058589444200509</v>
      </c>
      <c r="V67" s="1758"/>
      <c r="W67" s="1758" t="s">
        <v>1940</v>
      </c>
      <c r="X67" s="1762" t="s">
        <v>1944</v>
      </c>
      <c r="Y67" s="1641"/>
      <c r="Z67" s="1641"/>
    </row>
    <row r="68" spans="1:26" ht="48" x14ac:dyDescent="0.2">
      <c r="A68" s="1646">
        <f>SUM('ES lėšos'!A68)</f>
        <v>67</v>
      </c>
      <c r="B68" s="1641" t="str">
        <f>CONCATENATE('ES lėšos'!C68)</f>
        <v>04.5.1-TID-R-516</v>
      </c>
      <c r="C68" s="1646" t="str">
        <f>CONCATENATE('ketv. 6 '!C90)</f>
        <v>-</v>
      </c>
      <c r="D68" s="1641" t="str">
        <f>CONCATENATE('ES lėšos'!B68)</f>
        <v>Dviračių ir pėsčiųjų tako, esančio šalia Ratnyčios upelio, Druskininkų mieste, rekonstrukcija</v>
      </c>
      <c r="E68" s="1641" t="str">
        <f>CONCATENATE('ES lėšos'!D68)</f>
        <v xml:space="preserve">Druskininkų savivaldybės administracija  </v>
      </c>
      <c r="F68" s="1641" t="str">
        <f>CONCATENATE('ES lėšos'!E68)</f>
        <v>Druskininkų sav.</v>
      </c>
      <c r="G68" s="1653">
        <v>42724</v>
      </c>
      <c r="H68" s="1646" t="s">
        <v>1906</v>
      </c>
      <c r="I68" s="1647">
        <f>SUM('ES lėšos'!G68)</f>
        <v>56623</v>
      </c>
      <c r="J68" s="1648">
        <f ca="1">SUM('ES lėšos'!H68)</f>
        <v>0</v>
      </c>
      <c r="K68" s="1647" t="str">
        <f t="shared" ca="1" si="9"/>
        <v>finansavimas dar neskirtas</v>
      </c>
      <c r="L68" s="1649" t="str">
        <f ca="1">IF(J68&gt;0,'ketv. 6 '!AF90/'ketv. 6 '!L90,"finansavimas dar neskirtas")</f>
        <v>finansavimas dar neskirtas</v>
      </c>
      <c r="M68" s="1657"/>
      <c r="N68" s="1651">
        <f>IF('ketv. 5 '!S90=0,'ketv. 5 '!R90,'ketv. 5 '!S90)</f>
        <v>43997</v>
      </c>
      <c r="O68" s="1657"/>
      <c r="P68" s="1657"/>
      <c r="Q68" s="1658">
        <f t="shared" si="8"/>
        <v>0</v>
      </c>
      <c r="R68" s="1648">
        <f>SUM('ketv. 7 '!AK89)</f>
        <v>0</v>
      </c>
      <c r="S68" s="1648">
        <f>SUMIF('mokėjimų ataskaita'!$I$14:$I$601,C68,'mokėjimų ataskaita'!$AK$14:$AK$601)/2</f>
        <v>0</v>
      </c>
      <c r="T68" s="1648">
        <f>SUMIF('mokėjimų ataskaita'!I17:I604,C68,'mokėjimų ataskaita'!BS17:BS604)/2</f>
        <v>0</v>
      </c>
      <c r="U68" s="1649" t="str">
        <f t="shared" ca="1" si="7"/>
        <v>finansavimas dar neskirtas</v>
      </c>
      <c r="V68" s="1758"/>
      <c r="W68" s="1763"/>
      <c r="X68" s="1762"/>
      <c r="Y68" s="1641"/>
      <c r="Z68" s="1641"/>
    </row>
    <row r="69" spans="1:26" ht="36" x14ac:dyDescent="0.2">
      <c r="A69" s="1646">
        <f>SUM('ES lėšos'!A69)</f>
        <v>68</v>
      </c>
      <c r="B69" s="1641" t="str">
        <f>CONCATENATE('ES lėšos'!C69)</f>
        <v>06.2.1-TID-R-511</v>
      </c>
      <c r="C69" s="1641" t="str">
        <f>CONCATENATE('ketv. 6 '!C92)</f>
        <v>06.2.1-TID-R-511-11-0002</v>
      </c>
      <c r="D69" s="1641" t="str">
        <f>CONCATENATE('ES lėšos'!B69)</f>
        <v>Varėnos miesto J. Basanavičiaus, Savanorių ir M. K. Čiurlionio gatvių rekonstrukcija</v>
      </c>
      <c r="E69" s="1641" t="str">
        <f>CONCATENATE('ES lėšos'!D69)</f>
        <v>Varėnos rajono savivaldybės administracija</v>
      </c>
      <c r="F69" s="1641" t="str">
        <f>CONCATENATE('ES lėšos'!E69)</f>
        <v>Varėnos r. sav.</v>
      </c>
      <c r="G69" s="1653">
        <v>42696</v>
      </c>
      <c r="H69" s="1646" t="s">
        <v>1907</v>
      </c>
      <c r="I69" s="1647">
        <f>SUM('ES lėšos'!G69)</f>
        <v>710144</v>
      </c>
      <c r="J69" s="1648">
        <f ca="1">SUM('ES lėšos'!H69)</f>
        <v>710144</v>
      </c>
      <c r="K69" s="1647">
        <f t="shared" ca="1" si="9"/>
        <v>0</v>
      </c>
      <c r="L69" s="1649">
        <f ca="1">IF(J69&gt;0,'ketv. 6 '!AF92/'ketv. 6 '!L92,"finansavimas dar neskirtas")</f>
        <v>0.84999952122413414</v>
      </c>
      <c r="M69" s="1657">
        <f>SUMIF('sutarčių ataskaita'!$J$19:$J$600,C69,'sutarčių ataskaita'!$BP$19:$BP$600)</f>
        <v>44074</v>
      </c>
      <c r="N69" s="1651">
        <f>IF('ketv. 5 '!S92=0,'ketv. 5 '!R92,'ketv. 5 '!S92)</f>
        <v>44196</v>
      </c>
      <c r="O69" s="1657">
        <f>SUMIF('sutarčių ataskaita'!$J$19:$J$600,C69,'sutarčių ataskaita'!$BO$19:$BO$600)</f>
        <v>41975</v>
      </c>
      <c r="P69" s="1657">
        <f>SUMIF('sutarčių ataskaita'!$J$19:$J$600,C69,'sutarčių ataskaita'!$L$19:$L$600)</f>
        <v>42992</v>
      </c>
      <c r="Q69" s="1658">
        <f t="shared" si="8"/>
        <v>35.572602739726022</v>
      </c>
      <c r="R69" s="1648">
        <f>SUM('ketv. 7 '!AK91)</f>
        <v>496068.03</v>
      </c>
      <c r="S69" s="1648">
        <f>SUMIF('mokėjimų ataskaita'!$I$14:$I$601,C69,'mokėjimų ataskaita'!$AK$14:$AK$601)/2</f>
        <v>496068.03</v>
      </c>
      <c r="T69" s="1648">
        <f>SUMIF('mokėjimų ataskaita'!I18:I605,C69,'mokėjimų ataskaita'!BS18:BS605)/2</f>
        <v>373096.14</v>
      </c>
      <c r="U69" s="1649">
        <f t="shared" ca="1" si="7"/>
        <v>0.69854568932498207</v>
      </c>
      <c r="V69" s="1758"/>
      <c r="W69" s="1758" t="s">
        <v>1940</v>
      </c>
      <c r="X69" s="1762" t="s">
        <v>1943</v>
      </c>
      <c r="Y69" s="1641"/>
      <c r="Z69" s="1641"/>
    </row>
    <row r="70" spans="1:26" ht="36" x14ac:dyDescent="0.2">
      <c r="A70" s="1646">
        <f>SUM('ES lėšos'!A70)</f>
        <v>69</v>
      </c>
      <c r="B70" s="1641" t="str">
        <f>CONCATENATE('ES lėšos'!C70)</f>
        <v>06.2.1-TID-R-511</v>
      </c>
      <c r="C70" s="1641" t="str">
        <f>CONCATENATE('ketv. 6 '!C93)</f>
        <v>06.2.1-TID-R-511-11-0001</v>
      </c>
      <c r="D70" s="1641" t="str">
        <f>CONCATENATE('ES lėšos'!B70)</f>
        <v>Perspektyvinės gatvės nuo Pramonės g. iki Naujosios g. Alytuje įrengimas</v>
      </c>
      <c r="E70" s="1641" t="str">
        <f>CONCATENATE('ES lėšos'!D70)</f>
        <v>Alytaus miesto savivaldybės administracija</v>
      </c>
      <c r="F70" s="1641" t="str">
        <f>CONCATENATE('ES lėšos'!E70)</f>
        <v>Alytaus m. sav.</v>
      </c>
      <c r="G70" s="1653">
        <v>42710</v>
      </c>
      <c r="H70" s="1646" t="s">
        <v>1908</v>
      </c>
      <c r="I70" s="1647">
        <f>SUM('ES lėšos'!G70)</f>
        <v>747938</v>
      </c>
      <c r="J70" s="1648">
        <f ca="1">SUM('ES lėšos'!H70)</f>
        <v>747938</v>
      </c>
      <c r="K70" s="1647">
        <f t="shared" ca="1" si="9"/>
        <v>0</v>
      </c>
      <c r="L70" s="1649">
        <f ca="1">IF(J70&gt;0,'ketv. 6 '!AF93/'ketv. 6 '!L93,"finansavimas dar neskirtas")</f>
        <v>0.84999999886354216</v>
      </c>
      <c r="M70" s="1657">
        <f>SUMIF('sutarčių ataskaita'!$J$19:$J$600,C70,'sutarčių ataskaita'!$BP$19:$BP$600)</f>
        <v>43373</v>
      </c>
      <c r="N70" s="1651">
        <f>IF('ketv. 5 '!S93=0,'ketv. 5 '!R93,'ketv. 5 '!S93)</f>
        <v>43465</v>
      </c>
      <c r="O70" s="1657">
        <f>SUMIF('sutarčių ataskaita'!$J$19:$J$600,C70,'sutarčių ataskaita'!$BO$19:$BO$600)</f>
        <v>41751</v>
      </c>
      <c r="P70" s="1657">
        <f>SUMIF('sutarčių ataskaita'!$J$19:$J$600,C70,'sutarčių ataskaita'!$L$19:$L$600)</f>
        <v>42920</v>
      </c>
      <c r="Q70" s="1658">
        <f t="shared" si="8"/>
        <v>14.893150684931506</v>
      </c>
      <c r="R70" s="1648">
        <f>SUM('ketv. 7 '!AK92)</f>
        <v>669660.37</v>
      </c>
      <c r="S70" s="1648">
        <f>SUMIF('mokėjimų ataskaita'!$I$14:$I$601,C70,'mokėjimų ataskaita'!$AK$14:$AK$601)/2</f>
        <v>669660.37</v>
      </c>
      <c r="T70" s="1648">
        <f>SUMIF('mokėjimų ataskaita'!I19:I606,C70,'mokėjimų ataskaita'!BS19:BS606)/2</f>
        <v>659077.66</v>
      </c>
      <c r="U70" s="1649">
        <f t="shared" ca="1" si="7"/>
        <v>0.89534208717834896</v>
      </c>
      <c r="V70" s="1758"/>
      <c r="W70" s="1758" t="s">
        <v>1940</v>
      </c>
      <c r="X70" s="1762" t="s">
        <v>1962</v>
      </c>
      <c r="Y70" s="1641"/>
      <c r="Z70" s="1641"/>
    </row>
    <row r="71" spans="1:26" ht="36" x14ac:dyDescent="0.2">
      <c r="A71" s="1646">
        <f>SUM('ES lėšos'!A71)</f>
        <v>70</v>
      </c>
      <c r="B71" s="1641" t="str">
        <f>CONCATENATE('ES lėšos'!C71)</f>
        <v>06.2.1-TID-R-511</v>
      </c>
      <c r="C71" s="1641" t="str">
        <f>CONCATENATE('ketv. 2'!B94)</f>
        <v>06.2.1-TID-R-511-11-0008</v>
      </c>
      <c r="D71" s="1641" t="str">
        <f>CONCATENATE('ES lėšos'!B71)</f>
        <v>Saugaus eismo priemonių diegimas Alytaus mieste</v>
      </c>
      <c r="E71" s="1641" t="str">
        <f>CONCATENATE('ES lėšos'!D71)</f>
        <v>Alytaus miesto savivaldybės administracija</v>
      </c>
      <c r="F71" s="1641" t="str">
        <f>CONCATENATE('ES lėšos'!E71)</f>
        <v>Alytaus m. sav.</v>
      </c>
      <c r="G71" s="1653">
        <v>42691</v>
      </c>
      <c r="H71" s="1646" t="s">
        <v>1909</v>
      </c>
      <c r="I71" s="1647">
        <f>SUM('ES lėšos'!G71)</f>
        <v>250299</v>
      </c>
      <c r="J71" s="1648">
        <f ca="1">SUM('ES lėšos'!H71)</f>
        <v>0</v>
      </c>
      <c r="K71" s="1647" t="str">
        <f t="shared" ca="1" si="9"/>
        <v>finansavimas dar neskirtas</v>
      </c>
      <c r="L71" s="1649" t="str">
        <f ca="1">IF(J71&gt;0,'ketv. 6 '!AF94/'ketv. 6 '!L94,"finansavimas dar neskirtas")</f>
        <v>finansavimas dar neskirtas</v>
      </c>
      <c r="M71" s="1657"/>
      <c r="N71" s="1651">
        <f>IF('ketv. 5 '!S94=0,'ketv. 5 '!R94,'ketv. 5 '!S94)</f>
        <v>43829</v>
      </c>
      <c r="O71" s="1657"/>
      <c r="P71" s="1657"/>
      <c r="Q71" s="1658">
        <f t="shared" si="8"/>
        <v>0</v>
      </c>
      <c r="R71" s="1648">
        <f>SUM('ketv. 7 '!AK93)</f>
        <v>0</v>
      </c>
      <c r="S71" s="1648">
        <f>SUMIF('mokėjimų ataskaita'!$I$14:$I$601,C71,'mokėjimų ataskaita'!$AK$14:$AK$601)/2</f>
        <v>0</v>
      </c>
      <c r="T71" s="1648">
        <f>SUMIF('mokėjimų ataskaita'!I20:I607,C71,'mokėjimų ataskaita'!BS20:BS607)/2</f>
        <v>0</v>
      </c>
      <c r="U71" s="1649" t="str">
        <f t="shared" ca="1" si="7"/>
        <v>finansavimas dar neskirtas</v>
      </c>
      <c r="V71" s="1758"/>
      <c r="W71" s="1763" t="s">
        <v>1968</v>
      </c>
      <c r="X71" s="1762" t="s">
        <v>1965</v>
      </c>
      <c r="Y71" s="1641"/>
      <c r="Z71" s="1641"/>
    </row>
    <row r="72" spans="1:26" ht="36" x14ac:dyDescent="0.2">
      <c r="A72" s="1646">
        <f>SUM('ES lėšos'!A72)</f>
        <v>71</v>
      </c>
      <c r="B72" s="1641" t="str">
        <f>CONCATENATE('ES lėšos'!C72)</f>
        <v>06.2.1-TID-R-511</v>
      </c>
      <c r="C72" s="1641" t="str">
        <f>CONCATENATE('ketv. 6 '!C95)</f>
        <v>06.2.1-TID-R-511-11-0006</v>
      </c>
      <c r="D72" s="1641" t="str">
        <f>CONCATENATE('ES lėšos'!B72)</f>
        <v>Eismo saugos priemonių diegimas Alytaus rajone</v>
      </c>
      <c r="E72" s="1641" t="str">
        <f>CONCATENATE('ES lėšos'!D72)</f>
        <v>Alytaus rajono savivaldybės administracija</v>
      </c>
      <c r="F72" s="1641" t="str">
        <f>CONCATENATE('ES lėšos'!E72)</f>
        <v>Alytaus r. sav.</v>
      </c>
      <c r="G72" s="1653">
        <v>42691</v>
      </c>
      <c r="H72" s="1646" t="s">
        <v>1910</v>
      </c>
      <c r="I72" s="1647">
        <f>SUM('ES lėšos'!G72)</f>
        <v>200844</v>
      </c>
      <c r="J72" s="1648">
        <f ca="1">SUM('ES lėšos'!H72)</f>
        <v>200844</v>
      </c>
      <c r="K72" s="1647">
        <f t="shared" ca="1" si="9"/>
        <v>0</v>
      </c>
      <c r="L72" s="1649">
        <f ca="1">IF(J72&gt;0,'ketv. 6 '!AF95/'ketv. 6 '!L95,"finansavimas dar neskirtas")</f>
        <v>0.7308255449661627</v>
      </c>
      <c r="M72" s="1657">
        <f>SUMIF('sutarčių ataskaita'!$J$19:$J$600,C72,'sutarčių ataskaita'!$BP$19:$BP$600)</f>
        <v>43738</v>
      </c>
      <c r="N72" s="1651">
        <f>IF('ketv. 5 '!S95=0,'ketv. 5 '!R95,'ketv. 5 '!S95)</f>
        <v>43738</v>
      </c>
      <c r="O72" s="1657">
        <f>SUMIF('sutarčių ataskaita'!$J$19:$J$600,C72,'sutarčių ataskaita'!$BO$19:$BO$600)</f>
        <v>43123</v>
      </c>
      <c r="P72" s="1657">
        <f>SUMIF('sutarčių ataskaita'!$J$19:$J$600,C72,'sutarčių ataskaita'!$L$19:$L$600)</f>
        <v>43367</v>
      </c>
      <c r="Q72" s="1658">
        <f t="shared" si="8"/>
        <v>12.197260273972603</v>
      </c>
      <c r="R72" s="1648">
        <f>SUM('ketv. 7 '!AK94)</f>
        <v>0</v>
      </c>
      <c r="S72" s="1648">
        <f>SUMIF('mokėjimų ataskaita'!$I$14:$I$601,C72,'mokėjimų ataskaita'!$AK$14:$AK$601)/2</f>
        <v>0</v>
      </c>
      <c r="T72" s="1648">
        <f>SUMIF('mokėjimų ataskaita'!I21:I608,C72,'mokėjimų ataskaita'!BS21:BS608)/2</f>
        <v>0</v>
      </c>
      <c r="U72" s="1649">
        <f t="shared" ca="1" si="7"/>
        <v>0</v>
      </c>
      <c r="V72" s="1758"/>
      <c r="W72" s="1758" t="s">
        <v>1940</v>
      </c>
      <c r="X72" s="1762" t="s">
        <v>1944</v>
      </c>
      <c r="Y72" s="1641"/>
      <c r="Z72" s="1641"/>
    </row>
    <row r="73" spans="1:26" ht="36" x14ac:dyDescent="0.2">
      <c r="A73" s="1646">
        <f>SUM('ES lėšos'!A73)</f>
        <v>72</v>
      </c>
      <c r="B73" s="1641" t="str">
        <f>CONCATENATE('ES lėšos'!C73)</f>
        <v>06.2.1-TID-R-511</v>
      </c>
      <c r="C73" s="1641" t="str">
        <f>CONCATENATE('ketv. 2'!B96)</f>
        <v>06.2.1-TID-R-511-11-0007</v>
      </c>
      <c r="D73" s="1641" t="str">
        <f>CONCATENATE('ES lėšos'!B73)</f>
        <v>M. K. Čiurlionio gatvės atkarpos Druskininkų m. rekonstrukcija</v>
      </c>
      <c r="E73" s="1641" t="str">
        <f>CONCATENATE('ES lėšos'!D73)</f>
        <v xml:space="preserve">Druskininkų savivaldybės administracija  </v>
      </c>
      <c r="F73" s="1641" t="str">
        <f>CONCATENATE('ES lėšos'!E73)</f>
        <v>Druskininkų sav.</v>
      </c>
      <c r="G73" s="1653">
        <v>42696</v>
      </c>
      <c r="H73" s="1646" t="s">
        <v>1911</v>
      </c>
      <c r="I73" s="1647">
        <f>SUM('ES lėšos'!G73)</f>
        <v>384649</v>
      </c>
      <c r="J73" s="1648">
        <f ca="1">SUM('ES lėšos'!H73)</f>
        <v>0</v>
      </c>
      <c r="K73" s="1647" t="str">
        <f t="shared" ca="1" si="9"/>
        <v>finansavimas dar neskirtas</v>
      </c>
      <c r="L73" s="1649" t="str">
        <f ca="1">IF(J73&gt;0,'ketv. 6 '!AF96/'ketv. 6 '!L96,"finansavimas dar neskirtas")</f>
        <v>finansavimas dar neskirtas</v>
      </c>
      <c r="M73" s="1657"/>
      <c r="N73" s="1651">
        <f>IF('ketv. 5 '!S96=0,'ketv. 5 '!R96,'ketv. 5 '!S96)</f>
        <v>43830</v>
      </c>
      <c r="O73" s="1657"/>
      <c r="P73" s="1657"/>
      <c r="Q73" s="1658">
        <f t="shared" si="8"/>
        <v>0</v>
      </c>
      <c r="R73" s="1648">
        <f>SUM('ketv. 7 '!AK95)</f>
        <v>0</v>
      </c>
      <c r="S73" s="1648">
        <f>SUMIF('mokėjimų ataskaita'!$I$14:$I$601,C73,'mokėjimų ataskaita'!$AK$14:$AK$601)/2</f>
        <v>0</v>
      </c>
      <c r="T73" s="1648">
        <f>SUMIF('mokėjimų ataskaita'!I22:I609,C73,'mokėjimų ataskaita'!BS22:BS609)/2</f>
        <v>0</v>
      </c>
      <c r="U73" s="1649" t="str">
        <f t="shared" ca="1" si="7"/>
        <v>finansavimas dar neskirtas</v>
      </c>
      <c r="V73" s="1758"/>
      <c r="W73" s="1763" t="s">
        <v>1968</v>
      </c>
      <c r="X73" s="1762" t="s">
        <v>1964</v>
      </c>
      <c r="Y73" s="1641"/>
      <c r="Z73" s="1641"/>
    </row>
    <row r="74" spans="1:26" ht="48" x14ac:dyDescent="0.2">
      <c r="A74" s="1646">
        <f>SUM('ES lėšos'!A74)</f>
        <v>73</v>
      </c>
      <c r="B74" s="1641" t="str">
        <f>CONCATENATE('ES lėšos'!C74)</f>
        <v>06.2.1-TID-R-511</v>
      </c>
      <c r="C74" s="1641" t="str">
        <f>CONCATENATE('ketv. 6 '!C97)</f>
        <v>06.2.1-TID-R-511-11-0004</v>
      </c>
      <c r="D74" s="1641" t="str">
        <f>CONCATENATE('ES lėšos'!B74)</f>
        <v>Lazdijų miesto Seinų ir Lazdijos gatvių bei vietinės reikšmės kelio nuo Janonio gatvės iki Lazdijų hipodromo rekonstravimas</v>
      </c>
      <c r="E74" s="1641" t="str">
        <f>CONCATENATE('ES lėšos'!D74)</f>
        <v>Lazdijų rajono savivaldybės administracija</v>
      </c>
      <c r="F74" s="1641" t="str">
        <f>CONCATENATE('ES lėšos'!E74)</f>
        <v>Lazdijų r. sav.</v>
      </c>
      <c r="G74" s="1653">
        <v>42705</v>
      </c>
      <c r="H74" s="1646" t="s">
        <v>1912</v>
      </c>
      <c r="I74" s="1647">
        <f>SUM('ES lėšos'!G74)</f>
        <v>645944</v>
      </c>
      <c r="J74" s="1648">
        <f ca="1">SUM('ES lėšos'!H74)</f>
        <v>645944</v>
      </c>
      <c r="K74" s="1647">
        <f t="shared" ca="1" si="9"/>
        <v>0</v>
      </c>
      <c r="L74" s="1649">
        <f ca="1">IF(J74&gt;0,'ketv. 6 '!AF97/'ketv. 6 '!L97,"finansavimas dar neskirtas")</f>
        <v>0.85000013159037491</v>
      </c>
      <c r="M74" s="1657">
        <f>SUMIF('sutarčių ataskaita'!$J$19:$J$600,C74,'sutarčių ataskaita'!$BP$19:$BP$600)</f>
        <v>43738</v>
      </c>
      <c r="N74" s="1651">
        <f>IF('ketv. 5 '!S97=0,'ketv. 5 '!R97,'ketv. 5 '!S97)</f>
        <v>43830</v>
      </c>
      <c r="O74" s="1657">
        <f>SUMIF('sutarčių ataskaita'!$J$19:$J$600,C74,'sutarčių ataskaita'!$BO$19:$BO$600)</f>
        <v>42765</v>
      </c>
      <c r="P74" s="1657">
        <f>SUMIF('sutarčių ataskaita'!$J$19:$J$600,C74,'sutarčių ataskaita'!$L$19:$L$600)</f>
        <v>43217</v>
      </c>
      <c r="Q74" s="1658">
        <f t="shared" si="8"/>
        <v>17.12876712328767</v>
      </c>
      <c r="R74" s="1648">
        <f>SUM('ketv. 7 '!AK96)</f>
        <v>0</v>
      </c>
      <c r="S74" s="1648">
        <f>SUMIF('mokėjimų ataskaita'!$I$14:$I$601,C74,'mokėjimų ataskaita'!$AK$14:$AK$601)/2</f>
        <v>0</v>
      </c>
      <c r="T74" s="1648">
        <f>SUMIF('mokėjimų ataskaita'!I23:I610,C74,'mokėjimų ataskaita'!BS23:BS610)/2</f>
        <v>0</v>
      </c>
      <c r="U74" s="1649">
        <f t="shared" ca="1" si="7"/>
        <v>0</v>
      </c>
      <c r="V74" s="1758"/>
      <c r="W74" s="1758" t="s">
        <v>1940</v>
      </c>
      <c r="X74" s="1762" t="s">
        <v>1963</v>
      </c>
      <c r="Y74" s="1641"/>
      <c r="Z74" s="1641"/>
    </row>
    <row r="75" spans="1:26" ht="36" x14ac:dyDescent="0.2">
      <c r="A75" s="1646">
        <f>SUM('ES lėšos'!A75)</f>
        <v>74</v>
      </c>
      <c r="B75" s="1641" t="str">
        <f>CONCATENATE('ES lėšos'!C75)</f>
        <v>06.2.1-TID-R-511</v>
      </c>
      <c r="C75" s="1641" t="str">
        <f>CONCATENATE('ketv. 6 '!C98)</f>
        <v>-</v>
      </c>
      <c r="D75" s="1641" t="str">
        <f>CONCATENATE('ES lėšos'!B75)</f>
        <v>Eismo saugumo priemonių diegimas Druskininkų savivaldybėje</v>
      </c>
      <c r="E75" s="1641" t="str">
        <f>CONCATENATE('ES lėšos'!D75)</f>
        <v xml:space="preserve">Druskininkų savivaldybės administracija  </v>
      </c>
      <c r="F75" s="1641" t="str">
        <f>CONCATENATE('ES lėšos'!E75)</f>
        <v>Druskininkų sav.</v>
      </c>
      <c r="G75" s="1653" t="s">
        <v>66</v>
      </c>
      <c r="H75" s="1646" t="s">
        <v>66</v>
      </c>
      <c r="I75" s="1647">
        <f>SUM('ES lėšos'!G75)</f>
        <v>0</v>
      </c>
      <c r="J75" s="1648">
        <f ca="1">SUM('ES lėšos'!H75)</f>
        <v>0</v>
      </c>
      <c r="K75" s="1647" t="str">
        <f t="shared" ca="1" si="9"/>
        <v>finansavimas dar neskirtas</v>
      </c>
      <c r="L75" s="1649" t="str">
        <f ca="1">IF(J75&gt;0,'ketv. 6 '!AF98/'ketv. 6 '!L98,"finansavimas dar neskirtas")</f>
        <v>finansavimas dar neskirtas</v>
      </c>
      <c r="M75" s="1657"/>
      <c r="N75" s="1651">
        <f>IF('ketv. 5 '!S98=0,'ketv. 5 '!R98,'ketv. 5 '!S98)</f>
        <v>43830</v>
      </c>
      <c r="O75" s="1657"/>
      <c r="P75" s="1657"/>
      <c r="Q75" s="1658">
        <f t="shared" si="8"/>
        <v>0</v>
      </c>
      <c r="R75" s="1648">
        <f>SUM('ketv. 7 '!AK97)</f>
        <v>0</v>
      </c>
      <c r="S75" s="1648">
        <f>SUMIF('mokėjimų ataskaita'!$I$14:$I$601,C75,'mokėjimų ataskaita'!$AK$14:$AK$601)/2</f>
        <v>0</v>
      </c>
      <c r="T75" s="1648">
        <f>SUMIF('mokėjimų ataskaita'!I24:I611,C75,'mokėjimų ataskaita'!BS24:BS611)/2</f>
        <v>0</v>
      </c>
      <c r="U75" s="1649" t="str">
        <f t="shared" ca="1" si="7"/>
        <v>finansavimas dar neskirtas</v>
      </c>
      <c r="V75" s="1758"/>
      <c r="W75" s="1763"/>
      <c r="X75" s="1762"/>
      <c r="Y75" s="1641"/>
      <c r="Z75" s="1641"/>
    </row>
    <row r="76" spans="1:26" ht="60" x14ac:dyDescent="0.2">
      <c r="A76" s="1646">
        <f>SUM('ES lėšos'!A76)</f>
        <v>75</v>
      </c>
      <c r="B76" s="1641" t="str">
        <f>CONCATENATE('ES lėšos'!C76)</f>
        <v>09.1.3-CPVA-R-724</v>
      </c>
      <c r="C76" s="1641" t="str">
        <f>CONCATENATE('ketv. 6 '!C102)</f>
        <v>09.1.3-CPVA-R-724-11-0003</v>
      </c>
      <c r="D76" s="1641" t="str">
        <f>CONCATENATE('ES lėšos'!B76)</f>
        <v>Varėnos r. Merkinės Vinco Krėvės gimnazijos laisvų patalpų pritaikymas ikimokyklinio ir priešmokyklinio ugdymo grupėms įrengti</v>
      </c>
      <c r="E76" s="1641" t="str">
        <f>CONCATENATE('ES lėšos'!D76)</f>
        <v>Varėnos rajono savivaldybės administracija</v>
      </c>
      <c r="F76" s="1641" t="str">
        <f>CONCATENATE('ES lėšos'!E76)</f>
        <v>Varėnos r. sav.</v>
      </c>
      <c r="G76" s="1653">
        <v>42886</v>
      </c>
      <c r="H76" s="1646" t="s">
        <v>1915</v>
      </c>
      <c r="I76" s="1647">
        <f>SUM('ES lėšos'!G76)</f>
        <v>187385</v>
      </c>
      <c r="J76" s="1648">
        <f ca="1">SUM('ES lėšos'!H76)</f>
        <v>187385</v>
      </c>
      <c r="K76" s="1647">
        <f t="shared" ca="1" si="9"/>
        <v>0</v>
      </c>
      <c r="L76" s="1649">
        <f ca="1">IF(J76&gt;0,'ketv. 6 '!AF102/'ketv. 6 '!L102,"finansavimas dar neskirtas")</f>
        <v>0.84999977319428632</v>
      </c>
      <c r="M76" s="1657">
        <f>SUMIF('sutarčių ataskaita'!$J$19:$J$600,C76,'sutarčių ataskaita'!$BP$19:$BP$600)</f>
        <v>43738</v>
      </c>
      <c r="N76" s="1651">
        <f>IF('ketv. 5 '!S102=0,'ketv. 5 '!R102,'ketv. 5 '!S102)</f>
        <v>43830</v>
      </c>
      <c r="O76" s="1657">
        <f>SUMIF('sutarčių ataskaita'!$J$19:$J$600,C76,'sutarčių ataskaita'!$BO$19:$BO$600)</f>
        <v>43117</v>
      </c>
      <c r="P76" s="1657">
        <f>SUMIF('sutarčių ataskaita'!$J$19:$J$600,C76,'sutarčių ataskaita'!$L$19:$L$600)</f>
        <v>43117</v>
      </c>
      <c r="Q76" s="1658">
        <f t="shared" si="8"/>
        <v>20.416438356164385</v>
      </c>
      <c r="R76" s="1648">
        <f>SUM('ketv. 7 '!AK101)</f>
        <v>0</v>
      </c>
      <c r="S76" s="1648">
        <f>SUMIF('mokėjimų ataskaita'!$I$14:$I$601,C76,'mokėjimų ataskaita'!$AK$14:$AK$601)/2</f>
        <v>0</v>
      </c>
      <c r="T76" s="1648">
        <f>SUMIF('mokėjimų ataskaita'!I25:I612,C76,'mokėjimų ataskaita'!BS25:BS612)/2</f>
        <v>0</v>
      </c>
      <c r="U76" s="1649">
        <f t="shared" ca="1" si="7"/>
        <v>0</v>
      </c>
      <c r="V76" s="1758"/>
      <c r="W76" s="1758" t="s">
        <v>1940</v>
      </c>
      <c r="X76" s="1762" t="s">
        <v>1967</v>
      </c>
      <c r="Y76" s="1641"/>
      <c r="Z76" s="1641"/>
    </row>
    <row r="77" spans="1:26" ht="48" x14ac:dyDescent="0.2">
      <c r="A77" s="1646">
        <f>SUM('ES lėšos'!A77)</f>
        <v>76</v>
      </c>
      <c r="B77" s="1641" t="str">
        <f>CONCATENATE('ES lėšos'!C77)</f>
        <v>09.1.3-CPVA-R-724</v>
      </c>
      <c r="C77" s="1641" t="str">
        <f>CONCATENATE('ketv. 6 '!C103)</f>
        <v>09.1.3-CPVA-R-724-11-0005</v>
      </c>
      <c r="D77" s="1641" t="str">
        <f>CONCATENATE('ES lėšos'!B77)</f>
        <v>Alytaus rajono bendrojo ugdymo įstaigų aprūpinimas gamtos, technologijų, menų ir kitų mokslų laboratorijų įranga</v>
      </c>
      <c r="E77" s="1641" t="str">
        <f>CONCATENATE('ES lėšos'!D77)</f>
        <v>Alytaus rajono savivaldybės administracija</v>
      </c>
      <c r="F77" s="1641" t="str">
        <f>CONCATENATE('ES lėšos'!E77)</f>
        <v>Alytaus r. sav.</v>
      </c>
      <c r="G77" s="1653">
        <v>42887</v>
      </c>
      <c r="H77" s="1646" t="s">
        <v>1914</v>
      </c>
      <c r="I77" s="1647">
        <f>SUM('ES lėšos'!G77)</f>
        <v>90818</v>
      </c>
      <c r="J77" s="1648">
        <f ca="1">SUM('ES lėšos'!H77)</f>
        <v>90818</v>
      </c>
      <c r="K77" s="1647">
        <f t="shared" ca="1" si="9"/>
        <v>0</v>
      </c>
      <c r="L77" s="1649">
        <f ca="1">IF(J77&gt;0,'ketv. 6 '!AF103/'ketv. 6 '!L103,"finansavimas dar neskirtas")</f>
        <v>0.84999439844912383</v>
      </c>
      <c r="M77" s="1657">
        <f>SUMIF('sutarčių ataskaita'!$J$19:$J$600,C77,'sutarčių ataskaita'!$BP$19:$BP$600)</f>
        <v>43496</v>
      </c>
      <c r="N77" s="1651">
        <f>IF('ketv. 5 '!S103=0,'ketv. 5 '!R103,'ketv. 5 '!S103)</f>
        <v>43526</v>
      </c>
      <c r="O77" s="1657">
        <f>SUMIF('sutarčių ataskaita'!$J$19:$J$600,C77,'sutarčių ataskaita'!$BO$19:$BO$600)</f>
        <v>43054</v>
      </c>
      <c r="P77" s="1657">
        <f>SUMIF('sutarčių ataskaita'!$J$19:$J$600,C77,'sutarčių ataskaita'!$L$19:$L$600)</f>
        <v>43112</v>
      </c>
      <c r="Q77" s="1658">
        <f t="shared" si="8"/>
        <v>12.624657534246575</v>
      </c>
      <c r="R77" s="1648">
        <f>SUM('ketv. 7 '!AK102)</f>
        <v>17868.78</v>
      </c>
      <c r="S77" s="1648">
        <f>SUMIF('mokėjimų ataskaita'!$I$14:$I$601,C77,'mokėjimų ataskaita'!$AK$14:$AK$601)/2</f>
        <v>17868.78</v>
      </c>
      <c r="T77" s="1648">
        <f>SUMIF('mokėjimų ataskaita'!I26:I613,C77,'mokėjimų ataskaita'!BS26:BS613)/2</f>
        <v>0</v>
      </c>
      <c r="U77" s="1649">
        <f t="shared" ca="1" si="7"/>
        <v>0.19675372723468915</v>
      </c>
      <c r="V77" s="1758"/>
      <c r="W77" s="1758" t="s">
        <v>1940</v>
      </c>
      <c r="X77" s="1762" t="s">
        <v>1990</v>
      </c>
      <c r="Y77" s="1641"/>
      <c r="Z77" s="1641"/>
    </row>
    <row r="78" spans="1:26" ht="36" x14ac:dyDescent="0.2">
      <c r="A78" s="1646">
        <f>SUM('ES lėšos'!A78)</f>
        <v>77</v>
      </c>
      <c r="B78" s="1641" t="str">
        <f>CONCATENATE('ES lėšos'!C78)</f>
        <v>09.1.3-CPVA-R-724</v>
      </c>
      <c r="C78" s="1641" t="str">
        <f>CONCATENATE('ketv. 6 '!C104)</f>
        <v>09.1.3-CPVA-R-724-11-0002</v>
      </c>
      <c r="D78" s="1641" t="str">
        <f>CONCATENATE('ES lėšos'!B78)</f>
        <v>Modernių ir saugių erdvių kūrimas Dzūkijos pagrindinėje mokykloje, Alytuje</v>
      </c>
      <c r="E78" s="1641" t="str">
        <f>CONCATENATE('ES lėšos'!D78)</f>
        <v>Alytaus miesto savivaldybės administracija</v>
      </c>
      <c r="F78" s="1641" t="str">
        <f>CONCATENATE('ES lėšos'!E78)</f>
        <v>Alytaus m. sav.</v>
      </c>
      <c r="G78" s="1653">
        <v>42926</v>
      </c>
      <c r="H78" s="1646" t="s">
        <v>1908</v>
      </c>
      <c r="I78" s="1647">
        <f>SUM('ES lėšos'!G78)</f>
        <v>558467</v>
      </c>
      <c r="J78" s="1648">
        <f ca="1">SUM('ES lėšos'!H78)</f>
        <v>558467</v>
      </c>
      <c r="K78" s="1647">
        <f t="shared" ca="1" si="9"/>
        <v>0</v>
      </c>
      <c r="L78" s="1649">
        <f ca="1">IF(J78&gt;0,'ketv. 6 '!AF104/'ketv. 6 '!L104,"finansavimas dar neskirtas")</f>
        <v>0.84999870628183882</v>
      </c>
      <c r="M78" s="1657">
        <f>SUMIF('sutarčių ataskaita'!$J$19:$J$600,C78,'sutarčių ataskaita'!$BP$19:$BP$600)</f>
        <v>43646</v>
      </c>
      <c r="N78" s="1651">
        <f>IF('ketv. 5 '!S104=0,'ketv. 5 '!R104,'ketv. 5 '!S104)</f>
        <v>43830</v>
      </c>
      <c r="O78" s="1657">
        <f>SUMIF('sutarčių ataskaita'!$J$19:$J$600,C78,'sutarčių ataskaita'!$BO$19:$BO$600)</f>
        <v>42177</v>
      </c>
      <c r="P78" s="1657">
        <f>SUMIF('sutarčių ataskaita'!$J$19:$J$600,C78,'sutarčių ataskaita'!$L$19:$L$600)</f>
        <v>43139</v>
      </c>
      <c r="Q78" s="1658">
        <f t="shared" si="8"/>
        <v>16.668493150684931</v>
      </c>
      <c r="R78" s="1648">
        <f>SUM('ketv. 7 '!AK103)</f>
        <v>116455.45000000001</v>
      </c>
      <c r="S78" s="1648">
        <f>SUMIF('mokėjimų ataskaita'!$I$14:$I$601,C78,'mokėjimų ataskaita'!$AK$14:$AK$601)/2</f>
        <v>116455.45000000001</v>
      </c>
      <c r="T78" s="1648">
        <f>SUMIF('mokėjimų ataskaita'!I27:I614,C78,'mokėjimų ataskaita'!BS27:BS614)/2</f>
        <v>4118.62</v>
      </c>
      <c r="U78" s="1649">
        <f t="shared" ca="1" si="7"/>
        <v>0.20852700338605507</v>
      </c>
      <c r="V78" s="1758"/>
      <c r="W78" s="1758" t="s">
        <v>1940</v>
      </c>
      <c r="X78" s="1762" t="s">
        <v>1965</v>
      </c>
      <c r="Y78" s="1641"/>
      <c r="Z78" s="1641"/>
    </row>
    <row r="79" spans="1:26" ht="36" x14ac:dyDescent="0.2">
      <c r="A79" s="1646">
        <f>SUM('ES lėšos'!A79)</f>
        <v>78</v>
      </c>
      <c r="B79" s="1641" t="str">
        <f>CONCATENATE('ES lėšos'!C79)</f>
        <v>09.1.3-CPVA-R-724</v>
      </c>
      <c r="C79" s="1641" t="str">
        <f>CONCATENATE('ketv. 6 '!C105)</f>
        <v>09.1.3-CPVA-R-724-11-0004</v>
      </c>
      <c r="D79" s="1641" t="str">
        <f>CONCATENATE('ES lėšos'!B79)</f>
        <v>Modernių ir saugių erdvių sukūrimas bendrojo ugdymo mokyklose Druskininkų sav.</v>
      </c>
      <c r="E79" s="1641" t="str">
        <f>CONCATENATE('ES lėšos'!D79)</f>
        <v>Druskininkų savivaldybės administracija</v>
      </c>
      <c r="F79" s="1641" t="str">
        <f>CONCATENATE('ES lėšos'!E79)</f>
        <v>Druskininkų sav.</v>
      </c>
      <c r="G79" s="1653">
        <v>42885</v>
      </c>
      <c r="H79" s="1646" t="s">
        <v>1903</v>
      </c>
      <c r="I79" s="1647">
        <f>SUM('ES lėšos'!G79)</f>
        <v>139295</v>
      </c>
      <c r="J79" s="1648">
        <f ca="1">SUM('ES lėšos'!H79)</f>
        <v>139295</v>
      </c>
      <c r="K79" s="1647">
        <f t="shared" ca="1" si="9"/>
        <v>0</v>
      </c>
      <c r="L79" s="1649">
        <f ca="1">IF(J79&gt;0,'ketv. 6 '!AF105/'ketv. 6 '!L105,"finansavimas dar neskirtas")</f>
        <v>0.84999725403808957</v>
      </c>
      <c r="M79" s="1657">
        <f>SUMIF('sutarčių ataskaita'!$J$19:$J$600,C79,'sutarčių ataskaita'!$BP$19:$BP$600)</f>
        <v>43555</v>
      </c>
      <c r="N79" s="1651">
        <f>IF('ketv. 5 '!S105=0,'ketv. 5 '!R105,'ketv. 5 '!S105)</f>
        <v>43830</v>
      </c>
      <c r="O79" s="1657">
        <f>SUMIF('sutarčių ataskaita'!$J$19:$J$600,C79,'sutarčių ataskaita'!$BO$19:$BO$600)</f>
        <v>43098</v>
      </c>
      <c r="P79" s="1657">
        <f>SUMIF('sutarčių ataskaita'!$J$19:$J$600,C79,'sutarčių ataskaita'!$L$19:$L$600)</f>
        <v>43098</v>
      </c>
      <c r="Q79" s="1658">
        <f t="shared" si="8"/>
        <v>15.024657534246575</v>
      </c>
      <c r="R79" s="1648">
        <f>SUM('ketv. 7 '!AK104)</f>
        <v>93740.57</v>
      </c>
      <c r="S79" s="1648">
        <f>SUMIF('mokėjimų ataskaita'!$I$14:$I$601,C79,'mokėjimų ataskaita'!$AK$14:$AK$601)/2</f>
        <v>93740.57</v>
      </c>
      <c r="T79" s="1648">
        <f>SUMIF('mokėjimų ataskaita'!I28:I615,C79,'mokėjimų ataskaita'!BS28:BS615)/2</f>
        <v>9811.77</v>
      </c>
      <c r="U79" s="1649">
        <f t="shared" ca="1" si="7"/>
        <v>0.67296435622240569</v>
      </c>
      <c r="V79" s="1758"/>
      <c r="W79" s="1758" t="s">
        <v>1940</v>
      </c>
      <c r="X79" s="1762" t="s">
        <v>1964</v>
      </c>
      <c r="Y79" s="1641"/>
      <c r="Z79" s="1641"/>
    </row>
    <row r="80" spans="1:26" ht="48" x14ac:dyDescent="0.2">
      <c r="A80" s="1646">
        <f>SUM('ES lėšos'!A80)</f>
        <v>79</v>
      </c>
      <c r="B80" s="1641" t="str">
        <f>CONCATENATE('ES lėšos'!C80)</f>
        <v>09.1.3-CPVA-R-724</v>
      </c>
      <c r="C80" s="1641" t="str">
        <f>CONCATENATE('ketv. 6 '!C106)</f>
        <v>09.1.3-CPVA-R-724-11-0001</v>
      </c>
      <c r="D80" s="1641" t="str">
        <f>CONCATENATE('ES lėšos'!B80)</f>
        <v>Modernių ir saugių erdvių sukūrimas bendrojo ugdymo įstaigose Lazdijų rajono savivaldybėje</v>
      </c>
      <c r="E80" s="1641" t="str">
        <f>CONCATENATE('ES lėšos'!D80)</f>
        <v>Lazdijų rajono savivaldybės administracija</v>
      </c>
      <c r="F80" s="1641" t="str">
        <f>CONCATENATE('ES lėšos'!E80)</f>
        <v>Lazdijų r. sav.</v>
      </c>
      <c r="G80" s="1653">
        <v>42887</v>
      </c>
      <c r="H80" s="1646" t="s">
        <v>1913</v>
      </c>
      <c r="I80" s="1647">
        <f>SUM('ES lėšos'!G80)</f>
        <v>166412</v>
      </c>
      <c r="J80" s="1648">
        <f ca="1">SUM('ES lėšos'!H80)</f>
        <v>166412</v>
      </c>
      <c r="K80" s="1647">
        <f t="shared" ca="1" si="9"/>
        <v>0</v>
      </c>
      <c r="L80" s="1649">
        <f ca="1">IF(J80&gt;0,'ketv. 6 '!AF106/'ketv. 6 '!L106,"finansavimas dar neskirtas")</f>
        <v>0.84999923382998177</v>
      </c>
      <c r="M80" s="1657">
        <f>SUMIF('sutarčių ataskaita'!$J$19:$J$600,C80,'sutarčių ataskaita'!$BP$19:$BP$600)</f>
        <v>43646</v>
      </c>
      <c r="N80" s="1651">
        <f>IF('ketv. 5 '!S106=0,'ketv. 5 '!R106,'ketv. 5 '!S106)</f>
        <v>43709</v>
      </c>
      <c r="O80" s="1657">
        <f>SUMIF('sutarčių ataskaita'!$J$19:$J$600,C80,'sutarčių ataskaita'!$BO$19:$BO$600)</f>
        <v>42942</v>
      </c>
      <c r="P80" s="1657">
        <f>SUMIF('sutarčių ataskaita'!$J$19:$J$600,C80,'sutarčių ataskaita'!$L$19:$L$600)</f>
        <v>43150</v>
      </c>
      <c r="Q80" s="1658">
        <f t="shared" si="8"/>
        <v>16.306849315068494</v>
      </c>
      <c r="R80" s="1648">
        <f>SUM('ketv. 7 '!AK105)</f>
        <v>88968.44</v>
      </c>
      <c r="S80" s="1648">
        <f>SUMIF('mokėjimų ataskaita'!$I$14:$I$601,C80,'mokėjimų ataskaita'!$AK$14:$AK$601)/2</f>
        <v>88968.44</v>
      </c>
      <c r="T80" s="1648">
        <f>SUMIF('mokėjimų ataskaita'!I29:I616,C80,'mokėjimų ataskaita'!BS29:BS616)/2</f>
        <v>2192.85</v>
      </c>
      <c r="U80" s="1649">
        <f t="shared" ca="1" si="7"/>
        <v>0.53462755089777181</v>
      </c>
      <c r="V80" s="1758"/>
      <c r="W80" s="1758" t="s">
        <v>1940</v>
      </c>
      <c r="X80" s="1762" t="s">
        <v>1989</v>
      </c>
      <c r="Y80" s="1641"/>
      <c r="Z80" s="1641"/>
    </row>
    <row r="81" spans="1:26" ht="36" x14ac:dyDescent="0.2">
      <c r="A81" s="1646">
        <f>SUM('ES lėšos'!A81)</f>
        <v>80</v>
      </c>
      <c r="B81" s="1641" t="str">
        <f>CONCATENATE('ES lėšos'!C81)</f>
        <v>09.13.CPVA-R-725</v>
      </c>
      <c r="C81" s="1641" t="str">
        <f>CONCATENATE('ketv. 6 '!C108)</f>
        <v>09.1.3-CPVA-R-725-11-0003</v>
      </c>
      <c r="D81" s="1641" t="str">
        <f>CONCATENATE('ES lėšos'!B81)</f>
        <v>Varėnos moksleivių kūrybos centro pastato J. Basanavičiaus g. 38, Varėnoje, modernizavimas</v>
      </c>
      <c r="E81" s="1641" t="str">
        <f>CONCATENATE('ES lėšos'!D81)</f>
        <v>Varėnos rajono savivaldybės administracija</v>
      </c>
      <c r="F81" s="1641" t="str">
        <f>CONCATENATE('ES lėšos'!E81)</f>
        <v>Varėnos r. sav.</v>
      </c>
      <c r="G81" s="1653">
        <v>42895</v>
      </c>
      <c r="H81" s="1646" t="s">
        <v>1886</v>
      </c>
      <c r="I81" s="1647">
        <f>SUM('ES lėšos'!G81)</f>
        <v>371918</v>
      </c>
      <c r="J81" s="1648">
        <f ca="1">SUM('ES lėšos'!H81)</f>
        <v>371918</v>
      </c>
      <c r="K81" s="1647">
        <f t="shared" ca="1" si="9"/>
        <v>0</v>
      </c>
      <c r="L81" s="1649">
        <f ca="1">IF(J81&gt;0,'ketv. 6 '!AF108/'ketv. 6 '!L108,"finansavimas dar neskirtas")</f>
        <v>0.84999920009324625</v>
      </c>
      <c r="M81" s="1657">
        <f>SUMIF('sutarčių ataskaita'!$J$19:$J$600,C81,'sutarčių ataskaita'!$BP$19:$BP$600)</f>
        <v>43830</v>
      </c>
      <c r="N81" s="1651">
        <f>IF('ketv. 5 '!S108=0,'ketv. 5 '!R108,'ketv. 5 '!S108)</f>
        <v>43830</v>
      </c>
      <c r="O81" s="1657">
        <f>SUMIF('sutarčių ataskaita'!$J$19:$J$600,C81,'sutarčių ataskaita'!$BO$19:$BO$600)</f>
        <v>42745</v>
      </c>
      <c r="P81" s="1657">
        <f>SUMIF('sutarčių ataskaita'!$J$19:$J$600,C81,'sutarčių ataskaita'!$L$19:$L$600)</f>
        <v>43097</v>
      </c>
      <c r="Q81" s="1658">
        <f t="shared" si="8"/>
        <v>24.098630136986301</v>
      </c>
      <c r="R81" s="1648">
        <f>SUM('ketv. 7 '!AK107)</f>
        <v>21596.75</v>
      </c>
      <c r="S81" s="1648">
        <f>SUMIF('mokėjimų ataskaita'!$I$14:$I$601,C81,'mokėjimų ataskaita'!$AK$14:$AK$601)/2</f>
        <v>21596.75</v>
      </c>
      <c r="T81" s="1648">
        <f>SUMIF('mokėjimų ataskaita'!I30:I617,C81,'mokėjimų ataskaita'!BS30:BS617)/2</f>
        <v>4296.75</v>
      </c>
      <c r="U81" s="1649">
        <f t="shared" ca="1" si="7"/>
        <v>5.8068579633144941E-2</v>
      </c>
      <c r="V81" s="1758"/>
      <c r="W81" s="1758" t="s">
        <v>1940</v>
      </c>
      <c r="X81" s="1762" t="s">
        <v>1960</v>
      </c>
      <c r="Y81" s="1641"/>
      <c r="Z81" s="1641"/>
    </row>
    <row r="82" spans="1:26" ht="36" x14ac:dyDescent="0.2">
      <c r="A82" s="1646">
        <f>SUM('ES lėšos'!A82)</f>
        <v>81</v>
      </c>
      <c r="B82" s="1641" t="str">
        <f>CONCATENATE('ES lėšos'!C82)</f>
        <v>09.13.CPVA-R-725</v>
      </c>
      <c r="C82" s="1641" t="str">
        <f>CONCATENATE('ketv. 6 '!C109)</f>
        <v>09.1.3-CPVA-R-725-11-0005</v>
      </c>
      <c r="D82" s="1641" t="str">
        <f>CONCATENATE('ES lėšos'!B82)</f>
        <v>Alytaus r. meno ir sporto mokyklos edukacinių erdvių įkūrimas ir atnaujinimas</v>
      </c>
      <c r="E82" s="1641" t="str">
        <f>CONCATENATE('ES lėšos'!D82)</f>
        <v>Alytaus rajono savivaldybės administracija</v>
      </c>
      <c r="F82" s="1641" t="str">
        <f>CONCATENATE('ES lėšos'!E82)</f>
        <v>Alytaus r. sav.</v>
      </c>
      <c r="G82" s="1653">
        <v>42916</v>
      </c>
      <c r="H82" s="1646" t="s">
        <v>1905</v>
      </c>
      <c r="I82" s="1647">
        <f>SUM('ES lėšos'!G82)</f>
        <v>536611</v>
      </c>
      <c r="J82" s="1648">
        <f ca="1">SUM('ES lėšos'!H82)</f>
        <v>536611</v>
      </c>
      <c r="K82" s="1647">
        <f t="shared" ca="1" si="9"/>
        <v>0</v>
      </c>
      <c r="L82" s="1649">
        <f ca="1">IF(J82&gt;0,'ketv. 6 '!AF109/'ketv. 6 '!L109,"finansavimas dar neskirtas")</f>
        <v>0.62657100760547735</v>
      </c>
      <c r="M82" s="1657">
        <f>SUMIF('sutarčių ataskaita'!$J$19:$J$600,C82,'sutarčių ataskaita'!$BP$19:$BP$600)</f>
        <v>43861</v>
      </c>
      <c r="N82" s="1651">
        <f>IF('ketv. 5 '!S109=0,'ketv. 5 '!R109,'ketv. 5 '!S109)</f>
        <v>43832</v>
      </c>
      <c r="O82" s="1657">
        <f>SUMIF('sutarčių ataskaita'!$J$19:$J$600,C82,'sutarčių ataskaita'!$BO$19:$BO$600)</f>
        <v>43115</v>
      </c>
      <c r="P82" s="1657">
        <f>SUMIF('sutarčių ataskaita'!$J$19:$J$600,C82,'sutarčių ataskaita'!$L$19:$L$600)</f>
        <v>43115</v>
      </c>
      <c r="Q82" s="1658">
        <f t="shared" si="8"/>
        <v>24.526027397260272</v>
      </c>
      <c r="R82" s="1648">
        <f>SUM('ketv. 7 '!AK108)</f>
        <v>140000</v>
      </c>
      <c r="S82" s="1648">
        <f>SUMIF('mokėjimų ataskaita'!$I$14:$I$601,C82,'mokėjimų ataskaita'!$AK$14:$AK$601)/2</f>
        <v>140000</v>
      </c>
      <c r="T82" s="1648">
        <f>SUMIF('mokėjimų ataskaita'!I31:I618,C82,'mokėjimų ataskaita'!BS31:BS618)/2</f>
        <v>0</v>
      </c>
      <c r="U82" s="1649">
        <f t="shared" ca="1" si="7"/>
        <v>0.26089662716567497</v>
      </c>
      <c r="V82" s="1758"/>
      <c r="W82" s="1758" t="s">
        <v>1940</v>
      </c>
      <c r="X82" s="1762" t="s">
        <v>1944</v>
      </c>
      <c r="Y82" s="1641"/>
      <c r="Z82" s="1641"/>
    </row>
    <row r="83" spans="1:26" ht="36" x14ac:dyDescent="0.2">
      <c r="A83" s="1646">
        <f>SUM('ES lėšos'!A83)</f>
        <v>82</v>
      </c>
      <c r="B83" s="1641" t="str">
        <f>CONCATENATE('ES lėšos'!C83)</f>
        <v>09.13.CPVA-R-725</v>
      </c>
      <c r="C83" s="1641" t="str">
        <f>CONCATENATE('ketv. 6 '!C110)</f>
        <v>09.1.3-CPVA-R-725-11-0004</v>
      </c>
      <c r="D83" s="1641" t="str">
        <f>CONCATENATE('ES lėšos'!B83)</f>
        <v>Alytaus muzikos mokyklos pastato modernizavimas ir ugdymo aplinkos gerinimas</v>
      </c>
      <c r="E83" s="1641" t="str">
        <f>CONCATENATE('ES lėšos'!D83)</f>
        <v>Alytaus miesto savivaldybės administracija</v>
      </c>
      <c r="F83" s="1641" t="str">
        <f>CONCATENATE('ES lėšos'!E83)</f>
        <v>Alytaus m. sav.</v>
      </c>
      <c r="G83" s="1653">
        <v>42916</v>
      </c>
      <c r="H83" s="1646" t="s">
        <v>1885</v>
      </c>
      <c r="I83" s="1647">
        <f>SUM('ES lėšos'!G83)</f>
        <v>337771</v>
      </c>
      <c r="J83" s="1648">
        <f ca="1">SUM('ES lėšos'!H83)</f>
        <v>337771</v>
      </c>
      <c r="K83" s="1647">
        <f t="shared" ca="1" si="9"/>
        <v>0</v>
      </c>
      <c r="L83" s="1649">
        <f ca="1">IF(J83&gt;0,'ketv. 6 '!AF110/'ketv. 6 '!L110,"finansavimas dar neskirtas")</f>
        <v>0.8499992450513113</v>
      </c>
      <c r="M83" s="1657">
        <f>SUMIF('sutarčių ataskaita'!$J$19:$J$600,C83,'sutarčių ataskaita'!$BP$19:$BP$600)</f>
        <v>43677</v>
      </c>
      <c r="N83" s="1651">
        <f>IF('ketv. 5 '!S110=0,'ketv. 5 '!R110,'ketv. 5 '!S110)</f>
        <v>43830</v>
      </c>
      <c r="O83" s="1657">
        <f>SUMIF('sutarčių ataskaita'!$J$19:$J$600,C83,'sutarčių ataskaita'!$BO$19:$BO$600)</f>
        <v>42177</v>
      </c>
      <c r="P83" s="1657">
        <f>SUMIF('sutarčių ataskaita'!$J$19:$J$600,C83,'sutarčių ataskaita'!$L$19:$L$600)</f>
        <v>43119</v>
      </c>
      <c r="Q83" s="1658">
        <f t="shared" si="8"/>
        <v>18.345205479452055</v>
      </c>
      <c r="R83" s="1648">
        <f>SUM('ketv. 7 '!AK109)</f>
        <v>6515.4599999999991</v>
      </c>
      <c r="S83" s="1648">
        <f>SUMIF('mokėjimų ataskaita'!$I$14:$I$601,C83,'mokėjimų ataskaita'!$AK$14:$AK$601)/2</f>
        <v>6515.4599999999991</v>
      </c>
      <c r="T83" s="1648">
        <f>SUMIF('mokėjimų ataskaita'!I32:I619,C83,'mokėjimų ataskaita'!BS32:BS619)/2</f>
        <v>3015.46</v>
      </c>
      <c r="U83" s="1649">
        <f t="shared" ca="1" si="7"/>
        <v>1.9289577850081858E-2</v>
      </c>
      <c r="V83" s="1758"/>
      <c r="W83" s="1758" t="s">
        <v>1940</v>
      </c>
      <c r="X83" s="1762" t="s">
        <v>1965</v>
      </c>
      <c r="Y83" s="1641"/>
      <c r="Z83" s="1641"/>
    </row>
    <row r="84" spans="1:26" ht="36" x14ac:dyDescent="0.2">
      <c r="A84" s="1646">
        <f>SUM('ES lėšos'!A84)</f>
        <v>83</v>
      </c>
      <c r="B84" s="1641" t="str">
        <f>CONCATENATE('ES lėšos'!C84)</f>
        <v>09.13.CPVA-R-725</v>
      </c>
      <c r="C84" s="1641" t="str">
        <f>CONCATENATE('ketv. 6 '!C111)</f>
        <v>09.1.3-CPVA-R-725-11-0002</v>
      </c>
      <c r="D84" s="1641" t="str">
        <f>CONCATENATE('ES lėšos'!B84)</f>
        <v>Druskininkų M. K. Čiurlionio meno mokyklos infrastruktūros tobulinimas</v>
      </c>
      <c r="E84" s="1641" t="str">
        <f>CONCATENATE('ES lėšos'!D84)</f>
        <v xml:space="preserve">Druskininkų savivaldybės administracija  </v>
      </c>
      <c r="F84" s="1641" t="str">
        <f>CONCATENATE('ES lėšos'!E84)</f>
        <v>Druskininkų sav.</v>
      </c>
      <c r="G84" s="1653">
        <v>42839</v>
      </c>
      <c r="H84" s="1646" t="s">
        <v>1894</v>
      </c>
      <c r="I84" s="1647">
        <f>SUM('ES lėšos'!G84)</f>
        <v>124266</v>
      </c>
      <c r="J84" s="1648">
        <f ca="1">SUM('ES lėšos'!H84)</f>
        <v>124266</v>
      </c>
      <c r="K84" s="1647">
        <f t="shared" ca="1" si="9"/>
        <v>0</v>
      </c>
      <c r="L84" s="1649">
        <f ca="1">IF(J84&gt;0,'ketv. 6 '!AF111/'ketv. 6 '!L111,"finansavimas dar neskirtas")</f>
        <v>0.84706238416166624</v>
      </c>
      <c r="M84" s="1657">
        <f>SUMIF('sutarčių ataskaita'!$J$19:$J$600,C84,'sutarčių ataskaita'!$BP$19:$BP$600)</f>
        <v>43404</v>
      </c>
      <c r="N84" s="1651">
        <f>IF('ketv. 5 '!S111=0,'ketv. 5 '!R111,'ketv. 5 '!S111)</f>
        <v>43449</v>
      </c>
      <c r="O84" s="1657">
        <f>SUMIF('sutarčių ataskaita'!$J$19:$J$600,C84,'sutarčių ataskaita'!$BO$19:$BO$600)</f>
        <v>43097</v>
      </c>
      <c r="P84" s="1657">
        <f>SUMIF('sutarčių ataskaita'!$J$19:$J$600,C84,'sutarčių ataskaita'!$L$19:$L$600)</f>
        <v>43097</v>
      </c>
      <c r="Q84" s="1658">
        <f t="shared" si="8"/>
        <v>10.093150684931507</v>
      </c>
      <c r="R84" s="1648">
        <f>SUM('ketv. 7 '!AK110)</f>
        <v>54680.33</v>
      </c>
      <c r="S84" s="1648">
        <f>SUMIF('mokėjimų ataskaita'!$I$14:$I$601,C84,'mokėjimų ataskaita'!$AK$14:$AK$601)/2</f>
        <v>54680.33</v>
      </c>
      <c r="T84" s="1648">
        <f>SUMIF('mokėjimų ataskaita'!I33:I620,C84,'mokėjimų ataskaita'!BS33:BS620)/2</f>
        <v>15064.45</v>
      </c>
      <c r="U84" s="1649">
        <f t="shared" ca="1" si="7"/>
        <v>0.44002647546392415</v>
      </c>
      <c r="V84" s="1758"/>
      <c r="W84" s="1758" t="s">
        <v>1940</v>
      </c>
      <c r="X84" s="1762" t="s">
        <v>1964</v>
      </c>
      <c r="Y84" s="1641"/>
      <c r="Z84" s="1641"/>
    </row>
    <row r="85" spans="1:26" ht="72" x14ac:dyDescent="0.2">
      <c r="A85" s="1646">
        <f>SUM('ES lėšos'!A85)</f>
        <v>84</v>
      </c>
      <c r="B85" s="1641" t="str">
        <f>CONCATENATE('ES lėšos'!C85)</f>
        <v>09.13.CPVA-R-725</v>
      </c>
      <c r="C85" s="1641" t="str">
        <f>CONCATENATE('ketv. 6 '!C112)</f>
        <v>09.1.3-CPVA-R-725-11-0001</v>
      </c>
      <c r="D85" s="1641" t="str">
        <f>CONCATENATE('ES lėšos'!B85)</f>
        <v>Neformaliojo švietimo įstaigų Lazdijų rajono savivaldybėje infrastruktūros tobulinimas</v>
      </c>
      <c r="E85" s="1641" t="str">
        <f>CONCATENATE('ES lėšos'!D85)</f>
        <v>VšĮ „Lazdijų sporto centras“</v>
      </c>
      <c r="F85" s="1641" t="str">
        <f>CONCATENATE('ES lėšos'!E85)</f>
        <v>Lazdijų r. sav.</v>
      </c>
      <c r="G85" s="1653">
        <v>42844</v>
      </c>
      <c r="H85" s="1646" t="s">
        <v>1902</v>
      </c>
      <c r="I85" s="1647">
        <f>SUM('ES lėšos'!G85)</f>
        <v>115442</v>
      </c>
      <c r="J85" s="1648">
        <f ca="1">SUM('ES lėšos'!H85)</f>
        <v>115441</v>
      </c>
      <c r="K85" s="1647">
        <f t="shared" ca="1" si="9"/>
        <v>1</v>
      </c>
      <c r="L85" s="1649">
        <f ca="1">IF(J85&gt;0,'ketv. 6 '!AF112/'ketv. 6 '!L112,"finansavimas dar neskirtas")</f>
        <v>0.84999337328994062</v>
      </c>
      <c r="M85" s="1657">
        <f>SUMIF('sutarčių ataskaita'!$J$19:$J$600,C85,'sutarčių ataskaita'!$BP$19:$BP$600)</f>
        <v>43549</v>
      </c>
      <c r="N85" s="1651">
        <f>IF('ketv. 5 '!S112=0,'ketv. 5 '!R112,'ketv. 5 '!S112)</f>
        <v>43739</v>
      </c>
      <c r="O85" s="1657">
        <f>SUMIF('sutarčių ataskaita'!$J$19:$J$600,C85,'sutarčių ataskaita'!$BO$19:$BO$600)</f>
        <v>42825</v>
      </c>
      <c r="P85" s="1657">
        <f>SUMIF('sutarčių ataskaita'!$J$19:$J$600,C85,'sutarčių ataskaita'!$L$19:$L$600)</f>
        <v>43045</v>
      </c>
      <c r="Q85" s="1658">
        <f t="shared" si="8"/>
        <v>16.56986301369863</v>
      </c>
      <c r="R85" s="1672">
        <f>SUM('ketv. 7 '!AK111)</f>
        <v>103092.59</v>
      </c>
      <c r="S85" s="1648">
        <f>SUMIF('mokėjimų ataskaita'!$I$14:$I$601,C85,'mokėjimų ataskaita'!$AK$14:$AK$601)/2</f>
        <v>103092.59</v>
      </c>
      <c r="T85" s="1648">
        <f>SUMIF('mokėjimų ataskaita'!I34:I621,C85,'mokėjimų ataskaita'!BS34:BS621)/2</f>
        <v>22467.01</v>
      </c>
      <c r="U85" s="1649">
        <f t="shared" ca="1" si="7"/>
        <v>0.89303271801179818</v>
      </c>
      <c r="V85" s="1758"/>
      <c r="W85" s="1758" t="s">
        <v>1940</v>
      </c>
      <c r="X85" s="1762" t="s">
        <v>1991</v>
      </c>
      <c r="Y85" s="1641"/>
      <c r="Z85" s="1641"/>
    </row>
    <row r="86" spans="1:26" ht="36" x14ac:dyDescent="0.2">
      <c r="A86" s="1646">
        <f>SUM('ES lėšos'!A86)</f>
        <v>85</v>
      </c>
      <c r="B86" s="1641" t="str">
        <f>CONCATENATE('ES lėšos'!C86)</f>
        <v>09.1.3-CPVA-R-705</v>
      </c>
      <c r="C86" s="1641" t="str">
        <f>CONCATENATE('ketv. 6 '!C114)</f>
        <v>09.1.3-CPVA-R-705-11-0003</v>
      </c>
      <c r="D86" s="1641" t="str">
        <f>CONCATENATE('ES lėšos'!B86)</f>
        <v>Varėnos "Pasakos" vaikų lopšelio-darželio pastato modernizavimas</v>
      </c>
      <c r="E86" s="1641" t="str">
        <f>CONCATENATE('ES lėšos'!D86)</f>
        <v>Varėnos rajono savivaldybės administracija</v>
      </c>
      <c r="F86" s="1641" t="str">
        <f>CONCATENATE('ES lėšos'!E86)</f>
        <v>Varėnos r. sav.</v>
      </c>
      <c r="G86" s="1653">
        <v>43024</v>
      </c>
      <c r="H86" s="1646" t="s">
        <v>1918</v>
      </c>
      <c r="I86" s="1647">
        <f>SUM('ES lėšos'!G86)</f>
        <v>287307</v>
      </c>
      <c r="J86" s="1648">
        <f ca="1">SUM('ES lėšos'!H86)</f>
        <v>287307</v>
      </c>
      <c r="K86" s="1647">
        <f t="shared" ca="1" si="9"/>
        <v>0</v>
      </c>
      <c r="L86" s="1649">
        <f ca="1">IF(J86&gt;0,'ketv. 6 '!AF114/'ketv. 6 '!L114,"finansavimas dar neskirtas")</f>
        <v>0.77650540540540536</v>
      </c>
      <c r="M86" s="1657">
        <f>SUMIF('sutarčių ataskaita'!$J$19:$J$600,C86,'sutarčių ataskaita'!$BP$19:$BP$600)</f>
        <v>43799</v>
      </c>
      <c r="N86" s="1651">
        <f>IF('ketv. 5 '!S114=0,'ketv. 5 '!R114,'ketv. 5 '!S114)</f>
        <v>43679</v>
      </c>
      <c r="O86" s="1657">
        <f>SUMIF('sutarčių ataskaita'!$J$19:$J$600,C86,'sutarčių ataskaita'!$BO$19:$BO$600)</f>
        <v>42745</v>
      </c>
      <c r="P86" s="1657">
        <f>SUMIF('sutarčių ataskaita'!$J$19:$J$600,C86,'sutarčių ataskaita'!$L$19:$L$600)</f>
        <v>43179</v>
      </c>
      <c r="Q86" s="1658">
        <f t="shared" si="8"/>
        <v>20.383561643835616</v>
      </c>
      <c r="R86" s="1648">
        <f>SUM('ketv. 7 '!AK113)</f>
        <v>718.1</v>
      </c>
      <c r="S86" s="1648">
        <f>SUMIF('mokėjimų ataskaita'!$I$14:$I$601,C86,'mokėjimų ataskaita'!$AK$14:$AK$601)/2</f>
        <v>718.1</v>
      </c>
      <c r="T86" s="1648">
        <f>SUMIF('mokėjimų ataskaita'!I35:I622,C86,'mokėjimų ataskaita'!BS35:BS622)/2</f>
        <v>718.1</v>
      </c>
      <c r="U86" s="1649">
        <f t="shared" ca="1" si="7"/>
        <v>2.4994169999338687E-3</v>
      </c>
      <c r="V86" s="1758"/>
      <c r="W86" s="1758" t="s">
        <v>1940</v>
      </c>
      <c r="X86" s="1762" t="s">
        <v>1967</v>
      </c>
      <c r="Y86" s="1641"/>
      <c r="Z86" s="1641"/>
    </row>
    <row r="87" spans="1:26" ht="48" x14ac:dyDescent="0.2">
      <c r="A87" s="1646">
        <f>SUM('ES lėšos'!A87)</f>
        <v>86</v>
      </c>
      <c r="B87" s="1641" t="str">
        <f>CONCATENATE('ES lėšos'!C87)</f>
        <v>09.1.3-CPVA-R-705</v>
      </c>
      <c r="C87" s="1641" t="str">
        <f>CONCATENATE('ketv. 6 '!C115)</f>
        <v>09.1.3-CPVA-R-705-11-0004</v>
      </c>
      <c r="D87" s="1641" t="str">
        <f>CONCATENATE('ES lėšos'!B87)</f>
        <v>Alytaus r. ikimokyklinio ir priešmokyklinio ugdymo prieinamumo didinimas įkuriant ir atnaujinant edukacines erdves</v>
      </c>
      <c r="E87" s="1641" t="str">
        <f>CONCATENATE('ES lėšos'!D87)</f>
        <v>Alytaus rajono savivaldybės administracija</v>
      </c>
      <c r="F87" s="1641" t="str">
        <f>CONCATENATE('ES lėšos'!E87)</f>
        <v>Alytaus r. sav.</v>
      </c>
      <c r="G87" s="1653">
        <v>43028</v>
      </c>
      <c r="H87" s="1646" t="s">
        <v>1919</v>
      </c>
      <c r="I87" s="1647">
        <f>SUM('ES lėšos'!G87)</f>
        <v>494007</v>
      </c>
      <c r="J87" s="1648">
        <f ca="1">SUM('ES lėšos'!H87)</f>
        <v>494007</v>
      </c>
      <c r="K87" s="1647">
        <f t="shared" ca="1" si="9"/>
        <v>0</v>
      </c>
      <c r="L87" s="1649">
        <f ca="1">IF(J87&gt;0,'ketv. 6 '!AF115/'ketv. 6 '!L115,"finansavimas dar neskirtas")</f>
        <v>0.82684962971721077</v>
      </c>
      <c r="M87" s="1657">
        <f>SUMIF('sutarčių ataskaita'!$J$19:$J$600,C87,'sutarčių ataskaita'!$BP$19:$BP$600)</f>
        <v>43921</v>
      </c>
      <c r="N87" s="1651">
        <f>IF('ketv. 5 '!S115=0,'ketv. 5 '!R115,'ketv. 5 '!S115)</f>
        <v>43845</v>
      </c>
      <c r="O87" s="1657">
        <f>SUMIF('sutarčių ataskaita'!$J$19:$J$600,C87,'sutarčių ataskaita'!$BO$19:$BO$600)</f>
        <v>43186</v>
      </c>
      <c r="P87" s="1657">
        <f>SUMIF('sutarčių ataskaita'!$J$19:$J$600,C87,'sutarčių ataskaita'!$L$19:$L$600)</f>
        <v>43186</v>
      </c>
      <c r="Q87" s="1658">
        <f t="shared" si="8"/>
        <v>24.164383561643834</v>
      </c>
      <c r="R87" s="1648">
        <f>SUM('ketv. 7 '!AK114)</f>
        <v>0</v>
      </c>
      <c r="S87" s="1648">
        <f>SUMIF('mokėjimų ataskaita'!$I$14:$I$601,C87,'mokėjimų ataskaita'!$AK$14:$AK$601)/2</f>
        <v>0</v>
      </c>
      <c r="T87" s="1648">
        <f>SUMIF('mokėjimų ataskaita'!I36:I623,C87,'mokėjimų ataskaita'!BS36:BS623)/2</f>
        <v>0</v>
      </c>
      <c r="U87" s="1649">
        <f t="shared" ca="1" si="7"/>
        <v>0</v>
      </c>
      <c r="V87" s="1758"/>
      <c r="W87" s="1758" t="s">
        <v>1940</v>
      </c>
      <c r="X87" s="1762" t="s">
        <v>1944</v>
      </c>
      <c r="Y87" s="1641"/>
      <c r="Z87" s="1641"/>
    </row>
    <row r="88" spans="1:26" ht="36" x14ac:dyDescent="0.2">
      <c r="A88" s="1646">
        <f>SUM('ES lėšos'!A88)</f>
        <v>87</v>
      </c>
      <c r="B88" s="1641" t="str">
        <f>CONCATENATE('ES lėšos'!C88)</f>
        <v>09.1.3-CPVA-R-705</v>
      </c>
      <c r="C88" s="1641" t="str">
        <f>CONCATENATE('ketv. 6 '!C116)</f>
        <v>09.1.3-CPVA-R-705-11-0001</v>
      </c>
      <c r="D88" s="1641" t="str">
        <f>CONCATENATE('ES lėšos'!B88)</f>
        <v>Alytaus lopšelio-darželio " Girinukas" ugdymo aplinkos modernizavimas</v>
      </c>
      <c r="E88" s="1641" t="str">
        <f>CONCATENATE('ES lėšos'!D88)</f>
        <v>Alytaus miesto savivaldybės administracija</v>
      </c>
      <c r="F88" s="1641" t="str">
        <f>CONCATENATE('ES lėšos'!E88)</f>
        <v>Alytaus m. sav.</v>
      </c>
      <c r="G88" s="1653">
        <v>42984</v>
      </c>
      <c r="H88" s="1646" t="s">
        <v>1916</v>
      </c>
      <c r="I88" s="1647">
        <f>SUM('ES lėšos'!G88)</f>
        <v>154688</v>
      </c>
      <c r="J88" s="1648">
        <f ca="1">SUM('ES lėšos'!H88)</f>
        <v>154688</v>
      </c>
      <c r="K88" s="1647">
        <f t="shared" ca="1" si="9"/>
        <v>0</v>
      </c>
      <c r="L88" s="1649">
        <f ca="1">IF(J88&gt;0,'ketv. 6 '!AF116/'ketv. 6 '!L116,"finansavimas dar neskirtas")</f>
        <v>0.84999945050718184</v>
      </c>
      <c r="M88" s="1657">
        <f>SUMIF('sutarčių ataskaita'!$J$19:$J$600,C88,'sutarčių ataskaita'!$BP$19:$BP$600)</f>
        <v>43646</v>
      </c>
      <c r="N88" s="1651">
        <f>IF('ketv. 5 '!S116=0,'ketv. 5 '!R116,'ketv. 5 '!S116)</f>
        <v>43739.5</v>
      </c>
      <c r="O88" s="1657">
        <f>SUMIF('sutarčių ataskaita'!$J$19:$J$600,C88,'sutarčių ataskaita'!$BO$19:$BO$600)</f>
        <v>43105</v>
      </c>
      <c r="P88" s="1657">
        <f>SUMIF('sutarčių ataskaita'!$J$19:$J$600,C88,'sutarčių ataskaita'!$L$19:$L$600)</f>
        <v>43164</v>
      </c>
      <c r="Q88" s="1658">
        <f t="shared" si="8"/>
        <v>15.846575342465753</v>
      </c>
      <c r="R88" s="1648">
        <f>SUM('ketv. 7 '!AK115)</f>
        <v>33980.69</v>
      </c>
      <c r="S88" s="1648">
        <f>SUMIF('mokėjimų ataskaita'!$I$14:$I$601,C88,'mokėjimų ataskaita'!$AK$14:$AK$601)/2</f>
        <v>33980.69</v>
      </c>
      <c r="T88" s="1648">
        <f>SUMIF('mokėjimų ataskaita'!I37:I624,C88,'mokėjimų ataskaita'!BS37:BS624)/2</f>
        <v>0</v>
      </c>
      <c r="U88" s="1649">
        <f t="shared" ca="1" si="7"/>
        <v>0.21967243742242451</v>
      </c>
      <c r="V88" s="1758"/>
      <c r="W88" s="1758" t="s">
        <v>1940</v>
      </c>
      <c r="X88" s="1762" t="s">
        <v>1965</v>
      </c>
      <c r="Y88" s="1641"/>
      <c r="Z88" s="1641"/>
    </row>
    <row r="89" spans="1:26" ht="48" x14ac:dyDescent="0.2">
      <c r="A89" s="1646">
        <f>SUM('ES lėšos'!A89)</f>
        <v>88</v>
      </c>
      <c r="B89" s="1641" t="str">
        <f>CONCATENATE('ES lėšos'!C89)</f>
        <v>09.1.3-CPVA-R-705</v>
      </c>
      <c r="C89" s="1641" t="str">
        <f>CONCATENATE('ketv. 6 '!C117)</f>
        <v>09.1.3-CPVA-R-705-11-0006</v>
      </c>
      <c r="D89" s="1641" t="str">
        <f>CONCATENATE('ES lėšos'!B89)</f>
        <v>Druskininkų sav. Viečiūnų progimnazijos ikimokyklinio ugdymo skyriaus „Linelis“ ugdymo prieinamumo didinimas</v>
      </c>
      <c r="E89" s="1641" t="str">
        <f>CONCATENATE('ES lėšos'!D89)</f>
        <v xml:space="preserve">Druskininkų savivaldybės administracija  </v>
      </c>
      <c r="F89" s="1641" t="str">
        <f>CONCATENATE('ES lėšos'!E89)</f>
        <v>Druskininkų sav.</v>
      </c>
      <c r="G89" s="1653">
        <v>43049</v>
      </c>
      <c r="H89" s="1646" t="s">
        <v>1920</v>
      </c>
      <c r="I89" s="1647">
        <f>SUM('ES lėšos'!G89)</f>
        <v>89074</v>
      </c>
      <c r="J89" s="1648">
        <f ca="1">SUM('ES lėšos'!H89)</f>
        <v>89074</v>
      </c>
      <c r="K89" s="1647">
        <f t="shared" ca="1" si="9"/>
        <v>0</v>
      </c>
      <c r="L89" s="1649">
        <f ca="1">IF(J89&gt;0,'ketv. 6 '!AF117/'ketv. 6 '!L117,"finansavimas dar neskirtas")</f>
        <v>0.50603131333628903</v>
      </c>
      <c r="M89" s="1657">
        <f>SUMIF('sutarčių ataskaita'!$J$19:$J$600,C89,'sutarčių ataskaita'!$BP$19:$BP$600)</f>
        <v>43830</v>
      </c>
      <c r="N89" s="1651">
        <f>IF('ketv. 5 '!S117=0,'ketv. 5 '!R117,'ketv. 5 '!S117)</f>
        <v>43707</v>
      </c>
      <c r="O89" s="1657">
        <f>SUMIF('sutarčių ataskaita'!$J$19:$J$600,C89,'sutarčių ataskaita'!$BO$19:$BO$600)</f>
        <v>43017</v>
      </c>
      <c r="P89" s="1657">
        <f>SUMIF('sutarčių ataskaita'!$J$19:$J$600,C89,'sutarčių ataskaita'!$L$19:$L$600)</f>
        <v>43265</v>
      </c>
      <c r="Q89" s="1658">
        <f t="shared" si="8"/>
        <v>18.575342465753423</v>
      </c>
      <c r="R89" s="1648">
        <f>SUM('ketv. 7 '!AK116)</f>
        <v>3027.08</v>
      </c>
      <c r="S89" s="1648">
        <f>SUMIF('mokėjimų ataskaita'!$I$14:$I$601,C89,'mokėjimų ataskaita'!$AK$14:$AK$601)/2</f>
        <v>3027.08</v>
      </c>
      <c r="T89" s="1648">
        <f>SUMIF('mokėjimų ataskaita'!I38:I625,C89,'mokėjimų ataskaita'!BS38:BS625)/2</f>
        <v>0</v>
      </c>
      <c r="U89" s="1649">
        <f t="shared" ref="U89:U120" ca="1" si="10">IF(J89&gt;0,R89/J89,"finansavimas dar neskirtas")</f>
        <v>3.3983878572871995E-2</v>
      </c>
      <c r="V89" s="1758"/>
      <c r="W89" s="1758" t="s">
        <v>1940</v>
      </c>
      <c r="X89" s="1762" t="s">
        <v>1988</v>
      </c>
      <c r="Y89" s="1641"/>
      <c r="Z89" s="1641"/>
    </row>
    <row r="90" spans="1:26" ht="48" x14ac:dyDescent="0.2">
      <c r="A90" s="1646">
        <f>SUM('ES lėšos'!A90)</f>
        <v>89</v>
      </c>
      <c r="B90" s="1641" t="str">
        <f>CONCATENATE('ES lėšos'!C90)</f>
        <v>09.1.3-CPVA-R-705</v>
      </c>
      <c r="C90" s="1641" t="str">
        <f>CONCATENATE('ketv. 6 '!C118)</f>
        <v>09.1.3-CPVA-R-705-11-0002</v>
      </c>
      <c r="D90" s="1641" t="str">
        <f>CONCATENATE('ES lėšos'!B90)</f>
        <v>Ikimokyklinio ir priešmokyklinio ugdymo įstaigų Lazdijų rajono savivaldybėje modernizavimas</v>
      </c>
      <c r="E90" s="1641" t="str">
        <f>CONCATENATE('ES lėšos'!D90)</f>
        <v>Lazdijų rajono savivaldybės administracija</v>
      </c>
      <c r="F90" s="1641" t="str">
        <f>CONCATENATE('ES lėšos'!E90)</f>
        <v>Lazdijų r. sav.</v>
      </c>
      <c r="G90" s="1653">
        <v>42979</v>
      </c>
      <c r="H90" s="1646" t="s">
        <v>1917</v>
      </c>
      <c r="I90" s="1647">
        <f>SUM('ES lėšos'!G90)</f>
        <v>113512</v>
      </c>
      <c r="J90" s="1648">
        <f ca="1">SUM('ES lėšos'!H90)</f>
        <v>113512</v>
      </c>
      <c r="K90" s="1647">
        <f t="shared" ca="1" si="9"/>
        <v>0</v>
      </c>
      <c r="L90" s="1649">
        <f ca="1">IF(J90&gt;0,'ketv. 6 '!AF118/'ketv. 6 '!L118,"finansavimas dar neskirtas")</f>
        <v>0.84993202385757816</v>
      </c>
      <c r="M90" s="1657">
        <f>SUMIF('sutarčių ataskaita'!$J$19:$J$600,C90,'sutarčių ataskaita'!$BP$19:$BP$600)</f>
        <v>43769</v>
      </c>
      <c r="N90" s="1651">
        <f>IF('ketv. 5 '!S118=0,'ketv. 5 '!R118,'ketv. 5 '!S118)</f>
        <v>43739</v>
      </c>
      <c r="O90" s="1657">
        <f>SUMIF('sutarčių ataskaita'!$J$19:$J$600,C90,'sutarčių ataskaita'!$BO$19:$BO$600)</f>
        <v>42998</v>
      </c>
      <c r="P90" s="1657">
        <f>SUMIF('sutarčių ataskaita'!$J$19:$J$600,C90,'sutarčių ataskaita'!$L$19:$L$600)</f>
        <v>43193</v>
      </c>
      <c r="Q90" s="1658">
        <f t="shared" si="8"/>
        <v>18.936986301369863</v>
      </c>
      <c r="R90" s="1648">
        <f>SUM('ketv. 7 '!AK117)</f>
        <v>35408.32</v>
      </c>
      <c r="S90" s="1648">
        <f>SUMIF('mokėjimų ataskaita'!$I$14:$I$601,C90,'mokėjimų ataskaita'!$AK$14:$AK$601)/2</f>
        <v>35408.32</v>
      </c>
      <c r="T90" s="1648">
        <f>SUMIF('mokėjimų ataskaita'!I39:I626,C90,'mokėjimų ataskaita'!BS39:BS626)/2</f>
        <v>1354.72</v>
      </c>
      <c r="U90" s="1649">
        <f t="shared" ca="1" si="10"/>
        <v>0.31193459722320105</v>
      </c>
      <c r="V90" s="1758"/>
      <c r="W90" s="1758" t="s">
        <v>1940</v>
      </c>
      <c r="X90" s="1762" t="s">
        <v>1987</v>
      </c>
      <c r="Y90" s="1641"/>
      <c r="Z90" s="1641"/>
    </row>
    <row r="91" spans="1:26" ht="48" x14ac:dyDescent="0.2">
      <c r="A91" s="1646">
        <f>SUM('ES lėšos'!A91)</f>
        <v>90</v>
      </c>
      <c r="B91" s="1641" t="str">
        <f>CONCATENATE('ES lėšos'!C91)</f>
        <v>08.1.3-CPVA-R-609</v>
      </c>
      <c r="C91" s="1641" t="str">
        <f>CONCATENATE('ketv. 2'!B121)</f>
        <v>08.1.3-CPVA-R-609-11-0002</v>
      </c>
      <c r="D91" s="1641" t="str">
        <f>CONCATENATE('ES lėšos'!B91)</f>
        <v xml:space="preserve">Alytaus poliklinikos teikiamų pirminės sveikatos priežiūros paslaugų prieinamumo didinimas ir kokybės gerinimas </v>
      </c>
      <c r="E91" s="1641" t="str">
        <f>CONCATENATE('ES lėšos'!D91)</f>
        <v>VšĮ Alytaus poliklinika</v>
      </c>
      <c r="F91" s="1641" t="str">
        <f>CONCATENATE('ES lėšos'!E91)</f>
        <v>Alytaus m. sav.</v>
      </c>
      <c r="G91" s="1653">
        <v>43298</v>
      </c>
      <c r="H91" s="1646" t="s">
        <v>1913</v>
      </c>
      <c r="I91" s="1647">
        <f>SUM('ES lėšos'!G91)</f>
        <v>389456</v>
      </c>
      <c r="J91" s="1648">
        <f ca="1">SUM('ES lėšos'!H91)</f>
        <v>0</v>
      </c>
      <c r="K91" s="1647" t="str">
        <f t="shared" ca="1" si="9"/>
        <v>finansavimas dar neskirtas</v>
      </c>
      <c r="L91" s="1649" t="str">
        <f ca="1">IF(J91&gt;0,'ketv. 6 '!AF121/'ketv. 6 '!L121,"finansavimas dar neskirtas")</f>
        <v>finansavimas dar neskirtas</v>
      </c>
      <c r="M91" s="1657"/>
      <c r="N91" s="1651">
        <f>IF('ketv. 5 '!S121=0,'ketv. 5 '!R121,'ketv. 5 '!S121)</f>
        <v>44367</v>
      </c>
      <c r="O91" s="1657"/>
      <c r="P91" s="1657"/>
      <c r="Q91" s="1658">
        <f t="shared" si="8"/>
        <v>0</v>
      </c>
      <c r="R91" s="1648">
        <f>SUM('ketv. 7 '!AK120)</f>
        <v>0</v>
      </c>
      <c r="S91" s="1648">
        <f>SUMIF('mokėjimų ataskaita'!$I$14:$I$601,C91,'mokėjimų ataskaita'!$AK$14:$AK$601)/2</f>
        <v>0</v>
      </c>
      <c r="T91" s="1648">
        <f>SUMIF('mokėjimų ataskaita'!I40:I627,C91,'mokėjimų ataskaita'!BS40:BS627)/2</f>
        <v>0</v>
      </c>
      <c r="U91" s="1649" t="str">
        <f t="shared" ca="1" si="10"/>
        <v>finansavimas dar neskirtas</v>
      </c>
      <c r="V91" s="1758"/>
      <c r="W91" s="1763" t="s">
        <v>1968</v>
      </c>
      <c r="X91" s="1762" t="s">
        <v>1975</v>
      </c>
      <c r="Y91" s="1641"/>
      <c r="Z91" s="1641"/>
    </row>
    <row r="92" spans="1:26" ht="48" x14ac:dyDescent="0.2">
      <c r="A92" s="1646">
        <f>SUM('ES lėšos'!A92)</f>
        <v>91</v>
      </c>
      <c r="B92" s="1641" t="str">
        <f>CONCATENATE('ES lėšos'!C92)</f>
        <v>08.1.3-CPVA-R-609</v>
      </c>
      <c r="C92" s="1641" t="str">
        <f>CONCATENATE('ketv. 2'!B122)</f>
        <v>08.1.3-CPVA-R-609-11-0004</v>
      </c>
      <c r="D92" s="1641" t="str">
        <f>CONCATENATE('ES lėšos'!B92)</f>
        <v>Sveikatos priežiūros paslaugų modernizavimas bei optimizavimas pirminės sveikatos priežiūros centre</v>
      </c>
      <c r="E92" s="1641" t="str">
        <f>CONCATENATE('ES lėšos'!D92)</f>
        <v xml:space="preserve">VšĮ Alytaus miesto savivaldybės pirminės sveikatos priežiūros centras </v>
      </c>
      <c r="F92" s="1641" t="str">
        <f>CONCATENATE('ES lėšos'!E92)</f>
        <v>Alytaus m. sav.</v>
      </c>
      <c r="G92" s="1653">
        <v>43244</v>
      </c>
      <c r="H92" s="1646" t="s">
        <v>1870</v>
      </c>
      <c r="I92" s="1647">
        <f>SUM('ES lėšos'!G92)</f>
        <v>42802</v>
      </c>
      <c r="J92" s="1648">
        <f ca="1">SUM('ES lėšos'!H92)</f>
        <v>0</v>
      </c>
      <c r="K92" s="1647" t="str">
        <f t="shared" ca="1" si="9"/>
        <v>finansavimas dar neskirtas</v>
      </c>
      <c r="L92" s="1649" t="str">
        <f ca="1">IF(J92&gt;0,'ketv. 6 '!AF122/'ketv. 6 '!L122,"finansavimas dar neskirtas")</f>
        <v>finansavimas dar neskirtas</v>
      </c>
      <c r="M92" s="1657"/>
      <c r="N92" s="1651">
        <f>IF('ketv. 5 '!S122=0,'ketv. 5 '!R122,'ketv. 5 '!S122)</f>
        <v>44196</v>
      </c>
      <c r="O92" s="1657"/>
      <c r="P92" s="1657"/>
      <c r="Q92" s="1658">
        <f t="shared" si="8"/>
        <v>0</v>
      </c>
      <c r="R92" s="1648">
        <f>SUM('ketv. 7 '!AK121)</f>
        <v>0</v>
      </c>
      <c r="S92" s="1648">
        <f>SUMIF('mokėjimų ataskaita'!$I$14:$I$601,C92,'mokėjimų ataskaita'!$AK$14:$AK$601)/2</f>
        <v>0</v>
      </c>
      <c r="T92" s="1648">
        <f>SUMIF('mokėjimų ataskaita'!I41:I628,C92,'mokėjimų ataskaita'!BS41:BS628)/2</f>
        <v>0</v>
      </c>
      <c r="U92" s="1649" t="str">
        <f t="shared" ca="1" si="10"/>
        <v>finansavimas dar neskirtas</v>
      </c>
      <c r="V92" s="1758"/>
      <c r="W92" s="1763" t="s">
        <v>1968</v>
      </c>
      <c r="X92" s="1762" t="s">
        <v>1977</v>
      </c>
      <c r="Y92" s="1641"/>
      <c r="Z92" s="1641"/>
    </row>
    <row r="93" spans="1:26" ht="60" x14ac:dyDescent="0.2">
      <c r="A93" s="1646">
        <f>SUM('ES lėšos'!A93)</f>
        <v>92</v>
      </c>
      <c r="B93" s="1641" t="str">
        <f>CONCATENATE('ES lėšos'!C93)</f>
        <v>08.1.3-CPVA-R-609</v>
      </c>
      <c r="C93" s="1641" t="str">
        <f>CONCATENATE('ketv. 2'!B123)</f>
        <v>08.1.3-CPVA-R-609-11-0003</v>
      </c>
      <c r="D93" s="1641" t="str">
        <f>CONCATENATE('ES lėšos'!B93)</f>
        <v>UAB „MediCA klinika“ teikiamų pirminės asmens sveikatos priežiūros paslaugų efektyvumo didinimas Alytaus miesto savivaldybėje</v>
      </c>
      <c r="E93" s="1641" t="str">
        <f>CONCATENATE('ES lėšos'!D93)</f>
        <v>UAB „MediCA klinika“</v>
      </c>
      <c r="F93" s="1641" t="str">
        <f>CONCATENATE('ES lėšos'!E93)</f>
        <v>Alytaus m. sav.</v>
      </c>
      <c r="G93" s="1653">
        <v>43244</v>
      </c>
      <c r="H93" s="1646" t="s">
        <v>1867</v>
      </c>
      <c r="I93" s="1647">
        <f>SUM('ES lėšos'!G93)</f>
        <v>70498</v>
      </c>
      <c r="J93" s="1648">
        <f ca="1">SUM('ES lėšos'!H93)</f>
        <v>0</v>
      </c>
      <c r="K93" s="1647" t="str">
        <f t="shared" ca="1" si="9"/>
        <v>finansavimas dar neskirtas</v>
      </c>
      <c r="L93" s="1649" t="str">
        <f ca="1">IF(J93&gt;0,'ketv. 6 '!AF123/'ketv. 6 '!L123,"finansavimas dar neskirtas")</f>
        <v>finansavimas dar neskirtas</v>
      </c>
      <c r="M93" s="1657"/>
      <c r="N93" s="1651">
        <f>IF('ketv. 5 '!S123=0,'ketv. 5 '!R123,'ketv. 5 '!S123)</f>
        <v>44196</v>
      </c>
      <c r="O93" s="1657"/>
      <c r="P93" s="1657"/>
      <c r="Q93" s="1658">
        <f t="shared" si="8"/>
        <v>0</v>
      </c>
      <c r="R93" s="1648">
        <f>SUM('ketv. 7 '!AK122)</f>
        <v>0</v>
      </c>
      <c r="S93" s="1648">
        <f>SUMIF('mokėjimų ataskaita'!$I$14:$I$601,C93,'mokėjimų ataskaita'!$AK$14:$AK$601)/2</f>
        <v>0</v>
      </c>
      <c r="T93" s="1648">
        <f>SUMIF('mokėjimų ataskaita'!I42:I629,C93,'mokėjimų ataskaita'!BS42:BS629)/2</f>
        <v>0</v>
      </c>
      <c r="U93" s="1649" t="str">
        <f t="shared" ca="1" si="10"/>
        <v>finansavimas dar neskirtas</v>
      </c>
      <c r="V93" s="1758"/>
      <c r="W93" s="1763" t="s">
        <v>1968</v>
      </c>
      <c r="X93" s="1762" t="s">
        <v>1976</v>
      </c>
      <c r="Y93" s="1641"/>
      <c r="Z93" s="1641"/>
    </row>
    <row r="94" spans="1:26" ht="36" x14ac:dyDescent="0.2">
      <c r="A94" s="1646">
        <f>SUM('ES lėšos'!A94)</f>
        <v>93</v>
      </c>
      <c r="B94" s="1641" t="str">
        <f>CONCATENATE('ES lėšos'!C94)</f>
        <v>08.1.3-CPVA-R-609</v>
      </c>
      <c r="C94" s="1641" t="str">
        <f>CONCATENATE('ketv. 2'!B124)</f>
        <v>08.1.3-CPVA-R-609-11-0005</v>
      </c>
      <c r="D94" s="1641" t="str">
        <f>CONCATENATE('ES lėšos'!B94)</f>
        <v>UAB "Pagalba ligoniui" teikiamų paslaugų efektyvumo didinimas</v>
      </c>
      <c r="E94" s="1641" t="str">
        <f>CONCATENATE('ES lėšos'!D94)</f>
        <v>UAB „Pagalba ligoniui“, Alytaus filialas</v>
      </c>
      <c r="F94" s="1641" t="str">
        <f>CONCATENATE('ES lėšos'!E94)</f>
        <v>Alytaus m. sav.</v>
      </c>
      <c r="G94" s="1653">
        <v>43244</v>
      </c>
      <c r="H94" s="1646" t="s">
        <v>1868</v>
      </c>
      <c r="I94" s="1647">
        <f>SUM('ES lėšos'!G94)</f>
        <v>36901.07</v>
      </c>
      <c r="J94" s="1648">
        <f ca="1">SUM('ES lėšos'!H94)</f>
        <v>0</v>
      </c>
      <c r="K94" s="1647" t="str">
        <f t="shared" ca="1" si="9"/>
        <v>finansavimas dar neskirtas</v>
      </c>
      <c r="L94" s="1649" t="str">
        <f ca="1">IF(J94&gt;0,'ketv. 6 '!AF124/'ketv. 6 '!L124,"finansavimas dar neskirtas")</f>
        <v>finansavimas dar neskirtas</v>
      </c>
      <c r="M94" s="1657"/>
      <c r="N94" s="1651">
        <f>IF('ketv. 5 '!S124=0,'ketv. 5 '!R124,'ketv. 5 '!S124)</f>
        <v>44561</v>
      </c>
      <c r="O94" s="1657"/>
      <c r="P94" s="1657"/>
      <c r="Q94" s="1658">
        <f t="shared" si="8"/>
        <v>0</v>
      </c>
      <c r="R94" s="1648">
        <f>SUM('ketv. 7 '!AK123)</f>
        <v>0</v>
      </c>
      <c r="S94" s="1648">
        <f>SUMIF('mokėjimų ataskaita'!$I$14:$I$601,C94,'mokėjimų ataskaita'!$AK$14:$AK$601)/2</f>
        <v>0</v>
      </c>
      <c r="T94" s="1648">
        <f>SUMIF('mokėjimų ataskaita'!I43:I630,C94,'mokėjimų ataskaita'!BS43:BS630)/2</f>
        <v>0</v>
      </c>
      <c r="U94" s="1649" t="str">
        <f t="shared" ca="1" si="10"/>
        <v>finansavimas dar neskirtas</v>
      </c>
      <c r="V94" s="1758"/>
      <c r="W94" s="1763" t="s">
        <v>1968</v>
      </c>
      <c r="X94" s="1762" t="s">
        <v>1978</v>
      </c>
      <c r="Y94" s="1641"/>
      <c r="Z94" s="1641"/>
    </row>
    <row r="95" spans="1:26" ht="48" x14ac:dyDescent="0.2">
      <c r="A95" s="1646">
        <f>SUM('ES lėšos'!A95)</f>
        <v>94</v>
      </c>
      <c r="B95" s="1641" t="str">
        <f>CONCATENATE('ES lėšos'!C95)</f>
        <v>08.1.3-CPVA-R-609</v>
      </c>
      <c r="C95" s="1641" t="str">
        <f>CONCATENATE('ketv. 6 '!C125)</f>
        <v>-</v>
      </c>
      <c r="D95" s="1641" t="str">
        <f>CONCATENATE('ES lėšos'!B95)</f>
        <v>Pirminės asmens sveikatos priežiūros veiklos efektyvumo didinimas Alytaus rajono savivaldybėje</v>
      </c>
      <c r="E95" s="1641" t="str">
        <f>CONCATENATE('ES lėšos'!D95)</f>
        <v>VšĮ Alytaus rajono savivaldybės pirminės sveikatos priežiūros centras</v>
      </c>
      <c r="F95" s="1641" t="str">
        <f>CONCATENATE('ES lėšos'!E95)</f>
        <v>Alytaus r. sav.</v>
      </c>
      <c r="G95" s="1653">
        <v>43244</v>
      </c>
      <c r="H95" s="1646" t="s">
        <v>1865</v>
      </c>
      <c r="I95" s="1647">
        <f>SUM('ES lėšos'!G95)</f>
        <v>145890</v>
      </c>
      <c r="J95" s="1648">
        <f ca="1">SUM('ES lėšos'!H95)</f>
        <v>0</v>
      </c>
      <c r="K95" s="1647" t="str">
        <f t="shared" ca="1" si="9"/>
        <v>finansavimas dar neskirtas</v>
      </c>
      <c r="L95" s="1649" t="str">
        <f ca="1">IF(J95&gt;0,'ketv. 6 '!AF125/'ketv. 6 '!L125,"finansavimas dar neskirtas")</f>
        <v>finansavimas dar neskirtas</v>
      </c>
      <c r="M95" s="1657"/>
      <c r="N95" s="1651">
        <f>IF('ketv. 5 '!S125=0,'ketv. 5 '!R125,'ketv. 5 '!S125)</f>
        <v>44134</v>
      </c>
      <c r="O95" s="1657"/>
      <c r="P95" s="1657"/>
      <c r="Q95" s="1658">
        <f t="shared" si="8"/>
        <v>0</v>
      </c>
      <c r="R95" s="1648">
        <f>SUM('ketv. 7 '!AK124)</f>
        <v>0</v>
      </c>
      <c r="S95" s="1648">
        <f>SUMIF('mokėjimų ataskaita'!$I$14:$I$601,C95,'mokėjimų ataskaita'!$AK$14:$AK$601)/2</f>
        <v>0</v>
      </c>
      <c r="T95" s="1648">
        <f>SUMIF('mokėjimų ataskaita'!I44:I631,C95,'mokėjimų ataskaita'!BS44:BS631)/2</f>
        <v>0</v>
      </c>
      <c r="U95" s="1649" t="str">
        <f t="shared" ca="1" si="10"/>
        <v>finansavimas dar neskirtas</v>
      </c>
      <c r="V95" s="1758"/>
      <c r="W95" s="1763"/>
      <c r="X95" s="1762"/>
      <c r="Y95" s="1641"/>
      <c r="Z95" s="1641"/>
    </row>
    <row r="96" spans="1:26" ht="24" x14ac:dyDescent="0.2">
      <c r="A96" s="1646">
        <f>SUM('ES lėšos'!A96)</f>
        <v>95</v>
      </c>
      <c r="B96" s="1641" t="str">
        <f>CONCATENATE('ES lėšos'!C96)</f>
        <v>08.1.3-CPVA-R-609</v>
      </c>
      <c r="C96" s="1641" t="str">
        <f>CONCATENATE('ketv. 6 '!C126)</f>
        <v>-</v>
      </c>
      <c r="D96" s="1641" t="str">
        <f>CONCATENATE('ES lėšos'!B96)</f>
        <v>Sveikatos priežiūros paslaugų gerinimas "UAB "Disolis"</v>
      </c>
      <c r="E96" s="1641" t="str">
        <f>CONCATENATE('ES lėšos'!D96)</f>
        <v>UAB „Disolis“</v>
      </c>
      <c r="F96" s="1641" t="str">
        <f>CONCATENATE('ES lėšos'!E96)</f>
        <v>Alytaus r. sav.</v>
      </c>
      <c r="G96" s="1653">
        <v>43244</v>
      </c>
      <c r="H96" s="1646" t="s">
        <v>1866</v>
      </c>
      <c r="I96" s="1647">
        <f>SUM('ES lėšos'!G96)</f>
        <v>14778</v>
      </c>
      <c r="J96" s="1648">
        <f ca="1">SUM('ES lėšos'!H96)</f>
        <v>0</v>
      </c>
      <c r="K96" s="1647" t="str">
        <f t="shared" ca="1" si="9"/>
        <v>finansavimas dar neskirtas</v>
      </c>
      <c r="L96" s="1649" t="str">
        <f ca="1">IF(J96&gt;0,'ketv. 6 '!AF126/'ketv. 6 '!L126,"finansavimas dar neskirtas")</f>
        <v>finansavimas dar neskirtas</v>
      </c>
      <c r="M96" s="1657"/>
      <c r="N96" s="1651">
        <f>IF('ketv. 5 '!S126=0,'ketv. 5 '!R126,'ketv. 5 '!S126)</f>
        <v>43830</v>
      </c>
      <c r="O96" s="1657"/>
      <c r="P96" s="1657"/>
      <c r="Q96" s="1658">
        <f t="shared" si="8"/>
        <v>0</v>
      </c>
      <c r="R96" s="1648">
        <f>SUM('ketv. 7 '!AK125)</f>
        <v>0</v>
      </c>
      <c r="S96" s="1648">
        <f>SUMIF('mokėjimų ataskaita'!$I$14:$I$601,C96,'mokėjimų ataskaita'!$AK$14:$AK$601)/2</f>
        <v>0</v>
      </c>
      <c r="T96" s="1648">
        <f>SUMIF('mokėjimų ataskaita'!I45:I632,C96,'mokėjimų ataskaita'!BS45:BS632)/2</f>
        <v>0</v>
      </c>
      <c r="U96" s="1649" t="str">
        <f t="shared" ca="1" si="10"/>
        <v>finansavimas dar neskirtas</v>
      </c>
      <c r="V96" s="1758"/>
      <c r="W96" s="1763"/>
      <c r="X96" s="1762"/>
      <c r="Y96" s="1641"/>
      <c r="Z96" s="1641"/>
    </row>
    <row r="97" spans="1:26" ht="48" x14ac:dyDescent="0.2">
      <c r="A97" s="1646">
        <f>SUM('ES lėšos'!A97)</f>
        <v>96</v>
      </c>
      <c r="B97" s="1641" t="str">
        <f>CONCATENATE('ES lėšos'!C97)</f>
        <v>08.1.3-CPVA-R-609</v>
      </c>
      <c r="C97" s="1641" t="str">
        <f>CONCATENATE('ketv. 6 '!C127)</f>
        <v>-</v>
      </c>
      <c r="D97" s="1641" t="str">
        <f>CONCATENATE('ES lėšos'!B97)</f>
        <v>Pirminės asmens sveikatos priežiūros kokybės ir prieinamumo gerinimas Druskininkų savivaldybėje</v>
      </c>
      <c r="E97" s="1641" t="str">
        <f>CONCATENATE('ES lėšos'!D97)</f>
        <v>VšĮ Druskininkų pirminės sveikatos priežiūros centras</v>
      </c>
      <c r="F97" s="1641" t="str">
        <f>CONCATENATE('ES lėšos'!E97)</f>
        <v>Druskininkų sav.</v>
      </c>
      <c r="G97" s="1653">
        <v>43249</v>
      </c>
      <c r="H97" s="1646" t="s">
        <v>1873</v>
      </c>
      <c r="I97" s="1647">
        <f>SUM('ES lėšos'!G97)</f>
        <v>139002</v>
      </c>
      <c r="J97" s="1648">
        <f ca="1">SUM('ES lėšos'!H97)</f>
        <v>0</v>
      </c>
      <c r="K97" s="1647" t="str">
        <f t="shared" ca="1" si="9"/>
        <v>finansavimas dar neskirtas</v>
      </c>
      <c r="L97" s="1649" t="str">
        <f ca="1">IF(J97&gt;0,'ketv. 6 '!AF127/'ketv. 6 '!L127,"finansavimas dar neskirtas")</f>
        <v>finansavimas dar neskirtas</v>
      </c>
      <c r="M97" s="1657"/>
      <c r="N97" s="1651">
        <f>IF('ketv. 5 '!S127=0,'ketv. 5 '!R127,'ketv. 5 '!S127)</f>
        <v>44196</v>
      </c>
      <c r="O97" s="1657"/>
      <c r="P97" s="1657"/>
      <c r="Q97" s="1658">
        <f t="shared" si="8"/>
        <v>0</v>
      </c>
      <c r="R97" s="1648">
        <f>SUM('ketv. 7 '!AK126)</f>
        <v>0</v>
      </c>
      <c r="S97" s="1648">
        <f>SUMIF('mokėjimų ataskaita'!$I$14:$I$601,C97,'mokėjimų ataskaita'!$AK$14:$AK$601)/2</f>
        <v>0</v>
      </c>
      <c r="T97" s="1648">
        <f>SUMIF('mokėjimų ataskaita'!I46:I633,C97,'mokėjimų ataskaita'!BS46:BS633)/2</f>
        <v>0</v>
      </c>
      <c r="U97" s="1649" t="str">
        <f t="shared" ca="1" si="10"/>
        <v>finansavimas dar neskirtas</v>
      </c>
      <c r="V97" s="1758"/>
      <c r="W97" s="1763"/>
      <c r="X97" s="1762"/>
      <c r="Y97" s="1641"/>
      <c r="Z97" s="1641"/>
    </row>
    <row r="98" spans="1:26" ht="60" x14ac:dyDescent="0.2">
      <c r="A98" s="1646">
        <f>SUM('ES lėšos'!A98)</f>
        <v>97</v>
      </c>
      <c r="B98" s="1641" t="str">
        <f>CONCATENATE('ES lėšos'!C98)</f>
        <v>08.1.3-CPVA-R-609</v>
      </c>
      <c r="C98" s="1641" t="str">
        <f>CONCATENATE('ketv. 6 '!C128)</f>
        <v>-</v>
      </c>
      <c r="D98" s="1641" t="str">
        <f>CONCATENATE('ES lėšos'!B98)</f>
        <v>UAB "Druskininkų šeimos klinika" asmens sveikatos priežiūros paslaugų prieinamumo ir efektyvumo didinimas</v>
      </c>
      <c r="E98" s="1641" t="str">
        <f>CONCATENATE('ES lėšos'!D98)</f>
        <v>UAB „Druskininkų šeimos klinika“</v>
      </c>
      <c r="F98" s="1641" t="str">
        <f>CONCATENATE('ES lėšos'!E98)</f>
        <v>Druskininkų sav.</v>
      </c>
      <c r="G98" s="1653">
        <v>43244</v>
      </c>
      <c r="H98" s="1646" t="s">
        <v>1921</v>
      </c>
      <c r="I98" s="1647">
        <f>SUM('ES lėšos'!G98)</f>
        <v>10445</v>
      </c>
      <c r="J98" s="1648">
        <f ca="1">SUM('ES lėšos'!H98)</f>
        <v>0</v>
      </c>
      <c r="K98" s="1647" t="str">
        <f t="shared" ca="1" si="9"/>
        <v>finansavimas dar neskirtas</v>
      </c>
      <c r="L98" s="1649" t="str">
        <f ca="1">IF(J98&gt;0,'ketv. 6 '!AF128/'ketv. 6 '!L128,"finansavimas dar neskirtas")</f>
        <v>finansavimas dar neskirtas</v>
      </c>
      <c r="M98" s="1657"/>
      <c r="N98" s="1651">
        <f>IF('ketv. 5 '!S128=0,'ketv. 5 '!R128,'ketv. 5 '!S128)</f>
        <v>43922</v>
      </c>
      <c r="O98" s="1657"/>
      <c r="P98" s="1657"/>
      <c r="Q98" s="1658">
        <f t="shared" si="8"/>
        <v>0</v>
      </c>
      <c r="R98" s="1648">
        <f>SUM('ketv. 7 '!AK127)</f>
        <v>0</v>
      </c>
      <c r="S98" s="1648">
        <f>SUMIF('mokėjimų ataskaita'!$I$14:$I$601,C98,'mokėjimų ataskaita'!$AK$14:$AK$601)/2</f>
        <v>0</v>
      </c>
      <c r="T98" s="1648">
        <f>SUMIF('mokėjimų ataskaita'!I47:I634,C98,'mokėjimų ataskaita'!BS47:BS634)/2</f>
        <v>0</v>
      </c>
      <c r="U98" s="1649" t="str">
        <f t="shared" ca="1" si="10"/>
        <v>finansavimas dar neskirtas</v>
      </c>
      <c r="V98" s="1758"/>
      <c r="W98" s="1763"/>
      <c r="X98" s="1762"/>
      <c r="Y98" s="1641"/>
      <c r="Z98" s="1641"/>
    </row>
    <row r="99" spans="1:26" ht="60" x14ac:dyDescent="0.2">
      <c r="A99" s="1646">
        <f>SUM('ES lėšos'!A99)</f>
        <v>98</v>
      </c>
      <c r="B99" s="1641" t="str">
        <f>CONCATENATE('ES lėšos'!C99)</f>
        <v>08.1.3-CPVA-R-609</v>
      </c>
      <c r="C99" s="1641" t="str">
        <f>CONCATENATE('ketv. 2'!B129)</f>
        <v>08.1.3-CPVA-R-609-11-0001</v>
      </c>
      <c r="D99" s="1641" t="str">
        <f>CONCATENATE('ES lėšos'!B99)</f>
        <v>I. S. Kavaliauskienės įmonės teikiamų pirminės ambulatorinės asmens sveikatos priežiūros paslaugų kokybės ir prieinamumo gerinimas.</v>
      </c>
      <c r="E99" s="1641" t="str">
        <f>CONCATENATE('ES lėšos'!D99)</f>
        <v>Irenos Stanislavos Kavaliauskienės įmonė</v>
      </c>
      <c r="F99" s="1641" t="str">
        <f>CONCATENATE('ES lėšos'!E99)</f>
        <v>Druskininkų sav.</v>
      </c>
      <c r="G99" s="1653">
        <v>43249</v>
      </c>
      <c r="H99" s="1646" t="s">
        <v>1922</v>
      </c>
      <c r="I99" s="1647">
        <f>SUM('ES lėšos'!G99)</f>
        <v>21689</v>
      </c>
      <c r="J99" s="1648">
        <f ca="1">SUM('ES lėšos'!H99)</f>
        <v>0</v>
      </c>
      <c r="K99" s="1647" t="str">
        <f t="shared" ca="1" si="9"/>
        <v>finansavimas dar neskirtas</v>
      </c>
      <c r="L99" s="1649" t="str">
        <f ca="1">IF(J99&gt;0,'ketv. 6 '!AF129/'ketv. 6 '!L129,"finansavimas dar neskirtas")</f>
        <v>finansavimas dar neskirtas</v>
      </c>
      <c r="M99" s="1657"/>
      <c r="N99" s="1651">
        <f>IF('ketv. 5 '!S129=0,'ketv. 5 '!R129,'ketv. 5 '!S129)</f>
        <v>43830</v>
      </c>
      <c r="O99" s="1657"/>
      <c r="P99" s="1657"/>
      <c r="Q99" s="1658">
        <f t="shared" si="8"/>
        <v>0</v>
      </c>
      <c r="R99" s="1648">
        <f>SUM('ketv. 7 '!AK128)</f>
        <v>0</v>
      </c>
      <c r="S99" s="1648">
        <f>SUMIF('mokėjimų ataskaita'!$I$14:$I$601,C99,'mokėjimų ataskaita'!$AK$14:$AK$601)/2</f>
        <v>0</v>
      </c>
      <c r="T99" s="1648">
        <f>SUMIF('mokėjimų ataskaita'!I48:I635,C99,'mokėjimų ataskaita'!BS48:BS635)/2</f>
        <v>0</v>
      </c>
      <c r="U99" s="1649" t="str">
        <f t="shared" ca="1" si="10"/>
        <v>finansavimas dar neskirtas</v>
      </c>
      <c r="V99" s="1758"/>
      <c r="W99" s="1763" t="s">
        <v>1968</v>
      </c>
      <c r="X99" s="1762" t="s">
        <v>1974</v>
      </c>
      <c r="Y99" s="1641"/>
      <c r="Z99" s="1641"/>
    </row>
    <row r="100" spans="1:26" ht="60" x14ac:dyDescent="0.2">
      <c r="A100" s="1646">
        <f>SUM('ES lėšos'!A100)</f>
        <v>99</v>
      </c>
      <c r="B100" s="1641" t="str">
        <f>CONCATENATE('ES lėšos'!C100)</f>
        <v>08.1.3-CPVA-R-609</v>
      </c>
      <c r="C100" s="1641" t="str">
        <f>CONCATENATE('ketv. 6 '!C130)</f>
        <v>-</v>
      </c>
      <c r="D100" s="1641" t="str">
        <f>CONCATENATE('ES lėšos'!B100)</f>
        <v>Pirminės ambulatorinės asmens sveikatos priežiūros efektyvumo didinimas R.Ambrazaitienės ir L. Puzinovienės šeimos gydytojų kabinetuose</v>
      </c>
      <c r="E100" s="1641" t="str">
        <f>CONCATENATE('ES lėšos'!D100)</f>
        <v>UAB „Rasos Ambrazaitienės šeimos gydytojo kabinetas“</v>
      </c>
      <c r="F100" s="1641" t="str">
        <f>CONCATENATE('ES lėšos'!E100)</f>
        <v>Druskininkų sav.</v>
      </c>
      <c r="G100" s="1653">
        <v>43244</v>
      </c>
      <c r="H100" s="1646" t="s">
        <v>1869</v>
      </c>
      <c r="I100" s="1647">
        <f>SUM('ES lėšos'!G100)</f>
        <v>23720</v>
      </c>
      <c r="J100" s="1648">
        <f ca="1">SUM('ES lėšos'!H100)</f>
        <v>0</v>
      </c>
      <c r="K100" s="1647" t="str">
        <f t="shared" ca="1" si="9"/>
        <v>finansavimas dar neskirtas</v>
      </c>
      <c r="L100" s="1649" t="str">
        <f ca="1">IF(J100&gt;0,'ketv. 6 '!AF130/'ketv. 6 '!L130,"finansavimas dar neskirtas")</f>
        <v>finansavimas dar neskirtas</v>
      </c>
      <c r="M100" s="1657"/>
      <c r="N100" s="1651">
        <f>IF('ketv. 5 '!S130=0,'ketv. 5 '!R130,'ketv. 5 '!S130)</f>
        <v>44196</v>
      </c>
      <c r="O100" s="1657"/>
      <c r="P100" s="1657"/>
      <c r="Q100" s="1658">
        <f t="shared" si="8"/>
        <v>0</v>
      </c>
      <c r="R100" s="1648">
        <f>SUM('ketv. 7 '!AK129)</f>
        <v>0</v>
      </c>
      <c r="S100" s="1648">
        <f>SUMIF('mokėjimų ataskaita'!$I$14:$I$601,C100,'mokėjimų ataskaita'!$AK$14:$AK$601)/2</f>
        <v>0</v>
      </c>
      <c r="T100" s="1648">
        <f>SUMIF('mokėjimų ataskaita'!I49:I636,C100,'mokėjimų ataskaita'!BS49:BS636)/2</f>
        <v>0</v>
      </c>
      <c r="U100" s="1649" t="str">
        <f t="shared" ca="1" si="10"/>
        <v>finansavimas dar neskirtas</v>
      </c>
      <c r="V100" s="1758"/>
      <c r="W100" s="1763"/>
      <c r="X100" s="1762"/>
      <c r="Y100" s="1641"/>
      <c r="Z100" s="1641"/>
    </row>
    <row r="101" spans="1:26" ht="48" x14ac:dyDescent="0.2">
      <c r="A101" s="1646">
        <f>SUM('ES lėšos'!A101)</f>
        <v>100</v>
      </c>
      <c r="B101" s="1641" t="str">
        <f>CONCATENATE('ES lėšos'!C101)</f>
        <v>08.1.3-CPVA-R-609</v>
      </c>
      <c r="C101" s="1641" t="str">
        <f>CONCATENATE('ketv. 6 '!C131)</f>
        <v>-</v>
      </c>
      <c r="D101" s="1641" t="str">
        <f>CONCATENATE('ES lėšos'!B101)</f>
        <v xml:space="preserve">Pirminės asmens sveikatos priežiūros veiklos efektyvumo didinimas Lazdijų rajono savivaldybėje </v>
      </c>
      <c r="E101" s="1641" t="str">
        <f>CONCATENATE('ES lėšos'!D101)</f>
        <v>Lazdijų rajono savivaldybės administracija</v>
      </c>
      <c r="F101" s="1641" t="str">
        <f>CONCATENATE('ES lėšos'!E101)</f>
        <v>Lazdijų r. sav.</v>
      </c>
      <c r="G101" s="1653">
        <v>43249</v>
      </c>
      <c r="H101" s="1646" t="s">
        <v>1874</v>
      </c>
      <c r="I101" s="1647">
        <f>SUM('ES lėšos'!G101)</f>
        <v>163810.96</v>
      </c>
      <c r="J101" s="1648">
        <f ca="1">SUM('ES lėšos'!H101)</f>
        <v>0</v>
      </c>
      <c r="K101" s="1647" t="str">
        <f t="shared" ca="1" si="9"/>
        <v>finansavimas dar neskirtas</v>
      </c>
      <c r="L101" s="1649" t="str">
        <f ca="1">IF(J101&gt;0,'ketv. 6 '!AF131/'ketv. 6 '!L131,"finansavimas dar neskirtas")</f>
        <v>finansavimas dar neskirtas</v>
      </c>
      <c r="M101" s="1657"/>
      <c r="N101" s="1651">
        <f>IF('ketv. 5 '!S131=0,'ketv. 5 '!R131,'ketv. 5 '!S131)</f>
        <v>44531</v>
      </c>
      <c r="O101" s="1657"/>
      <c r="P101" s="1657"/>
      <c r="Q101" s="1658">
        <f t="shared" si="8"/>
        <v>0</v>
      </c>
      <c r="R101" s="1648">
        <f>SUM('ketv. 7 '!AK130)</f>
        <v>0</v>
      </c>
      <c r="S101" s="1648">
        <f>SUMIF('mokėjimų ataskaita'!$I$14:$I$601,C101,'mokėjimų ataskaita'!$AK$14:$AK$601)/2</f>
        <v>0</v>
      </c>
      <c r="T101" s="1648">
        <f>SUMIF('mokėjimų ataskaita'!I50:I637,C101,'mokėjimų ataskaita'!BS50:BS637)/2</f>
        <v>0</v>
      </c>
      <c r="U101" s="1649" t="str">
        <f t="shared" ca="1" si="10"/>
        <v>finansavimas dar neskirtas</v>
      </c>
      <c r="V101" s="1758"/>
      <c r="W101" s="1763"/>
      <c r="X101" s="1762"/>
      <c r="Y101" s="1641"/>
      <c r="Z101" s="1641"/>
    </row>
    <row r="102" spans="1:26" ht="48" x14ac:dyDescent="0.2">
      <c r="A102" s="1646">
        <f>SUM('ES lėšos'!A102)</f>
        <v>101</v>
      </c>
      <c r="B102" s="1641" t="str">
        <f>CONCATENATE('ES lėšos'!C102)</f>
        <v>08.1.3-CPVA-R-609</v>
      </c>
      <c r="C102" s="1641" t="str">
        <f>CONCATENATE('ketv. 6 '!C132)</f>
        <v>-</v>
      </c>
      <c r="D102" s="1641" t="str">
        <f>CONCATENATE('ES lėšos'!B102)</f>
        <v>Pirminės asmens sveikatos priežiūros veiklos efektyvumo didinimas Varėnos rajono savivaldybėje</v>
      </c>
      <c r="E102" s="1641" t="str">
        <f>CONCATENATE('ES lėšos'!D102)</f>
        <v>VšĮ Varėnos pirminės sveikatos priežiūros centras</v>
      </c>
      <c r="F102" s="1641" t="str">
        <f>CONCATENATE('ES lėšos'!E102)</f>
        <v>Varėnos r. sav.</v>
      </c>
      <c r="G102" s="1653">
        <v>43249</v>
      </c>
      <c r="H102" s="1646" t="s">
        <v>1872</v>
      </c>
      <c r="I102" s="1647">
        <f>SUM('ES lėšos'!G102)</f>
        <v>163764.63</v>
      </c>
      <c r="J102" s="1648">
        <f ca="1">SUM('ES lėšos'!H102)</f>
        <v>0</v>
      </c>
      <c r="K102" s="1647" t="str">
        <f t="shared" ca="1" si="9"/>
        <v>finansavimas dar neskirtas</v>
      </c>
      <c r="L102" s="1649" t="str">
        <f ca="1">IF(J102&gt;0,'ketv. 6 '!AF132/'ketv. 6 '!L132,"finansavimas dar neskirtas")</f>
        <v>finansavimas dar neskirtas</v>
      </c>
      <c r="M102" s="1657"/>
      <c r="N102" s="1651">
        <f>IF('ketv. 5 '!S132=0,'ketv. 5 '!R132,'ketv. 5 '!S132)</f>
        <v>44227</v>
      </c>
      <c r="O102" s="1657"/>
      <c r="P102" s="1657"/>
      <c r="Q102" s="1658">
        <f t="shared" si="8"/>
        <v>0</v>
      </c>
      <c r="R102" s="1648">
        <f>SUM('ketv. 7 '!AK131)</f>
        <v>0</v>
      </c>
      <c r="S102" s="1648">
        <f>SUMIF('mokėjimų ataskaita'!$I$14:$I$601,C102,'mokėjimų ataskaita'!$AK$14:$AK$601)/2</f>
        <v>0</v>
      </c>
      <c r="T102" s="1648">
        <f>SUMIF('mokėjimų ataskaita'!I51:I638,C102,'mokėjimų ataskaita'!BS51:BS638)/2</f>
        <v>0</v>
      </c>
      <c r="U102" s="1649" t="str">
        <f t="shared" ca="1" si="10"/>
        <v>finansavimas dar neskirtas</v>
      </c>
      <c r="V102" s="1758"/>
      <c r="W102" s="1763"/>
      <c r="X102" s="1762"/>
      <c r="Y102" s="1641"/>
      <c r="Z102" s="1641"/>
    </row>
    <row r="103" spans="1:26" ht="48" x14ac:dyDescent="0.2">
      <c r="A103" s="1646">
        <f>SUM('ES lėšos'!A103)</f>
        <v>102</v>
      </c>
      <c r="B103" s="1641" t="str">
        <f>CONCATENATE('ES lėšos'!C103)</f>
        <v>08.1.3-CPVA-R-609</v>
      </c>
      <c r="C103" s="1641" t="str">
        <f>CONCATENATE('ketv. 6 '!C133)</f>
        <v>-</v>
      </c>
      <c r="D103" s="1641" t="str">
        <f>CONCATENATE('ES lėšos'!B103)</f>
        <v>Pirminės asmens sveikatos priežiūros veiklos efektyvumo didinimas N. Jarašienės personalinėje įmonėje</v>
      </c>
      <c r="E103" s="1641" t="str">
        <f>CONCATENATE('ES lėšos'!D103)</f>
        <v>N. Jarašienės personalinė įmonė</v>
      </c>
      <c r="F103" s="1641" t="str">
        <f>CONCATENATE('ES lėšos'!E103)</f>
        <v>Varėnos r. sav.</v>
      </c>
      <c r="G103" s="1653">
        <v>43249</v>
      </c>
      <c r="H103" s="1646" t="s">
        <v>1871</v>
      </c>
      <c r="I103" s="1647">
        <f>SUM('ES lėšos'!G103)</f>
        <v>7059</v>
      </c>
      <c r="J103" s="1648">
        <f ca="1">SUM('ES lėšos'!H103)</f>
        <v>0</v>
      </c>
      <c r="K103" s="1647" t="str">
        <f t="shared" ca="1" si="9"/>
        <v>finansavimas dar neskirtas</v>
      </c>
      <c r="L103" s="1649" t="str">
        <f ca="1">IF(J103&gt;0,'ketv. 6 '!AF133/'ketv. 6 '!L133,"finansavimas dar neskirtas")</f>
        <v>finansavimas dar neskirtas</v>
      </c>
      <c r="M103" s="1657"/>
      <c r="N103" s="1651">
        <f>IF('ketv. 5 '!S133=0,'ketv. 5 '!R133,'ketv. 5 '!S133)</f>
        <v>43830</v>
      </c>
      <c r="O103" s="1657"/>
      <c r="P103" s="1657"/>
      <c r="Q103" s="1658">
        <f t="shared" si="8"/>
        <v>0</v>
      </c>
      <c r="R103" s="1648">
        <f>SUM('ketv. 7 '!AK132)</f>
        <v>0</v>
      </c>
      <c r="S103" s="1648">
        <f>SUMIF('mokėjimų ataskaita'!$I$14:$I$601,C103,'mokėjimų ataskaita'!$AK$14:$AK$601)/2</f>
        <v>0</v>
      </c>
      <c r="T103" s="1648">
        <f>SUMIF('mokėjimų ataskaita'!I52:I639,C103,'mokėjimų ataskaita'!BS52:BS639)/2</f>
        <v>0</v>
      </c>
      <c r="U103" s="1649" t="str">
        <f t="shared" ca="1" si="10"/>
        <v>finansavimas dar neskirtas</v>
      </c>
      <c r="V103" s="1758"/>
      <c r="W103" s="1763"/>
      <c r="X103" s="1762"/>
      <c r="Y103" s="1641"/>
      <c r="Z103" s="1641"/>
    </row>
    <row r="104" spans="1:26" ht="84" x14ac:dyDescent="0.2">
      <c r="A104" s="1646">
        <f>SUM('ES lėšos'!A104)</f>
        <v>103</v>
      </c>
      <c r="B104" s="1641" t="str">
        <f>CONCATENATE('ES lėšos'!C104)</f>
        <v>08.4.2-ESFA-R-630</v>
      </c>
      <c r="C104" s="1641" t="str">
        <f>CONCATENATE('ketv. 6 '!C135)</f>
        <v>08.4.2-ESFA-R-630-11-0004</v>
      </c>
      <c r="D104" s="1641" t="str">
        <f>CONCATENATE('ES lėšos'!B104)</f>
        <v>Sveikos gyvensenos skatinimas Alytaus rajone</v>
      </c>
      <c r="E104" s="1641" t="str">
        <f>CONCATENATE('ES lėšos'!D104)</f>
        <v>Alytaus rajono savivaldybės visuomenės sveikatos biuras</v>
      </c>
      <c r="F104" s="1641" t="str">
        <f>CONCATENATE('ES lėšos'!E104)</f>
        <v>Alytaus r. sav.</v>
      </c>
      <c r="G104" s="1653">
        <v>43137</v>
      </c>
      <c r="H104" s="1646" t="s">
        <v>1898</v>
      </c>
      <c r="I104" s="1647">
        <f>SUM('ES lėšos'!G104)</f>
        <v>169147.6</v>
      </c>
      <c r="J104" s="1648">
        <f ca="1">SUM('ES lėšos'!H104)</f>
        <v>169147.6</v>
      </c>
      <c r="K104" s="1647">
        <f t="shared" ca="1" si="9"/>
        <v>0</v>
      </c>
      <c r="L104" s="1649">
        <f ca="1">IF(J104&gt;0,'ketv. 6 '!AF135/'ketv. 6 '!L135,"finansavimas dar neskirtas")</f>
        <v>0.84999998492440954</v>
      </c>
      <c r="M104" s="1657">
        <f>SUMIF('sutarčių ataskaita'!$J$19:$J$600,C104,'sutarčių ataskaita'!$BP$19:$BP$600)</f>
        <v>44380</v>
      </c>
      <c r="N104" s="1651">
        <f>IF('ketv. 5 '!S135=0,'ketv. 5 '!R135,'ketv. 5 '!S135)</f>
        <v>44380</v>
      </c>
      <c r="O104" s="1657">
        <f>SUMIF('sutarčių ataskaita'!$J$19:$J$600,C104,'sutarčių ataskaita'!$BO$19:$BO$600)</f>
        <v>43284</v>
      </c>
      <c r="P104" s="1657">
        <f>SUMIF('sutarčių ataskaita'!$J$19:$J$600,C104,'sutarčių ataskaita'!$L$19:$L$600)</f>
        <v>43284</v>
      </c>
      <c r="Q104" s="1658">
        <f t="shared" si="8"/>
        <v>36.032876712328765</v>
      </c>
      <c r="R104" s="1648">
        <f>SUM('ketv. 7 '!AK134)</f>
        <v>11122.36</v>
      </c>
      <c r="S104" s="1648">
        <f>SUMIF('mokėjimų ataskaita'!$I$14:$I$601,C104,'mokėjimų ataskaita'!$AK$14:$AK$601)/2</f>
        <v>11122.36</v>
      </c>
      <c r="T104" s="1648">
        <f>SUMIF('mokėjimų ataskaita'!I53:I640,C104,'mokėjimų ataskaita'!BS53:BS640)/2</f>
        <v>0</v>
      </c>
      <c r="U104" s="1649">
        <f t="shared" ca="1" si="10"/>
        <v>6.5755352130328779E-2</v>
      </c>
      <c r="V104" s="1758"/>
      <c r="W104" s="1758" t="s">
        <v>1940</v>
      </c>
      <c r="X104" s="1762" t="s">
        <v>1985</v>
      </c>
      <c r="Y104" s="1641"/>
      <c r="Z104" s="1641"/>
    </row>
    <row r="105" spans="1:26" ht="36" x14ac:dyDescent="0.2">
      <c r="A105" s="1646">
        <f>SUM('ES lėšos'!A105)</f>
        <v>104</v>
      </c>
      <c r="B105" s="1641" t="str">
        <f>CONCATENATE('ES lėšos'!C105)</f>
        <v>08.4.2-ESFA-R-630</v>
      </c>
      <c r="C105" s="1641" t="str">
        <f>CONCATENATE('ketv. 6 '!C136)</f>
        <v>08.4.2-ESFA-R-630-11-0001</v>
      </c>
      <c r="D105" s="1641" t="str">
        <f>CONCATENATE('ES lėšos'!B105)</f>
        <v>Mažais žingsneliais – sveikos gyvensenos link</v>
      </c>
      <c r="E105" s="1641" t="str">
        <f>CONCATENATE('ES lėšos'!D105)</f>
        <v>Alytaus miesto savivaldybės administracija</v>
      </c>
      <c r="F105" s="1641" t="str">
        <f>CONCATENATE('ES lėšos'!E105)</f>
        <v>Alytaus m. sav.</v>
      </c>
      <c r="G105" s="1653">
        <v>43139</v>
      </c>
      <c r="H105" s="1646" t="s">
        <v>1859</v>
      </c>
      <c r="I105" s="1647">
        <f>SUM('ES lėšos'!G105)</f>
        <v>169147.6</v>
      </c>
      <c r="J105" s="1648">
        <f ca="1">SUM('ES lėšos'!H105)</f>
        <v>169146.6</v>
      </c>
      <c r="K105" s="1647">
        <f t="shared" ca="1" si="9"/>
        <v>1</v>
      </c>
      <c r="L105" s="1649">
        <f ca="1">IF(J105&gt;0,'ketv. 6 '!AF136/'ketv. 6 '!L136,"finansavimas dar neskirtas")</f>
        <v>0.85</v>
      </c>
      <c r="M105" s="1657">
        <f>SUMIF('sutarčių ataskaita'!$J$19:$J$600,C105,'sutarčių ataskaita'!$BP$19:$BP$600)</f>
        <v>44380</v>
      </c>
      <c r="N105" s="1651">
        <f>IF('ketv. 5 '!S136=0,'ketv. 5 '!R136,'ketv. 5 '!S136)</f>
        <v>44380</v>
      </c>
      <c r="O105" s="1657">
        <f>SUMIF('sutarčių ataskaita'!$J$19:$J$600,C105,'sutarčių ataskaita'!$BO$19:$BO$600)</f>
        <v>43284</v>
      </c>
      <c r="P105" s="1657">
        <f>SUMIF('sutarčių ataskaita'!$J$19:$J$600,C105,'sutarčių ataskaita'!$L$19:$L$600)</f>
        <v>43284</v>
      </c>
      <c r="Q105" s="1658">
        <f t="shared" si="8"/>
        <v>36.032876712328765</v>
      </c>
      <c r="R105" s="1648">
        <f>SUM('ketv. 7 '!AK135)</f>
        <v>41801.620000000003</v>
      </c>
      <c r="S105" s="1648">
        <f>SUMIF('mokėjimų ataskaita'!$I$14:$I$601,C105,'mokėjimų ataskaita'!$AK$14:$AK$601)/2</f>
        <v>41801.620000000003</v>
      </c>
      <c r="T105" s="1648">
        <f>SUMIF('mokėjimų ataskaita'!I54:I641,C105,'mokėjimų ataskaita'!BS54:BS641)/2</f>
        <v>0</v>
      </c>
      <c r="U105" s="1649">
        <f t="shared" ca="1" si="10"/>
        <v>0.24713248743988941</v>
      </c>
      <c r="V105" s="1758"/>
      <c r="W105" s="1758" t="s">
        <v>1940</v>
      </c>
      <c r="X105" s="1762" t="s">
        <v>1973</v>
      </c>
      <c r="Y105" s="1641"/>
      <c r="Z105" s="1641"/>
    </row>
    <row r="106" spans="1:26" ht="96" x14ac:dyDescent="0.2">
      <c r="A106" s="1646">
        <f>SUM('ES lėšos'!A106)</f>
        <v>105</v>
      </c>
      <c r="B106" s="1641" t="str">
        <f>CONCATENATE('ES lėšos'!C106)</f>
        <v>08.4.2-ESFA-R-630</v>
      </c>
      <c r="C106" s="1641" t="str">
        <f>CONCATENATE('ketv. 6 '!C137)</f>
        <v>08.4.2-ESFA-R-630-11-0005</v>
      </c>
      <c r="D106" s="1641" t="str">
        <f>CONCATENATE('ES lėšos'!B106)</f>
        <v>Sveikos gyvensenos skatinimas Varėnos rajono savivaldybėje</v>
      </c>
      <c r="E106" s="1641" t="str">
        <f>CONCATENATE('ES lėšos'!D106)</f>
        <v>Varėnos rajono savivaldybės visuomenės sveikatos biuras</v>
      </c>
      <c r="F106" s="1641" t="str">
        <f>CONCATENATE('ES lėšos'!E106)</f>
        <v>Varėnos r. sav.</v>
      </c>
      <c r="G106" s="1653">
        <v>43131</v>
      </c>
      <c r="H106" s="1646" t="s">
        <v>1923</v>
      </c>
      <c r="I106" s="1647">
        <f>SUM('ES lėšos'!G106)</f>
        <v>169147.6</v>
      </c>
      <c r="J106" s="1648">
        <f ca="1">SUM('ES lėšos'!H106)</f>
        <v>169147.45</v>
      </c>
      <c r="K106" s="1647">
        <f t="shared" ca="1" si="9"/>
        <v>0.14999999999417923</v>
      </c>
      <c r="L106" s="1649">
        <f ca="1">IF(J106&gt;0,'ketv. 6 '!AF137/'ketv. 6 '!L137,"finansavimas dar neskirtas")</f>
        <v>0.85000000000000009</v>
      </c>
      <c r="M106" s="1657">
        <f>SUMIF('sutarčių ataskaita'!$J$19:$J$600,C106,'sutarčių ataskaita'!$BP$19:$BP$600)</f>
        <v>44394</v>
      </c>
      <c r="N106" s="1651">
        <f>IF('ketv. 5 '!S137=0,'ketv. 5 '!R137,'ketv. 5 '!S137)</f>
        <v>44561</v>
      </c>
      <c r="O106" s="1657">
        <f>SUMIF('sutarčių ataskaita'!$J$19:$J$600,C106,'sutarčių ataskaita'!$BO$19:$BO$600)</f>
        <v>43298</v>
      </c>
      <c r="P106" s="1657">
        <f>SUMIF('sutarčių ataskaita'!$J$19:$J$600,C106,'sutarčių ataskaita'!$L$19:$L$600)</f>
        <v>43298</v>
      </c>
      <c r="Q106" s="1658">
        <f t="shared" si="8"/>
        <v>36.032876712328765</v>
      </c>
      <c r="R106" s="1648">
        <f>SUM('ketv. 7 '!AK136)</f>
        <v>0</v>
      </c>
      <c r="S106" s="1648">
        <f>SUMIF('mokėjimų ataskaita'!$I$14:$I$601,C106,'mokėjimų ataskaita'!$AK$14:$AK$601)/2</f>
        <v>0</v>
      </c>
      <c r="T106" s="1648">
        <f>SUMIF('mokėjimų ataskaita'!I55:I642,C106,'mokėjimų ataskaita'!BS55:BS642)/2</f>
        <v>0</v>
      </c>
      <c r="U106" s="1649">
        <f t="shared" ca="1" si="10"/>
        <v>0</v>
      </c>
      <c r="V106" s="1758"/>
      <c r="W106" s="1758" t="s">
        <v>1940</v>
      </c>
      <c r="X106" s="1762" t="s">
        <v>1986</v>
      </c>
      <c r="Y106" s="1641"/>
      <c r="Z106" s="1641"/>
    </row>
    <row r="107" spans="1:26" ht="108" x14ac:dyDescent="0.2">
      <c r="A107" s="1646">
        <f>SUM('ES lėšos'!A107)</f>
        <v>106</v>
      </c>
      <c r="B107" s="1641" t="str">
        <f>CONCATENATE('ES lėšos'!C107)</f>
        <v>08.4.2-ESFA-R-630</v>
      </c>
      <c r="C107" s="1641" t="str">
        <f>CONCATENATE('ketv. 6 '!C138)</f>
        <v>08.4.2-ESFA-R-630-11-0003</v>
      </c>
      <c r="D107" s="1641" t="str">
        <f>CONCATENATE('ES lėšos'!B107)</f>
        <v>Sveika bendruomenė – stipri visuomenė</v>
      </c>
      <c r="E107" s="1641" t="str">
        <f>CONCATENATE('ES lėšos'!D107)</f>
        <v>Druskininkų savivaldybės visuomenės sveikatos biuras</v>
      </c>
      <c r="F107" s="1641" t="str">
        <f>CONCATENATE('ES lėšos'!E107)</f>
        <v>Druskininkų sav.</v>
      </c>
      <c r="G107" s="1653">
        <v>43137</v>
      </c>
      <c r="H107" s="1646" t="s">
        <v>1896</v>
      </c>
      <c r="I107" s="1647">
        <f>SUM('ES lėšos'!G107)</f>
        <v>169147.6</v>
      </c>
      <c r="J107" s="1648">
        <f ca="1">SUM('ES lėšos'!H107)</f>
        <v>169147.6</v>
      </c>
      <c r="K107" s="1647">
        <f t="shared" ca="1" si="9"/>
        <v>0</v>
      </c>
      <c r="L107" s="1649">
        <f ca="1">IF(J107&gt;0,'ketv. 6 '!AF138/'ketv. 6 '!L138,"finansavimas dar neskirtas")</f>
        <v>0.84999998492440954</v>
      </c>
      <c r="M107" s="1657">
        <f>SUMIF('sutarčių ataskaita'!$J$19:$J$600,C107,'sutarčių ataskaita'!$BP$19:$BP$600)</f>
        <v>44382</v>
      </c>
      <c r="N107" s="1651">
        <f>IF('ketv. 5 '!S138=0,'ketv. 5 '!R138,'ketv. 5 '!S138)</f>
        <v>44561</v>
      </c>
      <c r="O107" s="1657">
        <f>SUMIF('sutarčių ataskaita'!$J$19:$J$600,C107,'sutarčių ataskaita'!$BO$19:$BO$600)</f>
        <v>43262</v>
      </c>
      <c r="P107" s="1657">
        <f>SUMIF('sutarčių ataskaita'!$J$19:$J$600,C107,'sutarčių ataskaita'!$L$19:$L$600)</f>
        <v>43286</v>
      </c>
      <c r="Q107" s="1658">
        <f t="shared" si="8"/>
        <v>36.032876712328765</v>
      </c>
      <c r="R107" s="1648">
        <f>SUM('ketv. 7 '!AK137)</f>
        <v>50540.54</v>
      </c>
      <c r="S107" s="1648">
        <f>SUMIF('mokėjimų ataskaita'!$I$14:$I$601,C107,'mokėjimų ataskaita'!$AK$14:$AK$601)/2</f>
        <v>50540.54</v>
      </c>
      <c r="T107" s="1648">
        <f>SUMIF('mokėjimų ataskaita'!I56:I643,C107,'mokėjimų ataskaita'!BS56:BS643)/2</f>
        <v>0</v>
      </c>
      <c r="U107" s="1649">
        <f t="shared" ca="1" si="10"/>
        <v>0.29879548985619658</v>
      </c>
      <c r="V107" s="1758"/>
      <c r="W107" s="1758" t="s">
        <v>1940</v>
      </c>
      <c r="X107" s="1762" t="s">
        <v>1984</v>
      </c>
      <c r="Y107" s="1641"/>
      <c r="Z107" s="1641"/>
    </row>
    <row r="108" spans="1:26" ht="84" x14ac:dyDescent="0.2">
      <c r="A108" s="1646">
        <f>SUM('ES lėšos'!A108)</f>
        <v>107</v>
      </c>
      <c r="B108" s="1641" t="str">
        <f>CONCATENATE('ES lėšos'!C108)</f>
        <v>08.4.2-ESFA-R-630</v>
      </c>
      <c r="C108" s="1641" t="str">
        <f>CONCATENATE('ketv. 6 '!C139)</f>
        <v>08.4.2-ESFA-R-630-11-0002</v>
      </c>
      <c r="D108" s="1641" t="str">
        <f>CONCATENATE('ES lėšos'!B108)</f>
        <v>Sveikos gyvensenos skatinimas Lazdijų rajono savivaldybėje</v>
      </c>
      <c r="E108" s="1641" t="str">
        <f>CONCATENATE('ES lėšos'!D108)</f>
        <v>Lazdijų rajono savivaldybės visuomenės sveikatos biuras</v>
      </c>
      <c r="F108" s="1641" t="str">
        <f>CONCATENATE('ES lėšos'!E108)</f>
        <v>Lazdijų r. sav.</v>
      </c>
      <c r="G108" s="1653">
        <v>43138</v>
      </c>
      <c r="H108" s="1646" t="s">
        <v>1858</v>
      </c>
      <c r="I108" s="1647">
        <f>SUM('ES lėšos'!G108)</f>
        <v>169147.6</v>
      </c>
      <c r="J108" s="1648">
        <f ca="1">SUM('ES lėšos'!H108)</f>
        <v>169147.6</v>
      </c>
      <c r="K108" s="1647">
        <f t="shared" ca="1" si="9"/>
        <v>0</v>
      </c>
      <c r="L108" s="1649">
        <f ca="1">IF(J108&gt;0,'ketv. 6 '!AF139/'ketv. 6 '!L139,"finansavimas dar neskirtas")</f>
        <v>0.84999998492440954</v>
      </c>
      <c r="M108" s="1657">
        <f>SUMIF('sutarčių ataskaita'!$J$19:$J$600,C108,'sutarčių ataskaita'!$BP$19:$BP$600)</f>
        <v>44380</v>
      </c>
      <c r="N108" s="1651">
        <f>IF('ketv. 5 '!S139=0,'ketv. 5 '!R139,'ketv. 5 '!S139)</f>
        <v>44561</v>
      </c>
      <c r="O108" s="1657">
        <f>SUMIF('sutarčių ataskaita'!$J$19:$J$600,C108,'sutarčių ataskaita'!$BO$19:$BO$600)</f>
        <v>43284</v>
      </c>
      <c r="P108" s="1657">
        <f>SUMIF('sutarčių ataskaita'!$J$19:$J$600,C108,'sutarčių ataskaita'!$L$19:$L$600)</f>
        <v>43284</v>
      </c>
      <c r="Q108" s="1658">
        <f t="shared" si="8"/>
        <v>36.032876712328765</v>
      </c>
      <c r="R108" s="1648">
        <f>SUM('ketv. 7 '!AK138)</f>
        <v>50744.28</v>
      </c>
      <c r="S108" s="1648">
        <f>SUMIF('mokėjimų ataskaita'!$I$14:$I$601,C108,'mokėjimų ataskaita'!$AK$14:$AK$601)/2</f>
        <v>50744.28</v>
      </c>
      <c r="T108" s="1648">
        <f>SUMIF('mokėjimų ataskaita'!I57:I644,C108,'mokėjimų ataskaita'!BS57:BS644)/2</f>
        <v>0</v>
      </c>
      <c r="U108" s="1649">
        <f t="shared" ca="1" si="10"/>
        <v>0.3</v>
      </c>
      <c r="V108" s="1758"/>
      <c r="W108" s="1758" t="s">
        <v>1940</v>
      </c>
      <c r="X108" s="1762" t="s">
        <v>1983</v>
      </c>
      <c r="Y108" s="1641"/>
      <c r="Z108" s="1641"/>
    </row>
    <row r="109" spans="1:26" ht="72" x14ac:dyDescent="0.2">
      <c r="A109" s="1646">
        <f>SUM('ES lėšos'!A109)</f>
        <v>108</v>
      </c>
      <c r="B109" s="1641" t="str">
        <f>CONCATENATE('ES lėšos'!C109)</f>
        <v>08.4.2-ESFA-R-615</v>
      </c>
      <c r="C109" s="1641" t="str">
        <f>CONCATENATE('ketv. 2'!B141)</f>
        <v>08.4.2-ESFA-R-615-11-0004</v>
      </c>
      <c r="D109" s="1641" t="str">
        <f>CONCATENATE('ES lėšos'!B109)</f>
        <v>Priemonių gerinančių ambulatorinių sveikatos priežiūros paslaugų prieinamumą tuberkulioze sergantiems asmenims, Alytaus rajone įgyvendinimas</v>
      </c>
      <c r="E109" s="1641" t="str">
        <f>CONCATENATE('ES lėšos'!D109)</f>
        <v>VšĮ Alytaus rajono savivaldybės pirminės sveikatos priežiūros centras</v>
      </c>
      <c r="F109" s="1641" t="str">
        <f>CONCATENATE('ES lėšos'!E109)</f>
        <v>Alytaus r. sav.</v>
      </c>
      <c r="G109" s="1653">
        <v>43360</v>
      </c>
      <c r="H109" s="1646" t="s">
        <v>1899</v>
      </c>
      <c r="I109" s="1647">
        <f>SUM('ES lėšos'!G109)</f>
        <v>8885</v>
      </c>
      <c r="J109" s="1648">
        <f ca="1">SUM('ES lėšos'!H109)</f>
        <v>8214.61</v>
      </c>
      <c r="K109" s="1647">
        <f t="shared" ca="1" si="9"/>
        <v>670.38999999999942</v>
      </c>
      <c r="L109" s="1649">
        <f ca="1">IF(J109&gt;0,'ketv. 6 '!AF141/'ketv. 6 '!L141,"finansavimas dar neskirtas")</f>
        <v>0.78586147517459104</v>
      </c>
      <c r="M109" s="1657">
        <f>SUMIF('sutarčių ataskaita'!$J$19:$J$600,C109,'sutarčių ataskaita'!$BP$19:$BP$600)</f>
        <v>44686</v>
      </c>
      <c r="N109" s="1651">
        <f>IF('ketv. 5 '!S141=0,'ketv. 5 '!R141,'ketv. 5 '!S141)</f>
        <v>44686</v>
      </c>
      <c r="O109" s="1657">
        <f>SUMIF('sutarčių ataskaita'!$J$19:$J$600,C109,'sutarčių ataskaita'!$BO$19:$BO$600)</f>
        <v>43409</v>
      </c>
      <c r="P109" s="1657">
        <f>SUMIF('sutarčių ataskaita'!$J$19:$J$600,C109,'sutarčių ataskaita'!$L$19:$L$600)</f>
        <v>43409</v>
      </c>
      <c r="Q109" s="1658">
        <f t="shared" si="8"/>
        <v>41.983561643835614</v>
      </c>
      <c r="R109" s="1648">
        <f>SUM('ketv. 7 '!AK140)</f>
        <v>0</v>
      </c>
      <c r="S109" s="1648">
        <f>SUMIF('mokėjimų ataskaita'!$I$14:$I$601,C109,'mokėjimų ataskaita'!$AK$14:$AK$601)/2</f>
        <v>0</v>
      </c>
      <c r="T109" s="1648">
        <f>SUMIF('mokėjimų ataskaita'!I58:I645,C109,'mokėjimų ataskaita'!BS58:BS645)/2</f>
        <v>0</v>
      </c>
      <c r="U109" s="1649">
        <f t="shared" ca="1" si="10"/>
        <v>0</v>
      </c>
      <c r="V109" s="1758"/>
      <c r="W109" s="1763" t="s">
        <v>1968</v>
      </c>
      <c r="X109" s="1762" t="s">
        <v>1982</v>
      </c>
      <c r="Y109" s="1641"/>
      <c r="Z109" s="1641"/>
    </row>
    <row r="110" spans="1:26" ht="48" x14ac:dyDescent="0.2">
      <c r="A110" s="1646">
        <f>SUM('ES lėšos'!A110)</f>
        <v>109</v>
      </c>
      <c r="B110" s="1641" t="str">
        <f>CONCATENATE('ES lėšos'!C110)</f>
        <v>08.4.2-ESFA-R-615</v>
      </c>
      <c r="C110" s="1641" t="str">
        <f>CONCATENATE('ketv. 6 '!C142)</f>
        <v>08.4.2-ESFA-R-615-11-0005</v>
      </c>
      <c r="D110" s="1641" t="str">
        <f>CONCATENATE('ES lėšos'!B110)</f>
        <v>Ambulatorinių sveikatos priežiūros paslaugų gerinimas tuberkulioze sergantiems asmenims</v>
      </c>
      <c r="E110" s="1641" t="str">
        <f>CONCATENATE('ES lėšos'!D110)</f>
        <v>Alytaus miesto savivaldybės administracija</v>
      </c>
      <c r="F110" s="1641" t="str">
        <f>CONCATENATE('ES lėšos'!E110)</f>
        <v>Alytaus m. sav.</v>
      </c>
      <c r="G110" s="1653">
        <v>43144</v>
      </c>
      <c r="H110" s="1646" t="s">
        <v>1861</v>
      </c>
      <c r="I110" s="1647">
        <f>SUM('ES lėšos'!G110)</f>
        <v>14485</v>
      </c>
      <c r="J110" s="1648">
        <f ca="1">SUM('ES lėšos'!H110)</f>
        <v>14485.09</v>
      </c>
      <c r="K110" s="1647">
        <f t="shared" ca="1" si="9"/>
        <v>-9.0000000000145519E-2</v>
      </c>
      <c r="L110" s="1649">
        <f ca="1">IF(J110&gt;0,'ketv. 6 '!AF142/'ketv. 6 '!L142,"finansavimas dar neskirtas")</f>
        <v>0.85000510528026818</v>
      </c>
      <c r="M110" s="1657">
        <f>SUMIF('sutarčių ataskaita'!$J$19:$J$600,C110,'sutarčių ataskaita'!$BP$19:$BP$600)</f>
        <v>44449</v>
      </c>
      <c r="N110" s="1651">
        <f>IF('ketv. 5 '!S142=0,'ketv. 5 '!R142,'ketv. 5 '!S142)</f>
        <v>44449</v>
      </c>
      <c r="O110" s="1657">
        <f>SUMIF('sutarčių ataskaita'!$J$19:$J$600,C110,'sutarčių ataskaita'!$BO$19:$BO$600)</f>
        <v>43353</v>
      </c>
      <c r="P110" s="1657">
        <f>SUMIF('sutarčių ataskaita'!$J$19:$J$600,C110,'sutarčių ataskaita'!$L$19:$L$600)</f>
        <v>43353</v>
      </c>
      <c r="Q110" s="1658">
        <f t="shared" si="8"/>
        <v>36.032876712328765</v>
      </c>
      <c r="R110" s="1648">
        <f>SUM('ketv. 7 '!AK141)</f>
        <v>0</v>
      </c>
      <c r="S110" s="1648">
        <f>SUMIF('mokėjimų ataskaita'!$I$14:$I$601,C110,'mokėjimų ataskaita'!$AK$14:$AK$601)/2</f>
        <v>0</v>
      </c>
      <c r="T110" s="1648">
        <f>SUMIF('mokėjimų ataskaita'!I59:I646,C110,'mokėjimų ataskaita'!BS59:BS646)/2</f>
        <v>0</v>
      </c>
      <c r="U110" s="1649">
        <f t="shared" ca="1" si="10"/>
        <v>0</v>
      </c>
      <c r="V110" s="1758"/>
      <c r="W110" s="1758" t="s">
        <v>1940</v>
      </c>
      <c r="X110" s="1762" t="s">
        <v>1973</v>
      </c>
      <c r="Y110" s="1641"/>
      <c r="Z110" s="1641"/>
    </row>
    <row r="111" spans="1:26" ht="36" x14ac:dyDescent="0.2">
      <c r="A111" s="1646">
        <f>SUM('ES lėšos'!A111)</f>
        <v>110</v>
      </c>
      <c r="B111" s="1641" t="str">
        <f>CONCATENATE('ES lėšos'!C111)</f>
        <v>08.4.2-ESFA-R-615</v>
      </c>
      <c r="C111" s="1641" t="str">
        <f>CONCATENATE('ketv. 6 '!C143)</f>
        <v>08.4.2-ESFA-R-615-11-0001</v>
      </c>
      <c r="D111" s="1641" t="str">
        <f>CONCATENATE('ES lėšos'!B111)</f>
        <v xml:space="preserve">Paslaugų tuberkulioze sergantiems asmenims gerinimas Lazdijų rajono savivaldybėje </v>
      </c>
      <c r="E111" s="1641" t="str">
        <f>CONCATENATE('ES lėšos'!D111)</f>
        <v>Lazdijų rajono savivaldybės administracija</v>
      </c>
      <c r="F111" s="1641" t="str">
        <f>CONCATENATE('ES lėšos'!E111)</f>
        <v>Lazdijų r. sav.</v>
      </c>
      <c r="G111" s="1653">
        <v>43138</v>
      </c>
      <c r="H111" s="1646" t="s">
        <v>1857</v>
      </c>
      <c r="I111" s="1647">
        <f>SUM('ES lėšos'!G111)</f>
        <v>12940</v>
      </c>
      <c r="J111" s="1648">
        <f ca="1">SUM('ES lėšos'!H111)</f>
        <v>12940.4</v>
      </c>
      <c r="K111" s="1647">
        <f t="shared" ca="1" si="9"/>
        <v>-0.3999999999996362</v>
      </c>
      <c r="L111" s="1649">
        <f ca="1">IF(J111&gt;0,'ketv. 6 '!AF143/'ketv. 6 '!L143,"finansavimas dar neskirtas")</f>
        <v>0.85</v>
      </c>
      <c r="M111" s="1657">
        <f>SUMIF('sutarčių ataskaita'!$J$19:$J$600,C111,'sutarčių ataskaita'!$BP$19:$BP$600)</f>
        <v>44530</v>
      </c>
      <c r="N111" s="1651">
        <f>IF('ketv. 5 '!S143=0,'ketv. 5 '!R143,'ketv. 5 '!S143)</f>
        <v>44561</v>
      </c>
      <c r="O111" s="1657">
        <f>SUMIF('sutarčių ataskaita'!$J$19:$J$600,C111,'sutarčių ataskaita'!$BO$19:$BO$600)</f>
        <v>43235</v>
      </c>
      <c r="P111" s="1657">
        <f>SUMIF('sutarčių ataskaita'!$J$19:$J$600,C111,'sutarčių ataskaita'!$L$19:$L$600)</f>
        <v>43235</v>
      </c>
      <c r="Q111" s="1658">
        <f t="shared" si="8"/>
        <v>42.575342465753423</v>
      </c>
      <c r="R111" s="1648">
        <f>SUM('ketv. 7 '!AK142)</f>
        <v>0</v>
      </c>
      <c r="S111" s="1648">
        <f>SUMIF('mokėjimų ataskaita'!$I$14:$I$601,C111,'mokėjimų ataskaita'!$AK$14:$AK$601)/2</f>
        <v>0</v>
      </c>
      <c r="T111" s="1648">
        <f>SUMIF('mokėjimų ataskaita'!I60:I647,C111,'mokėjimų ataskaita'!BS60:BS647)/2</f>
        <v>0</v>
      </c>
      <c r="U111" s="1649">
        <f t="shared" ca="1" si="10"/>
        <v>0</v>
      </c>
      <c r="V111" s="1758"/>
      <c r="W111" s="1758" t="s">
        <v>1940</v>
      </c>
      <c r="X111" s="1762" t="s">
        <v>1979</v>
      </c>
      <c r="Y111" s="1641"/>
      <c r="Z111" s="1641"/>
    </row>
    <row r="112" spans="1:26" ht="120" x14ac:dyDescent="0.2">
      <c r="A112" s="1646">
        <f>SUM('ES lėšos'!A112)</f>
        <v>111</v>
      </c>
      <c r="B112" s="1641" t="str">
        <f>CONCATENATE('ES lėšos'!C112)</f>
        <v>08.4.2-ESFA-R-615</v>
      </c>
      <c r="C112" s="1641" t="str">
        <f>CONCATENATE('ketv. 6 '!C144)</f>
        <v>08.4.2-ESFA-R-615-11-0002</v>
      </c>
      <c r="D112" s="1641" t="str">
        <f>CONCATENATE('ES lėšos'!B112)</f>
        <v>Ambulatorinių sveikatos priežiūros paslaugų tuberkulioze sergantiems asmenims prieinamumo gerinimas Druskininkų savivaldybėje</v>
      </c>
      <c r="E112" s="1641" t="str">
        <f>CONCATENATE('ES lėšos'!D112)</f>
        <v>Druskininkų pirminės sveikatos priežiūros centras</v>
      </c>
      <c r="F112" s="1641" t="str">
        <f>CONCATENATE('ES lėšos'!E112)</f>
        <v>Druskininkų sav.</v>
      </c>
      <c r="G112" s="1653">
        <v>43133</v>
      </c>
      <c r="H112" s="1646" t="s">
        <v>1895</v>
      </c>
      <c r="I112" s="1647">
        <f>SUM('ES lėšos'!G112)</f>
        <v>5793.6</v>
      </c>
      <c r="J112" s="1648">
        <f ca="1">SUM('ES lėšos'!H112)</f>
        <v>5793.6</v>
      </c>
      <c r="K112" s="1647">
        <f t="shared" ca="1" si="9"/>
        <v>0</v>
      </c>
      <c r="L112" s="1649">
        <f ca="1">IF(J112&gt;0,'ketv. 6 '!AF144/'ketv. 6 '!L144,"finansavimas dar neskirtas")</f>
        <v>0.85000000000000009</v>
      </c>
      <c r="M112" s="1657">
        <f>SUMIF('sutarčių ataskaita'!$J$19:$J$600,C112,'sutarčių ataskaita'!$BP$19:$BP$600)</f>
        <v>44418</v>
      </c>
      <c r="N112" s="1651">
        <f>IF('ketv. 5 '!S144=0,'ketv. 5 '!R144,'ketv. 5 '!S144)</f>
        <v>44440</v>
      </c>
      <c r="O112" s="1657">
        <f>SUMIF('sutarčių ataskaita'!$J$19:$J$600,C112,'sutarčių ataskaita'!$BO$19:$BO$600)</f>
        <v>43322</v>
      </c>
      <c r="P112" s="1657">
        <f>SUMIF('sutarčių ataskaita'!$J$19:$J$600,C112,'sutarčių ataskaita'!$L$19:$L$600)</f>
        <v>43322</v>
      </c>
      <c r="Q112" s="1658">
        <f t="shared" si="8"/>
        <v>36.032876712328765</v>
      </c>
      <c r="R112" s="1648">
        <f>SUM('ketv. 7 '!AK143)</f>
        <v>0</v>
      </c>
      <c r="S112" s="1648">
        <f>SUMIF('mokėjimų ataskaita'!$I$14:$I$601,C112,'mokėjimų ataskaita'!$AK$14:$AK$601)/2</f>
        <v>0</v>
      </c>
      <c r="T112" s="1648">
        <f>SUMIF('mokėjimų ataskaita'!I61:I648,C112,'mokėjimų ataskaita'!BS61:BS648)/2</f>
        <v>0</v>
      </c>
      <c r="U112" s="1649">
        <f t="shared" ca="1" si="10"/>
        <v>0</v>
      </c>
      <c r="V112" s="1758"/>
      <c r="W112" s="1758" t="s">
        <v>1940</v>
      </c>
      <c r="X112" s="1762" t="s">
        <v>1980</v>
      </c>
      <c r="Y112" s="1641"/>
      <c r="Z112" s="1641"/>
    </row>
    <row r="113" spans="1:26" ht="72" x14ac:dyDescent="0.2">
      <c r="A113" s="1646">
        <f>SUM('ES lėšos'!A113)</f>
        <v>112</v>
      </c>
      <c r="B113" s="1641" t="str">
        <f>CONCATENATE('ES lėšos'!C113)</f>
        <v>08.4.2-ESFA-R-615</v>
      </c>
      <c r="C113" s="1641" t="str">
        <f>CONCATENATE('ketv. 6 '!C145)</f>
        <v>08.4.2-ESFA-R-615-11-0003</v>
      </c>
      <c r="D113" s="1641" t="str">
        <f>CONCATENATE('ES lėšos'!B113)</f>
        <v>Ambulatorinių sveikatos priežiūros paslaugų prieinamumo gerinimas tuberkulioze sergantiems asmenims Varėnos rajono savivaldybėje</v>
      </c>
      <c r="E113" s="1641" t="str">
        <f>CONCATENATE('ES lėšos'!D113)</f>
        <v>Varėnos rajono savivaldybės administracija</v>
      </c>
      <c r="F113" s="1641" t="str">
        <f>CONCATENATE('ES lėšos'!E113)</f>
        <v>Varėnos r. sav.</v>
      </c>
      <c r="G113" s="1653">
        <v>43138</v>
      </c>
      <c r="H113" s="1646" t="s">
        <v>1856</v>
      </c>
      <c r="I113" s="1647">
        <f>SUM('ES lėšos'!G113)</f>
        <v>13327</v>
      </c>
      <c r="J113" s="1648">
        <f ca="1">SUM('ES lėšos'!H113)</f>
        <v>13327</v>
      </c>
      <c r="K113" s="1647">
        <f t="shared" ca="1" si="9"/>
        <v>0</v>
      </c>
      <c r="L113" s="1649">
        <f ca="1">IF(J113&gt;0,'ketv. 6 '!AF145/'ketv. 6 '!L145,"finansavimas dar neskirtas")</f>
        <v>0.84999043306333311</v>
      </c>
      <c r="M113" s="1657">
        <f>SUMIF('sutarčių ataskaita'!$J$19:$J$600,C113,'sutarčių ataskaita'!$BP$19:$BP$600)</f>
        <v>44445</v>
      </c>
      <c r="N113" s="1651">
        <f>IF('ketv. 5 '!S145=0,'ketv. 5 '!R145,'ketv. 5 '!S145)</f>
        <v>44561</v>
      </c>
      <c r="O113" s="1657">
        <f>SUMIF('sutarčių ataskaita'!$J$19:$J$600,C113,'sutarčių ataskaita'!$BO$19:$BO$600)</f>
        <v>43349</v>
      </c>
      <c r="P113" s="1657">
        <f>SUMIF('sutarčių ataskaita'!$J$19:$J$600,C113,'sutarčių ataskaita'!$L$19:$L$600)</f>
        <v>43349</v>
      </c>
      <c r="Q113" s="1658">
        <f t="shared" si="8"/>
        <v>36.032876712328765</v>
      </c>
      <c r="R113" s="1648">
        <f>SUM('ketv. 7 '!AK144)</f>
        <v>0</v>
      </c>
      <c r="S113" s="1648">
        <f>SUMIF('mokėjimų ataskaita'!$I$14:$I$601,C113,'mokėjimų ataskaita'!$AK$14:$AK$601)/2</f>
        <v>0</v>
      </c>
      <c r="T113" s="1648">
        <f>SUMIF('mokėjimų ataskaita'!I62:I649,C113,'mokėjimų ataskaita'!BS62:BS649)/2</f>
        <v>0</v>
      </c>
      <c r="U113" s="1649">
        <f t="shared" ca="1" si="10"/>
        <v>0</v>
      </c>
      <c r="V113" s="1758"/>
      <c r="W113" s="1758" t="s">
        <v>1940</v>
      </c>
      <c r="X113" s="1762" t="s">
        <v>1981</v>
      </c>
      <c r="Y113" s="1641"/>
      <c r="Z113" s="1641"/>
    </row>
    <row r="114" spans="1:26" ht="36" x14ac:dyDescent="0.2">
      <c r="A114" s="1646">
        <f>SUM('ES lėšos'!A114)</f>
        <v>113</v>
      </c>
      <c r="B114" s="1641" t="str">
        <f>CONCATENATE('ES lėšos'!C114)</f>
        <v>08.1.2-CPVA-R-407</v>
      </c>
      <c r="C114" s="1641" t="str">
        <f>CONCATENATE('ketv. 6 '!C148)</f>
        <v>08.1.1-CPVA-R-407-11-0002</v>
      </c>
      <c r="D114" s="1641" t="str">
        <f>CONCATENATE('ES lėšos'!B114)</f>
        <v>Socialinių paslaugų infrastruktūros plėtra Varėnos rajono savivaldybėje</v>
      </c>
      <c r="E114" s="1641" t="str">
        <f>CONCATENATE('ES lėšos'!D114)</f>
        <v>Varėnos rajono savivaldybės administracija</v>
      </c>
      <c r="F114" s="1641" t="str">
        <f>CONCATENATE('ES lėšos'!E114)</f>
        <v>Varėnos r. sav.</v>
      </c>
      <c r="G114" s="1653">
        <v>42640</v>
      </c>
      <c r="H114" s="1646" t="s">
        <v>1874</v>
      </c>
      <c r="I114" s="1647">
        <f>SUM('ES lėšos'!G114)</f>
        <v>126208</v>
      </c>
      <c r="J114" s="1648">
        <f ca="1">SUM('ES lėšos'!H114)</f>
        <v>126208</v>
      </c>
      <c r="K114" s="1647">
        <f t="shared" ca="1" si="9"/>
        <v>0</v>
      </c>
      <c r="L114" s="1649">
        <f ca="1">IF(J114&gt;0,'ketv. 6 '!AF148/'ketv. 6 '!L148,"finansavimas dar neskirtas")</f>
        <v>0.85</v>
      </c>
      <c r="M114" s="1657">
        <f>SUMIF('sutarčių ataskaita'!$J$19:$J$600,C114,'sutarčių ataskaita'!$BP$19:$BP$600)</f>
        <v>43465</v>
      </c>
      <c r="N114" s="1651">
        <f>IF('ketv. 5 '!S148=0,'ketv. 5 '!R148,'ketv. 5 '!S148)</f>
        <v>43465</v>
      </c>
      <c r="O114" s="1657">
        <f>SUMIF('sutarčių ataskaita'!$J$19:$J$600,C114,'sutarčių ataskaita'!$BO$19:$BO$600)</f>
        <v>42849</v>
      </c>
      <c r="P114" s="1657">
        <f>SUMIF('sutarčių ataskaita'!$J$19:$J$600,C114,'sutarčių ataskaita'!$L$19:$L$600)</f>
        <v>42849</v>
      </c>
      <c r="Q114" s="1658">
        <f t="shared" si="8"/>
        <v>20.252054794520546</v>
      </c>
      <c r="R114" s="1648">
        <f>SUM('ketv. 7 '!AK147)</f>
        <v>12756.46</v>
      </c>
      <c r="S114" s="1648">
        <f>SUMIF('mokėjimų ataskaita'!$I$14:$I$601,C114,'mokėjimų ataskaita'!$AK$14:$AK$601)/2</f>
        <v>12756.46</v>
      </c>
      <c r="T114" s="1648">
        <f>SUMIF('mokėjimų ataskaita'!I63:I650,C114,'mokėjimų ataskaita'!BS63:BS650)/2</f>
        <v>0</v>
      </c>
      <c r="U114" s="1649">
        <f t="shared" ca="1" si="10"/>
        <v>0.1010748922413793</v>
      </c>
      <c r="V114" s="1758"/>
      <c r="W114" s="1758" t="s">
        <v>1940</v>
      </c>
      <c r="X114" s="1762" t="s">
        <v>1970</v>
      </c>
      <c r="Y114" s="1641"/>
      <c r="Z114" s="1641"/>
    </row>
    <row r="115" spans="1:26" ht="36" x14ac:dyDescent="0.2">
      <c r="A115" s="1646">
        <f>SUM('ES lėšos'!A115)</f>
        <v>114</v>
      </c>
      <c r="B115" s="1641" t="str">
        <f>CONCATENATE('ES lėšos'!C115)</f>
        <v>08.1.2-CPVA-R-407</v>
      </c>
      <c r="C115" s="1641" t="str">
        <f>CONCATENATE('ketv. 6 '!C149)</f>
        <v>08.1.1-CPVA-R-407-11-0004</v>
      </c>
      <c r="D115" s="1641" t="str">
        <f>CONCATENATE('ES lėšos'!B115)</f>
        <v>Psichosocialinės pagalbos centro įkūrimas</v>
      </c>
      <c r="E115" s="1641" t="str">
        <f>CONCATENATE('ES lėšos'!D115)</f>
        <v>Alytaus rajono savivaldybės administracija</v>
      </c>
      <c r="F115" s="1641" t="str">
        <f>CONCATENATE('ES lėšos'!E115)</f>
        <v>Alytaus r. sav.</v>
      </c>
      <c r="G115" s="1653">
        <v>42640</v>
      </c>
      <c r="H115" s="1646" t="s">
        <v>1924</v>
      </c>
      <c r="I115" s="1647">
        <f>SUM('ES lėšos'!G115)</f>
        <v>160100</v>
      </c>
      <c r="J115" s="1648">
        <f ca="1">SUM('ES lėšos'!H115)</f>
        <v>160100</v>
      </c>
      <c r="K115" s="1647">
        <f t="shared" ca="1" si="9"/>
        <v>0</v>
      </c>
      <c r="L115" s="1649">
        <f ca="1">IF(J115&gt;0,'ketv. 6 '!AF149/'ketv. 6 '!L149,"finansavimas dar neskirtas")</f>
        <v>0.84999973454099487</v>
      </c>
      <c r="M115" s="1657">
        <f>SUMIF('sutarčių ataskaita'!$J$19:$J$600,C115,'sutarčių ataskaita'!$BP$19:$BP$600)</f>
        <v>43616</v>
      </c>
      <c r="N115" s="1651">
        <f>IF('ketv. 5 '!S149=0,'ketv. 5 '!R149,'ketv. 5 '!S149)</f>
        <v>43646</v>
      </c>
      <c r="O115" s="1657">
        <f>SUMIF('sutarčių ataskaita'!$J$19:$J$600,C115,'sutarčių ataskaita'!$BO$19:$BO$600)</f>
        <v>42888</v>
      </c>
      <c r="P115" s="1657">
        <f>SUMIF('sutarčių ataskaita'!$J$19:$J$600,C115,'sutarčių ataskaita'!$L$19:$L$600)</f>
        <v>42888</v>
      </c>
      <c r="Q115" s="1658">
        <f t="shared" si="8"/>
        <v>23.934246575342463</v>
      </c>
      <c r="R115" s="1648">
        <f>SUM('ketv. 7 '!AK148)</f>
        <v>2050.56</v>
      </c>
      <c r="S115" s="1648">
        <f>SUMIF('mokėjimų ataskaita'!$I$14:$I$601,C115,'mokėjimų ataskaita'!$AK$14:$AK$601)/2</f>
        <v>2050.56</v>
      </c>
      <c r="T115" s="1648">
        <f>SUMIF('mokėjimų ataskaita'!I64:I651,C115,'mokėjimų ataskaita'!BS64:BS651)/2</f>
        <v>0</v>
      </c>
      <c r="U115" s="1649">
        <f t="shared" ca="1" si="10"/>
        <v>1.2807995003123048E-2</v>
      </c>
      <c r="V115" s="1758"/>
      <c r="W115" s="1758" t="s">
        <v>1940</v>
      </c>
      <c r="X115" s="1762" t="s">
        <v>1972</v>
      </c>
      <c r="Y115" s="1641"/>
      <c r="Z115" s="1641"/>
    </row>
    <row r="116" spans="1:26" ht="36" x14ac:dyDescent="0.2">
      <c r="A116" s="1646">
        <f>SUM('ES lėšos'!A116)</f>
        <v>115</v>
      </c>
      <c r="B116" s="1641" t="str">
        <f>CONCATENATE('ES lėšos'!C116)</f>
        <v>08.1.2-CPVA-R-407</v>
      </c>
      <c r="C116" s="1641" t="str">
        <f>CONCATENATE('ketv. 6 '!C150)</f>
        <v>08.1.1-CPVA-R-407-11-0005</v>
      </c>
      <c r="D116" s="1641" t="str">
        <f>CONCATENATE('ES lėšos'!B116)</f>
        <v>Socialinių paslaugų plėtra Alytaus mieste</v>
      </c>
      <c r="E116" s="1641" t="str">
        <f>CONCATENATE('ES lėšos'!D116)</f>
        <v>Alytaus miesto savivaldybės administracija</v>
      </c>
      <c r="F116" s="1641" t="str">
        <f>CONCATENATE('ES lėšos'!E116)</f>
        <v>Alytaus m. sav.</v>
      </c>
      <c r="G116" s="1653">
        <v>42725</v>
      </c>
      <c r="H116" s="1646" t="s">
        <v>1926</v>
      </c>
      <c r="I116" s="1647">
        <f>SUM('ES lėšos'!G116)</f>
        <v>346361</v>
      </c>
      <c r="J116" s="1648">
        <f ca="1">SUM('ES lėšos'!H116)</f>
        <v>346361</v>
      </c>
      <c r="K116" s="1647">
        <f t="shared" ca="1" si="9"/>
        <v>0</v>
      </c>
      <c r="L116" s="1649">
        <f ca="1">IF(J116&gt;0,'ketv. 6 '!AF150/'ketv. 6 '!L150,"finansavimas dar neskirtas")</f>
        <v>0.54297021690920311</v>
      </c>
      <c r="M116" s="1657">
        <f>SUMIF('sutarčių ataskaita'!$J$19:$J$600,C116,'sutarčių ataskaita'!$BP$19:$BP$600)</f>
        <v>43616</v>
      </c>
      <c r="N116" s="1651">
        <f>IF('ketv. 5 '!S150=0,'ketv. 5 '!R150,'ketv. 5 '!S150)</f>
        <v>43646</v>
      </c>
      <c r="O116" s="1657">
        <f>SUMIF('sutarčių ataskaita'!$J$19:$J$600,C116,'sutarčių ataskaita'!$BO$19:$BO$600)</f>
        <v>42936</v>
      </c>
      <c r="P116" s="1657">
        <f>SUMIF('sutarčių ataskaita'!$J$19:$J$600,C116,'sutarčių ataskaita'!$L$19:$L$600)</f>
        <v>42936</v>
      </c>
      <c r="Q116" s="1658">
        <f t="shared" si="8"/>
        <v>22.356164383561644</v>
      </c>
      <c r="R116" s="1648">
        <f>SUM('ketv. 7 '!AK149)</f>
        <v>326125.34000000003</v>
      </c>
      <c r="S116" s="1648">
        <f>SUMIF('mokėjimų ataskaita'!$I$14:$I$601,C116,'mokėjimų ataskaita'!$AK$14:$AK$601)/2</f>
        <v>326125.34000000003</v>
      </c>
      <c r="T116" s="1648">
        <f>SUMIF('mokėjimų ataskaita'!I65:I652,C116,'mokėjimų ataskaita'!BS65:BS652)/2</f>
        <v>301947.63</v>
      </c>
      <c r="U116" s="1649">
        <f t="shared" ca="1" si="10"/>
        <v>0.94157638995152459</v>
      </c>
      <c r="V116" s="1758"/>
      <c r="W116" s="1758" t="s">
        <v>1940</v>
      </c>
      <c r="X116" s="1762" t="s">
        <v>1973</v>
      </c>
      <c r="Y116" s="1641"/>
      <c r="Z116" s="1641"/>
    </row>
    <row r="117" spans="1:26" ht="36" x14ac:dyDescent="0.2">
      <c r="A117" s="1646">
        <f>SUM('ES lėšos'!A117)</f>
        <v>116</v>
      </c>
      <c r="B117" s="1641" t="str">
        <f>CONCATENATE('ES lėšos'!C117)</f>
        <v>08.1.2-CPVA-R-407</v>
      </c>
      <c r="C117" s="1641" t="str">
        <f>CONCATENATE('ketv. 6 '!C151)</f>
        <v>08.1.1-CPVA-R-407-11-0001</v>
      </c>
      <c r="D117" s="1641" t="str">
        <f>CONCATENATE('ES lėšos'!B117)</f>
        <v>Socialinių paslaugų infrastruktūros plėtra Druskininkų savivaldybėje</v>
      </c>
      <c r="E117" s="1641" t="str">
        <f>CONCATENATE('ES lėšos'!D117)</f>
        <v>Druskininkų savivaldybės administracija</v>
      </c>
      <c r="F117" s="1641" t="str">
        <f>CONCATENATE('ES lėšos'!E117)</f>
        <v>Druskininkų sav.</v>
      </c>
      <c r="G117" s="1653">
        <v>42640</v>
      </c>
      <c r="H117" s="1646" t="s">
        <v>1925</v>
      </c>
      <c r="I117" s="1647">
        <f>SUM('ES lėšos'!G117)</f>
        <v>128721</v>
      </c>
      <c r="J117" s="1648">
        <f ca="1">SUM('ES lėšos'!H117)</f>
        <v>128721</v>
      </c>
      <c r="K117" s="1647">
        <f t="shared" ca="1" si="9"/>
        <v>0</v>
      </c>
      <c r="L117" s="1649">
        <f ca="1">IF(J117&gt;0,'ketv. 6 '!AF151/'ketv. 6 '!L151,"finansavimas dar neskirtas")</f>
        <v>0.84999702846728342</v>
      </c>
      <c r="M117" s="1657">
        <f>SUMIF('sutarčių ataskaita'!$J$19:$J$600,C117,'sutarčių ataskaita'!$BP$19:$BP$600)</f>
        <v>43708</v>
      </c>
      <c r="N117" s="1651">
        <f>IF('ketv. 5 '!S151=0,'ketv. 5 '!R151,'ketv. 5 '!S151)</f>
        <v>43738</v>
      </c>
      <c r="O117" s="1657">
        <f>SUMIF('sutarčių ataskaita'!$J$19:$J$600,C117,'sutarčių ataskaita'!$BO$19:$BO$600)</f>
        <v>42851</v>
      </c>
      <c r="P117" s="1657">
        <f>SUMIF('sutarčių ataskaita'!$J$19:$J$600,C117,'sutarčių ataskaita'!$L$19:$L$600)</f>
        <v>42851</v>
      </c>
      <c r="Q117" s="1658">
        <f t="shared" si="8"/>
        <v>28.175342465753424</v>
      </c>
      <c r="R117" s="1648">
        <f>SUM('ketv. 7 '!AK150)</f>
        <v>13425.43</v>
      </c>
      <c r="S117" s="1648">
        <f>SUMIF('mokėjimų ataskaita'!$I$14:$I$601,C117,'mokėjimų ataskaita'!$AK$14:$AK$601)/2</f>
        <v>13425.43</v>
      </c>
      <c r="T117" s="1648">
        <f>SUMIF('mokėjimų ataskaita'!I66:I653,C117,'mokėjimų ataskaita'!BS66:BS653)/2</f>
        <v>0</v>
      </c>
      <c r="U117" s="1649">
        <f t="shared" ca="1" si="10"/>
        <v>0.10429867698355358</v>
      </c>
      <c r="V117" s="1758"/>
      <c r="W117" s="1758" t="s">
        <v>1940</v>
      </c>
      <c r="X117" s="1762" t="s">
        <v>1969</v>
      </c>
      <c r="Y117" s="1641"/>
      <c r="Z117" s="1641"/>
    </row>
    <row r="118" spans="1:26" ht="72" x14ac:dyDescent="0.2">
      <c r="A118" s="1646">
        <f>SUM('ES lėšos'!A118)</f>
        <v>117</v>
      </c>
      <c r="B118" s="1641" t="str">
        <f>CONCATENATE('ES lėšos'!C118)</f>
        <v>08.1.2-CPVA-R-407</v>
      </c>
      <c r="C118" s="1641" t="str">
        <f>CONCATENATE('ketv. 6 '!C152)</f>
        <v>08.1.1-CPVA-R-407-11-0003</v>
      </c>
      <c r="D118" s="1641" t="str">
        <f>CONCATENATE('ES lėšos'!B118)</f>
        <v>Socialinių paslaugų infrastruktūros modernizavimas ir plėtra VšĮ Kapčiamiesčio globos namuose</v>
      </c>
      <c r="E118" s="1641" t="str">
        <f>CONCATENATE('ES lėšos'!D118)</f>
        <v>VšĮ Kapčiamiesčio globos namai</v>
      </c>
      <c r="F118" s="1641" t="str">
        <f>CONCATENATE('ES lėšos'!E118)</f>
        <v>Lazdijų r. sav.</v>
      </c>
      <c r="G118" s="1653">
        <v>42640</v>
      </c>
      <c r="H118" s="1646" t="s">
        <v>1922</v>
      </c>
      <c r="I118" s="1647">
        <f>SUM('ES lėšos'!G118)</f>
        <v>124371</v>
      </c>
      <c r="J118" s="1648">
        <f ca="1">SUM('ES lėšos'!H118)</f>
        <v>124371.15</v>
      </c>
      <c r="K118" s="1647">
        <f t="shared" ca="1" si="9"/>
        <v>-0.14999999999417923</v>
      </c>
      <c r="L118" s="1649">
        <f ca="1">IF(J118&gt;0,'ketv. 6 '!AF152/'ketv. 6 '!L152,"finansavimas dar neskirtas")</f>
        <v>0.85</v>
      </c>
      <c r="M118" s="1657">
        <f>SUMIF('sutarčių ataskaita'!$J$19:$J$600,C118,'sutarčių ataskaita'!$BP$19:$BP$600)</f>
        <v>43585</v>
      </c>
      <c r="N118" s="1651">
        <f>IF('ketv. 5 '!S152=0,'ketv. 5 '!R152,'ketv. 5 '!S152)</f>
        <v>43615</v>
      </c>
      <c r="O118" s="1657">
        <f>SUMIF('sutarčių ataskaita'!$J$19:$J$600,C118,'sutarčių ataskaita'!$BO$19:$BO$600)</f>
        <v>42825</v>
      </c>
      <c r="P118" s="1657">
        <f>SUMIF('sutarčių ataskaita'!$J$19:$J$600,C118,'sutarčių ataskaita'!$L$19:$L$600)</f>
        <v>42825</v>
      </c>
      <c r="Q118" s="1658">
        <f t="shared" si="8"/>
        <v>24.986301369863014</v>
      </c>
      <c r="R118" s="1648">
        <f>SUM('ketv. 7 '!AK151)</f>
        <v>123485.59</v>
      </c>
      <c r="S118" s="1648">
        <f>SUMIF('mokėjimų ataskaita'!$I$14:$I$601,C118,'mokėjimų ataskaita'!$AK$14:$AK$601)/2</f>
        <v>123485.59</v>
      </c>
      <c r="T118" s="1648">
        <f>SUMIF('mokėjimų ataskaita'!I67:I654,C118,'mokėjimų ataskaita'!BS67:BS654)/2</f>
        <v>116388.94</v>
      </c>
      <c r="U118" s="1649">
        <f t="shared" ca="1" si="10"/>
        <v>0.99287969919068852</v>
      </c>
      <c r="V118" s="1758"/>
      <c r="W118" s="1758" t="s">
        <v>1940</v>
      </c>
      <c r="X118" s="1762" t="s">
        <v>1971</v>
      </c>
      <c r="Y118" s="1641"/>
      <c r="Z118" s="1641"/>
    </row>
    <row r="119" spans="1:26" ht="36" x14ac:dyDescent="0.2">
      <c r="A119" s="1646">
        <f>SUM('ES lėšos'!A119)</f>
        <v>118</v>
      </c>
      <c r="B119" s="1641" t="str">
        <f>CONCATENATE('ES lėšos'!C119)</f>
        <v>08.1.1-CPVA·R-408</v>
      </c>
      <c r="C119" s="1641" t="str">
        <f>CONCATENATE('ketv. 6 '!C154)</f>
        <v>08.1.2-CPVA-R-408-11-0001</v>
      </c>
      <c r="D119" s="1641" t="str">
        <f>CONCATENATE('ES lėšos'!B119)</f>
        <v>Socialinio būsto plėtra Varėnos rajone</v>
      </c>
      <c r="E119" s="1641" t="str">
        <f>CONCATENATE('ES lėšos'!D119)</f>
        <v>Varėnos rajono savivaldybės administracija</v>
      </c>
      <c r="F119" s="1641" t="str">
        <f>CONCATENATE('ES lėšos'!E119)</f>
        <v>Varėnos r. sav.</v>
      </c>
      <c r="G119" s="1653">
        <v>42444</v>
      </c>
      <c r="H119" s="1646" t="s">
        <v>1897</v>
      </c>
      <c r="I119" s="1647">
        <f>SUM('ES lėšos'!G119)</f>
        <v>626024</v>
      </c>
      <c r="J119" s="1648">
        <f ca="1">SUM('ES lėšos'!H119)</f>
        <v>626024</v>
      </c>
      <c r="K119" s="1647">
        <f t="shared" ca="1" si="9"/>
        <v>0</v>
      </c>
      <c r="L119" s="1649">
        <f ca="1">IF(J119&gt;0,'ketv. 6 '!AF154/'ketv. 6 '!L154,"finansavimas dar neskirtas")</f>
        <v>0.84999979633373568</v>
      </c>
      <c r="M119" s="1657">
        <f>SUMIF('sutarčių ataskaita'!$J$19:$J$600,C119,'sutarčių ataskaita'!$BP$19:$BP$600)</f>
        <v>43708</v>
      </c>
      <c r="N119" s="1651">
        <f>IF('ketv. 5 '!S154=0,'ketv. 5 '!R154,'ketv. 5 '!S154)</f>
        <v>43738</v>
      </c>
      <c r="O119" s="1657">
        <f>SUMIF('sutarčių ataskaita'!$J$19:$J$600,C119,'sutarčių ataskaita'!$BO$19:$BO$600)</f>
        <v>42296</v>
      </c>
      <c r="P119" s="1657">
        <f>SUMIF('sutarčių ataskaita'!$J$19:$J$600,C119,'sutarčių ataskaita'!$L$19:$L$600)</f>
        <v>42605</v>
      </c>
      <c r="Q119" s="1658">
        <f t="shared" si="8"/>
        <v>36.263013698630132</v>
      </c>
      <c r="R119" s="1648">
        <f>SUM('ketv. 7 '!AK153)</f>
        <v>438705.82999999996</v>
      </c>
      <c r="S119" s="1648">
        <f>SUMIF('mokėjimų ataskaita'!$I$14:$I$601,C119,'mokėjimų ataskaita'!$AK$14:$AK$601)/2</f>
        <v>438705.82999999996</v>
      </c>
      <c r="T119" s="1648">
        <f>SUMIF('mokėjimų ataskaita'!I68:I655,C119,'mokėjimų ataskaita'!BS68:BS655)/2</f>
        <v>305447.92</v>
      </c>
      <c r="U119" s="1649">
        <f t="shared" ca="1" si="10"/>
        <v>0.70078116813412894</v>
      </c>
      <c r="V119" s="1758"/>
      <c r="W119" s="1758" t="s">
        <v>1940</v>
      </c>
      <c r="X119" s="1762" t="s">
        <v>1967</v>
      </c>
      <c r="Y119" s="1641"/>
      <c r="Z119" s="1641"/>
    </row>
    <row r="120" spans="1:26" ht="48" x14ac:dyDescent="0.2">
      <c r="A120" s="1646">
        <f>SUM('ES lėšos'!A120)</f>
        <v>119</v>
      </c>
      <c r="B120" s="1641" t="str">
        <f>CONCATENATE('ES lėšos'!C120)</f>
        <v>08.1.1-CPVA·R-408</v>
      </c>
      <c r="C120" s="1641" t="str">
        <f>CONCATENATE('ketv. 6 '!C155)</f>
        <v>08.1.2-CPVA-R-408-11-0005</v>
      </c>
      <c r="D120" s="1641" t="str">
        <f>CONCATENATE('ES lėšos'!B120)</f>
        <v>Būsto prieinamumo pažeidžiamoms gyventojų grupėms didinimas Alytaus rajone</v>
      </c>
      <c r="E120" s="1641" t="str">
        <f>CONCATENATE('ES lėšos'!D120)</f>
        <v>Alytaus rajono savivaldybės administracija</v>
      </c>
      <c r="F120" s="1641" t="str">
        <f>CONCATENATE('ES lėšos'!E120)</f>
        <v>Alytaus r. sav.</v>
      </c>
      <c r="G120" s="1653">
        <v>42454</v>
      </c>
      <c r="H120" s="1646" t="s">
        <v>1927</v>
      </c>
      <c r="I120" s="1647">
        <f>SUM('ES lėšos'!G120)</f>
        <v>205606</v>
      </c>
      <c r="J120" s="1648">
        <f ca="1">SUM('ES lėšos'!H120)</f>
        <v>205605.65</v>
      </c>
      <c r="K120" s="1647">
        <f t="shared" ca="1" si="9"/>
        <v>0.35000000000582077</v>
      </c>
      <c r="L120" s="1649">
        <f ca="1">IF(J120&gt;0,'ketv. 6 '!AF155/'ketv. 6 '!L155,"finansavimas dar neskirtas")</f>
        <v>0.85</v>
      </c>
      <c r="M120" s="1657">
        <f>SUMIF('sutarčių ataskaita'!$J$19:$J$600,C120,'sutarčių ataskaita'!$BP$19:$BP$600)</f>
        <v>43343</v>
      </c>
      <c r="N120" s="1651">
        <f>IF('ketv. 5 '!S155=0,'ketv. 5 '!R155,'ketv. 5 '!S155)</f>
        <v>43373</v>
      </c>
      <c r="O120" s="1657">
        <f>SUMIF('sutarčių ataskaita'!$J$19:$J$600,C120,'sutarčių ataskaita'!$BO$19:$BO$600)</f>
        <v>42522</v>
      </c>
      <c r="P120" s="1657">
        <f>SUMIF('sutarčių ataskaita'!$J$19:$J$600,C120,'sutarčių ataskaita'!$L$19:$L$600)</f>
        <v>42626</v>
      </c>
      <c r="Q120" s="1658">
        <f t="shared" si="8"/>
        <v>23.572602739726026</v>
      </c>
      <c r="R120" s="1648">
        <f>SUM('ketv. 7 '!AK154)</f>
        <v>197013.66</v>
      </c>
      <c r="S120" s="1648">
        <f>SUMIF('mokėjimų ataskaita'!$I$14:$I$601,C120,'mokėjimų ataskaita'!$AK$14:$AK$601)/2</f>
        <v>197013.66</v>
      </c>
      <c r="T120" s="1648">
        <f>SUMIF('mokėjimų ataskaita'!I69:I656,C120,'mokėjimų ataskaita'!BS69:BS656)/2</f>
        <v>170522.90999999997</v>
      </c>
      <c r="U120" s="1649">
        <f t="shared" ca="1" si="10"/>
        <v>0.95821131374551238</v>
      </c>
      <c r="V120" s="1758"/>
      <c r="W120" s="1758" t="s">
        <v>1940</v>
      </c>
      <c r="X120" s="1762" t="s">
        <v>1944</v>
      </c>
      <c r="Y120" s="1641"/>
      <c r="Z120" s="1641"/>
    </row>
    <row r="121" spans="1:26" ht="36" x14ac:dyDescent="0.2">
      <c r="A121" s="1646">
        <f>SUM('ES lėšos'!A121)</f>
        <v>120</v>
      </c>
      <c r="B121" s="1641" t="str">
        <f>CONCATENATE('ES lėšos'!C121)</f>
        <v>08.1.1-CPVA·R-408</v>
      </c>
      <c r="C121" s="1641" t="str">
        <f>CONCATENATE('ketv. 6 '!C156)</f>
        <v>08.1.2-CPVA-R-408-11-0002</v>
      </c>
      <c r="D121" s="1641" t="str">
        <f>CONCATENATE('ES lėšos'!B121)</f>
        <v>Socialinio būsto plėtra Alytaus mieste</v>
      </c>
      <c r="E121" s="1641" t="str">
        <f>CONCATENATE('ES lėšos'!D121)</f>
        <v>Alytaus miesto savivaldybės administracija</v>
      </c>
      <c r="F121" s="1641" t="str">
        <f>CONCATENATE('ES lėšos'!E121)</f>
        <v>Alytaus m. sav.</v>
      </c>
      <c r="G121" s="1653">
        <v>42454</v>
      </c>
      <c r="H121" s="1646" t="s">
        <v>1896</v>
      </c>
      <c r="I121" s="1647">
        <f>SUM('ES lėšos'!G121)</f>
        <v>757980</v>
      </c>
      <c r="J121" s="1648">
        <f ca="1">SUM('ES lėšos'!H121)</f>
        <v>757980</v>
      </c>
      <c r="K121" s="1647">
        <f t="shared" ca="1" si="9"/>
        <v>0</v>
      </c>
      <c r="L121" s="1649">
        <f ca="1">IF(J121&gt;0,'ketv. 6 '!AF156/'ketv. 6 '!L156,"finansavimas dar neskirtas")</f>
        <v>0.84999999663579517</v>
      </c>
      <c r="M121" s="1657">
        <f>SUMIF('sutarčių ataskaita'!$J$19:$J$600,C121,'sutarčių ataskaita'!$BP$19:$BP$600)</f>
        <v>43707</v>
      </c>
      <c r="N121" s="1651">
        <f>IF('ketv. 5 '!S156=0,'ketv. 5 '!R156,'ketv. 5 '!S156)</f>
        <v>43707</v>
      </c>
      <c r="O121" s="1657">
        <f>SUMIF('sutarčių ataskaita'!$J$19:$J$600,C121,'sutarčių ataskaita'!$BO$19:$BO$600)</f>
        <v>42598</v>
      </c>
      <c r="P121" s="1657">
        <f>SUMIF('sutarčių ataskaita'!$J$19:$J$600,C121,'sutarčių ataskaita'!$L$19:$L$600)</f>
        <v>42599</v>
      </c>
      <c r="Q121" s="1658">
        <f t="shared" si="8"/>
        <v>36.42739726027397</v>
      </c>
      <c r="R121" s="1648">
        <f>SUM('ketv. 7 '!AK155)</f>
        <v>585857.47</v>
      </c>
      <c r="S121" s="1648">
        <f>SUMIF('mokėjimų ataskaita'!$I$14:$I$601,C121,'mokėjimų ataskaita'!$AK$14:$AK$601)/2</f>
        <v>585857.47</v>
      </c>
      <c r="T121" s="1648">
        <f>SUMIF('mokėjimų ataskaita'!I70:I657,C121,'mokėjimų ataskaita'!BS70:BS657)/2</f>
        <v>383093.68</v>
      </c>
      <c r="U121" s="1649">
        <f t="shared" ref="U121:U139" ca="1" si="11">IF(J121&gt;0,R121/J121,"finansavimas dar neskirtas")</f>
        <v>0.77291943059183621</v>
      </c>
      <c r="V121" s="1758"/>
      <c r="W121" s="1758" t="s">
        <v>1940</v>
      </c>
      <c r="X121" s="1762" t="s">
        <v>1962</v>
      </c>
      <c r="Y121" s="1641"/>
      <c r="Z121" s="1641"/>
    </row>
    <row r="122" spans="1:26" ht="36" x14ac:dyDescent="0.2">
      <c r="A122" s="1646">
        <f>SUM('ES lėšos'!A122)</f>
        <v>121</v>
      </c>
      <c r="B122" s="1641" t="str">
        <f>CONCATENATE('ES lėšos'!C122)</f>
        <v>08.1.1-CPVA·R-408</v>
      </c>
      <c r="C122" s="1641" t="str">
        <f>CONCATENATE('ketv. 6 '!C157)</f>
        <v>08.1.2-CPVA-R-408-11-0003</v>
      </c>
      <c r="D122" s="1641" t="str">
        <f>CONCATENATE('ES lėšos'!B122)</f>
        <v>Socialinio būsto fondo plėtra Druskininkų savivaldybėje</v>
      </c>
      <c r="E122" s="1641" t="str">
        <f>CONCATENATE('ES lėšos'!D122)</f>
        <v>Druskininkų savivaldybės administracija</v>
      </c>
      <c r="F122" s="1641" t="str">
        <f>CONCATENATE('ES lėšos'!E122)</f>
        <v>Druskininkų sav.</v>
      </c>
      <c r="G122" s="1653">
        <v>42447</v>
      </c>
      <c r="H122" s="1646" t="s">
        <v>1923</v>
      </c>
      <c r="I122" s="1647">
        <f>SUM('ES lėšos'!G122)</f>
        <v>618352</v>
      </c>
      <c r="J122" s="1648">
        <f ca="1">SUM('ES lėšos'!H122)</f>
        <v>618351.99</v>
      </c>
      <c r="K122" s="1647">
        <f t="shared" ca="1" si="9"/>
        <v>1.0000000009313226E-2</v>
      </c>
      <c r="L122" s="1649">
        <f ca="1">IF(J122&gt;0,'ketv. 6 '!AF157/'ketv. 6 '!L157,"finansavimas dar neskirtas")</f>
        <v>0.8499999876284059</v>
      </c>
      <c r="M122" s="1657">
        <f>SUMIF('sutarčių ataskaita'!$J$19:$J$600,C122,'sutarčių ataskaita'!$BP$19:$BP$600)</f>
        <v>43585</v>
      </c>
      <c r="N122" s="1651">
        <f>IF('ketv. 5 '!S157=0,'ketv. 5 '!R157,'ketv. 5 '!S157)</f>
        <v>43585</v>
      </c>
      <c r="O122" s="1657">
        <f>SUMIF('sutarčių ataskaita'!$J$19:$J$600,C122,'sutarčių ataskaita'!$BO$19:$BO$600)</f>
        <v>42593</v>
      </c>
      <c r="P122" s="1657">
        <f>SUMIF('sutarčių ataskaita'!$J$19:$J$600,C122,'sutarčių ataskaita'!$L$19:$L$600)</f>
        <v>42593</v>
      </c>
      <c r="Q122" s="1658">
        <f t="shared" si="8"/>
        <v>32.613698630136987</v>
      </c>
      <c r="R122" s="1648">
        <f>SUM('ketv. 7 '!AK156)</f>
        <v>329306.48</v>
      </c>
      <c r="S122" s="1648">
        <f>SUMIF('mokėjimų ataskaita'!$I$14:$I$601,C122,'mokėjimų ataskaita'!$AK$14:$AK$601)/2</f>
        <v>329306.48</v>
      </c>
      <c r="T122" s="1648">
        <f>SUMIF('mokėjimų ataskaita'!I71:I658,C122,'mokėjimų ataskaita'!BS71:BS658)/2</f>
        <v>194006.48</v>
      </c>
      <c r="U122" s="1649">
        <f t="shared" ca="1" si="11"/>
        <v>0.53255505816355497</v>
      </c>
      <c r="V122" s="1758"/>
      <c r="W122" s="1758" t="s">
        <v>1940</v>
      </c>
      <c r="X122" s="1762" t="s">
        <v>1969</v>
      </c>
      <c r="Y122" s="1641"/>
      <c r="Z122" s="1641"/>
    </row>
    <row r="123" spans="1:26" ht="36" x14ac:dyDescent="0.2">
      <c r="A123" s="1646">
        <f>SUM('ES lėšos'!A123)</f>
        <v>122</v>
      </c>
      <c r="B123" s="1641" t="str">
        <f>CONCATENATE('ES lėšos'!C123)</f>
        <v>08.1.1-CPVA·R-408</v>
      </c>
      <c r="C123" s="1641" t="str">
        <f>CONCATENATE('ketv. 6 '!C158)</f>
        <v>08.1.2-CPVA-R-408-11-0004</v>
      </c>
      <c r="D123" s="1641" t="str">
        <f>CONCATENATE('ES lėšos'!B123)</f>
        <v>Socialinio būsto fondo plėtra Lazdijų rajono savivaldybėje</v>
      </c>
      <c r="E123" s="1641" t="str">
        <f>CONCATENATE('ES lėšos'!D123)</f>
        <v>Lazdijų rajono savivaldybės administracija</v>
      </c>
      <c r="F123" s="1641" t="str">
        <f>CONCATENATE('ES lėšos'!E123)</f>
        <v>Lazdijų r. sav.</v>
      </c>
      <c r="G123" s="1653">
        <v>42450</v>
      </c>
      <c r="H123" s="1646" t="s">
        <v>1895</v>
      </c>
      <c r="I123" s="1647">
        <f>SUM('ES lėšos'!G123)</f>
        <v>313012</v>
      </c>
      <c r="J123" s="1648">
        <f ca="1">SUM('ES lėšos'!H123)</f>
        <v>313012</v>
      </c>
      <c r="K123" s="1647">
        <f t="shared" ca="1" si="9"/>
        <v>0</v>
      </c>
      <c r="L123" s="1649">
        <f ca="1">IF(J123&gt;0,'ketv. 6 '!AF158/'ketv. 6 '!L158,"finansavimas dar neskirtas")</f>
        <v>0.84919383937558157</v>
      </c>
      <c r="M123" s="1657">
        <f>SUMIF('sutarčių ataskaita'!$J$19:$J$600,C123,'sutarčių ataskaita'!$BP$19:$BP$600)</f>
        <v>43524</v>
      </c>
      <c r="N123" s="1651">
        <f>IF('ketv. 5 '!S158=0,'ketv. 5 '!R158,'ketv. 5 '!S158)</f>
        <v>43554</v>
      </c>
      <c r="O123" s="1657">
        <f>SUMIF('sutarčių ataskaita'!$J$19:$J$600,C123,'sutarčių ataskaita'!$BO$19:$BO$600)</f>
        <v>42382</v>
      </c>
      <c r="P123" s="1657">
        <f>SUMIF('sutarčių ataskaita'!$J$19:$J$600,C123,'sutarčių ataskaita'!$L$19:$L$600)</f>
        <v>42613</v>
      </c>
      <c r="Q123" s="1658">
        <f t="shared" si="8"/>
        <v>29.950684931506849</v>
      </c>
      <c r="R123" s="1648">
        <f>SUM('ketv. 7 '!AK157)</f>
        <v>147714.85000000003</v>
      </c>
      <c r="S123" s="1648">
        <f>SUMIF('mokėjimų ataskaita'!$I$14:$I$601,C123,'mokėjimų ataskaita'!$AK$14:$AK$601)/2</f>
        <v>147714.85000000003</v>
      </c>
      <c r="T123" s="1648">
        <f>SUMIF('mokėjimų ataskaita'!I72:I659,C123,'mokėjimų ataskaita'!BS72:BS659)/2</f>
        <v>68766.080000000002</v>
      </c>
      <c r="U123" s="1649">
        <f t="shared" ca="1" si="11"/>
        <v>0.47191433555263068</v>
      </c>
      <c r="V123" s="1758"/>
      <c r="W123" s="1758" t="s">
        <v>1940</v>
      </c>
      <c r="X123" s="1762" t="s">
        <v>1942</v>
      </c>
      <c r="Y123" s="1641"/>
      <c r="Z123" s="1641"/>
    </row>
    <row r="124" spans="1:26" ht="36" x14ac:dyDescent="0.2">
      <c r="A124" s="1646">
        <f>SUM('ES lėšos'!A124)</f>
        <v>123</v>
      </c>
      <c r="B124" s="1641" t="str">
        <f>CONCATENATE('ES lėšos'!C124)</f>
        <v>10.1.3-ESFA-R-920</v>
      </c>
      <c r="C124" s="1641" t="str">
        <f>CONCATENATE('ketv. 6 '!C161)</f>
        <v>10.1.3-ESFA-R-920-11-0001</v>
      </c>
      <c r="D124" s="1641" t="str">
        <f>CONCATENATE('ES lėšos'!B124)</f>
        <v>Paslaugų teikimo ir asmenų aptarnavimo kokybės gerinimas Varėnos rajono savivaldybėje</v>
      </c>
      <c r="E124" s="1641" t="str">
        <f>CONCATENATE('ES lėšos'!D124)</f>
        <v>Varėnos rajono savivaldybės administracija</v>
      </c>
      <c r="F124" s="1641" t="str">
        <f>CONCATENATE('ES lėšos'!E124)</f>
        <v>Varėnos r. sav.</v>
      </c>
      <c r="G124" s="1653">
        <v>42983</v>
      </c>
      <c r="H124" s="1646" t="s">
        <v>1928</v>
      </c>
      <c r="I124" s="1647">
        <f>SUM('ES lėšos'!G124)</f>
        <v>146823.49</v>
      </c>
      <c r="J124" s="1648">
        <f ca="1">SUM('ES lėšos'!H124)</f>
        <v>146823.49</v>
      </c>
      <c r="K124" s="1647">
        <f t="shared" ca="1" si="9"/>
        <v>0</v>
      </c>
      <c r="L124" s="1649">
        <f ca="1">IF(J124&gt;0,'ketv. 6 '!AF161/'ketv. 6 '!L161,"finansavimas dar neskirtas")</f>
        <v>0.8499999884214714</v>
      </c>
      <c r="M124" s="1657">
        <f>SUMIF('sutarčių ataskaita'!$J$19:$J$600,C124,'sutarčių ataskaita'!$BP$19:$BP$600)</f>
        <v>43683</v>
      </c>
      <c r="N124" s="1651">
        <f>IF('ketv. 5 '!S161=0,'ketv. 5 '!R161,'ketv. 5 '!S161)</f>
        <v>43830</v>
      </c>
      <c r="O124" s="1657">
        <f>SUMIF('sutarčių ataskaita'!$J$19:$J$600,C124,'sutarčių ataskaita'!$BO$19:$BO$600)</f>
        <v>42808</v>
      </c>
      <c r="P124" s="1657">
        <f>SUMIF('sutarčių ataskaita'!$J$19:$J$600,C124,'sutarčių ataskaita'!$L$19:$L$600)</f>
        <v>43137</v>
      </c>
      <c r="Q124" s="1658">
        <f t="shared" si="8"/>
        <v>17.950684931506849</v>
      </c>
      <c r="R124" s="1648">
        <f>SUM('ketv. 7 '!AK160)</f>
        <v>36384.050000000003</v>
      </c>
      <c r="S124" s="1648">
        <f>SUMIF('mokėjimų ataskaita'!$I$14:$I$601,C124,'mokėjimų ataskaita'!$AK$14:$AK$601)/2</f>
        <v>36384.050000000003</v>
      </c>
      <c r="T124" s="1648">
        <f>SUMIF('mokėjimų ataskaita'!I7:I594,C124,'mokėjimų ataskaita'!BS7:BS594)/2</f>
        <v>12668.39</v>
      </c>
      <c r="U124" s="1649">
        <f t="shared" ca="1" si="11"/>
        <v>0.24780809937156517</v>
      </c>
      <c r="V124" s="1758"/>
      <c r="W124" s="1758" t="s">
        <v>1940</v>
      </c>
      <c r="X124" s="1762" t="s">
        <v>1992</v>
      </c>
      <c r="Y124" s="1641"/>
      <c r="Z124" s="1641"/>
    </row>
    <row r="125" spans="1:26" ht="36" x14ac:dyDescent="0.2">
      <c r="A125" s="1646">
        <f>SUM('ES lėšos'!A125)</f>
        <v>124</v>
      </c>
      <c r="B125" s="1641" t="str">
        <f>CONCATENATE('ES lėšos'!C125)</f>
        <v>10.1.3-ESFA-R-920</v>
      </c>
      <c r="C125" s="1641" t="str">
        <f>CONCATENATE('ketv. 6 '!C162)</f>
        <v>10.1.3-ESFA-R-920-11-0005</v>
      </c>
      <c r="D125" s="1641" t="str">
        <f>CONCATENATE('ES lėšos'!B125)</f>
        <v>Paslaugų ir asmenų aptarnavimo kokybės gerinimas Alytaus rajono savivaldybėje</v>
      </c>
      <c r="E125" s="1641" t="str">
        <f>CONCATENATE('ES lėšos'!D125)</f>
        <v>Alytaus rajono savivaldybės administracija</v>
      </c>
      <c r="F125" s="1641" t="str">
        <f>CONCATENATE('ES lėšos'!E125)</f>
        <v>Alytaus r. sav.</v>
      </c>
      <c r="G125" s="1653">
        <v>43063</v>
      </c>
      <c r="H125" s="1646" t="s">
        <v>1931</v>
      </c>
      <c r="I125" s="1647">
        <f>SUM('ES lėšos'!G125)</f>
        <v>163907.37</v>
      </c>
      <c r="J125" s="1648">
        <f ca="1">SUM('ES lėšos'!H125)</f>
        <v>163907.37</v>
      </c>
      <c r="K125" s="1647">
        <f t="shared" ca="1" si="9"/>
        <v>0</v>
      </c>
      <c r="L125" s="1649">
        <f ca="1">IF(J125&gt;0,'ketv. 6 '!AF162/'ketv. 6 '!L162,"finansavimas dar neskirtas")</f>
        <v>0.84999995592022726</v>
      </c>
      <c r="M125" s="1657">
        <f>SUMIF('sutarčių ataskaita'!$J$19:$J$600,C125,'sutarčių ataskaita'!$BP$19:$BP$600)</f>
        <v>43951</v>
      </c>
      <c r="N125" s="1651">
        <f>IF('ketv. 5 '!S162=0,'ketv. 5 '!R162,'ketv. 5 '!S162)</f>
        <v>44196</v>
      </c>
      <c r="O125" s="1657">
        <f>SUMIF('sutarčių ataskaita'!$J$19:$J$600,C125,'sutarčių ataskaita'!$BO$19:$BO$600)</f>
        <v>42965</v>
      </c>
      <c r="P125" s="1657">
        <f>SUMIF('sutarčių ataskaita'!$J$19:$J$600,C125,'sutarčių ataskaita'!$L$19:$L$600)</f>
        <v>43220</v>
      </c>
      <c r="Q125" s="1658">
        <f t="shared" si="8"/>
        <v>24.032876712328765</v>
      </c>
      <c r="R125" s="1648">
        <f>SUM('ketv. 7 '!AK161)</f>
        <v>2599.2199999999998</v>
      </c>
      <c r="S125" s="1648">
        <f>SUMIF('mokėjimų ataskaita'!$I$14:$I$601,C125,'mokėjimų ataskaita'!$AK$14:$AK$601)/2</f>
        <v>2599.2199999999998</v>
      </c>
      <c r="T125" s="1648">
        <f>SUMIF('mokėjimų ataskaita'!I8:I595,C125,'mokėjimų ataskaita'!BS8:BS595)/2</f>
        <v>0</v>
      </c>
      <c r="U125" s="1649">
        <f t="shared" ca="1" si="11"/>
        <v>1.5857859228660676E-2</v>
      </c>
      <c r="V125" s="1758"/>
      <c r="W125" s="1758" t="s">
        <v>1940</v>
      </c>
      <c r="X125" s="1762" t="s">
        <v>1944</v>
      </c>
      <c r="Y125" s="1641"/>
      <c r="Z125" s="1641"/>
    </row>
    <row r="126" spans="1:26" ht="48" x14ac:dyDescent="0.2">
      <c r="A126" s="1646">
        <f>SUM('ES lėšos'!A126)</f>
        <v>125</v>
      </c>
      <c r="B126" s="1641" t="str">
        <f>CONCATENATE('ES lėšos'!C126)</f>
        <v>10.1.3-ESFA-R-920</v>
      </c>
      <c r="C126" s="1641" t="str">
        <f>CONCATENATE('ketv. 6 '!C163)</f>
        <v>10.1.3-ESFA-R-920-11-0003</v>
      </c>
      <c r="D126" s="1641" t="str">
        <f>CONCATENATE('ES lėšos'!B126)</f>
        <v>Lazdijų rajono savivaldybės administracijos ir jos viešojo valdymo institucijų teikiamų paslaugų procesų tobulinimas</v>
      </c>
      <c r="E126" s="1641" t="str">
        <f>CONCATENATE('ES lėšos'!D126)</f>
        <v>Lazdijų rajono savivaldybės administracija</v>
      </c>
      <c r="F126" s="1641" t="str">
        <f>CONCATENATE('ES lėšos'!E126)</f>
        <v>Lazdijų r. sav.</v>
      </c>
      <c r="G126" s="1653">
        <v>43031</v>
      </c>
      <c r="H126" s="1646" t="s">
        <v>1930</v>
      </c>
      <c r="I126" s="1647">
        <f>SUM('ES lėšos'!G126)</f>
        <v>139388</v>
      </c>
      <c r="J126" s="1648">
        <f ca="1">SUM('ES lėšos'!H126)</f>
        <v>139388</v>
      </c>
      <c r="K126" s="1647">
        <f t="shared" ca="1" si="9"/>
        <v>0</v>
      </c>
      <c r="L126" s="1649">
        <f ca="1">IF(J126&gt;0,'ketv. 6 '!AF163/'ketv. 6 '!L163,"finansavimas dar neskirtas")</f>
        <v>0.84999482885460098</v>
      </c>
      <c r="M126" s="1657">
        <f>SUMIF('sutarčių ataskaita'!$J$19:$J$600,C126,'sutarčių ataskaita'!$BP$19:$BP$600)</f>
        <v>43874</v>
      </c>
      <c r="N126" s="1651">
        <f>IF('ketv. 5 '!S163=0,'ketv. 5 '!R163,'ketv. 5 '!S163)</f>
        <v>44196</v>
      </c>
      <c r="O126" s="1657">
        <f>SUMIF('sutarčių ataskaita'!$J$19:$J$600,C126,'sutarčių ataskaita'!$BO$19:$BO$600)</f>
        <v>42913</v>
      </c>
      <c r="P126" s="1657">
        <f>SUMIF('sutarčių ataskaita'!$J$19:$J$600,C126,'sutarčių ataskaita'!$L$19:$L$600)</f>
        <v>43144</v>
      </c>
      <c r="Q126" s="1658">
        <f t="shared" si="8"/>
        <v>24</v>
      </c>
      <c r="R126" s="1648">
        <f>SUM('ketv. 7 '!AK162)</f>
        <v>72203.819999999992</v>
      </c>
      <c r="S126" s="1648">
        <f>SUMIF('mokėjimų ataskaita'!$I$14:$I$601,C126,'mokėjimų ataskaita'!$AK$14:$AK$601)/2</f>
        <v>72203.819999999992</v>
      </c>
      <c r="T126" s="1648">
        <f>SUMIF('mokėjimų ataskaita'!I9:I596,C126,'mokėjimų ataskaita'!BS9:BS596)/2</f>
        <v>30387.42</v>
      </c>
      <c r="U126" s="1649">
        <f t="shared" ca="1" si="11"/>
        <v>0.51800599764685618</v>
      </c>
      <c r="V126" s="1758"/>
      <c r="W126" s="1758" t="s">
        <v>1940</v>
      </c>
      <c r="X126" s="1762" t="s">
        <v>1993</v>
      </c>
      <c r="Y126" s="1641"/>
      <c r="Z126" s="1641"/>
    </row>
    <row r="127" spans="1:26" ht="72" x14ac:dyDescent="0.2">
      <c r="A127" s="1646">
        <f>SUM('ES lėšos'!A127)</f>
        <v>126</v>
      </c>
      <c r="B127" s="1641" t="str">
        <f>CONCATENATE('ES lėšos'!C127)</f>
        <v>10.1.3-ESFA-R-920</v>
      </c>
      <c r="C127" s="1641" t="str">
        <f>CONCATENATE('ketv. 6 '!C164)</f>
        <v>10.1.3-ESFA-R-920-11-0007</v>
      </c>
      <c r="D127" s="1641" t="str">
        <f>CONCATENATE('ES lėšos'!B127)</f>
        <v>Teikiamų paslaugų procesų tobulinimas ir asmenų aptarnavimo kokybės gerinimas Alytaus m. sav. administracijoje ir jai pavaldžiose įstaigose. I etapas</v>
      </c>
      <c r="E127" s="1641" t="str">
        <f>CONCATENATE('ES lėšos'!D127)</f>
        <v>Alytaus miesto savivaldybės administracija</v>
      </c>
      <c r="F127" s="1641" t="str">
        <f>CONCATENATE('ES lėšos'!E127)</f>
        <v>Alytaus m. sav.</v>
      </c>
      <c r="G127" s="1653">
        <v>43049</v>
      </c>
      <c r="H127" s="1646" t="s">
        <v>1932</v>
      </c>
      <c r="I127" s="1647">
        <f>SUM('ES lėšos'!G127)</f>
        <v>183339.18</v>
      </c>
      <c r="J127" s="1648">
        <f ca="1">SUM('ES lėšos'!H127)</f>
        <v>183339.18</v>
      </c>
      <c r="K127" s="1647">
        <f t="shared" ca="1" si="9"/>
        <v>0</v>
      </c>
      <c r="L127" s="1649">
        <f ca="1">IF(J127&gt;0,'ketv. 6 '!AF164/'ketv. 6 '!L164,"finansavimas dar neskirtas")</f>
        <v>0.84999997218270618</v>
      </c>
      <c r="M127" s="1657">
        <f>SUMIF('sutarčių ataskaita'!$J$19:$J$600,C127,'sutarčių ataskaita'!$BP$19:$BP$600)</f>
        <v>44152</v>
      </c>
      <c r="N127" s="1651">
        <f>IF('ketv. 5 '!S164=0,'ketv. 5 '!R164,'ketv. 5 '!S164)</f>
        <v>44152</v>
      </c>
      <c r="O127" s="1657">
        <f>SUMIF('sutarčių ataskaita'!$J$19:$J$600,C127,'sutarčių ataskaita'!$BO$19:$BO$600)</f>
        <v>42824</v>
      </c>
      <c r="P127" s="1657">
        <f>SUMIF('sutarčių ataskaita'!$J$19:$J$600,C127,'sutarčių ataskaita'!$L$19:$L$600)</f>
        <v>43237</v>
      </c>
      <c r="Q127" s="1658">
        <f t="shared" si="8"/>
        <v>30.082191780821915</v>
      </c>
      <c r="R127" s="1648">
        <f>SUM('ketv. 7 '!AK163)</f>
        <v>5781.43</v>
      </c>
      <c r="S127" s="1648">
        <f>SUMIF('mokėjimų ataskaita'!$I$14:$I$601,C127,'mokėjimų ataskaita'!$AK$14:$AK$601)/2</f>
        <v>5781.43</v>
      </c>
      <c r="T127" s="1648">
        <f>SUMIF('mokėjimų ataskaita'!I10:I597,C127,'mokėjimų ataskaita'!BS10:BS597)/2</f>
        <v>0</v>
      </c>
      <c r="U127" s="1649">
        <f t="shared" ca="1" si="11"/>
        <v>3.1534067077206303E-2</v>
      </c>
      <c r="V127" s="1758"/>
      <c r="W127" s="1758" t="s">
        <v>1940</v>
      </c>
      <c r="X127" s="1762" t="s">
        <v>1956</v>
      </c>
      <c r="Y127" s="1641"/>
      <c r="Z127" s="1641"/>
    </row>
    <row r="128" spans="1:26" ht="36" x14ac:dyDescent="0.2">
      <c r="A128" s="1646">
        <f>SUM('ES lėšos'!A128)</f>
        <v>127</v>
      </c>
      <c r="B128" s="1641" t="str">
        <f>CONCATENATE('ES lėšos'!C128)</f>
        <v>10.1.3-ESFA-R-920</v>
      </c>
      <c r="C128" s="1641" t="str">
        <f>CONCATENATE('ketv. 6 '!C165)</f>
        <v>10.1.3-ESFA-R-920-11-0006</v>
      </c>
      <c r="D128" s="1641" t="str">
        <f>CONCATENATE('ES lėšos'!B128)</f>
        <v>Paslaugų teikimo ir asmenų aptarnavimo kokybės gerinimas Druskininkų savivaldybėje</v>
      </c>
      <c r="E128" s="1641" t="str">
        <f>CONCATENATE('ES lėšos'!D128)</f>
        <v>Druskininkų savivaldybės administracija</v>
      </c>
      <c r="F128" s="1641" t="str">
        <f>CONCATENATE('ES lėšos'!E128)</f>
        <v>Druskininkų sav.</v>
      </c>
      <c r="G128" s="1653">
        <v>42986</v>
      </c>
      <c r="H128" s="1646" t="s">
        <v>1929</v>
      </c>
      <c r="I128" s="1647">
        <f>SUM('ES lėšos'!G128)</f>
        <v>137350</v>
      </c>
      <c r="J128" s="1648">
        <f ca="1">SUM('ES lėšos'!H128)</f>
        <v>137349.79999999999</v>
      </c>
      <c r="K128" s="1647">
        <f t="shared" ca="1" si="9"/>
        <v>0.20000000001164153</v>
      </c>
      <c r="L128" s="1649">
        <f ca="1">IF(J128&gt;0,'ketv. 6 '!AF165/'ketv. 6 '!L165,"finansavimas dar neskirtas")</f>
        <v>0.84919089641302725</v>
      </c>
      <c r="M128" s="1657">
        <f>SUMIF('sutarčių ataskaita'!$J$19:$J$600,C128,'sutarčių ataskaita'!$BP$19:$BP$600)</f>
        <v>44153</v>
      </c>
      <c r="N128" s="1651">
        <f>IF('ketv. 5 '!S165=0,'ketv. 5 '!R165,'ketv. 5 '!S165)</f>
        <v>44103.5</v>
      </c>
      <c r="O128" s="1657">
        <f>SUMIF('sutarčių ataskaita'!$J$19:$J$600,C128,'sutarčių ataskaita'!$BO$19:$BO$600)</f>
        <v>42485</v>
      </c>
      <c r="P128" s="1657">
        <f>SUMIF('sutarčių ataskaita'!$J$19:$J$600,C128,'sutarčių ataskaita'!$L$19:$L$600)</f>
        <v>43238</v>
      </c>
      <c r="Q128" s="1658">
        <f t="shared" si="8"/>
        <v>30.082191780821915</v>
      </c>
      <c r="R128" s="1648">
        <f>SUM('ketv. 7 '!AK164)</f>
        <v>28630.95</v>
      </c>
      <c r="S128" s="1648">
        <f>SUMIF('mokėjimų ataskaita'!$I$14:$I$601,C128,'mokėjimų ataskaita'!$AK$14:$AK$601)/2</f>
        <v>28630.95</v>
      </c>
      <c r="T128" s="1648">
        <f>SUMIF('mokėjimų ataskaita'!I11:I598,C128,'mokėjimų ataskaita'!BS11:BS598)/2</f>
        <v>0</v>
      </c>
      <c r="U128" s="1649">
        <f t="shared" ca="1" si="11"/>
        <v>0.20845279716461185</v>
      </c>
      <c r="V128" s="1758"/>
      <c r="W128" s="1758" t="s">
        <v>1940</v>
      </c>
      <c r="X128" s="1762" t="s">
        <v>1969</v>
      </c>
      <c r="Y128" s="1641"/>
      <c r="Z128" s="1641"/>
    </row>
    <row r="129" spans="1:26" ht="72" x14ac:dyDescent="0.2">
      <c r="A129" s="1646">
        <f>SUM('ES lėšos'!A129)</f>
        <v>128</v>
      </c>
      <c r="B129" s="1641" t="str">
        <f>CONCATENATE('ES lėšos'!C129)</f>
        <v>10.1.3-ESFA-R-920</v>
      </c>
      <c r="C129" s="1641" t="str">
        <f>CONCATENATE('ketv. 6 '!C166)</f>
        <v>-</v>
      </c>
      <c r="D129" s="1641" t="str">
        <f>CONCATENATE('ES lėšos'!B129)</f>
        <v>Teikiamų paslaugų procesų tobulinimas ir asmenų aptarnavimo kokybės gerinimas Alytaus m. sav. administracijoje ir jai pavaldžiose įstaigose. II etapas</v>
      </c>
      <c r="E129" s="1641" t="str">
        <f>CONCATENATE('ES lėšos'!D129)</f>
        <v>Alytaus miesto savivaldybės administracija</v>
      </c>
      <c r="F129" s="1641" t="str">
        <f>CONCATENATE('ES lėšos'!E129)</f>
        <v>Alytaus m. sav.</v>
      </c>
      <c r="G129" s="1653" t="s">
        <v>66</v>
      </c>
      <c r="H129" s="1646" t="s">
        <v>66</v>
      </c>
      <c r="I129" s="1647">
        <f>SUM('ES lėšos'!G129)</f>
        <v>0</v>
      </c>
      <c r="J129" s="1648">
        <f ca="1">SUM('ES lėšos'!H129)</f>
        <v>0</v>
      </c>
      <c r="K129" s="1647" t="str">
        <f t="shared" ca="1" si="9"/>
        <v>finansavimas dar neskirtas</v>
      </c>
      <c r="L129" s="1649" t="str">
        <f ca="1">IF(J129&gt;0,'ketv. 6 '!AF166/'ketv. 6 '!L166,"finansavimas dar neskirtas")</f>
        <v>finansavimas dar neskirtas</v>
      </c>
      <c r="M129" s="1657"/>
      <c r="N129" s="1651">
        <f>IF('ketv. 5 '!S166=0,'ketv. 5 '!R166,'ketv. 5 '!S166)</f>
        <v>44196</v>
      </c>
      <c r="O129" s="1657"/>
      <c r="P129" s="1657"/>
      <c r="Q129" s="1658">
        <f t="shared" ref="Q129:Q139" si="12">SUM((M129-P129)/(365/12))</f>
        <v>0</v>
      </c>
      <c r="R129" s="1648">
        <f>SUM('ketv. 7 '!AK165)</f>
        <v>0</v>
      </c>
      <c r="S129" s="1648">
        <f>SUMIF('mokėjimų ataskaita'!$I$14:$I$601,C129,'mokėjimų ataskaita'!$AK$14:$AK$601)/2</f>
        <v>0</v>
      </c>
      <c r="T129" s="1648">
        <f>SUMIF('mokėjimų ataskaita'!I12:I599,C129,'mokėjimų ataskaita'!BS12:BS599)/2</f>
        <v>0</v>
      </c>
      <c r="U129" s="1649" t="str">
        <f t="shared" ca="1" si="11"/>
        <v>finansavimas dar neskirtas</v>
      </c>
      <c r="V129" s="1758"/>
      <c r="W129" s="1763"/>
      <c r="X129" s="1762"/>
      <c r="Y129" s="1641"/>
      <c r="Z129" s="1641"/>
    </row>
    <row r="130" spans="1:26" ht="36" x14ac:dyDescent="0.2">
      <c r="A130" s="1646">
        <f>SUM('ES lėšos'!A130)</f>
        <v>129</v>
      </c>
      <c r="B130" s="1641" t="str">
        <f>CONCATENATE('ES lėšos'!C130)</f>
        <v>05.2.1-APVA-R-008</v>
      </c>
      <c r="C130" s="1641" t="str">
        <f>CONCATENATE('ketv. 6 '!C170)</f>
        <v>05.2.1-APVA-R-008-11-0001</v>
      </c>
      <c r="D130" s="1641" t="str">
        <f>CONCATENATE('ES lėšos'!B130)</f>
        <v>Komunalinių atliekų tvarkymo sistemos plėtra Alytaus regione</v>
      </c>
      <c r="E130" s="1641" t="str">
        <f>CONCATENATE('ES lėšos'!D130)</f>
        <v>Alytaus regiono atliekų tvarkymo centras</v>
      </c>
      <c r="F130" s="1641" t="str">
        <f>CONCATENATE('ES lėšos'!E130)</f>
        <v>Alytaus regionas</v>
      </c>
      <c r="G130" s="1653">
        <v>42744</v>
      </c>
      <c r="H130" s="1646" t="s">
        <v>1882</v>
      </c>
      <c r="I130" s="1647">
        <f>SUM('ES lėšos'!G130)</f>
        <v>3352807.77</v>
      </c>
      <c r="J130" s="1648">
        <f ca="1">SUM('ES lėšos'!H130)</f>
        <v>3352807.77</v>
      </c>
      <c r="K130" s="1647">
        <f t="shared" ca="1" si="9"/>
        <v>0</v>
      </c>
      <c r="L130" s="1649">
        <f ca="1">IF(J130&gt;0,'ketv. 6 '!AF170/'ketv. 6 '!L170,"finansavimas dar neskirtas")</f>
        <v>0.81168283373101335</v>
      </c>
      <c r="M130" s="1657">
        <f>SUMIF('sutarčių ataskaita'!$J$19:$J$600,C130,'sutarčių ataskaita'!$BP$19:$BP$600)</f>
        <v>43565</v>
      </c>
      <c r="N130" s="1651">
        <f>IF('ketv. 5 '!S170=0,'ketv. 5 '!R170,'ketv. 5 '!S170)</f>
        <v>43830</v>
      </c>
      <c r="O130" s="1657">
        <f>SUMIF('sutarčių ataskaita'!$J$19:$J$600,C130,'sutarčių ataskaita'!$BO$19:$BO$600)</f>
        <v>42957</v>
      </c>
      <c r="P130" s="1657">
        <f>SUMIF('sutarčių ataskaita'!$J$19:$J$600,C130,'sutarčių ataskaita'!$L$19:$L$600)</f>
        <v>42957</v>
      </c>
      <c r="Q130" s="1658">
        <f t="shared" si="12"/>
        <v>19.989041095890411</v>
      </c>
      <c r="R130" s="1672">
        <f>SUM('ketv. 7 '!AK169)</f>
        <v>607002.71</v>
      </c>
      <c r="S130" s="1648">
        <f>SUMIF('mokėjimų ataskaita'!$I$14:$I$601,C130,'mokėjimų ataskaita'!$AK$14:$AK$601)/2</f>
        <v>607002.71</v>
      </c>
      <c r="T130" s="1648">
        <f>SUMIF('mokėjimų ataskaita'!$I$13:$I$600,C130,'mokėjimų ataskaita'!$BS$13:$BS$600)/2</f>
        <v>223819.55</v>
      </c>
      <c r="U130" s="1649">
        <f t="shared" ca="1" si="11"/>
        <v>0.18104309928868959</v>
      </c>
      <c r="V130" s="1758"/>
      <c r="W130" s="1758" t="s">
        <v>1940</v>
      </c>
      <c r="X130" s="1762" t="s">
        <v>1949</v>
      </c>
      <c r="Y130" s="1641"/>
      <c r="Z130" s="1641"/>
    </row>
    <row r="131" spans="1:26" ht="36" x14ac:dyDescent="0.2">
      <c r="A131" s="1646">
        <f>SUM('ES lėšos'!A131)</f>
        <v>130</v>
      </c>
      <c r="B131" s="1641" t="str">
        <f>CONCATENATE('ES lėšos'!C131)</f>
        <v>05.5.1-APVA-R-019</v>
      </c>
      <c r="C131" s="1641" t="str">
        <f>CONCATENATE('ketv. 6 '!C173)</f>
        <v>05.5.1-APVA-R-019-11-0002</v>
      </c>
      <c r="D131" s="1641" t="str">
        <f>CONCATENATE('ES lėšos'!B131)</f>
        <v>Kraštovaizdžio formavimas ir tvarkymas Varėnos r. savivaldybėje (I etapas)</v>
      </c>
      <c r="E131" s="1641" t="str">
        <f>CONCATENATE('ES lėšos'!D131)</f>
        <v>Varėnos rajono savivaldybės administracija</v>
      </c>
      <c r="F131" s="1641" t="str">
        <f>CONCATENATE('ES lėšos'!E131)</f>
        <v>Varėnos r. sav.</v>
      </c>
      <c r="G131" s="1653">
        <v>42621</v>
      </c>
      <c r="H131" s="1646" t="s">
        <v>1935</v>
      </c>
      <c r="I131" s="1647">
        <f>SUM('ES lėšos'!G131)</f>
        <v>263094</v>
      </c>
      <c r="J131" s="1648">
        <f ca="1">SUM('ES lėšos'!H131)</f>
        <v>263093.7</v>
      </c>
      <c r="K131" s="1647">
        <f t="shared" ref="K131:K139" ca="1" si="13">IF(J131&gt;0,I131-J131,"finansavimas dar neskirtas")</f>
        <v>0.29999999998835847</v>
      </c>
      <c r="L131" s="1649">
        <f ca="1">IF(J131&gt;0,'ketv. 6 '!AF173/'ketv. 6 '!L173,"finansavimas dar neskirtas")</f>
        <v>0.85000000000000009</v>
      </c>
      <c r="M131" s="1657">
        <f>SUMIF('sutarčių ataskaita'!$J$19:$J$600,C131,'sutarčių ataskaita'!$BP$19:$BP$600)</f>
        <v>43465</v>
      </c>
      <c r="N131" s="1651">
        <f>IF('ketv. 5 '!S173=0,'ketv. 5 '!R173,'ketv. 5 '!S173)</f>
        <v>43465</v>
      </c>
      <c r="O131" s="1657">
        <f>SUMIF('sutarčių ataskaita'!$J$19:$J$600,C131,'sutarčių ataskaita'!$BO$19:$BO$600)</f>
        <v>42733</v>
      </c>
      <c r="P131" s="1657">
        <f>SUMIF('sutarčių ataskaita'!$J$19:$J$600,C131,'sutarčių ataskaita'!$L$19:$L$600)</f>
        <v>42901</v>
      </c>
      <c r="Q131" s="1658">
        <f t="shared" si="12"/>
        <v>18.542465753424658</v>
      </c>
      <c r="R131" s="1648">
        <f>SUM('ketv. 7 '!AK172)</f>
        <v>190951.38</v>
      </c>
      <c r="S131" s="1648">
        <f>SUMIF('mokėjimų ataskaita'!$I$14:$I$601,C131,'mokėjimų ataskaita'!$AK$14:$AK$601)/2</f>
        <v>190951.38</v>
      </c>
      <c r="T131" s="1648">
        <f>SUMIF('mokėjimų ataskaita'!I14:I601,C131,'mokėjimų ataskaita'!BS14:BS601)/2</f>
        <v>88209.88</v>
      </c>
      <c r="U131" s="1649">
        <f t="shared" ca="1" si="11"/>
        <v>0.72579229377214272</v>
      </c>
      <c r="V131" s="1758"/>
      <c r="W131" s="1758" t="s">
        <v>1940</v>
      </c>
      <c r="X131" s="1762" t="s">
        <v>1960</v>
      </c>
      <c r="Y131" s="1641"/>
      <c r="Z131" s="1641"/>
    </row>
    <row r="132" spans="1:26" ht="36" x14ac:dyDescent="0.2">
      <c r="A132" s="1646">
        <f>SUM('ES lėšos'!A132)</f>
        <v>131</v>
      </c>
      <c r="B132" s="1641" t="str">
        <f>CONCATENATE('ES lėšos'!C132)</f>
        <v>05.5.1-APVA-R-019</v>
      </c>
      <c r="C132" s="1641" t="str">
        <f>CONCATENATE('ketv. 6 '!C174)</f>
        <v>-</v>
      </c>
      <c r="D132" s="1641" t="str">
        <f>CONCATENATE('ES lėšos'!B132)</f>
        <v>Kraštovaizdžio formavimas ir tvarkymas Varėnos r. savivaldybėje (II etapas)</v>
      </c>
      <c r="E132" s="1641" t="str">
        <f>CONCATENATE('ES lėšos'!D132)</f>
        <v>Varėnos rajono savivaldybės administracija</v>
      </c>
      <c r="F132" s="1641" t="str">
        <f>CONCATENATE('ES lėšos'!E132)</f>
        <v>Varėnos r. sav.</v>
      </c>
      <c r="G132" s="1653">
        <v>43300</v>
      </c>
      <c r="H132" s="1646" t="s">
        <v>1937</v>
      </c>
      <c r="I132" s="1647">
        <f>SUM('ES lėšos'!G132)</f>
        <v>471079</v>
      </c>
      <c r="J132" s="1648">
        <f ca="1">SUM('ES lėšos'!H132)</f>
        <v>0</v>
      </c>
      <c r="K132" s="1647" t="str">
        <f t="shared" ca="1" si="13"/>
        <v>finansavimas dar neskirtas</v>
      </c>
      <c r="L132" s="1649" t="str">
        <f ca="1">IF(J132&gt;0,'ketv. 6 '!AF174/'ketv. 6 '!L174,"finansavimas dar neskirtas")</f>
        <v>finansavimas dar neskirtas</v>
      </c>
      <c r="M132" s="1657"/>
      <c r="N132" s="1651">
        <f>IF('ketv. 5 '!S174=0,'ketv. 5 '!R174,'ketv. 5 '!S174)</f>
        <v>44651</v>
      </c>
      <c r="O132" s="1657"/>
      <c r="P132" s="1657"/>
      <c r="Q132" s="1658">
        <f t="shared" si="12"/>
        <v>0</v>
      </c>
      <c r="R132" s="1648">
        <f>SUM('ketv. 7 '!AK173)</f>
        <v>0</v>
      </c>
      <c r="S132" s="1648">
        <f>SUMIF('mokėjimų ataskaita'!$I$14:$I$601,C132,'mokėjimų ataskaita'!$AK$14:$AK$601)/2</f>
        <v>0</v>
      </c>
      <c r="T132" s="1648">
        <f>SUMIF('mokėjimų ataskaita'!I15:I602,C132,'mokėjimų ataskaita'!BS15:BS602)/2</f>
        <v>0</v>
      </c>
      <c r="U132" s="1649" t="str">
        <f t="shared" ca="1" si="11"/>
        <v>finansavimas dar neskirtas</v>
      </c>
      <c r="V132" s="1758"/>
      <c r="W132" s="1763"/>
      <c r="X132" s="1762"/>
      <c r="Y132" s="1641"/>
      <c r="Z132" s="1641"/>
    </row>
    <row r="133" spans="1:26" ht="36" x14ac:dyDescent="0.2">
      <c r="A133" s="1646">
        <f>SUM('ES lėšos'!A133)</f>
        <v>132</v>
      </c>
      <c r="B133" s="1641" t="str">
        <f>CONCATENATE('ES lėšos'!C133)</f>
        <v>05.5.1-APVA-R-019</v>
      </c>
      <c r="C133" s="1641" t="str">
        <f>CONCATENATE('ketv. 6 '!C175)</f>
        <v>05.5.1-APVA-R-019-11-0001</v>
      </c>
      <c r="D133" s="1641" t="str">
        <f>CONCATENATE('ES lėšos'!B133)</f>
        <v>Bešeimininkių apleistų pastatų ir įrenginių tvarkymas Alytaus rajono savivaldybėje</v>
      </c>
      <c r="E133" s="1641" t="str">
        <f>CONCATENATE('ES lėšos'!D133)</f>
        <v>Alytaus rajono savivaldybės administracija</v>
      </c>
      <c r="F133" s="1641" t="str">
        <f>CONCATENATE('ES lėšos'!E133)</f>
        <v>Alytaus r. sav.</v>
      </c>
      <c r="G133" s="1653">
        <v>42621</v>
      </c>
      <c r="H133" s="1646" t="s">
        <v>1933</v>
      </c>
      <c r="I133" s="1647">
        <f>SUM('ES lėšos'!G133)</f>
        <v>86501</v>
      </c>
      <c r="J133" s="1648">
        <f ca="1">SUM('ES lėšos'!H133)</f>
        <v>86500.800000000003</v>
      </c>
      <c r="K133" s="1647">
        <f t="shared" ca="1" si="13"/>
        <v>0.19999999999708962</v>
      </c>
      <c r="L133" s="1649">
        <f ca="1">IF(J133&gt;0,'ketv. 6 '!AF175/'ketv. 6 '!L175,"finansavimas dar neskirtas")</f>
        <v>0.84999955780778791</v>
      </c>
      <c r="M133" s="1657">
        <f>SUMIF('sutarčių ataskaita'!$J$19:$J$600,C133,'sutarčių ataskaita'!$BP$19:$BP$600)</f>
        <v>43373</v>
      </c>
      <c r="N133" s="1651">
        <f>IF('ketv. 5 '!S175=0,'ketv. 5 '!R175,'ketv. 5 '!S175)</f>
        <v>43465</v>
      </c>
      <c r="O133" s="1657">
        <f>SUMIF('sutarčių ataskaita'!$J$19:$J$600,C133,'sutarčių ataskaita'!$BO$19:$BO$600)</f>
        <v>42971</v>
      </c>
      <c r="P133" s="1657">
        <f>SUMIF('sutarčių ataskaita'!$J$19:$J$600,C133,'sutarčių ataskaita'!$L$19:$L$600)</f>
        <v>43003</v>
      </c>
      <c r="Q133" s="1658">
        <f t="shared" si="12"/>
        <v>12.164383561643834</v>
      </c>
      <c r="R133" s="1648">
        <f>SUM('ketv. 7 '!AK174)</f>
        <v>45457.02</v>
      </c>
      <c r="S133" s="1648">
        <f>SUMIF('mokėjimų ataskaita'!$I$14:$I$601,C133,'mokėjimų ataskaita'!$AK$14:$AK$601)/2</f>
        <v>45457.02</v>
      </c>
      <c r="T133" s="1648">
        <f>SUMIF('mokėjimų ataskaita'!I16:I603,C133,'mokėjimų ataskaita'!BS16:BS603)/2</f>
        <v>0</v>
      </c>
      <c r="U133" s="1649">
        <f t="shared" ca="1" si="11"/>
        <v>0.5255098218744797</v>
      </c>
      <c r="V133" s="1758"/>
      <c r="W133" s="1758" t="s">
        <v>1940</v>
      </c>
      <c r="X133" s="1762" t="s">
        <v>1959</v>
      </c>
      <c r="Y133" s="1641"/>
      <c r="Z133" s="1641"/>
    </row>
    <row r="134" spans="1:26" ht="60" x14ac:dyDescent="0.2">
      <c r="A134" s="1646">
        <f>SUM('ES lėšos'!A134)</f>
        <v>133</v>
      </c>
      <c r="B134" s="1641" t="str">
        <f>CONCATENATE('ES lėšos'!C134)</f>
        <v>05.5.1-APVA-R-019</v>
      </c>
      <c r="C134" s="1641" t="str">
        <f>CONCATENATE('ketv. 6 '!C176)</f>
        <v>05.5.1-APVA-R-019-11-0004</v>
      </c>
      <c r="D134" s="1641" t="str">
        <f>CONCATENATE('ES lėšos'!B134)</f>
        <v>Alytaus miesto bendrojo plano korektūra zonuojant kraštovaizdžio struktūrą, nustatant reglamentus ir principus</v>
      </c>
      <c r="E134" s="1641" t="str">
        <f>CONCATENATE('ES lėšos'!D134)</f>
        <v>Alytaus miesto savivaldybės administracija</v>
      </c>
      <c r="F134" s="1641" t="str">
        <f>CONCATENATE('ES lėšos'!E134)</f>
        <v>Alytaus m. sav.</v>
      </c>
      <c r="G134" s="1653">
        <v>42613</v>
      </c>
      <c r="H134" s="1646" t="s">
        <v>1934</v>
      </c>
      <c r="I134" s="1647">
        <f>SUM('ES lėšos'!G134)</f>
        <v>3394.05</v>
      </c>
      <c r="J134" s="1648">
        <f ca="1">SUM('ES lėšos'!H134)</f>
        <v>3394.05</v>
      </c>
      <c r="K134" s="1647">
        <f t="shared" ca="1" si="13"/>
        <v>0</v>
      </c>
      <c r="L134" s="1649">
        <f ca="1">IF(J134&gt;0,'ketv. 6 '!AF176/'ketv. 6 '!L176,"finansavimas dar neskirtas")</f>
        <v>0.85000000000000009</v>
      </c>
      <c r="M134" s="1657">
        <f>SUMIF('sutarčių ataskaita'!$J$19:$J$600,C134,'sutarčių ataskaita'!$BP$19:$BP$600)</f>
        <v>43404</v>
      </c>
      <c r="N134" s="1651">
        <f>IF('ketv. 5 '!S176=0,'ketv. 5 '!R176,'ketv. 5 '!S176)</f>
        <v>43465</v>
      </c>
      <c r="O134" s="1657">
        <f>SUMIF('sutarčių ataskaita'!$J$19:$J$600,C134,'sutarčių ataskaita'!$BO$19:$BO$600)</f>
        <v>42947</v>
      </c>
      <c r="P134" s="1657">
        <f>SUMIF('sutarčių ataskaita'!$J$19:$J$600,C134,'sutarčių ataskaita'!$L$19:$L$600)</f>
        <v>42965</v>
      </c>
      <c r="Q134" s="1658">
        <f t="shared" si="12"/>
        <v>14.432876712328767</v>
      </c>
      <c r="R134" s="1648">
        <f>SUM('ketv. 7 '!AK175)</f>
        <v>1018.22</v>
      </c>
      <c r="S134" s="1648">
        <f>SUMIF('mokėjimų ataskaita'!$I$14:$I$601,C134,'mokėjimų ataskaita'!$AK$14:$AK$601)/2</f>
        <v>1018.22</v>
      </c>
      <c r="T134" s="1648">
        <f>SUMIF('mokėjimų ataskaita'!I17:I604,C134,'mokėjimų ataskaita'!BS17:BS604)/2</f>
        <v>0</v>
      </c>
      <c r="U134" s="1649">
        <f t="shared" ca="1" si="11"/>
        <v>0.30000147316627629</v>
      </c>
      <c r="V134" s="1758"/>
      <c r="W134" s="1758" t="s">
        <v>1940</v>
      </c>
      <c r="X134" s="1762" t="s">
        <v>1962</v>
      </c>
      <c r="Y134" s="1641"/>
      <c r="Z134" s="1641"/>
    </row>
    <row r="135" spans="1:26" ht="36" x14ac:dyDescent="0.2">
      <c r="A135" s="1646">
        <f>SUM('ES lėšos'!A135)</f>
        <v>134</v>
      </c>
      <c r="B135" s="1641" t="str">
        <f>CONCATENATE('ES lėšos'!C135)</f>
        <v>05.5.1-APVA-R-019</v>
      </c>
      <c r="C135" s="1641" t="str">
        <f>CONCATENATE('ketv. 6 '!C177)</f>
        <v>05.5.1-APVA-R-019-11-0005</v>
      </c>
      <c r="D135" s="1641" t="str">
        <f>CONCATENATE('ES lėšos'!B135)</f>
        <v>Bešeimininkių apleistų pastatų Druskininkų savivaldybės teritorijoje likvidavimas</v>
      </c>
      <c r="E135" s="1641" t="str">
        <f>CONCATENATE('ES lėšos'!D135)</f>
        <v>Druskininkų savivaldybės administracija</v>
      </c>
      <c r="F135" s="1641" t="str">
        <f>CONCATENATE('ES lėšos'!E135)</f>
        <v>Druskininkų sav.</v>
      </c>
      <c r="G135" s="1653">
        <v>42689</v>
      </c>
      <c r="H135" s="1646" t="s">
        <v>1902</v>
      </c>
      <c r="I135" s="1647">
        <f>SUM('ES lėšos'!G135)</f>
        <v>102980.52</v>
      </c>
      <c r="J135" s="1648">
        <f ca="1">SUM('ES lėšos'!H135)</f>
        <v>102980.52</v>
      </c>
      <c r="K135" s="1647">
        <f t="shared" ca="1" si="13"/>
        <v>0</v>
      </c>
      <c r="L135" s="1649">
        <f ca="1">IF(J135&gt;0,'ketv. 6 '!AF177/'ketv. 6 '!L177,"finansavimas dar neskirtas")</f>
        <v>0.85000002063497104</v>
      </c>
      <c r="M135" s="1657">
        <f>SUMIF('sutarčių ataskaita'!$J$19:$J$600,C135,'sutarčių ataskaita'!$BP$19:$BP$600)</f>
        <v>43312</v>
      </c>
      <c r="N135" s="1651">
        <f>IF('ketv. 5 '!S177=0,'ketv. 5 '!R177,'ketv. 5 '!S177)</f>
        <v>43355</v>
      </c>
      <c r="O135" s="1657">
        <f>SUMIF('sutarčių ataskaita'!$J$19:$J$600,C135,'sutarčių ataskaita'!$BO$19:$BO$600)</f>
        <v>42716</v>
      </c>
      <c r="P135" s="1657">
        <f>SUMIF('sutarčių ataskaita'!$J$19:$J$600,C135,'sutarčių ataskaita'!$L$19:$L$600)</f>
        <v>42936</v>
      </c>
      <c r="Q135" s="1658">
        <f t="shared" si="12"/>
        <v>12.361643835616437</v>
      </c>
      <c r="R135" s="1648">
        <f>SUM('ketv. 7 '!AK176)</f>
        <v>102980.52</v>
      </c>
      <c r="S135" s="1648">
        <f>SUMIF('mokėjimų ataskaita'!$I$14:$I$601,C135,'mokėjimų ataskaita'!$AK$14:$AK$601)/2</f>
        <v>102980.52</v>
      </c>
      <c r="T135" s="1648">
        <f>SUMIF('mokėjimų ataskaita'!I18:I605,C135,'mokėjimų ataskaita'!BS18:BS605)/2</f>
        <v>70742.17</v>
      </c>
      <c r="U135" s="1649">
        <f t="shared" ca="1" si="11"/>
        <v>1</v>
      </c>
      <c r="V135" s="1758"/>
      <c r="W135" s="1763" t="s">
        <v>1853</v>
      </c>
      <c r="X135" s="1762" t="s">
        <v>1955</v>
      </c>
      <c r="Y135" s="1641"/>
      <c r="Z135" s="1641"/>
    </row>
    <row r="136" spans="1:26" ht="36" x14ac:dyDescent="0.2">
      <c r="A136" s="1646">
        <f>SUM('ES lėšos'!A136)</f>
        <v>135</v>
      </c>
      <c r="B136" s="1641" t="str">
        <f>CONCATENATE('ES lėšos'!C136)</f>
        <v>05.5.1-APVA-R-019</v>
      </c>
      <c r="C136" s="1641" t="str">
        <f>CONCATENATE('ketv. 6 '!C178)</f>
        <v>05.5.1-APVA-R-019-11-0003</v>
      </c>
      <c r="D136" s="1641" t="str">
        <f>CONCATENATE('ES lėšos'!B136)</f>
        <v>Kraštovaizdžio formavimas Lazdijų rajono savivaldybėje</v>
      </c>
      <c r="E136" s="1641" t="str">
        <f>CONCATENATE('ES lėšos'!D136)</f>
        <v>Lazdijų rajono savivaldybės administracija</v>
      </c>
      <c r="F136" s="1641" t="str">
        <f>CONCATENATE('ES lėšos'!E136)</f>
        <v>Lazdijų r. sav.</v>
      </c>
      <c r="G136" s="1653">
        <v>42682</v>
      </c>
      <c r="H136" s="1646" t="s">
        <v>1936</v>
      </c>
      <c r="I136" s="1647">
        <f>SUM('ES lėšos'!G136)</f>
        <v>375953.81</v>
      </c>
      <c r="J136" s="1648">
        <f ca="1">SUM('ES lėšos'!H136)</f>
        <v>375953.81</v>
      </c>
      <c r="K136" s="1647">
        <f t="shared" ca="1" si="13"/>
        <v>0</v>
      </c>
      <c r="L136" s="1649">
        <f ca="1">IF(J136&gt;0,'ketv. 6 '!AF178/'ketv. 6 '!L178,"finansavimas dar neskirtas")</f>
        <v>0.8500000192177869</v>
      </c>
      <c r="M136" s="1657">
        <f>SUMIF('sutarčių ataskaita'!$J$19:$J$600,C136,'sutarčių ataskaita'!$BP$19:$BP$600)</f>
        <v>43465</v>
      </c>
      <c r="N136" s="1651">
        <f>IF('ketv. 5 '!S178=0,'ketv. 5 '!R178,'ketv. 5 '!S178)</f>
        <v>43465</v>
      </c>
      <c r="O136" s="1657">
        <f>SUMIF('sutarčių ataskaita'!$J$19:$J$600,C136,'sutarčių ataskaita'!$BO$19:$BO$600)</f>
        <v>42776</v>
      </c>
      <c r="P136" s="1657">
        <f>SUMIF('sutarčių ataskaita'!$J$19:$J$600,C136,'sutarčių ataskaita'!$L$19:$L$600)</f>
        <v>42935</v>
      </c>
      <c r="Q136" s="1658">
        <f t="shared" si="12"/>
        <v>17.424657534246574</v>
      </c>
      <c r="R136" s="1648">
        <f>SUM('ketv. 7 '!AK177)</f>
        <v>193242.66000000003</v>
      </c>
      <c r="S136" s="1648">
        <f>SUMIF('mokėjimų ataskaita'!$I$14:$I$601,C136,'mokėjimų ataskaita'!$AK$14:$AK$601)/2</f>
        <v>193242.66000000003</v>
      </c>
      <c r="T136" s="1648">
        <f>SUMIF('mokėjimų ataskaita'!I19:I606,C136,'mokėjimų ataskaita'!BS19:BS606)/2</f>
        <v>58401.07</v>
      </c>
      <c r="U136" s="1649">
        <f t="shared" ca="1" si="11"/>
        <v>0.51400638817837763</v>
      </c>
      <c r="V136" s="1758"/>
      <c r="W136" s="1758" t="s">
        <v>1940</v>
      </c>
      <c r="X136" s="1762" t="s">
        <v>1961</v>
      </c>
      <c r="Y136" s="1641"/>
      <c r="Z136" s="1641"/>
    </row>
    <row r="137" spans="1:26" ht="36" x14ac:dyDescent="0.2">
      <c r="A137" s="1646">
        <f>SUM('ES lėšos'!A137)</f>
        <v>136</v>
      </c>
      <c r="B137" s="1641" t="str">
        <f>CONCATENATE('ES lėšos'!C137)</f>
        <v>05.5.1-APVA-R-019</v>
      </c>
      <c r="C137" s="1641" t="str">
        <f>CONCATENATE('ketv. 6 '!C179)</f>
        <v>-</v>
      </c>
      <c r="D137" s="1641" t="str">
        <f>CONCATENATE('ES lėšos'!B137)</f>
        <v>Kraštovaizdžio formavimas Lazdijų rajono savivaldybėje (II etapas)</v>
      </c>
      <c r="E137" s="1641" t="str">
        <f>CONCATENATE('ES lėšos'!D137)</f>
        <v>Lazdijų rajono savivaldybės administracija</v>
      </c>
      <c r="F137" s="1641" t="str">
        <f>CONCATENATE('ES lėšos'!E137)</f>
        <v>Lazdijų r. sav.</v>
      </c>
      <c r="G137" s="1653">
        <v>43293</v>
      </c>
      <c r="H137" s="1646" t="s">
        <v>1915</v>
      </c>
      <c r="I137" s="1647">
        <f>SUM('ES lėšos'!G137)</f>
        <v>127323</v>
      </c>
      <c r="J137" s="1648">
        <f ca="1">SUM('ES lėšos'!H137)</f>
        <v>0</v>
      </c>
      <c r="K137" s="1647" t="str">
        <f t="shared" ca="1" si="13"/>
        <v>finansavimas dar neskirtas</v>
      </c>
      <c r="L137" s="1649" t="str">
        <f ca="1">IF(J137&gt;0,'ketv. 6 '!AF179/'ketv. 6 '!L179,"finansavimas dar neskirtas")</f>
        <v>finansavimas dar neskirtas</v>
      </c>
      <c r="M137" s="1657"/>
      <c r="N137" s="1651">
        <f>IF('ketv. 5 '!S179=0,'ketv. 5 '!R179,'ketv. 5 '!S179)</f>
        <v>44469</v>
      </c>
      <c r="O137" s="1657"/>
      <c r="P137" s="1657"/>
      <c r="Q137" s="1658">
        <f t="shared" si="12"/>
        <v>0</v>
      </c>
      <c r="R137" s="1648">
        <f>SUM('ketv. 7 '!AK178)</f>
        <v>0</v>
      </c>
      <c r="S137" s="1648">
        <f>SUMIF('mokėjimų ataskaita'!$I$14:$I$601,C137,'mokėjimų ataskaita'!$AK$14:$AK$601)/2</f>
        <v>0</v>
      </c>
      <c r="T137" s="1648">
        <f>SUMIF('mokėjimų ataskaita'!I20:I607,C137,'mokėjimų ataskaita'!BS20:BS607)/2</f>
        <v>0</v>
      </c>
      <c r="U137" s="1649" t="str">
        <f t="shared" ca="1" si="11"/>
        <v>finansavimas dar neskirtas</v>
      </c>
      <c r="V137" s="1758"/>
      <c r="W137" s="1763"/>
      <c r="X137" s="1762"/>
      <c r="Y137" s="1641"/>
      <c r="Z137" s="1641"/>
    </row>
    <row r="138" spans="1:26" ht="36" x14ac:dyDescent="0.2">
      <c r="A138" s="1646">
        <f>SUM('ES lėšos'!A138)</f>
        <v>137</v>
      </c>
      <c r="B138" s="1641" t="str">
        <f>CONCATENATE('ES lėšos'!C138)</f>
        <v>05.5.1-APVA-R-019</v>
      </c>
      <c r="C138" s="1641" t="str">
        <f>CONCATENATE('ketv. 6 '!C180)</f>
        <v>05.5.1-APVA-R-019-11-0006</v>
      </c>
      <c r="D138" s="1641" t="str">
        <f>CONCATENATE('ES lėšos'!B138)</f>
        <v>Bešeimininkių apleistų pastatų ir įrenginių tvarkymas Alytaus rajono savivaldybėje (II etapas)</v>
      </c>
      <c r="E138" s="1641" t="str">
        <f>CONCATENATE('ES lėšos'!D138)</f>
        <v>Alytaus rajono savivaldybės administracija</v>
      </c>
      <c r="F138" s="1641" t="str">
        <f>CONCATENATE('ES lėšos'!E138)</f>
        <v>Alytaus r. sav.</v>
      </c>
      <c r="G138" s="1653">
        <v>43110</v>
      </c>
      <c r="H138" s="1646" t="s">
        <v>1897</v>
      </c>
      <c r="I138" s="1647">
        <f>SUM('ES lėšos'!G138)</f>
        <v>626057</v>
      </c>
      <c r="J138" s="1648">
        <f ca="1">SUM('ES lėšos'!H138)</f>
        <v>236024.6</v>
      </c>
      <c r="K138" s="1647">
        <f t="shared" ca="1" si="13"/>
        <v>390032.4</v>
      </c>
      <c r="L138" s="1649">
        <f ca="1">IF(J138&gt;0,'ketv. 6 '!AF180/'ketv. 6 '!L180,"finansavimas dar neskirtas")</f>
        <v>0.85</v>
      </c>
      <c r="M138" s="1657">
        <f>SUMIF('sutarčių ataskaita'!$J$19:$J$600,C138,'sutarčių ataskaita'!$BP$19:$BP$600)</f>
        <v>43728</v>
      </c>
      <c r="N138" s="1651">
        <f>IF('ketv. 5 '!S180=0,'ketv. 5 '!R180,'ketv. 5 '!S180)</f>
        <v>43830</v>
      </c>
      <c r="O138" s="1657">
        <f>SUMIF('sutarčių ataskaita'!$J$19:$J$600,C138,'sutarčių ataskaita'!$BO$19:$BO$600)</f>
        <v>43245</v>
      </c>
      <c r="P138" s="1657">
        <f>SUMIF('sutarčių ataskaita'!$J$19:$J$600,C138,'sutarčių ataskaita'!$L$19:$L$600)</f>
        <v>43370</v>
      </c>
      <c r="Q138" s="1658">
        <f t="shared" si="12"/>
        <v>11.769863013698629</v>
      </c>
      <c r="R138" s="1648">
        <f>SUM('ketv. 7 '!AK179)</f>
        <v>0</v>
      </c>
      <c r="S138" s="1648">
        <f>SUMIF('mokėjimų ataskaita'!$I$14:$I$601,C138,'mokėjimų ataskaita'!$AK$14:$AK$601)/2</f>
        <v>0</v>
      </c>
      <c r="T138" s="1648">
        <f>SUMIF('mokėjimų ataskaita'!I21:I608,C138,'mokėjimų ataskaita'!BS21:BS608)/2</f>
        <v>0</v>
      </c>
      <c r="U138" s="1649">
        <f t="shared" ca="1" si="11"/>
        <v>0</v>
      </c>
      <c r="V138" s="1758"/>
      <c r="W138" s="1758" t="s">
        <v>1940</v>
      </c>
      <c r="X138" s="1762" t="s">
        <v>1959</v>
      </c>
      <c r="Y138" s="1641"/>
      <c r="Z138" s="1641"/>
    </row>
    <row r="139" spans="1:26" ht="36" x14ac:dyDescent="0.2">
      <c r="A139" s="1646">
        <f>SUM('ES lėšos'!A139)</f>
        <v>138</v>
      </c>
      <c r="B139" s="1641" t="str">
        <f>CONCATENATE('ES lėšos'!C139)</f>
        <v>05.5.1-APVA-R-019</v>
      </c>
      <c r="C139" s="1641" t="str">
        <f>CONCATENATE('ketv. 6 '!C181)</f>
        <v>-</v>
      </c>
      <c r="D139" s="1641" t="str">
        <f>CONCATENATE('ES lėšos'!B139)</f>
        <v>Etaloninio kraštovaizdžio formavimas Druskininkų savivaldybės pasienyje</v>
      </c>
      <c r="E139" s="1641" t="str">
        <f>CONCATENATE('ES lėšos'!D139)</f>
        <v>Druskininkų savivaldybės administracija</v>
      </c>
      <c r="F139" s="1641" t="str">
        <f>CONCATENATE('ES lėšos'!E139)</f>
        <v>Druskininkų sav.</v>
      </c>
      <c r="G139" s="1653">
        <v>43304</v>
      </c>
      <c r="H139" s="1646" t="s">
        <v>1905</v>
      </c>
      <c r="I139" s="1647">
        <f>SUM('ES lėšos'!G139)</f>
        <v>75245</v>
      </c>
      <c r="J139" s="1648">
        <f ca="1">SUM('ES lėšos'!H139)</f>
        <v>0</v>
      </c>
      <c r="K139" s="1647" t="str">
        <f t="shared" ca="1" si="13"/>
        <v>finansavimas dar neskirtas</v>
      </c>
      <c r="L139" s="1649" t="str">
        <f ca="1">IF(J139&gt;0,'ketv. 6 '!AF181/'ketv. 6 '!L181,"finansavimas dar neskirtas")</f>
        <v>finansavimas dar neskirtas</v>
      </c>
      <c r="M139" s="1657"/>
      <c r="N139" s="1651">
        <f>IF('ketv. 5 '!S181=0,'ketv. 5 '!R181,'ketv. 5 '!S181)</f>
        <v>44196</v>
      </c>
      <c r="O139" s="1657"/>
      <c r="P139" s="1657"/>
      <c r="Q139" s="1658">
        <f t="shared" si="12"/>
        <v>0</v>
      </c>
      <c r="R139" s="1648">
        <f>SUM('ketv. 7 '!AK180)</f>
        <v>0</v>
      </c>
      <c r="S139" s="1648">
        <f>SUMIF('mokėjimų ataskaita'!$I$14:$I$601,C139,'mokėjimų ataskaita'!$AK$14:$AK$601)/2</f>
        <v>0</v>
      </c>
      <c r="T139" s="1648">
        <f>SUMIF('mokėjimų ataskaita'!I22:I609,C139,'mokėjimų ataskaita'!BS22:BS609)/2</f>
        <v>0</v>
      </c>
      <c r="U139" s="1649" t="str">
        <f t="shared" ca="1" si="11"/>
        <v>finansavimas dar neskirtas</v>
      </c>
      <c r="V139" s="1758"/>
      <c r="W139" s="1763"/>
      <c r="X139" s="1762"/>
      <c r="Y139" s="1641"/>
      <c r="Z139" s="1641"/>
    </row>
    <row r="140" spans="1:26" hidden="1" x14ac:dyDescent="0.2">
      <c r="A140" s="1641"/>
      <c r="B140" s="1641"/>
      <c r="C140" s="1641"/>
      <c r="D140" s="1641"/>
      <c r="E140" s="1641"/>
      <c r="F140" s="1641"/>
      <c r="G140" s="1641"/>
      <c r="H140" s="1641"/>
      <c r="I140" s="1642"/>
      <c r="J140" s="1643"/>
      <c r="K140" s="1642"/>
      <c r="L140" s="1643"/>
      <c r="M140" s="1644"/>
      <c r="N140" s="1644"/>
      <c r="O140" s="1644"/>
      <c r="P140" s="1644"/>
      <c r="Q140" s="1641"/>
      <c r="R140" s="1643"/>
      <c r="S140" s="1643"/>
      <c r="T140" s="1643"/>
      <c r="U140" s="1643"/>
      <c r="V140" s="1641"/>
      <c r="W140" s="1641"/>
      <c r="X140" s="1641"/>
      <c r="Y140" s="1641"/>
      <c r="Z140" s="1641"/>
    </row>
    <row r="141" spans="1:26" hidden="1" x14ac:dyDescent="0.2">
      <c r="A141" s="1641"/>
      <c r="B141" s="1641"/>
      <c r="C141" s="1641"/>
      <c r="D141" s="1641"/>
      <c r="E141" s="1641"/>
      <c r="F141" s="1641"/>
      <c r="G141" s="1641"/>
      <c r="H141" s="1641"/>
      <c r="I141" s="1642"/>
      <c r="J141" s="1643"/>
      <c r="K141" s="1642"/>
      <c r="L141" s="1643"/>
      <c r="M141" s="1644"/>
      <c r="N141" s="1644"/>
      <c r="O141" s="1644"/>
      <c r="P141" s="1644"/>
      <c r="Q141" s="1641"/>
      <c r="R141" s="1643"/>
      <c r="S141" s="1643"/>
      <c r="T141" s="1643"/>
      <c r="U141" s="1643"/>
      <c r="V141" s="1641"/>
      <c r="W141" s="1641"/>
      <c r="X141" s="1641"/>
      <c r="Y141" s="1641"/>
      <c r="Z141" s="1641"/>
    </row>
    <row r="142" spans="1:26" hidden="1" x14ac:dyDescent="0.2">
      <c r="A142" s="1641"/>
      <c r="B142" s="1641"/>
      <c r="C142" s="1641"/>
      <c r="D142" s="1641"/>
      <c r="E142" s="1641"/>
      <c r="F142" s="1641"/>
      <c r="G142" s="1641"/>
      <c r="H142" s="1641"/>
      <c r="I142" s="1642"/>
      <c r="J142" s="1643"/>
      <c r="K142" s="1642"/>
      <c r="L142" s="1643"/>
      <c r="M142" s="1644"/>
      <c r="N142" s="1644"/>
      <c r="O142" s="1644"/>
      <c r="P142" s="1644"/>
      <c r="Q142" s="1641"/>
      <c r="R142" s="1643"/>
      <c r="S142" s="1643"/>
      <c r="T142" s="1643"/>
      <c r="U142" s="1643"/>
      <c r="V142" s="1641"/>
      <c r="W142" s="1641"/>
      <c r="X142" s="1641"/>
      <c r="Y142" s="1641"/>
      <c r="Z142" s="1641"/>
    </row>
    <row r="143" spans="1:26" ht="12.75" thickBot="1" x14ac:dyDescent="0.25">
      <c r="R143" s="1645"/>
      <c r="S143" s="1645"/>
      <c r="T143" s="1645"/>
      <c r="U143" s="1645"/>
    </row>
    <row r="144" spans="1:26" ht="48.75" thickBot="1" x14ac:dyDescent="0.25">
      <c r="B144" s="1743" t="s">
        <v>1855</v>
      </c>
      <c r="C144" s="1743" t="s">
        <v>3565</v>
      </c>
      <c r="D144" s="1743" t="s">
        <v>3562</v>
      </c>
      <c r="K144" s="1742"/>
    </row>
    <row r="145" spans="2:11" ht="48.75" thickBot="1" x14ac:dyDescent="0.25">
      <c r="B145" s="1744" t="s">
        <v>444</v>
      </c>
      <c r="C145" s="1747">
        <f>SUMIF($B$2:$B$139,B145,$K$2:$K$139)</f>
        <v>25623.650000000023</v>
      </c>
      <c r="D145" s="1747">
        <f>SUMIF('ES lėšos'!$C$152:$C$175,B145,'ES lėšos'!$F$152:$F$175)-SUMIF($B$2:$B$139,B145,$J$2:$J$139)</f>
        <v>234736.65000000037</v>
      </c>
      <c r="K145" s="1741"/>
    </row>
    <row r="146" spans="2:11" ht="12.75" thickBot="1" x14ac:dyDescent="0.25">
      <c r="B146" s="1745" t="s">
        <v>147</v>
      </c>
      <c r="C146" s="1748">
        <f t="shared" ref="C146:C167" ca="1" si="14">SUMIF($B$2:$B$139,B146,$K$2:$K$139)</f>
        <v>0</v>
      </c>
      <c r="D146" s="1747">
        <f ca="1">SUMIF('ES lėšos'!$C$152:$C$175,B146,'ES lėšos'!$F$152:$F$175)-SUMIF($B$2:$B$139,B146,$J$2:$J$139)</f>
        <v>1567659.8</v>
      </c>
      <c r="K146" s="1741"/>
    </row>
    <row r="147" spans="2:11" ht="12.75" thickBot="1" x14ac:dyDescent="0.25">
      <c r="B147" s="1745" t="s">
        <v>148</v>
      </c>
      <c r="C147" s="1748">
        <f t="shared" ca="1" si="14"/>
        <v>0</v>
      </c>
      <c r="D147" s="1747">
        <f ca="1">SUMIF('ES lėšos'!$C$152:$C$175,B147,'ES lėšos'!$F$152:$F$175)-SUMIF($B$2:$B$139,B147,$J$2:$J$139)</f>
        <v>60669.440000000002</v>
      </c>
      <c r="K147" s="1741"/>
    </row>
    <row r="148" spans="2:11" ht="12.75" thickBot="1" x14ac:dyDescent="0.25">
      <c r="B148" s="1745" t="s">
        <v>135</v>
      </c>
      <c r="C148" s="1748">
        <f t="shared" ca="1" si="14"/>
        <v>0</v>
      </c>
      <c r="D148" s="1747">
        <f ca="1">SUMIF('ES lėšos'!$C$152:$C$175,B148,'ES lėšos'!$F$152:$F$175)-SUMIF($B$2:$B$139,B148,$J$2:$J$139)</f>
        <v>1263272</v>
      </c>
      <c r="K148" s="1741"/>
    </row>
    <row r="149" spans="2:11" ht="24.75" thickBot="1" x14ac:dyDescent="0.25">
      <c r="B149" s="1745" t="s">
        <v>179</v>
      </c>
      <c r="C149" s="1748">
        <f t="shared" ca="1" si="14"/>
        <v>1011499.52</v>
      </c>
      <c r="D149" s="1747">
        <f ca="1">SUMIF('ES lėšos'!$C$152:$C$175,B149,'ES lėšos'!$F$152:$F$175)-SUMIF($B$2:$B$139,B149,$J$2:$J$139)</f>
        <v>1011500</v>
      </c>
      <c r="K149" s="1741"/>
    </row>
    <row r="150" spans="2:11" ht="24.75" thickBot="1" x14ac:dyDescent="0.25">
      <c r="B150" s="1745" t="s">
        <v>191</v>
      </c>
      <c r="C150" s="1748">
        <f t="shared" ca="1" si="14"/>
        <v>0</v>
      </c>
      <c r="D150" s="1747">
        <f ca="1">SUMIF('ES lėšos'!$C$152:$C$175,B150,'ES lėšos'!$F$152:$F$175)-SUMIF($B$2:$B$139,B150,$J$2:$J$139)</f>
        <v>0</v>
      </c>
      <c r="K150" s="1741"/>
    </row>
    <row r="151" spans="2:11" ht="24.75" thickBot="1" x14ac:dyDescent="0.25">
      <c r="B151" s="1745" t="s">
        <v>849</v>
      </c>
      <c r="C151" s="1748">
        <f t="shared" si="14"/>
        <v>0</v>
      </c>
      <c r="D151" s="1747">
        <f>SUMIF('ES lėšos'!$C$152:$C$175,B151,'ES lėšos'!$F$152:$F$175)-SUMIF($B$2:$B$139,B151,$J$2:$J$139)</f>
        <v>0</v>
      </c>
      <c r="K151" s="1741"/>
    </row>
    <row r="152" spans="2:11" ht="24.75" thickBot="1" x14ac:dyDescent="0.25">
      <c r="B152" s="1745" t="s">
        <v>182</v>
      </c>
      <c r="C152" s="1748">
        <f t="shared" ca="1" si="14"/>
        <v>32141.279999999999</v>
      </c>
      <c r="D152" s="1747">
        <f ca="1">SUMIF('ES lėšos'!$C$152:$C$175,B152,'ES lėšos'!$F$152:$F$175)-SUMIF($B$2:$B$139,B152,$J$2:$J$139)</f>
        <v>238197.28000000003</v>
      </c>
      <c r="K152" s="1741"/>
    </row>
    <row r="153" spans="2:11" ht="12.75" thickBot="1" x14ac:dyDescent="0.25">
      <c r="B153" s="1745" t="s">
        <v>774</v>
      </c>
      <c r="C153" s="1748">
        <f t="shared" ca="1" si="14"/>
        <v>0</v>
      </c>
      <c r="D153" s="1747">
        <f ca="1">SUMIF('ES lėšos'!$C$152:$C$175,B153,'ES lėšos'!$F$152:$F$175)-SUMIF($B$2:$B$139,B153,$J$2:$J$139)</f>
        <v>189539.90000000002</v>
      </c>
      <c r="K153" s="1741"/>
    </row>
    <row r="154" spans="2:11" ht="24.75" thickBot="1" x14ac:dyDescent="0.25">
      <c r="B154" s="1745" t="s">
        <v>193</v>
      </c>
      <c r="C154" s="1748">
        <f t="shared" ca="1" si="14"/>
        <v>390032.9</v>
      </c>
      <c r="D154" s="1747">
        <f ca="1">SUMIF('ES lėšos'!$C$152:$C$175,B154,'ES lėšos'!$F$152:$F$175)-SUMIF($B$2:$B$139,B154,$J$2:$J$139)</f>
        <v>1063680.27</v>
      </c>
      <c r="K154" s="1741"/>
    </row>
    <row r="155" spans="2:11" ht="12.75" thickBot="1" x14ac:dyDescent="0.25">
      <c r="B155" s="1745" t="s">
        <v>141</v>
      </c>
      <c r="C155" s="1748">
        <f t="shared" ca="1" si="14"/>
        <v>0</v>
      </c>
      <c r="D155" s="1747">
        <f ca="1">SUMIF('ES lėšos'!$C$152:$C$175,B155,'ES lėšos'!$F$152:$F$175)-SUMIF($B$2:$B$139,B155,$J$2:$J$139)</f>
        <v>747937</v>
      </c>
      <c r="K155" s="1741"/>
    </row>
    <row r="156" spans="2:11" ht="24.75" thickBot="1" x14ac:dyDescent="0.25">
      <c r="B156" s="1745" t="s">
        <v>143</v>
      </c>
      <c r="C156" s="1748">
        <f t="shared" ca="1" si="14"/>
        <v>0.30000000004656613</v>
      </c>
      <c r="D156" s="1747">
        <f ca="1">SUMIF('ES lėšos'!$C$152:$C$175,B156,'ES lėšos'!$F$152:$F$175)-SUMIF($B$2:$B$139,B156,$J$2:$J$139)</f>
        <v>0</v>
      </c>
      <c r="K156" s="1741"/>
    </row>
    <row r="157" spans="2:11" ht="24.75" thickBot="1" x14ac:dyDescent="0.25">
      <c r="B157" s="1745" t="s">
        <v>268</v>
      </c>
      <c r="C157" s="1748">
        <f t="shared" ca="1" si="14"/>
        <v>0.10999999998603016</v>
      </c>
      <c r="D157" s="1747">
        <f ca="1">SUMIF('ES lėšos'!$C$152:$C$175,B157,'ES lėšos'!$F$152:$F$175)-SUMIF($B$2:$B$139,B157,$J$2:$J$139)</f>
        <v>0</v>
      </c>
      <c r="K157" s="1741"/>
    </row>
    <row r="158" spans="2:11" ht="24.75" thickBot="1" x14ac:dyDescent="0.25">
      <c r="B158" s="1745" t="s">
        <v>850</v>
      </c>
      <c r="C158" s="1748">
        <f t="shared" ca="1" si="14"/>
        <v>0</v>
      </c>
      <c r="D158" s="1747">
        <f ca="1">SUMIF('ES lėšos'!$C$152:$C$175,B158,'ES lėšos'!$F$152:$F$175)-SUMIF($B$2:$B$139,B158,$J$2:$J$139)</f>
        <v>512932.35000000009</v>
      </c>
      <c r="K158" s="1741"/>
    </row>
    <row r="159" spans="2:11" ht="24.75" thickBot="1" x14ac:dyDescent="0.25">
      <c r="B159" s="1745" t="s">
        <v>155</v>
      </c>
      <c r="C159" s="1748">
        <f t="shared" ca="1" si="14"/>
        <v>0.36000000001513399</v>
      </c>
      <c r="D159" s="1747">
        <f ca="1">SUMIF('ES lėšos'!$C$152:$C$175,B159,'ES lėšos'!$F$152:$F$175)-SUMIF($B$2:$B$139,B159,$J$2:$J$139)</f>
        <v>0.35000000055879354</v>
      </c>
      <c r="K159" s="1741"/>
    </row>
    <row r="160" spans="2:11" ht="24.75" thickBot="1" x14ac:dyDescent="0.25">
      <c r="B160" s="1745" t="s">
        <v>154</v>
      </c>
      <c r="C160" s="1748">
        <f t="shared" ca="1" si="14"/>
        <v>-0.14999999999417923</v>
      </c>
      <c r="D160" s="1747">
        <f ca="1">SUMIF('ES lėšos'!$C$152:$C$175,B160,'ES lėšos'!$F$152:$F$175)-SUMIF($B$2:$B$139,B160,$J$2:$J$139)</f>
        <v>0</v>
      </c>
      <c r="K160" s="1741"/>
    </row>
    <row r="161" spans="2:11" ht="24.75" thickBot="1" x14ac:dyDescent="0.25">
      <c r="B161" s="1745" t="s">
        <v>153</v>
      </c>
      <c r="C161" s="1748">
        <f t="shared" ca="1" si="14"/>
        <v>0</v>
      </c>
      <c r="D161" s="1747">
        <f ca="1">SUMIF('ES lėšos'!$C$152:$C$175,B161,'ES lėšos'!$F$152:$F$175)-SUMIF($B$2:$B$139,B161,$J$2:$J$139)</f>
        <v>1230854</v>
      </c>
      <c r="K161" s="1741"/>
    </row>
    <row r="162" spans="2:11" ht="12.75" thickBot="1" x14ac:dyDescent="0.25">
      <c r="B162" s="1745" t="s">
        <v>1208</v>
      </c>
      <c r="C162" s="1748">
        <f t="shared" ca="1" si="14"/>
        <v>669.89999999999964</v>
      </c>
      <c r="D162" s="1747">
        <f ca="1">SUMIF('ES lėšos'!$C$152:$C$175,B162,'ES lėšos'!$F$152:$F$175)-SUMIF($B$2:$B$139,B162,$J$2:$J$139)</f>
        <v>0</v>
      </c>
      <c r="K162" s="1741"/>
    </row>
    <row r="163" spans="2:11" ht="12.75" thickBot="1" x14ac:dyDescent="0.25">
      <c r="B163" s="1745" t="s">
        <v>1193</v>
      </c>
      <c r="C163" s="1748">
        <f t="shared" ca="1" si="14"/>
        <v>1.1499999999941792</v>
      </c>
      <c r="D163" s="1747">
        <f ca="1">SUMIF('ES lėšos'!$C$152:$C$175,B163,'ES lėšos'!$F$152:$F$175)-SUMIF($B$2:$B$139,B163,$J$2:$J$139)</f>
        <v>0</v>
      </c>
      <c r="K163" s="1741"/>
    </row>
    <row r="164" spans="2:11" ht="24.75" thickBot="1" x14ac:dyDescent="0.25">
      <c r="B164" s="1745" t="s">
        <v>140</v>
      </c>
      <c r="C164" s="1748">
        <f t="shared" ca="1" si="14"/>
        <v>0</v>
      </c>
      <c r="D164" s="1747">
        <f ca="1">SUMIF('ES lėšos'!$C$152:$C$175,B164,'ES lėšos'!$F$152:$F$175)-SUMIF($B$2:$B$139,B164,$J$2:$J$139)</f>
        <v>0</v>
      </c>
      <c r="K164" s="1741"/>
    </row>
    <row r="165" spans="2:11" ht="24.75" thickBot="1" x14ac:dyDescent="0.25">
      <c r="B165" s="1745" t="s">
        <v>136</v>
      </c>
      <c r="C165" s="1748">
        <f t="shared" ca="1" si="14"/>
        <v>0</v>
      </c>
      <c r="D165" s="1747">
        <f ca="1">SUMIF('ES lėšos'!$C$152:$C$175,B165,'ES lėšos'!$F$152:$F$175)-SUMIF($B$2:$B$139,B165,$J$2:$J$139)</f>
        <v>0</v>
      </c>
      <c r="K165" s="1741"/>
    </row>
    <row r="166" spans="2:11" ht="12.75" thickBot="1" x14ac:dyDescent="0.25">
      <c r="B166" s="1745" t="s">
        <v>139</v>
      </c>
      <c r="C166" s="1748">
        <f t="shared" ca="1" si="14"/>
        <v>1</v>
      </c>
      <c r="D166" s="1747">
        <f ca="1">SUMIF('ES lėšos'!$C$152:$C$175,B166,'ES lėšos'!$F$152:$F$175)-SUMIF($B$2:$B$139,B166,$J$2:$J$139)</f>
        <v>0</v>
      </c>
      <c r="K166" s="1741"/>
    </row>
    <row r="167" spans="2:11" ht="12.75" thickBot="1" x14ac:dyDescent="0.25">
      <c r="B167" s="1745" t="s">
        <v>1138</v>
      </c>
      <c r="C167" s="1748">
        <f t="shared" ca="1" si="14"/>
        <v>0.20000000001164153</v>
      </c>
      <c r="D167" s="1747">
        <f ca="1">SUMIF('ES lėšos'!$C$152:$C$175,B167,'ES lėšos'!$F$152:$F$175)-SUMIF($B$2:$B$139,B167,$J$2:$J$139)</f>
        <v>170000</v>
      </c>
      <c r="K167" s="1741"/>
    </row>
    <row r="168" spans="2:11" ht="12.75" thickBot="1" x14ac:dyDescent="0.25">
      <c r="B168" s="1746" t="s">
        <v>146</v>
      </c>
      <c r="C168" s="1749">
        <f t="shared" ref="C168" si="15">SUMIF($B$2:$B$139,#REF!,$K$2:$K$139)</f>
        <v>0</v>
      </c>
      <c r="D168" s="1747">
        <f ca="1">SUMIF('ES lėšos'!$C$152:$C$175,B168,'ES lėšos'!$F$152:$F$175)-SUMIF($B$2:$B$139,B168,$J$2:$J$139)</f>
        <v>886947</v>
      </c>
      <c r="K168" s="1741"/>
    </row>
  </sheetData>
  <autoFilter ref="D1:Z139"/>
  <pageMargins left="0.23622047244094491" right="0.23622047244094491" top="0.74803149606299213" bottom="0.74803149606299213" header="0.31496062992125984" footer="0.31496062992125984"/>
  <pageSetup paperSize="8" scale="7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H1393"/>
  <sheetViews>
    <sheetView topLeftCell="A3" workbookViewId="0">
      <selection activeCell="E153" sqref="E153"/>
    </sheetView>
  </sheetViews>
  <sheetFormatPr defaultRowHeight="15" x14ac:dyDescent="0.25"/>
  <cols>
    <col min="1" max="1" width="8.7109375" customWidth="1"/>
    <col min="2" max="2" width="2.85546875" customWidth="1"/>
    <col min="3" max="3" width="4.5703125" customWidth="1"/>
    <col min="4" max="4" width="7" customWidth="1"/>
    <col min="5" max="5" width="10.28515625" customWidth="1"/>
    <col min="6" max="6" width="4.85546875" customWidth="1"/>
    <col min="7" max="7" width="8.5703125" customWidth="1"/>
    <col min="8" max="8" width="6.5703125" customWidth="1"/>
    <col min="9" max="9" width="17.85546875" customWidth="1"/>
    <col min="10" max="10" width="15.85546875" customWidth="1"/>
    <col min="11" max="11" width="21.42578125" customWidth="1"/>
    <col min="12" max="12" width="14.42578125" customWidth="1"/>
    <col min="13" max="13" width="13.42578125" customWidth="1"/>
    <col min="14" max="14" width="12.42578125" customWidth="1"/>
    <col min="15" max="15" width="14.140625" customWidth="1"/>
    <col min="16" max="16" width="14.28515625" customWidth="1"/>
    <col min="17" max="17" width="13.42578125" customWidth="1"/>
    <col min="18" max="18" width="12.85546875" customWidth="1"/>
    <col min="19" max="19" width="14.42578125" customWidth="1"/>
    <col min="20" max="21" width="13.42578125" customWidth="1"/>
    <col min="22" max="22" width="18" customWidth="1"/>
    <col min="23" max="23" width="15.42578125" customWidth="1"/>
    <col min="24" max="24" width="13.42578125" customWidth="1"/>
    <col min="25" max="25" width="16.140625" customWidth="1"/>
    <col min="26" max="26" width="18" customWidth="1"/>
    <col min="27" max="28" width="13.42578125" customWidth="1"/>
    <col min="29" max="29" width="18.85546875" customWidth="1"/>
    <col min="30" max="30" width="10.28515625" customWidth="1"/>
    <col min="31" max="31" width="11.7109375" customWidth="1"/>
    <col min="32" max="32" width="12.28515625" customWidth="1"/>
    <col min="33" max="33" width="11.28515625" customWidth="1"/>
    <col min="34" max="34" width="13.7109375" customWidth="1"/>
    <col min="35" max="35" width="15.42578125" customWidth="1"/>
    <col min="36" max="36" width="13.42578125" customWidth="1"/>
    <col min="37" max="37" width="11.28515625" customWidth="1"/>
    <col min="38" max="38" width="11.85546875" customWidth="1"/>
    <col min="39" max="39" width="11.140625" customWidth="1"/>
    <col min="40" max="40" width="10.7109375" customWidth="1"/>
    <col min="41" max="41" width="11.85546875" customWidth="1"/>
    <col min="42" max="42" width="13.42578125" customWidth="1"/>
    <col min="43" max="43" width="14.5703125" customWidth="1"/>
    <col min="44" max="44" width="13.140625" customWidth="1"/>
    <col min="45" max="45" width="13.42578125" customWidth="1"/>
    <col min="46" max="46" width="13" customWidth="1"/>
    <col min="47" max="47" width="14" customWidth="1"/>
    <col min="48" max="49" width="12.5703125" customWidth="1"/>
    <col min="50" max="50" width="15.28515625" customWidth="1"/>
    <col min="51" max="51" width="16" customWidth="1"/>
    <col min="52" max="52" width="16.42578125" customWidth="1"/>
    <col min="53" max="53" width="12.140625" customWidth="1"/>
    <col min="54" max="54" width="14.42578125" customWidth="1"/>
    <col min="55" max="55" width="12.42578125" customWidth="1"/>
    <col min="56" max="56" width="15.7109375" customWidth="1"/>
    <col min="57" max="57" width="13.42578125" customWidth="1"/>
    <col min="58" max="58" width="11.85546875" customWidth="1"/>
    <col min="59" max="59" width="11.28515625" customWidth="1"/>
    <col min="60" max="60" width="12.85546875" customWidth="1"/>
    <col min="61" max="61" width="11.85546875" customWidth="1"/>
    <col min="62" max="62" width="13.42578125" customWidth="1"/>
    <col min="63" max="63" width="14.7109375" customWidth="1"/>
    <col min="64" max="64" width="12" customWidth="1"/>
    <col min="65" max="65" width="14" customWidth="1"/>
    <col min="66" max="66" width="13.85546875" customWidth="1"/>
    <col min="67" max="67" width="11.5703125" customWidth="1"/>
    <col min="68" max="68" width="12.5703125" customWidth="1"/>
    <col min="69" max="69" width="12.140625" customWidth="1"/>
    <col min="70" max="70" width="11.42578125" customWidth="1"/>
    <col min="71" max="71" width="12.42578125" customWidth="1"/>
    <col min="72" max="72" width="11.7109375" customWidth="1"/>
    <col min="73" max="73" width="11.140625" customWidth="1"/>
    <col min="74" max="74" width="11.42578125" customWidth="1"/>
    <col min="75" max="75" width="13.28515625" customWidth="1"/>
    <col min="76" max="76" width="13.7109375" customWidth="1"/>
    <col min="77" max="77" width="14.140625" customWidth="1"/>
    <col min="78" max="78" width="14" customWidth="1"/>
    <col min="79" max="79" width="12.140625" customWidth="1"/>
    <col min="80" max="81" width="11.85546875" customWidth="1"/>
    <col min="82" max="82" width="10.85546875" customWidth="1"/>
    <col min="83" max="83" width="13" customWidth="1"/>
    <col min="84" max="84" width="12" customWidth="1"/>
    <col min="85" max="86" width="12.28515625" customWidth="1"/>
    <col min="87" max="87" width="15.42578125" customWidth="1"/>
    <col min="88" max="88" width="11.85546875" customWidth="1"/>
    <col min="89" max="89" width="14" customWidth="1"/>
    <col min="90" max="90" width="14.5703125" customWidth="1"/>
    <col min="91" max="91" width="11.7109375" customWidth="1"/>
    <col min="92" max="92" width="12" customWidth="1"/>
    <col min="93" max="93" width="13.42578125" customWidth="1"/>
    <col min="94" max="94" width="14.28515625" customWidth="1"/>
    <col min="95" max="95" width="16" customWidth="1"/>
    <col min="96" max="96" width="12.5703125" customWidth="1"/>
    <col min="97" max="97" width="13.85546875" customWidth="1"/>
    <col min="98" max="98" width="13.140625" customWidth="1"/>
    <col min="99" max="99" width="13.28515625" customWidth="1"/>
    <col min="100" max="100" width="14.28515625" customWidth="1"/>
    <col min="101" max="101" width="14.42578125" customWidth="1"/>
    <col min="102" max="102" width="13.5703125" customWidth="1"/>
    <col min="103" max="103" width="15.42578125" customWidth="1"/>
    <col min="104" max="104" width="9.42578125" customWidth="1"/>
    <col min="105" max="105" width="11.28515625" customWidth="1"/>
    <col min="106" max="106" width="15.5703125" customWidth="1"/>
    <col min="107" max="107" width="13.5703125" customWidth="1"/>
    <col min="108" max="108" width="17.28515625" customWidth="1"/>
    <col min="109" max="109" width="14.28515625" customWidth="1"/>
    <col min="110" max="110" width="11.7109375" customWidth="1"/>
    <col min="111" max="111" width="13.5703125" customWidth="1"/>
    <col min="112" max="112" width="13.7109375" customWidth="1"/>
    <col min="113" max="113" width="0" hidden="1" customWidth="1"/>
    <col min="114" max="114" width="31.42578125" customWidth="1"/>
  </cols>
  <sheetData>
    <row r="1" spans="1:112" ht="17.100000000000001" customHeight="1" x14ac:dyDescent="0.25">
      <c r="A1" s="2148" t="s">
        <v>2561</v>
      </c>
      <c r="B1" s="2139"/>
      <c r="C1" s="2139"/>
      <c r="D1" s="2139"/>
      <c r="E1" s="2139"/>
      <c r="F1" s="2139"/>
      <c r="G1" s="2139"/>
      <c r="H1" s="2139"/>
      <c r="I1" s="2139"/>
      <c r="J1" s="2139"/>
      <c r="K1" s="2139"/>
      <c r="L1" s="2139"/>
      <c r="M1" s="2139"/>
      <c r="N1" s="2139"/>
      <c r="O1" s="2139"/>
    </row>
    <row r="2" spans="1:112" ht="25.15" customHeight="1" x14ac:dyDescent="0.25">
      <c r="A2" s="2149" t="s">
        <v>1994</v>
      </c>
      <c r="B2" s="2139"/>
      <c r="C2" s="2139"/>
      <c r="D2" s="2139"/>
      <c r="E2" s="2139"/>
      <c r="F2" s="2139"/>
      <c r="G2" s="2139"/>
      <c r="H2" s="2139"/>
      <c r="I2" s="2139"/>
      <c r="J2" s="2139"/>
      <c r="K2" s="2139"/>
      <c r="L2" s="2139"/>
      <c r="M2" s="2139"/>
      <c r="N2" s="2139"/>
      <c r="O2" s="2139"/>
    </row>
    <row r="3" spans="1:112" ht="14.45" customHeight="1" x14ac:dyDescent="0.25">
      <c r="A3" s="2138"/>
      <c r="B3" s="2139"/>
      <c r="C3" s="2139"/>
      <c r="D3" s="2140"/>
      <c r="E3" s="2139"/>
      <c r="F3" s="2139"/>
      <c r="G3" s="2139"/>
      <c r="H3" s="2139"/>
      <c r="I3" s="2139"/>
      <c r="J3" s="2139"/>
      <c r="K3" s="2139"/>
      <c r="L3" s="2139"/>
      <c r="M3" s="2139"/>
      <c r="N3" s="2139"/>
      <c r="O3" s="2139"/>
    </row>
    <row r="4" spans="1:112" ht="15.4" customHeight="1" x14ac:dyDescent="0.25">
      <c r="A4" s="2138" t="s">
        <v>1995</v>
      </c>
      <c r="B4" s="2139"/>
      <c r="C4" s="2139"/>
      <c r="D4" s="2150" t="s">
        <v>2562</v>
      </c>
      <c r="E4" s="2139"/>
      <c r="F4" s="2139"/>
      <c r="G4" s="2139"/>
      <c r="H4" s="2139"/>
      <c r="I4" s="2139"/>
      <c r="J4" s="2139"/>
      <c r="K4" s="2139"/>
      <c r="L4" s="2139"/>
      <c r="M4" s="2139"/>
      <c r="N4" s="2139"/>
      <c r="O4" s="2139"/>
    </row>
    <row r="5" spans="1:112" ht="9.1999999999999993" customHeight="1" x14ac:dyDescent="0.25">
      <c r="A5" s="2138"/>
      <c r="B5" s="2139"/>
      <c r="C5" s="2139"/>
      <c r="D5" s="2140"/>
      <c r="E5" s="2139"/>
      <c r="F5" s="2139"/>
      <c r="G5" s="2139"/>
      <c r="H5" s="2139"/>
      <c r="I5" s="2139"/>
      <c r="J5" s="2139"/>
      <c r="K5" s="2139"/>
      <c r="L5" s="2139"/>
      <c r="M5" s="2139"/>
      <c r="N5" s="2139"/>
      <c r="O5" s="2139"/>
    </row>
    <row r="6" spans="1:112" ht="1.5" customHeight="1" thickBot="1" x14ac:dyDescent="0.3"/>
    <row r="7" spans="1:112" s="25" customFormat="1" ht="20.100000000000001" customHeight="1" thickBot="1" x14ac:dyDescent="0.3">
      <c r="A7" s="1683"/>
      <c r="B7" s="2105" t="s">
        <v>2563</v>
      </c>
      <c r="C7" s="2106"/>
      <c r="D7" s="2106"/>
      <c r="E7" s="2106"/>
      <c r="F7" s="2106"/>
      <c r="G7" s="2106"/>
      <c r="H7" s="2106"/>
      <c r="I7" s="2106"/>
      <c r="J7" s="2106"/>
      <c r="K7" s="2106"/>
      <c r="L7" s="2106"/>
      <c r="M7" s="2141" t="s">
        <v>1996</v>
      </c>
      <c r="N7" s="2142"/>
      <c r="O7" s="2142"/>
      <c r="P7" s="2142"/>
      <c r="Q7" s="2142"/>
      <c r="R7" s="2142"/>
      <c r="S7" s="2142"/>
      <c r="T7" s="2142"/>
      <c r="U7" s="2142"/>
      <c r="V7" s="2142"/>
      <c r="W7" s="2142"/>
      <c r="X7" s="2143"/>
      <c r="Y7" s="2144" t="s">
        <v>1997</v>
      </c>
      <c r="Z7" s="2145"/>
      <c r="AA7" s="2145"/>
      <c r="AB7" s="2145"/>
      <c r="AC7" s="2145"/>
      <c r="AD7" s="2146"/>
      <c r="AE7" s="2145"/>
      <c r="AF7" s="2145"/>
      <c r="AG7" s="2145"/>
      <c r="AH7" s="2145"/>
      <c r="AI7" s="2147"/>
      <c r="AJ7" s="2105" t="s">
        <v>1998</v>
      </c>
      <c r="AK7" s="2106"/>
      <c r="AL7" s="2106"/>
      <c r="AM7" s="2106"/>
      <c r="AN7" s="2106"/>
      <c r="AO7" s="2106"/>
      <c r="AP7" s="2106"/>
      <c r="AQ7" s="2106"/>
      <c r="AR7" s="2106"/>
      <c r="AS7" s="2106"/>
      <c r="AT7" s="2106"/>
      <c r="AU7" s="2106"/>
      <c r="AV7" s="2106"/>
      <c r="AW7" s="2106"/>
      <c r="AX7" s="2106"/>
      <c r="AY7" s="2106"/>
      <c r="AZ7" s="2106"/>
      <c r="BA7" s="2106"/>
      <c r="BB7" s="2106"/>
      <c r="BC7" s="2106"/>
      <c r="BD7" s="2106"/>
      <c r="BE7" s="2106"/>
      <c r="BF7" s="2106"/>
      <c r="BG7" s="2106"/>
      <c r="BH7" s="2106"/>
      <c r="BI7" s="2106"/>
      <c r="BJ7" s="2106"/>
      <c r="BK7" s="2106"/>
      <c r="BL7" s="2106"/>
      <c r="BM7" s="2106"/>
      <c r="BN7" s="2106"/>
      <c r="BO7" s="2106"/>
      <c r="BP7" s="2106"/>
      <c r="BQ7" s="2106"/>
      <c r="BR7" s="2106"/>
      <c r="BS7" s="2106"/>
      <c r="BT7" s="2106"/>
      <c r="BU7" s="2106"/>
      <c r="BV7" s="2106"/>
      <c r="BW7" s="2106"/>
      <c r="BX7" s="2106"/>
      <c r="BY7" s="2106"/>
      <c r="BZ7" s="2106"/>
      <c r="CA7" s="2106"/>
      <c r="CB7" s="2106"/>
      <c r="CC7" s="2106"/>
      <c r="CD7" s="2106"/>
      <c r="CE7" s="2106"/>
      <c r="CF7" s="2106"/>
      <c r="CG7" s="2106"/>
      <c r="CH7" s="2106"/>
      <c r="CI7" s="2106"/>
      <c r="CJ7" s="2106"/>
      <c r="CK7" s="2106"/>
      <c r="CL7" s="2106"/>
      <c r="CM7" s="2106"/>
      <c r="CN7" s="2106"/>
      <c r="CO7" s="2106"/>
      <c r="CP7" s="2106"/>
      <c r="CQ7" s="2106"/>
      <c r="CR7" s="2106"/>
      <c r="CS7" s="2106"/>
      <c r="CT7" s="2106"/>
      <c r="CU7" s="2106"/>
      <c r="CV7" s="2106"/>
      <c r="CW7" s="2106"/>
      <c r="CX7" s="2106"/>
      <c r="CY7" s="2107"/>
      <c r="CZ7" s="2116" t="s">
        <v>2564</v>
      </c>
      <c r="DA7" s="2134"/>
      <c r="DB7" s="2120"/>
      <c r="DC7" s="2113"/>
      <c r="DD7" s="2120"/>
      <c r="DE7" s="2113"/>
      <c r="DF7" s="2113"/>
      <c r="DG7" s="2113"/>
      <c r="DH7" s="2121"/>
    </row>
    <row r="8" spans="1:112" s="25" customFormat="1" ht="35.25" customHeight="1" x14ac:dyDescent="0.25">
      <c r="A8" s="1684"/>
      <c r="B8" s="2122" t="s">
        <v>2565</v>
      </c>
      <c r="C8" s="2122" t="s">
        <v>2566</v>
      </c>
      <c r="D8" s="2122" t="s">
        <v>2567</v>
      </c>
      <c r="E8" s="2122" t="s">
        <v>2021</v>
      </c>
      <c r="F8" s="2122" t="s">
        <v>2568</v>
      </c>
      <c r="G8" s="2122" t="s">
        <v>2569</v>
      </c>
      <c r="H8" s="2122" t="s">
        <v>2570</v>
      </c>
      <c r="I8" s="1684"/>
      <c r="J8" s="1684"/>
      <c r="K8" s="1684"/>
      <c r="L8" s="1699"/>
      <c r="M8" s="1706"/>
      <c r="N8" s="1684"/>
      <c r="O8" s="2092" t="s">
        <v>2660</v>
      </c>
      <c r="P8" s="2092" t="s">
        <v>2661</v>
      </c>
      <c r="Q8" s="2098" t="s">
        <v>1999</v>
      </c>
      <c r="R8" s="2125"/>
      <c r="S8" s="2097"/>
      <c r="T8" s="2098" t="s">
        <v>2000</v>
      </c>
      <c r="U8" s="2125"/>
      <c r="V8" s="2125"/>
      <c r="W8" s="2125"/>
      <c r="X8" s="2126"/>
      <c r="Y8" s="1702"/>
      <c r="Z8" s="1684"/>
      <c r="AA8" s="2127"/>
      <c r="AB8" s="2096"/>
      <c r="AC8" s="2103"/>
      <c r="AD8" s="2128" t="s">
        <v>2571</v>
      </c>
      <c r="AE8" s="2131" t="s">
        <v>2572</v>
      </c>
      <c r="AF8" s="2090" t="s">
        <v>2573</v>
      </c>
      <c r="AG8" s="2090" t="s">
        <v>2574</v>
      </c>
      <c r="AH8" s="2090" t="s">
        <v>2575</v>
      </c>
      <c r="AI8" s="1684"/>
      <c r="AJ8" s="2110" t="s">
        <v>2001</v>
      </c>
      <c r="AK8" s="2111"/>
      <c r="AL8" s="2112"/>
      <c r="AM8" s="2105" t="s">
        <v>2002</v>
      </c>
      <c r="AN8" s="2106"/>
      <c r="AO8" s="2106"/>
      <c r="AP8" s="2113"/>
      <c r="AQ8" s="2113"/>
      <c r="AR8" s="2113"/>
      <c r="AS8" s="2106"/>
      <c r="AT8" s="2106"/>
      <c r="AU8" s="2106"/>
      <c r="AV8" s="2106"/>
      <c r="AW8" s="2106"/>
      <c r="AX8" s="2106"/>
      <c r="AY8" s="2107"/>
      <c r="AZ8" s="2105" t="s">
        <v>2576</v>
      </c>
      <c r="BA8" s="2106"/>
      <c r="BB8" s="2106"/>
      <c r="BC8" s="2106"/>
      <c r="BD8" s="2107"/>
      <c r="BE8" s="2105" t="s">
        <v>2003</v>
      </c>
      <c r="BF8" s="2106"/>
      <c r="BG8" s="2106"/>
      <c r="BH8" s="2106"/>
      <c r="BI8" s="2106"/>
      <c r="BJ8" s="2106"/>
      <c r="BK8" s="2106"/>
      <c r="BL8" s="2106"/>
      <c r="BM8" s="2106"/>
      <c r="BN8" s="2107"/>
      <c r="BO8" s="2105" t="s">
        <v>2004</v>
      </c>
      <c r="BP8" s="2106"/>
      <c r="BQ8" s="2106"/>
      <c r="BR8" s="2106"/>
      <c r="BS8" s="2106"/>
      <c r="BT8" s="2106"/>
      <c r="BU8" s="2106"/>
      <c r="BV8" s="2106"/>
      <c r="BW8" s="2106"/>
      <c r="BX8" s="2106"/>
      <c r="BY8" s="2106"/>
      <c r="BZ8" s="2107"/>
      <c r="CA8" s="2105" t="s">
        <v>2005</v>
      </c>
      <c r="CB8" s="2106"/>
      <c r="CC8" s="2106"/>
      <c r="CD8" s="2106"/>
      <c r="CE8" s="2107"/>
      <c r="CF8" s="2105" t="s">
        <v>2006</v>
      </c>
      <c r="CG8" s="2107"/>
      <c r="CH8" s="2105" t="s">
        <v>2007</v>
      </c>
      <c r="CI8" s="2107"/>
      <c r="CJ8" s="2105" t="s">
        <v>2008</v>
      </c>
      <c r="CK8" s="2107"/>
      <c r="CL8" s="2105" t="s">
        <v>2009</v>
      </c>
      <c r="CM8" s="2106"/>
      <c r="CN8" s="2106"/>
      <c r="CO8" s="2106"/>
      <c r="CP8" s="2106"/>
      <c r="CQ8" s="2106"/>
      <c r="CR8" s="2106"/>
      <c r="CS8" s="2106"/>
      <c r="CT8" s="2106"/>
      <c r="CU8" s="2106"/>
      <c r="CV8" s="2107"/>
      <c r="CW8" s="2105" t="s">
        <v>2577</v>
      </c>
      <c r="CX8" s="2106"/>
      <c r="CY8" s="2107"/>
      <c r="CZ8" s="2135"/>
      <c r="DA8" s="2136"/>
      <c r="DB8" s="2137" t="s">
        <v>2578</v>
      </c>
      <c r="DC8" s="2096"/>
      <c r="DD8" s="2137" t="s">
        <v>2579</v>
      </c>
      <c r="DE8" s="2096"/>
      <c r="DF8" s="2096"/>
      <c r="DG8" s="2096"/>
      <c r="DH8" s="2097"/>
    </row>
    <row r="9" spans="1:112" s="25" customFormat="1" ht="22.35" customHeight="1" x14ac:dyDescent="0.25">
      <c r="A9" s="1685"/>
      <c r="B9" s="2123"/>
      <c r="C9" s="2123"/>
      <c r="D9" s="2123"/>
      <c r="E9" s="2123"/>
      <c r="F9" s="2123"/>
      <c r="G9" s="2123"/>
      <c r="H9" s="2123"/>
      <c r="I9" s="1685"/>
      <c r="J9" s="1685"/>
      <c r="K9" s="1685"/>
      <c r="L9" s="1700"/>
      <c r="M9" s="1707"/>
      <c r="N9" s="1685"/>
      <c r="O9" s="2093"/>
      <c r="P9" s="2093"/>
      <c r="Q9" s="1686"/>
      <c r="R9" s="1686"/>
      <c r="S9" s="1686"/>
      <c r="T9" s="1686"/>
      <c r="U9" s="2105" t="s">
        <v>2010</v>
      </c>
      <c r="V9" s="2106"/>
      <c r="W9" s="2107"/>
      <c r="X9" s="1708"/>
      <c r="Y9" s="1703"/>
      <c r="Z9" s="1685"/>
      <c r="AA9" s="2098" t="s">
        <v>2011</v>
      </c>
      <c r="AB9" s="2096"/>
      <c r="AC9" s="2103"/>
      <c r="AD9" s="2129"/>
      <c r="AE9" s="2132"/>
      <c r="AF9" s="2099"/>
      <c r="AG9" s="2099"/>
      <c r="AH9" s="2099"/>
      <c r="AI9" s="1685"/>
      <c r="AJ9" s="1685"/>
      <c r="AK9" s="2090" t="s">
        <v>2026</v>
      </c>
      <c r="AL9" s="2090" t="s">
        <v>2041</v>
      </c>
      <c r="AM9" s="2090" t="s">
        <v>2042</v>
      </c>
      <c r="AN9" s="1685"/>
      <c r="AO9" s="2116" t="s">
        <v>2580</v>
      </c>
      <c r="AP9" s="2117" t="s">
        <v>2013</v>
      </c>
      <c r="AQ9" s="2118"/>
      <c r="AR9" s="2118"/>
      <c r="AS9" s="2114" t="s">
        <v>2014</v>
      </c>
      <c r="AT9" s="2106"/>
      <c r="AU9" s="2106"/>
      <c r="AV9" s="2106"/>
      <c r="AW9" s="2107"/>
      <c r="AX9" s="2115" t="s">
        <v>2581</v>
      </c>
      <c r="AY9" s="2090" t="s">
        <v>2582</v>
      </c>
      <c r="AZ9" s="2090" t="s">
        <v>2583</v>
      </c>
      <c r="BA9" s="1685"/>
      <c r="BB9" s="2090" t="s">
        <v>2584</v>
      </c>
      <c r="BC9" s="1685"/>
      <c r="BD9" s="2090" t="s">
        <v>2049</v>
      </c>
      <c r="BE9" s="2090" t="s">
        <v>2585</v>
      </c>
      <c r="BF9" s="2090" t="s">
        <v>2586</v>
      </c>
      <c r="BG9" s="2105" t="s">
        <v>2015</v>
      </c>
      <c r="BH9" s="2106"/>
      <c r="BI9" s="2107"/>
      <c r="BJ9" s="2105" t="s">
        <v>2016</v>
      </c>
      <c r="BK9" s="2106"/>
      <c r="BL9" s="2106"/>
      <c r="BM9" s="2106"/>
      <c r="BN9" s="2107"/>
      <c r="BO9" s="2090" t="s">
        <v>2030</v>
      </c>
      <c r="BP9" s="2090" t="s">
        <v>2587</v>
      </c>
      <c r="BQ9" s="2090" t="s">
        <v>2588</v>
      </c>
      <c r="BR9" s="2110" t="s">
        <v>2017</v>
      </c>
      <c r="BS9" s="2111"/>
      <c r="BT9" s="2112"/>
      <c r="BU9" s="2105" t="s">
        <v>2018</v>
      </c>
      <c r="BV9" s="2106"/>
      <c r="BW9" s="2106"/>
      <c r="BX9" s="2106"/>
      <c r="BY9" s="2107"/>
      <c r="BZ9" s="2090" t="s">
        <v>2589</v>
      </c>
      <c r="CA9" s="2090" t="s">
        <v>2590</v>
      </c>
      <c r="CB9" s="1685"/>
      <c r="CC9" s="2090" t="s">
        <v>2048</v>
      </c>
      <c r="CD9" s="2090" t="s">
        <v>57</v>
      </c>
      <c r="CE9" s="1685"/>
      <c r="CF9" s="2090" t="s">
        <v>57</v>
      </c>
      <c r="CG9" s="2090" t="s">
        <v>2049</v>
      </c>
      <c r="CH9" s="2090" t="s">
        <v>57</v>
      </c>
      <c r="CI9" s="2090" t="s">
        <v>2049</v>
      </c>
      <c r="CJ9" s="2090" t="s">
        <v>57</v>
      </c>
      <c r="CK9" s="2090" t="s">
        <v>2049</v>
      </c>
      <c r="CL9" s="2090" t="s">
        <v>2048</v>
      </c>
      <c r="CM9" s="2090" t="s">
        <v>2591</v>
      </c>
      <c r="CN9" s="2090" t="s">
        <v>2592</v>
      </c>
      <c r="CO9" s="2105" t="s">
        <v>2019</v>
      </c>
      <c r="CP9" s="2106"/>
      <c r="CQ9" s="2107"/>
      <c r="CR9" s="2098" t="s">
        <v>2020</v>
      </c>
      <c r="CS9" s="2096"/>
      <c r="CT9" s="2096"/>
      <c r="CU9" s="2096"/>
      <c r="CV9" s="2097"/>
      <c r="CW9" s="2090" t="s">
        <v>2048</v>
      </c>
      <c r="CX9" s="2090" t="s">
        <v>57</v>
      </c>
      <c r="CY9" s="2090" t="s">
        <v>2049</v>
      </c>
      <c r="CZ9" s="2090" t="s">
        <v>57</v>
      </c>
      <c r="DA9" s="2090" t="s">
        <v>2593</v>
      </c>
      <c r="DB9" s="2100"/>
      <c r="DC9" s="2101"/>
      <c r="DD9" s="2100"/>
      <c r="DE9" s="2101"/>
      <c r="DF9" s="2101"/>
      <c r="DG9" s="2101"/>
      <c r="DH9" s="2102"/>
    </row>
    <row r="10" spans="1:112" s="25" customFormat="1" ht="60.75" customHeight="1" x14ac:dyDescent="0.25">
      <c r="A10" s="1687" t="s">
        <v>1061</v>
      </c>
      <c r="B10" s="2123"/>
      <c r="C10" s="2123"/>
      <c r="D10" s="2123"/>
      <c r="E10" s="2123"/>
      <c r="F10" s="2123"/>
      <c r="G10" s="2123"/>
      <c r="H10" s="2123"/>
      <c r="I10" s="1687" t="s">
        <v>703</v>
      </c>
      <c r="J10" s="1687" t="s">
        <v>2022</v>
      </c>
      <c r="K10" s="1687" t="s">
        <v>2023</v>
      </c>
      <c r="L10" s="1701" t="s">
        <v>2024</v>
      </c>
      <c r="M10" s="1709" t="s">
        <v>2025</v>
      </c>
      <c r="N10" s="1687" t="s">
        <v>2594</v>
      </c>
      <c r="O10" s="2093"/>
      <c r="P10" s="2093"/>
      <c r="Q10" s="1685" t="s">
        <v>57</v>
      </c>
      <c r="R10" s="1685" t="s">
        <v>2026</v>
      </c>
      <c r="S10" s="1685" t="s">
        <v>2027</v>
      </c>
      <c r="T10" s="1685" t="s">
        <v>57</v>
      </c>
      <c r="U10" s="1686"/>
      <c r="V10" s="1686"/>
      <c r="W10" s="1686"/>
      <c r="X10" s="1710" t="s">
        <v>60</v>
      </c>
      <c r="Y10" s="1704" t="s">
        <v>2012</v>
      </c>
      <c r="Z10" s="1687" t="s">
        <v>2012</v>
      </c>
      <c r="AA10" s="2098"/>
      <c r="AB10" s="2096"/>
      <c r="AC10" s="2103"/>
      <c r="AD10" s="2129"/>
      <c r="AE10" s="2132"/>
      <c r="AF10" s="2099"/>
      <c r="AG10" s="2099"/>
      <c r="AH10" s="2099"/>
      <c r="AI10" s="1687" t="s">
        <v>2028</v>
      </c>
      <c r="AJ10" s="1687"/>
      <c r="AK10" s="2099"/>
      <c r="AL10" s="2108"/>
      <c r="AM10" s="2099"/>
      <c r="AN10" s="1687" t="s">
        <v>2595</v>
      </c>
      <c r="AO10" s="2108"/>
      <c r="AP10" s="2104" t="s">
        <v>57</v>
      </c>
      <c r="AQ10" s="2104" t="s">
        <v>2026</v>
      </c>
      <c r="AR10" s="2104" t="s">
        <v>2041</v>
      </c>
      <c r="AS10" s="1687"/>
      <c r="AT10" s="2105" t="s">
        <v>2029</v>
      </c>
      <c r="AU10" s="2106"/>
      <c r="AV10" s="2107"/>
      <c r="AW10" s="1688"/>
      <c r="AX10" s="2108"/>
      <c r="AY10" s="2099"/>
      <c r="AZ10" s="2108"/>
      <c r="BA10" s="1687" t="s">
        <v>2030</v>
      </c>
      <c r="BB10" s="2108"/>
      <c r="BC10" s="1687" t="s">
        <v>57</v>
      </c>
      <c r="BD10" s="2108"/>
      <c r="BE10" s="2108"/>
      <c r="BF10" s="2099"/>
      <c r="BG10" s="2090" t="s">
        <v>57</v>
      </c>
      <c r="BH10" s="2090" t="s">
        <v>2026</v>
      </c>
      <c r="BI10" s="2090" t="s">
        <v>2041</v>
      </c>
      <c r="BJ10" s="1685"/>
      <c r="BK10" s="2119" t="s">
        <v>2010</v>
      </c>
      <c r="BL10" s="2106"/>
      <c r="BM10" s="2107"/>
      <c r="BN10" s="1686"/>
      <c r="BO10" s="2099"/>
      <c r="BP10" s="2108"/>
      <c r="BQ10" s="2099"/>
      <c r="BR10" s="2090" t="s">
        <v>57</v>
      </c>
      <c r="BS10" s="2090" t="s">
        <v>2026</v>
      </c>
      <c r="BT10" s="2090" t="s">
        <v>2041</v>
      </c>
      <c r="BU10" s="2090" t="s">
        <v>57</v>
      </c>
      <c r="BV10" s="2095" t="s">
        <v>2010</v>
      </c>
      <c r="BW10" s="2096"/>
      <c r="BX10" s="2097"/>
      <c r="BY10" s="2090" t="s">
        <v>60</v>
      </c>
      <c r="BZ10" s="2099"/>
      <c r="CA10" s="2099"/>
      <c r="CB10" s="1685" t="s">
        <v>2031</v>
      </c>
      <c r="CC10" s="2099"/>
      <c r="CD10" s="2099"/>
      <c r="CE10" s="2098" t="s">
        <v>2049</v>
      </c>
      <c r="CF10" s="2099"/>
      <c r="CG10" s="2108"/>
      <c r="CH10" s="2099"/>
      <c r="CI10" s="2099"/>
      <c r="CJ10" s="2099"/>
      <c r="CK10" s="2099"/>
      <c r="CL10" s="2099"/>
      <c r="CM10" s="2099"/>
      <c r="CN10" s="2099"/>
      <c r="CO10" s="2090" t="s">
        <v>57</v>
      </c>
      <c r="CP10" s="2090" t="s">
        <v>2026</v>
      </c>
      <c r="CQ10" s="2090" t="s">
        <v>2119</v>
      </c>
      <c r="CR10" s="2090" t="s">
        <v>57</v>
      </c>
      <c r="CS10" s="2105" t="s">
        <v>2010</v>
      </c>
      <c r="CT10" s="2106"/>
      <c r="CU10" s="2107"/>
      <c r="CV10" s="2090" t="s">
        <v>60</v>
      </c>
      <c r="CW10" s="2108"/>
      <c r="CX10" s="2108"/>
      <c r="CY10" s="2108"/>
      <c r="CZ10" s="2108"/>
      <c r="DA10" s="2099"/>
      <c r="DB10" s="2090" t="s">
        <v>2596</v>
      </c>
      <c r="DC10" s="2090" t="s">
        <v>2597</v>
      </c>
      <c r="DD10" s="2090" t="s">
        <v>2598</v>
      </c>
      <c r="DE10" s="2090" t="s">
        <v>2599</v>
      </c>
      <c r="DF10" s="2090" t="s">
        <v>2600</v>
      </c>
      <c r="DG10" s="2090" t="s">
        <v>2601</v>
      </c>
      <c r="DH10" s="2090" t="s">
        <v>2602</v>
      </c>
    </row>
    <row r="11" spans="1:112" s="25" customFormat="1" ht="65.25" customHeight="1" x14ac:dyDescent="0.25">
      <c r="A11" s="1684"/>
      <c r="B11" s="2124"/>
      <c r="C11" s="2124"/>
      <c r="D11" s="2124"/>
      <c r="E11" s="2124"/>
      <c r="F11" s="2124"/>
      <c r="G11" s="2124"/>
      <c r="H11" s="2124"/>
      <c r="I11" s="1684"/>
      <c r="J11" s="1684" t="s">
        <v>2032</v>
      </c>
      <c r="K11" s="1684" t="s">
        <v>2032</v>
      </c>
      <c r="L11" s="1699"/>
      <c r="M11" s="1706" t="s">
        <v>2033</v>
      </c>
      <c r="N11" s="1684" t="s">
        <v>2603</v>
      </c>
      <c r="O11" s="2094"/>
      <c r="P11" s="2094"/>
      <c r="Q11" s="1684"/>
      <c r="R11" s="1684"/>
      <c r="S11" s="1684" t="s">
        <v>2034</v>
      </c>
      <c r="T11" s="1684"/>
      <c r="U11" s="1684" t="s">
        <v>2035</v>
      </c>
      <c r="V11" s="1684" t="s">
        <v>2036</v>
      </c>
      <c r="W11" s="1684" t="s">
        <v>2037</v>
      </c>
      <c r="X11" s="1711"/>
      <c r="Y11" s="1702" t="s">
        <v>2038</v>
      </c>
      <c r="Z11" s="1684" t="s">
        <v>2039</v>
      </c>
      <c r="AA11" s="1689" t="s">
        <v>2040</v>
      </c>
      <c r="AB11" s="1689" t="s">
        <v>2026</v>
      </c>
      <c r="AC11" s="1690" t="s">
        <v>2041</v>
      </c>
      <c r="AD11" s="2130"/>
      <c r="AE11" s="2133"/>
      <c r="AF11" s="2091"/>
      <c r="AG11" s="2091"/>
      <c r="AH11" s="2091"/>
      <c r="AI11" s="1684"/>
      <c r="AJ11" s="1684" t="s">
        <v>57</v>
      </c>
      <c r="AK11" s="2091"/>
      <c r="AL11" s="2109"/>
      <c r="AM11" s="2091"/>
      <c r="AN11" s="1684"/>
      <c r="AO11" s="2109"/>
      <c r="AP11" s="2091"/>
      <c r="AQ11" s="2091"/>
      <c r="AR11" s="2091"/>
      <c r="AS11" s="1684" t="s">
        <v>57</v>
      </c>
      <c r="AT11" s="1689" t="s">
        <v>2043</v>
      </c>
      <c r="AU11" s="1689" t="s">
        <v>2036</v>
      </c>
      <c r="AV11" s="1689" t="s">
        <v>2037</v>
      </c>
      <c r="AW11" s="1684" t="s">
        <v>60</v>
      </c>
      <c r="AX11" s="2109"/>
      <c r="AY11" s="2091"/>
      <c r="AZ11" s="2109"/>
      <c r="BA11" s="1684"/>
      <c r="BB11" s="2109"/>
      <c r="BC11" s="1684"/>
      <c r="BD11" s="2109"/>
      <c r="BE11" s="2109"/>
      <c r="BF11" s="2091"/>
      <c r="BG11" s="2091"/>
      <c r="BH11" s="2091"/>
      <c r="BI11" s="2091"/>
      <c r="BJ11" s="1684" t="s">
        <v>57</v>
      </c>
      <c r="BK11" s="1687" t="s">
        <v>2044</v>
      </c>
      <c r="BL11" s="1687" t="s">
        <v>2045</v>
      </c>
      <c r="BM11" s="1687" t="s">
        <v>2046</v>
      </c>
      <c r="BN11" s="1684" t="s">
        <v>60</v>
      </c>
      <c r="BO11" s="2091"/>
      <c r="BP11" s="2109"/>
      <c r="BQ11" s="2091"/>
      <c r="BR11" s="2091"/>
      <c r="BS11" s="2091"/>
      <c r="BT11" s="2091"/>
      <c r="BU11" s="2091"/>
      <c r="BV11" s="1689" t="s">
        <v>2043</v>
      </c>
      <c r="BW11" s="1689" t="s">
        <v>2036</v>
      </c>
      <c r="BX11" s="1689" t="s">
        <v>2037</v>
      </c>
      <c r="BY11" s="2091"/>
      <c r="BZ11" s="2091"/>
      <c r="CA11" s="2091"/>
      <c r="CB11" s="1684" t="s">
        <v>2047</v>
      </c>
      <c r="CC11" s="2091"/>
      <c r="CD11" s="2091"/>
      <c r="CE11" s="2091"/>
      <c r="CF11" s="2091"/>
      <c r="CG11" s="2109"/>
      <c r="CH11" s="2091"/>
      <c r="CI11" s="2091"/>
      <c r="CJ11" s="2091"/>
      <c r="CK11" s="2091"/>
      <c r="CL11" s="2091"/>
      <c r="CM11" s="2091"/>
      <c r="CN11" s="2091"/>
      <c r="CO11" s="2091"/>
      <c r="CP11" s="2091"/>
      <c r="CQ11" s="2091"/>
      <c r="CR11" s="2091"/>
      <c r="CS11" s="1687" t="s">
        <v>2043</v>
      </c>
      <c r="CT11" s="1687" t="s">
        <v>2036</v>
      </c>
      <c r="CU11" s="1687" t="s">
        <v>2037</v>
      </c>
      <c r="CV11" s="2091"/>
      <c r="CW11" s="2109"/>
      <c r="CX11" s="2109"/>
      <c r="CY11" s="2109"/>
      <c r="CZ11" s="2109"/>
      <c r="DA11" s="2091"/>
      <c r="DB11" s="2091"/>
      <c r="DC11" s="2091"/>
      <c r="DD11" s="2091"/>
      <c r="DE11" s="2091"/>
      <c r="DF11" s="2091"/>
      <c r="DG11" s="2091"/>
      <c r="DH11" s="2091"/>
    </row>
    <row r="12" spans="1:112" s="25" customFormat="1" ht="23.25" thickBot="1" x14ac:dyDescent="0.3">
      <c r="A12" s="1691" t="s">
        <v>2050</v>
      </c>
      <c r="B12" s="1691" t="s">
        <v>2604</v>
      </c>
      <c r="C12" s="1691" t="s">
        <v>2605</v>
      </c>
      <c r="D12" s="1691" t="s">
        <v>2606</v>
      </c>
      <c r="E12" s="1691" t="s">
        <v>2051</v>
      </c>
      <c r="F12" s="1691" t="s">
        <v>2121</v>
      </c>
      <c r="G12" s="1691" t="s">
        <v>2123</v>
      </c>
      <c r="H12" s="1691" t="s">
        <v>2124</v>
      </c>
      <c r="I12" s="1691" t="s">
        <v>2052</v>
      </c>
      <c r="J12" s="1691" t="s">
        <v>1731</v>
      </c>
      <c r="K12" s="1691" t="s">
        <v>1732</v>
      </c>
      <c r="L12" s="1692" t="s">
        <v>1734</v>
      </c>
      <c r="M12" s="1712" t="s">
        <v>1735</v>
      </c>
      <c r="N12" s="1713" t="s">
        <v>1736</v>
      </c>
      <c r="O12" s="1713" t="s">
        <v>2053</v>
      </c>
      <c r="P12" s="1713" t="s">
        <v>2054</v>
      </c>
      <c r="Q12" s="1713" t="s">
        <v>2055</v>
      </c>
      <c r="R12" s="1713" t="s">
        <v>1743</v>
      </c>
      <c r="S12" s="1713" t="s">
        <v>1744</v>
      </c>
      <c r="T12" s="1713" t="s">
        <v>2056</v>
      </c>
      <c r="U12" s="1713" t="s">
        <v>1746</v>
      </c>
      <c r="V12" s="1713" t="s">
        <v>1747</v>
      </c>
      <c r="W12" s="1713" t="s">
        <v>1748</v>
      </c>
      <c r="X12" s="1714" t="s">
        <v>1749</v>
      </c>
      <c r="Y12" s="1694" t="s">
        <v>1750</v>
      </c>
      <c r="Z12" s="1691" t="s">
        <v>1751</v>
      </c>
      <c r="AA12" s="1691" t="s">
        <v>2057</v>
      </c>
      <c r="AB12" s="1691" t="s">
        <v>1753</v>
      </c>
      <c r="AC12" s="1692" t="s">
        <v>1754</v>
      </c>
      <c r="AD12" s="1693" t="s">
        <v>1755</v>
      </c>
      <c r="AE12" s="1694" t="s">
        <v>1756</v>
      </c>
      <c r="AF12" s="1691" t="s">
        <v>1757</v>
      </c>
      <c r="AG12" s="1691" t="s">
        <v>1758</v>
      </c>
      <c r="AH12" s="1691" t="s">
        <v>1759</v>
      </c>
      <c r="AI12" s="1691" t="s">
        <v>1760</v>
      </c>
      <c r="AJ12" s="1691" t="s">
        <v>2058</v>
      </c>
      <c r="AK12" s="1691" t="s">
        <v>1762</v>
      </c>
      <c r="AL12" s="1691" t="s">
        <v>1763</v>
      </c>
      <c r="AM12" s="1691" t="s">
        <v>1764</v>
      </c>
      <c r="AN12" s="1691" t="s">
        <v>2059</v>
      </c>
      <c r="AO12" s="1691" t="s">
        <v>2060</v>
      </c>
      <c r="AP12" s="1691" t="s">
        <v>2061</v>
      </c>
      <c r="AQ12" s="1691" t="s">
        <v>1768</v>
      </c>
      <c r="AR12" s="1691" t="s">
        <v>1769</v>
      </c>
      <c r="AS12" s="1691" t="s">
        <v>2062</v>
      </c>
      <c r="AT12" s="1691" t="s">
        <v>1771</v>
      </c>
      <c r="AU12" s="1691" t="s">
        <v>1457</v>
      </c>
      <c r="AV12" s="1691" t="s">
        <v>1772</v>
      </c>
      <c r="AW12" s="1691" t="s">
        <v>1773</v>
      </c>
      <c r="AX12" s="1691" t="s">
        <v>1774</v>
      </c>
      <c r="AY12" s="1691" t="s">
        <v>1775</v>
      </c>
      <c r="AZ12" s="1691" t="s">
        <v>1776</v>
      </c>
      <c r="BA12" s="1691" t="s">
        <v>2138</v>
      </c>
      <c r="BB12" s="1691" t="s">
        <v>2139</v>
      </c>
      <c r="BC12" s="1691" t="s">
        <v>2140</v>
      </c>
      <c r="BD12" s="1691" t="s">
        <v>2141</v>
      </c>
      <c r="BE12" s="1691" t="s">
        <v>2063</v>
      </c>
      <c r="BF12" s="1691" t="s">
        <v>2064</v>
      </c>
      <c r="BG12" s="1691" t="s">
        <v>2065</v>
      </c>
      <c r="BH12" s="1691" t="s">
        <v>2066</v>
      </c>
      <c r="BI12" s="1691" t="s">
        <v>2067</v>
      </c>
      <c r="BJ12" s="1691" t="s">
        <v>2068</v>
      </c>
      <c r="BK12" s="1691" t="s">
        <v>2069</v>
      </c>
      <c r="BL12" s="1691" t="s">
        <v>2070</v>
      </c>
      <c r="BM12" s="1691" t="s">
        <v>2071</v>
      </c>
      <c r="BN12" s="1691" t="s">
        <v>2072</v>
      </c>
      <c r="BO12" s="1691" t="s">
        <v>2073</v>
      </c>
      <c r="BP12" s="1691" t="s">
        <v>2074</v>
      </c>
      <c r="BQ12" s="1691" t="s">
        <v>2075</v>
      </c>
      <c r="BR12" s="1691" t="s">
        <v>2076</v>
      </c>
      <c r="BS12" s="1691" t="s">
        <v>2077</v>
      </c>
      <c r="BT12" s="1691" t="s">
        <v>2078</v>
      </c>
      <c r="BU12" s="1691" t="s">
        <v>2079</v>
      </c>
      <c r="BV12" s="1691" t="s">
        <v>2080</v>
      </c>
      <c r="BW12" s="1691" t="s">
        <v>2081</v>
      </c>
      <c r="BX12" s="1691" t="s">
        <v>2082</v>
      </c>
      <c r="BY12" s="1691" t="s">
        <v>2083</v>
      </c>
      <c r="BZ12" s="1691" t="s">
        <v>2084</v>
      </c>
      <c r="CA12" s="1691" t="s">
        <v>2085</v>
      </c>
      <c r="CB12" s="1691" t="s">
        <v>2086</v>
      </c>
      <c r="CC12" s="1691" t="s">
        <v>2087</v>
      </c>
      <c r="CD12" s="1691" t="s">
        <v>2088</v>
      </c>
      <c r="CE12" s="1691" t="s">
        <v>2089</v>
      </c>
      <c r="CF12" s="1691" t="s">
        <v>2090</v>
      </c>
      <c r="CG12" s="1691" t="s">
        <v>2091</v>
      </c>
      <c r="CH12" s="1691" t="s">
        <v>2092</v>
      </c>
      <c r="CI12" s="1691" t="s">
        <v>2093</v>
      </c>
      <c r="CJ12" s="1691" t="s">
        <v>2094</v>
      </c>
      <c r="CK12" s="1691" t="s">
        <v>2095</v>
      </c>
      <c r="CL12" s="1691" t="s">
        <v>2096</v>
      </c>
      <c r="CM12" s="1691" t="s">
        <v>2097</v>
      </c>
      <c r="CN12" s="1691" t="s">
        <v>2098</v>
      </c>
      <c r="CO12" s="1691" t="s">
        <v>2099</v>
      </c>
      <c r="CP12" s="1691" t="s">
        <v>2100</v>
      </c>
      <c r="CQ12" s="1691" t="s">
        <v>2101</v>
      </c>
      <c r="CR12" s="1691" t="s">
        <v>2102</v>
      </c>
      <c r="CS12" s="1691" t="s">
        <v>2103</v>
      </c>
      <c r="CT12" s="1691" t="s">
        <v>2104</v>
      </c>
      <c r="CU12" s="1691" t="s">
        <v>2105</v>
      </c>
      <c r="CV12" s="1691" t="s">
        <v>2106</v>
      </c>
      <c r="CW12" s="1691" t="s">
        <v>2160</v>
      </c>
      <c r="CX12" s="1691" t="s">
        <v>2161</v>
      </c>
      <c r="CY12" s="1691" t="s">
        <v>2162</v>
      </c>
      <c r="CZ12" s="1691" t="s">
        <v>2607</v>
      </c>
      <c r="DA12" s="1691" t="s">
        <v>2608</v>
      </c>
      <c r="DB12" s="1691" t="s">
        <v>2165</v>
      </c>
      <c r="DC12" s="1691" t="s">
        <v>2166</v>
      </c>
      <c r="DD12" s="1691" t="s">
        <v>2167</v>
      </c>
      <c r="DE12" s="1691" t="s">
        <v>2168</v>
      </c>
      <c r="DF12" s="1691" t="s">
        <v>2169</v>
      </c>
      <c r="DG12" s="1691" t="s">
        <v>2170</v>
      </c>
      <c r="DH12" s="1691" t="s">
        <v>2171</v>
      </c>
    </row>
    <row r="13" spans="1:112" hidden="1" x14ac:dyDescent="0.25">
      <c r="A13" s="1674" t="s">
        <v>57</v>
      </c>
      <c r="B13" s="1662"/>
      <c r="C13" s="1662"/>
      <c r="D13" s="1662"/>
      <c r="E13" s="1662"/>
      <c r="F13" s="1662"/>
      <c r="G13" s="1662"/>
      <c r="H13" s="1662"/>
      <c r="I13" s="1662"/>
      <c r="J13" s="1662"/>
      <c r="K13" s="1662"/>
      <c r="L13" s="1662"/>
      <c r="M13" s="1705">
        <v>43009587.479999997</v>
      </c>
      <c r="N13" s="1705">
        <v>0</v>
      </c>
      <c r="O13" s="1705">
        <v>43009587.479999997</v>
      </c>
      <c r="P13" s="1705">
        <v>35562611.409999996</v>
      </c>
      <c r="Q13" s="1705">
        <v>31838562.25</v>
      </c>
      <c r="R13" s="1705">
        <v>30740163.800000001</v>
      </c>
      <c r="S13" s="1705">
        <v>1098398.45</v>
      </c>
      <c r="T13" s="1705">
        <v>11171025.23</v>
      </c>
      <c r="U13" s="1705">
        <v>415060.82</v>
      </c>
      <c r="V13" s="1705">
        <v>3308988.34</v>
      </c>
      <c r="W13" s="1705">
        <v>0</v>
      </c>
      <c r="X13" s="1705">
        <v>7446976.0700000003</v>
      </c>
      <c r="Y13" s="1676"/>
      <c r="Z13" s="1674"/>
      <c r="AA13" s="1675">
        <v>959468.71</v>
      </c>
      <c r="AB13" s="1675">
        <v>923384.19</v>
      </c>
      <c r="AC13" s="1677">
        <v>36084.519999999997</v>
      </c>
      <c r="AD13" s="1678"/>
      <c r="AE13" s="1679"/>
      <c r="AF13" s="1662"/>
      <c r="AG13" s="1666"/>
      <c r="AH13" s="1695">
        <v>18142260.350000001</v>
      </c>
      <c r="AI13" s="1675">
        <v>15430442.93</v>
      </c>
      <c r="AJ13" s="1675">
        <v>12984345.689999999</v>
      </c>
      <c r="AK13" s="1697">
        <v>12547257.689999999</v>
      </c>
      <c r="AL13" s="1675">
        <v>437088</v>
      </c>
      <c r="AM13" s="1676"/>
      <c r="AN13" s="1675">
        <v>13499775.82</v>
      </c>
      <c r="AO13" s="1675">
        <v>11203384.609999999</v>
      </c>
      <c r="AP13" s="1675">
        <v>9718366.7599999998</v>
      </c>
      <c r="AQ13" s="1675">
        <v>9432008.25</v>
      </c>
      <c r="AR13" s="1675">
        <v>286358.51</v>
      </c>
      <c r="AS13" s="1675">
        <v>3781409.06</v>
      </c>
      <c r="AT13" s="1675">
        <v>327887.25</v>
      </c>
      <c r="AU13" s="1675">
        <v>1157130.6000000001</v>
      </c>
      <c r="AV13" s="1675">
        <v>0</v>
      </c>
      <c r="AW13" s="1675">
        <v>2296391.21</v>
      </c>
      <c r="AX13" s="1675">
        <v>0</v>
      </c>
      <c r="AY13" s="1675">
        <v>0</v>
      </c>
      <c r="AZ13" s="1675">
        <v>0</v>
      </c>
      <c r="BA13" s="1676"/>
      <c r="BB13" s="1676"/>
      <c r="BC13" s="1675">
        <v>0</v>
      </c>
      <c r="BD13" s="1675">
        <v>0</v>
      </c>
      <c r="BE13" s="1675">
        <v>13499775.82</v>
      </c>
      <c r="BF13" s="1675">
        <v>11203384.609999999</v>
      </c>
      <c r="BG13" s="1675">
        <v>9718366.7599999998</v>
      </c>
      <c r="BH13" s="1675">
        <v>9432008.25</v>
      </c>
      <c r="BI13" s="1675">
        <v>286358.51</v>
      </c>
      <c r="BJ13" s="1675">
        <v>3781409.06</v>
      </c>
      <c r="BK13" s="1675">
        <v>327887.25</v>
      </c>
      <c r="BL13" s="1675">
        <v>1157130.6000000001</v>
      </c>
      <c r="BM13" s="1675">
        <v>0</v>
      </c>
      <c r="BN13" s="1675">
        <v>2296391.21</v>
      </c>
      <c r="BO13" s="1676"/>
      <c r="BP13" s="1675">
        <v>10954364.609999999</v>
      </c>
      <c r="BQ13" s="1675">
        <v>8898248.3699999992</v>
      </c>
      <c r="BR13" s="1675">
        <v>7692166.04</v>
      </c>
      <c r="BS13" s="1695">
        <v>7497879.9100000001</v>
      </c>
      <c r="BT13" s="1675">
        <v>194286.13</v>
      </c>
      <c r="BU13" s="1675">
        <v>3262198.57</v>
      </c>
      <c r="BV13" s="1675">
        <v>327887.25</v>
      </c>
      <c r="BW13" s="1675">
        <v>23669.83</v>
      </c>
      <c r="BX13" s="1675">
        <v>0</v>
      </c>
      <c r="BY13" s="1675">
        <v>2056116.24</v>
      </c>
      <c r="BZ13" s="1675">
        <v>0</v>
      </c>
      <c r="CA13" s="1675">
        <v>0</v>
      </c>
      <c r="CB13" s="1676"/>
      <c r="CC13" s="1676"/>
      <c r="CD13" s="1675">
        <v>-223076.37</v>
      </c>
      <c r="CE13" s="1675">
        <v>-99237.84</v>
      </c>
      <c r="CF13" s="1675">
        <v>10485.23</v>
      </c>
      <c r="CG13" s="1675">
        <v>10485.23</v>
      </c>
      <c r="CH13" s="1675">
        <v>0</v>
      </c>
      <c r="CI13" s="1675">
        <v>0</v>
      </c>
      <c r="CJ13" s="1675">
        <v>107607.34</v>
      </c>
      <c r="CK13" s="1675">
        <v>107607.34</v>
      </c>
      <c r="CL13" s="1676"/>
      <c r="CM13" s="1675">
        <v>160186.17000000001</v>
      </c>
      <c r="CN13" s="1675">
        <v>160186.17000000001</v>
      </c>
      <c r="CO13" s="1675">
        <v>136516.34</v>
      </c>
      <c r="CP13" s="1675">
        <v>136154.31</v>
      </c>
      <c r="CQ13" s="1675">
        <v>362.03</v>
      </c>
      <c r="CR13" s="1675">
        <v>23669.83</v>
      </c>
      <c r="CS13" s="1675">
        <v>0</v>
      </c>
      <c r="CT13" s="1675">
        <v>23669.83</v>
      </c>
      <c r="CU13" s="1675">
        <v>0</v>
      </c>
      <c r="CV13" s="1675">
        <v>0</v>
      </c>
      <c r="CW13" s="1676"/>
      <c r="CX13" s="1675">
        <v>-4827.1099999999997</v>
      </c>
      <c r="CY13" s="1675">
        <v>-4827.1099999999997</v>
      </c>
      <c r="CZ13" s="1675">
        <v>155359.06</v>
      </c>
      <c r="DA13" s="1675">
        <v>155359.06</v>
      </c>
      <c r="DB13" s="1676"/>
      <c r="DC13" s="1674"/>
      <c r="DD13" s="1675">
        <v>29301.16</v>
      </c>
      <c r="DE13" s="1675">
        <v>0</v>
      </c>
      <c r="DF13" s="1675">
        <v>0</v>
      </c>
      <c r="DG13" s="1675">
        <v>0</v>
      </c>
      <c r="DH13" s="1675">
        <v>0</v>
      </c>
    </row>
    <row r="14" spans="1:112" hidden="1" x14ac:dyDescent="0.25">
      <c r="A14" s="1662" t="s">
        <v>2050</v>
      </c>
      <c r="B14" s="1662" t="s">
        <v>1715</v>
      </c>
      <c r="C14" s="1662"/>
      <c r="D14" s="1662"/>
      <c r="E14" s="1662"/>
      <c r="F14" s="1662"/>
      <c r="G14" s="1662"/>
      <c r="H14" s="1662"/>
      <c r="I14" s="1662"/>
      <c r="J14" s="1662"/>
      <c r="K14" s="1662"/>
      <c r="L14" s="1662"/>
      <c r="M14" s="1665">
        <v>326558.05</v>
      </c>
      <c r="N14" s="1665">
        <v>0</v>
      </c>
      <c r="O14" s="1665">
        <v>326558.05</v>
      </c>
      <c r="P14" s="1665">
        <v>326558.05</v>
      </c>
      <c r="Q14" s="1665">
        <v>271227.69</v>
      </c>
      <c r="R14" s="1665">
        <v>271227.69</v>
      </c>
      <c r="S14" s="1665">
        <v>0</v>
      </c>
      <c r="T14" s="1665">
        <v>55330.36</v>
      </c>
      <c r="U14" s="1665">
        <v>0</v>
      </c>
      <c r="V14" s="1665">
        <v>55330.36</v>
      </c>
      <c r="W14" s="1665">
        <v>0</v>
      </c>
      <c r="X14" s="1665">
        <v>0</v>
      </c>
      <c r="Y14" s="1668"/>
      <c r="Z14" s="1662"/>
      <c r="AA14" s="1665">
        <v>0</v>
      </c>
      <c r="AB14" s="1665">
        <v>0</v>
      </c>
      <c r="AC14" s="1680">
        <v>0</v>
      </c>
      <c r="AD14" s="1681"/>
      <c r="AE14" s="1679"/>
      <c r="AF14" s="1662"/>
      <c r="AG14" s="1666"/>
      <c r="AH14" s="1667">
        <v>115635.48</v>
      </c>
      <c r="AI14" s="1665">
        <v>115635.48</v>
      </c>
      <c r="AJ14" s="1665">
        <v>98118.43</v>
      </c>
      <c r="AK14" s="1698">
        <v>98118.43</v>
      </c>
      <c r="AL14" s="1665">
        <v>0</v>
      </c>
      <c r="AM14" s="1668"/>
      <c r="AN14" s="1665">
        <v>115635.48</v>
      </c>
      <c r="AO14" s="1665">
        <v>115635.48</v>
      </c>
      <c r="AP14" s="1665">
        <v>98118.43</v>
      </c>
      <c r="AQ14" s="1665">
        <v>98118.43</v>
      </c>
      <c r="AR14" s="1665">
        <v>0</v>
      </c>
      <c r="AS14" s="1665">
        <v>17517.05</v>
      </c>
      <c r="AT14" s="1665">
        <v>0</v>
      </c>
      <c r="AU14" s="1665">
        <v>17517.05</v>
      </c>
      <c r="AV14" s="1665">
        <v>0</v>
      </c>
      <c r="AW14" s="1665">
        <v>0</v>
      </c>
      <c r="AX14" s="1665">
        <v>0</v>
      </c>
      <c r="AY14" s="1665">
        <v>0</v>
      </c>
      <c r="AZ14" s="1665">
        <v>0</v>
      </c>
      <c r="BA14" s="1668"/>
      <c r="BB14" s="1668"/>
      <c r="BC14" s="1665">
        <v>0</v>
      </c>
      <c r="BD14" s="1665">
        <v>0</v>
      </c>
      <c r="BE14" s="1665">
        <v>115635.48</v>
      </c>
      <c r="BF14" s="1665">
        <v>115635.48</v>
      </c>
      <c r="BG14" s="1665">
        <v>98118.43</v>
      </c>
      <c r="BH14" s="1665">
        <v>98118.43</v>
      </c>
      <c r="BI14" s="1665">
        <v>0</v>
      </c>
      <c r="BJ14" s="1665">
        <v>17517.05</v>
      </c>
      <c r="BK14" s="1665">
        <v>0</v>
      </c>
      <c r="BL14" s="1665">
        <v>17517.05</v>
      </c>
      <c r="BM14" s="1665">
        <v>0</v>
      </c>
      <c r="BN14" s="1665">
        <v>0</v>
      </c>
      <c r="BO14" s="1668"/>
      <c r="BP14" s="1665">
        <v>75699.240000000005</v>
      </c>
      <c r="BQ14" s="1665">
        <v>75699.240000000005</v>
      </c>
      <c r="BR14" s="1665">
        <v>64172.63</v>
      </c>
      <c r="BS14" s="1667">
        <v>64172.63</v>
      </c>
      <c r="BT14" s="1665">
        <v>0</v>
      </c>
      <c r="BU14" s="1665">
        <v>11526.61</v>
      </c>
      <c r="BV14" s="1665">
        <v>0</v>
      </c>
      <c r="BW14" s="1665">
        <v>0</v>
      </c>
      <c r="BX14" s="1665">
        <v>0</v>
      </c>
      <c r="BY14" s="1665">
        <v>0</v>
      </c>
      <c r="BZ14" s="1665">
        <v>0</v>
      </c>
      <c r="CA14" s="1665">
        <v>0</v>
      </c>
      <c r="CB14" s="1668"/>
      <c r="CC14" s="1668"/>
      <c r="CD14" s="1665">
        <v>0</v>
      </c>
      <c r="CE14" s="1665">
        <v>0</v>
      </c>
      <c r="CF14" s="1665">
        <v>0</v>
      </c>
      <c r="CG14" s="1665">
        <v>0</v>
      </c>
      <c r="CH14" s="1665">
        <v>0</v>
      </c>
      <c r="CI14" s="1665">
        <v>0</v>
      </c>
      <c r="CJ14" s="1665">
        <v>0</v>
      </c>
      <c r="CK14" s="1665">
        <v>0</v>
      </c>
      <c r="CL14" s="1668"/>
      <c r="CM14" s="1665">
        <v>0</v>
      </c>
      <c r="CN14" s="1665">
        <v>0</v>
      </c>
      <c r="CO14" s="1665">
        <v>0</v>
      </c>
      <c r="CP14" s="1665">
        <v>0</v>
      </c>
      <c r="CQ14" s="1665">
        <v>0</v>
      </c>
      <c r="CR14" s="1665">
        <v>0</v>
      </c>
      <c r="CS14" s="1665">
        <v>0</v>
      </c>
      <c r="CT14" s="1665">
        <v>0</v>
      </c>
      <c r="CU14" s="1665">
        <v>0</v>
      </c>
      <c r="CV14" s="1665">
        <v>0</v>
      </c>
      <c r="CW14" s="1668"/>
      <c r="CX14" s="1665">
        <v>0</v>
      </c>
      <c r="CY14" s="1665">
        <v>0</v>
      </c>
      <c r="CZ14" s="1665">
        <v>0</v>
      </c>
      <c r="DA14" s="1665">
        <v>0</v>
      </c>
      <c r="DB14" s="1668"/>
      <c r="DC14" s="1662"/>
      <c r="DD14" s="1665">
        <v>0</v>
      </c>
      <c r="DE14" s="1665">
        <v>0</v>
      </c>
      <c r="DF14" s="1665">
        <v>0</v>
      </c>
      <c r="DG14" s="1665">
        <v>0</v>
      </c>
      <c r="DH14" s="1665">
        <v>0</v>
      </c>
    </row>
    <row r="15" spans="1:112" hidden="1" x14ac:dyDescent="0.25">
      <c r="A15" s="1662" t="s">
        <v>2604</v>
      </c>
      <c r="B15" s="1662" t="s">
        <v>1715</v>
      </c>
      <c r="C15" s="1662" t="s">
        <v>2609</v>
      </c>
      <c r="D15" s="1662"/>
      <c r="E15" s="1662"/>
      <c r="F15" s="1662"/>
      <c r="G15" s="1662"/>
      <c r="H15" s="1662"/>
      <c r="I15" s="1662"/>
      <c r="J15" s="1662"/>
      <c r="K15" s="1662"/>
      <c r="L15" s="1662"/>
      <c r="M15" s="1665">
        <v>326558.05</v>
      </c>
      <c r="N15" s="1665">
        <v>0</v>
      </c>
      <c r="O15" s="1665">
        <v>326558.05</v>
      </c>
      <c r="P15" s="1665">
        <v>326558.05</v>
      </c>
      <c r="Q15" s="1665">
        <v>271227.69</v>
      </c>
      <c r="R15" s="1665">
        <v>271227.69</v>
      </c>
      <c r="S15" s="1665">
        <v>0</v>
      </c>
      <c r="T15" s="1665">
        <v>55330.36</v>
      </c>
      <c r="U15" s="1665">
        <v>0</v>
      </c>
      <c r="V15" s="1665">
        <v>55330.36</v>
      </c>
      <c r="W15" s="1665">
        <v>0</v>
      </c>
      <c r="X15" s="1665">
        <v>0</v>
      </c>
      <c r="Y15" s="1668"/>
      <c r="Z15" s="1662"/>
      <c r="AA15" s="1665">
        <v>0</v>
      </c>
      <c r="AB15" s="1665">
        <v>0</v>
      </c>
      <c r="AC15" s="1680">
        <v>0</v>
      </c>
      <c r="AD15" s="1681"/>
      <c r="AE15" s="1679"/>
      <c r="AF15" s="1662"/>
      <c r="AG15" s="1666"/>
      <c r="AH15" s="1667">
        <v>115635.48</v>
      </c>
      <c r="AI15" s="1665">
        <v>115635.48</v>
      </c>
      <c r="AJ15" s="1665">
        <v>98118.43</v>
      </c>
      <c r="AK15" s="1698">
        <v>98118.43</v>
      </c>
      <c r="AL15" s="1665">
        <v>0</v>
      </c>
      <c r="AM15" s="1668"/>
      <c r="AN15" s="1665">
        <v>115635.48</v>
      </c>
      <c r="AO15" s="1665">
        <v>115635.48</v>
      </c>
      <c r="AP15" s="1665">
        <v>98118.43</v>
      </c>
      <c r="AQ15" s="1665">
        <v>98118.43</v>
      </c>
      <c r="AR15" s="1665">
        <v>0</v>
      </c>
      <c r="AS15" s="1665">
        <v>17517.05</v>
      </c>
      <c r="AT15" s="1665">
        <v>0</v>
      </c>
      <c r="AU15" s="1665">
        <v>17517.05</v>
      </c>
      <c r="AV15" s="1665">
        <v>0</v>
      </c>
      <c r="AW15" s="1665">
        <v>0</v>
      </c>
      <c r="AX15" s="1665">
        <v>0</v>
      </c>
      <c r="AY15" s="1665">
        <v>0</v>
      </c>
      <c r="AZ15" s="1665">
        <v>0</v>
      </c>
      <c r="BA15" s="1668"/>
      <c r="BB15" s="1668"/>
      <c r="BC15" s="1665">
        <v>0</v>
      </c>
      <c r="BD15" s="1665">
        <v>0</v>
      </c>
      <c r="BE15" s="1665">
        <v>115635.48</v>
      </c>
      <c r="BF15" s="1665">
        <v>115635.48</v>
      </c>
      <c r="BG15" s="1665">
        <v>98118.43</v>
      </c>
      <c r="BH15" s="1665">
        <v>98118.43</v>
      </c>
      <c r="BI15" s="1665">
        <v>0</v>
      </c>
      <c r="BJ15" s="1665">
        <v>17517.05</v>
      </c>
      <c r="BK15" s="1665">
        <v>0</v>
      </c>
      <c r="BL15" s="1665">
        <v>17517.05</v>
      </c>
      <c r="BM15" s="1665">
        <v>0</v>
      </c>
      <c r="BN15" s="1665">
        <v>0</v>
      </c>
      <c r="BO15" s="1668"/>
      <c r="BP15" s="1665">
        <v>75699.240000000005</v>
      </c>
      <c r="BQ15" s="1665">
        <v>75699.240000000005</v>
      </c>
      <c r="BR15" s="1665">
        <v>64172.63</v>
      </c>
      <c r="BS15" s="1667">
        <v>64172.63</v>
      </c>
      <c r="BT15" s="1665">
        <v>0</v>
      </c>
      <c r="BU15" s="1665">
        <v>11526.61</v>
      </c>
      <c r="BV15" s="1665">
        <v>0</v>
      </c>
      <c r="BW15" s="1665">
        <v>0</v>
      </c>
      <c r="BX15" s="1665">
        <v>0</v>
      </c>
      <c r="BY15" s="1665">
        <v>0</v>
      </c>
      <c r="BZ15" s="1665">
        <v>0</v>
      </c>
      <c r="CA15" s="1665">
        <v>0</v>
      </c>
      <c r="CB15" s="1668"/>
      <c r="CC15" s="1668"/>
      <c r="CD15" s="1665">
        <v>0</v>
      </c>
      <c r="CE15" s="1665">
        <v>0</v>
      </c>
      <c r="CF15" s="1665">
        <v>0</v>
      </c>
      <c r="CG15" s="1665">
        <v>0</v>
      </c>
      <c r="CH15" s="1665">
        <v>0</v>
      </c>
      <c r="CI15" s="1665">
        <v>0</v>
      </c>
      <c r="CJ15" s="1665">
        <v>0</v>
      </c>
      <c r="CK15" s="1665">
        <v>0</v>
      </c>
      <c r="CL15" s="1668"/>
      <c r="CM15" s="1665">
        <v>0</v>
      </c>
      <c r="CN15" s="1665">
        <v>0</v>
      </c>
      <c r="CO15" s="1665">
        <v>0</v>
      </c>
      <c r="CP15" s="1665">
        <v>0</v>
      </c>
      <c r="CQ15" s="1665">
        <v>0</v>
      </c>
      <c r="CR15" s="1665">
        <v>0</v>
      </c>
      <c r="CS15" s="1665">
        <v>0</v>
      </c>
      <c r="CT15" s="1665">
        <v>0</v>
      </c>
      <c r="CU15" s="1665">
        <v>0</v>
      </c>
      <c r="CV15" s="1665">
        <v>0</v>
      </c>
      <c r="CW15" s="1668"/>
      <c r="CX15" s="1665">
        <v>0</v>
      </c>
      <c r="CY15" s="1665">
        <v>0</v>
      </c>
      <c r="CZ15" s="1665">
        <v>0</v>
      </c>
      <c r="DA15" s="1665">
        <v>0</v>
      </c>
      <c r="DB15" s="1668"/>
      <c r="DC15" s="1662"/>
      <c r="DD15" s="1665">
        <v>0</v>
      </c>
      <c r="DE15" s="1665">
        <v>0</v>
      </c>
      <c r="DF15" s="1665">
        <v>0</v>
      </c>
      <c r="DG15" s="1665">
        <v>0</v>
      </c>
      <c r="DH15" s="1665">
        <v>0</v>
      </c>
    </row>
    <row r="16" spans="1:112" hidden="1" x14ac:dyDescent="0.25">
      <c r="A16" s="1662" t="s">
        <v>2605</v>
      </c>
      <c r="B16" s="1662" t="s">
        <v>1715</v>
      </c>
      <c r="C16" s="1662" t="s">
        <v>2609</v>
      </c>
      <c r="D16" s="1662" t="s">
        <v>2610</v>
      </c>
      <c r="E16" s="1662"/>
      <c r="F16" s="1662"/>
      <c r="G16" s="1662"/>
      <c r="H16" s="1662"/>
      <c r="I16" s="1662"/>
      <c r="J16" s="1662"/>
      <c r="K16" s="1662"/>
      <c r="L16" s="1662"/>
      <c r="M16" s="1665">
        <v>326558.05</v>
      </c>
      <c r="N16" s="1665">
        <v>0</v>
      </c>
      <c r="O16" s="1665">
        <v>326558.05</v>
      </c>
      <c r="P16" s="1665">
        <v>326558.05</v>
      </c>
      <c r="Q16" s="1665">
        <v>271227.69</v>
      </c>
      <c r="R16" s="1665">
        <v>271227.69</v>
      </c>
      <c r="S16" s="1665">
        <v>0</v>
      </c>
      <c r="T16" s="1665">
        <v>55330.36</v>
      </c>
      <c r="U16" s="1665">
        <v>0</v>
      </c>
      <c r="V16" s="1665">
        <v>55330.36</v>
      </c>
      <c r="W16" s="1665">
        <v>0</v>
      </c>
      <c r="X16" s="1665">
        <v>0</v>
      </c>
      <c r="Y16" s="1668"/>
      <c r="Z16" s="1662"/>
      <c r="AA16" s="1665">
        <v>0</v>
      </c>
      <c r="AB16" s="1665">
        <v>0</v>
      </c>
      <c r="AC16" s="1680">
        <v>0</v>
      </c>
      <c r="AD16" s="1681"/>
      <c r="AE16" s="1679"/>
      <c r="AF16" s="1662"/>
      <c r="AG16" s="1666"/>
      <c r="AH16" s="1667">
        <v>115635.48</v>
      </c>
      <c r="AI16" s="1665">
        <v>115635.48</v>
      </c>
      <c r="AJ16" s="1665">
        <v>98118.43</v>
      </c>
      <c r="AK16" s="1698">
        <v>98118.43</v>
      </c>
      <c r="AL16" s="1665">
        <v>0</v>
      </c>
      <c r="AM16" s="1668"/>
      <c r="AN16" s="1665">
        <v>115635.48</v>
      </c>
      <c r="AO16" s="1665">
        <v>115635.48</v>
      </c>
      <c r="AP16" s="1665">
        <v>98118.43</v>
      </c>
      <c r="AQ16" s="1665">
        <v>98118.43</v>
      </c>
      <c r="AR16" s="1665">
        <v>0</v>
      </c>
      <c r="AS16" s="1665">
        <v>17517.05</v>
      </c>
      <c r="AT16" s="1665">
        <v>0</v>
      </c>
      <c r="AU16" s="1665">
        <v>17517.05</v>
      </c>
      <c r="AV16" s="1665">
        <v>0</v>
      </c>
      <c r="AW16" s="1665">
        <v>0</v>
      </c>
      <c r="AX16" s="1665">
        <v>0</v>
      </c>
      <c r="AY16" s="1665">
        <v>0</v>
      </c>
      <c r="AZ16" s="1665">
        <v>0</v>
      </c>
      <c r="BA16" s="1668"/>
      <c r="BB16" s="1668"/>
      <c r="BC16" s="1665">
        <v>0</v>
      </c>
      <c r="BD16" s="1665">
        <v>0</v>
      </c>
      <c r="BE16" s="1665">
        <v>115635.48</v>
      </c>
      <c r="BF16" s="1665">
        <v>115635.48</v>
      </c>
      <c r="BG16" s="1665">
        <v>98118.43</v>
      </c>
      <c r="BH16" s="1665">
        <v>98118.43</v>
      </c>
      <c r="BI16" s="1665">
        <v>0</v>
      </c>
      <c r="BJ16" s="1665">
        <v>17517.05</v>
      </c>
      <c r="BK16" s="1665">
        <v>0</v>
      </c>
      <c r="BL16" s="1665">
        <v>17517.05</v>
      </c>
      <c r="BM16" s="1665">
        <v>0</v>
      </c>
      <c r="BN16" s="1665">
        <v>0</v>
      </c>
      <c r="BO16" s="1668"/>
      <c r="BP16" s="1665">
        <v>75699.240000000005</v>
      </c>
      <c r="BQ16" s="1665">
        <v>75699.240000000005</v>
      </c>
      <c r="BR16" s="1665">
        <v>64172.63</v>
      </c>
      <c r="BS16" s="1667">
        <v>64172.63</v>
      </c>
      <c r="BT16" s="1665">
        <v>0</v>
      </c>
      <c r="BU16" s="1665">
        <v>11526.61</v>
      </c>
      <c r="BV16" s="1665">
        <v>0</v>
      </c>
      <c r="BW16" s="1665">
        <v>0</v>
      </c>
      <c r="BX16" s="1665">
        <v>0</v>
      </c>
      <c r="BY16" s="1665">
        <v>0</v>
      </c>
      <c r="BZ16" s="1665">
        <v>0</v>
      </c>
      <c r="CA16" s="1665">
        <v>0</v>
      </c>
      <c r="CB16" s="1668"/>
      <c r="CC16" s="1668"/>
      <c r="CD16" s="1665">
        <v>0</v>
      </c>
      <c r="CE16" s="1665">
        <v>0</v>
      </c>
      <c r="CF16" s="1665">
        <v>0</v>
      </c>
      <c r="CG16" s="1665">
        <v>0</v>
      </c>
      <c r="CH16" s="1665">
        <v>0</v>
      </c>
      <c r="CI16" s="1665">
        <v>0</v>
      </c>
      <c r="CJ16" s="1665">
        <v>0</v>
      </c>
      <c r="CK16" s="1665">
        <v>0</v>
      </c>
      <c r="CL16" s="1668"/>
      <c r="CM16" s="1665">
        <v>0</v>
      </c>
      <c r="CN16" s="1665">
        <v>0</v>
      </c>
      <c r="CO16" s="1665">
        <v>0</v>
      </c>
      <c r="CP16" s="1665">
        <v>0</v>
      </c>
      <c r="CQ16" s="1665">
        <v>0</v>
      </c>
      <c r="CR16" s="1665">
        <v>0</v>
      </c>
      <c r="CS16" s="1665">
        <v>0</v>
      </c>
      <c r="CT16" s="1665">
        <v>0</v>
      </c>
      <c r="CU16" s="1665">
        <v>0</v>
      </c>
      <c r="CV16" s="1665">
        <v>0</v>
      </c>
      <c r="CW16" s="1668"/>
      <c r="CX16" s="1665">
        <v>0</v>
      </c>
      <c r="CY16" s="1665">
        <v>0</v>
      </c>
      <c r="CZ16" s="1665">
        <v>0</v>
      </c>
      <c r="DA16" s="1665">
        <v>0</v>
      </c>
      <c r="DB16" s="1668"/>
      <c r="DC16" s="1662"/>
      <c r="DD16" s="1665">
        <v>0</v>
      </c>
      <c r="DE16" s="1665">
        <v>0</v>
      </c>
      <c r="DF16" s="1665">
        <v>0</v>
      </c>
      <c r="DG16" s="1665">
        <v>0</v>
      </c>
      <c r="DH16" s="1665">
        <v>0</v>
      </c>
    </row>
    <row r="17" spans="1:112" ht="22.5" hidden="1" x14ac:dyDescent="0.25">
      <c r="A17" s="1662" t="s">
        <v>2606</v>
      </c>
      <c r="B17" s="1662" t="s">
        <v>1715</v>
      </c>
      <c r="C17" s="1662" t="s">
        <v>2609</v>
      </c>
      <c r="D17" s="1662" t="s">
        <v>2610</v>
      </c>
      <c r="E17" s="1662" t="s">
        <v>148</v>
      </c>
      <c r="F17" s="1662"/>
      <c r="G17" s="1662"/>
      <c r="H17" s="1662"/>
      <c r="I17" s="1662"/>
      <c r="J17" s="1662"/>
      <c r="K17" s="1662"/>
      <c r="L17" s="1662"/>
      <c r="M17" s="1665">
        <v>326558.05</v>
      </c>
      <c r="N17" s="1665">
        <v>0</v>
      </c>
      <c r="O17" s="1665">
        <v>326558.05</v>
      </c>
      <c r="P17" s="1665">
        <v>326558.05</v>
      </c>
      <c r="Q17" s="1665">
        <v>271227.69</v>
      </c>
      <c r="R17" s="1665">
        <v>271227.69</v>
      </c>
      <c r="S17" s="1665">
        <v>0</v>
      </c>
      <c r="T17" s="1665">
        <v>55330.36</v>
      </c>
      <c r="U17" s="1665">
        <v>0</v>
      </c>
      <c r="V17" s="1665">
        <v>55330.36</v>
      </c>
      <c r="W17" s="1665">
        <v>0</v>
      </c>
      <c r="X17" s="1665">
        <v>0</v>
      </c>
      <c r="Y17" s="1668"/>
      <c r="Z17" s="1662"/>
      <c r="AA17" s="1665">
        <v>0</v>
      </c>
      <c r="AB17" s="1665">
        <v>0</v>
      </c>
      <c r="AC17" s="1680">
        <v>0</v>
      </c>
      <c r="AD17" s="1681"/>
      <c r="AE17" s="1679"/>
      <c r="AF17" s="1662"/>
      <c r="AG17" s="1666"/>
      <c r="AH17" s="1667">
        <v>115635.48</v>
      </c>
      <c r="AI17" s="1665">
        <v>115635.48</v>
      </c>
      <c r="AJ17" s="1665">
        <v>98118.43</v>
      </c>
      <c r="AK17" s="1698">
        <v>98118.43</v>
      </c>
      <c r="AL17" s="1665">
        <v>0</v>
      </c>
      <c r="AM17" s="1668"/>
      <c r="AN17" s="1665">
        <v>115635.48</v>
      </c>
      <c r="AO17" s="1665">
        <v>115635.48</v>
      </c>
      <c r="AP17" s="1665">
        <v>98118.43</v>
      </c>
      <c r="AQ17" s="1665">
        <v>98118.43</v>
      </c>
      <c r="AR17" s="1665">
        <v>0</v>
      </c>
      <c r="AS17" s="1665">
        <v>17517.05</v>
      </c>
      <c r="AT17" s="1665">
        <v>0</v>
      </c>
      <c r="AU17" s="1665">
        <v>17517.05</v>
      </c>
      <c r="AV17" s="1665">
        <v>0</v>
      </c>
      <c r="AW17" s="1665">
        <v>0</v>
      </c>
      <c r="AX17" s="1665">
        <v>0</v>
      </c>
      <c r="AY17" s="1665">
        <v>0</v>
      </c>
      <c r="AZ17" s="1665">
        <v>0</v>
      </c>
      <c r="BA17" s="1668"/>
      <c r="BB17" s="1668"/>
      <c r="BC17" s="1665">
        <v>0</v>
      </c>
      <c r="BD17" s="1665">
        <v>0</v>
      </c>
      <c r="BE17" s="1665">
        <v>115635.48</v>
      </c>
      <c r="BF17" s="1665">
        <v>115635.48</v>
      </c>
      <c r="BG17" s="1665">
        <v>98118.43</v>
      </c>
      <c r="BH17" s="1665">
        <v>98118.43</v>
      </c>
      <c r="BI17" s="1665">
        <v>0</v>
      </c>
      <c r="BJ17" s="1665">
        <v>17517.05</v>
      </c>
      <c r="BK17" s="1665">
        <v>0</v>
      </c>
      <c r="BL17" s="1665">
        <v>17517.05</v>
      </c>
      <c r="BM17" s="1665">
        <v>0</v>
      </c>
      <c r="BN17" s="1665">
        <v>0</v>
      </c>
      <c r="BO17" s="1668"/>
      <c r="BP17" s="1665">
        <v>75699.240000000005</v>
      </c>
      <c r="BQ17" s="1665">
        <v>75699.240000000005</v>
      </c>
      <c r="BR17" s="1665">
        <v>64172.63</v>
      </c>
      <c r="BS17" s="1667">
        <v>64172.63</v>
      </c>
      <c r="BT17" s="1665">
        <v>0</v>
      </c>
      <c r="BU17" s="1665">
        <v>11526.61</v>
      </c>
      <c r="BV17" s="1665">
        <v>0</v>
      </c>
      <c r="BW17" s="1665">
        <v>0</v>
      </c>
      <c r="BX17" s="1665">
        <v>0</v>
      </c>
      <c r="BY17" s="1665">
        <v>0</v>
      </c>
      <c r="BZ17" s="1665">
        <v>0</v>
      </c>
      <c r="CA17" s="1665">
        <v>0</v>
      </c>
      <c r="CB17" s="1668"/>
      <c r="CC17" s="1668"/>
      <c r="CD17" s="1665">
        <v>0</v>
      </c>
      <c r="CE17" s="1665">
        <v>0</v>
      </c>
      <c r="CF17" s="1665">
        <v>0</v>
      </c>
      <c r="CG17" s="1665">
        <v>0</v>
      </c>
      <c r="CH17" s="1665">
        <v>0</v>
      </c>
      <c r="CI17" s="1665">
        <v>0</v>
      </c>
      <c r="CJ17" s="1665">
        <v>0</v>
      </c>
      <c r="CK17" s="1665">
        <v>0</v>
      </c>
      <c r="CL17" s="1668"/>
      <c r="CM17" s="1665">
        <v>0</v>
      </c>
      <c r="CN17" s="1665">
        <v>0</v>
      </c>
      <c r="CO17" s="1665">
        <v>0</v>
      </c>
      <c r="CP17" s="1665">
        <v>0</v>
      </c>
      <c r="CQ17" s="1665">
        <v>0</v>
      </c>
      <c r="CR17" s="1665">
        <v>0</v>
      </c>
      <c r="CS17" s="1665">
        <v>0</v>
      </c>
      <c r="CT17" s="1665">
        <v>0</v>
      </c>
      <c r="CU17" s="1665">
        <v>0</v>
      </c>
      <c r="CV17" s="1665">
        <v>0</v>
      </c>
      <c r="CW17" s="1668"/>
      <c r="CX17" s="1665">
        <v>0</v>
      </c>
      <c r="CY17" s="1665">
        <v>0</v>
      </c>
      <c r="CZ17" s="1665">
        <v>0</v>
      </c>
      <c r="DA17" s="1665">
        <v>0</v>
      </c>
      <c r="DB17" s="1668"/>
      <c r="DC17" s="1662"/>
      <c r="DD17" s="1665">
        <v>0</v>
      </c>
      <c r="DE17" s="1665">
        <v>0</v>
      </c>
      <c r="DF17" s="1665">
        <v>0</v>
      </c>
      <c r="DG17" s="1665">
        <v>0</v>
      </c>
      <c r="DH17" s="1665">
        <v>0</v>
      </c>
    </row>
    <row r="18" spans="1:112" ht="67.5" hidden="1" x14ac:dyDescent="0.25">
      <c r="A18" s="1662" t="s">
        <v>2051</v>
      </c>
      <c r="B18" s="1662" t="s">
        <v>1715</v>
      </c>
      <c r="C18" s="1662" t="s">
        <v>2609</v>
      </c>
      <c r="D18" s="1662" t="s">
        <v>2610</v>
      </c>
      <c r="E18" s="1662" t="s">
        <v>148</v>
      </c>
      <c r="F18" s="1662" t="s">
        <v>2611</v>
      </c>
      <c r="G18" s="1662" t="s">
        <v>2612</v>
      </c>
      <c r="H18" s="1662" t="s">
        <v>2613</v>
      </c>
      <c r="I18" s="1662" t="s">
        <v>729</v>
      </c>
      <c r="J18" s="1662" t="s">
        <v>643</v>
      </c>
      <c r="K18" s="1662" t="s">
        <v>2120</v>
      </c>
      <c r="L18" s="1662" t="s">
        <v>2109</v>
      </c>
      <c r="M18" s="1665">
        <v>133670.07</v>
      </c>
      <c r="N18" s="1665">
        <v>0</v>
      </c>
      <c r="O18" s="1665">
        <v>133670.07</v>
      </c>
      <c r="P18" s="1665">
        <v>133670.07</v>
      </c>
      <c r="Q18" s="1665">
        <v>113619.56</v>
      </c>
      <c r="R18" s="1665">
        <v>113619.56</v>
      </c>
      <c r="S18" s="1665">
        <v>0</v>
      </c>
      <c r="T18" s="1665">
        <v>20050.509999999998</v>
      </c>
      <c r="U18" s="1665">
        <v>0</v>
      </c>
      <c r="V18" s="1665">
        <v>20050.509999999998</v>
      </c>
      <c r="W18" s="1665">
        <v>0</v>
      </c>
      <c r="X18" s="1665">
        <v>0</v>
      </c>
      <c r="Y18" s="1668"/>
      <c r="Z18" s="1662"/>
      <c r="AA18" s="1665">
        <v>0</v>
      </c>
      <c r="AB18" s="1665">
        <v>0</v>
      </c>
      <c r="AC18" s="1680">
        <v>0</v>
      </c>
      <c r="AD18" s="1681"/>
      <c r="AE18" s="1679"/>
      <c r="AF18" s="1662"/>
      <c r="AG18" s="1666"/>
      <c r="AH18" s="1667">
        <v>96214.43</v>
      </c>
      <c r="AI18" s="1665">
        <v>96214.43</v>
      </c>
      <c r="AJ18" s="1665">
        <v>81782.259999999995</v>
      </c>
      <c r="AK18" s="1698">
        <v>81782.259999999995</v>
      </c>
      <c r="AL18" s="1665">
        <v>0</v>
      </c>
      <c r="AM18" s="1668"/>
      <c r="AN18" s="1665">
        <v>96214.43</v>
      </c>
      <c r="AO18" s="1665">
        <v>96214.43</v>
      </c>
      <c r="AP18" s="1665">
        <v>81782.259999999995</v>
      </c>
      <c r="AQ18" s="1665">
        <v>81782.259999999995</v>
      </c>
      <c r="AR18" s="1665">
        <v>0</v>
      </c>
      <c r="AS18" s="1665">
        <v>14432.17</v>
      </c>
      <c r="AT18" s="1665">
        <v>0</v>
      </c>
      <c r="AU18" s="1665">
        <v>14432.17</v>
      </c>
      <c r="AV18" s="1665">
        <v>0</v>
      </c>
      <c r="AW18" s="1665">
        <v>0</v>
      </c>
      <c r="AX18" s="1665">
        <v>0</v>
      </c>
      <c r="AY18" s="1665">
        <v>0</v>
      </c>
      <c r="AZ18" s="1665">
        <v>0</v>
      </c>
      <c r="BA18" s="1668"/>
      <c r="BB18" s="1668"/>
      <c r="BC18" s="1665">
        <v>0</v>
      </c>
      <c r="BD18" s="1665">
        <v>0</v>
      </c>
      <c r="BE18" s="1665">
        <v>96214.43</v>
      </c>
      <c r="BF18" s="1665">
        <v>96214.43</v>
      </c>
      <c r="BG18" s="1665">
        <v>81782.259999999995</v>
      </c>
      <c r="BH18" s="1665">
        <v>81782.259999999995</v>
      </c>
      <c r="BI18" s="1665">
        <v>0</v>
      </c>
      <c r="BJ18" s="1665">
        <v>14432.17</v>
      </c>
      <c r="BK18" s="1665">
        <v>0</v>
      </c>
      <c r="BL18" s="1665">
        <v>14432.17</v>
      </c>
      <c r="BM18" s="1665">
        <v>0</v>
      </c>
      <c r="BN18" s="1665">
        <v>0</v>
      </c>
      <c r="BO18" s="1668"/>
      <c r="BP18" s="1665">
        <v>73157.59</v>
      </c>
      <c r="BQ18" s="1665">
        <v>73157.59</v>
      </c>
      <c r="BR18" s="1665">
        <v>62183.95</v>
      </c>
      <c r="BS18" s="1667">
        <v>62183.95</v>
      </c>
      <c r="BT18" s="1665">
        <v>0</v>
      </c>
      <c r="BU18" s="1665">
        <v>10973.64</v>
      </c>
      <c r="BV18" s="1665">
        <v>0</v>
      </c>
      <c r="BW18" s="1665">
        <v>0</v>
      </c>
      <c r="BX18" s="1665">
        <v>0</v>
      </c>
      <c r="BY18" s="1665">
        <v>0</v>
      </c>
      <c r="BZ18" s="1665">
        <v>0</v>
      </c>
      <c r="CA18" s="1665">
        <v>0</v>
      </c>
      <c r="CB18" s="1668"/>
      <c r="CC18" s="1668"/>
      <c r="CD18" s="1665">
        <v>0</v>
      </c>
      <c r="CE18" s="1665">
        <v>0</v>
      </c>
      <c r="CF18" s="1665">
        <v>0</v>
      </c>
      <c r="CG18" s="1665">
        <v>0</v>
      </c>
      <c r="CH18" s="1665">
        <v>0</v>
      </c>
      <c r="CI18" s="1665">
        <v>0</v>
      </c>
      <c r="CJ18" s="1665">
        <v>0</v>
      </c>
      <c r="CK18" s="1665">
        <v>0</v>
      </c>
      <c r="CL18" s="1668"/>
      <c r="CM18" s="1665">
        <v>0</v>
      </c>
      <c r="CN18" s="1665">
        <v>0</v>
      </c>
      <c r="CO18" s="1665">
        <v>0</v>
      </c>
      <c r="CP18" s="1665">
        <v>0</v>
      </c>
      <c r="CQ18" s="1665">
        <v>0</v>
      </c>
      <c r="CR18" s="1665">
        <v>0</v>
      </c>
      <c r="CS18" s="1665">
        <v>0</v>
      </c>
      <c r="CT18" s="1665">
        <v>0</v>
      </c>
      <c r="CU18" s="1665">
        <v>0</v>
      </c>
      <c r="CV18" s="1665">
        <v>0</v>
      </c>
      <c r="CW18" s="1668"/>
      <c r="CX18" s="1665">
        <v>0</v>
      </c>
      <c r="CY18" s="1665">
        <v>0</v>
      </c>
      <c r="CZ18" s="1665">
        <v>0</v>
      </c>
      <c r="DA18" s="1665">
        <v>0</v>
      </c>
      <c r="DB18" s="1668"/>
      <c r="DC18" s="1662"/>
      <c r="DD18" s="1665">
        <v>0</v>
      </c>
      <c r="DE18" s="1665">
        <v>0</v>
      </c>
      <c r="DF18" s="1665">
        <v>0</v>
      </c>
      <c r="DG18" s="1665">
        <v>0</v>
      </c>
      <c r="DH18" s="1665">
        <v>0</v>
      </c>
    </row>
    <row r="19" spans="1:112" ht="67.5" hidden="1" x14ac:dyDescent="0.25">
      <c r="A19" s="1662" t="s">
        <v>2121</v>
      </c>
      <c r="B19" s="1662" t="s">
        <v>1715</v>
      </c>
      <c r="C19" s="1662" t="s">
        <v>2609</v>
      </c>
      <c r="D19" s="1662" t="s">
        <v>2610</v>
      </c>
      <c r="E19" s="1662" t="s">
        <v>148</v>
      </c>
      <c r="F19" s="1662" t="s">
        <v>2611</v>
      </c>
      <c r="G19" s="1662" t="s">
        <v>2612</v>
      </c>
      <c r="H19" s="1662" t="s">
        <v>2613</v>
      </c>
      <c r="I19" s="1662" t="s">
        <v>729</v>
      </c>
      <c r="J19" s="1662" t="s">
        <v>643</v>
      </c>
      <c r="K19" s="1662" t="s">
        <v>2120</v>
      </c>
      <c r="L19" s="1662" t="s">
        <v>2109</v>
      </c>
      <c r="M19" s="1663"/>
      <c r="N19" s="1663"/>
      <c r="O19" s="1663"/>
      <c r="P19" s="1663"/>
      <c r="Q19" s="1663"/>
      <c r="R19" s="1663"/>
      <c r="S19" s="1663"/>
      <c r="T19" s="1663"/>
      <c r="U19" s="1663"/>
      <c r="V19" s="1663"/>
      <c r="W19" s="1663"/>
      <c r="X19" s="1663"/>
      <c r="Y19" s="1664">
        <v>43034</v>
      </c>
      <c r="Z19" s="1662" t="s">
        <v>2110</v>
      </c>
      <c r="AA19" s="1665">
        <v>0</v>
      </c>
      <c r="AB19" s="1665">
        <v>0</v>
      </c>
      <c r="AC19" s="1680">
        <v>0</v>
      </c>
      <c r="AD19" s="1682">
        <v>43054</v>
      </c>
      <c r="AE19" s="1679" t="s">
        <v>2122</v>
      </c>
      <c r="AF19" s="1662" t="s">
        <v>2112</v>
      </c>
      <c r="AG19" s="1666"/>
      <c r="AH19" s="1667">
        <v>48895.06</v>
      </c>
      <c r="AI19" s="1665">
        <v>48895.06</v>
      </c>
      <c r="AJ19" s="1665">
        <v>41560.800000000003</v>
      </c>
      <c r="AK19" s="1698">
        <v>41560.800000000003</v>
      </c>
      <c r="AL19" s="1665">
        <v>0</v>
      </c>
      <c r="AM19" s="1664">
        <v>43054</v>
      </c>
      <c r="AN19" s="1665">
        <v>48895.06</v>
      </c>
      <c r="AO19" s="1665">
        <v>48895.06</v>
      </c>
      <c r="AP19" s="1665">
        <v>41560.800000000003</v>
      </c>
      <c r="AQ19" s="1665">
        <v>41560.800000000003</v>
      </c>
      <c r="AR19" s="1665">
        <v>0</v>
      </c>
      <c r="AS19" s="1665">
        <v>7334.26</v>
      </c>
      <c r="AT19" s="1665">
        <v>0</v>
      </c>
      <c r="AU19" s="1665">
        <v>7334.26</v>
      </c>
      <c r="AV19" s="1665">
        <v>0</v>
      </c>
      <c r="AW19" s="1665">
        <v>0</v>
      </c>
      <c r="AX19" s="1663"/>
      <c r="AY19" s="1663"/>
      <c r="AZ19" s="1663"/>
      <c r="BA19" s="1668"/>
      <c r="BB19" s="1668"/>
      <c r="BC19" s="1663"/>
      <c r="BD19" s="1663"/>
      <c r="BE19" s="1665">
        <v>48895.06</v>
      </c>
      <c r="BF19" s="1665">
        <v>48895.06</v>
      </c>
      <c r="BG19" s="1665">
        <v>41560.800000000003</v>
      </c>
      <c r="BH19" s="1665">
        <v>41560.800000000003</v>
      </c>
      <c r="BI19" s="1665">
        <v>0</v>
      </c>
      <c r="BJ19" s="1665">
        <v>7334.26</v>
      </c>
      <c r="BK19" s="1665">
        <v>0</v>
      </c>
      <c r="BL19" s="1665">
        <v>7334.26</v>
      </c>
      <c r="BM19" s="1665">
        <v>0</v>
      </c>
      <c r="BN19" s="1665">
        <v>0</v>
      </c>
      <c r="BO19" s="1664">
        <v>43159</v>
      </c>
      <c r="BP19" s="1665">
        <v>48895.06</v>
      </c>
      <c r="BQ19" s="1665">
        <v>48895.06</v>
      </c>
      <c r="BR19" s="1665">
        <v>41560.800000000003</v>
      </c>
      <c r="BS19" s="1667">
        <v>41560.800000000003</v>
      </c>
      <c r="BT19" s="1665">
        <v>0</v>
      </c>
      <c r="BU19" s="1665">
        <v>7334.26</v>
      </c>
      <c r="BV19" s="1665">
        <v>0</v>
      </c>
      <c r="BW19" s="1665">
        <v>0</v>
      </c>
      <c r="BX19" s="1665">
        <v>0</v>
      </c>
      <c r="BY19" s="1665">
        <v>0</v>
      </c>
      <c r="BZ19" s="1665">
        <v>0</v>
      </c>
      <c r="CA19" s="1663"/>
      <c r="CB19" s="1668"/>
      <c r="CC19" s="1668"/>
      <c r="CD19" s="1663"/>
      <c r="CE19" s="1663"/>
      <c r="CF19" s="1665">
        <v>0</v>
      </c>
      <c r="CG19" s="1665">
        <v>0</v>
      </c>
      <c r="CH19" s="1665">
        <v>0</v>
      </c>
      <c r="CI19" s="1665">
        <v>0</v>
      </c>
      <c r="CJ19" s="1665">
        <v>0</v>
      </c>
      <c r="CK19" s="1665">
        <v>0</v>
      </c>
      <c r="CL19" s="1668"/>
      <c r="CM19" s="1665">
        <v>0</v>
      </c>
      <c r="CN19" s="1665">
        <v>0</v>
      </c>
      <c r="CO19" s="1665">
        <v>0</v>
      </c>
      <c r="CP19" s="1665">
        <v>0</v>
      </c>
      <c r="CQ19" s="1665">
        <v>0</v>
      </c>
      <c r="CR19" s="1665">
        <v>0</v>
      </c>
      <c r="CS19" s="1665">
        <v>0</v>
      </c>
      <c r="CT19" s="1665">
        <v>0</v>
      </c>
      <c r="CU19" s="1665">
        <v>0</v>
      </c>
      <c r="CV19" s="1665">
        <v>0</v>
      </c>
      <c r="CW19" s="1668"/>
      <c r="CX19" s="1663"/>
      <c r="CY19" s="1663"/>
      <c r="CZ19" s="1663"/>
      <c r="DA19" s="1663"/>
      <c r="DB19" s="1668"/>
      <c r="DC19" s="1662"/>
      <c r="DD19" s="1665">
        <v>0</v>
      </c>
      <c r="DE19" s="1663"/>
      <c r="DF19" s="1663"/>
      <c r="DG19" s="1665">
        <v>0</v>
      </c>
      <c r="DH19" s="1665">
        <v>0</v>
      </c>
    </row>
    <row r="20" spans="1:112" ht="67.5" hidden="1" x14ac:dyDescent="0.25">
      <c r="A20" s="1662" t="s">
        <v>2123</v>
      </c>
      <c r="B20" s="1662" t="s">
        <v>1715</v>
      </c>
      <c r="C20" s="1662" t="s">
        <v>2609</v>
      </c>
      <c r="D20" s="1662" t="s">
        <v>2610</v>
      </c>
      <c r="E20" s="1662" t="s">
        <v>148</v>
      </c>
      <c r="F20" s="1662" t="s">
        <v>2611</v>
      </c>
      <c r="G20" s="1662" t="s">
        <v>2612</v>
      </c>
      <c r="H20" s="1662" t="s">
        <v>2613</v>
      </c>
      <c r="I20" s="1662" t="s">
        <v>729</v>
      </c>
      <c r="J20" s="1662" t="s">
        <v>643</v>
      </c>
      <c r="K20" s="1662" t="s">
        <v>2120</v>
      </c>
      <c r="L20" s="1662" t="s">
        <v>2109</v>
      </c>
      <c r="M20" s="1663"/>
      <c r="N20" s="1663"/>
      <c r="O20" s="1663"/>
      <c r="P20" s="1663"/>
      <c r="Q20" s="1663"/>
      <c r="R20" s="1663"/>
      <c r="S20" s="1663"/>
      <c r="T20" s="1663"/>
      <c r="U20" s="1663"/>
      <c r="V20" s="1663"/>
      <c r="W20" s="1663"/>
      <c r="X20" s="1663"/>
      <c r="Y20" s="1664">
        <v>43126</v>
      </c>
      <c r="Z20" s="1662" t="s">
        <v>2110</v>
      </c>
      <c r="AA20" s="1665">
        <v>0</v>
      </c>
      <c r="AB20" s="1665">
        <v>0</v>
      </c>
      <c r="AC20" s="1680">
        <v>0</v>
      </c>
      <c r="AD20" s="1682">
        <v>43161</v>
      </c>
      <c r="AE20" s="1679" t="s">
        <v>2111</v>
      </c>
      <c r="AF20" s="1662" t="s">
        <v>2112</v>
      </c>
      <c r="AG20" s="1666"/>
      <c r="AH20" s="1667">
        <v>24262.53</v>
      </c>
      <c r="AI20" s="1665">
        <v>24262.53</v>
      </c>
      <c r="AJ20" s="1665">
        <v>20623.150000000001</v>
      </c>
      <c r="AK20" s="1698">
        <v>20623.150000000001</v>
      </c>
      <c r="AL20" s="1665">
        <v>0</v>
      </c>
      <c r="AM20" s="1664">
        <v>43161</v>
      </c>
      <c r="AN20" s="1665">
        <v>24262.53</v>
      </c>
      <c r="AO20" s="1665">
        <v>24262.53</v>
      </c>
      <c r="AP20" s="1665">
        <v>20623.150000000001</v>
      </c>
      <c r="AQ20" s="1665">
        <v>20623.150000000001</v>
      </c>
      <c r="AR20" s="1665">
        <v>0</v>
      </c>
      <c r="AS20" s="1665">
        <v>3639.38</v>
      </c>
      <c r="AT20" s="1665">
        <v>0</v>
      </c>
      <c r="AU20" s="1665">
        <v>3639.38</v>
      </c>
      <c r="AV20" s="1665">
        <v>0</v>
      </c>
      <c r="AW20" s="1665">
        <v>0</v>
      </c>
      <c r="AX20" s="1663"/>
      <c r="AY20" s="1663"/>
      <c r="AZ20" s="1663"/>
      <c r="BA20" s="1668"/>
      <c r="BB20" s="1668"/>
      <c r="BC20" s="1663"/>
      <c r="BD20" s="1663"/>
      <c r="BE20" s="1665">
        <v>24262.53</v>
      </c>
      <c r="BF20" s="1665">
        <v>24262.53</v>
      </c>
      <c r="BG20" s="1665">
        <v>20623.150000000001</v>
      </c>
      <c r="BH20" s="1665">
        <v>20623.150000000001</v>
      </c>
      <c r="BI20" s="1665">
        <v>0</v>
      </c>
      <c r="BJ20" s="1665">
        <v>3639.38</v>
      </c>
      <c r="BK20" s="1665">
        <v>0</v>
      </c>
      <c r="BL20" s="1665">
        <v>3639.38</v>
      </c>
      <c r="BM20" s="1665">
        <v>0</v>
      </c>
      <c r="BN20" s="1665">
        <v>0</v>
      </c>
      <c r="BO20" s="1664">
        <v>43364</v>
      </c>
      <c r="BP20" s="1665">
        <v>24262.53</v>
      </c>
      <c r="BQ20" s="1665">
        <v>24262.53</v>
      </c>
      <c r="BR20" s="1665">
        <v>20623.150000000001</v>
      </c>
      <c r="BS20" s="1667">
        <v>20623.150000000001</v>
      </c>
      <c r="BT20" s="1665">
        <v>0</v>
      </c>
      <c r="BU20" s="1665">
        <v>3639.38</v>
      </c>
      <c r="BV20" s="1665">
        <v>0</v>
      </c>
      <c r="BW20" s="1665">
        <v>0</v>
      </c>
      <c r="BX20" s="1665">
        <v>0</v>
      </c>
      <c r="BY20" s="1665">
        <v>0</v>
      </c>
      <c r="BZ20" s="1665">
        <v>0</v>
      </c>
      <c r="CA20" s="1663"/>
      <c r="CB20" s="1668"/>
      <c r="CC20" s="1668"/>
      <c r="CD20" s="1663"/>
      <c r="CE20" s="1663"/>
      <c r="CF20" s="1665">
        <v>0</v>
      </c>
      <c r="CG20" s="1665">
        <v>0</v>
      </c>
      <c r="CH20" s="1665">
        <v>0</v>
      </c>
      <c r="CI20" s="1665">
        <v>0</v>
      </c>
      <c r="CJ20" s="1665">
        <v>0</v>
      </c>
      <c r="CK20" s="1665">
        <v>0</v>
      </c>
      <c r="CL20" s="1668"/>
      <c r="CM20" s="1665">
        <v>0</v>
      </c>
      <c r="CN20" s="1665">
        <v>0</v>
      </c>
      <c r="CO20" s="1665">
        <v>0</v>
      </c>
      <c r="CP20" s="1665">
        <v>0</v>
      </c>
      <c r="CQ20" s="1665">
        <v>0</v>
      </c>
      <c r="CR20" s="1665">
        <v>0</v>
      </c>
      <c r="CS20" s="1665">
        <v>0</v>
      </c>
      <c r="CT20" s="1665">
        <v>0</v>
      </c>
      <c r="CU20" s="1665">
        <v>0</v>
      </c>
      <c r="CV20" s="1665">
        <v>0</v>
      </c>
      <c r="CW20" s="1668"/>
      <c r="CX20" s="1663"/>
      <c r="CY20" s="1663"/>
      <c r="CZ20" s="1663"/>
      <c r="DA20" s="1663"/>
      <c r="DB20" s="1668"/>
      <c r="DC20" s="1662"/>
      <c r="DD20" s="1665">
        <v>0</v>
      </c>
      <c r="DE20" s="1663"/>
      <c r="DF20" s="1663"/>
      <c r="DG20" s="1665">
        <v>0</v>
      </c>
      <c r="DH20" s="1665">
        <v>0</v>
      </c>
    </row>
    <row r="21" spans="1:112" ht="67.5" hidden="1" x14ac:dyDescent="0.25">
      <c r="A21" s="1662" t="s">
        <v>2124</v>
      </c>
      <c r="B21" s="1662" t="s">
        <v>1715</v>
      </c>
      <c r="C21" s="1662" t="s">
        <v>2609</v>
      </c>
      <c r="D21" s="1662" t="s">
        <v>2610</v>
      </c>
      <c r="E21" s="1662" t="s">
        <v>148</v>
      </c>
      <c r="F21" s="1662" t="s">
        <v>2611</v>
      </c>
      <c r="G21" s="1662" t="s">
        <v>2612</v>
      </c>
      <c r="H21" s="1662" t="s">
        <v>2613</v>
      </c>
      <c r="I21" s="1662" t="s">
        <v>729</v>
      </c>
      <c r="J21" s="1662" t="s">
        <v>643</v>
      </c>
      <c r="K21" s="1662" t="s">
        <v>2120</v>
      </c>
      <c r="L21" s="1662" t="s">
        <v>2109</v>
      </c>
      <c r="M21" s="1663"/>
      <c r="N21" s="1663"/>
      <c r="O21" s="1663"/>
      <c r="P21" s="1663"/>
      <c r="Q21" s="1663"/>
      <c r="R21" s="1663"/>
      <c r="S21" s="1663"/>
      <c r="T21" s="1663"/>
      <c r="U21" s="1663"/>
      <c r="V21" s="1663"/>
      <c r="W21" s="1663"/>
      <c r="X21" s="1663"/>
      <c r="Y21" s="1664">
        <v>43265</v>
      </c>
      <c r="Z21" s="1662" t="s">
        <v>2110</v>
      </c>
      <c r="AA21" s="1665">
        <v>0</v>
      </c>
      <c r="AB21" s="1665">
        <v>0</v>
      </c>
      <c r="AC21" s="1680">
        <v>0</v>
      </c>
      <c r="AD21" s="1682">
        <v>43335</v>
      </c>
      <c r="AE21" s="1679" t="s">
        <v>2114</v>
      </c>
      <c r="AF21" s="1662" t="s">
        <v>2115</v>
      </c>
      <c r="AG21" s="1666"/>
      <c r="AH21" s="1667">
        <v>23056.84</v>
      </c>
      <c r="AI21" s="1665">
        <v>23056.84</v>
      </c>
      <c r="AJ21" s="1665">
        <v>19598.310000000001</v>
      </c>
      <c r="AK21" s="1698">
        <v>19598.310000000001</v>
      </c>
      <c r="AL21" s="1665">
        <v>0</v>
      </c>
      <c r="AM21" s="1664">
        <v>43335</v>
      </c>
      <c r="AN21" s="1665">
        <v>23056.84</v>
      </c>
      <c r="AO21" s="1665">
        <v>23056.84</v>
      </c>
      <c r="AP21" s="1665">
        <v>19598.310000000001</v>
      </c>
      <c r="AQ21" s="1665">
        <v>19598.310000000001</v>
      </c>
      <c r="AR21" s="1665">
        <v>0</v>
      </c>
      <c r="AS21" s="1665">
        <v>3458.53</v>
      </c>
      <c r="AT21" s="1665">
        <v>0</v>
      </c>
      <c r="AU21" s="1665">
        <v>3458.53</v>
      </c>
      <c r="AV21" s="1665">
        <v>0</v>
      </c>
      <c r="AW21" s="1665">
        <v>0</v>
      </c>
      <c r="AX21" s="1663"/>
      <c r="AY21" s="1663"/>
      <c r="AZ21" s="1663"/>
      <c r="BA21" s="1668"/>
      <c r="BB21" s="1668"/>
      <c r="BC21" s="1663"/>
      <c r="BD21" s="1663"/>
      <c r="BE21" s="1665">
        <v>23056.84</v>
      </c>
      <c r="BF21" s="1665">
        <v>23056.84</v>
      </c>
      <c r="BG21" s="1665">
        <v>19598.310000000001</v>
      </c>
      <c r="BH21" s="1665">
        <v>19598.310000000001</v>
      </c>
      <c r="BI21" s="1665">
        <v>0</v>
      </c>
      <c r="BJ21" s="1665">
        <v>3458.53</v>
      </c>
      <c r="BK21" s="1665">
        <v>0</v>
      </c>
      <c r="BL21" s="1665">
        <v>3458.53</v>
      </c>
      <c r="BM21" s="1665">
        <v>0</v>
      </c>
      <c r="BN21" s="1665">
        <v>0</v>
      </c>
      <c r="BO21" s="1668"/>
      <c r="BP21" s="1665">
        <v>0</v>
      </c>
      <c r="BQ21" s="1665">
        <v>0</v>
      </c>
      <c r="BR21" s="1665">
        <v>0</v>
      </c>
      <c r="BS21" s="1667">
        <v>0</v>
      </c>
      <c r="BT21" s="1665">
        <v>0</v>
      </c>
      <c r="BU21" s="1665">
        <v>0</v>
      </c>
      <c r="BV21" s="1665">
        <v>0</v>
      </c>
      <c r="BW21" s="1665">
        <v>0</v>
      </c>
      <c r="BX21" s="1665">
        <v>0</v>
      </c>
      <c r="BY21" s="1665">
        <v>0</v>
      </c>
      <c r="BZ21" s="1665">
        <v>0</v>
      </c>
      <c r="CA21" s="1663"/>
      <c r="CB21" s="1668"/>
      <c r="CC21" s="1668"/>
      <c r="CD21" s="1663"/>
      <c r="CE21" s="1663"/>
      <c r="CF21" s="1665">
        <v>0</v>
      </c>
      <c r="CG21" s="1665">
        <v>0</v>
      </c>
      <c r="CH21" s="1665">
        <v>0</v>
      </c>
      <c r="CI21" s="1665">
        <v>0</v>
      </c>
      <c r="CJ21" s="1665">
        <v>0</v>
      </c>
      <c r="CK21" s="1665">
        <v>0</v>
      </c>
      <c r="CL21" s="1668"/>
      <c r="CM21" s="1665">
        <v>0</v>
      </c>
      <c r="CN21" s="1665">
        <v>0</v>
      </c>
      <c r="CO21" s="1665">
        <v>0</v>
      </c>
      <c r="CP21" s="1665">
        <v>0</v>
      </c>
      <c r="CQ21" s="1665">
        <v>0</v>
      </c>
      <c r="CR21" s="1665">
        <v>0</v>
      </c>
      <c r="CS21" s="1665">
        <v>0</v>
      </c>
      <c r="CT21" s="1665">
        <v>0</v>
      </c>
      <c r="CU21" s="1665">
        <v>0</v>
      </c>
      <c r="CV21" s="1665">
        <v>0</v>
      </c>
      <c r="CW21" s="1668"/>
      <c r="CX21" s="1663"/>
      <c r="CY21" s="1663"/>
      <c r="CZ21" s="1663"/>
      <c r="DA21" s="1663"/>
      <c r="DB21" s="1668"/>
      <c r="DC21" s="1662"/>
      <c r="DD21" s="1665">
        <v>0</v>
      </c>
      <c r="DE21" s="1663"/>
      <c r="DF21" s="1663"/>
      <c r="DG21" s="1665">
        <v>0</v>
      </c>
      <c r="DH21" s="1665">
        <v>0</v>
      </c>
    </row>
    <row r="22" spans="1:112" ht="67.5" hidden="1" x14ac:dyDescent="0.25">
      <c r="A22" s="1662" t="s">
        <v>2052</v>
      </c>
      <c r="B22" s="1662" t="s">
        <v>1715</v>
      </c>
      <c r="C22" s="1662" t="s">
        <v>2609</v>
      </c>
      <c r="D22" s="1662" t="s">
        <v>2610</v>
      </c>
      <c r="E22" s="1662" t="s">
        <v>148</v>
      </c>
      <c r="F22" s="1662" t="s">
        <v>2611</v>
      </c>
      <c r="G22" s="1662" t="s">
        <v>2612</v>
      </c>
      <c r="H22" s="1662" t="s">
        <v>2613</v>
      </c>
      <c r="I22" s="1662" t="s">
        <v>1227</v>
      </c>
      <c r="J22" s="1662" t="s">
        <v>2125</v>
      </c>
      <c r="K22" s="1662" t="s">
        <v>2117</v>
      </c>
      <c r="L22" s="1662" t="s">
        <v>2109</v>
      </c>
      <c r="M22" s="1665">
        <v>93938.42</v>
      </c>
      <c r="N22" s="1665">
        <v>0</v>
      </c>
      <c r="O22" s="1665">
        <v>93938.42</v>
      </c>
      <c r="P22" s="1665">
        <v>93938.42</v>
      </c>
      <c r="Q22" s="1665">
        <v>73501</v>
      </c>
      <c r="R22" s="1665">
        <v>73501</v>
      </c>
      <c r="S22" s="1665">
        <v>0</v>
      </c>
      <c r="T22" s="1665">
        <v>20437.419999999998</v>
      </c>
      <c r="U22" s="1665">
        <v>0</v>
      </c>
      <c r="V22" s="1665">
        <v>20437.419999999998</v>
      </c>
      <c r="W22" s="1665">
        <v>0</v>
      </c>
      <c r="X22" s="1665">
        <v>0</v>
      </c>
      <c r="Y22" s="1668"/>
      <c r="Z22" s="1662"/>
      <c r="AA22" s="1665">
        <v>0</v>
      </c>
      <c r="AB22" s="1665">
        <v>0</v>
      </c>
      <c r="AC22" s="1680">
        <v>0</v>
      </c>
      <c r="AD22" s="1681"/>
      <c r="AE22" s="1679"/>
      <c r="AF22" s="1662"/>
      <c r="AG22" s="1666"/>
      <c r="AH22" s="1667">
        <v>2541.65</v>
      </c>
      <c r="AI22" s="1665">
        <v>2541.65</v>
      </c>
      <c r="AJ22" s="1665">
        <v>1988.68</v>
      </c>
      <c r="AK22" s="1698">
        <v>1988.68</v>
      </c>
      <c r="AL22" s="1665">
        <v>0</v>
      </c>
      <c r="AM22" s="1668"/>
      <c r="AN22" s="1665">
        <v>2541.65</v>
      </c>
      <c r="AO22" s="1665">
        <v>2541.65</v>
      </c>
      <c r="AP22" s="1665">
        <v>1988.68</v>
      </c>
      <c r="AQ22" s="1665">
        <v>1988.68</v>
      </c>
      <c r="AR22" s="1665">
        <v>0</v>
      </c>
      <c r="AS22" s="1665">
        <v>552.97</v>
      </c>
      <c r="AT22" s="1665">
        <v>0</v>
      </c>
      <c r="AU22" s="1665">
        <v>552.97</v>
      </c>
      <c r="AV22" s="1665">
        <v>0</v>
      </c>
      <c r="AW22" s="1665">
        <v>0</v>
      </c>
      <c r="AX22" s="1665">
        <v>0</v>
      </c>
      <c r="AY22" s="1665">
        <v>0</v>
      </c>
      <c r="AZ22" s="1665">
        <v>0</v>
      </c>
      <c r="BA22" s="1668"/>
      <c r="BB22" s="1668"/>
      <c r="BC22" s="1665">
        <v>0</v>
      </c>
      <c r="BD22" s="1665">
        <v>0</v>
      </c>
      <c r="BE22" s="1665">
        <v>2541.65</v>
      </c>
      <c r="BF22" s="1665">
        <v>2541.65</v>
      </c>
      <c r="BG22" s="1665">
        <v>1988.68</v>
      </c>
      <c r="BH22" s="1665">
        <v>1988.68</v>
      </c>
      <c r="BI22" s="1665">
        <v>0</v>
      </c>
      <c r="BJ22" s="1665">
        <v>552.97</v>
      </c>
      <c r="BK22" s="1665">
        <v>0</v>
      </c>
      <c r="BL22" s="1665">
        <v>552.97</v>
      </c>
      <c r="BM22" s="1665">
        <v>0</v>
      </c>
      <c r="BN22" s="1665">
        <v>0</v>
      </c>
      <c r="BO22" s="1668"/>
      <c r="BP22" s="1665">
        <v>2541.65</v>
      </c>
      <c r="BQ22" s="1665">
        <v>2541.65</v>
      </c>
      <c r="BR22" s="1665">
        <v>1988.68</v>
      </c>
      <c r="BS22" s="1667">
        <v>1988.68</v>
      </c>
      <c r="BT22" s="1665">
        <v>0</v>
      </c>
      <c r="BU22" s="1665">
        <v>552.97</v>
      </c>
      <c r="BV22" s="1665">
        <v>0</v>
      </c>
      <c r="BW22" s="1665">
        <v>0</v>
      </c>
      <c r="BX22" s="1665">
        <v>0</v>
      </c>
      <c r="BY22" s="1665">
        <v>0</v>
      </c>
      <c r="BZ22" s="1665">
        <v>0</v>
      </c>
      <c r="CA22" s="1665">
        <v>0</v>
      </c>
      <c r="CB22" s="1668"/>
      <c r="CC22" s="1668"/>
      <c r="CD22" s="1665">
        <v>0</v>
      </c>
      <c r="CE22" s="1665">
        <v>0</v>
      </c>
      <c r="CF22" s="1665">
        <v>0</v>
      </c>
      <c r="CG22" s="1665">
        <v>0</v>
      </c>
      <c r="CH22" s="1665">
        <v>0</v>
      </c>
      <c r="CI22" s="1665">
        <v>0</v>
      </c>
      <c r="CJ22" s="1665">
        <v>0</v>
      </c>
      <c r="CK22" s="1665">
        <v>0</v>
      </c>
      <c r="CL22" s="1668"/>
      <c r="CM22" s="1665">
        <v>0</v>
      </c>
      <c r="CN22" s="1665">
        <v>0</v>
      </c>
      <c r="CO22" s="1665">
        <v>0</v>
      </c>
      <c r="CP22" s="1665">
        <v>0</v>
      </c>
      <c r="CQ22" s="1665">
        <v>0</v>
      </c>
      <c r="CR22" s="1665">
        <v>0</v>
      </c>
      <c r="CS22" s="1665">
        <v>0</v>
      </c>
      <c r="CT22" s="1665">
        <v>0</v>
      </c>
      <c r="CU22" s="1665">
        <v>0</v>
      </c>
      <c r="CV22" s="1665">
        <v>0</v>
      </c>
      <c r="CW22" s="1668"/>
      <c r="CX22" s="1665">
        <v>0</v>
      </c>
      <c r="CY22" s="1665">
        <v>0</v>
      </c>
      <c r="CZ22" s="1665">
        <v>0</v>
      </c>
      <c r="DA22" s="1665">
        <v>0</v>
      </c>
      <c r="DB22" s="1668"/>
      <c r="DC22" s="1662"/>
      <c r="DD22" s="1665">
        <v>0</v>
      </c>
      <c r="DE22" s="1665">
        <v>0</v>
      </c>
      <c r="DF22" s="1665">
        <v>0</v>
      </c>
      <c r="DG22" s="1665">
        <v>0</v>
      </c>
      <c r="DH22" s="1665">
        <v>0</v>
      </c>
    </row>
    <row r="23" spans="1:112" ht="67.5" hidden="1" x14ac:dyDescent="0.25">
      <c r="A23" s="1662" t="s">
        <v>1731</v>
      </c>
      <c r="B23" s="1662" t="s">
        <v>1715</v>
      </c>
      <c r="C23" s="1662" t="s">
        <v>2609</v>
      </c>
      <c r="D23" s="1662" t="s">
        <v>2610</v>
      </c>
      <c r="E23" s="1662" t="s">
        <v>148</v>
      </c>
      <c r="F23" s="1662" t="s">
        <v>2611</v>
      </c>
      <c r="G23" s="1662" t="s">
        <v>2612</v>
      </c>
      <c r="H23" s="1662" t="s">
        <v>2613</v>
      </c>
      <c r="I23" s="1662" t="s">
        <v>1227</v>
      </c>
      <c r="J23" s="1662" t="s">
        <v>2125</v>
      </c>
      <c r="K23" s="1662" t="s">
        <v>2117</v>
      </c>
      <c r="L23" s="1662" t="s">
        <v>2109</v>
      </c>
      <c r="M23" s="1663"/>
      <c r="N23" s="1663"/>
      <c r="O23" s="1663"/>
      <c r="P23" s="1663"/>
      <c r="Q23" s="1663"/>
      <c r="R23" s="1663"/>
      <c r="S23" s="1663"/>
      <c r="T23" s="1663"/>
      <c r="U23" s="1663"/>
      <c r="V23" s="1663"/>
      <c r="W23" s="1663"/>
      <c r="X23" s="1663"/>
      <c r="Y23" s="1664">
        <v>43234</v>
      </c>
      <c r="Z23" s="1662" t="s">
        <v>2110</v>
      </c>
      <c r="AA23" s="1665">
        <v>0</v>
      </c>
      <c r="AB23" s="1665">
        <v>0</v>
      </c>
      <c r="AC23" s="1680">
        <v>0</v>
      </c>
      <c r="AD23" s="1682">
        <v>43276</v>
      </c>
      <c r="AE23" s="1679" t="s">
        <v>2111</v>
      </c>
      <c r="AF23" s="1662" t="s">
        <v>2115</v>
      </c>
      <c r="AG23" s="1666"/>
      <c r="AH23" s="1667">
        <v>2201.65</v>
      </c>
      <c r="AI23" s="1665">
        <v>2201.65</v>
      </c>
      <c r="AJ23" s="1665">
        <v>1722.65</v>
      </c>
      <c r="AK23" s="1698">
        <v>1722.65</v>
      </c>
      <c r="AL23" s="1665">
        <v>0</v>
      </c>
      <c r="AM23" s="1664">
        <v>43278</v>
      </c>
      <c r="AN23" s="1665">
        <v>2201.65</v>
      </c>
      <c r="AO23" s="1665">
        <v>2201.65</v>
      </c>
      <c r="AP23" s="1665">
        <v>1722.65</v>
      </c>
      <c r="AQ23" s="1665">
        <v>1722.65</v>
      </c>
      <c r="AR23" s="1665">
        <v>0</v>
      </c>
      <c r="AS23" s="1665">
        <v>479</v>
      </c>
      <c r="AT23" s="1665">
        <v>0</v>
      </c>
      <c r="AU23" s="1665">
        <v>479</v>
      </c>
      <c r="AV23" s="1665">
        <v>0</v>
      </c>
      <c r="AW23" s="1665">
        <v>0</v>
      </c>
      <c r="AX23" s="1663"/>
      <c r="AY23" s="1663"/>
      <c r="AZ23" s="1663"/>
      <c r="BA23" s="1668"/>
      <c r="BB23" s="1668"/>
      <c r="BC23" s="1663"/>
      <c r="BD23" s="1663"/>
      <c r="BE23" s="1665">
        <v>2201.65</v>
      </c>
      <c r="BF23" s="1665">
        <v>2201.65</v>
      </c>
      <c r="BG23" s="1665">
        <v>1722.65</v>
      </c>
      <c r="BH23" s="1665">
        <v>1722.65</v>
      </c>
      <c r="BI23" s="1665">
        <v>0</v>
      </c>
      <c r="BJ23" s="1665">
        <v>479</v>
      </c>
      <c r="BK23" s="1665">
        <v>0</v>
      </c>
      <c r="BL23" s="1665">
        <v>479</v>
      </c>
      <c r="BM23" s="1665">
        <v>0</v>
      </c>
      <c r="BN23" s="1665">
        <v>0</v>
      </c>
      <c r="BO23" s="1664">
        <v>43364</v>
      </c>
      <c r="BP23" s="1665">
        <v>2201.65</v>
      </c>
      <c r="BQ23" s="1665">
        <v>2201.65</v>
      </c>
      <c r="BR23" s="1665">
        <v>1722.65</v>
      </c>
      <c r="BS23" s="1667">
        <v>1722.65</v>
      </c>
      <c r="BT23" s="1665">
        <v>0</v>
      </c>
      <c r="BU23" s="1665">
        <v>479</v>
      </c>
      <c r="BV23" s="1665">
        <v>0</v>
      </c>
      <c r="BW23" s="1665">
        <v>0</v>
      </c>
      <c r="BX23" s="1665">
        <v>0</v>
      </c>
      <c r="BY23" s="1665">
        <v>0</v>
      </c>
      <c r="BZ23" s="1665">
        <v>0</v>
      </c>
      <c r="CA23" s="1663"/>
      <c r="CB23" s="1668"/>
      <c r="CC23" s="1668"/>
      <c r="CD23" s="1663"/>
      <c r="CE23" s="1663"/>
      <c r="CF23" s="1665">
        <v>0</v>
      </c>
      <c r="CG23" s="1665">
        <v>0</v>
      </c>
      <c r="CH23" s="1665">
        <v>0</v>
      </c>
      <c r="CI23" s="1665">
        <v>0</v>
      </c>
      <c r="CJ23" s="1665">
        <v>0</v>
      </c>
      <c r="CK23" s="1665">
        <v>0</v>
      </c>
      <c r="CL23" s="1668"/>
      <c r="CM23" s="1665">
        <v>0</v>
      </c>
      <c r="CN23" s="1665">
        <v>0</v>
      </c>
      <c r="CO23" s="1665">
        <v>0</v>
      </c>
      <c r="CP23" s="1665">
        <v>0</v>
      </c>
      <c r="CQ23" s="1665">
        <v>0</v>
      </c>
      <c r="CR23" s="1665">
        <v>0</v>
      </c>
      <c r="CS23" s="1665">
        <v>0</v>
      </c>
      <c r="CT23" s="1665">
        <v>0</v>
      </c>
      <c r="CU23" s="1665">
        <v>0</v>
      </c>
      <c r="CV23" s="1665">
        <v>0</v>
      </c>
      <c r="CW23" s="1668"/>
      <c r="CX23" s="1663"/>
      <c r="CY23" s="1663"/>
      <c r="CZ23" s="1663"/>
      <c r="DA23" s="1663"/>
      <c r="DB23" s="1668"/>
      <c r="DC23" s="1662"/>
      <c r="DD23" s="1665">
        <v>0</v>
      </c>
      <c r="DE23" s="1663"/>
      <c r="DF23" s="1663"/>
      <c r="DG23" s="1665">
        <v>0</v>
      </c>
      <c r="DH23" s="1665">
        <v>0</v>
      </c>
    </row>
    <row r="24" spans="1:112" ht="67.5" hidden="1" x14ac:dyDescent="0.25">
      <c r="A24" s="1662" t="s">
        <v>1732</v>
      </c>
      <c r="B24" s="1662" t="s">
        <v>1715</v>
      </c>
      <c r="C24" s="1662" t="s">
        <v>2609</v>
      </c>
      <c r="D24" s="1662" t="s">
        <v>2610</v>
      </c>
      <c r="E24" s="1662" t="s">
        <v>148</v>
      </c>
      <c r="F24" s="1662" t="s">
        <v>2611</v>
      </c>
      <c r="G24" s="1662" t="s">
        <v>2612</v>
      </c>
      <c r="H24" s="1662" t="s">
        <v>2613</v>
      </c>
      <c r="I24" s="1662" t="s">
        <v>1227</v>
      </c>
      <c r="J24" s="1662" t="s">
        <v>2125</v>
      </c>
      <c r="K24" s="1662" t="s">
        <v>2117</v>
      </c>
      <c r="L24" s="1662" t="s">
        <v>2109</v>
      </c>
      <c r="M24" s="1663"/>
      <c r="N24" s="1663"/>
      <c r="O24" s="1663"/>
      <c r="P24" s="1663"/>
      <c r="Q24" s="1663"/>
      <c r="R24" s="1663"/>
      <c r="S24" s="1663"/>
      <c r="T24" s="1663"/>
      <c r="U24" s="1663"/>
      <c r="V24" s="1663"/>
      <c r="W24" s="1663"/>
      <c r="X24" s="1663"/>
      <c r="Y24" s="1664">
        <v>43234</v>
      </c>
      <c r="Z24" s="1662" t="s">
        <v>2110</v>
      </c>
      <c r="AA24" s="1665">
        <v>0</v>
      </c>
      <c r="AB24" s="1665">
        <v>0</v>
      </c>
      <c r="AC24" s="1680">
        <v>0</v>
      </c>
      <c r="AD24" s="1682">
        <v>43276</v>
      </c>
      <c r="AE24" s="1679" t="s">
        <v>2111</v>
      </c>
      <c r="AF24" s="1662" t="s">
        <v>2112</v>
      </c>
      <c r="AG24" s="1666"/>
      <c r="AH24" s="1667">
        <v>340</v>
      </c>
      <c r="AI24" s="1665">
        <v>340</v>
      </c>
      <c r="AJ24" s="1665">
        <v>266.02999999999997</v>
      </c>
      <c r="AK24" s="1698">
        <v>266.02999999999997</v>
      </c>
      <c r="AL24" s="1665">
        <v>0</v>
      </c>
      <c r="AM24" s="1664">
        <v>43276</v>
      </c>
      <c r="AN24" s="1665">
        <v>340</v>
      </c>
      <c r="AO24" s="1665">
        <v>340</v>
      </c>
      <c r="AP24" s="1665">
        <v>266.02999999999997</v>
      </c>
      <c r="AQ24" s="1665">
        <v>266.02999999999997</v>
      </c>
      <c r="AR24" s="1665">
        <v>0</v>
      </c>
      <c r="AS24" s="1665">
        <v>73.97</v>
      </c>
      <c r="AT24" s="1665">
        <v>0</v>
      </c>
      <c r="AU24" s="1665">
        <v>73.97</v>
      </c>
      <c r="AV24" s="1665">
        <v>0</v>
      </c>
      <c r="AW24" s="1665">
        <v>0</v>
      </c>
      <c r="AX24" s="1663"/>
      <c r="AY24" s="1663"/>
      <c r="AZ24" s="1663"/>
      <c r="BA24" s="1668"/>
      <c r="BB24" s="1668"/>
      <c r="BC24" s="1663"/>
      <c r="BD24" s="1663"/>
      <c r="BE24" s="1665">
        <v>340</v>
      </c>
      <c r="BF24" s="1665">
        <v>340</v>
      </c>
      <c r="BG24" s="1665">
        <v>266.02999999999997</v>
      </c>
      <c r="BH24" s="1665">
        <v>266.02999999999997</v>
      </c>
      <c r="BI24" s="1665">
        <v>0</v>
      </c>
      <c r="BJ24" s="1665">
        <v>73.97</v>
      </c>
      <c r="BK24" s="1665">
        <v>0</v>
      </c>
      <c r="BL24" s="1665">
        <v>73.97</v>
      </c>
      <c r="BM24" s="1665">
        <v>0</v>
      </c>
      <c r="BN24" s="1665">
        <v>0</v>
      </c>
      <c r="BO24" s="1664">
        <v>43364</v>
      </c>
      <c r="BP24" s="1665">
        <v>340</v>
      </c>
      <c r="BQ24" s="1665">
        <v>340</v>
      </c>
      <c r="BR24" s="1665">
        <v>266.02999999999997</v>
      </c>
      <c r="BS24" s="1667">
        <v>266.02999999999997</v>
      </c>
      <c r="BT24" s="1665">
        <v>0</v>
      </c>
      <c r="BU24" s="1665">
        <v>73.97</v>
      </c>
      <c r="BV24" s="1665">
        <v>0</v>
      </c>
      <c r="BW24" s="1665">
        <v>0</v>
      </c>
      <c r="BX24" s="1665">
        <v>0</v>
      </c>
      <c r="BY24" s="1665">
        <v>0</v>
      </c>
      <c r="BZ24" s="1665">
        <v>0</v>
      </c>
      <c r="CA24" s="1663"/>
      <c r="CB24" s="1668"/>
      <c r="CC24" s="1668"/>
      <c r="CD24" s="1663"/>
      <c r="CE24" s="1663"/>
      <c r="CF24" s="1665">
        <v>0</v>
      </c>
      <c r="CG24" s="1665">
        <v>0</v>
      </c>
      <c r="CH24" s="1665">
        <v>0</v>
      </c>
      <c r="CI24" s="1665">
        <v>0</v>
      </c>
      <c r="CJ24" s="1665">
        <v>0</v>
      </c>
      <c r="CK24" s="1665">
        <v>0</v>
      </c>
      <c r="CL24" s="1668"/>
      <c r="CM24" s="1665">
        <v>0</v>
      </c>
      <c r="CN24" s="1665">
        <v>0</v>
      </c>
      <c r="CO24" s="1665">
        <v>0</v>
      </c>
      <c r="CP24" s="1665">
        <v>0</v>
      </c>
      <c r="CQ24" s="1665">
        <v>0</v>
      </c>
      <c r="CR24" s="1665">
        <v>0</v>
      </c>
      <c r="CS24" s="1665">
        <v>0</v>
      </c>
      <c r="CT24" s="1665">
        <v>0</v>
      </c>
      <c r="CU24" s="1665">
        <v>0</v>
      </c>
      <c r="CV24" s="1665">
        <v>0</v>
      </c>
      <c r="CW24" s="1668"/>
      <c r="CX24" s="1663"/>
      <c r="CY24" s="1663"/>
      <c r="CZ24" s="1663"/>
      <c r="DA24" s="1663"/>
      <c r="DB24" s="1668"/>
      <c r="DC24" s="1662"/>
      <c r="DD24" s="1665">
        <v>0</v>
      </c>
      <c r="DE24" s="1663"/>
      <c r="DF24" s="1663"/>
      <c r="DG24" s="1665">
        <v>0</v>
      </c>
      <c r="DH24" s="1665">
        <v>0</v>
      </c>
    </row>
    <row r="25" spans="1:112" ht="33.75" hidden="1" x14ac:dyDescent="0.25">
      <c r="A25" s="1662" t="s">
        <v>1734</v>
      </c>
      <c r="B25" s="1662" t="s">
        <v>1715</v>
      </c>
      <c r="C25" s="1662" t="s">
        <v>2609</v>
      </c>
      <c r="D25" s="1662" t="s">
        <v>2610</v>
      </c>
      <c r="E25" s="1662" t="s">
        <v>148</v>
      </c>
      <c r="F25" s="1662" t="s">
        <v>2611</v>
      </c>
      <c r="G25" s="1662" t="s">
        <v>2612</v>
      </c>
      <c r="H25" s="1662" t="s">
        <v>2613</v>
      </c>
      <c r="I25" s="1662" t="s">
        <v>1616</v>
      </c>
      <c r="J25" s="1662" t="s">
        <v>386</v>
      </c>
      <c r="K25" s="1662" t="s">
        <v>2126</v>
      </c>
      <c r="L25" s="1662" t="s">
        <v>2109</v>
      </c>
      <c r="M25" s="1665">
        <v>98949.56</v>
      </c>
      <c r="N25" s="1665">
        <v>0</v>
      </c>
      <c r="O25" s="1665">
        <v>98949.56</v>
      </c>
      <c r="P25" s="1665">
        <v>98949.56</v>
      </c>
      <c r="Q25" s="1665">
        <v>84107.13</v>
      </c>
      <c r="R25" s="1665">
        <v>84107.13</v>
      </c>
      <c r="S25" s="1665">
        <v>0</v>
      </c>
      <c r="T25" s="1665">
        <v>14842.43</v>
      </c>
      <c r="U25" s="1665">
        <v>0</v>
      </c>
      <c r="V25" s="1665">
        <v>14842.43</v>
      </c>
      <c r="W25" s="1665">
        <v>0</v>
      </c>
      <c r="X25" s="1665">
        <v>0</v>
      </c>
      <c r="Y25" s="1668"/>
      <c r="Z25" s="1662"/>
      <c r="AA25" s="1665">
        <v>0</v>
      </c>
      <c r="AB25" s="1665">
        <v>0</v>
      </c>
      <c r="AC25" s="1680">
        <v>0</v>
      </c>
      <c r="AD25" s="1681"/>
      <c r="AE25" s="1679"/>
      <c r="AF25" s="1662"/>
      <c r="AG25" s="1666"/>
      <c r="AH25" s="1667">
        <v>16879.400000000001</v>
      </c>
      <c r="AI25" s="1665">
        <v>16879.400000000001</v>
      </c>
      <c r="AJ25" s="1665">
        <v>14347.49</v>
      </c>
      <c r="AK25" s="1698">
        <v>14347.49</v>
      </c>
      <c r="AL25" s="1665">
        <v>0</v>
      </c>
      <c r="AM25" s="1668"/>
      <c r="AN25" s="1665">
        <v>16879.400000000001</v>
      </c>
      <c r="AO25" s="1665">
        <v>16879.400000000001</v>
      </c>
      <c r="AP25" s="1665">
        <v>14347.49</v>
      </c>
      <c r="AQ25" s="1665">
        <v>14347.49</v>
      </c>
      <c r="AR25" s="1665">
        <v>0</v>
      </c>
      <c r="AS25" s="1665">
        <v>2531.91</v>
      </c>
      <c r="AT25" s="1665">
        <v>0</v>
      </c>
      <c r="AU25" s="1665">
        <v>2531.91</v>
      </c>
      <c r="AV25" s="1665">
        <v>0</v>
      </c>
      <c r="AW25" s="1665">
        <v>0</v>
      </c>
      <c r="AX25" s="1665">
        <v>0</v>
      </c>
      <c r="AY25" s="1665">
        <v>0</v>
      </c>
      <c r="AZ25" s="1665">
        <v>0</v>
      </c>
      <c r="BA25" s="1668"/>
      <c r="BB25" s="1668"/>
      <c r="BC25" s="1665">
        <v>0</v>
      </c>
      <c r="BD25" s="1665">
        <v>0</v>
      </c>
      <c r="BE25" s="1665">
        <v>16879.400000000001</v>
      </c>
      <c r="BF25" s="1665">
        <v>16879.400000000001</v>
      </c>
      <c r="BG25" s="1665">
        <v>14347.49</v>
      </c>
      <c r="BH25" s="1665">
        <v>14347.49</v>
      </c>
      <c r="BI25" s="1665">
        <v>0</v>
      </c>
      <c r="BJ25" s="1665">
        <v>2531.91</v>
      </c>
      <c r="BK25" s="1665">
        <v>0</v>
      </c>
      <c r="BL25" s="1665">
        <v>2531.91</v>
      </c>
      <c r="BM25" s="1665">
        <v>0</v>
      </c>
      <c r="BN25" s="1665">
        <v>0</v>
      </c>
      <c r="BO25" s="1668"/>
      <c r="BP25" s="1665">
        <v>0</v>
      </c>
      <c r="BQ25" s="1665">
        <v>0</v>
      </c>
      <c r="BR25" s="1665">
        <v>0</v>
      </c>
      <c r="BS25" s="1667">
        <v>0</v>
      </c>
      <c r="BT25" s="1665">
        <v>0</v>
      </c>
      <c r="BU25" s="1665">
        <v>0</v>
      </c>
      <c r="BV25" s="1665">
        <v>0</v>
      </c>
      <c r="BW25" s="1665">
        <v>0</v>
      </c>
      <c r="BX25" s="1665">
        <v>0</v>
      </c>
      <c r="BY25" s="1665">
        <v>0</v>
      </c>
      <c r="BZ25" s="1663"/>
      <c r="CA25" s="1665">
        <v>0</v>
      </c>
      <c r="CB25" s="1668"/>
      <c r="CC25" s="1668"/>
      <c r="CD25" s="1665">
        <v>0</v>
      </c>
      <c r="CE25" s="1665">
        <v>0</v>
      </c>
      <c r="CF25" s="1665">
        <v>0</v>
      </c>
      <c r="CG25" s="1665">
        <v>0</v>
      </c>
      <c r="CH25" s="1665">
        <v>0</v>
      </c>
      <c r="CI25" s="1665">
        <v>0</v>
      </c>
      <c r="CJ25" s="1665">
        <v>0</v>
      </c>
      <c r="CK25" s="1665">
        <v>0</v>
      </c>
      <c r="CL25" s="1668"/>
      <c r="CM25" s="1665">
        <v>0</v>
      </c>
      <c r="CN25" s="1665">
        <v>0</v>
      </c>
      <c r="CO25" s="1665">
        <v>0</v>
      </c>
      <c r="CP25" s="1665">
        <v>0</v>
      </c>
      <c r="CQ25" s="1665">
        <v>0</v>
      </c>
      <c r="CR25" s="1665">
        <v>0</v>
      </c>
      <c r="CS25" s="1665">
        <v>0</v>
      </c>
      <c r="CT25" s="1665">
        <v>0</v>
      </c>
      <c r="CU25" s="1665">
        <v>0</v>
      </c>
      <c r="CV25" s="1665">
        <v>0</v>
      </c>
      <c r="CW25" s="1668"/>
      <c r="CX25" s="1665">
        <v>0</v>
      </c>
      <c r="CY25" s="1665">
        <v>0</v>
      </c>
      <c r="CZ25" s="1665">
        <v>0</v>
      </c>
      <c r="DA25" s="1665">
        <v>0</v>
      </c>
      <c r="DB25" s="1668"/>
      <c r="DC25" s="1662"/>
      <c r="DD25" s="1665">
        <v>0</v>
      </c>
      <c r="DE25" s="1665">
        <v>0</v>
      </c>
      <c r="DF25" s="1665">
        <v>0</v>
      </c>
      <c r="DG25" s="1665">
        <v>0</v>
      </c>
      <c r="DH25" s="1665">
        <v>0</v>
      </c>
    </row>
    <row r="26" spans="1:112" ht="33.75" hidden="1" x14ac:dyDescent="0.25">
      <c r="A26" s="1662" t="s">
        <v>1735</v>
      </c>
      <c r="B26" s="1662" t="s">
        <v>1715</v>
      </c>
      <c r="C26" s="1662" t="s">
        <v>2609</v>
      </c>
      <c r="D26" s="1662" t="s">
        <v>2610</v>
      </c>
      <c r="E26" s="1662" t="s">
        <v>148</v>
      </c>
      <c r="F26" s="1662" t="s">
        <v>2611</v>
      </c>
      <c r="G26" s="1662" t="s">
        <v>2612</v>
      </c>
      <c r="H26" s="1662" t="s">
        <v>2613</v>
      </c>
      <c r="I26" s="1662" t="s">
        <v>1616</v>
      </c>
      <c r="J26" s="1662" t="s">
        <v>386</v>
      </c>
      <c r="K26" s="1662" t="s">
        <v>2126</v>
      </c>
      <c r="L26" s="1662" t="s">
        <v>2109</v>
      </c>
      <c r="M26" s="1663"/>
      <c r="N26" s="1663"/>
      <c r="O26" s="1663"/>
      <c r="P26" s="1663"/>
      <c r="Q26" s="1663"/>
      <c r="R26" s="1663"/>
      <c r="S26" s="1663"/>
      <c r="T26" s="1663"/>
      <c r="U26" s="1663"/>
      <c r="V26" s="1663"/>
      <c r="W26" s="1663"/>
      <c r="X26" s="1663"/>
      <c r="Y26" s="1664">
        <v>43304</v>
      </c>
      <c r="Z26" s="1662" t="s">
        <v>2110</v>
      </c>
      <c r="AA26" s="1665">
        <v>0</v>
      </c>
      <c r="AB26" s="1665">
        <v>0</v>
      </c>
      <c r="AC26" s="1680">
        <v>0</v>
      </c>
      <c r="AD26" s="1682">
        <v>43378</v>
      </c>
      <c r="AE26" s="1679" t="s">
        <v>2122</v>
      </c>
      <c r="AF26" s="1662" t="s">
        <v>2115</v>
      </c>
      <c r="AG26" s="1666"/>
      <c r="AH26" s="1667">
        <v>16879.400000000001</v>
      </c>
      <c r="AI26" s="1665">
        <v>16879.400000000001</v>
      </c>
      <c r="AJ26" s="1665">
        <v>14347.49</v>
      </c>
      <c r="AK26" s="1698">
        <v>14347.49</v>
      </c>
      <c r="AL26" s="1665">
        <v>0</v>
      </c>
      <c r="AM26" s="1664">
        <v>43385</v>
      </c>
      <c r="AN26" s="1665">
        <v>16879.400000000001</v>
      </c>
      <c r="AO26" s="1665">
        <v>16879.400000000001</v>
      </c>
      <c r="AP26" s="1665">
        <v>14347.49</v>
      </c>
      <c r="AQ26" s="1665">
        <v>14347.49</v>
      </c>
      <c r="AR26" s="1665">
        <v>0</v>
      </c>
      <c r="AS26" s="1665">
        <v>2531.91</v>
      </c>
      <c r="AT26" s="1665">
        <v>0</v>
      </c>
      <c r="AU26" s="1665">
        <v>2531.91</v>
      </c>
      <c r="AV26" s="1665">
        <v>0</v>
      </c>
      <c r="AW26" s="1665">
        <v>0</v>
      </c>
      <c r="AX26" s="1663"/>
      <c r="AY26" s="1663"/>
      <c r="AZ26" s="1663"/>
      <c r="BA26" s="1668"/>
      <c r="BB26" s="1668"/>
      <c r="BC26" s="1663"/>
      <c r="BD26" s="1663"/>
      <c r="BE26" s="1665">
        <v>16879.400000000001</v>
      </c>
      <c r="BF26" s="1665">
        <v>16879.400000000001</v>
      </c>
      <c r="BG26" s="1665">
        <v>14347.49</v>
      </c>
      <c r="BH26" s="1665">
        <v>14347.49</v>
      </c>
      <c r="BI26" s="1665">
        <v>0</v>
      </c>
      <c r="BJ26" s="1665">
        <v>2531.91</v>
      </c>
      <c r="BK26" s="1665">
        <v>0</v>
      </c>
      <c r="BL26" s="1665">
        <v>2531.91</v>
      </c>
      <c r="BM26" s="1665">
        <v>0</v>
      </c>
      <c r="BN26" s="1665">
        <v>0</v>
      </c>
      <c r="BO26" s="1668"/>
      <c r="BP26" s="1665">
        <v>0</v>
      </c>
      <c r="BQ26" s="1665">
        <v>0</v>
      </c>
      <c r="BR26" s="1665">
        <v>0</v>
      </c>
      <c r="BS26" s="1667">
        <v>0</v>
      </c>
      <c r="BT26" s="1665">
        <v>0</v>
      </c>
      <c r="BU26" s="1665">
        <v>0</v>
      </c>
      <c r="BV26" s="1665">
        <v>0</v>
      </c>
      <c r="BW26" s="1665">
        <v>0</v>
      </c>
      <c r="BX26" s="1665">
        <v>0</v>
      </c>
      <c r="BY26" s="1665">
        <v>0</v>
      </c>
      <c r="BZ26" s="1663"/>
      <c r="CA26" s="1663"/>
      <c r="CB26" s="1668"/>
      <c r="CC26" s="1668"/>
      <c r="CD26" s="1663"/>
      <c r="CE26" s="1663"/>
      <c r="CF26" s="1665">
        <v>0</v>
      </c>
      <c r="CG26" s="1665">
        <v>0</v>
      </c>
      <c r="CH26" s="1665">
        <v>0</v>
      </c>
      <c r="CI26" s="1665">
        <v>0</v>
      </c>
      <c r="CJ26" s="1665">
        <v>0</v>
      </c>
      <c r="CK26" s="1665">
        <v>0</v>
      </c>
      <c r="CL26" s="1668"/>
      <c r="CM26" s="1665">
        <v>0</v>
      </c>
      <c r="CN26" s="1665">
        <v>0</v>
      </c>
      <c r="CO26" s="1665">
        <v>0</v>
      </c>
      <c r="CP26" s="1665">
        <v>0</v>
      </c>
      <c r="CQ26" s="1665">
        <v>0</v>
      </c>
      <c r="CR26" s="1665">
        <v>0</v>
      </c>
      <c r="CS26" s="1665">
        <v>0</v>
      </c>
      <c r="CT26" s="1665">
        <v>0</v>
      </c>
      <c r="CU26" s="1665">
        <v>0</v>
      </c>
      <c r="CV26" s="1665">
        <v>0</v>
      </c>
      <c r="CW26" s="1668"/>
      <c r="CX26" s="1663"/>
      <c r="CY26" s="1663"/>
      <c r="CZ26" s="1663"/>
      <c r="DA26" s="1663"/>
      <c r="DB26" s="1668"/>
      <c r="DC26" s="1662"/>
      <c r="DD26" s="1665">
        <v>0</v>
      </c>
      <c r="DE26" s="1663"/>
      <c r="DF26" s="1663"/>
      <c r="DG26" s="1665">
        <v>0</v>
      </c>
      <c r="DH26" s="1665">
        <v>0</v>
      </c>
    </row>
    <row r="27" spans="1:112" hidden="1" x14ac:dyDescent="0.25">
      <c r="A27" s="1662" t="s">
        <v>1736</v>
      </c>
      <c r="B27" s="1662" t="s">
        <v>1719</v>
      </c>
      <c r="C27" s="1662"/>
      <c r="D27" s="1662"/>
      <c r="E27" s="1662"/>
      <c r="F27" s="1662"/>
      <c r="G27" s="1662"/>
      <c r="H27" s="1662"/>
      <c r="I27" s="1662"/>
      <c r="J27" s="1662"/>
      <c r="K27" s="1662"/>
      <c r="L27" s="1662"/>
      <c r="M27" s="1665">
        <v>22309232.030000001</v>
      </c>
      <c r="N27" s="1665">
        <v>0</v>
      </c>
      <c r="O27" s="1665">
        <v>22309232.030000001</v>
      </c>
      <c r="P27" s="1665">
        <v>14907089.66</v>
      </c>
      <c r="Q27" s="1665">
        <v>14594758.550000001</v>
      </c>
      <c r="R27" s="1665">
        <v>14594758.550000001</v>
      </c>
      <c r="S27" s="1665">
        <v>0</v>
      </c>
      <c r="T27" s="1665">
        <v>7714473.4800000004</v>
      </c>
      <c r="U27" s="1665">
        <v>0</v>
      </c>
      <c r="V27" s="1665">
        <v>312331.11</v>
      </c>
      <c r="W27" s="1665">
        <v>0</v>
      </c>
      <c r="X27" s="1665">
        <v>7402142.3700000001</v>
      </c>
      <c r="Y27" s="1668"/>
      <c r="Z27" s="1662"/>
      <c r="AA27" s="1665">
        <v>503810.16</v>
      </c>
      <c r="AB27" s="1665">
        <v>503810.16</v>
      </c>
      <c r="AC27" s="1680">
        <v>0</v>
      </c>
      <c r="AD27" s="1681"/>
      <c r="AE27" s="1679"/>
      <c r="AF27" s="1662"/>
      <c r="AG27" s="1666"/>
      <c r="AH27" s="1667">
        <v>8058169.4400000004</v>
      </c>
      <c r="AI27" s="1665">
        <v>5346352.0199999996</v>
      </c>
      <c r="AJ27" s="1665">
        <v>4760023.2300000004</v>
      </c>
      <c r="AK27" s="1698">
        <v>4760023.2300000004</v>
      </c>
      <c r="AL27" s="1665">
        <v>0</v>
      </c>
      <c r="AM27" s="1668"/>
      <c r="AN27" s="1665">
        <v>6097065.6399999997</v>
      </c>
      <c r="AO27" s="1665">
        <v>3800674.43</v>
      </c>
      <c r="AP27" s="1665">
        <v>3718307.46</v>
      </c>
      <c r="AQ27" s="1665">
        <v>3718307.46</v>
      </c>
      <c r="AR27" s="1665">
        <v>0</v>
      </c>
      <c r="AS27" s="1665">
        <v>2378758.1800000002</v>
      </c>
      <c r="AT27" s="1665">
        <v>0</v>
      </c>
      <c r="AU27" s="1665">
        <v>82366.97</v>
      </c>
      <c r="AV27" s="1665">
        <v>0</v>
      </c>
      <c r="AW27" s="1665">
        <v>2296391.21</v>
      </c>
      <c r="AX27" s="1665">
        <v>0</v>
      </c>
      <c r="AY27" s="1665">
        <v>0</v>
      </c>
      <c r="AZ27" s="1665">
        <v>0</v>
      </c>
      <c r="BA27" s="1668"/>
      <c r="BB27" s="1668"/>
      <c r="BC27" s="1665">
        <v>0</v>
      </c>
      <c r="BD27" s="1665">
        <v>0</v>
      </c>
      <c r="BE27" s="1665">
        <v>6097065.6399999997</v>
      </c>
      <c r="BF27" s="1665">
        <v>3800674.43</v>
      </c>
      <c r="BG27" s="1665">
        <v>3718307.46</v>
      </c>
      <c r="BH27" s="1665">
        <v>3718307.46</v>
      </c>
      <c r="BI27" s="1665">
        <v>0</v>
      </c>
      <c r="BJ27" s="1665">
        <v>2378758.1800000002</v>
      </c>
      <c r="BK27" s="1665">
        <v>0</v>
      </c>
      <c r="BL27" s="1665">
        <v>82366.97</v>
      </c>
      <c r="BM27" s="1665">
        <v>0</v>
      </c>
      <c r="BN27" s="1665">
        <v>2296391.21</v>
      </c>
      <c r="BO27" s="1668"/>
      <c r="BP27" s="1665">
        <v>5180212.67</v>
      </c>
      <c r="BQ27" s="1665">
        <v>3124096.43</v>
      </c>
      <c r="BR27" s="1665">
        <v>3085739.99</v>
      </c>
      <c r="BS27" s="1667">
        <v>3085739.99</v>
      </c>
      <c r="BT27" s="1665">
        <v>0</v>
      </c>
      <c r="BU27" s="1665">
        <v>2094472.68</v>
      </c>
      <c r="BV27" s="1665">
        <v>0</v>
      </c>
      <c r="BW27" s="1665">
        <v>0</v>
      </c>
      <c r="BX27" s="1665">
        <v>0</v>
      </c>
      <c r="BY27" s="1665">
        <v>2056116.24</v>
      </c>
      <c r="BZ27" s="1665">
        <v>0</v>
      </c>
      <c r="CA27" s="1665">
        <v>0</v>
      </c>
      <c r="CB27" s="1668"/>
      <c r="CC27" s="1668"/>
      <c r="CD27" s="1665">
        <v>-221714.08</v>
      </c>
      <c r="CE27" s="1665">
        <v>-97875.55</v>
      </c>
      <c r="CF27" s="1665">
        <v>0</v>
      </c>
      <c r="CG27" s="1665">
        <v>0</v>
      </c>
      <c r="CH27" s="1665">
        <v>0</v>
      </c>
      <c r="CI27" s="1665">
        <v>0</v>
      </c>
      <c r="CJ27" s="1665">
        <v>1724.64</v>
      </c>
      <c r="CK27" s="1665">
        <v>1724.64</v>
      </c>
      <c r="CL27" s="1668"/>
      <c r="CM27" s="1665">
        <v>0</v>
      </c>
      <c r="CN27" s="1665">
        <v>0</v>
      </c>
      <c r="CO27" s="1665">
        <v>0</v>
      </c>
      <c r="CP27" s="1665">
        <v>0</v>
      </c>
      <c r="CQ27" s="1665">
        <v>0</v>
      </c>
      <c r="CR27" s="1665">
        <v>0</v>
      </c>
      <c r="CS27" s="1665">
        <v>0</v>
      </c>
      <c r="CT27" s="1665">
        <v>0</v>
      </c>
      <c r="CU27" s="1665">
        <v>0</v>
      </c>
      <c r="CV27" s="1665">
        <v>0</v>
      </c>
      <c r="CW27" s="1668"/>
      <c r="CX27" s="1665">
        <v>0</v>
      </c>
      <c r="CY27" s="1665">
        <v>0</v>
      </c>
      <c r="CZ27" s="1665">
        <v>0</v>
      </c>
      <c r="DA27" s="1665">
        <v>0</v>
      </c>
      <c r="DB27" s="1668"/>
      <c r="DC27" s="1662"/>
      <c r="DD27" s="1665">
        <v>0</v>
      </c>
      <c r="DE27" s="1665">
        <v>0</v>
      </c>
      <c r="DF27" s="1665">
        <v>0</v>
      </c>
      <c r="DG27" s="1665">
        <v>0</v>
      </c>
      <c r="DH27" s="1665">
        <v>0</v>
      </c>
    </row>
    <row r="28" spans="1:112" hidden="1" x14ac:dyDescent="0.25">
      <c r="A28" s="1662" t="s">
        <v>1738</v>
      </c>
      <c r="B28" s="1662" t="s">
        <v>1719</v>
      </c>
      <c r="C28" s="1662" t="s">
        <v>2614</v>
      </c>
      <c r="D28" s="1662"/>
      <c r="E28" s="1662"/>
      <c r="F28" s="1662"/>
      <c r="G28" s="1662"/>
      <c r="H28" s="1662"/>
      <c r="I28" s="1662"/>
      <c r="J28" s="1662"/>
      <c r="K28" s="1662"/>
      <c r="L28" s="1662"/>
      <c r="M28" s="1665">
        <v>2809404.09</v>
      </c>
      <c r="N28" s="1665">
        <v>0</v>
      </c>
      <c r="O28" s="1665">
        <v>2809404.09</v>
      </c>
      <c r="P28" s="1665">
        <v>2387993.48</v>
      </c>
      <c r="Q28" s="1665">
        <v>2387993.48</v>
      </c>
      <c r="R28" s="1665">
        <v>2387993.48</v>
      </c>
      <c r="S28" s="1665">
        <v>0</v>
      </c>
      <c r="T28" s="1665">
        <v>421410.61</v>
      </c>
      <c r="U28" s="1665">
        <v>0</v>
      </c>
      <c r="V28" s="1665">
        <v>0</v>
      </c>
      <c r="W28" s="1665">
        <v>0</v>
      </c>
      <c r="X28" s="1665">
        <v>421410.61</v>
      </c>
      <c r="Y28" s="1668"/>
      <c r="Z28" s="1662"/>
      <c r="AA28" s="1665">
        <v>0</v>
      </c>
      <c r="AB28" s="1665">
        <v>0</v>
      </c>
      <c r="AC28" s="1680">
        <v>0</v>
      </c>
      <c r="AD28" s="1681"/>
      <c r="AE28" s="1679"/>
      <c r="AF28" s="1662"/>
      <c r="AG28" s="1666"/>
      <c r="AH28" s="1667">
        <v>1079672.93</v>
      </c>
      <c r="AI28" s="1665">
        <v>917721.99</v>
      </c>
      <c r="AJ28" s="1665">
        <v>917721.99</v>
      </c>
      <c r="AK28" s="1698">
        <v>917721.99</v>
      </c>
      <c r="AL28" s="1665">
        <v>0</v>
      </c>
      <c r="AM28" s="1668"/>
      <c r="AN28" s="1665">
        <v>990062.68</v>
      </c>
      <c r="AO28" s="1665">
        <v>841553.27</v>
      </c>
      <c r="AP28" s="1665">
        <v>841553.27</v>
      </c>
      <c r="AQ28" s="1665">
        <v>841553.27</v>
      </c>
      <c r="AR28" s="1665">
        <v>0</v>
      </c>
      <c r="AS28" s="1665">
        <v>148509.41</v>
      </c>
      <c r="AT28" s="1665">
        <v>0</v>
      </c>
      <c r="AU28" s="1665">
        <v>0</v>
      </c>
      <c r="AV28" s="1665">
        <v>0</v>
      </c>
      <c r="AW28" s="1665">
        <v>148509.41</v>
      </c>
      <c r="AX28" s="1665">
        <v>0</v>
      </c>
      <c r="AY28" s="1665">
        <v>0</v>
      </c>
      <c r="AZ28" s="1665">
        <v>0</v>
      </c>
      <c r="BA28" s="1668"/>
      <c r="BB28" s="1668"/>
      <c r="BC28" s="1665">
        <v>0</v>
      </c>
      <c r="BD28" s="1665">
        <v>0</v>
      </c>
      <c r="BE28" s="1665">
        <v>990062.68</v>
      </c>
      <c r="BF28" s="1665">
        <v>841553.27</v>
      </c>
      <c r="BG28" s="1665">
        <v>841553.27</v>
      </c>
      <c r="BH28" s="1665">
        <v>841553.27</v>
      </c>
      <c r="BI28" s="1665">
        <v>0</v>
      </c>
      <c r="BJ28" s="1665">
        <v>148509.41</v>
      </c>
      <c r="BK28" s="1665">
        <v>0</v>
      </c>
      <c r="BL28" s="1665">
        <v>0</v>
      </c>
      <c r="BM28" s="1665">
        <v>0</v>
      </c>
      <c r="BN28" s="1665">
        <v>148509.41</v>
      </c>
      <c r="BO28" s="1668"/>
      <c r="BP28" s="1665">
        <v>950202.86</v>
      </c>
      <c r="BQ28" s="1665">
        <v>807672.44</v>
      </c>
      <c r="BR28" s="1665">
        <v>807672.44</v>
      </c>
      <c r="BS28" s="1667">
        <v>807672.44</v>
      </c>
      <c r="BT28" s="1665">
        <v>0</v>
      </c>
      <c r="BU28" s="1665">
        <v>142530.42000000001</v>
      </c>
      <c r="BV28" s="1665">
        <v>0</v>
      </c>
      <c r="BW28" s="1665">
        <v>0</v>
      </c>
      <c r="BX28" s="1665">
        <v>0</v>
      </c>
      <c r="BY28" s="1665">
        <v>142530.42000000001</v>
      </c>
      <c r="BZ28" s="1665">
        <v>0</v>
      </c>
      <c r="CA28" s="1665">
        <v>0</v>
      </c>
      <c r="CB28" s="1668"/>
      <c r="CC28" s="1668"/>
      <c r="CD28" s="1665">
        <v>0</v>
      </c>
      <c r="CE28" s="1665">
        <v>0</v>
      </c>
      <c r="CF28" s="1665">
        <v>0</v>
      </c>
      <c r="CG28" s="1665">
        <v>0</v>
      </c>
      <c r="CH28" s="1665">
        <v>0</v>
      </c>
      <c r="CI28" s="1665">
        <v>0</v>
      </c>
      <c r="CJ28" s="1665">
        <v>0</v>
      </c>
      <c r="CK28" s="1665">
        <v>0</v>
      </c>
      <c r="CL28" s="1668"/>
      <c r="CM28" s="1665">
        <v>0</v>
      </c>
      <c r="CN28" s="1665">
        <v>0</v>
      </c>
      <c r="CO28" s="1665">
        <v>0</v>
      </c>
      <c r="CP28" s="1665">
        <v>0</v>
      </c>
      <c r="CQ28" s="1665">
        <v>0</v>
      </c>
      <c r="CR28" s="1665">
        <v>0</v>
      </c>
      <c r="CS28" s="1665">
        <v>0</v>
      </c>
      <c r="CT28" s="1665">
        <v>0</v>
      </c>
      <c r="CU28" s="1665">
        <v>0</v>
      </c>
      <c r="CV28" s="1665">
        <v>0</v>
      </c>
      <c r="CW28" s="1668"/>
      <c r="CX28" s="1665">
        <v>0</v>
      </c>
      <c r="CY28" s="1665">
        <v>0</v>
      </c>
      <c r="CZ28" s="1665">
        <v>0</v>
      </c>
      <c r="DA28" s="1665">
        <v>0</v>
      </c>
      <c r="DB28" s="1668"/>
      <c r="DC28" s="1662"/>
      <c r="DD28" s="1665">
        <v>0</v>
      </c>
      <c r="DE28" s="1665">
        <v>0</v>
      </c>
      <c r="DF28" s="1665">
        <v>0</v>
      </c>
      <c r="DG28" s="1665">
        <v>0</v>
      </c>
      <c r="DH28" s="1665">
        <v>0</v>
      </c>
    </row>
    <row r="29" spans="1:112" hidden="1" x14ac:dyDescent="0.25">
      <c r="A29" s="1662" t="s">
        <v>1739</v>
      </c>
      <c r="B29" s="1662" t="s">
        <v>1719</v>
      </c>
      <c r="C29" s="1662" t="s">
        <v>2614</v>
      </c>
      <c r="D29" s="1662" t="s">
        <v>2615</v>
      </c>
      <c r="E29" s="1662"/>
      <c r="F29" s="1662"/>
      <c r="G29" s="1662"/>
      <c r="H29" s="1662"/>
      <c r="I29" s="1662"/>
      <c r="J29" s="1662"/>
      <c r="K29" s="1662"/>
      <c r="L29" s="1662"/>
      <c r="M29" s="1665">
        <v>2809404.09</v>
      </c>
      <c r="N29" s="1665">
        <v>0</v>
      </c>
      <c r="O29" s="1665">
        <v>2809404.09</v>
      </c>
      <c r="P29" s="1665">
        <v>2387993.48</v>
      </c>
      <c r="Q29" s="1665">
        <v>2387993.48</v>
      </c>
      <c r="R29" s="1665">
        <v>2387993.48</v>
      </c>
      <c r="S29" s="1665">
        <v>0</v>
      </c>
      <c r="T29" s="1665">
        <v>421410.61</v>
      </c>
      <c r="U29" s="1665">
        <v>0</v>
      </c>
      <c r="V29" s="1665">
        <v>0</v>
      </c>
      <c r="W29" s="1665">
        <v>0</v>
      </c>
      <c r="X29" s="1665">
        <v>421410.61</v>
      </c>
      <c r="Y29" s="1668"/>
      <c r="Z29" s="1662"/>
      <c r="AA29" s="1665">
        <v>0</v>
      </c>
      <c r="AB29" s="1665">
        <v>0</v>
      </c>
      <c r="AC29" s="1680">
        <v>0</v>
      </c>
      <c r="AD29" s="1681"/>
      <c r="AE29" s="1679"/>
      <c r="AF29" s="1662"/>
      <c r="AG29" s="1666"/>
      <c r="AH29" s="1667">
        <v>1079672.93</v>
      </c>
      <c r="AI29" s="1665">
        <v>917721.99</v>
      </c>
      <c r="AJ29" s="1665">
        <v>917721.99</v>
      </c>
      <c r="AK29" s="1698">
        <v>917721.99</v>
      </c>
      <c r="AL29" s="1665">
        <v>0</v>
      </c>
      <c r="AM29" s="1668"/>
      <c r="AN29" s="1665">
        <v>990062.68</v>
      </c>
      <c r="AO29" s="1665">
        <v>841553.27</v>
      </c>
      <c r="AP29" s="1665">
        <v>841553.27</v>
      </c>
      <c r="AQ29" s="1665">
        <v>841553.27</v>
      </c>
      <c r="AR29" s="1665">
        <v>0</v>
      </c>
      <c r="AS29" s="1665">
        <v>148509.41</v>
      </c>
      <c r="AT29" s="1665">
        <v>0</v>
      </c>
      <c r="AU29" s="1665">
        <v>0</v>
      </c>
      <c r="AV29" s="1665">
        <v>0</v>
      </c>
      <c r="AW29" s="1665">
        <v>148509.41</v>
      </c>
      <c r="AX29" s="1665">
        <v>0</v>
      </c>
      <c r="AY29" s="1665">
        <v>0</v>
      </c>
      <c r="AZ29" s="1665">
        <v>0</v>
      </c>
      <c r="BA29" s="1668"/>
      <c r="BB29" s="1668"/>
      <c r="BC29" s="1665">
        <v>0</v>
      </c>
      <c r="BD29" s="1665">
        <v>0</v>
      </c>
      <c r="BE29" s="1665">
        <v>990062.68</v>
      </c>
      <c r="BF29" s="1665">
        <v>841553.27</v>
      </c>
      <c r="BG29" s="1665">
        <v>841553.27</v>
      </c>
      <c r="BH29" s="1665">
        <v>841553.27</v>
      </c>
      <c r="BI29" s="1665">
        <v>0</v>
      </c>
      <c r="BJ29" s="1665">
        <v>148509.41</v>
      </c>
      <c r="BK29" s="1665">
        <v>0</v>
      </c>
      <c r="BL29" s="1665">
        <v>0</v>
      </c>
      <c r="BM29" s="1665">
        <v>0</v>
      </c>
      <c r="BN29" s="1665">
        <v>148509.41</v>
      </c>
      <c r="BO29" s="1668"/>
      <c r="BP29" s="1665">
        <v>950202.86</v>
      </c>
      <c r="BQ29" s="1665">
        <v>807672.44</v>
      </c>
      <c r="BR29" s="1665">
        <v>807672.44</v>
      </c>
      <c r="BS29" s="1667">
        <v>807672.44</v>
      </c>
      <c r="BT29" s="1665">
        <v>0</v>
      </c>
      <c r="BU29" s="1665">
        <v>142530.42000000001</v>
      </c>
      <c r="BV29" s="1665">
        <v>0</v>
      </c>
      <c r="BW29" s="1665">
        <v>0</v>
      </c>
      <c r="BX29" s="1665">
        <v>0</v>
      </c>
      <c r="BY29" s="1665">
        <v>142530.42000000001</v>
      </c>
      <c r="BZ29" s="1665">
        <v>0</v>
      </c>
      <c r="CA29" s="1665">
        <v>0</v>
      </c>
      <c r="CB29" s="1668"/>
      <c r="CC29" s="1668"/>
      <c r="CD29" s="1665">
        <v>0</v>
      </c>
      <c r="CE29" s="1665">
        <v>0</v>
      </c>
      <c r="CF29" s="1665">
        <v>0</v>
      </c>
      <c r="CG29" s="1665">
        <v>0</v>
      </c>
      <c r="CH29" s="1665">
        <v>0</v>
      </c>
      <c r="CI29" s="1665">
        <v>0</v>
      </c>
      <c r="CJ29" s="1665">
        <v>0</v>
      </c>
      <c r="CK29" s="1665">
        <v>0</v>
      </c>
      <c r="CL29" s="1668"/>
      <c r="CM29" s="1665">
        <v>0</v>
      </c>
      <c r="CN29" s="1665">
        <v>0</v>
      </c>
      <c r="CO29" s="1665">
        <v>0</v>
      </c>
      <c r="CP29" s="1665">
        <v>0</v>
      </c>
      <c r="CQ29" s="1665">
        <v>0</v>
      </c>
      <c r="CR29" s="1665">
        <v>0</v>
      </c>
      <c r="CS29" s="1665">
        <v>0</v>
      </c>
      <c r="CT29" s="1665">
        <v>0</v>
      </c>
      <c r="CU29" s="1665">
        <v>0</v>
      </c>
      <c r="CV29" s="1665">
        <v>0</v>
      </c>
      <c r="CW29" s="1668"/>
      <c r="CX29" s="1665">
        <v>0</v>
      </c>
      <c r="CY29" s="1665">
        <v>0</v>
      </c>
      <c r="CZ29" s="1665">
        <v>0</v>
      </c>
      <c r="DA29" s="1665">
        <v>0</v>
      </c>
      <c r="DB29" s="1668"/>
      <c r="DC29" s="1662"/>
      <c r="DD29" s="1665">
        <v>0</v>
      </c>
      <c r="DE29" s="1665">
        <v>0</v>
      </c>
      <c r="DF29" s="1665">
        <v>0</v>
      </c>
      <c r="DG29" s="1665">
        <v>0</v>
      </c>
      <c r="DH29" s="1665">
        <v>0</v>
      </c>
    </row>
    <row r="30" spans="1:112" ht="22.5" hidden="1" x14ac:dyDescent="0.25">
      <c r="A30" s="1662" t="s">
        <v>1741</v>
      </c>
      <c r="B30" s="1662" t="s">
        <v>1719</v>
      </c>
      <c r="C30" s="1662" t="s">
        <v>2614</v>
      </c>
      <c r="D30" s="1662" t="s">
        <v>2615</v>
      </c>
      <c r="E30" s="1662" t="s">
        <v>179</v>
      </c>
      <c r="F30" s="1662"/>
      <c r="G30" s="1662"/>
      <c r="H30" s="1662"/>
      <c r="I30" s="1662"/>
      <c r="J30" s="1662"/>
      <c r="K30" s="1662"/>
      <c r="L30" s="1662"/>
      <c r="M30" s="1665">
        <v>2809404.09</v>
      </c>
      <c r="N30" s="1665">
        <v>0</v>
      </c>
      <c r="O30" s="1665">
        <v>2809404.09</v>
      </c>
      <c r="P30" s="1665">
        <v>2387993.48</v>
      </c>
      <c r="Q30" s="1665">
        <v>2387993.48</v>
      </c>
      <c r="R30" s="1665">
        <v>2387993.48</v>
      </c>
      <c r="S30" s="1665">
        <v>0</v>
      </c>
      <c r="T30" s="1665">
        <v>421410.61</v>
      </c>
      <c r="U30" s="1665">
        <v>0</v>
      </c>
      <c r="V30" s="1665">
        <v>0</v>
      </c>
      <c r="W30" s="1665">
        <v>0</v>
      </c>
      <c r="X30" s="1665">
        <v>421410.61</v>
      </c>
      <c r="Y30" s="1668"/>
      <c r="Z30" s="1662"/>
      <c r="AA30" s="1665">
        <v>0</v>
      </c>
      <c r="AB30" s="1665">
        <v>0</v>
      </c>
      <c r="AC30" s="1680">
        <v>0</v>
      </c>
      <c r="AD30" s="1681"/>
      <c r="AE30" s="1679"/>
      <c r="AF30" s="1662"/>
      <c r="AG30" s="1666"/>
      <c r="AH30" s="1667">
        <v>1079672.93</v>
      </c>
      <c r="AI30" s="1665">
        <v>917721.99</v>
      </c>
      <c r="AJ30" s="1665">
        <v>917721.99</v>
      </c>
      <c r="AK30" s="1698">
        <v>917721.99</v>
      </c>
      <c r="AL30" s="1665">
        <v>0</v>
      </c>
      <c r="AM30" s="1668"/>
      <c r="AN30" s="1665">
        <v>990062.68</v>
      </c>
      <c r="AO30" s="1665">
        <v>841553.27</v>
      </c>
      <c r="AP30" s="1665">
        <v>841553.27</v>
      </c>
      <c r="AQ30" s="1665">
        <v>841553.27</v>
      </c>
      <c r="AR30" s="1665">
        <v>0</v>
      </c>
      <c r="AS30" s="1665">
        <v>148509.41</v>
      </c>
      <c r="AT30" s="1665">
        <v>0</v>
      </c>
      <c r="AU30" s="1665">
        <v>0</v>
      </c>
      <c r="AV30" s="1665">
        <v>0</v>
      </c>
      <c r="AW30" s="1665">
        <v>148509.41</v>
      </c>
      <c r="AX30" s="1665">
        <v>0</v>
      </c>
      <c r="AY30" s="1665">
        <v>0</v>
      </c>
      <c r="AZ30" s="1665">
        <v>0</v>
      </c>
      <c r="BA30" s="1668"/>
      <c r="BB30" s="1668"/>
      <c r="BC30" s="1665">
        <v>0</v>
      </c>
      <c r="BD30" s="1665">
        <v>0</v>
      </c>
      <c r="BE30" s="1665">
        <v>990062.68</v>
      </c>
      <c r="BF30" s="1665">
        <v>841553.27</v>
      </c>
      <c r="BG30" s="1665">
        <v>841553.27</v>
      </c>
      <c r="BH30" s="1665">
        <v>841553.27</v>
      </c>
      <c r="BI30" s="1665">
        <v>0</v>
      </c>
      <c r="BJ30" s="1665">
        <v>148509.41</v>
      </c>
      <c r="BK30" s="1665">
        <v>0</v>
      </c>
      <c r="BL30" s="1665">
        <v>0</v>
      </c>
      <c r="BM30" s="1665">
        <v>0</v>
      </c>
      <c r="BN30" s="1665">
        <v>148509.41</v>
      </c>
      <c r="BO30" s="1668"/>
      <c r="BP30" s="1665">
        <v>950202.86</v>
      </c>
      <c r="BQ30" s="1665">
        <v>807672.44</v>
      </c>
      <c r="BR30" s="1665">
        <v>807672.44</v>
      </c>
      <c r="BS30" s="1667">
        <v>807672.44</v>
      </c>
      <c r="BT30" s="1665">
        <v>0</v>
      </c>
      <c r="BU30" s="1665">
        <v>142530.42000000001</v>
      </c>
      <c r="BV30" s="1665">
        <v>0</v>
      </c>
      <c r="BW30" s="1665">
        <v>0</v>
      </c>
      <c r="BX30" s="1665">
        <v>0</v>
      </c>
      <c r="BY30" s="1665">
        <v>142530.42000000001</v>
      </c>
      <c r="BZ30" s="1665">
        <v>0</v>
      </c>
      <c r="CA30" s="1665">
        <v>0</v>
      </c>
      <c r="CB30" s="1668"/>
      <c r="CC30" s="1668"/>
      <c r="CD30" s="1665">
        <v>0</v>
      </c>
      <c r="CE30" s="1665">
        <v>0</v>
      </c>
      <c r="CF30" s="1665">
        <v>0</v>
      </c>
      <c r="CG30" s="1665">
        <v>0</v>
      </c>
      <c r="CH30" s="1665">
        <v>0</v>
      </c>
      <c r="CI30" s="1665">
        <v>0</v>
      </c>
      <c r="CJ30" s="1665">
        <v>0</v>
      </c>
      <c r="CK30" s="1665">
        <v>0</v>
      </c>
      <c r="CL30" s="1668"/>
      <c r="CM30" s="1665">
        <v>0</v>
      </c>
      <c r="CN30" s="1665">
        <v>0</v>
      </c>
      <c r="CO30" s="1665">
        <v>0</v>
      </c>
      <c r="CP30" s="1665">
        <v>0</v>
      </c>
      <c r="CQ30" s="1665">
        <v>0</v>
      </c>
      <c r="CR30" s="1665">
        <v>0</v>
      </c>
      <c r="CS30" s="1665">
        <v>0</v>
      </c>
      <c r="CT30" s="1665">
        <v>0</v>
      </c>
      <c r="CU30" s="1665">
        <v>0</v>
      </c>
      <c r="CV30" s="1665">
        <v>0</v>
      </c>
      <c r="CW30" s="1668"/>
      <c r="CX30" s="1665">
        <v>0</v>
      </c>
      <c r="CY30" s="1665">
        <v>0</v>
      </c>
      <c r="CZ30" s="1665">
        <v>0</v>
      </c>
      <c r="DA30" s="1665">
        <v>0</v>
      </c>
      <c r="DB30" s="1668"/>
      <c r="DC30" s="1662"/>
      <c r="DD30" s="1665">
        <v>0</v>
      </c>
      <c r="DE30" s="1665">
        <v>0</v>
      </c>
      <c r="DF30" s="1665">
        <v>0</v>
      </c>
      <c r="DG30" s="1665">
        <v>0</v>
      </c>
      <c r="DH30" s="1665">
        <v>0</v>
      </c>
    </row>
    <row r="31" spans="1:112" ht="33.75" hidden="1" x14ac:dyDescent="0.25">
      <c r="A31" s="1662" t="s">
        <v>1743</v>
      </c>
      <c r="B31" s="1662" t="s">
        <v>1719</v>
      </c>
      <c r="C31" s="1662" t="s">
        <v>2614</v>
      </c>
      <c r="D31" s="1662" t="s">
        <v>2615</v>
      </c>
      <c r="E31" s="1662" t="s">
        <v>179</v>
      </c>
      <c r="F31" s="1662" t="s">
        <v>2616</v>
      </c>
      <c r="G31" s="1662" t="s">
        <v>2617</v>
      </c>
      <c r="H31" s="1662" t="s">
        <v>2618</v>
      </c>
      <c r="I31" s="1662" t="s">
        <v>717</v>
      </c>
      <c r="J31" s="1662" t="s">
        <v>307</v>
      </c>
      <c r="K31" s="1662" t="s">
        <v>2127</v>
      </c>
      <c r="L31" s="1662" t="s">
        <v>2109</v>
      </c>
      <c r="M31" s="1665">
        <v>2809404.09</v>
      </c>
      <c r="N31" s="1665">
        <v>0</v>
      </c>
      <c r="O31" s="1665">
        <v>2809404.09</v>
      </c>
      <c r="P31" s="1665">
        <v>2387993.48</v>
      </c>
      <c r="Q31" s="1665">
        <v>2387993.48</v>
      </c>
      <c r="R31" s="1665">
        <v>2387993.48</v>
      </c>
      <c r="S31" s="1665">
        <v>0</v>
      </c>
      <c r="T31" s="1665">
        <v>421410.61</v>
      </c>
      <c r="U31" s="1665">
        <v>0</v>
      </c>
      <c r="V31" s="1665">
        <v>0</v>
      </c>
      <c r="W31" s="1665">
        <v>0</v>
      </c>
      <c r="X31" s="1665">
        <v>421410.61</v>
      </c>
      <c r="Y31" s="1668"/>
      <c r="Z31" s="1662"/>
      <c r="AA31" s="1665">
        <v>0</v>
      </c>
      <c r="AB31" s="1665">
        <v>0</v>
      </c>
      <c r="AC31" s="1680">
        <v>0</v>
      </c>
      <c r="AD31" s="1681"/>
      <c r="AE31" s="1679"/>
      <c r="AF31" s="1662"/>
      <c r="AG31" s="1666"/>
      <c r="AH31" s="1667">
        <v>1079672.93</v>
      </c>
      <c r="AI31" s="1665">
        <v>917721.99</v>
      </c>
      <c r="AJ31" s="1665">
        <v>917721.99</v>
      </c>
      <c r="AK31" s="1698">
        <v>917721.99</v>
      </c>
      <c r="AL31" s="1665">
        <v>0</v>
      </c>
      <c r="AM31" s="1668"/>
      <c r="AN31" s="1665">
        <v>990062.68</v>
      </c>
      <c r="AO31" s="1665">
        <v>841553.27</v>
      </c>
      <c r="AP31" s="1665">
        <v>841553.27</v>
      </c>
      <c r="AQ31" s="1665">
        <v>841553.27</v>
      </c>
      <c r="AR31" s="1665">
        <v>0</v>
      </c>
      <c r="AS31" s="1665">
        <v>148509.41</v>
      </c>
      <c r="AT31" s="1665">
        <v>0</v>
      </c>
      <c r="AU31" s="1665">
        <v>0</v>
      </c>
      <c r="AV31" s="1665">
        <v>0</v>
      </c>
      <c r="AW31" s="1665">
        <v>148509.41</v>
      </c>
      <c r="AX31" s="1665">
        <v>0</v>
      </c>
      <c r="AY31" s="1665">
        <v>0</v>
      </c>
      <c r="AZ31" s="1665">
        <v>0</v>
      </c>
      <c r="BA31" s="1668"/>
      <c r="BB31" s="1668"/>
      <c r="BC31" s="1665">
        <v>0</v>
      </c>
      <c r="BD31" s="1665">
        <v>0</v>
      </c>
      <c r="BE31" s="1665">
        <v>990062.68</v>
      </c>
      <c r="BF31" s="1665">
        <v>841553.27</v>
      </c>
      <c r="BG31" s="1665">
        <v>841553.27</v>
      </c>
      <c r="BH31" s="1665">
        <v>841553.27</v>
      </c>
      <c r="BI31" s="1665">
        <v>0</v>
      </c>
      <c r="BJ31" s="1665">
        <v>148509.41</v>
      </c>
      <c r="BK31" s="1665">
        <v>0</v>
      </c>
      <c r="BL31" s="1665">
        <v>0</v>
      </c>
      <c r="BM31" s="1665">
        <v>0</v>
      </c>
      <c r="BN31" s="1665">
        <v>148509.41</v>
      </c>
      <c r="BO31" s="1668"/>
      <c r="BP31" s="1665">
        <v>950202.86</v>
      </c>
      <c r="BQ31" s="1665">
        <v>807672.44</v>
      </c>
      <c r="BR31" s="1665">
        <v>807672.44</v>
      </c>
      <c r="BS31" s="1667">
        <v>807672.44</v>
      </c>
      <c r="BT31" s="1665">
        <v>0</v>
      </c>
      <c r="BU31" s="1665">
        <v>142530.42000000001</v>
      </c>
      <c r="BV31" s="1665">
        <v>0</v>
      </c>
      <c r="BW31" s="1665">
        <v>0</v>
      </c>
      <c r="BX31" s="1665">
        <v>0</v>
      </c>
      <c r="BY31" s="1665">
        <v>142530.42000000001</v>
      </c>
      <c r="BZ31" s="1665">
        <v>0</v>
      </c>
      <c r="CA31" s="1665">
        <v>0</v>
      </c>
      <c r="CB31" s="1668"/>
      <c r="CC31" s="1668"/>
      <c r="CD31" s="1665">
        <v>0</v>
      </c>
      <c r="CE31" s="1665">
        <v>0</v>
      </c>
      <c r="CF31" s="1665">
        <v>0</v>
      </c>
      <c r="CG31" s="1665">
        <v>0</v>
      </c>
      <c r="CH31" s="1665">
        <v>0</v>
      </c>
      <c r="CI31" s="1665">
        <v>0</v>
      </c>
      <c r="CJ31" s="1665">
        <v>0</v>
      </c>
      <c r="CK31" s="1665">
        <v>0</v>
      </c>
      <c r="CL31" s="1668"/>
      <c r="CM31" s="1665">
        <v>0</v>
      </c>
      <c r="CN31" s="1665">
        <v>0</v>
      </c>
      <c r="CO31" s="1665">
        <v>0</v>
      </c>
      <c r="CP31" s="1665">
        <v>0</v>
      </c>
      <c r="CQ31" s="1665">
        <v>0</v>
      </c>
      <c r="CR31" s="1665">
        <v>0</v>
      </c>
      <c r="CS31" s="1665">
        <v>0</v>
      </c>
      <c r="CT31" s="1665">
        <v>0</v>
      </c>
      <c r="CU31" s="1665">
        <v>0</v>
      </c>
      <c r="CV31" s="1665">
        <v>0</v>
      </c>
      <c r="CW31" s="1668"/>
      <c r="CX31" s="1665">
        <v>0</v>
      </c>
      <c r="CY31" s="1665">
        <v>0</v>
      </c>
      <c r="CZ31" s="1665">
        <v>0</v>
      </c>
      <c r="DA31" s="1665">
        <v>0</v>
      </c>
      <c r="DB31" s="1668"/>
      <c r="DC31" s="1662"/>
      <c r="DD31" s="1665">
        <v>0</v>
      </c>
      <c r="DE31" s="1665">
        <v>0</v>
      </c>
      <c r="DF31" s="1665">
        <v>0</v>
      </c>
      <c r="DG31" s="1665">
        <v>0</v>
      </c>
      <c r="DH31" s="1665">
        <v>0</v>
      </c>
    </row>
    <row r="32" spans="1:112" ht="33.75" hidden="1" x14ac:dyDescent="0.25">
      <c r="A32" s="1662" t="s">
        <v>1744</v>
      </c>
      <c r="B32" s="1662" t="s">
        <v>1719</v>
      </c>
      <c r="C32" s="1662" t="s">
        <v>2614</v>
      </c>
      <c r="D32" s="1662" t="s">
        <v>2615</v>
      </c>
      <c r="E32" s="1662" t="s">
        <v>179</v>
      </c>
      <c r="F32" s="1662" t="s">
        <v>2616</v>
      </c>
      <c r="G32" s="1662" t="s">
        <v>2617</v>
      </c>
      <c r="H32" s="1662" t="s">
        <v>2618</v>
      </c>
      <c r="I32" s="1662" t="s">
        <v>717</v>
      </c>
      <c r="J32" s="1662" t="s">
        <v>307</v>
      </c>
      <c r="K32" s="1662" t="s">
        <v>2127</v>
      </c>
      <c r="L32" s="1662" t="s">
        <v>2109</v>
      </c>
      <c r="M32" s="1663"/>
      <c r="N32" s="1663"/>
      <c r="O32" s="1663"/>
      <c r="P32" s="1663"/>
      <c r="Q32" s="1663"/>
      <c r="R32" s="1663"/>
      <c r="S32" s="1663"/>
      <c r="T32" s="1663"/>
      <c r="U32" s="1663"/>
      <c r="V32" s="1663"/>
      <c r="W32" s="1663"/>
      <c r="X32" s="1663"/>
      <c r="Y32" s="1664">
        <v>42858</v>
      </c>
      <c r="Z32" s="1662" t="s">
        <v>2110</v>
      </c>
      <c r="AA32" s="1665">
        <v>0</v>
      </c>
      <c r="AB32" s="1665">
        <v>0</v>
      </c>
      <c r="AC32" s="1680">
        <v>0</v>
      </c>
      <c r="AD32" s="1682">
        <v>42906</v>
      </c>
      <c r="AE32" s="1679" t="s">
        <v>2122</v>
      </c>
      <c r="AF32" s="1662" t="s">
        <v>2115</v>
      </c>
      <c r="AG32" s="1666"/>
      <c r="AH32" s="1667">
        <v>79061.600000000006</v>
      </c>
      <c r="AI32" s="1665">
        <v>67202.36</v>
      </c>
      <c r="AJ32" s="1665">
        <v>67202.36</v>
      </c>
      <c r="AK32" s="1698">
        <v>67202.36</v>
      </c>
      <c r="AL32" s="1665">
        <v>0</v>
      </c>
      <c r="AM32" s="1664">
        <v>42907</v>
      </c>
      <c r="AN32" s="1665">
        <v>79061.600000000006</v>
      </c>
      <c r="AO32" s="1665">
        <v>67202.36</v>
      </c>
      <c r="AP32" s="1665">
        <v>67202.36</v>
      </c>
      <c r="AQ32" s="1665">
        <v>67202.36</v>
      </c>
      <c r="AR32" s="1665">
        <v>0</v>
      </c>
      <c r="AS32" s="1665">
        <v>11859.24</v>
      </c>
      <c r="AT32" s="1665">
        <v>0</v>
      </c>
      <c r="AU32" s="1665">
        <v>0</v>
      </c>
      <c r="AV32" s="1665">
        <v>0</v>
      </c>
      <c r="AW32" s="1665">
        <v>11859.24</v>
      </c>
      <c r="AX32" s="1663"/>
      <c r="AY32" s="1663"/>
      <c r="AZ32" s="1663"/>
      <c r="BA32" s="1668"/>
      <c r="BB32" s="1668"/>
      <c r="BC32" s="1663"/>
      <c r="BD32" s="1663"/>
      <c r="BE32" s="1665">
        <v>79061.600000000006</v>
      </c>
      <c r="BF32" s="1665">
        <v>67202.36</v>
      </c>
      <c r="BG32" s="1665">
        <v>67202.36</v>
      </c>
      <c r="BH32" s="1665">
        <v>67202.36</v>
      </c>
      <c r="BI32" s="1665">
        <v>0</v>
      </c>
      <c r="BJ32" s="1665">
        <v>11859.24</v>
      </c>
      <c r="BK32" s="1665">
        <v>0</v>
      </c>
      <c r="BL32" s="1665">
        <v>0</v>
      </c>
      <c r="BM32" s="1665">
        <v>0</v>
      </c>
      <c r="BN32" s="1665">
        <v>11859.24</v>
      </c>
      <c r="BO32" s="1664">
        <v>42991</v>
      </c>
      <c r="BP32" s="1665">
        <v>79061.600000000006</v>
      </c>
      <c r="BQ32" s="1665">
        <v>67202.36</v>
      </c>
      <c r="BR32" s="1665">
        <v>67202.36</v>
      </c>
      <c r="BS32" s="1667">
        <v>67202.36</v>
      </c>
      <c r="BT32" s="1665">
        <v>0</v>
      </c>
      <c r="BU32" s="1665">
        <v>11859.24</v>
      </c>
      <c r="BV32" s="1665">
        <v>0</v>
      </c>
      <c r="BW32" s="1665">
        <v>0</v>
      </c>
      <c r="BX32" s="1665">
        <v>0</v>
      </c>
      <c r="BY32" s="1665">
        <v>11859.24</v>
      </c>
      <c r="BZ32" s="1665">
        <v>0</v>
      </c>
      <c r="CA32" s="1663"/>
      <c r="CB32" s="1668"/>
      <c r="CC32" s="1668"/>
      <c r="CD32" s="1663"/>
      <c r="CE32" s="1663"/>
      <c r="CF32" s="1665">
        <v>0</v>
      </c>
      <c r="CG32" s="1665">
        <v>0</v>
      </c>
      <c r="CH32" s="1665">
        <v>0</v>
      </c>
      <c r="CI32" s="1665">
        <v>0</v>
      </c>
      <c r="CJ32" s="1665">
        <v>0</v>
      </c>
      <c r="CK32" s="1665">
        <v>0</v>
      </c>
      <c r="CL32" s="1668"/>
      <c r="CM32" s="1665">
        <v>0</v>
      </c>
      <c r="CN32" s="1665">
        <v>0</v>
      </c>
      <c r="CO32" s="1665">
        <v>0</v>
      </c>
      <c r="CP32" s="1665">
        <v>0</v>
      </c>
      <c r="CQ32" s="1665">
        <v>0</v>
      </c>
      <c r="CR32" s="1665">
        <v>0</v>
      </c>
      <c r="CS32" s="1665">
        <v>0</v>
      </c>
      <c r="CT32" s="1665">
        <v>0</v>
      </c>
      <c r="CU32" s="1665">
        <v>0</v>
      </c>
      <c r="CV32" s="1665">
        <v>0</v>
      </c>
      <c r="CW32" s="1668"/>
      <c r="CX32" s="1663"/>
      <c r="CY32" s="1663"/>
      <c r="CZ32" s="1663"/>
      <c r="DA32" s="1663"/>
      <c r="DB32" s="1668"/>
      <c r="DC32" s="1662"/>
      <c r="DD32" s="1665">
        <v>0</v>
      </c>
      <c r="DE32" s="1663"/>
      <c r="DF32" s="1663"/>
      <c r="DG32" s="1665">
        <v>0</v>
      </c>
      <c r="DH32" s="1665">
        <v>0</v>
      </c>
    </row>
    <row r="33" spans="1:112" ht="33.75" hidden="1" x14ac:dyDescent="0.25">
      <c r="A33" s="1662" t="s">
        <v>1745</v>
      </c>
      <c r="B33" s="1662" t="s">
        <v>1719</v>
      </c>
      <c r="C33" s="1662" t="s">
        <v>2614</v>
      </c>
      <c r="D33" s="1662" t="s">
        <v>2615</v>
      </c>
      <c r="E33" s="1662" t="s">
        <v>179</v>
      </c>
      <c r="F33" s="1662" t="s">
        <v>2616</v>
      </c>
      <c r="G33" s="1662" t="s">
        <v>2617</v>
      </c>
      <c r="H33" s="1662" t="s">
        <v>2618</v>
      </c>
      <c r="I33" s="1662" t="s">
        <v>717</v>
      </c>
      <c r="J33" s="1662" t="s">
        <v>307</v>
      </c>
      <c r="K33" s="1662" t="s">
        <v>2127</v>
      </c>
      <c r="L33" s="1662" t="s">
        <v>2109</v>
      </c>
      <c r="M33" s="1663"/>
      <c r="N33" s="1663"/>
      <c r="O33" s="1663"/>
      <c r="P33" s="1663"/>
      <c r="Q33" s="1663"/>
      <c r="R33" s="1663"/>
      <c r="S33" s="1663"/>
      <c r="T33" s="1663"/>
      <c r="U33" s="1663"/>
      <c r="V33" s="1663"/>
      <c r="W33" s="1663"/>
      <c r="X33" s="1663"/>
      <c r="Y33" s="1664">
        <v>42929</v>
      </c>
      <c r="Z33" s="1662" t="s">
        <v>2110</v>
      </c>
      <c r="AA33" s="1665">
        <v>0</v>
      </c>
      <c r="AB33" s="1665">
        <v>0</v>
      </c>
      <c r="AC33" s="1680">
        <v>0</v>
      </c>
      <c r="AD33" s="1682">
        <v>42949</v>
      </c>
      <c r="AE33" s="1679" t="s">
        <v>2111</v>
      </c>
      <c r="AF33" s="1662" t="s">
        <v>2115</v>
      </c>
      <c r="AG33" s="1666"/>
      <c r="AH33" s="1667">
        <v>137792.87</v>
      </c>
      <c r="AI33" s="1665">
        <v>117123.94</v>
      </c>
      <c r="AJ33" s="1665">
        <v>117123.94</v>
      </c>
      <c r="AK33" s="1698">
        <v>117123.94</v>
      </c>
      <c r="AL33" s="1665">
        <v>0</v>
      </c>
      <c r="AM33" s="1664">
        <v>42951</v>
      </c>
      <c r="AN33" s="1665">
        <v>137792.87</v>
      </c>
      <c r="AO33" s="1665">
        <v>117123.94</v>
      </c>
      <c r="AP33" s="1665">
        <v>117123.94</v>
      </c>
      <c r="AQ33" s="1665">
        <v>117123.94</v>
      </c>
      <c r="AR33" s="1665">
        <v>0</v>
      </c>
      <c r="AS33" s="1665">
        <v>20668.93</v>
      </c>
      <c r="AT33" s="1665">
        <v>0</v>
      </c>
      <c r="AU33" s="1665">
        <v>0</v>
      </c>
      <c r="AV33" s="1665">
        <v>0</v>
      </c>
      <c r="AW33" s="1665">
        <v>20668.93</v>
      </c>
      <c r="AX33" s="1663"/>
      <c r="AY33" s="1663"/>
      <c r="AZ33" s="1663"/>
      <c r="BA33" s="1668"/>
      <c r="BB33" s="1668"/>
      <c r="BC33" s="1663"/>
      <c r="BD33" s="1663"/>
      <c r="BE33" s="1665">
        <v>137792.87</v>
      </c>
      <c r="BF33" s="1665">
        <v>117123.94</v>
      </c>
      <c r="BG33" s="1665">
        <v>117123.94</v>
      </c>
      <c r="BH33" s="1665">
        <v>117123.94</v>
      </c>
      <c r="BI33" s="1665">
        <v>0</v>
      </c>
      <c r="BJ33" s="1665">
        <v>20668.93</v>
      </c>
      <c r="BK33" s="1665">
        <v>0</v>
      </c>
      <c r="BL33" s="1665">
        <v>0</v>
      </c>
      <c r="BM33" s="1665">
        <v>0</v>
      </c>
      <c r="BN33" s="1665">
        <v>20668.93</v>
      </c>
      <c r="BO33" s="1664">
        <v>43035</v>
      </c>
      <c r="BP33" s="1665">
        <v>137792.87</v>
      </c>
      <c r="BQ33" s="1665">
        <v>117123.94</v>
      </c>
      <c r="BR33" s="1665">
        <v>117123.94</v>
      </c>
      <c r="BS33" s="1667">
        <v>117123.94</v>
      </c>
      <c r="BT33" s="1665">
        <v>0</v>
      </c>
      <c r="BU33" s="1665">
        <v>20668.93</v>
      </c>
      <c r="BV33" s="1665">
        <v>0</v>
      </c>
      <c r="BW33" s="1665">
        <v>0</v>
      </c>
      <c r="BX33" s="1665">
        <v>0</v>
      </c>
      <c r="BY33" s="1665">
        <v>20668.93</v>
      </c>
      <c r="BZ33" s="1665">
        <v>0</v>
      </c>
      <c r="CA33" s="1663"/>
      <c r="CB33" s="1668"/>
      <c r="CC33" s="1668"/>
      <c r="CD33" s="1663"/>
      <c r="CE33" s="1663"/>
      <c r="CF33" s="1665">
        <v>0</v>
      </c>
      <c r="CG33" s="1665">
        <v>0</v>
      </c>
      <c r="CH33" s="1665">
        <v>0</v>
      </c>
      <c r="CI33" s="1665">
        <v>0</v>
      </c>
      <c r="CJ33" s="1665">
        <v>0</v>
      </c>
      <c r="CK33" s="1665">
        <v>0</v>
      </c>
      <c r="CL33" s="1668"/>
      <c r="CM33" s="1665">
        <v>0</v>
      </c>
      <c r="CN33" s="1665">
        <v>0</v>
      </c>
      <c r="CO33" s="1665">
        <v>0</v>
      </c>
      <c r="CP33" s="1665">
        <v>0</v>
      </c>
      <c r="CQ33" s="1665">
        <v>0</v>
      </c>
      <c r="CR33" s="1665">
        <v>0</v>
      </c>
      <c r="CS33" s="1665">
        <v>0</v>
      </c>
      <c r="CT33" s="1665">
        <v>0</v>
      </c>
      <c r="CU33" s="1665">
        <v>0</v>
      </c>
      <c r="CV33" s="1665">
        <v>0</v>
      </c>
      <c r="CW33" s="1668"/>
      <c r="CX33" s="1663"/>
      <c r="CY33" s="1663"/>
      <c r="CZ33" s="1663"/>
      <c r="DA33" s="1663"/>
      <c r="DB33" s="1668"/>
      <c r="DC33" s="1662"/>
      <c r="DD33" s="1665">
        <v>0</v>
      </c>
      <c r="DE33" s="1663"/>
      <c r="DF33" s="1663"/>
      <c r="DG33" s="1665">
        <v>0</v>
      </c>
      <c r="DH33" s="1665">
        <v>0</v>
      </c>
    </row>
    <row r="34" spans="1:112" ht="33.75" hidden="1" x14ac:dyDescent="0.25">
      <c r="A34" s="1662" t="s">
        <v>1746</v>
      </c>
      <c r="B34" s="1662" t="s">
        <v>1719</v>
      </c>
      <c r="C34" s="1662" t="s">
        <v>2614</v>
      </c>
      <c r="D34" s="1662" t="s">
        <v>2615</v>
      </c>
      <c r="E34" s="1662" t="s">
        <v>179</v>
      </c>
      <c r="F34" s="1662" t="s">
        <v>2616</v>
      </c>
      <c r="G34" s="1662" t="s">
        <v>2617</v>
      </c>
      <c r="H34" s="1662" t="s">
        <v>2618</v>
      </c>
      <c r="I34" s="1662" t="s">
        <v>717</v>
      </c>
      <c r="J34" s="1662" t="s">
        <v>307</v>
      </c>
      <c r="K34" s="1662" t="s">
        <v>2127</v>
      </c>
      <c r="L34" s="1662" t="s">
        <v>2109</v>
      </c>
      <c r="M34" s="1663"/>
      <c r="N34" s="1663"/>
      <c r="O34" s="1663"/>
      <c r="P34" s="1663"/>
      <c r="Q34" s="1663"/>
      <c r="R34" s="1663"/>
      <c r="S34" s="1663"/>
      <c r="T34" s="1663"/>
      <c r="U34" s="1663"/>
      <c r="V34" s="1663"/>
      <c r="W34" s="1663"/>
      <c r="X34" s="1663"/>
      <c r="Y34" s="1664">
        <v>42992</v>
      </c>
      <c r="Z34" s="1662" t="s">
        <v>2110</v>
      </c>
      <c r="AA34" s="1665">
        <v>0</v>
      </c>
      <c r="AB34" s="1665">
        <v>0</v>
      </c>
      <c r="AC34" s="1680">
        <v>0</v>
      </c>
      <c r="AD34" s="1682">
        <v>43013</v>
      </c>
      <c r="AE34" s="1679" t="s">
        <v>2114</v>
      </c>
      <c r="AF34" s="1662" t="s">
        <v>2115</v>
      </c>
      <c r="AG34" s="1666"/>
      <c r="AH34" s="1667">
        <v>465769.76</v>
      </c>
      <c r="AI34" s="1665">
        <v>395904.3</v>
      </c>
      <c r="AJ34" s="1665">
        <v>395904.3</v>
      </c>
      <c r="AK34" s="1698">
        <v>395904.3</v>
      </c>
      <c r="AL34" s="1665">
        <v>0</v>
      </c>
      <c r="AM34" s="1664">
        <v>43014</v>
      </c>
      <c r="AN34" s="1665">
        <v>465769.76</v>
      </c>
      <c r="AO34" s="1665">
        <v>395904.3</v>
      </c>
      <c r="AP34" s="1665">
        <v>395904.3</v>
      </c>
      <c r="AQ34" s="1665">
        <v>395904.3</v>
      </c>
      <c r="AR34" s="1665">
        <v>0</v>
      </c>
      <c r="AS34" s="1665">
        <v>69865.460000000006</v>
      </c>
      <c r="AT34" s="1665">
        <v>0</v>
      </c>
      <c r="AU34" s="1665">
        <v>0</v>
      </c>
      <c r="AV34" s="1665">
        <v>0</v>
      </c>
      <c r="AW34" s="1665">
        <v>69865.460000000006</v>
      </c>
      <c r="AX34" s="1663"/>
      <c r="AY34" s="1663"/>
      <c r="AZ34" s="1663"/>
      <c r="BA34" s="1668"/>
      <c r="BB34" s="1668"/>
      <c r="BC34" s="1663"/>
      <c r="BD34" s="1663"/>
      <c r="BE34" s="1665">
        <v>465769.76</v>
      </c>
      <c r="BF34" s="1665">
        <v>395904.3</v>
      </c>
      <c r="BG34" s="1665">
        <v>395904.3</v>
      </c>
      <c r="BH34" s="1665">
        <v>395904.3</v>
      </c>
      <c r="BI34" s="1665">
        <v>0</v>
      </c>
      <c r="BJ34" s="1665">
        <v>69865.460000000006</v>
      </c>
      <c r="BK34" s="1665">
        <v>0</v>
      </c>
      <c r="BL34" s="1665">
        <v>0</v>
      </c>
      <c r="BM34" s="1665">
        <v>0</v>
      </c>
      <c r="BN34" s="1665">
        <v>69865.460000000006</v>
      </c>
      <c r="BO34" s="1664">
        <v>43125</v>
      </c>
      <c r="BP34" s="1665">
        <v>465769.76</v>
      </c>
      <c r="BQ34" s="1665">
        <v>395904.3</v>
      </c>
      <c r="BR34" s="1665">
        <v>395904.3</v>
      </c>
      <c r="BS34" s="1667">
        <v>395904.3</v>
      </c>
      <c r="BT34" s="1665">
        <v>0</v>
      </c>
      <c r="BU34" s="1665">
        <v>69865.460000000006</v>
      </c>
      <c r="BV34" s="1665">
        <v>0</v>
      </c>
      <c r="BW34" s="1665">
        <v>0</v>
      </c>
      <c r="BX34" s="1665">
        <v>0</v>
      </c>
      <c r="BY34" s="1665">
        <v>69865.460000000006</v>
      </c>
      <c r="BZ34" s="1665">
        <v>0</v>
      </c>
      <c r="CA34" s="1663"/>
      <c r="CB34" s="1668"/>
      <c r="CC34" s="1668"/>
      <c r="CD34" s="1663"/>
      <c r="CE34" s="1663"/>
      <c r="CF34" s="1665">
        <v>0</v>
      </c>
      <c r="CG34" s="1665">
        <v>0</v>
      </c>
      <c r="CH34" s="1665">
        <v>0</v>
      </c>
      <c r="CI34" s="1665">
        <v>0</v>
      </c>
      <c r="CJ34" s="1665">
        <v>0</v>
      </c>
      <c r="CK34" s="1665">
        <v>0</v>
      </c>
      <c r="CL34" s="1668"/>
      <c r="CM34" s="1665">
        <v>0</v>
      </c>
      <c r="CN34" s="1665">
        <v>0</v>
      </c>
      <c r="CO34" s="1665">
        <v>0</v>
      </c>
      <c r="CP34" s="1665">
        <v>0</v>
      </c>
      <c r="CQ34" s="1665">
        <v>0</v>
      </c>
      <c r="CR34" s="1665">
        <v>0</v>
      </c>
      <c r="CS34" s="1665">
        <v>0</v>
      </c>
      <c r="CT34" s="1665">
        <v>0</v>
      </c>
      <c r="CU34" s="1665">
        <v>0</v>
      </c>
      <c r="CV34" s="1665">
        <v>0</v>
      </c>
      <c r="CW34" s="1668"/>
      <c r="CX34" s="1663"/>
      <c r="CY34" s="1663"/>
      <c r="CZ34" s="1663"/>
      <c r="DA34" s="1663"/>
      <c r="DB34" s="1668"/>
      <c r="DC34" s="1662"/>
      <c r="DD34" s="1665">
        <v>0</v>
      </c>
      <c r="DE34" s="1663"/>
      <c r="DF34" s="1663"/>
      <c r="DG34" s="1665">
        <v>0</v>
      </c>
      <c r="DH34" s="1665">
        <v>0</v>
      </c>
    </row>
    <row r="35" spans="1:112" ht="33.75" hidden="1" x14ac:dyDescent="0.25">
      <c r="A35" s="1662" t="s">
        <v>1747</v>
      </c>
      <c r="B35" s="1662" t="s">
        <v>1719</v>
      </c>
      <c r="C35" s="1662" t="s">
        <v>2614</v>
      </c>
      <c r="D35" s="1662" t="s">
        <v>2615</v>
      </c>
      <c r="E35" s="1662" t="s">
        <v>179</v>
      </c>
      <c r="F35" s="1662" t="s">
        <v>2616</v>
      </c>
      <c r="G35" s="1662" t="s">
        <v>2617</v>
      </c>
      <c r="H35" s="1662" t="s">
        <v>2618</v>
      </c>
      <c r="I35" s="1662" t="s">
        <v>717</v>
      </c>
      <c r="J35" s="1662" t="s">
        <v>307</v>
      </c>
      <c r="K35" s="1662" t="s">
        <v>2127</v>
      </c>
      <c r="L35" s="1662" t="s">
        <v>2109</v>
      </c>
      <c r="M35" s="1663"/>
      <c r="N35" s="1663"/>
      <c r="O35" s="1663"/>
      <c r="P35" s="1663"/>
      <c r="Q35" s="1663"/>
      <c r="R35" s="1663"/>
      <c r="S35" s="1663"/>
      <c r="T35" s="1663"/>
      <c r="U35" s="1663"/>
      <c r="V35" s="1663"/>
      <c r="W35" s="1663"/>
      <c r="X35" s="1663"/>
      <c r="Y35" s="1664">
        <v>43055</v>
      </c>
      <c r="Z35" s="1662" t="s">
        <v>2110</v>
      </c>
      <c r="AA35" s="1665">
        <v>0</v>
      </c>
      <c r="AB35" s="1665">
        <v>0</v>
      </c>
      <c r="AC35" s="1680">
        <v>0</v>
      </c>
      <c r="AD35" s="1682">
        <v>43069</v>
      </c>
      <c r="AE35" s="1679" t="s">
        <v>2128</v>
      </c>
      <c r="AF35" s="1662" t="s">
        <v>2112</v>
      </c>
      <c r="AG35" s="1666"/>
      <c r="AH35" s="1667">
        <v>52380</v>
      </c>
      <c r="AI35" s="1665">
        <v>44523</v>
      </c>
      <c r="AJ35" s="1665">
        <v>44523</v>
      </c>
      <c r="AK35" s="1698">
        <v>44523</v>
      </c>
      <c r="AL35" s="1665">
        <v>0</v>
      </c>
      <c r="AM35" s="1664">
        <v>43069</v>
      </c>
      <c r="AN35" s="1665">
        <v>52380</v>
      </c>
      <c r="AO35" s="1665">
        <v>44523</v>
      </c>
      <c r="AP35" s="1665">
        <v>44523</v>
      </c>
      <c r="AQ35" s="1665">
        <v>44523</v>
      </c>
      <c r="AR35" s="1665">
        <v>0</v>
      </c>
      <c r="AS35" s="1665">
        <v>7857</v>
      </c>
      <c r="AT35" s="1665">
        <v>0</v>
      </c>
      <c r="AU35" s="1665">
        <v>0</v>
      </c>
      <c r="AV35" s="1665">
        <v>0</v>
      </c>
      <c r="AW35" s="1665">
        <v>7857</v>
      </c>
      <c r="AX35" s="1663"/>
      <c r="AY35" s="1663"/>
      <c r="AZ35" s="1663"/>
      <c r="BA35" s="1668"/>
      <c r="BB35" s="1668"/>
      <c r="BC35" s="1663"/>
      <c r="BD35" s="1663"/>
      <c r="BE35" s="1665">
        <v>52380</v>
      </c>
      <c r="BF35" s="1665">
        <v>44523</v>
      </c>
      <c r="BG35" s="1665">
        <v>44523</v>
      </c>
      <c r="BH35" s="1665">
        <v>44523</v>
      </c>
      <c r="BI35" s="1665">
        <v>0</v>
      </c>
      <c r="BJ35" s="1665">
        <v>7857</v>
      </c>
      <c r="BK35" s="1665">
        <v>0</v>
      </c>
      <c r="BL35" s="1665">
        <v>0</v>
      </c>
      <c r="BM35" s="1665">
        <v>0</v>
      </c>
      <c r="BN35" s="1665">
        <v>7857</v>
      </c>
      <c r="BO35" s="1664">
        <v>43125</v>
      </c>
      <c r="BP35" s="1665">
        <v>52380</v>
      </c>
      <c r="BQ35" s="1665">
        <v>44523</v>
      </c>
      <c r="BR35" s="1665">
        <v>44523</v>
      </c>
      <c r="BS35" s="1667">
        <v>44523</v>
      </c>
      <c r="BT35" s="1665">
        <v>0</v>
      </c>
      <c r="BU35" s="1665">
        <v>7857</v>
      </c>
      <c r="BV35" s="1665">
        <v>0</v>
      </c>
      <c r="BW35" s="1665">
        <v>0</v>
      </c>
      <c r="BX35" s="1665">
        <v>0</v>
      </c>
      <c r="BY35" s="1665">
        <v>7857</v>
      </c>
      <c r="BZ35" s="1665">
        <v>0</v>
      </c>
      <c r="CA35" s="1663"/>
      <c r="CB35" s="1668"/>
      <c r="CC35" s="1668"/>
      <c r="CD35" s="1663"/>
      <c r="CE35" s="1663"/>
      <c r="CF35" s="1665">
        <v>0</v>
      </c>
      <c r="CG35" s="1665">
        <v>0</v>
      </c>
      <c r="CH35" s="1665">
        <v>0</v>
      </c>
      <c r="CI35" s="1665">
        <v>0</v>
      </c>
      <c r="CJ35" s="1665">
        <v>0</v>
      </c>
      <c r="CK35" s="1665">
        <v>0</v>
      </c>
      <c r="CL35" s="1668"/>
      <c r="CM35" s="1665">
        <v>0</v>
      </c>
      <c r="CN35" s="1665">
        <v>0</v>
      </c>
      <c r="CO35" s="1665">
        <v>0</v>
      </c>
      <c r="CP35" s="1665">
        <v>0</v>
      </c>
      <c r="CQ35" s="1665">
        <v>0</v>
      </c>
      <c r="CR35" s="1665">
        <v>0</v>
      </c>
      <c r="CS35" s="1665">
        <v>0</v>
      </c>
      <c r="CT35" s="1665">
        <v>0</v>
      </c>
      <c r="CU35" s="1665">
        <v>0</v>
      </c>
      <c r="CV35" s="1665">
        <v>0</v>
      </c>
      <c r="CW35" s="1668"/>
      <c r="CX35" s="1663"/>
      <c r="CY35" s="1663"/>
      <c r="CZ35" s="1663"/>
      <c r="DA35" s="1663"/>
      <c r="DB35" s="1668"/>
      <c r="DC35" s="1662"/>
      <c r="DD35" s="1665">
        <v>0</v>
      </c>
      <c r="DE35" s="1663"/>
      <c r="DF35" s="1663"/>
      <c r="DG35" s="1665">
        <v>0</v>
      </c>
      <c r="DH35" s="1665">
        <v>0</v>
      </c>
    </row>
    <row r="36" spans="1:112" ht="33.75" hidden="1" x14ac:dyDescent="0.25">
      <c r="A36" s="1662" t="s">
        <v>1748</v>
      </c>
      <c r="B36" s="1662" t="s">
        <v>1719</v>
      </c>
      <c r="C36" s="1662" t="s">
        <v>2614</v>
      </c>
      <c r="D36" s="1662" t="s">
        <v>2615</v>
      </c>
      <c r="E36" s="1662" t="s">
        <v>179</v>
      </c>
      <c r="F36" s="1662" t="s">
        <v>2616</v>
      </c>
      <c r="G36" s="1662" t="s">
        <v>2617</v>
      </c>
      <c r="H36" s="1662" t="s">
        <v>2618</v>
      </c>
      <c r="I36" s="1662" t="s">
        <v>717</v>
      </c>
      <c r="J36" s="1662" t="s">
        <v>307</v>
      </c>
      <c r="K36" s="1662" t="s">
        <v>2127</v>
      </c>
      <c r="L36" s="1662" t="s">
        <v>2109</v>
      </c>
      <c r="M36" s="1663"/>
      <c r="N36" s="1663"/>
      <c r="O36" s="1663"/>
      <c r="P36" s="1663"/>
      <c r="Q36" s="1663"/>
      <c r="R36" s="1663"/>
      <c r="S36" s="1663"/>
      <c r="T36" s="1663"/>
      <c r="U36" s="1663"/>
      <c r="V36" s="1663"/>
      <c r="W36" s="1663"/>
      <c r="X36" s="1663"/>
      <c r="Y36" s="1664">
        <v>43080</v>
      </c>
      <c r="Z36" s="1662" t="s">
        <v>2110</v>
      </c>
      <c r="AA36" s="1665">
        <v>0</v>
      </c>
      <c r="AB36" s="1665">
        <v>0</v>
      </c>
      <c r="AC36" s="1680">
        <v>0</v>
      </c>
      <c r="AD36" s="1682">
        <v>43088</v>
      </c>
      <c r="AE36" s="1679" t="s">
        <v>2129</v>
      </c>
      <c r="AF36" s="1662" t="s">
        <v>2112</v>
      </c>
      <c r="AG36" s="1666"/>
      <c r="AH36" s="1667">
        <v>180094.36</v>
      </c>
      <c r="AI36" s="1665">
        <v>153080.21</v>
      </c>
      <c r="AJ36" s="1665">
        <v>153080.20000000001</v>
      </c>
      <c r="AK36" s="1698">
        <v>153080.20000000001</v>
      </c>
      <c r="AL36" s="1665">
        <v>0</v>
      </c>
      <c r="AM36" s="1664">
        <v>43088</v>
      </c>
      <c r="AN36" s="1665">
        <v>180094.36</v>
      </c>
      <c r="AO36" s="1665">
        <v>153080.20000000001</v>
      </c>
      <c r="AP36" s="1665">
        <v>153080.20000000001</v>
      </c>
      <c r="AQ36" s="1665">
        <v>153080.20000000001</v>
      </c>
      <c r="AR36" s="1665">
        <v>0</v>
      </c>
      <c r="AS36" s="1665">
        <v>27014.16</v>
      </c>
      <c r="AT36" s="1665">
        <v>0</v>
      </c>
      <c r="AU36" s="1665">
        <v>0</v>
      </c>
      <c r="AV36" s="1665">
        <v>0</v>
      </c>
      <c r="AW36" s="1665">
        <v>27014.16</v>
      </c>
      <c r="AX36" s="1663"/>
      <c r="AY36" s="1663"/>
      <c r="AZ36" s="1663"/>
      <c r="BA36" s="1668"/>
      <c r="BB36" s="1668"/>
      <c r="BC36" s="1663"/>
      <c r="BD36" s="1663"/>
      <c r="BE36" s="1665">
        <v>180094.36</v>
      </c>
      <c r="BF36" s="1665">
        <v>153080.20000000001</v>
      </c>
      <c r="BG36" s="1665">
        <v>153080.20000000001</v>
      </c>
      <c r="BH36" s="1665">
        <v>153080.20000000001</v>
      </c>
      <c r="BI36" s="1665">
        <v>0</v>
      </c>
      <c r="BJ36" s="1665">
        <v>27014.16</v>
      </c>
      <c r="BK36" s="1665">
        <v>0</v>
      </c>
      <c r="BL36" s="1665">
        <v>0</v>
      </c>
      <c r="BM36" s="1665">
        <v>0</v>
      </c>
      <c r="BN36" s="1665">
        <v>27014.16</v>
      </c>
      <c r="BO36" s="1664">
        <v>43189</v>
      </c>
      <c r="BP36" s="1665">
        <v>180094.36</v>
      </c>
      <c r="BQ36" s="1665">
        <v>153080.20000000001</v>
      </c>
      <c r="BR36" s="1665">
        <v>153080.20000000001</v>
      </c>
      <c r="BS36" s="1667">
        <v>153080.20000000001</v>
      </c>
      <c r="BT36" s="1665">
        <v>0</v>
      </c>
      <c r="BU36" s="1665">
        <v>27014.16</v>
      </c>
      <c r="BV36" s="1665">
        <v>0</v>
      </c>
      <c r="BW36" s="1665">
        <v>0</v>
      </c>
      <c r="BX36" s="1665">
        <v>0</v>
      </c>
      <c r="BY36" s="1665">
        <v>27014.16</v>
      </c>
      <c r="BZ36" s="1665">
        <v>0</v>
      </c>
      <c r="CA36" s="1663"/>
      <c r="CB36" s="1668"/>
      <c r="CC36" s="1668"/>
      <c r="CD36" s="1663"/>
      <c r="CE36" s="1663"/>
      <c r="CF36" s="1665">
        <v>0</v>
      </c>
      <c r="CG36" s="1665">
        <v>0</v>
      </c>
      <c r="CH36" s="1665">
        <v>0</v>
      </c>
      <c r="CI36" s="1665">
        <v>0</v>
      </c>
      <c r="CJ36" s="1665">
        <v>0</v>
      </c>
      <c r="CK36" s="1665">
        <v>0</v>
      </c>
      <c r="CL36" s="1668"/>
      <c r="CM36" s="1665">
        <v>0</v>
      </c>
      <c r="CN36" s="1665">
        <v>0</v>
      </c>
      <c r="CO36" s="1665">
        <v>0</v>
      </c>
      <c r="CP36" s="1665">
        <v>0</v>
      </c>
      <c r="CQ36" s="1665">
        <v>0</v>
      </c>
      <c r="CR36" s="1665">
        <v>0</v>
      </c>
      <c r="CS36" s="1665">
        <v>0</v>
      </c>
      <c r="CT36" s="1665">
        <v>0</v>
      </c>
      <c r="CU36" s="1665">
        <v>0</v>
      </c>
      <c r="CV36" s="1665">
        <v>0</v>
      </c>
      <c r="CW36" s="1668"/>
      <c r="CX36" s="1663"/>
      <c r="CY36" s="1663"/>
      <c r="CZ36" s="1663"/>
      <c r="DA36" s="1663"/>
      <c r="DB36" s="1668"/>
      <c r="DC36" s="1662"/>
      <c r="DD36" s="1665">
        <v>0</v>
      </c>
      <c r="DE36" s="1663"/>
      <c r="DF36" s="1663"/>
      <c r="DG36" s="1665">
        <v>0</v>
      </c>
      <c r="DH36" s="1665">
        <v>0</v>
      </c>
    </row>
    <row r="37" spans="1:112" ht="33.75" hidden="1" x14ac:dyDescent="0.25">
      <c r="A37" s="1662" t="s">
        <v>1749</v>
      </c>
      <c r="B37" s="1662" t="s">
        <v>1719</v>
      </c>
      <c r="C37" s="1662" t="s">
        <v>2614</v>
      </c>
      <c r="D37" s="1662" t="s">
        <v>2615</v>
      </c>
      <c r="E37" s="1662" t="s">
        <v>179</v>
      </c>
      <c r="F37" s="1662" t="s">
        <v>2616</v>
      </c>
      <c r="G37" s="1662" t="s">
        <v>2617</v>
      </c>
      <c r="H37" s="1662" t="s">
        <v>2618</v>
      </c>
      <c r="I37" s="1662" t="s">
        <v>717</v>
      </c>
      <c r="J37" s="1662" t="s">
        <v>307</v>
      </c>
      <c r="K37" s="1662" t="s">
        <v>2127</v>
      </c>
      <c r="L37" s="1662" t="s">
        <v>2109</v>
      </c>
      <c r="M37" s="1663"/>
      <c r="N37" s="1663"/>
      <c r="O37" s="1663"/>
      <c r="P37" s="1663"/>
      <c r="Q37" s="1663"/>
      <c r="R37" s="1663"/>
      <c r="S37" s="1663"/>
      <c r="T37" s="1663"/>
      <c r="U37" s="1663"/>
      <c r="V37" s="1663"/>
      <c r="W37" s="1663"/>
      <c r="X37" s="1663"/>
      <c r="Y37" s="1664">
        <v>43116</v>
      </c>
      <c r="Z37" s="1662" t="s">
        <v>2110</v>
      </c>
      <c r="AA37" s="1665">
        <v>0</v>
      </c>
      <c r="AB37" s="1665">
        <v>0</v>
      </c>
      <c r="AC37" s="1680">
        <v>0</v>
      </c>
      <c r="AD37" s="1682">
        <v>43133</v>
      </c>
      <c r="AE37" s="1679" t="s">
        <v>2130</v>
      </c>
      <c r="AF37" s="1662" t="s">
        <v>2115</v>
      </c>
      <c r="AG37" s="1666"/>
      <c r="AH37" s="1667">
        <v>3250</v>
      </c>
      <c r="AI37" s="1665">
        <v>2762.5</v>
      </c>
      <c r="AJ37" s="1665">
        <v>2762.5</v>
      </c>
      <c r="AK37" s="1698">
        <v>2762.5</v>
      </c>
      <c r="AL37" s="1665">
        <v>0</v>
      </c>
      <c r="AM37" s="1664">
        <v>43133</v>
      </c>
      <c r="AN37" s="1665">
        <v>3250</v>
      </c>
      <c r="AO37" s="1665">
        <v>2762.5</v>
      </c>
      <c r="AP37" s="1665">
        <v>2762.5</v>
      </c>
      <c r="AQ37" s="1665">
        <v>2762.5</v>
      </c>
      <c r="AR37" s="1665">
        <v>0</v>
      </c>
      <c r="AS37" s="1665">
        <v>487.5</v>
      </c>
      <c r="AT37" s="1665">
        <v>0</v>
      </c>
      <c r="AU37" s="1665">
        <v>0</v>
      </c>
      <c r="AV37" s="1665">
        <v>0</v>
      </c>
      <c r="AW37" s="1665">
        <v>487.5</v>
      </c>
      <c r="AX37" s="1663"/>
      <c r="AY37" s="1663"/>
      <c r="AZ37" s="1663"/>
      <c r="BA37" s="1668"/>
      <c r="BB37" s="1668"/>
      <c r="BC37" s="1663"/>
      <c r="BD37" s="1663"/>
      <c r="BE37" s="1665">
        <v>3250</v>
      </c>
      <c r="BF37" s="1665">
        <v>2762.5</v>
      </c>
      <c r="BG37" s="1665">
        <v>2762.5</v>
      </c>
      <c r="BH37" s="1665">
        <v>2762.5</v>
      </c>
      <c r="BI37" s="1665">
        <v>0</v>
      </c>
      <c r="BJ37" s="1665">
        <v>487.5</v>
      </c>
      <c r="BK37" s="1665">
        <v>0</v>
      </c>
      <c r="BL37" s="1665">
        <v>0</v>
      </c>
      <c r="BM37" s="1665">
        <v>0</v>
      </c>
      <c r="BN37" s="1665">
        <v>487.5</v>
      </c>
      <c r="BO37" s="1664">
        <v>43230</v>
      </c>
      <c r="BP37" s="1665">
        <v>3250</v>
      </c>
      <c r="BQ37" s="1665">
        <v>2762.5</v>
      </c>
      <c r="BR37" s="1665">
        <v>2762.5</v>
      </c>
      <c r="BS37" s="1667">
        <v>2762.5</v>
      </c>
      <c r="BT37" s="1665">
        <v>0</v>
      </c>
      <c r="BU37" s="1665">
        <v>487.5</v>
      </c>
      <c r="BV37" s="1665">
        <v>0</v>
      </c>
      <c r="BW37" s="1665">
        <v>0</v>
      </c>
      <c r="BX37" s="1665">
        <v>0</v>
      </c>
      <c r="BY37" s="1665">
        <v>487.5</v>
      </c>
      <c r="BZ37" s="1665">
        <v>0</v>
      </c>
      <c r="CA37" s="1663"/>
      <c r="CB37" s="1668"/>
      <c r="CC37" s="1668"/>
      <c r="CD37" s="1663"/>
      <c r="CE37" s="1663"/>
      <c r="CF37" s="1665">
        <v>0</v>
      </c>
      <c r="CG37" s="1665">
        <v>0</v>
      </c>
      <c r="CH37" s="1665">
        <v>0</v>
      </c>
      <c r="CI37" s="1665">
        <v>0</v>
      </c>
      <c r="CJ37" s="1665">
        <v>0</v>
      </c>
      <c r="CK37" s="1665">
        <v>0</v>
      </c>
      <c r="CL37" s="1668"/>
      <c r="CM37" s="1665">
        <v>0</v>
      </c>
      <c r="CN37" s="1665">
        <v>0</v>
      </c>
      <c r="CO37" s="1665">
        <v>0</v>
      </c>
      <c r="CP37" s="1665">
        <v>0</v>
      </c>
      <c r="CQ37" s="1665">
        <v>0</v>
      </c>
      <c r="CR37" s="1665">
        <v>0</v>
      </c>
      <c r="CS37" s="1665">
        <v>0</v>
      </c>
      <c r="CT37" s="1665">
        <v>0</v>
      </c>
      <c r="CU37" s="1665">
        <v>0</v>
      </c>
      <c r="CV37" s="1665">
        <v>0</v>
      </c>
      <c r="CW37" s="1668"/>
      <c r="CX37" s="1663"/>
      <c r="CY37" s="1663"/>
      <c r="CZ37" s="1663"/>
      <c r="DA37" s="1663"/>
      <c r="DB37" s="1668"/>
      <c r="DC37" s="1662"/>
      <c r="DD37" s="1665">
        <v>0</v>
      </c>
      <c r="DE37" s="1663"/>
      <c r="DF37" s="1663"/>
      <c r="DG37" s="1665">
        <v>0</v>
      </c>
      <c r="DH37" s="1665">
        <v>0</v>
      </c>
    </row>
    <row r="38" spans="1:112" ht="33.75" hidden="1" x14ac:dyDescent="0.25">
      <c r="A38" s="1662" t="s">
        <v>1750</v>
      </c>
      <c r="B38" s="1662" t="s">
        <v>1719</v>
      </c>
      <c r="C38" s="1662" t="s">
        <v>2614</v>
      </c>
      <c r="D38" s="1662" t="s">
        <v>2615</v>
      </c>
      <c r="E38" s="1662" t="s">
        <v>179</v>
      </c>
      <c r="F38" s="1662" t="s">
        <v>2616</v>
      </c>
      <c r="G38" s="1662" t="s">
        <v>2617</v>
      </c>
      <c r="H38" s="1662" t="s">
        <v>2618</v>
      </c>
      <c r="I38" s="1662" t="s">
        <v>717</v>
      </c>
      <c r="J38" s="1662" t="s">
        <v>307</v>
      </c>
      <c r="K38" s="1662" t="s">
        <v>2127</v>
      </c>
      <c r="L38" s="1662" t="s">
        <v>2109</v>
      </c>
      <c r="M38" s="1663"/>
      <c r="N38" s="1663"/>
      <c r="O38" s="1663"/>
      <c r="P38" s="1663"/>
      <c r="Q38" s="1663"/>
      <c r="R38" s="1663"/>
      <c r="S38" s="1663"/>
      <c r="T38" s="1663"/>
      <c r="U38" s="1663"/>
      <c r="V38" s="1663"/>
      <c r="W38" s="1663"/>
      <c r="X38" s="1663"/>
      <c r="Y38" s="1664">
        <v>43241</v>
      </c>
      <c r="Z38" s="1662" t="s">
        <v>2110</v>
      </c>
      <c r="AA38" s="1665">
        <v>0</v>
      </c>
      <c r="AB38" s="1665">
        <v>0</v>
      </c>
      <c r="AC38" s="1680">
        <v>0</v>
      </c>
      <c r="AD38" s="1682">
        <v>43272</v>
      </c>
      <c r="AE38" s="1679" t="s">
        <v>2131</v>
      </c>
      <c r="AF38" s="1662" t="s">
        <v>2115</v>
      </c>
      <c r="AG38" s="1666"/>
      <c r="AH38" s="1667">
        <v>29058.09</v>
      </c>
      <c r="AI38" s="1665">
        <v>24699.38</v>
      </c>
      <c r="AJ38" s="1665">
        <v>24699.38</v>
      </c>
      <c r="AK38" s="1698">
        <v>24699.38</v>
      </c>
      <c r="AL38" s="1665">
        <v>0</v>
      </c>
      <c r="AM38" s="1664">
        <v>43272</v>
      </c>
      <c r="AN38" s="1665">
        <v>29058.09</v>
      </c>
      <c r="AO38" s="1665">
        <v>24699.38</v>
      </c>
      <c r="AP38" s="1665">
        <v>24699.38</v>
      </c>
      <c r="AQ38" s="1665">
        <v>24699.38</v>
      </c>
      <c r="AR38" s="1665">
        <v>0</v>
      </c>
      <c r="AS38" s="1665">
        <v>4358.71</v>
      </c>
      <c r="AT38" s="1665">
        <v>0</v>
      </c>
      <c r="AU38" s="1665">
        <v>0</v>
      </c>
      <c r="AV38" s="1665">
        <v>0</v>
      </c>
      <c r="AW38" s="1665">
        <v>4358.71</v>
      </c>
      <c r="AX38" s="1663"/>
      <c r="AY38" s="1663"/>
      <c r="AZ38" s="1663"/>
      <c r="BA38" s="1668"/>
      <c r="BB38" s="1668"/>
      <c r="BC38" s="1663"/>
      <c r="BD38" s="1663"/>
      <c r="BE38" s="1665">
        <v>29058.09</v>
      </c>
      <c r="BF38" s="1665">
        <v>24699.38</v>
      </c>
      <c r="BG38" s="1665">
        <v>24699.38</v>
      </c>
      <c r="BH38" s="1665">
        <v>24699.38</v>
      </c>
      <c r="BI38" s="1665">
        <v>0</v>
      </c>
      <c r="BJ38" s="1665">
        <v>4358.71</v>
      </c>
      <c r="BK38" s="1665">
        <v>0</v>
      </c>
      <c r="BL38" s="1665">
        <v>0</v>
      </c>
      <c r="BM38" s="1665">
        <v>0</v>
      </c>
      <c r="BN38" s="1665">
        <v>4358.71</v>
      </c>
      <c r="BO38" s="1664">
        <v>43355</v>
      </c>
      <c r="BP38" s="1665">
        <v>29058.09</v>
      </c>
      <c r="BQ38" s="1665">
        <v>24699.38</v>
      </c>
      <c r="BR38" s="1665">
        <v>24699.38</v>
      </c>
      <c r="BS38" s="1667">
        <v>24699.38</v>
      </c>
      <c r="BT38" s="1665">
        <v>0</v>
      </c>
      <c r="BU38" s="1665">
        <v>4358.71</v>
      </c>
      <c r="BV38" s="1665">
        <v>0</v>
      </c>
      <c r="BW38" s="1665">
        <v>0</v>
      </c>
      <c r="BX38" s="1665">
        <v>0</v>
      </c>
      <c r="BY38" s="1665">
        <v>4358.71</v>
      </c>
      <c r="BZ38" s="1665">
        <v>0</v>
      </c>
      <c r="CA38" s="1663"/>
      <c r="CB38" s="1668"/>
      <c r="CC38" s="1668"/>
      <c r="CD38" s="1663"/>
      <c r="CE38" s="1663"/>
      <c r="CF38" s="1665">
        <v>0</v>
      </c>
      <c r="CG38" s="1665">
        <v>0</v>
      </c>
      <c r="CH38" s="1665">
        <v>0</v>
      </c>
      <c r="CI38" s="1665">
        <v>0</v>
      </c>
      <c r="CJ38" s="1665">
        <v>0</v>
      </c>
      <c r="CK38" s="1665">
        <v>0</v>
      </c>
      <c r="CL38" s="1668"/>
      <c r="CM38" s="1665">
        <v>0</v>
      </c>
      <c r="CN38" s="1665">
        <v>0</v>
      </c>
      <c r="CO38" s="1665">
        <v>0</v>
      </c>
      <c r="CP38" s="1665">
        <v>0</v>
      </c>
      <c r="CQ38" s="1665">
        <v>0</v>
      </c>
      <c r="CR38" s="1665">
        <v>0</v>
      </c>
      <c r="CS38" s="1665">
        <v>0</v>
      </c>
      <c r="CT38" s="1665">
        <v>0</v>
      </c>
      <c r="CU38" s="1665">
        <v>0</v>
      </c>
      <c r="CV38" s="1665">
        <v>0</v>
      </c>
      <c r="CW38" s="1668"/>
      <c r="CX38" s="1663"/>
      <c r="CY38" s="1663"/>
      <c r="CZ38" s="1663"/>
      <c r="DA38" s="1663"/>
      <c r="DB38" s="1668"/>
      <c r="DC38" s="1662"/>
      <c r="DD38" s="1665">
        <v>0</v>
      </c>
      <c r="DE38" s="1663"/>
      <c r="DF38" s="1663"/>
      <c r="DG38" s="1665">
        <v>0</v>
      </c>
      <c r="DH38" s="1665">
        <v>0</v>
      </c>
    </row>
    <row r="39" spans="1:112" ht="33.75" hidden="1" x14ac:dyDescent="0.25">
      <c r="A39" s="1662" t="s">
        <v>1751</v>
      </c>
      <c r="B39" s="1662" t="s">
        <v>1719</v>
      </c>
      <c r="C39" s="1662" t="s">
        <v>2614</v>
      </c>
      <c r="D39" s="1662" t="s">
        <v>2615</v>
      </c>
      <c r="E39" s="1662" t="s">
        <v>179</v>
      </c>
      <c r="F39" s="1662" t="s">
        <v>2616</v>
      </c>
      <c r="G39" s="1662" t="s">
        <v>2617</v>
      </c>
      <c r="H39" s="1662" t="s">
        <v>2618</v>
      </c>
      <c r="I39" s="1662" t="s">
        <v>717</v>
      </c>
      <c r="J39" s="1662" t="s">
        <v>307</v>
      </c>
      <c r="K39" s="1662" t="s">
        <v>2127</v>
      </c>
      <c r="L39" s="1662" t="s">
        <v>2109</v>
      </c>
      <c r="M39" s="1663"/>
      <c r="N39" s="1663"/>
      <c r="O39" s="1663"/>
      <c r="P39" s="1663"/>
      <c r="Q39" s="1663"/>
      <c r="R39" s="1663"/>
      <c r="S39" s="1663"/>
      <c r="T39" s="1663"/>
      <c r="U39" s="1663"/>
      <c r="V39" s="1663"/>
      <c r="W39" s="1663"/>
      <c r="X39" s="1663"/>
      <c r="Y39" s="1664">
        <v>43241</v>
      </c>
      <c r="Z39" s="1662" t="s">
        <v>2110</v>
      </c>
      <c r="AA39" s="1665">
        <v>0</v>
      </c>
      <c r="AB39" s="1665">
        <v>0</v>
      </c>
      <c r="AC39" s="1680">
        <v>0</v>
      </c>
      <c r="AD39" s="1682">
        <v>43272</v>
      </c>
      <c r="AE39" s="1679" t="s">
        <v>2131</v>
      </c>
      <c r="AF39" s="1662" t="s">
        <v>2112</v>
      </c>
      <c r="AG39" s="1666"/>
      <c r="AH39" s="1667">
        <v>2796.18</v>
      </c>
      <c r="AI39" s="1665">
        <v>2376.75</v>
      </c>
      <c r="AJ39" s="1665">
        <v>2376.7600000000002</v>
      </c>
      <c r="AK39" s="1698">
        <v>2376.7600000000002</v>
      </c>
      <c r="AL39" s="1665">
        <v>0</v>
      </c>
      <c r="AM39" s="1664">
        <v>43272</v>
      </c>
      <c r="AN39" s="1665">
        <v>2796.18</v>
      </c>
      <c r="AO39" s="1665">
        <v>2376.7600000000002</v>
      </c>
      <c r="AP39" s="1665">
        <v>2376.7600000000002</v>
      </c>
      <c r="AQ39" s="1665">
        <v>2376.7600000000002</v>
      </c>
      <c r="AR39" s="1665">
        <v>0</v>
      </c>
      <c r="AS39" s="1665">
        <v>419.42</v>
      </c>
      <c r="AT39" s="1665">
        <v>0</v>
      </c>
      <c r="AU39" s="1665">
        <v>0</v>
      </c>
      <c r="AV39" s="1665">
        <v>0</v>
      </c>
      <c r="AW39" s="1665">
        <v>419.42</v>
      </c>
      <c r="AX39" s="1663"/>
      <c r="AY39" s="1663"/>
      <c r="AZ39" s="1663"/>
      <c r="BA39" s="1668"/>
      <c r="BB39" s="1668"/>
      <c r="BC39" s="1663"/>
      <c r="BD39" s="1663"/>
      <c r="BE39" s="1665">
        <v>2796.18</v>
      </c>
      <c r="BF39" s="1665">
        <v>2376.7600000000002</v>
      </c>
      <c r="BG39" s="1665">
        <v>2376.7600000000002</v>
      </c>
      <c r="BH39" s="1665">
        <v>2376.7600000000002</v>
      </c>
      <c r="BI39" s="1665">
        <v>0</v>
      </c>
      <c r="BJ39" s="1665">
        <v>419.42</v>
      </c>
      <c r="BK39" s="1665">
        <v>0</v>
      </c>
      <c r="BL39" s="1665">
        <v>0</v>
      </c>
      <c r="BM39" s="1665">
        <v>0</v>
      </c>
      <c r="BN39" s="1665">
        <v>419.42</v>
      </c>
      <c r="BO39" s="1664">
        <v>43355</v>
      </c>
      <c r="BP39" s="1665">
        <v>2796.18</v>
      </c>
      <c r="BQ39" s="1665">
        <v>2376.7600000000002</v>
      </c>
      <c r="BR39" s="1665">
        <v>2376.7600000000002</v>
      </c>
      <c r="BS39" s="1667">
        <v>2376.7600000000002</v>
      </c>
      <c r="BT39" s="1665">
        <v>0</v>
      </c>
      <c r="BU39" s="1665">
        <v>419.42</v>
      </c>
      <c r="BV39" s="1665">
        <v>0</v>
      </c>
      <c r="BW39" s="1665">
        <v>0</v>
      </c>
      <c r="BX39" s="1665">
        <v>0</v>
      </c>
      <c r="BY39" s="1665">
        <v>419.42</v>
      </c>
      <c r="BZ39" s="1665">
        <v>0</v>
      </c>
      <c r="CA39" s="1663"/>
      <c r="CB39" s="1668"/>
      <c r="CC39" s="1668"/>
      <c r="CD39" s="1663"/>
      <c r="CE39" s="1663"/>
      <c r="CF39" s="1665">
        <v>0</v>
      </c>
      <c r="CG39" s="1665">
        <v>0</v>
      </c>
      <c r="CH39" s="1665">
        <v>0</v>
      </c>
      <c r="CI39" s="1665">
        <v>0</v>
      </c>
      <c r="CJ39" s="1665">
        <v>0</v>
      </c>
      <c r="CK39" s="1665">
        <v>0</v>
      </c>
      <c r="CL39" s="1668"/>
      <c r="CM39" s="1665">
        <v>0</v>
      </c>
      <c r="CN39" s="1665">
        <v>0</v>
      </c>
      <c r="CO39" s="1665">
        <v>0</v>
      </c>
      <c r="CP39" s="1665">
        <v>0</v>
      </c>
      <c r="CQ39" s="1665">
        <v>0</v>
      </c>
      <c r="CR39" s="1665">
        <v>0</v>
      </c>
      <c r="CS39" s="1665">
        <v>0</v>
      </c>
      <c r="CT39" s="1665">
        <v>0</v>
      </c>
      <c r="CU39" s="1665">
        <v>0</v>
      </c>
      <c r="CV39" s="1665">
        <v>0</v>
      </c>
      <c r="CW39" s="1668"/>
      <c r="CX39" s="1663"/>
      <c r="CY39" s="1663"/>
      <c r="CZ39" s="1663"/>
      <c r="DA39" s="1663"/>
      <c r="DB39" s="1668"/>
      <c r="DC39" s="1662"/>
      <c r="DD39" s="1665">
        <v>0</v>
      </c>
      <c r="DE39" s="1663"/>
      <c r="DF39" s="1663"/>
      <c r="DG39" s="1665">
        <v>0</v>
      </c>
      <c r="DH39" s="1665">
        <v>0</v>
      </c>
    </row>
    <row r="40" spans="1:112" ht="33.75" hidden="1" x14ac:dyDescent="0.25">
      <c r="A40" s="1662" t="s">
        <v>1752</v>
      </c>
      <c r="B40" s="1662" t="s">
        <v>1719</v>
      </c>
      <c r="C40" s="1662" t="s">
        <v>2614</v>
      </c>
      <c r="D40" s="1662" t="s">
        <v>2615</v>
      </c>
      <c r="E40" s="1662" t="s">
        <v>179</v>
      </c>
      <c r="F40" s="1662" t="s">
        <v>2616</v>
      </c>
      <c r="G40" s="1662" t="s">
        <v>2617</v>
      </c>
      <c r="H40" s="1662" t="s">
        <v>2618</v>
      </c>
      <c r="I40" s="1662" t="s">
        <v>717</v>
      </c>
      <c r="J40" s="1662" t="s">
        <v>307</v>
      </c>
      <c r="K40" s="1662" t="s">
        <v>2127</v>
      </c>
      <c r="L40" s="1662" t="s">
        <v>2109</v>
      </c>
      <c r="M40" s="1663"/>
      <c r="N40" s="1663"/>
      <c r="O40" s="1663"/>
      <c r="P40" s="1663"/>
      <c r="Q40" s="1663"/>
      <c r="R40" s="1663"/>
      <c r="S40" s="1663"/>
      <c r="T40" s="1663"/>
      <c r="U40" s="1663"/>
      <c r="V40" s="1663"/>
      <c r="W40" s="1663"/>
      <c r="X40" s="1663"/>
      <c r="Y40" s="1664">
        <v>43299</v>
      </c>
      <c r="Z40" s="1662" t="s">
        <v>2110</v>
      </c>
      <c r="AA40" s="1665">
        <v>0</v>
      </c>
      <c r="AB40" s="1665">
        <v>0</v>
      </c>
      <c r="AC40" s="1680">
        <v>0</v>
      </c>
      <c r="AD40" s="1682">
        <v>43328</v>
      </c>
      <c r="AE40" s="1679" t="s">
        <v>2132</v>
      </c>
      <c r="AF40" s="1662" t="s">
        <v>2115</v>
      </c>
      <c r="AG40" s="1666"/>
      <c r="AH40" s="1667">
        <v>37141.17</v>
      </c>
      <c r="AI40" s="1665">
        <v>31569.99</v>
      </c>
      <c r="AJ40" s="1665">
        <v>31569.99</v>
      </c>
      <c r="AK40" s="1698">
        <v>31569.99</v>
      </c>
      <c r="AL40" s="1665">
        <v>0</v>
      </c>
      <c r="AM40" s="1664">
        <v>43329</v>
      </c>
      <c r="AN40" s="1665">
        <v>37141.17</v>
      </c>
      <c r="AO40" s="1665">
        <v>31569.99</v>
      </c>
      <c r="AP40" s="1665">
        <v>31569.99</v>
      </c>
      <c r="AQ40" s="1665">
        <v>31569.99</v>
      </c>
      <c r="AR40" s="1665">
        <v>0</v>
      </c>
      <c r="AS40" s="1665">
        <v>5571.18</v>
      </c>
      <c r="AT40" s="1665">
        <v>0</v>
      </c>
      <c r="AU40" s="1665">
        <v>0</v>
      </c>
      <c r="AV40" s="1665">
        <v>0</v>
      </c>
      <c r="AW40" s="1665">
        <v>5571.18</v>
      </c>
      <c r="AX40" s="1663"/>
      <c r="AY40" s="1663"/>
      <c r="AZ40" s="1663"/>
      <c r="BA40" s="1668"/>
      <c r="BB40" s="1668"/>
      <c r="BC40" s="1663"/>
      <c r="BD40" s="1663"/>
      <c r="BE40" s="1665">
        <v>37141.17</v>
      </c>
      <c r="BF40" s="1665">
        <v>31569.99</v>
      </c>
      <c r="BG40" s="1665">
        <v>31569.99</v>
      </c>
      <c r="BH40" s="1665">
        <v>31569.99</v>
      </c>
      <c r="BI40" s="1665">
        <v>0</v>
      </c>
      <c r="BJ40" s="1665">
        <v>5571.18</v>
      </c>
      <c r="BK40" s="1665">
        <v>0</v>
      </c>
      <c r="BL40" s="1665">
        <v>0</v>
      </c>
      <c r="BM40" s="1665">
        <v>0</v>
      </c>
      <c r="BN40" s="1665">
        <v>5571.18</v>
      </c>
      <c r="BO40" s="1668"/>
      <c r="BP40" s="1665">
        <v>0</v>
      </c>
      <c r="BQ40" s="1665">
        <v>0</v>
      </c>
      <c r="BR40" s="1665">
        <v>0</v>
      </c>
      <c r="BS40" s="1667">
        <v>0</v>
      </c>
      <c r="BT40" s="1665">
        <v>0</v>
      </c>
      <c r="BU40" s="1665">
        <v>0</v>
      </c>
      <c r="BV40" s="1665">
        <v>0</v>
      </c>
      <c r="BW40" s="1665">
        <v>0</v>
      </c>
      <c r="BX40" s="1665">
        <v>0</v>
      </c>
      <c r="BY40" s="1665">
        <v>0</v>
      </c>
      <c r="BZ40" s="1665">
        <v>0</v>
      </c>
      <c r="CA40" s="1663"/>
      <c r="CB40" s="1668"/>
      <c r="CC40" s="1668"/>
      <c r="CD40" s="1663"/>
      <c r="CE40" s="1663"/>
      <c r="CF40" s="1665">
        <v>0</v>
      </c>
      <c r="CG40" s="1665">
        <v>0</v>
      </c>
      <c r="CH40" s="1665">
        <v>0</v>
      </c>
      <c r="CI40" s="1665">
        <v>0</v>
      </c>
      <c r="CJ40" s="1665">
        <v>0</v>
      </c>
      <c r="CK40" s="1665">
        <v>0</v>
      </c>
      <c r="CL40" s="1668"/>
      <c r="CM40" s="1665">
        <v>0</v>
      </c>
      <c r="CN40" s="1665">
        <v>0</v>
      </c>
      <c r="CO40" s="1665">
        <v>0</v>
      </c>
      <c r="CP40" s="1665">
        <v>0</v>
      </c>
      <c r="CQ40" s="1665">
        <v>0</v>
      </c>
      <c r="CR40" s="1665">
        <v>0</v>
      </c>
      <c r="CS40" s="1665">
        <v>0</v>
      </c>
      <c r="CT40" s="1665">
        <v>0</v>
      </c>
      <c r="CU40" s="1665">
        <v>0</v>
      </c>
      <c r="CV40" s="1665">
        <v>0</v>
      </c>
      <c r="CW40" s="1668"/>
      <c r="CX40" s="1663"/>
      <c r="CY40" s="1663"/>
      <c r="CZ40" s="1663"/>
      <c r="DA40" s="1663"/>
      <c r="DB40" s="1668"/>
      <c r="DC40" s="1662"/>
      <c r="DD40" s="1665">
        <v>0</v>
      </c>
      <c r="DE40" s="1663"/>
      <c r="DF40" s="1663"/>
      <c r="DG40" s="1665">
        <v>0</v>
      </c>
      <c r="DH40" s="1665">
        <v>0</v>
      </c>
    </row>
    <row r="41" spans="1:112" ht="33.75" hidden="1" x14ac:dyDescent="0.25">
      <c r="A41" s="1662" t="s">
        <v>1753</v>
      </c>
      <c r="B41" s="1662" t="s">
        <v>1719</v>
      </c>
      <c r="C41" s="1662" t="s">
        <v>2614</v>
      </c>
      <c r="D41" s="1662" t="s">
        <v>2615</v>
      </c>
      <c r="E41" s="1662" t="s">
        <v>179</v>
      </c>
      <c r="F41" s="1662" t="s">
        <v>2616</v>
      </c>
      <c r="G41" s="1662" t="s">
        <v>2617</v>
      </c>
      <c r="H41" s="1662" t="s">
        <v>2618</v>
      </c>
      <c r="I41" s="1662" t="s">
        <v>717</v>
      </c>
      <c r="J41" s="1662" t="s">
        <v>307</v>
      </c>
      <c r="K41" s="1662" t="s">
        <v>2127</v>
      </c>
      <c r="L41" s="1662" t="s">
        <v>2109</v>
      </c>
      <c r="M41" s="1663"/>
      <c r="N41" s="1663"/>
      <c r="O41" s="1663"/>
      <c r="P41" s="1663"/>
      <c r="Q41" s="1663"/>
      <c r="R41" s="1663"/>
      <c r="S41" s="1663"/>
      <c r="T41" s="1663"/>
      <c r="U41" s="1663"/>
      <c r="V41" s="1663"/>
      <c r="W41" s="1663"/>
      <c r="X41" s="1663"/>
      <c r="Y41" s="1664">
        <v>43299</v>
      </c>
      <c r="Z41" s="1662" t="s">
        <v>2110</v>
      </c>
      <c r="AA41" s="1665">
        <v>0</v>
      </c>
      <c r="AB41" s="1665">
        <v>0</v>
      </c>
      <c r="AC41" s="1680">
        <v>0</v>
      </c>
      <c r="AD41" s="1682">
        <v>43328</v>
      </c>
      <c r="AE41" s="1679" t="s">
        <v>2132</v>
      </c>
      <c r="AF41" s="1662" t="s">
        <v>2112</v>
      </c>
      <c r="AG41" s="1666"/>
      <c r="AH41" s="1667">
        <v>2718.65</v>
      </c>
      <c r="AI41" s="1665">
        <v>2310.85</v>
      </c>
      <c r="AJ41" s="1665">
        <v>2310.84</v>
      </c>
      <c r="AK41" s="1698">
        <v>2310.84</v>
      </c>
      <c r="AL41" s="1665">
        <v>0</v>
      </c>
      <c r="AM41" s="1664">
        <v>43328</v>
      </c>
      <c r="AN41" s="1665">
        <v>2718.65</v>
      </c>
      <c r="AO41" s="1665">
        <v>2310.84</v>
      </c>
      <c r="AP41" s="1665">
        <v>2310.84</v>
      </c>
      <c r="AQ41" s="1665">
        <v>2310.84</v>
      </c>
      <c r="AR41" s="1665">
        <v>0</v>
      </c>
      <c r="AS41" s="1665">
        <v>407.81</v>
      </c>
      <c r="AT41" s="1665">
        <v>0</v>
      </c>
      <c r="AU41" s="1665">
        <v>0</v>
      </c>
      <c r="AV41" s="1665">
        <v>0</v>
      </c>
      <c r="AW41" s="1665">
        <v>407.81</v>
      </c>
      <c r="AX41" s="1663"/>
      <c r="AY41" s="1663"/>
      <c r="AZ41" s="1663"/>
      <c r="BA41" s="1668"/>
      <c r="BB41" s="1668"/>
      <c r="BC41" s="1663"/>
      <c r="BD41" s="1663"/>
      <c r="BE41" s="1665">
        <v>2718.65</v>
      </c>
      <c r="BF41" s="1665">
        <v>2310.84</v>
      </c>
      <c r="BG41" s="1665">
        <v>2310.84</v>
      </c>
      <c r="BH41" s="1665">
        <v>2310.84</v>
      </c>
      <c r="BI41" s="1665">
        <v>0</v>
      </c>
      <c r="BJ41" s="1665">
        <v>407.81</v>
      </c>
      <c r="BK41" s="1665">
        <v>0</v>
      </c>
      <c r="BL41" s="1665">
        <v>0</v>
      </c>
      <c r="BM41" s="1665">
        <v>0</v>
      </c>
      <c r="BN41" s="1665">
        <v>407.81</v>
      </c>
      <c r="BO41" s="1668"/>
      <c r="BP41" s="1665">
        <v>0</v>
      </c>
      <c r="BQ41" s="1665">
        <v>0</v>
      </c>
      <c r="BR41" s="1665">
        <v>0</v>
      </c>
      <c r="BS41" s="1667">
        <v>0</v>
      </c>
      <c r="BT41" s="1665">
        <v>0</v>
      </c>
      <c r="BU41" s="1665">
        <v>0</v>
      </c>
      <c r="BV41" s="1665">
        <v>0</v>
      </c>
      <c r="BW41" s="1665">
        <v>0</v>
      </c>
      <c r="BX41" s="1665">
        <v>0</v>
      </c>
      <c r="BY41" s="1665">
        <v>0</v>
      </c>
      <c r="BZ41" s="1665">
        <v>0</v>
      </c>
      <c r="CA41" s="1663"/>
      <c r="CB41" s="1668"/>
      <c r="CC41" s="1668"/>
      <c r="CD41" s="1663"/>
      <c r="CE41" s="1663"/>
      <c r="CF41" s="1665">
        <v>0</v>
      </c>
      <c r="CG41" s="1665">
        <v>0</v>
      </c>
      <c r="CH41" s="1665">
        <v>0</v>
      </c>
      <c r="CI41" s="1665">
        <v>0</v>
      </c>
      <c r="CJ41" s="1665">
        <v>0</v>
      </c>
      <c r="CK41" s="1665">
        <v>0</v>
      </c>
      <c r="CL41" s="1668"/>
      <c r="CM41" s="1665">
        <v>0</v>
      </c>
      <c r="CN41" s="1665">
        <v>0</v>
      </c>
      <c r="CO41" s="1665">
        <v>0</v>
      </c>
      <c r="CP41" s="1665">
        <v>0</v>
      </c>
      <c r="CQ41" s="1665">
        <v>0</v>
      </c>
      <c r="CR41" s="1665">
        <v>0</v>
      </c>
      <c r="CS41" s="1665">
        <v>0</v>
      </c>
      <c r="CT41" s="1665">
        <v>0</v>
      </c>
      <c r="CU41" s="1665">
        <v>0</v>
      </c>
      <c r="CV41" s="1665">
        <v>0</v>
      </c>
      <c r="CW41" s="1668"/>
      <c r="CX41" s="1663"/>
      <c r="CY41" s="1663"/>
      <c r="CZ41" s="1663"/>
      <c r="DA41" s="1663"/>
      <c r="DB41" s="1668"/>
      <c r="DC41" s="1662"/>
      <c r="DD41" s="1665">
        <v>0</v>
      </c>
      <c r="DE41" s="1663"/>
      <c r="DF41" s="1663"/>
      <c r="DG41" s="1665">
        <v>0</v>
      </c>
      <c r="DH41" s="1665">
        <v>0</v>
      </c>
    </row>
    <row r="42" spans="1:112" ht="33.75" hidden="1" x14ac:dyDescent="0.25">
      <c r="A42" s="1662" t="s">
        <v>1754</v>
      </c>
      <c r="B42" s="1662" t="s">
        <v>1719</v>
      </c>
      <c r="C42" s="1662" t="s">
        <v>2614</v>
      </c>
      <c r="D42" s="1662" t="s">
        <v>2615</v>
      </c>
      <c r="E42" s="1662" t="s">
        <v>179</v>
      </c>
      <c r="F42" s="1662" t="s">
        <v>2616</v>
      </c>
      <c r="G42" s="1662" t="s">
        <v>2617</v>
      </c>
      <c r="H42" s="1662" t="s">
        <v>2618</v>
      </c>
      <c r="I42" s="1662" t="s">
        <v>717</v>
      </c>
      <c r="J42" s="1662" t="s">
        <v>307</v>
      </c>
      <c r="K42" s="1662" t="s">
        <v>2127</v>
      </c>
      <c r="L42" s="1662" t="s">
        <v>2109</v>
      </c>
      <c r="M42" s="1663"/>
      <c r="N42" s="1663"/>
      <c r="O42" s="1663"/>
      <c r="P42" s="1663"/>
      <c r="Q42" s="1663"/>
      <c r="R42" s="1663"/>
      <c r="S42" s="1663"/>
      <c r="T42" s="1663"/>
      <c r="U42" s="1663"/>
      <c r="V42" s="1663"/>
      <c r="W42" s="1663"/>
      <c r="X42" s="1663"/>
      <c r="Y42" s="1664">
        <v>43358</v>
      </c>
      <c r="Z42" s="1662" t="s">
        <v>2110</v>
      </c>
      <c r="AA42" s="1665">
        <v>0</v>
      </c>
      <c r="AB42" s="1665">
        <v>0</v>
      </c>
      <c r="AC42" s="1680">
        <v>0</v>
      </c>
      <c r="AD42" s="1682">
        <v>43388</v>
      </c>
      <c r="AE42" s="1679" t="s">
        <v>2133</v>
      </c>
      <c r="AF42" s="1662" t="s">
        <v>2115</v>
      </c>
      <c r="AG42" s="1666"/>
      <c r="AH42" s="1667">
        <v>89610.25</v>
      </c>
      <c r="AI42" s="1665">
        <v>76168.710000000006</v>
      </c>
      <c r="AJ42" s="1665">
        <v>76168.72</v>
      </c>
      <c r="AK42" s="1698">
        <v>76168.72</v>
      </c>
      <c r="AL42" s="1665">
        <v>0</v>
      </c>
      <c r="AM42" s="1668"/>
      <c r="AN42" s="1665">
        <v>0</v>
      </c>
      <c r="AO42" s="1665">
        <v>0</v>
      </c>
      <c r="AP42" s="1665">
        <v>0</v>
      </c>
      <c r="AQ42" s="1665">
        <v>0</v>
      </c>
      <c r="AR42" s="1665">
        <v>0</v>
      </c>
      <c r="AS42" s="1665">
        <v>0</v>
      </c>
      <c r="AT42" s="1665">
        <v>0</v>
      </c>
      <c r="AU42" s="1665">
        <v>0</v>
      </c>
      <c r="AV42" s="1665">
        <v>0</v>
      </c>
      <c r="AW42" s="1665">
        <v>0</v>
      </c>
      <c r="AX42" s="1663"/>
      <c r="AY42" s="1663"/>
      <c r="AZ42" s="1663"/>
      <c r="BA42" s="1668"/>
      <c r="BB42" s="1668"/>
      <c r="BC42" s="1663"/>
      <c r="BD42" s="1663"/>
      <c r="BE42" s="1665">
        <v>0</v>
      </c>
      <c r="BF42" s="1665">
        <v>0</v>
      </c>
      <c r="BG42" s="1665">
        <v>0</v>
      </c>
      <c r="BH42" s="1665">
        <v>0</v>
      </c>
      <c r="BI42" s="1665">
        <v>0</v>
      </c>
      <c r="BJ42" s="1665">
        <v>0</v>
      </c>
      <c r="BK42" s="1665">
        <v>0</v>
      </c>
      <c r="BL42" s="1665">
        <v>0</v>
      </c>
      <c r="BM42" s="1665">
        <v>0</v>
      </c>
      <c r="BN42" s="1665">
        <v>0</v>
      </c>
      <c r="BO42" s="1668"/>
      <c r="BP42" s="1665">
        <v>0</v>
      </c>
      <c r="BQ42" s="1665">
        <v>0</v>
      </c>
      <c r="BR42" s="1665">
        <v>0</v>
      </c>
      <c r="BS42" s="1667">
        <v>0</v>
      </c>
      <c r="BT42" s="1665">
        <v>0</v>
      </c>
      <c r="BU42" s="1665">
        <v>0</v>
      </c>
      <c r="BV42" s="1665">
        <v>0</v>
      </c>
      <c r="BW42" s="1665">
        <v>0</v>
      </c>
      <c r="BX42" s="1665">
        <v>0</v>
      </c>
      <c r="BY42" s="1665">
        <v>0</v>
      </c>
      <c r="BZ42" s="1663"/>
      <c r="CA42" s="1663"/>
      <c r="CB42" s="1668"/>
      <c r="CC42" s="1668"/>
      <c r="CD42" s="1663"/>
      <c r="CE42" s="1663"/>
      <c r="CF42" s="1665">
        <v>0</v>
      </c>
      <c r="CG42" s="1665">
        <v>0</v>
      </c>
      <c r="CH42" s="1665">
        <v>0</v>
      </c>
      <c r="CI42" s="1665">
        <v>0</v>
      </c>
      <c r="CJ42" s="1665">
        <v>0</v>
      </c>
      <c r="CK42" s="1665">
        <v>0</v>
      </c>
      <c r="CL42" s="1668"/>
      <c r="CM42" s="1665">
        <v>0</v>
      </c>
      <c r="CN42" s="1665">
        <v>0</v>
      </c>
      <c r="CO42" s="1665">
        <v>0</v>
      </c>
      <c r="CP42" s="1665">
        <v>0</v>
      </c>
      <c r="CQ42" s="1665">
        <v>0</v>
      </c>
      <c r="CR42" s="1665">
        <v>0</v>
      </c>
      <c r="CS42" s="1665">
        <v>0</v>
      </c>
      <c r="CT42" s="1665">
        <v>0</v>
      </c>
      <c r="CU42" s="1665">
        <v>0</v>
      </c>
      <c r="CV42" s="1665">
        <v>0</v>
      </c>
      <c r="CW42" s="1668"/>
      <c r="CX42" s="1663"/>
      <c r="CY42" s="1663"/>
      <c r="CZ42" s="1663"/>
      <c r="DA42" s="1663"/>
      <c r="DB42" s="1668"/>
      <c r="DC42" s="1662"/>
      <c r="DD42" s="1665">
        <v>0</v>
      </c>
      <c r="DE42" s="1663"/>
      <c r="DF42" s="1663"/>
      <c r="DG42" s="1665">
        <v>0</v>
      </c>
      <c r="DH42" s="1665">
        <v>0</v>
      </c>
    </row>
    <row r="43" spans="1:112" hidden="1" x14ac:dyDescent="0.25">
      <c r="A43" s="1662" t="s">
        <v>1755</v>
      </c>
      <c r="B43" s="1662" t="s">
        <v>1719</v>
      </c>
      <c r="C43" s="1662" t="s">
        <v>2619</v>
      </c>
      <c r="D43" s="1662"/>
      <c r="E43" s="1662"/>
      <c r="F43" s="1662"/>
      <c r="G43" s="1662"/>
      <c r="H43" s="1662"/>
      <c r="I43" s="1662"/>
      <c r="J43" s="1662"/>
      <c r="K43" s="1662"/>
      <c r="L43" s="1662"/>
      <c r="M43" s="1665">
        <v>4130687.05</v>
      </c>
      <c r="N43" s="1665">
        <v>0</v>
      </c>
      <c r="O43" s="1665">
        <v>4130687.05</v>
      </c>
      <c r="P43" s="1665">
        <v>3352807.77</v>
      </c>
      <c r="Q43" s="1665">
        <v>3352807.77</v>
      </c>
      <c r="R43" s="1665">
        <v>3352807.77</v>
      </c>
      <c r="S43" s="1665">
        <v>0</v>
      </c>
      <c r="T43" s="1665">
        <v>777879.28</v>
      </c>
      <c r="U43" s="1665">
        <v>0</v>
      </c>
      <c r="V43" s="1665">
        <v>0</v>
      </c>
      <c r="W43" s="1665">
        <v>0</v>
      </c>
      <c r="X43" s="1665">
        <v>777879.28</v>
      </c>
      <c r="Y43" s="1668"/>
      <c r="Z43" s="1662"/>
      <c r="AA43" s="1665">
        <v>0</v>
      </c>
      <c r="AB43" s="1665">
        <v>0</v>
      </c>
      <c r="AC43" s="1680">
        <v>0</v>
      </c>
      <c r="AD43" s="1681"/>
      <c r="AE43" s="1679"/>
      <c r="AF43" s="1662"/>
      <c r="AG43" s="1666"/>
      <c r="AH43" s="1667">
        <v>747832.39</v>
      </c>
      <c r="AI43" s="1665">
        <v>607002.72</v>
      </c>
      <c r="AJ43" s="1665">
        <v>607002.71</v>
      </c>
      <c r="AK43" s="1698">
        <v>607002.71</v>
      </c>
      <c r="AL43" s="1665">
        <v>0</v>
      </c>
      <c r="AM43" s="1668"/>
      <c r="AN43" s="1665">
        <v>315335.02</v>
      </c>
      <c r="AO43" s="1665">
        <v>255952.02</v>
      </c>
      <c r="AP43" s="1665">
        <v>255952.02</v>
      </c>
      <c r="AQ43" s="1665">
        <v>255952.02</v>
      </c>
      <c r="AR43" s="1665">
        <v>0</v>
      </c>
      <c r="AS43" s="1665">
        <v>59383</v>
      </c>
      <c r="AT43" s="1665">
        <v>0</v>
      </c>
      <c r="AU43" s="1665">
        <v>0</v>
      </c>
      <c r="AV43" s="1665">
        <v>0</v>
      </c>
      <c r="AW43" s="1665">
        <v>59383</v>
      </c>
      <c r="AX43" s="1665">
        <v>0</v>
      </c>
      <c r="AY43" s="1665">
        <v>0</v>
      </c>
      <c r="AZ43" s="1665">
        <v>0</v>
      </c>
      <c r="BA43" s="1668"/>
      <c r="BB43" s="1668"/>
      <c r="BC43" s="1665">
        <v>0</v>
      </c>
      <c r="BD43" s="1665">
        <v>0</v>
      </c>
      <c r="BE43" s="1665">
        <v>315335.02</v>
      </c>
      <c r="BF43" s="1665">
        <v>255952.02</v>
      </c>
      <c r="BG43" s="1665">
        <v>255952.02</v>
      </c>
      <c r="BH43" s="1665">
        <v>255952.02</v>
      </c>
      <c r="BI43" s="1665">
        <v>0</v>
      </c>
      <c r="BJ43" s="1665">
        <v>59383</v>
      </c>
      <c r="BK43" s="1665">
        <v>0</v>
      </c>
      <c r="BL43" s="1665">
        <v>0</v>
      </c>
      <c r="BM43" s="1665">
        <v>0</v>
      </c>
      <c r="BN43" s="1665">
        <v>59383</v>
      </c>
      <c r="BO43" s="1668"/>
      <c r="BP43" s="1665">
        <v>275747.55</v>
      </c>
      <c r="BQ43" s="1665">
        <v>223819.55</v>
      </c>
      <c r="BR43" s="1665">
        <v>223819.55</v>
      </c>
      <c r="BS43" s="1667">
        <v>223819.55</v>
      </c>
      <c r="BT43" s="1665">
        <v>0</v>
      </c>
      <c r="BU43" s="1665">
        <v>51928</v>
      </c>
      <c r="BV43" s="1665">
        <v>0</v>
      </c>
      <c r="BW43" s="1665">
        <v>0</v>
      </c>
      <c r="BX43" s="1665">
        <v>0</v>
      </c>
      <c r="BY43" s="1665">
        <v>51928</v>
      </c>
      <c r="BZ43" s="1665">
        <v>0</v>
      </c>
      <c r="CA43" s="1665">
        <v>0</v>
      </c>
      <c r="CB43" s="1668"/>
      <c r="CC43" s="1668"/>
      <c r="CD43" s="1665">
        <v>0</v>
      </c>
      <c r="CE43" s="1665">
        <v>0</v>
      </c>
      <c r="CF43" s="1665">
        <v>0</v>
      </c>
      <c r="CG43" s="1665">
        <v>0</v>
      </c>
      <c r="CH43" s="1665">
        <v>0</v>
      </c>
      <c r="CI43" s="1665">
        <v>0</v>
      </c>
      <c r="CJ43" s="1665">
        <v>0</v>
      </c>
      <c r="CK43" s="1665">
        <v>0</v>
      </c>
      <c r="CL43" s="1668"/>
      <c r="CM43" s="1665">
        <v>0</v>
      </c>
      <c r="CN43" s="1665">
        <v>0</v>
      </c>
      <c r="CO43" s="1665">
        <v>0</v>
      </c>
      <c r="CP43" s="1665">
        <v>0</v>
      </c>
      <c r="CQ43" s="1665">
        <v>0</v>
      </c>
      <c r="CR43" s="1665">
        <v>0</v>
      </c>
      <c r="CS43" s="1665">
        <v>0</v>
      </c>
      <c r="CT43" s="1665">
        <v>0</v>
      </c>
      <c r="CU43" s="1665">
        <v>0</v>
      </c>
      <c r="CV43" s="1665">
        <v>0</v>
      </c>
      <c r="CW43" s="1668"/>
      <c r="CX43" s="1665">
        <v>0</v>
      </c>
      <c r="CY43" s="1665">
        <v>0</v>
      </c>
      <c r="CZ43" s="1665">
        <v>0</v>
      </c>
      <c r="DA43" s="1665">
        <v>0</v>
      </c>
      <c r="DB43" s="1668"/>
      <c r="DC43" s="1662"/>
      <c r="DD43" s="1665">
        <v>0</v>
      </c>
      <c r="DE43" s="1665">
        <v>0</v>
      </c>
      <c r="DF43" s="1665">
        <v>0</v>
      </c>
      <c r="DG43" s="1665">
        <v>0</v>
      </c>
      <c r="DH43" s="1665">
        <v>0</v>
      </c>
    </row>
    <row r="44" spans="1:112" hidden="1" x14ac:dyDescent="0.25">
      <c r="A44" s="1662" t="s">
        <v>1756</v>
      </c>
      <c r="B44" s="1662" t="s">
        <v>1719</v>
      </c>
      <c r="C44" s="1662" t="s">
        <v>2619</v>
      </c>
      <c r="D44" s="1662" t="s">
        <v>2620</v>
      </c>
      <c r="E44" s="1662"/>
      <c r="F44" s="1662"/>
      <c r="G44" s="1662"/>
      <c r="H44" s="1662"/>
      <c r="I44" s="1662"/>
      <c r="J44" s="1662"/>
      <c r="K44" s="1662"/>
      <c r="L44" s="1662"/>
      <c r="M44" s="1665">
        <v>4130687.05</v>
      </c>
      <c r="N44" s="1665">
        <v>0</v>
      </c>
      <c r="O44" s="1665">
        <v>4130687.05</v>
      </c>
      <c r="P44" s="1665">
        <v>3352807.77</v>
      </c>
      <c r="Q44" s="1665">
        <v>3352807.77</v>
      </c>
      <c r="R44" s="1665">
        <v>3352807.77</v>
      </c>
      <c r="S44" s="1665">
        <v>0</v>
      </c>
      <c r="T44" s="1665">
        <v>777879.28</v>
      </c>
      <c r="U44" s="1665">
        <v>0</v>
      </c>
      <c r="V44" s="1665">
        <v>0</v>
      </c>
      <c r="W44" s="1665">
        <v>0</v>
      </c>
      <c r="X44" s="1665">
        <v>777879.28</v>
      </c>
      <c r="Y44" s="1668"/>
      <c r="Z44" s="1662"/>
      <c r="AA44" s="1665">
        <v>0</v>
      </c>
      <c r="AB44" s="1665">
        <v>0</v>
      </c>
      <c r="AC44" s="1680">
        <v>0</v>
      </c>
      <c r="AD44" s="1681"/>
      <c r="AE44" s="1679"/>
      <c r="AF44" s="1662"/>
      <c r="AG44" s="1666"/>
      <c r="AH44" s="1667">
        <v>747832.39</v>
      </c>
      <c r="AI44" s="1665">
        <v>607002.72</v>
      </c>
      <c r="AJ44" s="1665">
        <v>607002.71</v>
      </c>
      <c r="AK44" s="1698">
        <v>607002.71</v>
      </c>
      <c r="AL44" s="1665">
        <v>0</v>
      </c>
      <c r="AM44" s="1668"/>
      <c r="AN44" s="1665">
        <v>315335.02</v>
      </c>
      <c r="AO44" s="1665">
        <v>255952.02</v>
      </c>
      <c r="AP44" s="1665">
        <v>255952.02</v>
      </c>
      <c r="AQ44" s="1665">
        <v>255952.02</v>
      </c>
      <c r="AR44" s="1665">
        <v>0</v>
      </c>
      <c r="AS44" s="1665">
        <v>59383</v>
      </c>
      <c r="AT44" s="1665">
        <v>0</v>
      </c>
      <c r="AU44" s="1665">
        <v>0</v>
      </c>
      <c r="AV44" s="1665">
        <v>0</v>
      </c>
      <c r="AW44" s="1665">
        <v>59383</v>
      </c>
      <c r="AX44" s="1665">
        <v>0</v>
      </c>
      <c r="AY44" s="1665">
        <v>0</v>
      </c>
      <c r="AZ44" s="1665">
        <v>0</v>
      </c>
      <c r="BA44" s="1668"/>
      <c r="BB44" s="1668"/>
      <c r="BC44" s="1665">
        <v>0</v>
      </c>
      <c r="BD44" s="1665">
        <v>0</v>
      </c>
      <c r="BE44" s="1665">
        <v>315335.02</v>
      </c>
      <c r="BF44" s="1665">
        <v>255952.02</v>
      </c>
      <c r="BG44" s="1665">
        <v>255952.02</v>
      </c>
      <c r="BH44" s="1665">
        <v>255952.02</v>
      </c>
      <c r="BI44" s="1665">
        <v>0</v>
      </c>
      <c r="BJ44" s="1665">
        <v>59383</v>
      </c>
      <c r="BK44" s="1665">
        <v>0</v>
      </c>
      <c r="BL44" s="1665">
        <v>0</v>
      </c>
      <c r="BM44" s="1665">
        <v>0</v>
      </c>
      <c r="BN44" s="1665">
        <v>59383</v>
      </c>
      <c r="BO44" s="1668"/>
      <c r="BP44" s="1665">
        <v>275747.55</v>
      </c>
      <c r="BQ44" s="1665">
        <v>223819.55</v>
      </c>
      <c r="BR44" s="1665">
        <v>223819.55</v>
      </c>
      <c r="BS44" s="1667">
        <v>223819.55</v>
      </c>
      <c r="BT44" s="1665">
        <v>0</v>
      </c>
      <c r="BU44" s="1665">
        <v>51928</v>
      </c>
      <c r="BV44" s="1665">
        <v>0</v>
      </c>
      <c r="BW44" s="1665">
        <v>0</v>
      </c>
      <c r="BX44" s="1665">
        <v>0</v>
      </c>
      <c r="BY44" s="1665">
        <v>51928</v>
      </c>
      <c r="BZ44" s="1665">
        <v>0</v>
      </c>
      <c r="CA44" s="1665">
        <v>0</v>
      </c>
      <c r="CB44" s="1668"/>
      <c r="CC44" s="1668"/>
      <c r="CD44" s="1665">
        <v>0</v>
      </c>
      <c r="CE44" s="1665">
        <v>0</v>
      </c>
      <c r="CF44" s="1665">
        <v>0</v>
      </c>
      <c r="CG44" s="1665">
        <v>0</v>
      </c>
      <c r="CH44" s="1665">
        <v>0</v>
      </c>
      <c r="CI44" s="1665">
        <v>0</v>
      </c>
      <c r="CJ44" s="1665">
        <v>0</v>
      </c>
      <c r="CK44" s="1665">
        <v>0</v>
      </c>
      <c r="CL44" s="1668"/>
      <c r="CM44" s="1665">
        <v>0</v>
      </c>
      <c r="CN44" s="1665">
        <v>0</v>
      </c>
      <c r="CO44" s="1665">
        <v>0</v>
      </c>
      <c r="CP44" s="1665">
        <v>0</v>
      </c>
      <c r="CQ44" s="1665">
        <v>0</v>
      </c>
      <c r="CR44" s="1665">
        <v>0</v>
      </c>
      <c r="CS44" s="1665">
        <v>0</v>
      </c>
      <c r="CT44" s="1665">
        <v>0</v>
      </c>
      <c r="CU44" s="1665">
        <v>0</v>
      </c>
      <c r="CV44" s="1665">
        <v>0</v>
      </c>
      <c r="CW44" s="1668"/>
      <c r="CX44" s="1665">
        <v>0</v>
      </c>
      <c r="CY44" s="1665">
        <v>0</v>
      </c>
      <c r="CZ44" s="1665">
        <v>0</v>
      </c>
      <c r="DA44" s="1665">
        <v>0</v>
      </c>
      <c r="DB44" s="1668"/>
      <c r="DC44" s="1662"/>
      <c r="DD44" s="1665">
        <v>0</v>
      </c>
      <c r="DE44" s="1665">
        <v>0</v>
      </c>
      <c r="DF44" s="1665">
        <v>0</v>
      </c>
      <c r="DG44" s="1665">
        <v>0</v>
      </c>
      <c r="DH44" s="1665">
        <v>0</v>
      </c>
    </row>
    <row r="45" spans="1:112" ht="22.5" hidden="1" x14ac:dyDescent="0.25">
      <c r="A45" s="1662" t="s">
        <v>1757</v>
      </c>
      <c r="B45" s="1662" t="s">
        <v>1719</v>
      </c>
      <c r="C45" s="1662" t="s">
        <v>2619</v>
      </c>
      <c r="D45" s="1662" t="s">
        <v>2620</v>
      </c>
      <c r="E45" s="1662" t="s">
        <v>191</v>
      </c>
      <c r="F45" s="1662"/>
      <c r="G45" s="1662"/>
      <c r="H45" s="1662"/>
      <c r="I45" s="1662"/>
      <c r="J45" s="1662"/>
      <c r="K45" s="1662"/>
      <c r="L45" s="1662"/>
      <c r="M45" s="1665">
        <v>4130687.05</v>
      </c>
      <c r="N45" s="1665">
        <v>0</v>
      </c>
      <c r="O45" s="1665">
        <v>4130687.05</v>
      </c>
      <c r="P45" s="1665">
        <v>3352807.77</v>
      </c>
      <c r="Q45" s="1665">
        <v>3352807.77</v>
      </c>
      <c r="R45" s="1665">
        <v>3352807.77</v>
      </c>
      <c r="S45" s="1665">
        <v>0</v>
      </c>
      <c r="T45" s="1665">
        <v>777879.28</v>
      </c>
      <c r="U45" s="1665">
        <v>0</v>
      </c>
      <c r="V45" s="1665">
        <v>0</v>
      </c>
      <c r="W45" s="1665">
        <v>0</v>
      </c>
      <c r="X45" s="1665">
        <v>777879.28</v>
      </c>
      <c r="Y45" s="1668"/>
      <c r="Z45" s="1662"/>
      <c r="AA45" s="1665">
        <v>0</v>
      </c>
      <c r="AB45" s="1665">
        <v>0</v>
      </c>
      <c r="AC45" s="1680">
        <v>0</v>
      </c>
      <c r="AD45" s="1681"/>
      <c r="AE45" s="1679"/>
      <c r="AF45" s="1662"/>
      <c r="AG45" s="1666"/>
      <c r="AH45" s="1667">
        <v>747832.39</v>
      </c>
      <c r="AI45" s="1665">
        <v>607002.72</v>
      </c>
      <c r="AJ45" s="1665">
        <v>607002.71</v>
      </c>
      <c r="AK45" s="1698">
        <v>607002.71</v>
      </c>
      <c r="AL45" s="1665">
        <v>0</v>
      </c>
      <c r="AM45" s="1668"/>
      <c r="AN45" s="1665">
        <v>315335.02</v>
      </c>
      <c r="AO45" s="1665">
        <v>255952.02</v>
      </c>
      <c r="AP45" s="1665">
        <v>255952.02</v>
      </c>
      <c r="AQ45" s="1665">
        <v>255952.02</v>
      </c>
      <c r="AR45" s="1665">
        <v>0</v>
      </c>
      <c r="AS45" s="1665">
        <v>59383</v>
      </c>
      <c r="AT45" s="1665">
        <v>0</v>
      </c>
      <c r="AU45" s="1665">
        <v>0</v>
      </c>
      <c r="AV45" s="1665">
        <v>0</v>
      </c>
      <c r="AW45" s="1665">
        <v>59383</v>
      </c>
      <c r="AX45" s="1665">
        <v>0</v>
      </c>
      <c r="AY45" s="1665">
        <v>0</v>
      </c>
      <c r="AZ45" s="1665">
        <v>0</v>
      </c>
      <c r="BA45" s="1668"/>
      <c r="BB45" s="1668"/>
      <c r="BC45" s="1665">
        <v>0</v>
      </c>
      <c r="BD45" s="1665">
        <v>0</v>
      </c>
      <c r="BE45" s="1665">
        <v>315335.02</v>
      </c>
      <c r="BF45" s="1665">
        <v>255952.02</v>
      </c>
      <c r="BG45" s="1665">
        <v>255952.02</v>
      </c>
      <c r="BH45" s="1665">
        <v>255952.02</v>
      </c>
      <c r="BI45" s="1665">
        <v>0</v>
      </c>
      <c r="BJ45" s="1665">
        <v>59383</v>
      </c>
      <c r="BK45" s="1665">
        <v>0</v>
      </c>
      <c r="BL45" s="1665">
        <v>0</v>
      </c>
      <c r="BM45" s="1665">
        <v>0</v>
      </c>
      <c r="BN45" s="1665">
        <v>59383</v>
      </c>
      <c r="BO45" s="1668"/>
      <c r="BP45" s="1665">
        <v>275747.55</v>
      </c>
      <c r="BQ45" s="1665">
        <v>223819.55</v>
      </c>
      <c r="BR45" s="1665">
        <v>223819.55</v>
      </c>
      <c r="BS45" s="1667">
        <v>223819.55</v>
      </c>
      <c r="BT45" s="1665">
        <v>0</v>
      </c>
      <c r="BU45" s="1665">
        <v>51928</v>
      </c>
      <c r="BV45" s="1665">
        <v>0</v>
      </c>
      <c r="BW45" s="1665">
        <v>0</v>
      </c>
      <c r="BX45" s="1665">
        <v>0</v>
      </c>
      <c r="BY45" s="1665">
        <v>51928</v>
      </c>
      <c r="BZ45" s="1665">
        <v>0</v>
      </c>
      <c r="CA45" s="1665">
        <v>0</v>
      </c>
      <c r="CB45" s="1668"/>
      <c r="CC45" s="1668"/>
      <c r="CD45" s="1665">
        <v>0</v>
      </c>
      <c r="CE45" s="1665">
        <v>0</v>
      </c>
      <c r="CF45" s="1665">
        <v>0</v>
      </c>
      <c r="CG45" s="1665">
        <v>0</v>
      </c>
      <c r="CH45" s="1665">
        <v>0</v>
      </c>
      <c r="CI45" s="1665">
        <v>0</v>
      </c>
      <c r="CJ45" s="1665">
        <v>0</v>
      </c>
      <c r="CK45" s="1665">
        <v>0</v>
      </c>
      <c r="CL45" s="1668"/>
      <c r="CM45" s="1665">
        <v>0</v>
      </c>
      <c r="CN45" s="1665">
        <v>0</v>
      </c>
      <c r="CO45" s="1665">
        <v>0</v>
      </c>
      <c r="CP45" s="1665">
        <v>0</v>
      </c>
      <c r="CQ45" s="1665">
        <v>0</v>
      </c>
      <c r="CR45" s="1665">
        <v>0</v>
      </c>
      <c r="CS45" s="1665">
        <v>0</v>
      </c>
      <c r="CT45" s="1665">
        <v>0</v>
      </c>
      <c r="CU45" s="1665">
        <v>0</v>
      </c>
      <c r="CV45" s="1665">
        <v>0</v>
      </c>
      <c r="CW45" s="1668"/>
      <c r="CX45" s="1665">
        <v>0</v>
      </c>
      <c r="CY45" s="1665">
        <v>0</v>
      </c>
      <c r="CZ45" s="1665">
        <v>0</v>
      </c>
      <c r="DA45" s="1665">
        <v>0</v>
      </c>
      <c r="DB45" s="1668"/>
      <c r="DC45" s="1662"/>
      <c r="DD45" s="1665">
        <v>0</v>
      </c>
      <c r="DE45" s="1665">
        <v>0</v>
      </c>
      <c r="DF45" s="1665">
        <v>0</v>
      </c>
      <c r="DG45" s="1665">
        <v>0</v>
      </c>
      <c r="DH45" s="1665">
        <v>0</v>
      </c>
    </row>
    <row r="46" spans="1:112" ht="45" hidden="1" x14ac:dyDescent="0.25">
      <c r="A46" s="1662" t="s">
        <v>1758</v>
      </c>
      <c r="B46" s="1662" t="s">
        <v>1719</v>
      </c>
      <c r="C46" s="1662" t="s">
        <v>2619</v>
      </c>
      <c r="D46" s="1662" t="s">
        <v>2620</v>
      </c>
      <c r="E46" s="1662" t="s">
        <v>191</v>
      </c>
      <c r="F46" s="1662" t="s">
        <v>2616</v>
      </c>
      <c r="G46" s="1662" t="s">
        <v>2617</v>
      </c>
      <c r="H46" s="1662" t="s">
        <v>2618</v>
      </c>
      <c r="I46" s="1662" t="s">
        <v>742</v>
      </c>
      <c r="J46" s="1662" t="s">
        <v>2134</v>
      </c>
      <c r="K46" s="1662" t="s">
        <v>2135</v>
      </c>
      <c r="L46" s="1662" t="s">
        <v>2109</v>
      </c>
      <c r="M46" s="1665">
        <v>4130687.05</v>
      </c>
      <c r="N46" s="1665">
        <v>0</v>
      </c>
      <c r="O46" s="1665">
        <v>4130687.05</v>
      </c>
      <c r="P46" s="1665">
        <v>3352807.77</v>
      </c>
      <c r="Q46" s="1665">
        <v>3352807.77</v>
      </c>
      <c r="R46" s="1665">
        <v>3352807.77</v>
      </c>
      <c r="S46" s="1665">
        <v>0</v>
      </c>
      <c r="T46" s="1665">
        <v>777879.28</v>
      </c>
      <c r="U46" s="1665">
        <v>0</v>
      </c>
      <c r="V46" s="1665">
        <v>0</v>
      </c>
      <c r="W46" s="1665">
        <v>0</v>
      </c>
      <c r="X46" s="1665">
        <v>777879.28</v>
      </c>
      <c r="Y46" s="1668"/>
      <c r="Z46" s="1662"/>
      <c r="AA46" s="1665">
        <v>0</v>
      </c>
      <c r="AB46" s="1665">
        <v>0</v>
      </c>
      <c r="AC46" s="1680">
        <v>0</v>
      </c>
      <c r="AD46" s="1681"/>
      <c r="AE46" s="1679"/>
      <c r="AF46" s="1662"/>
      <c r="AG46" s="1666"/>
      <c r="AH46" s="1667">
        <v>747832.39</v>
      </c>
      <c r="AI46" s="1665">
        <v>607002.72</v>
      </c>
      <c r="AJ46" s="1665">
        <v>607002.71</v>
      </c>
      <c r="AK46" s="1698">
        <v>607002.71</v>
      </c>
      <c r="AL46" s="1665">
        <v>0</v>
      </c>
      <c r="AM46" s="1668"/>
      <c r="AN46" s="1665">
        <v>315335.02</v>
      </c>
      <c r="AO46" s="1665">
        <v>255952.02</v>
      </c>
      <c r="AP46" s="1665">
        <v>255952.02</v>
      </c>
      <c r="AQ46" s="1665">
        <v>255952.02</v>
      </c>
      <c r="AR46" s="1665">
        <v>0</v>
      </c>
      <c r="AS46" s="1665">
        <v>59383</v>
      </c>
      <c r="AT46" s="1665">
        <v>0</v>
      </c>
      <c r="AU46" s="1665">
        <v>0</v>
      </c>
      <c r="AV46" s="1665">
        <v>0</v>
      </c>
      <c r="AW46" s="1665">
        <v>59383</v>
      </c>
      <c r="AX46" s="1665">
        <v>0</v>
      </c>
      <c r="AY46" s="1665">
        <v>0</v>
      </c>
      <c r="AZ46" s="1665">
        <v>0</v>
      </c>
      <c r="BA46" s="1668"/>
      <c r="BB46" s="1668"/>
      <c r="BC46" s="1665">
        <v>0</v>
      </c>
      <c r="BD46" s="1665">
        <v>0</v>
      </c>
      <c r="BE46" s="1665">
        <v>315335.02</v>
      </c>
      <c r="BF46" s="1665">
        <v>255952.02</v>
      </c>
      <c r="BG46" s="1665">
        <v>255952.02</v>
      </c>
      <c r="BH46" s="1665">
        <v>255952.02</v>
      </c>
      <c r="BI46" s="1665">
        <v>0</v>
      </c>
      <c r="BJ46" s="1665">
        <v>59383</v>
      </c>
      <c r="BK46" s="1665">
        <v>0</v>
      </c>
      <c r="BL46" s="1665">
        <v>0</v>
      </c>
      <c r="BM46" s="1665">
        <v>0</v>
      </c>
      <c r="BN46" s="1665">
        <v>59383</v>
      </c>
      <c r="BO46" s="1668"/>
      <c r="BP46" s="1665">
        <v>275747.55</v>
      </c>
      <c r="BQ46" s="1665">
        <v>223819.55</v>
      </c>
      <c r="BR46" s="1665">
        <v>223819.55</v>
      </c>
      <c r="BS46" s="1667">
        <v>223819.55</v>
      </c>
      <c r="BT46" s="1665">
        <v>0</v>
      </c>
      <c r="BU46" s="1665">
        <v>51928</v>
      </c>
      <c r="BV46" s="1665">
        <v>0</v>
      </c>
      <c r="BW46" s="1665">
        <v>0</v>
      </c>
      <c r="BX46" s="1665">
        <v>0</v>
      </c>
      <c r="BY46" s="1665">
        <v>51928</v>
      </c>
      <c r="BZ46" s="1665">
        <v>0</v>
      </c>
      <c r="CA46" s="1665">
        <v>0</v>
      </c>
      <c r="CB46" s="1668"/>
      <c r="CC46" s="1668"/>
      <c r="CD46" s="1665">
        <v>0</v>
      </c>
      <c r="CE46" s="1665">
        <v>0</v>
      </c>
      <c r="CF46" s="1665">
        <v>0</v>
      </c>
      <c r="CG46" s="1665">
        <v>0</v>
      </c>
      <c r="CH46" s="1665">
        <v>0</v>
      </c>
      <c r="CI46" s="1665">
        <v>0</v>
      </c>
      <c r="CJ46" s="1665">
        <v>0</v>
      </c>
      <c r="CK46" s="1665">
        <v>0</v>
      </c>
      <c r="CL46" s="1668"/>
      <c r="CM46" s="1665">
        <v>0</v>
      </c>
      <c r="CN46" s="1665">
        <v>0</v>
      </c>
      <c r="CO46" s="1665">
        <v>0</v>
      </c>
      <c r="CP46" s="1665">
        <v>0</v>
      </c>
      <c r="CQ46" s="1665">
        <v>0</v>
      </c>
      <c r="CR46" s="1665">
        <v>0</v>
      </c>
      <c r="CS46" s="1665">
        <v>0</v>
      </c>
      <c r="CT46" s="1665">
        <v>0</v>
      </c>
      <c r="CU46" s="1665">
        <v>0</v>
      </c>
      <c r="CV46" s="1665">
        <v>0</v>
      </c>
      <c r="CW46" s="1668"/>
      <c r="CX46" s="1665">
        <v>0</v>
      </c>
      <c r="CY46" s="1665">
        <v>0</v>
      </c>
      <c r="CZ46" s="1665">
        <v>0</v>
      </c>
      <c r="DA46" s="1665">
        <v>0</v>
      </c>
      <c r="DB46" s="1668"/>
      <c r="DC46" s="1662"/>
      <c r="DD46" s="1665">
        <v>0</v>
      </c>
      <c r="DE46" s="1665">
        <v>0</v>
      </c>
      <c r="DF46" s="1665">
        <v>0</v>
      </c>
      <c r="DG46" s="1665">
        <v>0</v>
      </c>
      <c r="DH46" s="1665">
        <v>0</v>
      </c>
    </row>
    <row r="47" spans="1:112" ht="45" hidden="1" x14ac:dyDescent="0.25">
      <c r="A47" s="1662" t="s">
        <v>1759</v>
      </c>
      <c r="B47" s="1662" t="s">
        <v>1719</v>
      </c>
      <c r="C47" s="1662" t="s">
        <v>2619</v>
      </c>
      <c r="D47" s="1662" t="s">
        <v>2620</v>
      </c>
      <c r="E47" s="1662" t="s">
        <v>191</v>
      </c>
      <c r="F47" s="1662" t="s">
        <v>2616</v>
      </c>
      <c r="G47" s="1662" t="s">
        <v>2617</v>
      </c>
      <c r="H47" s="1662" t="s">
        <v>2618</v>
      </c>
      <c r="I47" s="1662" t="s">
        <v>742</v>
      </c>
      <c r="J47" s="1662" t="s">
        <v>2134</v>
      </c>
      <c r="K47" s="1662" t="s">
        <v>2135</v>
      </c>
      <c r="L47" s="1662" t="s">
        <v>2109</v>
      </c>
      <c r="M47" s="1663"/>
      <c r="N47" s="1663"/>
      <c r="O47" s="1663"/>
      <c r="P47" s="1663"/>
      <c r="Q47" s="1663"/>
      <c r="R47" s="1663"/>
      <c r="S47" s="1663"/>
      <c r="T47" s="1663"/>
      <c r="U47" s="1663"/>
      <c r="V47" s="1663"/>
      <c r="W47" s="1663"/>
      <c r="X47" s="1663"/>
      <c r="Y47" s="1664">
        <v>43111</v>
      </c>
      <c r="Z47" s="1662" t="s">
        <v>2110</v>
      </c>
      <c r="AA47" s="1665">
        <v>0</v>
      </c>
      <c r="AB47" s="1665">
        <v>0</v>
      </c>
      <c r="AC47" s="1680">
        <v>0</v>
      </c>
      <c r="AD47" s="1682">
        <v>43152</v>
      </c>
      <c r="AE47" s="1679" t="s">
        <v>2111</v>
      </c>
      <c r="AF47" s="1662" t="s">
        <v>2115</v>
      </c>
      <c r="AG47" s="1666"/>
      <c r="AH47" s="1667">
        <v>43305.2</v>
      </c>
      <c r="AI47" s="1665">
        <v>35150.089999999997</v>
      </c>
      <c r="AJ47" s="1665">
        <v>35150.089999999997</v>
      </c>
      <c r="AK47" s="1698">
        <v>35150.089999999997</v>
      </c>
      <c r="AL47" s="1665">
        <v>0</v>
      </c>
      <c r="AM47" s="1664">
        <v>43159</v>
      </c>
      <c r="AN47" s="1665">
        <v>43305.2</v>
      </c>
      <c r="AO47" s="1665">
        <v>35150.089999999997</v>
      </c>
      <c r="AP47" s="1665">
        <v>35150.089999999997</v>
      </c>
      <c r="AQ47" s="1665">
        <v>35150.089999999997</v>
      </c>
      <c r="AR47" s="1665">
        <v>0</v>
      </c>
      <c r="AS47" s="1665">
        <v>8155.11</v>
      </c>
      <c r="AT47" s="1665">
        <v>0</v>
      </c>
      <c r="AU47" s="1665">
        <v>0</v>
      </c>
      <c r="AV47" s="1665">
        <v>0</v>
      </c>
      <c r="AW47" s="1665">
        <v>8155.11</v>
      </c>
      <c r="AX47" s="1663"/>
      <c r="AY47" s="1663"/>
      <c r="AZ47" s="1663"/>
      <c r="BA47" s="1668"/>
      <c r="BB47" s="1668"/>
      <c r="BC47" s="1663"/>
      <c r="BD47" s="1663"/>
      <c r="BE47" s="1665">
        <v>43305.2</v>
      </c>
      <c r="BF47" s="1665">
        <v>35150.089999999997</v>
      </c>
      <c r="BG47" s="1665">
        <v>35150.089999999997</v>
      </c>
      <c r="BH47" s="1665">
        <v>35150.089999999997</v>
      </c>
      <c r="BI47" s="1665">
        <v>0</v>
      </c>
      <c r="BJ47" s="1665">
        <v>8155.11</v>
      </c>
      <c r="BK47" s="1665">
        <v>0</v>
      </c>
      <c r="BL47" s="1665">
        <v>0</v>
      </c>
      <c r="BM47" s="1665">
        <v>0</v>
      </c>
      <c r="BN47" s="1665">
        <v>8155.11</v>
      </c>
      <c r="BO47" s="1664">
        <v>43230</v>
      </c>
      <c r="BP47" s="1665">
        <v>43305.2</v>
      </c>
      <c r="BQ47" s="1665">
        <v>35150.089999999997</v>
      </c>
      <c r="BR47" s="1665">
        <v>35150.089999999997</v>
      </c>
      <c r="BS47" s="1667">
        <v>35150.089999999997</v>
      </c>
      <c r="BT47" s="1665">
        <v>0</v>
      </c>
      <c r="BU47" s="1665">
        <v>8155.11</v>
      </c>
      <c r="BV47" s="1665">
        <v>0</v>
      </c>
      <c r="BW47" s="1665">
        <v>0</v>
      </c>
      <c r="BX47" s="1665">
        <v>0</v>
      </c>
      <c r="BY47" s="1665">
        <v>8155.11</v>
      </c>
      <c r="BZ47" s="1665">
        <v>0</v>
      </c>
      <c r="CA47" s="1663"/>
      <c r="CB47" s="1668"/>
      <c r="CC47" s="1668"/>
      <c r="CD47" s="1663"/>
      <c r="CE47" s="1663"/>
      <c r="CF47" s="1665">
        <v>0</v>
      </c>
      <c r="CG47" s="1665">
        <v>0</v>
      </c>
      <c r="CH47" s="1665">
        <v>0</v>
      </c>
      <c r="CI47" s="1665">
        <v>0</v>
      </c>
      <c r="CJ47" s="1665">
        <v>0</v>
      </c>
      <c r="CK47" s="1665">
        <v>0</v>
      </c>
      <c r="CL47" s="1668"/>
      <c r="CM47" s="1665">
        <v>0</v>
      </c>
      <c r="CN47" s="1665">
        <v>0</v>
      </c>
      <c r="CO47" s="1665">
        <v>0</v>
      </c>
      <c r="CP47" s="1665">
        <v>0</v>
      </c>
      <c r="CQ47" s="1665">
        <v>0</v>
      </c>
      <c r="CR47" s="1665">
        <v>0</v>
      </c>
      <c r="CS47" s="1665">
        <v>0</v>
      </c>
      <c r="CT47" s="1665">
        <v>0</v>
      </c>
      <c r="CU47" s="1665">
        <v>0</v>
      </c>
      <c r="CV47" s="1665">
        <v>0</v>
      </c>
      <c r="CW47" s="1668"/>
      <c r="CX47" s="1663"/>
      <c r="CY47" s="1663"/>
      <c r="CZ47" s="1663"/>
      <c r="DA47" s="1663"/>
      <c r="DB47" s="1668"/>
      <c r="DC47" s="1662"/>
      <c r="DD47" s="1665">
        <v>0</v>
      </c>
      <c r="DE47" s="1663"/>
      <c r="DF47" s="1663"/>
      <c r="DG47" s="1665">
        <v>0</v>
      </c>
      <c r="DH47" s="1665">
        <v>0</v>
      </c>
    </row>
    <row r="48" spans="1:112" ht="45" hidden="1" x14ac:dyDescent="0.25">
      <c r="A48" s="1662" t="s">
        <v>1760</v>
      </c>
      <c r="B48" s="1662" t="s">
        <v>1719</v>
      </c>
      <c r="C48" s="1662" t="s">
        <v>2619</v>
      </c>
      <c r="D48" s="1662" t="s">
        <v>2620</v>
      </c>
      <c r="E48" s="1662" t="s">
        <v>191</v>
      </c>
      <c r="F48" s="1662" t="s">
        <v>2616</v>
      </c>
      <c r="G48" s="1662" t="s">
        <v>2617</v>
      </c>
      <c r="H48" s="1662" t="s">
        <v>2618</v>
      </c>
      <c r="I48" s="1662" t="s">
        <v>742</v>
      </c>
      <c r="J48" s="1662" t="s">
        <v>2134</v>
      </c>
      <c r="K48" s="1662" t="s">
        <v>2135</v>
      </c>
      <c r="L48" s="1662" t="s">
        <v>2109</v>
      </c>
      <c r="M48" s="1663"/>
      <c r="N48" s="1663"/>
      <c r="O48" s="1663"/>
      <c r="P48" s="1663"/>
      <c r="Q48" s="1663"/>
      <c r="R48" s="1663"/>
      <c r="S48" s="1663"/>
      <c r="T48" s="1663"/>
      <c r="U48" s="1663"/>
      <c r="V48" s="1663"/>
      <c r="W48" s="1663"/>
      <c r="X48" s="1663"/>
      <c r="Y48" s="1664">
        <v>43172</v>
      </c>
      <c r="Z48" s="1662" t="s">
        <v>2110</v>
      </c>
      <c r="AA48" s="1665">
        <v>0</v>
      </c>
      <c r="AB48" s="1665">
        <v>0</v>
      </c>
      <c r="AC48" s="1680">
        <v>0</v>
      </c>
      <c r="AD48" s="1682">
        <v>43196</v>
      </c>
      <c r="AE48" s="1679" t="s">
        <v>2114</v>
      </c>
      <c r="AF48" s="1662" t="s">
        <v>2115</v>
      </c>
      <c r="AG48" s="1666"/>
      <c r="AH48" s="1667">
        <v>128670</v>
      </c>
      <c r="AI48" s="1665">
        <v>104439.23</v>
      </c>
      <c r="AJ48" s="1665">
        <v>104439.23</v>
      </c>
      <c r="AK48" s="1698">
        <v>104439.23</v>
      </c>
      <c r="AL48" s="1665">
        <v>0</v>
      </c>
      <c r="AM48" s="1664">
        <v>43201</v>
      </c>
      <c r="AN48" s="1665">
        <v>128670</v>
      </c>
      <c r="AO48" s="1665">
        <v>104439.23</v>
      </c>
      <c r="AP48" s="1665">
        <v>104439.23</v>
      </c>
      <c r="AQ48" s="1665">
        <v>104439.23</v>
      </c>
      <c r="AR48" s="1665">
        <v>0</v>
      </c>
      <c r="AS48" s="1665">
        <v>24230.77</v>
      </c>
      <c r="AT48" s="1665">
        <v>0</v>
      </c>
      <c r="AU48" s="1665">
        <v>0</v>
      </c>
      <c r="AV48" s="1665">
        <v>0</v>
      </c>
      <c r="AW48" s="1665">
        <v>24230.77</v>
      </c>
      <c r="AX48" s="1663"/>
      <c r="AY48" s="1663"/>
      <c r="AZ48" s="1663"/>
      <c r="BA48" s="1668"/>
      <c r="BB48" s="1668"/>
      <c r="BC48" s="1663"/>
      <c r="BD48" s="1663"/>
      <c r="BE48" s="1665">
        <v>128670</v>
      </c>
      <c r="BF48" s="1665">
        <v>104439.23</v>
      </c>
      <c r="BG48" s="1665">
        <v>104439.23</v>
      </c>
      <c r="BH48" s="1665">
        <v>104439.23</v>
      </c>
      <c r="BI48" s="1665">
        <v>0</v>
      </c>
      <c r="BJ48" s="1665">
        <v>24230.77</v>
      </c>
      <c r="BK48" s="1665">
        <v>0</v>
      </c>
      <c r="BL48" s="1665">
        <v>0</v>
      </c>
      <c r="BM48" s="1665">
        <v>0</v>
      </c>
      <c r="BN48" s="1665">
        <v>24230.77</v>
      </c>
      <c r="BO48" s="1664">
        <v>43355</v>
      </c>
      <c r="BP48" s="1665">
        <v>128670</v>
      </c>
      <c r="BQ48" s="1665">
        <v>104439.23</v>
      </c>
      <c r="BR48" s="1665">
        <v>104439.23</v>
      </c>
      <c r="BS48" s="1667">
        <v>104439.23</v>
      </c>
      <c r="BT48" s="1665">
        <v>0</v>
      </c>
      <c r="BU48" s="1665">
        <v>24230.77</v>
      </c>
      <c r="BV48" s="1665">
        <v>0</v>
      </c>
      <c r="BW48" s="1665">
        <v>0</v>
      </c>
      <c r="BX48" s="1665">
        <v>0</v>
      </c>
      <c r="BY48" s="1665">
        <v>24230.77</v>
      </c>
      <c r="BZ48" s="1665">
        <v>0</v>
      </c>
      <c r="CA48" s="1663"/>
      <c r="CB48" s="1668"/>
      <c r="CC48" s="1668"/>
      <c r="CD48" s="1663"/>
      <c r="CE48" s="1663"/>
      <c r="CF48" s="1665">
        <v>0</v>
      </c>
      <c r="CG48" s="1665">
        <v>0</v>
      </c>
      <c r="CH48" s="1665">
        <v>0</v>
      </c>
      <c r="CI48" s="1665">
        <v>0</v>
      </c>
      <c r="CJ48" s="1665">
        <v>0</v>
      </c>
      <c r="CK48" s="1665">
        <v>0</v>
      </c>
      <c r="CL48" s="1668"/>
      <c r="CM48" s="1665">
        <v>0</v>
      </c>
      <c r="CN48" s="1665">
        <v>0</v>
      </c>
      <c r="CO48" s="1665">
        <v>0</v>
      </c>
      <c r="CP48" s="1665">
        <v>0</v>
      </c>
      <c r="CQ48" s="1665">
        <v>0</v>
      </c>
      <c r="CR48" s="1665">
        <v>0</v>
      </c>
      <c r="CS48" s="1665">
        <v>0</v>
      </c>
      <c r="CT48" s="1665">
        <v>0</v>
      </c>
      <c r="CU48" s="1665">
        <v>0</v>
      </c>
      <c r="CV48" s="1665">
        <v>0</v>
      </c>
      <c r="CW48" s="1668"/>
      <c r="CX48" s="1663"/>
      <c r="CY48" s="1663"/>
      <c r="CZ48" s="1663"/>
      <c r="DA48" s="1663"/>
      <c r="DB48" s="1668"/>
      <c r="DC48" s="1662"/>
      <c r="DD48" s="1665">
        <v>0</v>
      </c>
      <c r="DE48" s="1663"/>
      <c r="DF48" s="1663"/>
      <c r="DG48" s="1665">
        <v>0</v>
      </c>
      <c r="DH48" s="1665">
        <v>0</v>
      </c>
    </row>
    <row r="49" spans="1:112" ht="45" hidden="1" x14ac:dyDescent="0.25">
      <c r="A49" s="1662" t="s">
        <v>1761</v>
      </c>
      <c r="B49" s="1662" t="s">
        <v>1719</v>
      </c>
      <c r="C49" s="1662" t="s">
        <v>2619</v>
      </c>
      <c r="D49" s="1662" t="s">
        <v>2620</v>
      </c>
      <c r="E49" s="1662" t="s">
        <v>191</v>
      </c>
      <c r="F49" s="1662" t="s">
        <v>2616</v>
      </c>
      <c r="G49" s="1662" t="s">
        <v>2617</v>
      </c>
      <c r="H49" s="1662" t="s">
        <v>2618</v>
      </c>
      <c r="I49" s="1662" t="s">
        <v>742</v>
      </c>
      <c r="J49" s="1662" t="s">
        <v>2134</v>
      </c>
      <c r="K49" s="1662" t="s">
        <v>2135</v>
      </c>
      <c r="L49" s="1662" t="s">
        <v>2109</v>
      </c>
      <c r="M49" s="1663"/>
      <c r="N49" s="1663"/>
      <c r="O49" s="1663"/>
      <c r="P49" s="1663"/>
      <c r="Q49" s="1663"/>
      <c r="R49" s="1663"/>
      <c r="S49" s="1663"/>
      <c r="T49" s="1663"/>
      <c r="U49" s="1663"/>
      <c r="V49" s="1663"/>
      <c r="W49" s="1663"/>
      <c r="X49" s="1663"/>
      <c r="Y49" s="1664">
        <v>43235</v>
      </c>
      <c r="Z49" s="1662" t="s">
        <v>2110</v>
      </c>
      <c r="AA49" s="1665">
        <v>0</v>
      </c>
      <c r="AB49" s="1665">
        <v>0</v>
      </c>
      <c r="AC49" s="1680">
        <v>0</v>
      </c>
      <c r="AD49" s="1682">
        <v>43265</v>
      </c>
      <c r="AE49" s="1679" t="s">
        <v>2128</v>
      </c>
      <c r="AF49" s="1662" t="s">
        <v>2115</v>
      </c>
      <c r="AG49" s="1666"/>
      <c r="AH49" s="1667">
        <v>103772.35</v>
      </c>
      <c r="AI49" s="1665">
        <v>84230.24</v>
      </c>
      <c r="AJ49" s="1665">
        <v>84230.23</v>
      </c>
      <c r="AK49" s="1698">
        <v>84230.23</v>
      </c>
      <c r="AL49" s="1665">
        <v>0</v>
      </c>
      <c r="AM49" s="1664">
        <v>43297</v>
      </c>
      <c r="AN49" s="1665">
        <v>103772.35</v>
      </c>
      <c r="AO49" s="1665">
        <v>84230.23</v>
      </c>
      <c r="AP49" s="1665">
        <v>84230.23</v>
      </c>
      <c r="AQ49" s="1665">
        <v>84230.23</v>
      </c>
      <c r="AR49" s="1665">
        <v>0</v>
      </c>
      <c r="AS49" s="1665">
        <v>19542.12</v>
      </c>
      <c r="AT49" s="1665">
        <v>0</v>
      </c>
      <c r="AU49" s="1665">
        <v>0</v>
      </c>
      <c r="AV49" s="1665">
        <v>0</v>
      </c>
      <c r="AW49" s="1665">
        <v>19542.12</v>
      </c>
      <c r="AX49" s="1663"/>
      <c r="AY49" s="1663"/>
      <c r="AZ49" s="1663"/>
      <c r="BA49" s="1668"/>
      <c r="BB49" s="1668"/>
      <c r="BC49" s="1663"/>
      <c r="BD49" s="1663"/>
      <c r="BE49" s="1665">
        <v>103772.35</v>
      </c>
      <c r="BF49" s="1665">
        <v>84230.23</v>
      </c>
      <c r="BG49" s="1665">
        <v>84230.23</v>
      </c>
      <c r="BH49" s="1665">
        <v>84230.23</v>
      </c>
      <c r="BI49" s="1665">
        <v>0</v>
      </c>
      <c r="BJ49" s="1665">
        <v>19542.12</v>
      </c>
      <c r="BK49" s="1665">
        <v>0</v>
      </c>
      <c r="BL49" s="1665">
        <v>0</v>
      </c>
      <c r="BM49" s="1665">
        <v>0</v>
      </c>
      <c r="BN49" s="1665">
        <v>19542.12</v>
      </c>
      <c r="BO49" s="1664">
        <v>43355</v>
      </c>
      <c r="BP49" s="1665">
        <v>103772.35</v>
      </c>
      <c r="BQ49" s="1665">
        <v>84230.23</v>
      </c>
      <c r="BR49" s="1665">
        <v>84230.23</v>
      </c>
      <c r="BS49" s="1667">
        <v>84230.23</v>
      </c>
      <c r="BT49" s="1665">
        <v>0</v>
      </c>
      <c r="BU49" s="1665">
        <v>19542.12</v>
      </c>
      <c r="BV49" s="1665">
        <v>0</v>
      </c>
      <c r="BW49" s="1665">
        <v>0</v>
      </c>
      <c r="BX49" s="1665">
        <v>0</v>
      </c>
      <c r="BY49" s="1665">
        <v>19542.12</v>
      </c>
      <c r="BZ49" s="1665">
        <v>0</v>
      </c>
      <c r="CA49" s="1663"/>
      <c r="CB49" s="1668"/>
      <c r="CC49" s="1668"/>
      <c r="CD49" s="1663"/>
      <c r="CE49" s="1663"/>
      <c r="CF49" s="1665">
        <v>0</v>
      </c>
      <c r="CG49" s="1665">
        <v>0</v>
      </c>
      <c r="CH49" s="1665">
        <v>0</v>
      </c>
      <c r="CI49" s="1665">
        <v>0</v>
      </c>
      <c r="CJ49" s="1665">
        <v>0</v>
      </c>
      <c r="CK49" s="1665">
        <v>0</v>
      </c>
      <c r="CL49" s="1668"/>
      <c r="CM49" s="1665">
        <v>0</v>
      </c>
      <c r="CN49" s="1665">
        <v>0</v>
      </c>
      <c r="CO49" s="1665">
        <v>0</v>
      </c>
      <c r="CP49" s="1665">
        <v>0</v>
      </c>
      <c r="CQ49" s="1665">
        <v>0</v>
      </c>
      <c r="CR49" s="1665">
        <v>0</v>
      </c>
      <c r="CS49" s="1665">
        <v>0</v>
      </c>
      <c r="CT49" s="1665">
        <v>0</v>
      </c>
      <c r="CU49" s="1665">
        <v>0</v>
      </c>
      <c r="CV49" s="1665">
        <v>0</v>
      </c>
      <c r="CW49" s="1668"/>
      <c r="CX49" s="1663"/>
      <c r="CY49" s="1663"/>
      <c r="CZ49" s="1663"/>
      <c r="DA49" s="1663"/>
      <c r="DB49" s="1668"/>
      <c r="DC49" s="1662"/>
      <c r="DD49" s="1665">
        <v>0</v>
      </c>
      <c r="DE49" s="1663"/>
      <c r="DF49" s="1663"/>
      <c r="DG49" s="1665">
        <v>0</v>
      </c>
      <c r="DH49" s="1665">
        <v>0</v>
      </c>
    </row>
    <row r="50" spans="1:112" ht="45" hidden="1" x14ac:dyDescent="0.25">
      <c r="A50" s="1662" t="s">
        <v>1762</v>
      </c>
      <c r="B50" s="1662" t="s">
        <v>1719</v>
      </c>
      <c r="C50" s="1662" t="s">
        <v>2619</v>
      </c>
      <c r="D50" s="1662" t="s">
        <v>2620</v>
      </c>
      <c r="E50" s="1662" t="s">
        <v>191</v>
      </c>
      <c r="F50" s="1662" t="s">
        <v>2616</v>
      </c>
      <c r="G50" s="1662" t="s">
        <v>2617</v>
      </c>
      <c r="H50" s="1662" t="s">
        <v>2618</v>
      </c>
      <c r="I50" s="1662" t="s">
        <v>742</v>
      </c>
      <c r="J50" s="1662" t="s">
        <v>2134</v>
      </c>
      <c r="K50" s="1662" t="s">
        <v>2135</v>
      </c>
      <c r="L50" s="1662" t="s">
        <v>2109</v>
      </c>
      <c r="M50" s="1663"/>
      <c r="N50" s="1663"/>
      <c r="O50" s="1663"/>
      <c r="P50" s="1663"/>
      <c r="Q50" s="1663"/>
      <c r="R50" s="1663"/>
      <c r="S50" s="1663"/>
      <c r="T50" s="1663"/>
      <c r="U50" s="1663"/>
      <c r="V50" s="1663"/>
      <c r="W50" s="1663"/>
      <c r="X50" s="1663"/>
      <c r="Y50" s="1664">
        <v>43307</v>
      </c>
      <c r="Z50" s="1662" t="s">
        <v>2110</v>
      </c>
      <c r="AA50" s="1665">
        <v>0</v>
      </c>
      <c r="AB50" s="1665">
        <v>0</v>
      </c>
      <c r="AC50" s="1680">
        <v>0</v>
      </c>
      <c r="AD50" s="1682">
        <v>43339</v>
      </c>
      <c r="AE50" s="1679" t="s">
        <v>2129</v>
      </c>
      <c r="AF50" s="1662" t="s">
        <v>2115</v>
      </c>
      <c r="AG50" s="1666"/>
      <c r="AH50" s="1667">
        <v>0</v>
      </c>
      <c r="AI50" s="1665">
        <v>0</v>
      </c>
      <c r="AJ50" s="1665">
        <v>0</v>
      </c>
      <c r="AK50" s="1698">
        <v>0</v>
      </c>
      <c r="AL50" s="1665">
        <v>0</v>
      </c>
      <c r="AM50" s="1668"/>
      <c r="AN50" s="1665">
        <v>0</v>
      </c>
      <c r="AO50" s="1665">
        <v>0</v>
      </c>
      <c r="AP50" s="1665">
        <v>0</v>
      </c>
      <c r="AQ50" s="1665">
        <v>0</v>
      </c>
      <c r="AR50" s="1665">
        <v>0</v>
      </c>
      <c r="AS50" s="1665">
        <v>0</v>
      </c>
      <c r="AT50" s="1665">
        <v>0</v>
      </c>
      <c r="AU50" s="1665">
        <v>0</v>
      </c>
      <c r="AV50" s="1665">
        <v>0</v>
      </c>
      <c r="AW50" s="1665">
        <v>0</v>
      </c>
      <c r="AX50" s="1663"/>
      <c r="AY50" s="1663"/>
      <c r="AZ50" s="1663"/>
      <c r="BA50" s="1668"/>
      <c r="BB50" s="1668"/>
      <c r="BC50" s="1663"/>
      <c r="BD50" s="1663"/>
      <c r="BE50" s="1665">
        <v>0</v>
      </c>
      <c r="BF50" s="1665">
        <v>0</v>
      </c>
      <c r="BG50" s="1665">
        <v>0</v>
      </c>
      <c r="BH50" s="1665">
        <v>0</v>
      </c>
      <c r="BI50" s="1665">
        <v>0</v>
      </c>
      <c r="BJ50" s="1665">
        <v>0</v>
      </c>
      <c r="BK50" s="1665">
        <v>0</v>
      </c>
      <c r="BL50" s="1665">
        <v>0</v>
      </c>
      <c r="BM50" s="1665">
        <v>0</v>
      </c>
      <c r="BN50" s="1665">
        <v>0</v>
      </c>
      <c r="BO50" s="1668"/>
      <c r="BP50" s="1665">
        <v>0</v>
      </c>
      <c r="BQ50" s="1665">
        <v>0</v>
      </c>
      <c r="BR50" s="1665">
        <v>0</v>
      </c>
      <c r="BS50" s="1667">
        <v>0</v>
      </c>
      <c r="BT50" s="1665">
        <v>0</v>
      </c>
      <c r="BU50" s="1665">
        <v>0</v>
      </c>
      <c r="BV50" s="1665">
        <v>0</v>
      </c>
      <c r="BW50" s="1665">
        <v>0</v>
      </c>
      <c r="BX50" s="1665">
        <v>0</v>
      </c>
      <c r="BY50" s="1665">
        <v>0</v>
      </c>
      <c r="BZ50" s="1663"/>
      <c r="CA50" s="1663"/>
      <c r="CB50" s="1668"/>
      <c r="CC50" s="1668"/>
      <c r="CD50" s="1663"/>
      <c r="CE50" s="1663"/>
      <c r="CF50" s="1665">
        <v>0</v>
      </c>
      <c r="CG50" s="1665">
        <v>0</v>
      </c>
      <c r="CH50" s="1665">
        <v>0</v>
      </c>
      <c r="CI50" s="1665">
        <v>0</v>
      </c>
      <c r="CJ50" s="1665">
        <v>0</v>
      </c>
      <c r="CK50" s="1665">
        <v>0</v>
      </c>
      <c r="CL50" s="1668"/>
      <c r="CM50" s="1665">
        <v>0</v>
      </c>
      <c r="CN50" s="1665">
        <v>0</v>
      </c>
      <c r="CO50" s="1665">
        <v>0</v>
      </c>
      <c r="CP50" s="1665">
        <v>0</v>
      </c>
      <c r="CQ50" s="1665">
        <v>0</v>
      </c>
      <c r="CR50" s="1665">
        <v>0</v>
      </c>
      <c r="CS50" s="1665">
        <v>0</v>
      </c>
      <c r="CT50" s="1665">
        <v>0</v>
      </c>
      <c r="CU50" s="1665">
        <v>0</v>
      </c>
      <c r="CV50" s="1665">
        <v>0</v>
      </c>
      <c r="CW50" s="1668"/>
      <c r="CX50" s="1663"/>
      <c r="CY50" s="1663"/>
      <c r="CZ50" s="1663"/>
      <c r="DA50" s="1663"/>
      <c r="DB50" s="1668"/>
      <c r="DC50" s="1662"/>
      <c r="DD50" s="1665">
        <v>0</v>
      </c>
      <c r="DE50" s="1663"/>
      <c r="DF50" s="1663"/>
      <c r="DG50" s="1665">
        <v>0</v>
      </c>
      <c r="DH50" s="1665">
        <v>0</v>
      </c>
    </row>
    <row r="51" spans="1:112" ht="45" hidden="1" x14ac:dyDescent="0.25">
      <c r="A51" s="1662" t="s">
        <v>1763</v>
      </c>
      <c r="B51" s="1662" t="s">
        <v>1719</v>
      </c>
      <c r="C51" s="1662" t="s">
        <v>2619</v>
      </c>
      <c r="D51" s="1662" t="s">
        <v>2620</v>
      </c>
      <c r="E51" s="1662" t="s">
        <v>191</v>
      </c>
      <c r="F51" s="1662" t="s">
        <v>2616</v>
      </c>
      <c r="G51" s="1662" t="s">
        <v>2617</v>
      </c>
      <c r="H51" s="1662" t="s">
        <v>2618</v>
      </c>
      <c r="I51" s="1662" t="s">
        <v>742</v>
      </c>
      <c r="J51" s="1662" t="s">
        <v>2134</v>
      </c>
      <c r="K51" s="1662" t="s">
        <v>2135</v>
      </c>
      <c r="L51" s="1662" t="s">
        <v>2109</v>
      </c>
      <c r="M51" s="1663"/>
      <c r="N51" s="1663"/>
      <c r="O51" s="1663"/>
      <c r="P51" s="1663"/>
      <c r="Q51" s="1663"/>
      <c r="R51" s="1663"/>
      <c r="S51" s="1663"/>
      <c r="T51" s="1663"/>
      <c r="U51" s="1663"/>
      <c r="V51" s="1663"/>
      <c r="W51" s="1663"/>
      <c r="X51" s="1663"/>
      <c r="Y51" s="1664">
        <v>43357</v>
      </c>
      <c r="Z51" s="1662" t="s">
        <v>2110</v>
      </c>
      <c r="AA51" s="1665">
        <v>0</v>
      </c>
      <c r="AB51" s="1665">
        <v>0</v>
      </c>
      <c r="AC51" s="1680">
        <v>0</v>
      </c>
      <c r="AD51" s="1682">
        <v>43381</v>
      </c>
      <c r="AE51" s="1679" t="s">
        <v>2130</v>
      </c>
      <c r="AF51" s="1662" t="s">
        <v>2115</v>
      </c>
      <c r="AG51" s="1666"/>
      <c r="AH51" s="1667">
        <v>432497.37</v>
      </c>
      <c r="AI51" s="1665">
        <v>351050.69</v>
      </c>
      <c r="AJ51" s="1665">
        <v>351050.69</v>
      </c>
      <c r="AK51" s="1698">
        <v>351050.69</v>
      </c>
      <c r="AL51" s="1665">
        <v>0</v>
      </c>
      <c r="AM51" s="1668"/>
      <c r="AN51" s="1665">
        <v>0</v>
      </c>
      <c r="AO51" s="1665">
        <v>0</v>
      </c>
      <c r="AP51" s="1665">
        <v>0</v>
      </c>
      <c r="AQ51" s="1665">
        <v>0</v>
      </c>
      <c r="AR51" s="1665">
        <v>0</v>
      </c>
      <c r="AS51" s="1665">
        <v>0</v>
      </c>
      <c r="AT51" s="1665">
        <v>0</v>
      </c>
      <c r="AU51" s="1665">
        <v>0</v>
      </c>
      <c r="AV51" s="1665">
        <v>0</v>
      </c>
      <c r="AW51" s="1665">
        <v>0</v>
      </c>
      <c r="AX51" s="1663"/>
      <c r="AY51" s="1663"/>
      <c r="AZ51" s="1663"/>
      <c r="BA51" s="1668"/>
      <c r="BB51" s="1668"/>
      <c r="BC51" s="1663"/>
      <c r="BD51" s="1663"/>
      <c r="BE51" s="1665">
        <v>0</v>
      </c>
      <c r="BF51" s="1665">
        <v>0</v>
      </c>
      <c r="BG51" s="1665">
        <v>0</v>
      </c>
      <c r="BH51" s="1665">
        <v>0</v>
      </c>
      <c r="BI51" s="1665">
        <v>0</v>
      </c>
      <c r="BJ51" s="1665">
        <v>0</v>
      </c>
      <c r="BK51" s="1665">
        <v>0</v>
      </c>
      <c r="BL51" s="1665">
        <v>0</v>
      </c>
      <c r="BM51" s="1665">
        <v>0</v>
      </c>
      <c r="BN51" s="1665">
        <v>0</v>
      </c>
      <c r="BO51" s="1668"/>
      <c r="BP51" s="1665">
        <v>0</v>
      </c>
      <c r="BQ51" s="1665">
        <v>0</v>
      </c>
      <c r="BR51" s="1665">
        <v>0</v>
      </c>
      <c r="BS51" s="1667">
        <v>0</v>
      </c>
      <c r="BT51" s="1665">
        <v>0</v>
      </c>
      <c r="BU51" s="1665">
        <v>0</v>
      </c>
      <c r="BV51" s="1665">
        <v>0</v>
      </c>
      <c r="BW51" s="1665">
        <v>0</v>
      </c>
      <c r="BX51" s="1665">
        <v>0</v>
      </c>
      <c r="BY51" s="1665">
        <v>0</v>
      </c>
      <c r="BZ51" s="1663"/>
      <c r="CA51" s="1663"/>
      <c r="CB51" s="1668"/>
      <c r="CC51" s="1668"/>
      <c r="CD51" s="1663"/>
      <c r="CE51" s="1663"/>
      <c r="CF51" s="1665">
        <v>0</v>
      </c>
      <c r="CG51" s="1665">
        <v>0</v>
      </c>
      <c r="CH51" s="1665">
        <v>0</v>
      </c>
      <c r="CI51" s="1665">
        <v>0</v>
      </c>
      <c r="CJ51" s="1665">
        <v>0</v>
      </c>
      <c r="CK51" s="1665">
        <v>0</v>
      </c>
      <c r="CL51" s="1668"/>
      <c r="CM51" s="1665">
        <v>0</v>
      </c>
      <c r="CN51" s="1665">
        <v>0</v>
      </c>
      <c r="CO51" s="1665">
        <v>0</v>
      </c>
      <c r="CP51" s="1665">
        <v>0</v>
      </c>
      <c r="CQ51" s="1665">
        <v>0</v>
      </c>
      <c r="CR51" s="1665">
        <v>0</v>
      </c>
      <c r="CS51" s="1665">
        <v>0</v>
      </c>
      <c r="CT51" s="1665">
        <v>0</v>
      </c>
      <c r="CU51" s="1665">
        <v>0</v>
      </c>
      <c r="CV51" s="1665">
        <v>0</v>
      </c>
      <c r="CW51" s="1668"/>
      <c r="CX51" s="1663"/>
      <c r="CY51" s="1663"/>
      <c r="CZ51" s="1663"/>
      <c r="DA51" s="1663"/>
      <c r="DB51" s="1668"/>
      <c r="DC51" s="1662"/>
      <c r="DD51" s="1665">
        <v>0</v>
      </c>
      <c r="DE51" s="1663"/>
      <c r="DF51" s="1663"/>
      <c r="DG51" s="1665">
        <v>0</v>
      </c>
      <c r="DH51" s="1665">
        <v>0</v>
      </c>
    </row>
    <row r="52" spans="1:112" ht="45" hidden="1" x14ac:dyDescent="0.25">
      <c r="A52" s="1662" t="s">
        <v>1764</v>
      </c>
      <c r="B52" s="1662" t="s">
        <v>1719</v>
      </c>
      <c r="C52" s="1662" t="s">
        <v>2619</v>
      </c>
      <c r="D52" s="1662" t="s">
        <v>2620</v>
      </c>
      <c r="E52" s="1662" t="s">
        <v>191</v>
      </c>
      <c r="F52" s="1662" t="s">
        <v>2616</v>
      </c>
      <c r="G52" s="1662" t="s">
        <v>2617</v>
      </c>
      <c r="H52" s="1662" t="s">
        <v>2618</v>
      </c>
      <c r="I52" s="1662" t="s">
        <v>742</v>
      </c>
      <c r="J52" s="1662" t="s">
        <v>2134</v>
      </c>
      <c r="K52" s="1662" t="s">
        <v>2135</v>
      </c>
      <c r="L52" s="1662" t="s">
        <v>2109</v>
      </c>
      <c r="M52" s="1663"/>
      <c r="N52" s="1663"/>
      <c r="O52" s="1663"/>
      <c r="P52" s="1663"/>
      <c r="Q52" s="1663"/>
      <c r="R52" s="1663"/>
      <c r="S52" s="1663"/>
      <c r="T52" s="1663"/>
      <c r="U52" s="1663"/>
      <c r="V52" s="1663"/>
      <c r="W52" s="1663"/>
      <c r="X52" s="1663"/>
      <c r="Y52" s="1664">
        <v>43357</v>
      </c>
      <c r="Z52" s="1662" t="s">
        <v>2110</v>
      </c>
      <c r="AA52" s="1665">
        <v>0</v>
      </c>
      <c r="AB52" s="1665">
        <v>0</v>
      </c>
      <c r="AC52" s="1680">
        <v>0</v>
      </c>
      <c r="AD52" s="1682">
        <v>43381</v>
      </c>
      <c r="AE52" s="1679" t="s">
        <v>2130</v>
      </c>
      <c r="AF52" s="1662" t="s">
        <v>2112</v>
      </c>
      <c r="AG52" s="1666"/>
      <c r="AH52" s="1667">
        <v>39587.47</v>
      </c>
      <c r="AI52" s="1665">
        <v>32132.47</v>
      </c>
      <c r="AJ52" s="1665">
        <v>32132.47</v>
      </c>
      <c r="AK52" s="1698">
        <v>32132.47</v>
      </c>
      <c r="AL52" s="1665">
        <v>0</v>
      </c>
      <c r="AM52" s="1664">
        <v>43381</v>
      </c>
      <c r="AN52" s="1665">
        <v>39587.47</v>
      </c>
      <c r="AO52" s="1665">
        <v>32132.47</v>
      </c>
      <c r="AP52" s="1665">
        <v>32132.47</v>
      </c>
      <c r="AQ52" s="1665">
        <v>32132.47</v>
      </c>
      <c r="AR52" s="1665">
        <v>0</v>
      </c>
      <c r="AS52" s="1665">
        <v>7455</v>
      </c>
      <c r="AT52" s="1665">
        <v>0</v>
      </c>
      <c r="AU52" s="1665">
        <v>0</v>
      </c>
      <c r="AV52" s="1665">
        <v>0</v>
      </c>
      <c r="AW52" s="1665">
        <v>7455</v>
      </c>
      <c r="AX52" s="1663"/>
      <c r="AY52" s="1663"/>
      <c r="AZ52" s="1663"/>
      <c r="BA52" s="1668"/>
      <c r="BB52" s="1668"/>
      <c r="BC52" s="1663"/>
      <c r="BD52" s="1663"/>
      <c r="BE52" s="1665">
        <v>39587.47</v>
      </c>
      <c r="BF52" s="1665">
        <v>32132.47</v>
      </c>
      <c r="BG52" s="1665">
        <v>32132.47</v>
      </c>
      <c r="BH52" s="1665">
        <v>32132.47</v>
      </c>
      <c r="BI52" s="1665">
        <v>0</v>
      </c>
      <c r="BJ52" s="1665">
        <v>7455</v>
      </c>
      <c r="BK52" s="1665">
        <v>0</v>
      </c>
      <c r="BL52" s="1665">
        <v>0</v>
      </c>
      <c r="BM52" s="1665">
        <v>0</v>
      </c>
      <c r="BN52" s="1665">
        <v>7455</v>
      </c>
      <c r="BO52" s="1668"/>
      <c r="BP52" s="1665">
        <v>0</v>
      </c>
      <c r="BQ52" s="1665">
        <v>0</v>
      </c>
      <c r="BR52" s="1665">
        <v>0</v>
      </c>
      <c r="BS52" s="1667">
        <v>0</v>
      </c>
      <c r="BT52" s="1665">
        <v>0</v>
      </c>
      <c r="BU52" s="1665">
        <v>0</v>
      </c>
      <c r="BV52" s="1665">
        <v>0</v>
      </c>
      <c r="BW52" s="1665">
        <v>0</v>
      </c>
      <c r="BX52" s="1665">
        <v>0</v>
      </c>
      <c r="BY52" s="1665">
        <v>0</v>
      </c>
      <c r="BZ52" s="1663"/>
      <c r="CA52" s="1663"/>
      <c r="CB52" s="1668"/>
      <c r="CC52" s="1668"/>
      <c r="CD52" s="1663"/>
      <c r="CE52" s="1663"/>
      <c r="CF52" s="1665">
        <v>0</v>
      </c>
      <c r="CG52" s="1665">
        <v>0</v>
      </c>
      <c r="CH52" s="1665">
        <v>0</v>
      </c>
      <c r="CI52" s="1665">
        <v>0</v>
      </c>
      <c r="CJ52" s="1665">
        <v>0</v>
      </c>
      <c r="CK52" s="1665">
        <v>0</v>
      </c>
      <c r="CL52" s="1668"/>
      <c r="CM52" s="1665">
        <v>0</v>
      </c>
      <c r="CN52" s="1665">
        <v>0</v>
      </c>
      <c r="CO52" s="1665">
        <v>0</v>
      </c>
      <c r="CP52" s="1665">
        <v>0</v>
      </c>
      <c r="CQ52" s="1665">
        <v>0</v>
      </c>
      <c r="CR52" s="1665">
        <v>0</v>
      </c>
      <c r="CS52" s="1665">
        <v>0</v>
      </c>
      <c r="CT52" s="1665">
        <v>0</v>
      </c>
      <c r="CU52" s="1665">
        <v>0</v>
      </c>
      <c r="CV52" s="1665">
        <v>0</v>
      </c>
      <c r="CW52" s="1668"/>
      <c r="CX52" s="1663"/>
      <c r="CY52" s="1663"/>
      <c r="CZ52" s="1663"/>
      <c r="DA52" s="1663"/>
      <c r="DB52" s="1668"/>
      <c r="DC52" s="1662"/>
      <c r="DD52" s="1665">
        <v>0</v>
      </c>
      <c r="DE52" s="1663"/>
      <c r="DF52" s="1663"/>
      <c r="DG52" s="1665">
        <v>0</v>
      </c>
      <c r="DH52" s="1665">
        <v>0</v>
      </c>
    </row>
    <row r="53" spans="1:112" hidden="1" x14ac:dyDescent="0.25">
      <c r="A53" s="1662" t="s">
        <v>1765</v>
      </c>
      <c r="B53" s="1662" t="s">
        <v>1719</v>
      </c>
      <c r="C53" s="1662" t="s">
        <v>2621</v>
      </c>
      <c r="D53" s="1662"/>
      <c r="E53" s="1662"/>
      <c r="F53" s="1662"/>
      <c r="G53" s="1662"/>
      <c r="H53" s="1662"/>
      <c r="I53" s="1662"/>
      <c r="J53" s="1662"/>
      <c r="K53" s="1662"/>
      <c r="L53" s="1662"/>
      <c r="M53" s="1665">
        <v>13600026.08</v>
      </c>
      <c r="N53" s="1665">
        <v>0</v>
      </c>
      <c r="O53" s="1665">
        <v>13600026.08</v>
      </c>
      <c r="P53" s="1665">
        <v>7397173.5999999996</v>
      </c>
      <c r="Q53" s="1665">
        <v>7397173.5999999996</v>
      </c>
      <c r="R53" s="1665">
        <v>7397173.5999999996</v>
      </c>
      <c r="S53" s="1665">
        <v>0</v>
      </c>
      <c r="T53" s="1665">
        <v>6202852.4800000004</v>
      </c>
      <c r="U53" s="1665">
        <v>0</v>
      </c>
      <c r="V53" s="1665">
        <v>0</v>
      </c>
      <c r="W53" s="1665">
        <v>0</v>
      </c>
      <c r="X53" s="1665">
        <v>6202852.4800000004</v>
      </c>
      <c r="Y53" s="1668"/>
      <c r="Z53" s="1662"/>
      <c r="AA53" s="1665">
        <v>368715.55</v>
      </c>
      <c r="AB53" s="1665">
        <v>368715.55</v>
      </c>
      <c r="AC53" s="1680">
        <v>0</v>
      </c>
      <c r="AD53" s="1681"/>
      <c r="AE53" s="1679"/>
      <c r="AF53" s="1662"/>
      <c r="AG53" s="1666"/>
      <c r="AH53" s="1667">
        <v>5410959.1699999999</v>
      </c>
      <c r="AI53" s="1665">
        <v>3001922.36</v>
      </c>
      <c r="AJ53" s="1665">
        <v>2633206.81</v>
      </c>
      <c r="AK53" s="1698">
        <v>2633206.81</v>
      </c>
      <c r="AL53" s="1665">
        <v>0</v>
      </c>
      <c r="AM53" s="1668"/>
      <c r="AN53" s="1665">
        <v>4253690.92</v>
      </c>
      <c r="AO53" s="1665">
        <v>2165192.12</v>
      </c>
      <c r="AP53" s="1665">
        <v>2165192.12</v>
      </c>
      <c r="AQ53" s="1665">
        <v>2165192.12</v>
      </c>
      <c r="AR53" s="1665">
        <v>0</v>
      </c>
      <c r="AS53" s="1665">
        <v>2088498.8</v>
      </c>
      <c r="AT53" s="1665">
        <v>0</v>
      </c>
      <c r="AU53" s="1665">
        <v>0</v>
      </c>
      <c r="AV53" s="1665">
        <v>0</v>
      </c>
      <c r="AW53" s="1665">
        <v>2088498.8</v>
      </c>
      <c r="AX53" s="1665">
        <v>0</v>
      </c>
      <c r="AY53" s="1665">
        <v>0</v>
      </c>
      <c r="AZ53" s="1665">
        <v>0</v>
      </c>
      <c r="BA53" s="1668"/>
      <c r="BB53" s="1668"/>
      <c r="BC53" s="1665">
        <v>0</v>
      </c>
      <c r="BD53" s="1665">
        <v>0</v>
      </c>
      <c r="BE53" s="1665">
        <v>4253690.92</v>
      </c>
      <c r="BF53" s="1665">
        <v>2165192.12</v>
      </c>
      <c r="BG53" s="1665">
        <v>2165192.12</v>
      </c>
      <c r="BH53" s="1665">
        <v>2165192.12</v>
      </c>
      <c r="BI53" s="1665">
        <v>0</v>
      </c>
      <c r="BJ53" s="1665">
        <v>2088498.8</v>
      </c>
      <c r="BK53" s="1665">
        <v>0</v>
      </c>
      <c r="BL53" s="1665">
        <v>0</v>
      </c>
      <c r="BM53" s="1665">
        <v>0</v>
      </c>
      <c r="BN53" s="1665">
        <v>2088498.8</v>
      </c>
      <c r="BO53" s="1668"/>
      <c r="BP53" s="1665">
        <v>3698552.7</v>
      </c>
      <c r="BQ53" s="1665">
        <v>1836894.88</v>
      </c>
      <c r="BR53" s="1665">
        <v>1836894.88</v>
      </c>
      <c r="BS53" s="1667">
        <v>1836894.88</v>
      </c>
      <c r="BT53" s="1665">
        <v>0</v>
      </c>
      <c r="BU53" s="1665">
        <v>1861657.82</v>
      </c>
      <c r="BV53" s="1665">
        <v>0</v>
      </c>
      <c r="BW53" s="1665">
        <v>0</v>
      </c>
      <c r="BX53" s="1665">
        <v>0</v>
      </c>
      <c r="BY53" s="1665">
        <v>1861657.82</v>
      </c>
      <c r="BZ53" s="1665">
        <v>0</v>
      </c>
      <c r="CA53" s="1665">
        <v>0</v>
      </c>
      <c r="CB53" s="1668"/>
      <c r="CC53" s="1668"/>
      <c r="CD53" s="1665">
        <v>-221714.08</v>
      </c>
      <c r="CE53" s="1665">
        <v>-97875.55</v>
      </c>
      <c r="CF53" s="1665">
        <v>0</v>
      </c>
      <c r="CG53" s="1665">
        <v>0</v>
      </c>
      <c r="CH53" s="1665">
        <v>0</v>
      </c>
      <c r="CI53" s="1665">
        <v>0</v>
      </c>
      <c r="CJ53" s="1665">
        <v>0</v>
      </c>
      <c r="CK53" s="1665">
        <v>0</v>
      </c>
      <c r="CL53" s="1668"/>
      <c r="CM53" s="1665">
        <v>0</v>
      </c>
      <c r="CN53" s="1665">
        <v>0</v>
      </c>
      <c r="CO53" s="1665">
        <v>0</v>
      </c>
      <c r="CP53" s="1665">
        <v>0</v>
      </c>
      <c r="CQ53" s="1665">
        <v>0</v>
      </c>
      <c r="CR53" s="1665">
        <v>0</v>
      </c>
      <c r="CS53" s="1665">
        <v>0</v>
      </c>
      <c r="CT53" s="1665">
        <v>0</v>
      </c>
      <c r="CU53" s="1665">
        <v>0</v>
      </c>
      <c r="CV53" s="1665">
        <v>0</v>
      </c>
      <c r="CW53" s="1668"/>
      <c r="CX53" s="1665">
        <v>0</v>
      </c>
      <c r="CY53" s="1665">
        <v>0</v>
      </c>
      <c r="CZ53" s="1665">
        <v>0</v>
      </c>
      <c r="DA53" s="1665">
        <v>0</v>
      </c>
      <c r="DB53" s="1668"/>
      <c r="DC53" s="1662"/>
      <c r="DD53" s="1665">
        <v>0</v>
      </c>
      <c r="DE53" s="1665">
        <v>0</v>
      </c>
      <c r="DF53" s="1665">
        <v>0</v>
      </c>
      <c r="DG53" s="1665">
        <v>0</v>
      </c>
      <c r="DH53" s="1665">
        <v>0</v>
      </c>
    </row>
    <row r="54" spans="1:112" hidden="1" x14ac:dyDescent="0.25">
      <c r="A54" s="1662" t="s">
        <v>1766</v>
      </c>
      <c r="B54" s="1662" t="s">
        <v>1719</v>
      </c>
      <c r="C54" s="1662" t="s">
        <v>2621</v>
      </c>
      <c r="D54" s="1662" t="s">
        <v>2622</v>
      </c>
      <c r="E54" s="1662"/>
      <c r="F54" s="1662"/>
      <c r="G54" s="1662"/>
      <c r="H54" s="1662"/>
      <c r="I54" s="1662"/>
      <c r="J54" s="1662"/>
      <c r="K54" s="1662"/>
      <c r="L54" s="1662"/>
      <c r="M54" s="1665">
        <v>13600026.08</v>
      </c>
      <c r="N54" s="1665">
        <v>0</v>
      </c>
      <c r="O54" s="1665">
        <v>13600026.08</v>
      </c>
      <c r="P54" s="1665">
        <v>7397173.5999999996</v>
      </c>
      <c r="Q54" s="1665">
        <v>7397173.5999999996</v>
      </c>
      <c r="R54" s="1665">
        <v>7397173.5999999996</v>
      </c>
      <c r="S54" s="1665">
        <v>0</v>
      </c>
      <c r="T54" s="1665">
        <v>6202852.4800000004</v>
      </c>
      <c r="U54" s="1665">
        <v>0</v>
      </c>
      <c r="V54" s="1665">
        <v>0</v>
      </c>
      <c r="W54" s="1665">
        <v>0</v>
      </c>
      <c r="X54" s="1665">
        <v>6202852.4800000004</v>
      </c>
      <c r="Y54" s="1668"/>
      <c r="Z54" s="1662"/>
      <c r="AA54" s="1665">
        <v>368715.55</v>
      </c>
      <c r="AB54" s="1665">
        <v>368715.55</v>
      </c>
      <c r="AC54" s="1680">
        <v>0</v>
      </c>
      <c r="AD54" s="1681"/>
      <c r="AE54" s="1679"/>
      <c r="AF54" s="1662"/>
      <c r="AG54" s="1666"/>
      <c r="AH54" s="1667">
        <v>5410959.1699999999</v>
      </c>
      <c r="AI54" s="1665">
        <v>3001922.36</v>
      </c>
      <c r="AJ54" s="1665">
        <v>2633206.81</v>
      </c>
      <c r="AK54" s="1698">
        <v>2633206.81</v>
      </c>
      <c r="AL54" s="1665">
        <v>0</v>
      </c>
      <c r="AM54" s="1668"/>
      <c r="AN54" s="1665">
        <v>4253690.92</v>
      </c>
      <c r="AO54" s="1665">
        <v>2165192.12</v>
      </c>
      <c r="AP54" s="1665">
        <v>2165192.12</v>
      </c>
      <c r="AQ54" s="1665">
        <v>2165192.12</v>
      </c>
      <c r="AR54" s="1665">
        <v>0</v>
      </c>
      <c r="AS54" s="1665">
        <v>2088498.8</v>
      </c>
      <c r="AT54" s="1665">
        <v>0</v>
      </c>
      <c r="AU54" s="1665">
        <v>0</v>
      </c>
      <c r="AV54" s="1665">
        <v>0</v>
      </c>
      <c r="AW54" s="1665">
        <v>2088498.8</v>
      </c>
      <c r="AX54" s="1665">
        <v>0</v>
      </c>
      <c r="AY54" s="1665">
        <v>0</v>
      </c>
      <c r="AZ54" s="1665">
        <v>0</v>
      </c>
      <c r="BA54" s="1668"/>
      <c r="BB54" s="1668"/>
      <c r="BC54" s="1665">
        <v>0</v>
      </c>
      <c r="BD54" s="1665">
        <v>0</v>
      </c>
      <c r="BE54" s="1665">
        <v>4253690.92</v>
      </c>
      <c r="BF54" s="1665">
        <v>2165192.12</v>
      </c>
      <c r="BG54" s="1665">
        <v>2165192.12</v>
      </c>
      <c r="BH54" s="1665">
        <v>2165192.12</v>
      </c>
      <c r="BI54" s="1665">
        <v>0</v>
      </c>
      <c r="BJ54" s="1665">
        <v>2088498.8</v>
      </c>
      <c r="BK54" s="1665">
        <v>0</v>
      </c>
      <c r="BL54" s="1665">
        <v>0</v>
      </c>
      <c r="BM54" s="1665">
        <v>0</v>
      </c>
      <c r="BN54" s="1665">
        <v>2088498.8</v>
      </c>
      <c r="BO54" s="1668"/>
      <c r="BP54" s="1665">
        <v>3698552.7</v>
      </c>
      <c r="BQ54" s="1665">
        <v>1836894.88</v>
      </c>
      <c r="BR54" s="1665">
        <v>1836894.88</v>
      </c>
      <c r="BS54" s="1667">
        <v>1836894.88</v>
      </c>
      <c r="BT54" s="1665">
        <v>0</v>
      </c>
      <c r="BU54" s="1665">
        <v>1861657.82</v>
      </c>
      <c r="BV54" s="1665">
        <v>0</v>
      </c>
      <c r="BW54" s="1665">
        <v>0</v>
      </c>
      <c r="BX54" s="1665">
        <v>0</v>
      </c>
      <c r="BY54" s="1665">
        <v>1861657.82</v>
      </c>
      <c r="BZ54" s="1665">
        <v>0</v>
      </c>
      <c r="CA54" s="1665">
        <v>0</v>
      </c>
      <c r="CB54" s="1668"/>
      <c r="CC54" s="1668"/>
      <c r="CD54" s="1665">
        <v>-221714.08</v>
      </c>
      <c r="CE54" s="1665">
        <v>-97875.55</v>
      </c>
      <c r="CF54" s="1665">
        <v>0</v>
      </c>
      <c r="CG54" s="1665">
        <v>0</v>
      </c>
      <c r="CH54" s="1665">
        <v>0</v>
      </c>
      <c r="CI54" s="1665">
        <v>0</v>
      </c>
      <c r="CJ54" s="1665">
        <v>0</v>
      </c>
      <c r="CK54" s="1665">
        <v>0</v>
      </c>
      <c r="CL54" s="1668"/>
      <c r="CM54" s="1665">
        <v>0</v>
      </c>
      <c r="CN54" s="1665">
        <v>0</v>
      </c>
      <c r="CO54" s="1665">
        <v>0</v>
      </c>
      <c r="CP54" s="1665">
        <v>0</v>
      </c>
      <c r="CQ54" s="1665">
        <v>0</v>
      </c>
      <c r="CR54" s="1665">
        <v>0</v>
      </c>
      <c r="CS54" s="1665">
        <v>0</v>
      </c>
      <c r="CT54" s="1665">
        <v>0</v>
      </c>
      <c r="CU54" s="1665">
        <v>0</v>
      </c>
      <c r="CV54" s="1665">
        <v>0</v>
      </c>
      <c r="CW54" s="1668"/>
      <c r="CX54" s="1665">
        <v>0</v>
      </c>
      <c r="CY54" s="1665">
        <v>0</v>
      </c>
      <c r="CZ54" s="1665">
        <v>0</v>
      </c>
      <c r="DA54" s="1665">
        <v>0</v>
      </c>
      <c r="DB54" s="1668"/>
      <c r="DC54" s="1662"/>
      <c r="DD54" s="1665">
        <v>0</v>
      </c>
      <c r="DE54" s="1665">
        <v>0</v>
      </c>
      <c r="DF54" s="1665">
        <v>0</v>
      </c>
      <c r="DG54" s="1665">
        <v>0</v>
      </c>
      <c r="DH54" s="1665">
        <v>0</v>
      </c>
    </row>
    <row r="55" spans="1:112" ht="22.5" hidden="1" x14ac:dyDescent="0.25">
      <c r="A55" s="1662" t="s">
        <v>1767</v>
      </c>
      <c r="B55" s="1662" t="s">
        <v>1719</v>
      </c>
      <c r="C55" s="1662" t="s">
        <v>2621</v>
      </c>
      <c r="D55" s="1662" t="s">
        <v>2622</v>
      </c>
      <c r="E55" s="1662" t="s">
        <v>144</v>
      </c>
      <c r="F55" s="1662"/>
      <c r="G55" s="1662"/>
      <c r="H55" s="1662"/>
      <c r="I55" s="1662"/>
      <c r="J55" s="1662"/>
      <c r="K55" s="1662"/>
      <c r="L55" s="1662"/>
      <c r="M55" s="1665">
        <v>13600026.08</v>
      </c>
      <c r="N55" s="1665">
        <v>0</v>
      </c>
      <c r="O55" s="1665">
        <v>13600026.08</v>
      </c>
      <c r="P55" s="1665">
        <v>7397173.5999999996</v>
      </c>
      <c r="Q55" s="1665">
        <v>7397173.5999999996</v>
      </c>
      <c r="R55" s="1665">
        <v>7397173.5999999996</v>
      </c>
      <c r="S55" s="1665">
        <v>0</v>
      </c>
      <c r="T55" s="1665">
        <v>6202852.4800000004</v>
      </c>
      <c r="U55" s="1665">
        <v>0</v>
      </c>
      <c r="V55" s="1665">
        <v>0</v>
      </c>
      <c r="W55" s="1665">
        <v>0</v>
      </c>
      <c r="X55" s="1665">
        <v>6202852.4800000004</v>
      </c>
      <c r="Y55" s="1668"/>
      <c r="Z55" s="1662"/>
      <c r="AA55" s="1665">
        <v>368715.55</v>
      </c>
      <c r="AB55" s="1665">
        <v>368715.55</v>
      </c>
      <c r="AC55" s="1680">
        <v>0</v>
      </c>
      <c r="AD55" s="1681"/>
      <c r="AE55" s="1679"/>
      <c r="AF55" s="1662"/>
      <c r="AG55" s="1666"/>
      <c r="AH55" s="1667">
        <v>5410959.1699999999</v>
      </c>
      <c r="AI55" s="1665">
        <v>3001922.36</v>
      </c>
      <c r="AJ55" s="1665">
        <v>2633206.81</v>
      </c>
      <c r="AK55" s="1698">
        <v>2633206.81</v>
      </c>
      <c r="AL55" s="1665">
        <v>0</v>
      </c>
      <c r="AM55" s="1668"/>
      <c r="AN55" s="1665">
        <v>4253690.92</v>
      </c>
      <c r="AO55" s="1665">
        <v>2165192.12</v>
      </c>
      <c r="AP55" s="1665">
        <v>2165192.12</v>
      </c>
      <c r="AQ55" s="1665">
        <v>2165192.12</v>
      </c>
      <c r="AR55" s="1665">
        <v>0</v>
      </c>
      <c r="AS55" s="1665">
        <v>2088498.8</v>
      </c>
      <c r="AT55" s="1665">
        <v>0</v>
      </c>
      <c r="AU55" s="1665">
        <v>0</v>
      </c>
      <c r="AV55" s="1665">
        <v>0</v>
      </c>
      <c r="AW55" s="1665">
        <v>2088498.8</v>
      </c>
      <c r="AX55" s="1665">
        <v>0</v>
      </c>
      <c r="AY55" s="1665">
        <v>0</v>
      </c>
      <c r="AZ55" s="1665">
        <v>0</v>
      </c>
      <c r="BA55" s="1668"/>
      <c r="BB55" s="1668"/>
      <c r="BC55" s="1665">
        <v>0</v>
      </c>
      <c r="BD55" s="1665">
        <v>0</v>
      </c>
      <c r="BE55" s="1665">
        <v>4253690.92</v>
      </c>
      <c r="BF55" s="1665">
        <v>2165192.12</v>
      </c>
      <c r="BG55" s="1665">
        <v>2165192.12</v>
      </c>
      <c r="BH55" s="1665">
        <v>2165192.12</v>
      </c>
      <c r="BI55" s="1665">
        <v>0</v>
      </c>
      <c r="BJ55" s="1665">
        <v>2088498.8</v>
      </c>
      <c r="BK55" s="1665">
        <v>0</v>
      </c>
      <c r="BL55" s="1665">
        <v>0</v>
      </c>
      <c r="BM55" s="1665">
        <v>0</v>
      </c>
      <c r="BN55" s="1665">
        <v>2088498.8</v>
      </c>
      <c r="BO55" s="1668"/>
      <c r="BP55" s="1665">
        <v>3698552.7</v>
      </c>
      <c r="BQ55" s="1665">
        <v>1836894.88</v>
      </c>
      <c r="BR55" s="1665">
        <v>1836894.88</v>
      </c>
      <c r="BS55" s="1667">
        <v>1836894.88</v>
      </c>
      <c r="BT55" s="1665">
        <v>0</v>
      </c>
      <c r="BU55" s="1665">
        <v>1861657.82</v>
      </c>
      <c r="BV55" s="1665">
        <v>0</v>
      </c>
      <c r="BW55" s="1665">
        <v>0</v>
      </c>
      <c r="BX55" s="1665">
        <v>0</v>
      </c>
      <c r="BY55" s="1665">
        <v>1861657.82</v>
      </c>
      <c r="BZ55" s="1665">
        <v>0</v>
      </c>
      <c r="CA55" s="1665">
        <v>0</v>
      </c>
      <c r="CB55" s="1668"/>
      <c r="CC55" s="1668"/>
      <c r="CD55" s="1665">
        <v>-221714.08</v>
      </c>
      <c r="CE55" s="1665">
        <v>-97875.55</v>
      </c>
      <c r="CF55" s="1665">
        <v>0</v>
      </c>
      <c r="CG55" s="1665">
        <v>0</v>
      </c>
      <c r="CH55" s="1665">
        <v>0</v>
      </c>
      <c r="CI55" s="1665">
        <v>0</v>
      </c>
      <c r="CJ55" s="1665">
        <v>0</v>
      </c>
      <c r="CK55" s="1665">
        <v>0</v>
      </c>
      <c r="CL55" s="1668"/>
      <c r="CM55" s="1665">
        <v>0</v>
      </c>
      <c r="CN55" s="1665">
        <v>0</v>
      </c>
      <c r="CO55" s="1665">
        <v>0</v>
      </c>
      <c r="CP55" s="1665">
        <v>0</v>
      </c>
      <c r="CQ55" s="1665">
        <v>0</v>
      </c>
      <c r="CR55" s="1665">
        <v>0</v>
      </c>
      <c r="CS55" s="1665">
        <v>0</v>
      </c>
      <c r="CT55" s="1665">
        <v>0</v>
      </c>
      <c r="CU55" s="1665">
        <v>0</v>
      </c>
      <c r="CV55" s="1665">
        <v>0</v>
      </c>
      <c r="CW55" s="1668"/>
      <c r="CX55" s="1665">
        <v>0</v>
      </c>
      <c r="CY55" s="1665">
        <v>0</v>
      </c>
      <c r="CZ55" s="1665">
        <v>0</v>
      </c>
      <c r="DA55" s="1665">
        <v>0</v>
      </c>
      <c r="DB55" s="1668"/>
      <c r="DC55" s="1662"/>
      <c r="DD55" s="1665">
        <v>0</v>
      </c>
      <c r="DE55" s="1665">
        <v>0</v>
      </c>
      <c r="DF55" s="1665">
        <v>0</v>
      </c>
      <c r="DG55" s="1665">
        <v>0</v>
      </c>
      <c r="DH55" s="1665">
        <v>0</v>
      </c>
    </row>
    <row r="56" spans="1:112" ht="56.25" hidden="1" x14ac:dyDescent="0.25">
      <c r="A56" s="1662" t="s">
        <v>1768</v>
      </c>
      <c r="B56" s="1662" t="s">
        <v>1719</v>
      </c>
      <c r="C56" s="1662" t="s">
        <v>2621</v>
      </c>
      <c r="D56" s="1662" t="s">
        <v>2622</v>
      </c>
      <c r="E56" s="1662" t="s">
        <v>144</v>
      </c>
      <c r="F56" s="1662" t="s">
        <v>2616</v>
      </c>
      <c r="G56" s="1662" t="s">
        <v>2617</v>
      </c>
      <c r="H56" s="1662" t="s">
        <v>2618</v>
      </c>
      <c r="I56" s="1662" t="s">
        <v>712</v>
      </c>
      <c r="J56" s="1662" t="s">
        <v>295</v>
      </c>
      <c r="K56" s="1662" t="s">
        <v>2136</v>
      </c>
      <c r="L56" s="1662" t="s">
        <v>2109</v>
      </c>
      <c r="M56" s="1665">
        <v>2477103.23</v>
      </c>
      <c r="N56" s="1665">
        <v>0</v>
      </c>
      <c r="O56" s="1665">
        <v>2477103.23</v>
      </c>
      <c r="P56" s="1665">
        <v>1614228.26</v>
      </c>
      <c r="Q56" s="1665">
        <v>1614228.26</v>
      </c>
      <c r="R56" s="1665">
        <v>1614228.26</v>
      </c>
      <c r="S56" s="1665">
        <v>0</v>
      </c>
      <c r="T56" s="1665">
        <v>862874.97</v>
      </c>
      <c r="U56" s="1665">
        <v>0</v>
      </c>
      <c r="V56" s="1665">
        <v>0</v>
      </c>
      <c r="W56" s="1665">
        <v>0</v>
      </c>
      <c r="X56" s="1665">
        <v>862874.97</v>
      </c>
      <c r="Y56" s="1668"/>
      <c r="Z56" s="1662"/>
      <c r="AA56" s="1665">
        <v>0</v>
      </c>
      <c r="AB56" s="1665">
        <v>0</v>
      </c>
      <c r="AC56" s="1680">
        <v>0</v>
      </c>
      <c r="AD56" s="1681"/>
      <c r="AE56" s="1679"/>
      <c r="AF56" s="1662"/>
      <c r="AG56" s="1666"/>
      <c r="AH56" s="1667">
        <v>1300949.1100000001</v>
      </c>
      <c r="AI56" s="1665">
        <v>787353.05</v>
      </c>
      <c r="AJ56" s="1665">
        <v>787353.06</v>
      </c>
      <c r="AK56" s="1698">
        <v>787353.06</v>
      </c>
      <c r="AL56" s="1665">
        <v>0</v>
      </c>
      <c r="AM56" s="1668"/>
      <c r="AN56" s="1665">
        <v>977031</v>
      </c>
      <c r="AO56" s="1665">
        <v>564562.32999999996</v>
      </c>
      <c r="AP56" s="1665">
        <v>564562.32999999996</v>
      </c>
      <c r="AQ56" s="1665">
        <v>564562.32999999996</v>
      </c>
      <c r="AR56" s="1665">
        <v>0</v>
      </c>
      <c r="AS56" s="1665">
        <v>412468.67</v>
      </c>
      <c r="AT56" s="1665">
        <v>0</v>
      </c>
      <c r="AU56" s="1665">
        <v>0</v>
      </c>
      <c r="AV56" s="1665">
        <v>0</v>
      </c>
      <c r="AW56" s="1665">
        <v>412468.67</v>
      </c>
      <c r="AX56" s="1665">
        <v>0</v>
      </c>
      <c r="AY56" s="1665">
        <v>0</v>
      </c>
      <c r="AZ56" s="1665">
        <v>0</v>
      </c>
      <c r="BA56" s="1668"/>
      <c r="BB56" s="1668"/>
      <c r="BC56" s="1665">
        <v>0</v>
      </c>
      <c r="BD56" s="1665">
        <v>0</v>
      </c>
      <c r="BE56" s="1665">
        <v>977031</v>
      </c>
      <c r="BF56" s="1665">
        <v>564562.32999999996</v>
      </c>
      <c r="BG56" s="1665">
        <v>564562.32999999996</v>
      </c>
      <c r="BH56" s="1665">
        <v>564562.32999999996</v>
      </c>
      <c r="BI56" s="1665">
        <v>0</v>
      </c>
      <c r="BJ56" s="1665">
        <v>412468.67</v>
      </c>
      <c r="BK56" s="1665">
        <v>0</v>
      </c>
      <c r="BL56" s="1665">
        <v>0</v>
      </c>
      <c r="BM56" s="1665">
        <v>0</v>
      </c>
      <c r="BN56" s="1665">
        <v>412468.67</v>
      </c>
      <c r="BO56" s="1668"/>
      <c r="BP56" s="1665">
        <v>792264.71</v>
      </c>
      <c r="BQ56" s="1665">
        <v>434048.99</v>
      </c>
      <c r="BR56" s="1665">
        <v>434048.99</v>
      </c>
      <c r="BS56" s="1667">
        <v>434048.99</v>
      </c>
      <c r="BT56" s="1665">
        <v>0</v>
      </c>
      <c r="BU56" s="1665">
        <v>358215.72</v>
      </c>
      <c r="BV56" s="1665">
        <v>0</v>
      </c>
      <c r="BW56" s="1665">
        <v>0</v>
      </c>
      <c r="BX56" s="1665">
        <v>0</v>
      </c>
      <c r="BY56" s="1665">
        <v>358215.72</v>
      </c>
      <c r="BZ56" s="1665">
        <v>0</v>
      </c>
      <c r="CA56" s="1665">
        <v>0</v>
      </c>
      <c r="CB56" s="1668"/>
      <c r="CC56" s="1668"/>
      <c r="CD56" s="1665">
        <v>0</v>
      </c>
      <c r="CE56" s="1665">
        <v>0</v>
      </c>
      <c r="CF56" s="1665">
        <v>0</v>
      </c>
      <c r="CG56" s="1665">
        <v>0</v>
      </c>
      <c r="CH56" s="1665">
        <v>0</v>
      </c>
      <c r="CI56" s="1665">
        <v>0</v>
      </c>
      <c r="CJ56" s="1665">
        <v>0</v>
      </c>
      <c r="CK56" s="1665">
        <v>0</v>
      </c>
      <c r="CL56" s="1668"/>
      <c r="CM56" s="1665">
        <v>0</v>
      </c>
      <c r="CN56" s="1665">
        <v>0</v>
      </c>
      <c r="CO56" s="1665">
        <v>0</v>
      </c>
      <c r="CP56" s="1665">
        <v>0</v>
      </c>
      <c r="CQ56" s="1665">
        <v>0</v>
      </c>
      <c r="CR56" s="1665">
        <v>0</v>
      </c>
      <c r="CS56" s="1665">
        <v>0</v>
      </c>
      <c r="CT56" s="1665">
        <v>0</v>
      </c>
      <c r="CU56" s="1665">
        <v>0</v>
      </c>
      <c r="CV56" s="1665">
        <v>0</v>
      </c>
      <c r="CW56" s="1668"/>
      <c r="CX56" s="1665">
        <v>0</v>
      </c>
      <c r="CY56" s="1665">
        <v>0</v>
      </c>
      <c r="CZ56" s="1665">
        <v>0</v>
      </c>
      <c r="DA56" s="1665">
        <v>0</v>
      </c>
      <c r="DB56" s="1668"/>
      <c r="DC56" s="1662"/>
      <c r="DD56" s="1665">
        <v>0</v>
      </c>
      <c r="DE56" s="1665">
        <v>0</v>
      </c>
      <c r="DF56" s="1665">
        <v>0</v>
      </c>
      <c r="DG56" s="1665">
        <v>0</v>
      </c>
      <c r="DH56" s="1665">
        <v>0</v>
      </c>
    </row>
    <row r="57" spans="1:112" ht="56.25" hidden="1" x14ac:dyDescent="0.25">
      <c r="A57" s="1662" t="s">
        <v>1769</v>
      </c>
      <c r="B57" s="1662" t="s">
        <v>1719</v>
      </c>
      <c r="C57" s="1662" t="s">
        <v>2621</v>
      </c>
      <c r="D57" s="1662" t="s">
        <v>2622</v>
      </c>
      <c r="E57" s="1662" t="s">
        <v>144</v>
      </c>
      <c r="F57" s="1662" t="s">
        <v>2616</v>
      </c>
      <c r="G57" s="1662" t="s">
        <v>2617</v>
      </c>
      <c r="H57" s="1662" t="s">
        <v>2618</v>
      </c>
      <c r="I57" s="1662" t="s">
        <v>712</v>
      </c>
      <c r="J57" s="1662" t="s">
        <v>295</v>
      </c>
      <c r="K57" s="1662" t="s">
        <v>2136</v>
      </c>
      <c r="L57" s="1662" t="s">
        <v>2109</v>
      </c>
      <c r="M57" s="1663"/>
      <c r="N57" s="1663"/>
      <c r="O57" s="1663"/>
      <c r="P57" s="1663"/>
      <c r="Q57" s="1663"/>
      <c r="R57" s="1663"/>
      <c r="S57" s="1663"/>
      <c r="T57" s="1663"/>
      <c r="U57" s="1663"/>
      <c r="V57" s="1663"/>
      <c r="W57" s="1663"/>
      <c r="X57" s="1663"/>
      <c r="Y57" s="1664">
        <v>42808</v>
      </c>
      <c r="Z57" s="1662" t="s">
        <v>2110</v>
      </c>
      <c r="AA57" s="1665">
        <v>0</v>
      </c>
      <c r="AB57" s="1665">
        <v>0</v>
      </c>
      <c r="AC57" s="1680">
        <v>0</v>
      </c>
      <c r="AD57" s="1682">
        <v>42835</v>
      </c>
      <c r="AE57" s="1679" t="s">
        <v>2122</v>
      </c>
      <c r="AF57" s="1662" t="s">
        <v>2115</v>
      </c>
      <c r="AG57" s="1666"/>
      <c r="AH57" s="1667">
        <v>117461.86</v>
      </c>
      <c r="AI57" s="1665">
        <v>57516.57</v>
      </c>
      <c r="AJ57" s="1665">
        <v>57516.57</v>
      </c>
      <c r="AK57" s="1698">
        <v>57516.57</v>
      </c>
      <c r="AL57" s="1665">
        <v>0</v>
      </c>
      <c r="AM57" s="1664">
        <v>42836</v>
      </c>
      <c r="AN57" s="1665">
        <v>117461.86</v>
      </c>
      <c r="AO57" s="1665">
        <v>57516.57</v>
      </c>
      <c r="AP57" s="1665">
        <v>57516.57</v>
      </c>
      <c r="AQ57" s="1665">
        <v>57516.57</v>
      </c>
      <c r="AR57" s="1665">
        <v>0</v>
      </c>
      <c r="AS57" s="1665">
        <v>59945.29</v>
      </c>
      <c r="AT57" s="1665">
        <v>0</v>
      </c>
      <c r="AU57" s="1665">
        <v>0</v>
      </c>
      <c r="AV57" s="1665">
        <v>0</v>
      </c>
      <c r="AW57" s="1665">
        <v>59945.29</v>
      </c>
      <c r="AX57" s="1663"/>
      <c r="AY57" s="1663"/>
      <c r="AZ57" s="1663"/>
      <c r="BA57" s="1668"/>
      <c r="BB57" s="1668"/>
      <c r="BC57" s="1663"/>
      <c r="BD57" s="1663"/>
      <c r="BE57" s="1665">
        <v>117461.86</v>
      </c>
      <c r="BF57" s="1665">
        <v>57516.57</v>
      </c>
      <c r="BG57" s="1665">
        <v>57516.57</v>
      </c>
      <c r="BH57" s="1665">
        <v>57516.57</v>
      </c>
      <c r="BI57" s="1665">
        <v>0</v>
      </c>
      <c r="BJ57" s="1665">
        <v>59945.29</v>
      </c>
      <c r="BK57" s="1665">
        <v>0</v>
      </c>
      <c r="BL57" s="1665">
        <v>0</v>
      </c>
      <c r="BM57" s="1665">
        <v>0</v>
      </c>
      <c r="BN57" s="1665">
        <v>59945.29</v>
      </c>
      <c r="BO57" s="1664">
        <v>42991</v>
      </c>
      <c r="BP57" s="1665">
        <v>117461.86</v>
      </c>
      <c r="BQ57" s="1665">
        <v>57516.57</v>
      </c>
      <c r="BR57" s="1665">
        <v>57516.57</v>
      </c>
      <c r="BS57" s="1667">
        <v>57516.57</v>
      </c>
      <c r="BT57" s="1665">
        <v>0</v>
      </c>
      <c r="BU57" s="1665">
        <v>59945.29</v>
      </c>
      <c r="BV57" s="1665">
        <v>0</v>
      </c>
      <c r="BW57" s="1665">
        <v>0</v>
      </c>
      <c r="BX57" s="1665">
        <v>0</v>
      </c>
      <c r="BY57" s="1665">
        <v>59945.29</v>
      </c>
      <c r="BZ57" s="1665">
        <v>0</v>
      </c>
      <c r="CA57" s="1663"/>
      <c r="CB57" s="1668"/>
      <c r="CC57" s="1668"/>
      <c r="CD57" s="1663"/>
      <c r="CE57" s="1663"/>
      <c r="CF57" s="1665">
        <v>0</v>
      </c>
      <c r="CG57" s="1665">
        <v>0</v>
      </c>
      <c r="CH57" s="1665">
        <v>0</v>
      </c>
      <c r="CI57" s="1665">
        <v>0</v>
      </c>
      <c r="CJ57" s="1665">
        <v>0</v>
      </c>
      <c r="CK57" s="1665">
        <v>0</v>
      </c>
      <c r="CL57" s="1668"/>
      <c r="CM57" s="1665">
        <v>0</v>
      </c>
      <c r="CN57" s="1665">
        <v>0</v>
      </c>
      <c r="CO57" s="1665">
        <v>0</v>
      </c>
      <c r="CP57" s="1665">
        <v>0</v>
      </c>
      <c r="CQ57" s="1665">
        <v>0</v>
      </c>
      <c r="CR57" s="1665">
        <v>0</v>
      </c>
      <c r="CS57" s="1665">
        <v>0</v>
      </c>
      <c r="CT57" s="1665">
        <v>0</v>
      </c>
      <c r="CU57" s="1665">
        <v>0</v>
      </c>
      <c r="CV57" s="1665">
        <v>0</v>
      </c>
      <c r="CW57" s="1668"/>
      <c r="CX57" s="1663"/>
      <c r="CY57" s="1663"/>
      <c r="CZ57" s="1663"/>
      <c r="DA57" s="1663"/>
      <c r="DB57" s="1668"/>
      <c r="DC57" s="1662"/>
      <c r="DD57" s="1665">
        <v>0</v>
      </c>
      <c r="DE57" s="1663"/>
      <c r="DF57" s="1663"/>
      <c r="DG57" s="1665">
        <v>0</v>
      </c>
      <c r="DH57" s="1665">
        <v>0</v>
      </c>
    </row>
    <row r="58" spans="1:112" ht="56.25" hidden="1" x14ac:dyDescent="0.25">
      <c r="A58" s="1662" t="s">
        <v>1770</v>
      </c>
      <c r="B58" s="1662" t="s">
        <v>1719</v>
      </c>
      <c r="C58" s="1662" t="s">
        <v>2621</v>
      </c>
      <c r="D58" s="1662" t="s">
        <v>2622</v>
      </c>
      <c r="E58" s="1662" t="s">
        <v>144</v>
      </c>
      <c r="F58" s="1662" t="s">
        <v>2616</v>
      </c>
      <c r="G58" s="1662" t="s">
        <v>2617</v>
      </c>
      <c r="H58" s="1662" t="s">
        <v>2618</v>
      </c>
      <c r="I58" s="1662" t="s">
        <v>712</v>
      </c>
      <c r="J58" s="1662" t="s">
        <v>295</v>
      </c>
      <c r="K58" s="1662" t="s">
        <v>2136</v>
      </c>
      <c r="L58" s="1662" t="s">
        <v>2109</v>
      </c>
      <c r="M58" s="1663"/>
      <c r="N58" s="1663"/>
      <c r="O58" s="1663"/>
      <c r="P58" s="1663"/>
      <c r="Q58" s="1663"/>
      <c r="R58" s="1663"/>
      <c r="S58" s="1663"/>
      <c r="T58" s="1663"/>
      <c r="U58" s="1663"/>
      <c r="V58" s="1663"/>
      <c r="W58" s="1663"/>
      <c r="X58" s="1663"/>
      <c r="Y58" s="1664">
        <v>42808</v>
      </c>
      <c r="Z58" s="1662" t="s">
        <v>2110</v>
      </c>
      <c r="AA58" s="1665">
        <v>0</v>
      </c>
      <c r="AB58" s="1665">
        <v>0</v>
      </c>
      <c r="AC58" s="1680">
        <v>0</v>
      </c>
      <c r="AD58" s="1682">
        <v>42835</v>
      </c>
      <c r="AE58" s="1679" t="s">
        <v>2122</v>
      </c>
      <c r="AF58" s="1662" t="s">
        <v>2112</v>
      </c>
      <c r="AG58" s="1666"/>
      <c r="AH58" s="1667">
        <v>15993.3</v>
      </c>
      <c r="AI58" s="1665">
        <v>10422.200000000001</v>
      </c>
      <c r="AJ58" s="1665">
        <v>10422.200000000001</v>
      </c>
      <c r="AK58" s="1698">
        <v>10422.200000000001</v>
      </c>
      <c r="AL58" s="1665">
        <v>0</v>
      </c>
      <c r="AM58" s="1664">
        <v>42835</v>
      </c>
      <c r="AN58" s="1665">
        <v>15993.3</v>
      </c>
      <c r="AO58" s="1665">
        <v>10422.200000000001</v>
      </c>
      <c r="AP58" s="1665">
        <v>10422.200000000001</v>
      </c>
      <c r="AQ58" s="1665">
        <v>10422.200000000001</v>
      </c>
      <c r="AR58" s="1665">
        <v>0</v>
      </c>
      <c r="AS58" s="1665">
        <v>5571.1</v>
      </c>
      <c r="AT58" s="1665">
        <v>0</v>
      </c>
      <c r="AU58" s="1665">
        <v>0</v>
      </c>
      <c r="AV58" s="1665">
        <v>0</v>
      </c>
      <c r="AW58" s="1665">
        <v>5571.1</v>
      </c>
      <c r="AX58" s="1663"/>
      <c r="AY58" s="1663"/>
      <c r="AZ58" s="1663"/>
      <c r="BA58" s="1668"/>
      <c r="BB58" s="1668"/>
      <c r="BC58" s="1663"/>
      <c r="BD58" s="1663"/>
      <c r="BE58" s="1665">
        <v>15993.3</v>
      </c>
      <c r="BF58" s="1665">
        <v>10422.200000000001</v>
      </c>
      <c r="BG58" s="1665">
        <v>10422.200000000001</v>
      </c>
      <c r="BH58" s="1665">
        <v>10422.200000000001</v>
      </c>
      <c r="BI58" s="1665">
        <v>0</v>
      </c>
      <c r="BJ58" s="1665">
        <v>5571.1</v>
      </c>
      <c r="BK58" s="1665">
        <v>0</v>
      </c>
      <c r="BL58" s="1665">
        <v>0</v>
      </c>
      <c r="BM58" s="1665">
        <v>0</v>
      </c>
      <c r="BN58" s="1665">
        <v>5571.1</v>
      </c>
      <c r="BO58" s="1664">
        <v>42991</v>
      </c>
      <c r="BP58" s="1665">
        <v>15993.3</v>
      </c>
      <c r="BQ58" s="1665">
        <v>10422.200000000001</v>
      </c>
      <c r="BR58" s="1665">
        <v>10422.200000000001</v>
      </c>
      <c r="BS58" s="1667">
        <v>10422.200000000001</v>
      </c>
      <c r="BT58" s="1665">
        <v>0</v>
      </c>
      <c r="BU58" s="1665">
        <v>5571.1</v>
      </c>
      <c r="BV58" s="1665">
        <v>0</v>
      </c>
      <c r="BW58" s="1665">
        <v>0</v>
      </c>
      <c r="BX58" s="1665">
        <v>0</v>
      </c>
      <c r="BY58" s="1665">
        <v>5571.1</v>
      </c>
      <c r="BZ58" s="1665">
        <v>0</v>
      </c>
      <c r="CA58" s="1663"/>
      <c r="CB58" s="1668"/>
      <c r="CC58" s="1668"/>
      <c r="CD58" s="1663"/>
      <c r="CE58" s="1663"/>
      <c r="CF58" s="1665">
        <v>0</v>
      </c>
      <c r="CG58" s="1665">
        <v>0</v>
      </c>
      <c r="CH58" s="1665">
        <v>0</v>
      </c>
      <c r="CI58" s="1665">
        <v>0</v>
      </c>
      <c r="CJ58" s="1665">
        <v>0</v>
      </c>
      <c r="CK58" s="1665">
        <v>0</v>
      </c>
      <c r="CL58" s="1668"/>
      <c r="CM58" s="1665">
        <v>0</v>
      </c>
      <c r="CN58" s="1665">
        <v>0</v>
      </c>
      <c r="CO58" s="1665">
        <v>0</v>
      </c>
      <c r="CP58" s="1665">
        <v>0</v>
      </c>
      <c r="CQ58" s="1665">
        <v>0</v>
      </c>
      <c r="CR58" s="1665">
        <v>0</v>
      </c>
      <c r="CS58" s="1665">
        <v>0</v>
      </c>
      <c r="CT58" s="1665">
        <v>0</v>
      </c>
      <c r="CU58" s="1665">
        <v>0</v>
      </c>
      <c r="CV58" s="1665">
        <v>0</v>
      </c>
      <c r="CW58" s="1668"/>
      <c r="CX58" s="1663"/>
      <c r="CY58" s="1663"/>
      <c r="CZ58" s="1663"/>
      <c r="DA58" s="1663"/>
      <c r="DB58" s="1668"/>
      <c r="DC58" s="1662"/>
      <c r="DD58" s="1665">
        <v>0</v>
      </c>
      <c r="DE58" s="1663"/>
      <c r="DF58" s="1663"/>
      <c r="DG58" s="1665">
        <v>0</v>
      </c>
      <c r="DH58" s="1665">
        <v>0</v>
      </c>
    </row>
    <row r="59" spans="1:112" ht="56.25" hidden="1" x14ac:dyDescent="0.25">
      <c r="A59" s="1662" t="s">
        <v>1771</v>
      </c>
      <c r="B59" s="1662" t="s">
        <v>1719</v>
      </c>
      <c r="C59" s="1662" t="s">
        <v>2621</v>
      </c>
      <c r="D59" s="1662" t="s">
        <v>2622</v>
      </c>
      <c r="E59" s="1662" t="s">
        <v>144</v>
      </c>
      <c r="F59" s="1662" t="s">
        <v>2616</v>
      </c>
      <c r="G59" s="1662" t="s">
        <v>2617</v>
      </c>
      <c r="H59" s="1662" t="s">
        <v>2618</v>
      </c>
      <c r="I59" s="1662" t="s">
        <v>712</v>
      </c>
      <c r="J59" s="1662" t="s">
        <v>295</v>
      </c>
      <c r="K59" s="1662" t="s">
        <v>2136</v>
      </c>
      <c r="L59" s="1662" t="s">
        <v>2109</v>
      </c>
      <c r="M59" s="1663"/>
      <c r="N59" s="1663"/>
      <c r="O59" s="1663"/>
      <c r="P59" s="1663"/>
      <c r="Q59" s="1663"/>
      <c r="R59" s="1663"/>
      <c r="S59" s="1663"/>
      <c r="T59" s="1663"/>
      <c r="U59" s="1663"/>
      <c r="V59" s="1663"/>
      <c r="W59" s="1663"/>
      <c r="X59" s="1663"/>
      <c r="Y59" s="1664">
        <v>42865</v>
      </c>
      <c r="Z59" s="1662" t="s">
        <v>2110</v>
      </c>
      <c r="AA59" s="1665">
        <v>0</v>
      </c>
      <c r="AB59" s="1665">
        <v>0</v>
      </c>
      <c r="AC59" s="1680">
        <v>0</v>
      </c>
      <c r="AD59" s="1682">
        <v>42886</v>
      </c>
      <c r="AE59" s="1679" t="s">
        <v>2111</v>
      </c>
      <c r="AF59" s="1662" t="s">
        <v>2115</v>
      </c>
      <c r="AG59" s="1666"/>
      <c r="AH59" s="1667">
        <v>17197.080000000002</v>
      </c>
      <c r="AI59" s="1665">
        <v>8420.75</v>
      </c>
      <c r="AJ59" s="1665">
        <v>8420.75</v>
      </c>
      <c r="AK59" s="1698">
        <v>8420.75</v>
      </c>
      <c r="AL59" s="1665">
        <v>0</v>
      </c>
      <c r="AM59" s="1664">
        <v>42891</v>
      </c>
      <c r="AN59" s="1665">
        <v>17197.080000000002</v>
      </c>
      <c r="AO59" s="1665">
        <v>8420.75</v>
      </c>
      <c r="AP59" s="1665">
        <v>8420.75</v>
      </c>
      <c r="AQ59" s="1665">
        <v>8420.75</v>
      </c>
      <c r="AR59" s="1665">
        <v>0</v>
      </c>
      <c r="AS59" s="1665">
        <v>8776.33</v>
      </c>
      <c r="AT59" s="1665">
        <v>0</v>
      </c>
      <c r="AU59" s="1665">
        <v>0</v>
      </c>
      <c r="AV59" s="1665">
        <v>0</v>
      </c>
      <c r="AW59" s="1665">
        <v>8776.33</v>
      </c>
      <c r="AX59" s="1663"/>
      <c r="AY59" s="1663"/>
      <c r="AZ59" s="1663"/>
      <c r="BA59" s="1668"/>
      <c r="BB59" s="1668"/>
      <c r="BC59" s="1663"/>
      <c r="BD59" s="1663"/>
      <c r="BE59" s="1665">
        <v>17197.080000000002</v>
      </c>
      <c r="BF59" s="1665">
        <v>8420.75</v>
      </c>
      <c r="BG59" s="1665">
        <v>8420.75</v>
      </c>
      <c r="BH59" s="1665">
        <v>8420.75</v>
      </c>
      <c r="BI59" s="1665">
        <v>0</v>
      </c>
      <c r="BJ59" s="1665">
        <v>8776.33</v>
      </c>
      <c r="BK59" s="1665">
        <v>0</v>
      </c>
      <c r="BL59" s="1665">
        <v>0</v>
      </c>
      <c r="BM59" s="1665">
        <v>0</v>
      </c>
      <c r="BN59" s="1665">
        <v>8776.33</v>
      </c>
      <c r="BO59" s="1664">
        <v>42991</v>
      </c>
      <c r="BP59" s="1665">
        <v>17197.080000000002</v>
      </c>
      <c r="BQ59" s="1665">
        <v>8420.75</v>
      </c>
      <c r="BR59" s="1665">
        <v>8420.75</v>
      </c>
      <c r="BS59" s="1667">
        <v>8420.75</v>
      </c>
      <c r="BT59" s="1665">
        <v>0</v>
      </c>
      <c r="BU59" s="1665">
        <v>8776.33</v>
      </c>
      <c r="BV59" s="1665">
        <v>0</v>
      </c>
      <c r="BW59" s="1665">
        <v>0</v>
      </c>
      <c r="BX59" s="1665">
        <v>0</v>
      </c>
      <c r="BY59" s="1665">
        <v>8776.33</v>
      </c>
      <c r="BZ59" s="1665">
        <v>0</v>
      </c>
      <c r="CA59" s="1663"/>
      <c r="CB59" s="1668"/>
      <c r="CC59" s="1668"/>
      <c r="CD59" s="1663"/>
      <c r="CE59" s="1663"/>
      <c r="CF59" s="1665">
        <v>0</v>
      </c>
      <c r="CG59" s="1665">
        <v>0</v>
      </c>
      <c r="CH59" s="1665">
        <v>0</v>
      </c>
      <c r="CI59" s="1665">
        <v>0</v>
      </c>
      <c r="CJ59" s="1665">
        <v>0</v>
      </c>
      <c r="CK59" s="1665">
        <v>0</v>
      </c>
      <c r="CL59" s="1668"/>
      <c r="CM59" s="1665">
        <v>0</v>
      </c>
      <c r="CN59" s="1665">
        <v>0</v>
      </c>
      <c r="CO59" s="1665">
        <v>0</v>
      </c>
      <c r="CP59" s="1665">
        <v>0</v>
      </c>
      <c r="CQ59" s="1665">
        <v>0</v>
      </c>
      <c r="CR59" s="1665">
        <v>0</v>
      </c>
      <c r="CS59" s="1665">
        <v>0</v>
      </c>
      <c r="CT59" s="1665">
        <v>0</v>
      </c>
      <c r="CU59" s="1665">
        <v>0</v>
      </c>
      <c r="CV59" s="1665">
        <v>0</v>
      </c>
      <c r="CW59" s="1668"/>
      <c r="CX59" s="1663"/>
      <c r="CY59" s="1663"/>
      <c r="CZ59" s="1663"/>
      <c r="DA59" s="1663"/>
      <c r="DB59" s="1668"/>
      <c r="DC59" s="1662"/>
      <c r="DD59" s="1665">
        <v>0</v>
      </c>
      <c r="DE59" s="1663"/>
      <c r="DF59" s="1663"/>
      <c r="DG59" s="1665">
        <v>0</v>
      </c>
      <c r="DH59" s="1665">
        <v>0</v>
      </c>
    </row>
    <row r="60" spans="1:112" ht="56.25" hidden="1" x14ac:dyDescent="0.25">
      <c r="A60" s="1662" t="s">
        <v>1457</v>
      </c>
      <c r="B60" s="1662" t="s">
        <v>1719</v>
      </c>
      <c r="C60" s="1662" t="s">
        <v>2621</v>
      </c>
      <c r="D60" s="1662" t="s">
        <v>2622</v>
      </c>
      <c r="E60" s="1662" t="s">
        <v>144</v>
      </c>
      <c r="F60" s="1662" t="s">
        <v>2616</v>
      </c>
      <c r="G60" s="1662" t="s">
        <v>2617</v>
      </c>
      <c r="H60" s="1662" t="s">
        <v>2618</v>
      </c>
      <c r="I60" s="1662" t="s">
        <v>712</v>
      </c>
      <c r="J60" s="1662" t="s">
        <v>295</v>
      </c>
      <c r="K60" s="1662" t="s">
        <v>2136</v>
      </c>
      <c r="L60" s="1662" t="s">
        <v>2109</v>
      </c>
      <c r="M60" s="1663"/>
      <c r="N60" s="1663"/>
      <c r="O60" s="1663"/>
      <c r="P60" s="1663"/>
      <c r="Q60" s="1663"/>
      <c r="R60" s="1663"/>
      <c r="S60" s="1663"/>
      <c r="T60" s="1663"/>
      <c r="U60" s="1663"/>
      <c r="V60" s="1663"/>
      <c r="W60" s="1663"/>
      <c r="X60" s="1663"/>
      <c r="Y60" s="1664">
        <v>42926</v>
      </c>
      <c r="Z60" s="1662" t="s">
        <v>2110</v>
      </c>
      <c r="AA60" s="1665">
        <v>0</v>
      </c>
      <c r="AB60" s="1665">
        <v>0</v>
      </c>
      <c r="AC60" s="1680">
        <v>0</v>
      </c>
      <c r="AD60" s="1682">
        <v>42949</v>
      </c>
      <c r="AE60" s="1679" t="s">
        <v>2114</v>
      </c>
      <c r="AF60" s="1662" t="s">
        <v>2115</v>
      </c>
      <c r="AG60" s="1666"/>
      <c r="AH60" s="1667">
        <v>8392.39</v>
      </c>
      <c r="AI60" s="1665">
        <v>4671.32</v>
      </c>
      <c r="AJ60" s="1665">
        <v>4671.3100000000004</v>
      </c>
      <c r="AK60" s="1698">
        <v>4671.3100000000004</v>
      </c>
      <c r="AL60" s="1665">
        <v>0</v>
      </c>
      <c r="AM60" s="1664">
        <v>42950</v>
      </c>
      <c r="AN60" s="1665">
        <v>8392.39</v>
      </c>
      <c r="AO60" s="1665">
        <v>4671.3100000000004</v>
      </c>
      <c r="AP60" s="1665">
        <v>4671.3100000000004</v>
      </c>
      <c r="AQ60" s="1665">
        <v>4671.3100000000004</v>
      </c>
      <c r="AR60" s="1665">
        <v>0</v>
      </c>
      <c r="AS60" s="1665">
        <v>3721.08</v>
      </c>
      <c r="AT60" s="1665">
        <v>0</v>
      </c>
      <c r="AU60" s="1665">
        <v>0</v>
      </c>
      <c r="AV60" s="1665">
        <v>0</v>
      </c>
      <c r="AW60" s="1665">
        <v>3721.08</v>
      </c>
      <c r="AX60" s="1663"/>
      <c r="AY60" s="1663"/>
      <c r="AZ60" s="1663"/>
      <c r="BA60" s="1668"/>
      <c r="BB60" s="1668"/>
      <c r="BC60" s="1663"/>
      <c r="BD60" s="1663"/>
      <c r="BE60" s="1665">
        <v>8392.39</v>
      </c>
      <c r="BF60" s="1665">
        <v>4671.3100000000004</v>
      </c>
      <c r="BG60" s="1665">
        <v>4671.3100000000004</v>
      </c>
      <c r="BH60" s="1665">
        <v>4671.3100000000004</v>
      </c>
      <c r="BI60" s="1665">
        <v>0</v>
      </c>
      <c r="BJ60" s="1665">
        <v>3721.08</v>
      </c>
      <c r="BK60" s="1665">
        <v>0</v>
      </c>
      <c r="BL60" s="1665">
        <v>0</v>
      </c>
      <c r="BM60" s="1665">
        <v>0</v>
      </c>
      <c r="BN60" s="1665">
        <v>3721.08</v>
      </c>
      <c r="BO60" s="1664">
        <v>43035</v>
      </c>
      <c r="BP60" s="1665">
        <v>8392.39</v>
      </c>
      <c r="BQ60" s="1665">
        <v>4671.3100000000004</v>
      </c>
      <c r="BR60" s="1665">
        <v>4671.3100000000004</v>
      </c>
      <c r="BS60" s="1667">
        <v>4671.3100000000004</v>
      </c>
      <c r="BT60" s="1665">
        <v>0</v>
      </c>
      <c r="BU60" s="1665">
        <v>3721.08</v>
      </c>
      <c r="BV60" s="1665">
        <v>0</v>
      </c>
      <c r="BW60" s="1665">
        <v>0</v>
      </c>
      <c r="BX60" s="1665">
        <v>0</v>
      </c>
      <c r="BY60" s="1665">
        <v>3721.08</v>
      </c>
      <c r="BZ60" s="1665">
        <v>0</v>
      </c>
      <c r="CA60" s="1663"/>
      <c r="CB60" s="1668"/>
      <c r="CC60" s="1668"/>
      <c r="CD60" s="1663"/>
      <c r="CE60" s="1663"/>
      <c r="CF60" s="1665">
        <v>0</v>
      </c>
      <c r="CG60" s="1665">
        <v>0</v>
      </c>
      <c r="CH60" s="1665">
        <v>0</v>
      </c>
      <c r="CI60" s="1665">
        <v>0</v>
      </c>
      <c r="CJ60" s="1665">
        <v>0</v>
      </c>
      <c r="CK60" s="1665">
        <v>0</v>
      </c>
      <c r="CL60" s="1668"/>
      <c r="CM60" s="1665">
        <v>0</v>
      </c>
      <c r="CN60" s="1665">
        <v>0</v>
      </c>
      <c r="CO60" s="1665">
        <v>0</v>
      </c>
      <c r="CP60" s="1665">
        <v>0</v>
      </c>
      <c r="CQ60" s="1665">
        <v>0</v>
      </c>
      <c r="CR60" s="1665">
        <v>0</v>
      </c>
      <c r="CS60" s="1665">
        <v>0</v>
      </c>
      <c r="CT60" s="1665">
        <v>0</v>
      </c>
      <c r="CU60" s="1665">
        <v>0</v>
      </c>
      <c r="CV60" s="1665">
        <v>0</v>
      </c>
      <c r="CW60" s="1668"/>
      <c r="CX60" s="1663"/>
      <c r="CY60" s="1663"/>
      <c r="CZ60" s="1663"/>
      <c r="DA60" s="1663"/>
      <c r="DB60" s="1668"/>
      <c r="DC60" s="1662"/>
      <c r="DD60" s="1665">
        <v>0</v>
      </c>
      <c r="DE60" s="1663"/>
      <c r="DF60" s="1663"/>
      <c r="DG60" s="1665">
        <v>0</v>
      </c>
      <c r="DH60" s="1665">
        <v>0</v>
      </c>
    </row>
    <row r="61" spans="1:112" ht="56.25" hidden="1" x14ac:dyDescent="0.25">
      <c r="A61" s="1662" t="s">
        <v>1772</v>
      </c>
      <c r="B61" s="1662" t="s">
        <v>1719</v>
      </c>
      <c r="C61" s="1662" t="s">
        <v>2621</v>
      </c>
      <c r="D61" s="1662" t="s">
        <v>2622</v>
      </c>
      <c r="E61" s="1662" t="s">
        <v>144</v>
      </c>
      <c r="F61" s="1662" t="s">
        <v>2616</v>
      </c>
      <c r="G61" s="1662" t="s">
        <v>2617</v>
      </c>
      <c r="H61" s="1662" t="s">
        <v>2618</v>
      </c>
      <c r="I61" s="1662" t="s">
        <v>712</v>
      </c>
      <c r="J61" s="1662" t="s">
        <v>295</v>
      </c>
      <c r="K61" s="1662" t="s">
        <v>2136</v>
      </c>
      <c r="L61" s="1662" t="s">
        <v>2109</v>
      </c>
      <c r="M61" s="1663"/>
      <c r="N61" s="1663"/>
      <c r="O61" s="1663"/>
      <c r="P61" s="1663"/>
      <c r="Q61" s="1663"/>
      <c r="R61" s="1663"/>
      <c r="S61" s="1663"/>
      <c r="T61" s="1663"/>
      <c r="U61" s="1663"/>
      <c r="V61" s="1663"/>
      <c r="W61" s="1663"/>
      <c r="X61" s="1663"/>
      <c r="Y61" s="1664">
        <v>42990</v>
      </c>
      <c r="Z61" s="1662" t="s">
        <v>2110</v>
      </c>
      <c r="AA61" s="1665">
        <v>0</v>
      </c>
      <c r="AB61" s="1665">
        <v>0</v>
      </c>
      <c r="AC61" s="1680">
        <v>0</v>
      </c>
      <c r="AD61" s="1682">
        <v>43027</v>
      </c>
      <c r="AE61" s="1679" t="s">
        <v>2128</v>
      </c>
      <c r="AF61" s="1662" t="s">
        <v>2115</v>
      </c>
      <c r="AG61" s="1666"/>
      <c r="AH61" s="1667">
        <v>68212.789999999994</v>
      </c>
      <c r="AI61" s="1665">
        <v>33997.71</v>
      </c>
      <c r="AJ61" s="1665">
        <v>33997.72</v>
      </c>
      <c r="AK61" s="1698">
        <v>33997.72</v>
      </c>
      <c r="AL61" s="1665">
        <v>0</v>
      </c>
      <c r="AM61" s="1664">
        <v>43027</v>
      </c>
      <c r="AN61" s="1665">
        <v>68212.789999999994</v>
      </c>
      <c r="AO61" s="1665">
        <v>33997.72</v>
      </c>
      <c r="AP61" s="1665">
        <v>33997.72</v>
      </c>
      <c r="AQ61" s="1665">
        <v>33997.72</v>
      </c>
      <c r="AR61" s="1665">
        <v>0</v>
      </c>
      <c r="AS61" s="1665">
        <v>34215.07</v>
      </c>
      <c r="AT61" s="1665">
        <v>0</v>
      </c>
      <c r="AU61" s="1665">
        <v>0</v>
      </c>
      <c r="AV61" s="1665">
        <v>0</v>
      </c>
      <c r="AW61" s="1665">
        <v>34215.07</v>
      </c>
      <c r="AX61" s="1663"/>
      <c r="AY61" s="1663"/>
      <c r="AZ61" s="1663"/>
      <c r="BA61" s="1668"/>
      <c r="BB61" s="1668"/>
      <c r="BC61" s="1663"/>
      <c r="BD61" s="1663"/>
      <c r="BE61" s="1665">
        <v>68212.789999999994</v>
      </c>
      <c r="BF61" s="1665">
        <v>33997.72</v>
      </c>
      <c r="BG61" s="1665">
        <v>33997.72</v>
      </c>
      <c r="BH61" s="1665">
        <v>33997.72</v>
      </c>
      <c r="BI61" s="1665">
        <v>0</v>
      </c>
      <c r="BJ61" s="1665">
        <v>34215.07</v>
      </c>
      <c r="BK61" s="1665">
        <v>0</v>
      </c>
      <c r="BL61" s="1665">
        <v>0</v>
      </c>
      <c r="BM61" s="1665">
        <v>0</v>
      </c>
      <c r="BN61" s="1665">
        <v>34215.07</v>
      </c>
      <c r="BO61" s="1664">
        <v>43125</v>
      </c>
      <c r="BP61" s="1665">
        <v>68212.789999999994</v>
      </c>
      <c r="BQ61" s="1665">
        <v>33997.72</v>
      </c>
      <c r="BR61" s="1665">
        <v>33997.72</v>
      </c>
      <c r="BS61" s="1667">
        <v>33997.72</v>
      </c>
      <c r="BT61" s="1665">
        <v>0</v>
      </c>
      <c r="BU61" s="1665">
        <v>34215.07</v>
      </c>
      <c r="BV61" s="1665">
        <v>0</v>
      </c>
      <c r="BW61" s="1665">
        <v>0</v>
      </c>
      <c r="BX61" s="1665">
        <v>0</v>
      </c>
      <c r="BY61" s="1665">
        <v>34215.07</v>
      </c>
      <c r="BZ61" s="1665">
        <v>0</v>
      </c>
      <c r="CA61" s="1663"/>
      <c r="CB61" s="1668"/>
      <c r="CC61" s="1668"/>
      <c r="CD61" s="1663"/>
      <c r="CE61" s="1663"/>
      <c r="CF61" s="1665">
        <v>0</v>
      </c>
      <c r="CG61" s="1665">
        <v>0</v>
      </c>
      <c r="CH61" s="1665">
        <v>0</v>
      </c>
      <c r="CI61" s="1665">
        <v>0</v>
      </c>
      <c r="CJ61" s="1665">
        <v>0</v>
      </c>
      <c r="CK61" s="1665">
        <v>0</v>
      </c>
      <c r="CL61" s="1668"/>
      <c r="CM61" s="1665">
        <v>0</v>
      </c>
      <c r="CN61" s="1665">
        <v>0</v>
      </c>
      <c r="CO61" s="1665">
        <v>0</v>
      </c>
      <c r="CP61" s="1665">
        <v>0</v>
      </c>
      <c r="CQ61" s="1665">
        <v>0</v>
      </c>
      <c r="CR61" s="1665">
        <v>0</v>
      </c>
      <c r="CS61" s="1665">
        <v>0</v>
      </c>
      <c r="CT61" s="1665">
        <v>0</v>
      </c>
      <c r="CU61" s="1665">
        <v>0</v>
      </c>
      <c r="CV61" s="1665">
        <v>0</v>
      </c>
      <c r="CW61" s="1668"/>
      <c r="CX61" s="1663"/>
      <c r="CY61" s="1663"/>
      <c r="CZ61" s="1663"/>
      <c r="DA61" s="1663"/>
      <c r="DB61" s="1668"/>
      <c r="DC61" s="1662"/>
      <c r="DD61" s="1665">
        <v>0</v>
      </c>
      <c r="DE61" s="1663"/>
      <c r="DF61" s="1663"/>
      <c r="DG61" s="1665">
        <v>0</v>
      </c>
      <c r="DH61" s="1665">
        <v>0</v>
      </c>
    </row>
    <row r="62" spans="1:112" ht="56.25" hidden="1" x14ac:dyDescent="0.25">
      <c r="A62" s="1662" t="s">
        <v>1773</v>
      </c>
      <c r="B62" s="1662" t="s">
        <v>1719</v>
      </c>
      <c r="C62" s="1662" t="s">
        <v>2621</v>
      </c>
      <c r="D62" s="1662" t="s">
        <v>2622</v>
      </c>
      <c r="E62" s="1662" t="s">
        <v>144</v>
      </c>
      <c r="F62" s="1662" t="s">
        <v>2616</v>
      </c>
      <c r="G62" s="1662" t="s">
        <v>2617</v>
      </c>
      <c r="H62" s="1662" t="s">
        <v>2618</v>
      </c>
      <c r="I62" s="1662" t="s">
        <v>712</v>
      </c>
      <c r="J62" s="1662" t="s">
        <v>295</v>
      </c>
      <c r="K62" s="1662" t="s">
        <v>2136</v>
      </c>
      <c r="L62" s="1662" t="s">
        <v>2109</v>
      </c>
      <c r="M62" s="1663"/>
      <c r="N62" s="1663"/>
      <c r="O62" s="1663"/>
      <c r="P62" s="1663"/>
      <c r="Q62" s="1663"/>
      <c r="R62" s="1663"/>
      <c r="S62" s="1663"/>
      <c r="T62" s="1663"/>
      <c r="U62" s="1663"/>
      <c r="V62" s="1663"/>
      <c r="W62" s="1663"/>
      <c r="X62" s="1663"/>
      <c r="Y62" s="1664">
        <v>43077</v>
      </c>
      <c r="Z62" s="1662" t="s">
        <v>2110</v>
      </c>
      <c r="AA62" s="1665">
        <v>0</v>
      </c>
      <c r="AB62" s="1665">
        <v>0</v>
      </c>
      <c r="AC62" s="1680">
        <v>0</v>
      </c>
      <c r="AD62" s="1682">
        <v>43091</v>
      </c>
      <c r="AE62" s="1679" t="s">
        <v>2129</v>
      </c>
      <c r="AF62" s="1662" t="s">
        <v>2115</v>
      </c>
      <c r="AG62" s="1666"/>
      <c r="AH62" s="1667">
        <v>75349.75</v>
      </c>
      <c r="AI62" s="1665">
        <v>47131.37</v>
      </c>
      <c r="AJ62" s="1665">
        <v>47131.37</v>
      </c>
      <c r="AK62" s="1698">
        <v>47131.37</v>
      </c>
      <c r="AL62" s="1665">
        <v>0</v>
      </c>
      <c r="AM62" s="1664">
        <v>43096</v>
      </c>
      <c r="AN62" s="1665">
        <v>75349.75</v>
      </c>
      <c r="AO62" s="1665">
        <v>47131.37</v>
      </c>
      <c r="AP62" s="1665">
        <v>47131.37</v>
      </c>
      <c r="AQ62" s="1665">
        <v>47131.37</v>
      </c>
      <c r="AR62" s="1665">
        <v>0</v>
      </c>
      <c r="AS62" s="1665">
        <v>28218.38</v>
      </c>
      <c r="AT62" s="1665">
        <v>0</v>
      </c>
      <c r="AU62" s="1665">
        <v>0</v>
      </c>
      <c r="AV62" s="1665">
        <v>0</v>
      </c>
      <c r="AW62" s="1665">
        <v>28218.38</v>
      </c>
      <c r="AX62" s="1663"/>
      <c r="AY62" s="1663"/>
      <c r="AZ62" s="1663"/>
      <c r="BA62" s="1668"/>
      <c r="BB62" s="1668"/>
      <c r="BC62" s="1663"/>
      <c r="BD62" s="1663"/>
      <c r="BE62" s="1665">
        <v>75349.75</v>
      </c>
      <c r="BF62" s="1665">
        <v>47131.37</v>
      </c>
      <c r="BG62" s="1665">
        <v>47131.37</v>
      </c>
      <c r="BH62" s="1665">
        <v>47131.37</v>
      </c>
      <c r="BI62" s="1665">
        <v>0</v>
      </c>
      <c r="BJ62" s="1665">
        <v>28218.38</v>
      </c>
      <c r="BK62" s="1665">
        <v>0</v>
      </c>
      <c r="BL62" s="1665">
        <v>0</v>
      </c>
      <c r="BM62" s="1665">
        <v>0</v>
      </c>
      <c r="BN62" s="1665">
        <v>28218.38</v>
      </c>
      <c r="BO62" s="1664">
        <v>43189</v>
      </c>
      <c r="BP62" s="1665">
        <v>75349.75</v>
      </c>
      <c r="BQ62" s="1665">
        <v>47131.37</v>
      </c>
      <c r="BR62" s="1665">
        <v>47131.37</v>
      </c>
      <c r="BS62" s="1667">
        <v>47131.37</v>
      </c>
      <c r="BT62" s="1665">
        <v>0</v>
      </c>
      <c r="BU62" s="1665">
        <v>28218.38</v>
      </c>
      <c r="BV62" s="1665">
        <v>0</v>
      </c>
      <c r="BW62" s="1665">
        <v>0</v>
      </c>
      <c r="BX62" s="1665">
        <v>0</v>
      </c>
      <c r="BY62" s="1665">
        <v>28218.38</v>
      </c>
      <c r="BZ62" s="1665">
        <v>0</v>
      </c>
      <c r="CA62" s="1663"/>
      <c r="CB62" s="1668"/>
      <c r="CC62" s="1668"/>
      <c r="CD62" s="1663"/>
      <c r="CE62" s="1663"/>
      <c r="CF62" s="1665">
        <v>0</v>
      </c>
      <c r="CG62" s="1665">
        <v>0</v>
      </c>
      <c r="CH62" s="1665">
        <v>0</v>
      </c>
      <c r="CI62" s="1665">
        <v>0</v>
      </c>
      <c r="CJ62" s="1665">
        <v>0</v>
      </c>
      <c r="CK62" s="1665">
        <v>0</v>
      </c>
      <c r="CL62" s="1668"/>
      <c r="CM62" s="1665">
        <v>0</v>
      </c>
      <c r="CN62" s="1665">
        <v>0</v>
      </c>
      <c r="CO62" s="1665">
        <v>0</v>
      </c>
      <c r="CP62" s="1665">
        <v>0</v>
      </c>
      <c r="CQ62" s="1665">
        <v>0</v>
      </c>
      <c r="CR62" s="1665">
        <v>0</v>
      </c>
      <c r="CS62" s="1665">
        <v>0</v>
      </c>
      <c r="CT62" s="1665">
        <v>0</v>
      </c>
      <c r="CU62" s="1665">
        <v>0</v>
      </c>
      <c r="CV62" s="1665">
        <v>0</v>
      </c>
      <c r="CW62" s="1668"/>
      <c r="CX62" s="1663"/>
      <c r="CY62" s="1663"/>
      <c r="CZ62" s="1663"/>
      <c r="DA62" s="1663"/>
      <c r="DB62" s="1668"/>
      <c r="DC62" s="1662"/>
      <c r="DD62" s="1665">
        <v>0</v>
      </c>
      <c r="DE62" s="1663"/>
      <c r="DF62" s="1663"/>
      <c r="DG62" s="1665">
        <v>0</v>
      </c>
      <c r="DH62" s="1665">
        <v>0</v>
      </c>
    </row>
    <row r="63" spans="1:112" ht="56.25" hidden="1" x14ac:dyDescent="0.25">
      <c r="A63" s="1662" t="s">
        <v>1774</v>
      </c>
      <c r="B63" s="1662" t="s">
        <v>1719</v>
      </c>
      <c r="C63" s="1662" t="s">
        <v>2621</v>
      </c>
      <c r="D63" s="1662" t="s">
        <v>2622</v>
      </c>
      <c r="E63" s="1662" t="s">
        <v>144</v>
      </c>
      <c r="F63" s="1662" t="s">
        <v>2616</v>
      </c>
      <c r="G63" s="1662" t="s">
        <v>2617</v>
      </c>
      <c r="H63" s="1662" t="s">
        <v>2618</v>
      </c>
      <c r="I63" s="1662" t="s">
        <v>712</v>
      </c>
      <c r="J63" s="1662" t="s">
        <v>295</v>
      </c>
      <c r="K63" s="1662" t="s">
        <v>2136</v>
      </c>
      <c r="L63" s="1662" t="s">
        <v>2109</v>
      </c>
      <c r="M63" s="1663"/>
      <c r="N63" s="1663"/>
      <c r="O63" s="1663"/>
      <c r="P63" s="1663"/>
      <c r="Q63" s="1663"/>
      <c r="R63" s="1663"/>
      <c r="S63" s="1663"/>
      <c r="T63" s="1663"/>
      <c r="U63" s="1663"/>
      <c r="V63" s="1663"/>
      <c r="W63" s="1663"/>
      <c r="X63" s="1663"/>
      <c r="Y63" s="1664">
        <v>43077</v>
      </c>
      <c r="Z63" s="1662" t="s">
        <v>2110</v>
      </c>
      <c r="AA63" s="1665">
        <v>0</v>
      </c>
      <c r="AB63" s="1665">
        <v>0</v>
      </c>
      <c r="AC63" s="1680">
        <v>0</v>
      </c>
      <c r="AD63" s="1682">
        <v>43091</v>
      </c>
      <c r="AE63" s="1679" t="s">
        <v>2129</v>
      </c>
      <c r="AF63" s="1662" t="s">
        <v>2112</v>
      </c>
      <c r="AG63" s="1666"/>
      <c r="AH63" s="1667">
        <v>62.32</v>
      </c>
      <c r="AI63" s="1665">
        <v>40.61</v>
      </c>
      <c r="AJ63" s="1665">
        <v>40.61</v>
      </c>
      <c r="AK63" s="1698">
        <v>40.61</v>
      </c>
      <c r="AL63" s="1665">
        <v>0</v>
      </c>
      <c r="AM63" s="1664">
        <v>43091</v>
      </c>
      <c r="AN63" s="1665">
        <v>62.32</v>
      </c>
      <c r="AO63" s="1665">
        <v>40.61</v>
      </c>
      <c r="AP63" s="1665">
        <v>40.61</v>
      </c>
      <c r="AQ63" s="1665">
        <v>40.61</v>
      </c>
      <c r="AR63" s="1665">
        <v>0</v>
      </c>
      <c r="AS63" s="1665">
        <v>21.71</v>
      </c>
      <c r="AT63" s="1665">
        <v>0</v>
      </c>
      <c r="AU63" s="1665">
        <v>0</v>
      </c>
      <c r="AV63" s="1665">
        <v>0</v>
      </c>
      <c r="AW63" s="1665">
        <v>21.71</v>
      </c>
      <c r="AX63" s="1663"/>
      <c r="AY63" s="1663"/>
      <c r="AZ63" s="1663"/>
      <c r="BA63" s="1668"/>
      <c r="BB63" s="1668"/>
      <c r="BC63" s="1663"/>
      <c r="BD63" s="1663"/>
      <c r="BE63" s="1665">
        <v>62.32</v>
      </c>
      <c r="BF63" s="1665">
        <v>40.61</v>
      </c>
      <c r="BG63" s="1665">
        <v>40.61</v>
      </c>
      <c r="BH63" s="1665">
        <v>40.61</v>
      </c>
      <c r="BI63" s="1665">
        <v>0</v>
      </c>
      <c r="BJ63" s="1665">
        <v>21.71</v>
      </c>
      <c r="BK63" s="1665">
        <v>0</v>
      </c>
      <c r="BL63" s="1665">
        <v>0</v>
      </c>
      <c r="BM63" s="1665">
        <v>0</v>
      </c>
      <c r="BN63" s="1665">
        <v>21.71</v>
      </c>
      <c r="BO63" s="1664">
        <v>43189</v>
      </c>
      <c r="BP63" s="1665">
        <v>62.32</v>
      </c>
      <c r="BQ63" s="1665">
        <v>40.61</v>
      </c>
      <c r="BR63" s="1665">
        <v>40.61</v>
      </c>
      <c r="BS63" s="1667">
        <v>40.61</v>
      </c>
      <c r="BT63" s="1665">
        <v>0</v>
      </c>
      <c r="BU63" s="1665">
        <v>21.71</v>
      </c>
      <c r="BV63" s="1665">
        <v>0</v>
      </c>
      <c r="BW63" s="1665">
        <v>0</v>
      </c>
      <c r="BX63" s="1665">
        <v>0</v>
      </c>
      <c r="BY63" s="1665">
        <v>21.71</v>
      </c>
      <c r="BZ63" s="1665">
        <v>0</v>
      </c>
      <c r="CA63" s="1663"/>
      <c r="CB63" s="1668"/>
      <c r="CC63" s="1668"/>
      <c r="CD63" s="1663"/>
      <c r="CE63" s="1663"/>
      <c r="CF63" s="1665">
        <v>0</v>
      </c>
      <c r="CG63" s="1665">
        <v>0</v>
      </c>
      <c r="CH63" s="1665">
        <v>0</v>
      </c>
      <c r="CI63" s="1665">
        <v>0</v>
      </c>
      <c r="CJ63" s="1665">
        <v>0</v>
      </c>
      <c r="CK63" s="1665">
        <v>0</v>
      </c>
      <c r="CL63" s="1668"/>
      <c r="CM63" s="1665">
        <v>0</v>
      </c>
      <c r="CN63" s="1665">
        <v>0</v>
      </c>
      <c r="CO63" s="1665">
        <v>0</v>
      </c>
      <c r="CP63" s="1665">
        <v>0</v>
      </c>
      <c r="CQ63" s="1665">
        <v>0</v>
      </c>
      <c r="CR63" s="1665">
        <v>0</v>
      </c>
      <c r="CS63" s="1665">
        <v>0</v>
      </c>
      <c r="CT63" s="1665">
        <v>0</v>
      </c>
      <c r="CU63" s="1665">
        <v>0</v>
      </c>
      <c r="CV63" s="1665">
        <v>0</v>
      </c>
      <c r="CW63" s="1668"/>
      <c r="CX63" s="1663"/>
      <c r="CY63" s="1663"/>
      <c r="CZ63" s="1663"/>
      <c r="DA63" s="1663"/>
      <c r="DB63" s="1668"/>
      <c r="DC63" s="1662"/>
      <c r="DD63" s="1665">
        <v>0</v>
      </c>
      <c r="DE63" s="1663"/>
      <c r="DF63" s="1663"/>
      <c r="DG63" s="1665">
        <v>0</v>
      </c>
      <c r="DH63" s="1665">
        <v>0</v>
      </c>
    </row>
    <row r="64" spans="1:112" ht="56.25" hidden="1" x14ac:dyDescent="0.25">
      <c r="A64" s="1662" t="s">
        <v>1775</v>
      </c>
      <c r="B64" s="1662" t="s">
        <v>1719</v>
      </c>
      <c r="C64" s="1662" t="s">
        <v>2621</v>
      </c>
      <c r="D64" s="1662" t="s">
        <v>2622</v>
      </c>
      <c r="E64" s="1662" t="s">
        <v>144</v>
      </c>
      <c r="F64" s="1662" t="s">
        <v>2616</v>
      </c>
      <c r="G64" s="1662" t="s">
        <v>2617</v>
      </c>
      <c r="H64" s="1662" t="s">
        <v>2618</v>
      </c>
      <c r="I64" s="1662" t="s">
        <v>712</v>
      </c>
      <c r="J64" s="1662" t="s">
        <v>295</v>
      </c>
      <c r="K64" s="1662" t="s">
        <v>2136</v>
      </c>
      <c r="L64" s="1662" t="s">
        <v>2109</v>
      </c>
      <c r="M64" s="1663"/>
      <c r="N64" s="1663"/>
      <c r="O64" s="1663"/>
      <c r="P64" s="1663"/>
      <c r="Q64" s="1663"/>
      <c r="R64" s="1663"/>
      <c r="S64" s="1663"/>
      <c r="T64" s="1663"/>
      <c r="U64" s="1663"/>
      <c r="V64" s="1663"/>
      <c r="W64" s="1663"/>
      <c r="X64" s="1663"/>
      <c r="Y64" s="1664">
        <v>43166</v>
      </c>
      <c r="Z64" s="1662" t="s">
        <v>2110</v>
      </c>
      <c r="AA64" s="1665">
        <v>0</v>
      </c>
      <c r="AB64" s="1665">
        <v>0</v>
      </c>
      <c r="AC64" s="1680">
        <v>0</v>
      </c>
      <c r="AD64" s="1682">
        <v>43187</v>
      </c>
      <c r="AE64" s="1679" t="s">
        <v>2130</v>
      </c>
      <c r="AF64" s="1662" t="s">
        <v>2115</v>
      </c>
      <c r="AG64" s="1666"/>
      <c r="AH64" s="1667">
        <v>64196.34</v>
      </c>
      <c r="AI64" s="1665">
        <v>31434.48</v>
      </c>
      <c r="AJ64" s="1665">
        <v>31434.48</v>
      </c>
      <c r="AK64" s="1698">
        <v>31434.48</v>
      </c>
      <c r="AL64" s="1665">
        <v>0</v>
      </c>
      <c r="AM64" s="1664">
        <v>43193</v>
      </c>
      <c r="AN64" s="1665">
        <v>64196.34</v>
      </c>
      <c r="AO64" s="1665">
        <v>31434.48</v>
      </c>
      <c r="AP64" s="1665">
        <v>31434.48</v>
      </c>
      <c r="AQ64" s="1665">
        <v>31434.48</v>
      </c>
      <c r="AR64" s="1665">
        <v>0</v>
      </c>
      <c r="AS64" s="1665">
        <v>32761.86</v>
      </c>
      <c r="AT64" s="1665">
        <v>0</v>
      </c>
      <c r="AU64" s="1665">
        <v>0</v>
      </c>
      <c r="AV64" s="1665">
        <v>0</v>
      </c>
      <c r="AW64" s="1665">
        <v>32761.86</v>
      </c>
      <c r="AX64" s="1663"/>
      <c r="AY64" s="1663"/>
      <c r="AZ64" s="1663"/>
      <c r="BA64" s="1668"/>
      <c r="BB64" s="1668"/>
      <c r="BC64" s="1663"/>
      <c r="BD64" s="1663"/>
      <c r="BE64" s="1665">
        <v>64196.34</v>
      </c>
      <c r="BF64" s="1665">
        <v>31434.48</v>
      </c>
      <c r="BG64" s="1665">
        <v>31434.48</v>
      </c>
      <c r="BH64" s="1665">
        <v>31434.48</v>
      </c>
      <c r="BI64" s="1665">
        <v>0</v>
      </c>
      <c r="BJ64" s="1665">
        <v>32761.86</v>
      </c>
      <c r="BK64" s="1665">
        <v>0</v>
      </c>
      <c r="BL64" s="1665">
        <v>0</v>
      </c>
      <c r="BM64" s="1665">
        <v>0</v>
      </c>
      <c r="BN64" s="1665">
        <v>32761.86</v>
      </c>
      <c r="BO64" s="1664">
        <v>43355</v>
      </c>
      <c r="BP64" s="1665">
        <v>64196.34</v>
      </c>
      <c r="BQ64" s="1665">
        <v>31434.48</v>
      </c>
      <c r="BR64" s="1665">
        <v>31434.48</v>
      </c>
      <c r="BS64" s="1667">
        <v>31434.48</v>
      </c>
      <c r="BT64" s="1665">
        <v>0</v>
      </c>
      <c r="BU64" s="1665">
        <v>32761.86</v>
      </c>
      <c r="BV64" s="1665">
        <v>0</v>
      </c>
      <c r="BW64" s="1665">
        <v>0</v>
      </c>
      <c r="BX64" s="1665">
        <v>0</v>
      </c>
      <c r="BY64" s="1665">
        <v>32761.86</v>
      </c>
      <c r="BZ64" s="1665">
        <v>0</v>
      </c>
      <c r="CA64" s="1663"/>
      <c r="CB64" s="1668"/>
      <c r="CC64" s="1668"/>
      <c r="CD64" s="1663"/>
      <c r="CE64" s="1663"/>
      <c r="CF64" s="1665">
        <v>0</v>
      </c>
      <c r="CG64" s="1665">
        <v>0</v>
      </c>
      <c r="CH64" s="1665">
        <v>0</v>
      </c>
      <c r="CI64" s="1665">
        <v>0</v>
      </c>
      <c r="CJ64" s="1665">
        <v>0</v>
      </c>
      <c r="CK64" s="1665">
        <v>0</v>
      </c>
      <c r="CL64" s="1668"/>
      <c r="CM64" s="1665">
        <v>0</v>
      </c>
      <c r="CN64" s="1665">
        <v>0</v>
      </c>
      <c r="CO64" s="1665">
        <v>0</v>
      </c>
      <c r="CP64" s="1665">
        <v>0</v>
      </c>
      <c r="CQ64" s="1665">
        <v>0</v>
      </c>
      <c r="CR64" s="1665">
        <v>0</v>
      </c>
      <c r="CS64" s="1665">
        <v>0</v>
      </c>
      <c r="CT64" s="1665">
        <v>0</v>
      </c>
      <c r="CU64" s="1665">
        <v>0</v>
      </c>
      <c r="CV64" s="1665">
        <v>0</v>
      </c>
      <c r="CW64" s="1668"/>
      <c r="CX64" s="1663"/>
      <c r="CY64" s="1663"/>
      <c r="CZ64" s="1663"/>
      <c r="DA64" s="1663"/>
      <c r="DB64" s="1668"/>
      <c r="DC64" s="1662"/>
      <c r="DD64" s="1665">
        <v>0</v>
      </c>
      <c r="DE64" s="1663"/>
      <c r="DF64" s="1663"/>
      <c r="DG64" s="1665">
        <v>0</v>
      </c>
      <c r="DH64" s="1665">
        <v>0</v>
      </c>
    </row>
    <row r="65" spans="1:112" ht="56.25" hidden="1" x14ac:dyDescent="0.25">
      <c r="A65" s="1662" t="s">
        <v>1776</v>
      </c>
      <c r="B65" s="1662" t="s">
        <v>1719</v>
      </c>
      <c r="C65" s="1662" t="s">
        <v>2621</v>
      </c>
      <c r="D65" s="1662" t="s">
        <v>2622</v>
      </c>
      <c r="E65" s="1662" t="s">
        <v>144</v>
      </c>
      <c r="F65" s="1662" t="s">
        <v>2616</v>
      </c>
      <c r="G65" s="1662" t="s">
        <v>2617</v>
      </c>
      <c r="H65" s="1662" t="s">
        <v>2618</v>
      </c>
      <c r="I65" s="1662" t="s">
        <v>712</v>
      </c>
      <c r="J65" s="1662" t="s">
        <v>295</v>
      </c>
      <c r="K65" s="1662" t="s">
        <v>2136</v>
      </c>
      <c r="L65" s="1662" t="s">
        <v>2109</v>
      </c>
      <c r="M65" s="1663"/>
      <c r="N65" s="1663"/>
      <c r="O65" s="1663"/>
      <c r="P65" s="1663"/>
      <c r="Q65" s="1663"/>
      <c r="R65" s="1663"/>
      <c r="S65" s="1663"/>
      <c r="T65" s="1663"/>
      <c r="U65" s="1663"/>
      <c r="V65" s="1663"/>
      <c r="W65" s="1663"/>
      <c r="X65" s="1663"/>
      <c r="Y65" s="1664">
        <v>43230</v>
      </c>
      <c r="Z65" s="1662" t="s">
        <v>2110</v>
      </c>
      <c r="AA65" s="1665">
        <v>0</v>
      </c>
      <c r="AB65" s="1665">
        <v>0</v>
      </c>
      <c r="AC65" s="1680">
        <v>0</v>
      </c>
      <c r="AD65" s="1682">
        <v>43251</v>
      </c>
      <c r="AE65" s="1679" t="s">
        <v>2137</v>
      </c>
      <c r="AF65" s="1662" t="s">
        <v>2115</v>
      </c>
      <c r="AG65" s="1666"/>
      <c r="AH65" s="1667">
        <v>268178.32</v>
      </c>
      <c r="AI65" s="1665">
        <v>135848.85</v>
      </c>
      <c r="AJ65" s="1665">
        <v>135848.85</v>
      </c>
      <c r="AK65" s="1698">
        <v>135848.85</v>
      </c>
      <c r="AL65" s="1665">
        <v>0</v>
      </c>
      <c r="AM65" s="1664">
        <v>43255</v>
      </c>
      <c r="AN65" s="1665">
        <v>268178.32</v>
      </c>
      <c r="AO65" s="1665">
        <v>135848.85</v>
      </c>
      <c r="AP65" s="1665">
        <v>135848.85</v>
      </c>
      <c r="AQ65" s="1665">
        <v>135848.85</v>
      </c>
      <c r="AR65" s="1665">
        <v>0</v>
      </c>
      <c r="AS65" s="1665">
        <v>132329.47</v>
      </c>
      <c r="AT65" s="1665">
        <v>0</v>
      </c>
      <c r="AU65" s="1665">
        <v>0</v>
      </c>
      <c r="AV65" s="1665">
        <v>0</v>
      </c>
      <c r="AW65" s="1665">
        <v>132329.47</v>
      </c>
      <c r="AX65" s="1663"/>
      <c r="AY65" s="1663"/>
      <c r="AZ65" s="1663"/>
      <c r="BA65" s="1668"/>
      <c r="BB65" s="1668"/>
      <c r="BC65" s="1663"/>
      <c r="BD65" s="1663"/>
      <c r="BE65" s="1665">
        <v>268178.32</v>
      </c>
      <c r="BF65" s="1665">
        <v>135848.85</v>
      </c>
      <c r="BG65" s="1665">
        <v>135848.85</v>
      </c>
      <c r="BH65" s="1665">
        <v>135848.85</v>
      </c>
      <c r="BI65" s="1665">
        <v>0</v>
      </c>
      <c r="BJ65" s="1665">
        <v>132329.47</v>
      </c>
      <c r="BK65" s="1665">
        <v>0</v>
      </c>
      <c r="BL65" s="1665">
        <v>0</v>
      </c>
      <c r="BM65" s="1665">
        <v>0</v>
      </c>
      <c r="BN65" s="1665">
        <v>132329.47</v>
      </c>
      <c r="BO65" s="1664">
        <v>43355</v>
      </c>
      <c r="BP65" s="1665">
        <v>268178.32</v>
      </c>
      <c r="BQ65" s="1665">
        <v>135848.85</v>
      </c>
      <c r="BR65" s="1665">
        <v>135848.85</v>
      </c>
      <c r="BS65" s="1667">
        <v>135848.85</v>
      </c>
      <c r="BT65" s="1665">
        <v>0</v>
      </c>
      <c r="BU65" s="1665">
        <v>132329.47</v>
      </c>
      <c r="BV65" s="1665">
        <v>0</v>
      </c>
      <c r="BW65" s="1665">
        <v>0</v>
      </c>
      <c r="BX65" s="1665">
        <v>0</v>
      </c>
      <c r="BY65" s="1665">
        <v>132329.47</v>
      </c>
      <c r="BZ65" s="1665">
        <v>0</v>
      </c>
      <c r="CA65" s="1663"/>
      <c r="CB65" s="1668"/>
      <c r="CC65" s="1668"/>
      <c r="CD65" s="1663"/>
      <c r="CE65" s="1663"/>
      <c r="CF65" s="1665">
        <v>0</v>
      </c>
      <c r="CG65" s="1665">
        <v>0</v>
      </c>
      <c r="CH65" s="1665">
        <v>0</v>
      </c>
      <c r="CI65" s="1665">
        <v>0</v>
      </c>
      <c r="CJ65" s="1665">
        <v>0</v>
      </c>
      <c r="CK65" s="1665">
        <v>0</v>
      </c>
      <c r="CL65" s="1668"/>
      <c r="CM65" s="1665">
        <v>0</v>
      </c>
      <c r="CN65" s="1665">
        <v>0</v>
      </c>
      <c r="CO65" s="1665">
        <v>0</v>
      </c>
      <c r="CP65" s="1665">
        <v>0</v>
      </c>
      <c r="CQ65" s="1665">
        <v>0</v>
      </c>
      <c r="CR65" s="1665">
        <v>0</v>
      </c>
      <c r="CS65" s="1665">
        <v>0</v>
      </c>
      <c r="CT65" s="1665">
        <v>0</v>
      </c>
      <c r="CU65" s="1665">
        <v>0</v>
      </c>
      <c r="CV65" s="1665">
        <v>0</v>
      </c>
      <c r="CW65" s="1668"/>
      <c r="CX65" s="1663"/>
      <c r="CY65" s="1663"/>
      <c r="CZ65" s="1663"/>
      <c r="DA65" s="1663"/>
      <c r="DB65" s="1668"/>
      <c r="DC65" s="1662"/>
      <c r="DD65" s="1665">
        <v>0</v>
      </c>
      <c r="DE65" s="1663"/>
      <c r="DF65" s="1663"/>
      <c r="DG65" s="1665">
        <v>0</v>
      </c>
      <c r="DH65" s="1665">
        <v>0</v>
      </c>
    </row>
    <row r="66" spans="1:112" ht="56.25" hidden="1" x14ac:dyDescent="0.25">
      <c r="A66" s="1662" t="s">
        <v>2138</v>
      </c>
      <c r="B66" s="1662" t="s">
        <v>1719</v>
      </c>
      <c r="C66" s="1662" t="s">
        <v>2621</v>
      </c>
      <c r="D66" s="1662" t="s">
        <v>2622</v>
      </c>
      <c r="E66" s="1662" t="s">
        <v>144</v>
      </c>
      <c r="F66" s="1662" t="s">
        <v>2616</v>
      </c>
      <c r="G66" s="1662" t="s">
        <v>2617</v>
      </c>
      <c r="H66" s="1662" t="s">
        <v>2618</v>
      </c>
      <c r="I66" s="1662" t="s">
        <v>712</v>
      </c>
      <c r="J66" s="1662" t="s">
        <v>295</v>
      </c>
      <c r="K66" s="1662" t="s">
        <v>2136</v>
      </c>
      <c r="L66" s="1662" t="s">
        <v>2109</v>
      </c>
      <c r="M66" s="1663"/>
      <c r="N66" s="1663"/>
      <c r="O66" s="1663"/>
      <c r="P66" s="1663"/>
      <c r="Q66" s="1663"/>
      <c r="R66" s="1663"/>
      <c r="S66" s="1663"/>
      <c r="T66" s="1663"/>
      <c r="U66" s="1663"/>
      <c r="V66" s="1663"/>
      <c r="W66" s="1663"/>
      <c r="X66" s="1663"/>
      <c r="Y66" s="1664">
        <v>43230</v>
      </c>
      <c r="Z66" s="1662" t="s">
        <v>2110</v>
      </c>
      <c r="AA66" s="1665">
        <v>0</v>
      </c>
      <c r="AB66" s="1665">
        <v>0</v>
      </c>
      <c r="AC66" s="1680">
        <v>0</v>
      </c>
      <c r="AD66" s="1682">
        <v>43251</v>
      </c>
      <c r="AE66" s="1679" t="s">
        <v>2137</v>
      </c>
      <c r="AF66" s="1662" t="s">
        <v>2112</v>
      </c>
      <c r="AG66" s="1666"/>
      <c r="AH66" s="1667">
        <v>675</v>
      </c>
      <c r="AI66" s="1665">
        <v>330.52</v>
      </c>
      <c r="AJ66" s="1665">
        <v>330.52</v>
      </c>
      <c r="AK66" s="1698">
        <v>330.52</v>
      </c>
      <c r="AL66" s="1665">
        <v>0</v>
      </c>
      <c r="AM66" s="1664">
        <v>43251</v>
      </c>
      <c r="AN66" s="1665">
        <v>675</v>
      </c>
      <c r="AO66" s="1665">
        <v>330.52</v>
      </c>
      <c r="AP66" s="1665">
        <v>330.52</v>
      </c>
      <c r="AQ66" s="1665">
        <v>330.52</v>
      </c>
      <c r="AR66" s="1665">
        <v>0</v>
      </c>
      <c r="AS66" s="1665">
        <v>344.48</v>
      </c>
      <c r="AT66" s="1665">
        <v>0</v>
      </c>
      <c r="AU66" s="1665">
        <v>0</v>
      </c>
      <c r="AV66" s="1665">
        <v>0</v>
      </c>
      <c r="AW66" s="1665">
        <v>344.48</v>
      </c>
      <c r="AX66" s="1663"/>
      <c r="AY66" s="1663"/>
      <c r="AZ66" s="1663"/>
      <c r="BA66" s="1668"/>
      <c r="BB66" s="1668"/>
      <c r="BC66" s="1663"/>
      <c r="BD66" s="1663"/>
      <c r="BE66" s="1665">
        <v>675</v>
      </c>
      <c r="BF66" s="1665">
        <v>330.52</v>
      </c>
      <c r="BG66" s="1665">
        <v>330.52</v>
      </c>
      <c r="BH66" s="1665">
        <v>330.52</v>
      </c>
      <c r="BI66" s="1665">
        <v>0</v>
      </c>
      <c r="BJ66" s="1665">
        <v>344.48</v>
      </c>
      <c r="BK66" s="1665">
        <v>0</v>
      </c>
      <c r="BL66" s="1665">
        <v>0</v>
      </c>
      <c r="BM66" s="1665">
        <v>0</v>
      </c>
      <c r="BN66" s="1665">
        <v>344.48</v>
      </c>
      <c r="BO66" s="1664">
        <v>43355</v>
      </c>
      <c r="BP66" s="1665">
        <v>675</v>
      </c>
      <c r="BQ66" s="1665">
        <v>330.52</v>
      </c>
      <c r="BR66" s="1665">
        <v>330.52</v>
      </c>
      <c r="BS66" s="1667">
        <v>330.52</v>
      </c>
      <c r="BT66" s="1665">
        <v>0</v>
      </c>
      <c r="BU66" s="1665">
        <v>344.48</v>
      </c>
      <c r="BV66" s="1665">
        <v>0</v>
      </c>
      <c r="BW66" s="1665">
        <v>0</v>
      </c>
      <c r="BX66" s="1665">
        <v>0</v>
      </c>
      <c r="BY66" s="1665">
        <v>344.48</v>
      </c>
      <c r="BZ66" s="1665">
        <v>0</v>
      </c>
      <c r="CA66" s="1663"/>
      <c r="CB66" s="1668"/>
      <c r="CC66" s="1668"/>
      <c r="CD66" s="1663"/>
      <c r="CE66" s="1663"/>
      <c r="CF66" s="1665">
        <v>0</v>
      </c>
      <c r="CG66" s="1665">
        <v>0</v>
      </c>
      <c r="CH66" s="1665">
        <v>0</v>
      </c>
      <c r="CI66" s="1665">
        <v>0</v>
      </c>
      <c r="CJ66" s="1665">
        <v>0</v>
      </c>
      <c r="CK66" s="1665">
        <v>0</v>
      </c>
      <c r="CL66" s="1668"/>
      <c r="CM66" s="1665">
        <v>0</v>
      </c>
      <c r="CN66" s="1665">
        <v>0</v>
      </c>
      <c r="CO66" s="1665">
        <v>0</v>
      </c>
      <c r="CP66" s="1665">
        <v>0</v>
      </c>
      <c r="CQ66" s="1665">
        <v>0</v>
      </c>
      <c r="CR66" s="1665">
        <v>0</v>
      </c>
      <c r="CS66" s="1665">
        <v>0</v>
      </c>
      <c r="CT66" s="1665">
        <v>0</v>
      </c>
      <c r="CU66" s="1665">
        <v>0</v>
      </c>
      <c r="CV66" s="1665">
        <v>0</v>
      </c>
      <c r="CW66" s="1668"/>
      <c r="CX66" s="1663"/>
      <c r="CY66" s="1663"/>
      <c r="CZ66" s="1663"/>
      <c r="DA66" s="1663"/>
      <c r="DB66" s="1668"/>
      <c r="DC66" s="1662"/>
      <c r="DD66" s="1665">
        <v>0</v>
      </c>
      <c r="DE66" s="1663"/>
      <c r="DF66" s="1663"/>
      <c r="DG66" s="1665">
        <v>0</v>
      </c>
      <c r="DH66" s="1665">
        <v>0</v>
      </c>
    </row>
    <row r="67" spans="1:112" ht="56.25" hidden="1" x14ac:dyDescent="0.25">
      <c r="A67" s="1662" t="s">
        <v>2139</v>
      </c>
      <c r="B67" s="1662" t="s">
        <v>1719</v>
      </c>
      <c r="C67" s="1662" t="s">
        <v>2621</v>
      </c>
      <c r="D67" s="1662" t="s">
        <v>2622</v>
      </c>
      <c r="E67" s="1662" t="s">
        <v>144</v>
      </c>
      <c r="F67" s="1662" t="s">
        <v>2616</v>
      </c>
      <c r="G67" s="1662" t="s">
        <v>2617</v>
      </c>
      <c r="H67" s="1662" t="s">
        <v>2618</v>
      </c>
      <c r="I67" s="1662" t="s">
        <v>712</v>
      </c>
      <c r="J67" s="1662" t="s">
        <v>295</v>
      </c>
      <c r="K67" s="1662" t="s">
        <v>2136</v>
      </c>
      <c r="L67" s="1662" t="s">
        <v>2109</v>
      </c>
      <c r="M67" s="1663"/>
      <c r="N67" s="1663"/>
      <c r="O67" s="1663"/>
      <c r="P67" s="1663"/>
      <c r="Q67" s="1663"/>
      <c r="R67" s="1663"/>
      <c r="S67" s="1663"/>
      <c r="T67" s="1663"/>
      <c r="U67" s="1663"/>
      <c r="V67" s="1663"/>
      <c r="W67" s="1663"/>
      <c r="X67" s="1663"/>
      <c r="Y67" s="1664">
        <v>43258</v>
      </c>
      <c r="Z67" s="1662" t="s">
        <v>2110</v>
      </c>
      <c r="AA67" s="1665">
        <v>0</v>
      </c>
      <c r="AB67" s="1665">
        <v>0</v>
      </c>
      <c r="AC67" s="1680">
        <v>0</v>
      </c>
      <c r="AD67" s="1682">
        <v>43277</v>
      </c>
      <c r="AE67" s="1679" t="s">
        <v>2131</v>
      </c>
      <c r="AF67" s="1662" t="s">
        <v>2115</v>
      </c>
      <c r="AG67" s="1666"/>
      <c r="AH67" s="1667">
        <v>156522.72</v>
      </c>
      <c r="AI67" s="1665">
        <v>104219.73</v>
      </c>
      <c r="AJ67" s="1665">
        <v>104219.73</v>
      </c>
      <c r="AK67" s="1698">
        <v>104219.73</v>
      </c>
      <c r="AL67" s="1665">
        <v>0</v>
      </c>
      <c r="AM67" s="1664">
        <v>43278</v>
      </c>
      <c r="AN67" s="1665">
        <v>156522.72</v>
      </c>
      <c r="AO67" s="1665">
        <v>104219.73</v>
      </c>
      <c r="AP67" s="1665">
        <v>104219.73</v>
      </c>
      <c r="AQ67" s="1665">
        <v>104219.73</v>
      </c>
      <c r="AR67" s="1665">
        <v>0</v>
      </c>
      <c r="AS67" s="1665">
        <v>52302.99</v>
      </c>
      <c r="AT67" s="1665">
        <v>0</v>
      </c>
      <c r="AU67" s="1665">
        <v>0</v>
      </c>
      <c r="AV67" s="1665">
        <v>0</v>
      </c>
      <c r="AW67" s="1665">
        <v>52302.99</v>
      </c>
      <c r="AX67" s="1663"/>
      <c r="AY67" s="1663"/>
      <c r="AZ67" s="1663"/>
      <c r="BA67" s="1668"/>
      <c r="BB67" s="1668"/>
      <c r="BC67" s="1663"/>
      <c r="BD67" s="1663"/>
      <c r="BE67" s="1665">
        <v>156522.72</v>
      </c>
      <c r="BF67" s="1665">
        <v>104219.73</v>
      </c>
      <c r="BG67" s="1665">
        <v>104219.73</v>
      </c>
      <c r="BH67" s="1665">
        <v>104219.73</v>
      </c>
      <c r="BI67" s="1665">
        <v>0</v>
      </c>
      <c r="BJ67" s="1665">
        <v>52302.99</v>
      </c>
      <c r="BK67" s="1665">
        <v>0</v>
      </c>
      <c r="BL67" s="1665">
        <v>0</v>
      </c>
      <c r="BM67" s="1665">
        <v>0</v>
      </c>
      <c r="BN67" s="1665">
        <v>52302.99</v>
      </c>
      <c r="BO67" s="1664">
        <v>43355</v>
      </c>
      <c r="BP67" s="1665">
        <v>156522.72</v>
      </c>
      <c r="BQ67" s="1665">
        <v>104219.73</v>
      </c>
      <c r="BR67" s="1665">
        <v>104219.73</v>
      </c>
      <c r="BS67" s="1667">
        <v>104219.73</v>
      </c>
      <c r="BT67" s="1665">
        <v>0</v>
      </c>
      <c r="BU67" s="1665">
        <v>52302.99</v>
      </c>
      <c r="BV67" s="1665">
        <v>0</v>
      </c>
      <c r="BW67" s="1665">
        <v>0</v>
      </c>
      <c r="BX67" s="1665">
        <v>0</v>
      </c>
      <c r="BY67" s="1665">
        <v>52302.99</v>
      </c>
      <c r="BZ67" s="1665">
        <v>0</v>
      </c>
      <c r="CA67" s="1663"/>
      <c r="CB67" s="1668"/>
      <c r="CC67" s="1668"/>
      <c r="CD67" s="1663"/>
      <c r="CE67" s="1663"/>
      <c r="CF67" s="1665">
        <v>0</v>
      </c>
      <c r="CG67" s="1665">
        <v>0</v>
      </c>
      <c r="CH67" s="1665">
        <v>0</v>
      </c>
      <c r="CI67" s="1665">
        <v>0</v>
      </c>
      <c r="CJ67" s="1665">
        <v>0</v>
      </c>
      <c r="CK67" s="1665">
        <v>0</v>
      </c>
      <c r="CL67" s="1668"/>
      <c r="CM67" s="1665">
        <v>0</v>
      </c>
      <c r="CN67" s="1665">
        <v>0</v>
      </c>
      <c r="CO67" s="1665">
        <v>0</v>
      </c>
      <c r="CP67" s="1665">
        <v>0</v>
      </c>
      <c r="CQ67" s="1665">
        <v>0</v>
      </c>
      <c r="CR67" s="1665">
        <v>0</v>
      </c>
      <c r="CS67" s="1665">
        <v>0</v>
      </c>
      <c r="CT67" s="1665">
        <v>0</v>
      </c>
      <c r="CU67" s="1665">
        <v>0</v>
      </c>
      <c r="CV67" s="1665">
        <v>0</v>
      </c>
      <c r="CW67" s="1668"/>
      <c r="CX67" s="1663"/>
      <c r="CY67" s="1663"/>
      <c r="CZ67" s="1663"/>
      <c r="DA67" s="1663"/>
      <c r="DB67" s="1668"/>
      <c r="DC67" s="1662"/>
      <c r="DD67" s="1665">
        <v>0</v>
      </c>
      <c r="DE67" s="1663"/>
      <c r="DF67" s="1663"/>
      <c r="DG67" s="1665">
        <v>0</v>
      </c>
      <c r="DH67" s="1665">
        <v>0</v>
      </c>
    </row>
    <row r="68" spans="1:112" ht="56.25" hidden="1" x14ac:dyDescent="0.25">
      <c r="A68" s="1662" t="s">
        <v>2140</v>
      </c>
      <c r="B68" s="1662" t="s">
        <v>1719</v>
      </c>
      <c r="C68" s="1662" t="s">
        <v>2621</v>
      </c>
      <c r="D68" s="1662" t="s">
        <v>2622</v>
      </c>
      <c r="E68" s="1662" t="s">
        <v>144</v>
      </c>
      <c r="F68" s="1662" t="s">
        <v>2616</v>
      </c>
      <c r="G68" s="1662" t="s">
        <v>2617</v>
      </c>
      <c r="H68" s="1662" t="s">
        <v>2618</v>
      </c>
      <c r="I68" s="1662" t="s">
        <v>712</v>
      </c>
      <c r="J68" s="1662" t="s">
        <v>295</v>
      </c>
      <c r="K68" s="1662" t="s">
        <v>2136</v>
      </c>
      <c r="L68" s="1662" t="s">
        <v>2109</v>
      </c>
      <c r="M68" s="1663"/>
      <c r="N68" s="1663"/>
      <c r="O68" s="1663"/>
      <c r="P68" s="1663"/>
      <c r="Q68" s="1663"/>
      <c r="R68" s="1663"/>
      <c r="S68" s="1663"/>
      <c r="T68" s="1663"/>
      <c r="U68" s="1663"/>
      <c r="V68" s="1663"/>
      <c r="W68" s="1663"/>
      <c r="X68" s="1663"/>
      <c r="Y68" s="1664">
        <v>43258</v>
      </c>
      <c r="Z68" s="1662" t="s">
        <v>2110</v>
      </c>
      <c r="AA68" s="1665">
        <v>0</v>
      </c>
      <c r="AB68" s="1665">
        <v>0</v>
      </c>
      <c r="AC68" s="1680">
        <v>0</v>
      </c>
      <c r="AD68" s="1682">
        <v>43277</v>
      </c>
      <c r="AE68" s="1679" t="s">
        <v>2131</v>
      </c>
      <c r="AF68" s="1662" t="s">
        <v>2112</v>
      </c>
      <c r="AG68" s="1666"/>
      <c r="AH68" s="1667">
        <v>22.84</v>
      </c>
      <c r="AI68" s="1665">
        <v>14.88</v>
      </c>
      <c r="AJ68" s="1665">
        <v>14.88</v>
      </c>
      <c r="AK68" s="1698">
        <v>14.88</v>
      </c>
      <c r="AL68" s="1665">
        <v>0</v>
      </c>
      <c r="AM68" s="1664">
        <v>43277</v>
      </c>
      <c r="AN68" s="1665">
        <v>22.84</v>
      </c>
      <c r="AO68" s="1665">
        <v>14.88</v>
      </c>
      <c r="AP68" s="1665">
        <v>14.88</v>
      </c>
      <c r="AQ68" s="1665">
        <v>14.88</v>
      </c>
      <c r="AR68" s="1665">
        <v>0</v>
      </c>
      <c r="AS68" s="1665">
        <v>7.96</v>
      </c>
      <c r="AT68" s="1665">
        <v>0</v>
      </c>
      <c r="AU68" s="1665">
        <v>0</v>
      </c>
      <c r="AV68" s="1665">
        <v>0</v>
      </c>
      <c r="AW68" s="1665">
        <v>7.96</v>
      </c>
      <c r="AX68" s="1663"/>
      <c r="AY68" s="1663"/>
      <c r="AZ68" s="1663"/>
      <c r="BA68" s="1668"/>
      <c r="BB68" s="1668"/>
      <c r="BC68" s="1663"/>
      <c r="BD68" s="1663"/>
      <c r="BE68" s="1665">
        <v>22.84</v>
      </c>
      <c r="BF68" s="1665">
        <v>14.88</v>
      </c>
      <c r="BG68" s="1665">
        <v>14.88</v>
      </c>
      <c r="BH68" s="1665">
        <v>14.88</v>
      </c>
      <c r="BI68" s="1665">
        <v>0</v>
      </c>
      <c r="BJ68" s="1665">
        <v>7.96</v>
      </c>
      <c r="BK68" s="1665">
        <v>0</v>
      </c>
      <c r="BL68" s="1665">
        <v>0</v>
      </c>
      <c r="BM68" s="1665">
        <v>0</v>
      </c>
      <c r="BN68" s="1665">
        <v>7.96</v>
      </c>
      <c r="BO68" s="1664">
        <v>43355</v>
      </c>
      <c r="BP68" s="1665">
        <v>22.84</v>
      </c>
      <c r="BQ68" s="1665">
        <v>14.88</v>
      </c>
      <c r="BR68" s="1665">
        <v>14.88</v>
      </c>
      <c r="BS68" s="1667">
        <v>14.88</v>
      </c>
      <c r="BT68" s="1665">
        <v>0</v>
      </c>
      <c r="BU68" s="1665">
        <v>7.96</v>
      </c>
      <c r="BV68" s="1665">
        <v>0</v>
      </c>
      <c r="BW68" s="1665">
        <v>0</v>
      </c>
      <c r="BX68" s="1665">
        <v>0</v>
      </c>
      <c r="BY68" s="1665">
        <v>7.96</v>
      </c>
      <c r="BZ68" s="1665">
        <v>0</v>
      </c>
      <c r="CA68" s="1663"/>
      <c r="CB68" s="1668"/>
      <c r="CC68" s="1668"/>
      <c r="CD68" s="1663"/>
      <c r="CE68" s="1663"/>
      <c r="CF68" s="1665">
        <v>0</v>
      </c>
      <c r="CG68" s="1665">
        <v>0</v>
      </c>
      <c r="CH68" s="1665">
        <v>0</v>
      </c>
      <c r="CI68" s="1665">
        <v>0</v>
      </c>
      <c r="CJ68" s="1665">
        <v>0</v>
      </c>
      <c r="CK68" s="1665">
        <v>0</v>
      </c>
      <c r="CL68" s="1668"/>
      <c r="CM68" s="1665">
        <v>0</v>
      </c>
      <c r="CN68" s="1665">
        <v>0</v>
      </c>
      <c r="CO68" s="1665">
        <v>0</v>
      </c>
      <c r="CP68" s="1665">
        <v>0</v>
      </c>
      <c r="CQ68" s="1665">
        <v>0</v>
      </c>
      <c r="CR68" s="1665">
        <v>0</v>
      </c>
      <c r="CS68" s="1665">
        <v>0</v>
      </c>
      <c r="CT68" s="1665">
        <v>0</v>
      </c>
      <c r="CU68" s="1665">
        <v>0</v>
      </c>
      <c r="CV68" s="1665">
        <v>0</v>
      </c>
      <c r="CW68" s="1668"/>
      <c r="CX68" s="1663"/>
      <c r="CY68" s="1663"/>
      <c r="CZ68" s="1663"/>
      <c r="DA68" s="1663"/>
      <c r="DB68" s="1668"/>
      <c r="DC68" s="1662"/>
      <c r="DD68" s="1665">
        <v>0</v>
      </c>
      <c r="DE68" s="1663"/>
      <c r="DF68" s="1663"/>
      <c r="DG68" s="1665">
        <v>0</v>
      </c>
      <c r="DH68" s="1665">
        <v>0</v>
      </c>
    </row>
    <row r="69" spans="1:112" ht="56.25" hidden="1" x14ac:dyDescent="0.25">
      <c r="A69" s="1662" t="s">
        <v>2141</v>
      </c>
      <c r="B69" s="1662" t="s">
        <v>1719</v>
      </c>
      <c r="C69" s="1662" t="s">
        <v>2621</v>
      </c>
      <c r="D69" s="1662" t="s">
        <v>2622</v>
      </c>
      <c r="E69" s="1662" t="s">
        <v>144</v>
      </c>
      <c r="F69" s="1662" t="s">
        <v>2616</v>
      </c>
      <c r="G69" s="1662" t="s">
        <v>2617</v>
      </c>
      <c r="H69" s="1662" t="s">
        <v>2618</v>
      </c>
      <c r="I69" s="1662" t="s">
        <v>712</v>
      </c>
      <c r="J69" s="1662" t="s">
        <v>295</v>
      </c>
      <c r="K69" s="1662" t="s">
        <v>2136</v>
      </c>
      <c r="L69" s="1662" t="s">
        <v>2109</v>
      </c>
      <c r="M69" s="1663"/>
      <c r="N69" s="1663"/>
      <c r="O69" s="1663"/>
      <c r="P69" s="1663"/>
      <c r="Q69" s="1663"/>
      <c r="R69" s="1663"/>
      <c r="S69" s="1663"/>
      <c r="T69" s="1663"/>
      <c r="U69" s="1663"/>
      <c r="V69" s="1663"/>
      <c r="W69" s="1663"/>
      <c r="X69" s="1663"/>
      <c r="Y69" s="1664">
        <v>43290</v>
      </c>
      <c r="Z69" s="1662" t="s">
        <v>2110</v>
      </c>
      <c r="AA69" s="1665">
        <v>0</v>
      </c>
      <c r="AB69" s="1665">
        <v>0</v>
      </c>
      <c r="AC69" s="1680">
        <v>0</v>
      </c>
      <c r="AD69" s="1682">
        <v>43322</v>
      </c>
      <c r="AE69" s="1679" t="s">
        <v>2132</v>
      </c>
      <c r="AF69" s="1662" t="s">
        <v>2115</v>
      </c>
      <c r="AG69" s="1666"/>
      <c r="AH69" s="1667">
        <v>184691.29</v>
      </c>
      <c r="AI69" s="1665">
        <v>130476.62</v>
      </c>
      <c r="AJ69" s="1665">
        <v>130476.62</v>
      </c>
      <c r="AK69" s="1698">
        <v>130476.62</v>
      </c>
      <c r="AL69" s="1665">
        <v>0</v>
      </c>
      <c r="AM69" s="1664">
        <v>43322</v>
      </c>
      <c r="AN69" s="1665">
        <v>184691.29</v>
      </c>
      <c r="AO69" s="1665">
        <v>130476.62</v>
      </c>
      <c r="AP69" s="1665">
        <v>130476.62</v>
      </c>
      <c r="AQ69" s="1665">
        <v>130476.62</v>
      </c>
      <c r="AR69" s="1665">
        <v>0</v>
      </c>
      <c r="AS69" s="1665">
        <v>54214.67</v>
      </c>
      <c r="AT69" s="1665">
        <v>0</v>
      </c>
      <c r="AU69" s="1665">
        <v>0</v>
      </c>
      <c r="AV69" s="1665">
        <v>0</v>
      </c>
      <c r="AW69" s="1665">
        <v>54214.67</v>
      </c>
      <c r="AX69" s="1663"/>
      <c r="AY69" s="1663"/>
      <c r="AZ69" s="1663"/>
      <c r="BA69" s="1668"/>
      <c r="BB69" s="1668"/>
      <c r="BC69" s="1663"/>
      <c r="BD69" s="1663"/>
      <c r="BE69" s="1665">
        <v>184691.29</v>
      </c>
      <c r="BF69" s="1665">
        <v>130476.62</v>
      </c>
      <c r="BG69" s="1665">
        <v>130476.62</v>
      </c>
      <c r="BH69" s="1665">
        <v>130476.62</v>
      </c>
      <c r="BI69" s="1665">
        <v>0</v>
      </c>
      <c r="BJ69" s="1665">
        <v>54214.67</v>
      </c>
      <c r="BK69" s="1665">
        <v>0</v>
      </c>
      <c r="BL69" s="1665">
        <v>0</v>
      </c>
      <c r="BM69" s="1665">
        <v>0</v>
      </c>
      <c r="BN69" s="1665">
        <v>54214.67</v>
      </c>
      <c r="BO69" s="1668"/>
      <c r="BP69" s="1665">
        <v>0</v>
      </c>
      <c r="BQ69" s="1665">
        <v>0</v>
      </c>
      <c r="BR69" s="1665">
        <v>0</v>
      </c>
      <c r="BS69" s="1667">
        <v>0</v>
      </c>
      <c r="BT69" s="1665">
        <v>0</v>
      </c>
      <c r="BU69" s="1665">
        <v>0</v>
      </c>
      <c r="BV69" s="1665">
        <v>0</v>
      </c>
      <c r="BW69" s="1665">
        <v>0</v>
      </c>
      <c r="BX69" s="1665">
        <v>0</v>
      </c>
      <c r="BY69" s="1665">
        <v>0</v>
      </c>
      <c r="BZ69" s="1665">
        <v>0</v>
      </c>
      <c r="CA69" s="1663"/>
      <c r="CB69" s="1668"/>
      <c r="CC69" s="1668"/>
      <c r="CD69" s="1663"/>
      <c r="CE69" s="1663"/>
      <c r="CF69" s="1665">
        <v>0</v>
      </c>
      <c r="CG69" s="1665">
        <v>0</v>
      </c>
      <c r="CH69" s="1665">
        <v>0</v>
      </c>
      <c r="CI69" s="1665">
        <v>0</v>
      </c>
      <c r="CJ69" s="1665">
        <v>0</v>
      </c>
      <c r="CK69" s="1665">
        <v>0</v>
      </c>
      <c r="CL69" s="1668"/>
      <c r="CM69" s="1665">
        <v>0</v>
      </c>
      <c r="CN69" s="1665">
        <v>0</v>
      </c>
      <c r="CO69" s="1665">
        <v>0</v>
      </c>
      <c r="CP69" s="1665">
        <v>0</v>
      </c>
      <c r="CQ69" s="1665">
        <v>0</v>
      </c>
      <c r="CR69" s="1665">
        <v>0</v>
      </c>
      <c r="CS69" s="1665">
        <v>0</v>
      </c>
      <c r="CT69" s="1665">
        <v>0</v>
      </c>
      <c r="CU69" s="1665">
        <v>0</v>
      </c>
      <c r="CV69" s="1665">
        <v>0</v>
      </c>
      <c r="CW69" s="1668"/>
      <c r="CX69" s="1663"/>
      <c r="CY69" s="1663"/>
      <c r="CZ69" s="1663"/>
      <c r="DA69" s="1663"/>
      <c r="DB69" s="1668"/>
      <c r="DC69" s="1662"/>
      <c r="DD69" s="1665">
        <v>0</v>
      </c>
      <c r="DE69" s="1663"/>
      <c r="DF69" s="1663"/>
      <c r="DG69" s="1665">
        <v>0</v>
      </c>
      <c r="DH69" s="1665">
        <v>0</v>
      </c>
    </row>
    <row r="70" spans="1:112" ht="56.25" hidden="1" x14ac:dyDescent="0.25">
      <c r="A70" s="1662" t="s">
        <v>2142</v>
      </c>
      <c r="B70" s="1662" t="s">
        <v>1719</v>
      </c>
      <c r="C70" s="1662" t="s">
        <v>2621</v>
      </c>
      <c r="D70" s="1662" t="s">
        <v>2622</v>
      </c>
      <c r="E70" s="1662" t="s">
        <v>144</v>
      </c>
      <c r="F70" s="1662" t="s">
        <v>2616</v>
      </c>
      <c r="G70" s="1662" t="s">
        <v>2617</v>
      </c>
      <c r="H70" s="1662" t="s">
        <v>2618</v>
      </c>
      <c r="I70" s="1662" t="s">
        <v>712</v>
      </c>
      <c r="J70" s="1662" t="s">
        <v>295</v>
      </c>
      <c r="K70" s="1662" t="s">
        <v>2136</v>
      </c>
      <c r="L70" s="1662" t="s">
        <v>2109</v>
      </c>
      <c r="M70" s="1663"/>
      <c r="N70" s="1663"/>
      <c r="O70" s="1663"/>
      <c r="P70" s="1663"/>
      <c r="Q70" s="1663"/>
      <c r="R70" s="1663"/>
      <c r="S70" s="1663"/>
      <c r="T70" s="1663"/>
      <c r="U70" s="1663"/>
      <c r="V70" s="1663"/>
      <c r="W70" s="1663"/>
      <c r="X70" s="1663"/>
      <c r="Y70" s="1664">
        <v>43355</v>
      </c>
      <c r="Z70" s="1662" t="s">
        <v>2110</v>
      </c>
      <c r="AA70" s="1665">
        <v>0</v>
      </c>
      <c r="AB70" s="1665">
        <v>0</v>
      </c>
      <c r="AC70" s="1680">
        <v>0</v>
      </c>
      <c r="AD70" s="1682">
        <v>43382</v>
      </c>
      <c r="AE70" s="1679" t="s">
        <v>2133</v>
      </c>
      <c r="AF70" s="1662" t="s">
        <v>2115</v>
      </c>
      <c r="AG70" s="1666"/>
      <c r="AH70" s="1667">
        <v>323918.11</v>
      </c>
      <c r="AI70" s="1665">
        <v>222790.72</v>
      </c>
      <c r="AJ70" s="1665">
        <v>222790.73</v>
      </c>
      <c r="AK70" s="1698">
        <v>222790.73</v>
      </c>
      <c r="AL70" s="1665">
        <v>0</v>
      </c>
      <c r="AM70" s="1668"/>
      <c r="AN70" s="1665">
        <v>0</v>
      </c>
      <c r="AO70" s="1665">
        <v>0</v>
      </c>
      <c r="AP70" s="1665">
        <v>0</v>
      </c>
      <c r="AQ70" s="1665">
        <v>0</v>
      </c>
      <c r="AR70" s="1665">
        <v>0</v>
      </c>
      <c r="AS70" s="1665">
        <v>0</v>
      </c>
      <c r="AT70" s="1665">
        <v>0</v>
      </c>
      <c r="AU70" s="1665">
        <v>0</v>
      </c>
      <c r="AV70" s="1665">
        <v>0</v>
      </c>
      <c r="AW70" s="1665">
        <v>0</v>
      </c>
      <c r="AX70" s="1663"/>
      <c r="AY70" s="1663"/>
      <c r="AZ70" s="1663"/>
      <c r="BA70" s="1668"/>
      <c r="BB70" s="1668"/>
      <c r="BC70" s="1663"/>
      <c r="BD70" s="1663"/>
      <c r="BE70" s="1665">
        <v>0</v>
      </c>
      <c r="BF70" s="1665">
        <v>0</v>
      </c>
      <c r="BG70" s="1665">
        <v>0</v>
      </c>
      <c r="BH70" s="1665">
        <v>0</v>
      </c>
      <c r="BI70" s="1665">
        <v>0</v>
      </c>
      <c r="BJ70" s="1665">
        <v>0</v>
      </c>
      <c r="BK70" s="1665">
        <v>0</v>
      </c>
      <c r="BL70" s="1665">
        <v>0</v>
      </c>
      <c r="BM70" s="1665">
        <v>0</v>
      </c>
      <c r="BN70" s="1665">
        <v>0</v>
      </c>
      <c r="BO70" s="1668"/>
      <c r="BP70" s="1665">
        <v>0</v>
      </c>
      <c r="BQ70" s="1665">
        <v>0</v>
      </c>
      <c r="BR70" s="1665">
        <v>0</v>
      </c>
      <c r="BS70" s="1667">
        <v>0</v>
      </c>
      <c r="BT70" s="1665">
        <v>0</v>
      </c>
      <c r="BU70" s="1665">
        <v>0</v>
      </c>
      <c r="BV70" s="1665">
        <v>0</v>
      </c>
      <c r="BW70" s="1665">
        <v>0</v>
      </c>
      <c r="BX70" s="1665">
        <v>0</v>
      </c>
      <c r="BY70" s="1665">
        <v>0</v>
      </c>
      <c r="BZ70" s="1663"/>
      <c r="CA70" s="1663"/>
      <c r="CB70" s="1668"/>
      <c r="CC70" s="1668"/>
      <c r="CD70" s="1663"/>
      <c r="CE70" s="1663"/>
      <c r="CF70" s="1665">
        <v>0</v>
      </c>
      <c r="CG70" s="1665">
        <v>0</v>
      </c>
      <c r="CH70" s="1665">
        <v>0</v>
      </c>
      <c r="CI70" s="1665">
        <v>0</v>
      </c>
      <c r="CJ70" s="1665">
        <v>0</v>
      </c>
      <c r="CK70" s="1665">
        <v>0</v>
      </c>
      <c r="CL70" s="1668"/>
      <c r="CM70" s="1665">
        <v>0</v>
      </c>
      <c r="CN70" s="1665">
        <v>0</v>
      </c>
      <c r="CO70" s="1665">
        <v>0</v>
      </c>
      <c r="CP70" s="1665">
        <v>0</v>
      </c>
      <c r="CQ70" s="1665">
        <v>0</v>
      </c>
      <c r="CR70" s="1665">
        <v>0</v>
      </c>
      <c r="CS70" s="1665">
        <v>0</v>
      </c>
      <c r="CT70" s="1665">
        <v>0</v>
      </c>
      <c r="CU70" s="1665">
        <v>0</v>
      </c>
      <c r="CV70" s="1665">
        <v>0</v>
      </c>
      <c r="CW70" s="1668"/>
      <c r="CX70" s="1663"/>
      <c r="CY70" s="1663"/>
      <c r="CZ70" s="1663"/>
      <c r="DA70" s="1663"/>
      <c r="DB70" s="1668"/>
      <c r="DC70" s="1662"/>
      <c r="DD70" s="1665">
        <v>0</v>
      </c>
      <c r="DE70" s="1663"/>
      <c r="DF70" s="1663"/>
      <c r="DG70" s="1665">
        <v>0</v>
      </c>
      <c r="DH70" s="1665">
        <v>0</v>
      </c>
    </row>
    <row r="71" spans="1:112" ht="56.25" hidden="1" x14ac:dyDescent="0.25">
      <c r="A71" s="1662" t="s">
        <v>2143</v>
      </c>
      <c r="B71" s="1662" t="s">
        <v>1719</v>
      </c>
      <c r="C71" s="1662" t="s">
        <v>2621</v>
      </c>
      <c r="D71" s="1662" t="s">
        <v>2622</v>
      </c>
      <c r="E71" s="1662" t="s">
        <v>144</v>
      </c>
      <c r="F71" s="1662" t="s">
        <v>2616</v>
      </c>
      <c r="G71" s="1662" t="s">
        <v>2617</v>
      </c>
      <c r="H71" s="1662" t="s">
        <v>2618</v>
      </c>
      <c r="I71" s="1662" t="s">
        <v>712</v>
      </c>
      <c r="J71" s="1662" t="s">
        <v>295</v>
      </c>
      <c r="K71" s="1662" t="s">
        <v>2136</v>
      </c>
      <c r="L71" s="1662" t="s">
        <v>2109</v>
      </c>
      <c r="M71" s="1663"/>
      <c r="N71" s="1663"/>
      <c r="O71" s="1663"/>
      <c r="P71" s="1663"/>
      <c r="Q71" s="1663"/>
      <c r="R71" s="1663"/>
      <c r="S71" s="1663"/>
      <c r="T71" s="1663"/>
      <c r="U71" s="1663"/>
      <c r="V71" s="1663"/>
      <c r="W71" s="1663"/>
      <c r="X71" s="1663"/>
      <c r="Y71" s="1664">
        <v>43355</v>
      </c>
      <c r="Z71" s="1662" t="s">
        <v>2110</v>
      </c>
      <c r="AA71" s="1665">
        <v>0</v>
      </c>
      <c r="AB71" s="1665">
        <v>0</v>
      </c>
      <c r="AC71" s="1680">
        <v>0</v>
      </c>
      <c r="AD71" s="1682">
        <v>43382</v>
      </c>
      <c r="AE71" s="1679" t="s">
        <v>2133</v>
      </c>
      <c r="AF71" s="1662" t="s">
        <v>2112</v>
      </c>
      <c r="AG71" s="1666"/>
      <c r="AH71" s="1667">
        <v>75</v>
      </c>
      <c r="AI71" s="1665">
        <v>36.72</v>
      </c>
      <c r="AJ71" s="1665">
        <v>36.72</v>
      </c>
      <c r="AK71" s="1698">
        <v>36.72</v>
      </c>
      <c r="AL71" s="1665">
        <v>0</v>
      </c>
      <c r="AM71" s="1664">
        <v>43382</v>
      </c>
      <c r="AN71" s="1665">
        <v>75</v>
      </c>
      <c r="AO71" s="1665">
        <v>36.72</v>
      </c>
      <c r="AP71" s="1665">
        <v>36.72</v>
      </c>
      <c r="AQ71" s="1665">
        <v>36.72</v>
      </c>
      <c r="AR71" s="1665">
        <v>0</v>
      </c>
      <c r="AS71" s="1665">
        <v>38.28</v>
      </c>
      <c r="AT71" s="1665">
        <v>0</v>
      </c>
      <c r="AU71" s="1665">
        <v>0</v>
      </c>
      <c r="AV71" s="1665">
        <v>0</v>
      </c>
      <c r="AW71" s="1665">
        <v>38.28</v>
      </c>
      <c r="AX71" s="1663"/>
      <c r="AY71" s="1663"/>
      <c r="AZ71" s="1663"/>
      <c r="BA71" s="1668"/>
      <c r="BB71" s="1668"/>
      <c r="BC71" s="1663"/>
      <c r="BD71" s="1663"/>
      <c r="BE71" s="1665">
        <v>75</v>
      </c>
      <c r="BF71" s="1665">
        <v>36.72</v>
      </c>
      <c r="BG71" s="1665">
        <v>36.72</v>
      </c>
      <c r="BH71" s="1665">
        <v>36.72</v>
      </c>
      <c r="BI71" s="1665">
        <v>0</v>
      </c>
      <c r="BJ71" s="1665">
        <v>38.28</v>
      </c>
      <c r="BK71" s="1665">
        <v>0</v>
      </c>
      <c r="BL71" s="1665">
        <v>0</v>
      </c>
      <c r="BM71" s="1665">
        <v>0</v>
      </c>
      <c r="BN71" s="1665">
        <v>38.28</v>
      </c>
      <c r="BO71" s="1668"/>
      <c r="BP71" s="1665">
        <v>0</v>
      </c>
      <c r="BQ71" s="1665">
        <v>0</v>
      </c>
      <c r="BR71" s="1665">
        <v>0</v>
      </c>
      <c r="BS71" s="1667">
        <v>0</v>
      </c>
      <c r="BT71" s="1665">
        <v>0</v>
      </c>
      <c r="BU71" s="1665">
        <v>0</v>
      </c>
      <c r="BV71" s="1665">
        <v>0</v>
      </c>
      <c r="BW71" s="1665">
        <v>0</v>
      </c>
      <c r="BX71" s="1665">
        <v>0</v>
      </c>
      <c r="BY71" s="1665">
        <v>0</v>
      </c>
      <c r="BZ71" s="1663"/>
      <c r="CA71" s="1663"/>
      <c r="CB71" s="1668"/>
      <c r="CC71" s="1668"/>
      <c r="CD71" s="1663"/>
      <c r="CE71" s="1663"/>
      <c r="CF71" s="1665">
        <v>0</v>
      </c>
      <c r="CG71" s="1665">
        <v>0</v>
      </c>
      <c r="CH71" s="1665">
        <v>0</v>
      </c>
      <c r="CI71" s="1665">
        <v>0</v>
      </c>
      <c r="CJ71" s="1665">
        <v>0</v>
      </c>
      <c r="CK71" s="1665">
        <v>0</v>
      </c>
      <c r="CL71" s="1668"/>
      <c r="CM71" s="1665">
        <v>0</v>
      </c>
      <c r="CN71" s="1665">
        <v>0</v>
      </c>
      <c r="CO71" s="1665">
        <v>0</v>
      </c>
      <c r="CP71" s="1665">
        <v>0</v>
      </c>
      <c r="CQ71" s="1665">
        <v>0</v>
      </c>
      <c r="CR71" s="1665">
        <v>0</v>
      </c>
      <c r="CS71" s="1665">
        <v>0</v>
      </c>
      <c r="CT71" s="1665">
        <v>0</v>
      </c>
      <c r="CU71" s="1665">
        <v>0</v>
      </c>
      <c r="CV71" s="1665">
        <v>0</v>
      </c>
      <c r="CW71" s="1668"/>
      <c r="CX71" s="1663"/>
      <c r="CY71" s="1663"/>
      <c r="CZ71" s="1663"/>
      <c r="DA71" s="1663"/>
      <c r="DB71" s="1668"/>
      <c r="DC71" s="1662"/>
      <c r="DD71" s="1665">
        <v>0</v>
      </c>
      <c r="DE71" s="1663"/>
      <c r="DF71" s="1663"/>
      <c r="DG71" s="1665">
        <v>0</v>
      </c>
      <c r="DH71" s="1665">
        <v>0</v>
      </c>
    </row>
    <row r="72" spans="1:112" ht="45" hidden="1" x14ac:dyDescent="0.25">
      <c r="A72" s="1662" t="s">
        <v>2144</v>
      </c>
      <c r="B72" s="1662" t="s">
        <v>1719</v>
      </c>
      <c r="C72" s="1662" t="s">
        <v>2621</v>
      </c>
      <c r="D72" s="1662" t="s">
        <v>2622</v>
      </c>
      <c r="E72" s="1662" t="s">
        <v>144</v>
      </c>
      <c r="F72" s="1662" t="s">
        <v>2616</v>
      </c>
      <c r="G72" s="1662" t="s">
        <v>2617</v>
      </c>
      <c r="H72" s="1662" t="s">
        <v>2618</v>
      </c>
      <c r="I72" s="1662" t="s">
        <v>713</v>
      </c>
      <c r="J72" s="1662" t="s">
        <v>393</v>
      </c>
      <c r="K72" s="1662" t="s">
        <v>2127</v>
      </c>
      <c r="L72" s="1662" t="s">
        <v>2109</v>
      </c>
      <c r="M72" s="1665">
        <v>5993883</v>
      </c>
      <c r="N72" s="1665">
        <v>0</v>
      </c>
      <c r="O72" s="1665">
        <v>5993883</v>
      </c>
      <c r="P72" s="1665">
        <v>2645996.25</v>
      </c>
      <c r="Q72" s="1665">
        <v>2645996.25</v>
      </c>
      <c r="R72" s="1665">
        <v>2645996.25</v>
      </c>
      <c r="S72" s="1665">
        <v>0</v>
      </c>
      <c r="T72" s="1665">
        <v>3347886.75</v>
      </c>
      <c r="U72" s="1665">
        <v>0</v>
      </c>
      <c r="V72" s="1665">
        <v>0</v>
      </c>
      <c r="W72" s="1665">
        <v>0</v>
      </c>
      <c r="X72" s="1665">
        <v>3347886.75</v>
      </c>
      <c r="Y72" s="1668"/>
      <c r="Z72" s="1662"/>
      <c r="AA72" s="1665">
        <v>368715.55</v>
      </c>
      <c r="AB72" s="1665">
        <v>368715.55</v>
      </c>
      <c r="AC72" s="1680">
        <v>0</v>
      </c>
      <c r="AD72" s="1681"/>
      <c r="AE72" s="1679"/>
      <c r="AF72" s="1662"/>
      <c r="AG72" s="1666"/>
      <c r="AH72" s="1667">
        <v>2949122.54</v>
      </c>
      <c r="AI72" s="1665">
        <v>1507834.76</v>
      </c>
      <c r="AJ72" s="1665">
        <v>1139119.21</v>
      </c>
      <c r="AK72" s="1698">
        <v>1139119.21</v>
      </c>
      <c r="AL72" s="1665">
        <v>0</v>
      </c>
      <c r="AM72" s="1668"/>
      <c r="AN72" s="1665">
        <v>2310166.25</v>
      </c>
      <c r="AO72" s="1665">
        <v>1019821.59</v>
      </c>
      <c r="AP72" s="1665">
        <v>1019821.59</v>
      </c>
      <c r="AQ72" s="1665">
        <v>1019821.59</v>
      </c>
      <c r="AR72" s="1665">
        <v>0</v>
      </c>
      <c r="AS72" s="1665">
        <v>1290344.6599999999</v>
      </c>
      <c r="AT72" s="1665">
        <v>0</v>
      </c>
      <c r="AU72" s="1665">
        <v>0</v>
      </c>
      <c r="AV72" s="1665">
        <v>0</v>
      </c>
      <c r="AW72" s="1665">
        <v>1290344.6599999999</v>
      </c>
      <c r="AX72" s="1665">
        <v>0</v>
      </c>
      <c r="AY72" s="1665">
        <v>0</v>
      </c>
      <c r="AZ72" s="1665">
        <v>0</v>
      </c>
      <c r="BA72" s="1668"/>
      <c r="BB72" s="1668"/>
      <c r="BC72" s="1665">
        <v>0</v>
      </c>
      <c r="BD72" s="1665">
        <v>0</v>
      </c>
      <c r="BE72" s="1665">
        <v>2310166.25</v>
      </c>
      <c r="BF72" s="1665">
        <v>1019821.59</v>
      </c>
      <c r="BG72" s="1665">
        <v>1019821.59</v>
      </c>
      <c r="BH72" s="1665">
        <v>1019821.59</v>
      </c>
      <c r="BI72" s="1665">
        <v>0</v>
      </c>
      <c r="BJ72" s="1665">
        <v>1290344.6599999999</v>
      </c>
      <c r="BK72" s="1665">
        <v>0</v>
      </c>
      <c r="BL72" s="1665">
        <v>0</v>
      </c>
      <c r="BM72" s="1665">
        <v>0</v>
      </c>
      <c r="BN72" s="1665">
        <v>1290344.6599999999</v>
      </c>
      <c r="BO72" s="1668"/>
      <c r="BP72" s="1665">
        <v>2097897.02</v>
      </c>
      <c r="BQ72" s="1665">
        <v>926115.46</v>
      </c>
      <c r="BR72" s="1665">
        <v>926115.46</v>
      </c>
      <c r="BS72" s="1667">
        <v>926115.46</v>
      </c>
      <c r="BT72" s="1665">
        <v>0</v>
      </c>
      <c r="BU72" s="1665">
        <v>1171781.56</v>
      </c>
      <c r="BV72" s="1665">
        <v>0</v>
      </c>
      <c r="BW72" s="1665">
        <v>0</v>
      </c>
      <c r="BX72" s="1665">
        <v>0</v>
      </c>
      <c r="BY72" s="1665">
        <v>1171781.56</v>
      </c>
      <c r="BZ72" s="1665">
        <v>0</v>
      </c>
      <c r="CA72" s="1665">
        <v>0</v>
      </c>
      <c r="CB72" s="1664">
        <v>43355</v>
      </c>
      <c r="CC72" s="1668"/>
      <c r="CD72" s="1665">
        <v>-221714.08</v>
      </c>
      <c r="CE72" s="1665">
        <v>-97875.55</v>
      </c>
      <c r="CF72" s="1665">
        <v>0</v>
      </c>
      <c r="CG72" s="1665">
        <v>0</v>
      </c>
      <c r="CH72" s="1665">
        <v>0</v>
      </c>
      <c r="CI72" s="1665">
        <v>0</v>
      </c>
      <c r="CJ72" s="1665">
        <v>0</v>
      </c>
      <c r="CK72" s="1665">
        <v>0</v>
      </c>
      <c r="CL72" s="1668"/>
      <c r="CM72" s="1665">
        <v>0</v>
      </c>
      <c r="CN72" s="1665">
        <v>0</v>
      </c>
      <c r="CO72" s="1665">
        <v>0</v>
      </c>
      <c r="CP72" s="1665">
        <v>0</v>
      </c>
      <c r="CQ72" s="1665">
        <v>0</v>
      </c>
      <c r="CR72" s="1665">
        <v>0</v>
      </c>
      <c r="CS72" s="1665">
        <v>0</v>
      </c>
      <c r="CT72" s="1665">
        <v>0</v>
      </c>
      <c r="CU72" s="1665">
        <v>0</v>
      </c>
      <c r="CV72" s="1665">
        <v>0</v>
      </c>
      <c r="CW72" s="1668"/>
      <c r="CX72" s="1665">
        <v>0</v>
      </c>
      <c r="CY72" s="1665">
        <v>0</v>
      </c>
      <c r="CZ72" s="1665">
        <v>0</v>
      </c>
      <c r="DA72" s="1665">
        <v>0</v>
      </c>
      <c r="DB72" s="1668"/>
      <c r="DC72" s="1662"/>
      <c r="DD72" s="1665">
        <v>0</v>
      </c>
      <c r="DE72" s="1665">
        <v>0</v>
      </c>
      <c r="DF72" s="1665">
        <v>0</v>
      </c>
      <c r="DG72" s="1665">
        <v>0</v>
      </c>
      <c r="DH72" s="1665">
        <v>0</v>
      </c>
    </row>
    <row r="73" spans="1:112" ht="45" hidden="1" x14ac:dyDescent="0.25">
      <c r="A73" s="1662" t="s">
        <v>2066</v>
      </c>
      <c r="B73" s="1662" t="s">
        <v>1719</v>
      </c>
      <c r="C73" s="1662" t="s">
        <v>2621</v>
      </c>
      <c r="D73" s="1662" t="s">
        <v>2622</v>
      </c>
      <c r="E73" s="1662" t="s">
        <v>144</v>
      </c>
      <c r="F73" s="1662" t="s">
        <v>2616</v>
      </c>
      <c r="G73" s="1662" t="s">
        <v>2617</v>
      </c>
      <c r="H73" s="1662" t="s">
        <v>2618</v>
      </c>
      <c r="I73" s="1662" t="s">
        <v>713</v>
      </c>
      <c r="J73" s="1662" t="s">
        <v>393</v>
      </c>
      <c r="K73" s="1662" t="s">
        <v>2127</v>
      </c>
      <c r="L73" s="1662" t="s">
        <v>2109</v>
      </c>
      <c r="M73" s="1663"/>
      <c r="N73" s="1663"/>
      <c r="O73" s="1663"/>
      <c r="P73" s="1663"/>
      <c r="Q73" s="1663"/>
      <c r="R73" s="1663"/>
      <c r="S73" s="1663"/>
      <c r="T73" s="1663"/>
      <c r="U73" s="1663"/>
      <c r="V73" s="1663"/>
      <c r="W73" s="1663"/>
      <c r="X73" s="1663"/>
      <c r="Y73" s="1664">
        <v>42727</v>
      </c>
      <c r="Z73" s="1662" t="s">
        <v>2145</v>
      </c>
      <c r="AA73" s="1665">
        <v>0</v>
      </c>
      <c r="AB73" s="1665">
        <v>0</v>
      </c>
      <c r="AC73" s="1680">
        <v>0</v>
      </c>
      <c r="AD73" s="1682">
        <v>42734</v>
      </c>
      <c r="AE73" s="1679" t="s">
        <v>2122</v>
      </c>
      <c r="AF73" s="1662" t="s">
        <v>2112</v>
      </c>
      <c r="AG73" s="1666"/>
      <c r="AH73" s="1667">
        <v>368715.55</v>
      </c>
      <c r="AI73" s="1665">
        <v>368715.55</v>
      </c>
      <c r="AJ73" s="1665">
        <v>368715.55</v>
      </c>
      <c r="AK73" s="1698">
        <v>368715.55</v>
      </c>
      <c r="AL73" s="1665">
        <v>0</v>
      </c>
      <c r="AM73" s="1668"/>
      <c r="AN73" s="1665">
        <v>0</v>
      </c>
      <c r="AO73" s="1665">
        <v>0</v>
      </c>
      <c r="AP73" s="1665">
        <v>0</v>
      </c>
      <c r="AQ73" s="1665">
        <v>0</v>
      </c>
      <c r="AR73" s="1665">
        <v>0</v>
      </c>
      <c r="AS73" s="1665">
        <v>0</v>
      </c>
      <c r="AT73" s="1665">
        <v>0</v>
      </c>
      <c r="AU73" s="1665">
        <v>0</v>
      </c>
      <c r="AV73" s="1665">
        <v>0</v>
      </c>
      <c r="AW73" s="1665">
        <v>0</v>
      </c>
      <c r="AX73" s="1663"/>
      <c r="AY73" s="1663"/>
      <c r="AZ73" s="1663"/>
      <c r="BA73" s="1668"/>
      <c r="BB73" s="1668"/>
      <c r="BC73" s="1663"/>
      <c r="BD73" s="1663"/>
      <c r="BE73" s="1665">
        <v>0</v>
      </c>
      <c r="BF73" s="1665">
        <v>0</v>
      </c>
      <c r="BG73" s="1665">
        <v>0</v>
      </c>
      <c r="BH73" s="1665">
        <v>0</v>
      </c>
      <c r="BI73" s="1665">
        <v>0</v>
      </c>
      <c r="BJ73" s="1665">
        <v>0</v>
      </c>
      <c r="BK73" s="1665">
        <v>0</v>
      </c>
      <c r="BL73" s="1665">
        <v>0</v>
      </c>
      <c r="BM73" s="1665">
        <v>0</v>
      </c>
      <c r="BN73" s="1665">
        <v>0</v>
      </c>
      <c r="BO73" s="1668"/>
      <c r="BP73" s="1665">
        <v>0</v>
      </c>
      <c r="BQ73" s="1665">
        <v>0</v>
      </c>
      <c r="BR73" s="1665">
        <v>0</v>
      </c>
      <c r="BS73" s="1667">
        <v>0</v>
      </c>
      <c r="BT73" s="1665">
        <v>0</v>
      </c>
      <c r="BU73" s="1665">
        <v>0</v>
      </c>
      <c r="BV73" s="1665">
        <v>0</v>
      </c>
      <c r="BW73" s="1665">
        <v>0</v>
      </c>
      <c r="BX73" s="1665">
        <v>0</v>
      </c>
      <c r="BY73" s="1665">
        <v>0</v>
      </c>
      <c r="BZ73" s="1663"/>
      <c r="CA73" s="1663"/>
      <c r="CB73" s="1668"/>
      <c r="CC73" s="1668"/>
      <c r="CD73" s="1663"/>
      <c r="CE73" s="1663"/>
      <c r="CF73" s="1665">
        <v>0</v>
      </c>
      <c r="CG73" s="1665">
        <v>0</v>
      </c>
      <c r="CH73" s="1665">
        <v>0</v>
      </c>
      <c r="CI73" s="1665">
        <v>0</v>
      </c>
      <c r="CJ73" s="1665">
        <v>0</v>
      </c>
      <c r="CK73" s="1665">
        <v>0</v>
      </c>
      <c r="CL73" s="1668"/>
      <c r="CM73" s="1665">
        <v>0</v>
      </c>
      <c r="CN73" s="1665">
        <v>0</v>
      </c>
      <c r="CO73" s="1665">
        <v>0</v>
      </c>
      <c r="CP73" s="1665">
        <v>0</v>
      </c>
      <c r="CQ73" s="1665">
        <v>0</v>
      </c>
      <c r="CR73" s="1665">
        <v>0</v>
      </c>
      <c r="CS73" s="1665">
        <v>0</v>
      </c>
      <c r="CT73" s="1665">
        <v>0</v>
      </c>
      <c r="CU73" s="1665">
        <v>0</v>
      </c>
      <c r="CV73" s="1665">
        <v>0</v>
      </c>
      <c r="CW73" s="1668"/>
      <c r="CX73" s="1663"/>
      <c r="CY73" s="1663"/>
      <c r="CZ73" s="1663"/>
      <c r="DA73" s="1663"/>
      <c r="DB73" s="1668"/>
      <c r="DC73" s="1662"/>
      <c r="DD73" s="1665">
        <v>0</v>
      </c>
      <c r="DE73" s="1663"/>
      <c r="DF73" s="1663"/>
      <c r="DG73" s="1665">
        <v>0</v>
      </c>
      <c r="DH73" s="1665">
        <v>0</v>
      </c>
    </row>
    <row r="74" spans="1:112" ht="45" hidden="1" x14ac:dyDescent="0.25">
      <c r="A74" s="1662" t="s">
        <v>2067</v>
      </c>
      <c r="B74" s="1662" t="s">
        <v>1719</v>
      </c>
      <c r="C74" s="1662" t="s">
        <v>2621</v>
      </c>
      <c r="D74" s="1662" t="s">
        <v>2622</v>
      </c>
      <c r="E74" s="1662" t="s">
        <v>144</v>
      </c>
      <c r="F74" s="1662" t="s">
        <v>2616</v>
      </c>
      <c r="G74" s="1662" t="s">
        <v>2617</v>
      </c>
      <c r="H74" s="1662" t="s">
        <v>2618</v>
      </c>
      <c r="I74" s="1662" t="s">
        <v>713</v>
      </c>
      <c r="J74" s="1662" t="s">
        <v>393</v>
      </c>
      <c r="K74" s="1662" t="s">
        <v>2127</v>
      </c>
      <c r="L74" s="1662" t="s">
        <v>2109</v>
      </c>
      <c r="M74" s="1663"/>
      <c r="N74" s="1663"/>
      <c r="O74" s="1663"/>
      <c r="P74" s="1663"/>
      <c r="Q74" s="1663"/>
      <c r="R74" s="1663"/>
      <c r="S74" s="1663"/>
      <c r="T74" s="1663"/>
      <c r="U74" s="1663"/>
      <c r="V74" s="1663"/>
      <c r="W74" s="1663"/>
      <c r="X74" s="1663"/>
      <c r="Y74" s="1664">
        <v>42822</v>
      </c>
      <c r="Z74" s="1662" t="s">
        <v>2110</v>
      </c>
      <c r="AA74" s="1665">
        <v>0</v>
      </c>
      <c r="AB74" s="1665">
        <v>0</v>
      </c>
      <c r="AC74" s="1680">
        <v>0</v>
      </c>
      <c r="AD74" s="1682">
        <v>42852</v>
      </c>
      <c r="AE74" s="1679" t="s">
        <v>2111</v>
      </c>
      <c r="AF74" s="1662" t="s">
        <v>2112</v>
      </c>
      <c r="AG74" s="1666"/>
      <c r="AH74" s="1667">
        <v>0</v>
      </c>
      <c r="AI74" s="1665">
        <v>0</v>
      </c>
      <c r="AJ74" s="1665">
        <v>0</v>
      </c>
      <c r="AK74" s="1698">
        <v>0</v>
      </c>
      <c r="AL74" s="1665">
        <v>0</v>
      </c>
      <c r="AM74" s="1668"/>
      <c r="AN74" s="1665">
        <v>0</v>
      </c>
      <c r="AO74" s="1665">
        <v>0</v>
      </c>
      <c r="AP74" s="1665">
        <v>0</v>
      </c>
      <c r="AQ74" s="1665">
        <v>0</v>
      </c>
      <c r="AR74" s="1665">
        <v>0</v>
      </c>
      <c r="AS74" s="1665">
        <v>0</v>
      </c>
      <c r="AT74" s="1665">
        <v>0</v>
      </c>
      <c r="AU74" s="1665">
        <v>0</v>
      </c>
      <c r="AV74" s="1665">
        <v>0</v>
      </c>
      <c r="AW74" s="1665">
        <v>0</v>
      </c>
      <c r="AX74" s="1663"/>
      <c r="AY74" s="1663"/>
      <c r="AZ74" s="1663"/>
      <c r="BA74" s="1668"/>
      <c r="BB74" s="1668"/>
      <c r="BC74" s="1663"/>
      <c r="BD74" s="1663"/>
      <c r="BE74" s="1665">
        <v>0</v>
      </c>
      <c r="BF74" s="1665">
        <v>0</v>
      </c>
      <c r="BG74" s="1665">
        <v>0</v>
      </c>
      <c r="BH74" s="1665">
        <v>0</v>
      </c>
      <c r="BI74" s="1665">
        <v>0</v>
      </c>
      <c r="BJ74" s="1665">
        <v>0</v>
      </c>
      <c r="BK74" s="1665">
        <v>0</v>
      </c>
      <c r="BL74" s="1665">
        <v>0</v>
      </c>
      <c r="BM74" s="1665">
        <v>0</v>
      </c>
      <c r="BN74" s="1665">
        <v>0</v>
      </c>
      <c r="BO74" s="1668"/>
      <c r="BP74" s="1665">
        <v>0</v>
      </c>
      <c r="BQ74" s="1665">
        <v>0</v>
      </c>
      <c r="BR74" s="1665">
        <v>0</v>
      </c>
      <c r="BS74" s="1667">
        <v>0</v>
      </c>
      <c r="BT74" s="1665">
        <v>0</v>
      </c>
      <c r="BU74" s="1665">
        <v>0</v>
      </c>
      <c r="BV74" s="1665">
        <v>0</v>
      </c>
      <c r="BW74" s="1665">
        <v>0</v>
      </c>
      <c r="BX74" s="1665">
        <v>0</v>
      </c>
      <c r="BY74" s="1665">
        <v>0</v>
      </c>
      <c r="BZ74" s="1663"/>
      <c r="CA74" s="1663"/>
      <c r="CB74" s="1668"/>
      <c r="CC74" s="1668"/>
      <c r="CD74" s="1663"/>
      <c r="CE74" s="1663"/>
      <c r="CF74" s="1665">
        <v>0</v>
      </c>
      <c r="CG74" s="1665">
        <v>0</v>
      </c>
      <c r="CH74" s="1665">
        <v>0</v>
      </c>
      <c r="CI74" s="1665">
        <v>0</v>
      </c>
      <c r="CJ74" s="1665">
        <v>0</v>
      </c>
      <c r="CK74" s="1665">
        <v>0</v>
      </c>
      <c r="CL74" s="1668"/>
      <c r="CM74" s="1665">
        <v>0</v>
      </c>
      <c r="CN74" s="1665">
        <v>0</v>
      </c>
      <c r="CO74" s="1665">
        <v>0</v>
      </c>
      <c r="CP74" s="1665">
        <v>0</v>
      </c>
      <c r="CQ74" s="1665">
        <v>0</v>
      </c>
      <c r="CR74" s="1665">
        <v>0</v>
      </c>
      <c r="CS74" s="1665">
        <v>0</v>
      </c>
      <c r="CT74" s="1665">
        <v>0</v>
      </c>
      <c r="CU74" s="1665">
        <v>0</v>
      </c>
      <c r="CV74" s="1665">
        <v>0</v>
      </c>
      <c r="CW74" s="1668"/>
      <c r="CX74" s="1663"/>
      <c r="CY74" s="1663"/>
      <c r="CZ74" s="1663"/>
      <c r="DA74" s="1663"/>
      <c r="DB74" s="1668"/>
      <c r="DC74" s="1662"/>
      <c r="DD74" s="1665">
        <v>0</v>
      </c>
      <c r="DE74" s="1663"/>
      <c r="DF74" s="1663"/>
      <c r="DG74" s="1665">
        <v>0</v>
      </c>
      <c r="DH74" s="1665">
        <v>0</v>
      </c>
    </row>
    <row r="75" spans="1:112" ht="45" hidden="1" x14ac:dyDescent="0.25">
      <c r="A75" s="1662" t="s">
        <v>2146</v>
      </c>
      <c r="B75" s="1662" t="s">
        <v>1719</v>
      </c>
      <c r="C75" s="1662" t="s">
        <v>2621</v>
      </c>
      <c r="D75" s="1662" t="s">
        <v>2622</v>
      </c>
      <c r="E75" s="1662" t="s">
        <v>144</v>
      </c>
      <c r="F75" s="1662" t="s">
        <v>2616</v>
      </c>
      <c r="G75" s="1662" t="s">
        <v>2617</v>
      </c>
      <c r="H75" s="1662" t="s">
        <v>2618</v>
      </c>
      <c r="I75" s="1662" t="s">
        <v>713</v>
      </c>
      <c r="J75" s="1662" t="s">
        <v>393</v>
      </c>
      <c r="K75" s="1662" t="s">
        <v>2127</v>
      </c>
      <c r="L75" s="1662" t="s">
        <v>2109</v>
      </c>
      <c r="M75" s="1663"/>
      <c r="N75" s="1663"/>
      <c r="O75" s="1663"/>
      <c r="P75" s="1663"/>
      <c r="Q75" s="1663"/>
      <c r="R75" s="1663"/>
      <c r="S75" s="1663"/>
      <c r="T75" s="1663"/>
      <c r="U75" s="1663"/>
      <c r="V75" s="1663"/>
      <c r="W75" s="1663"/>
      <c r="X75" s="1663"/>
      <c r="Y75" s="1664">
        <v>42909</v>
      </c>
      <c r="Z75" s="1662" t="s">
        <v>2110</v>
      </c>
      <c r="AA75" s="1665">
        <v>222778.94</v>
      </c>
      <c r="AB75" s="1665">
        <v>222778.94</v>
      </c>
      <c r="AC75" s="1680">
        <v>0</v>
      </c>
      <c r="AD75" s="1682">
        <v>42920</v>
      </c>
      <c r="AE75" s="1679" t="s">
        <v>2114</v>
      </c>
      <c r="AF75" s="1662" t="s">
        <v>2112</v>
      </c>
      <c r="AG75" s="1666"/>
      <c r="AH75" s="1667">
        <v>504653.36</v>
      </c>
      <c r="AI75" s="1665">
        <v>222778.94</v>
      </c>
      <c r="AJ75" s="1665">
        <v>0</v>
      </c>
      <c r="AK75" s="1698">
        <v>0</v>
      </c>
      <c r="AL75" s="1665">
        <v>0</v>
      </c>
      <c r="AM75" s="1664">
        <v>42920</v>
      </c>
      <c r="AN75" s="1665">
        <v>504653.36</v>
      </c>
      <c r="AO75" s="1665">
        <v>222778.94</v>
      </c>
      <c r="AP75" s="1665">
        <v>222778.94</v>
      </c>
      <c r="AQ75" s="1665">
        <v>222778.94</v>
      </c>
      <c r="AR75" s="1665">
        <v>0</v>
      </c>
      <c r="AS75" s="1665">
        <v>281874.42</v>
      </c>
      <c r="AT75" s="1665">
        <v>0</v>
      </c>
      <c r="AU75" s="1665">
        <v>0</v>
      </c>
      <c r="AV75" s="1665">
        <v>0</v>
      </c>
      <c r="AW75" s="1665">
        <v>281874.42</v>
      </c>
      <c r="AX75" s="1663"/>
      <c r="AY75" s="1663"/>
      <c r="AZ75" s="1663"/>
      <c r="BA75" s="1668"/>
      <c r="BB75" s="1668"/>
      <c r="BC75" s="1663"/>
      <c r="BD75" s="1663"/>
      <c r="BE75" s="1665">
        <v>504653.36</v>
      </c>
      <c r="BF75" s="1665">
        <v>222778.94</v>
      </c>
      <c r="BG75" s="1665">
        <v>222778.94</v>
      </c>
      <c r="BH75" s="1665">
        <v>222778.94</v>
      </c>
      <c r="BI75" s="1665">
        <v>0</v>
      </c>
      <c r="BJ75" s="1665">
        <v>281874.42</v>
      </c>
      <c r="BK75" s="1665">
        <v>0</v>
      </c>
      <c r="BL75" s="1665">
        <v>0</v>
      </c>
      <c r="BM75" s="1665">
        <v>0</v>
      </c>
      <c r="BN75" s="1665">
        <v>281874.42</v>
      </c>
      <c r="BO75" s="1664">
        <v>42991</v>
      </c>
      <c r="BP75" s="1665">
        <v>504653.36</v>
      </c>
      <c r="BQ75" s="1665">
        <v>222778.94</v>
      </c>
      <c r="BR75" s="1665">
        <v>222778.94</v>
      </c>
      <c r="BS75" s="1667">
        <v>222778.94</v>
      </c>
      <c r="BT75" s="1665">
        <v>0</v>
      </c>
      <c r="BU75" s="1665">
        <v>281874.42</v>
      </c>
      <c r="BV75" s="1665">
        <v>0</v>
      </c>
      <c r="BW75" s="1665">
        <v>0</v>
      </c>
      <c r="BX75" s="1665">
        <v>0</v>
      </c>
      <c r="BY75" s="1665">
        <v>281874.42</v>
      </c>
      <c r="BZ75" s="1665">
        <v>0</v>
      </c>
      <c r="CA75" s="1663"/>
      <c r="CB75" s="1668"/>
      <c r="CC75" s="1668"/>
      <c r="CD75" s="1663"/>
      <c r="CE75" s="1663"/>
      <c r="CF75" s="1665">
        <v>0</v>
      </c>
      <c r="CG75" s="1665">
        <v>0</v>
      </c>
      <c r="CH75" s="1665">
        <v>0</v>
      </c>
      <c r="CI75" s="1665">
        <v>0</v>
      </c>
      <c r="CJ75" s="1665">
        <v>0</v>
      </c>
      <c r="CK75" s="1665">
        <v>0</v>
      </c>
      <c r="CL75" s="1668"/>
      <c r="CM75" s="1665">
        <v>0</v>
      </c>
      <c r="CN75" s="1665">
        <v>0</v>
      </c>
      <c r="CO75" s="1665">
        <v>0</v>
      </c>
      <c r="CP75" s="1665">
        <v>0</v>
      </c>
      <c r="CQ75" s="1665">
        <v>0</v>
      </c>
      <c r="CR75" s="1665">
        <v>0</v>
      </c>
      <c r="CS75" s="1665">
        <v>0</v>
      </c>
      <c r="CT75" s="1665">
        <v>0</v>
      </c>
      <c r="CU75" s="1665">
        <v>0</v>
      </c>
      <c r="CV75" s="1665">
        <v>0</v>
      </c>
      <c r="CW75" s="1668"/>
      <c r="CX75" s="1663"/>
      <c r="CY75" s="1663"/>
      <c r="CZ75" s="1663"/>
      <c r="DA75" s="1663"/>
      <c r="DB75" s="1668"/>
      <c r="DC75" s="1662"/>
      <c r="DD75" s="1665">
        <v>0</v>
      </c>
      <c r="DE75" s="1663"/>
      <c r="DF75" s="1663"/>
      <c r="DG75" s="1665">
        <v>0</v>
      </c>
      <c r="DH75" s="1665">
        <v>0</v>
      </c>
    </row>
    <row r="76" spans="1:112" ht="45" hidden="1" x14ac:dyDescent="0.25">
      <c r="A76" s="1662" t="s">
        <v>2069</v>
      </c>
      <c r="B76" s="1662" t="s">
        <v>1719</v>
      </c>
      <c r="C76" s="1662" t="s">
        <v>2621</v>
      </c>
      <c r="D76" s="1662" t="s">
        <v>2622</v>
      </c>
      <c r="E76" s="1662" t="s">
        <v>144</v>
      </c>
      <c r="F76" s="1662" t="s">
        <v>2616</v>
      </c>
      <c r="G76" s="1662" t="s">
        <v>2617</v>
      </c>
      <c r="H76" s="1662" t="s">
        <v>2618</v>
      </c>
      <c r="I76" s="1662" t="s">
        <v>713</v>
      </c>
      <c r="J76" s="1662" t="s">
        <v>393</v>
      </c>
      <c r="K76" s="1662" t="s">
        <v>2127</v>
      </c>
      <c r="L76" s="1662" t="s">
        <v>2109</v>
      </c>
      <c r="M76" s="1663"/>
      <c r="N76" s="1663"/>
      <c r="O76" s="1663"/>
      <c r="P76" s="1663"/>
      <c r="Q76" s="1663"/>
      <c r="R76" s="1663"/>
      <c r="S76" s="1663"/>
      <c r="T76" s="1663"/>
      <c r="U76" s="1663"/>
      <c r="V76" s="1663"/>
      <c r="W76" s="1663"/>
      <c r="X76" s="1663"/>
      <c r="Y76" s="1664">
        <v>42989</v>
      </c>
      <c r="Z76" s="1662" t="s">
        <v>2110</v>
      </c>
      <c r="AA76" s="1665">
        <v>0</v>
      </c>
      <c r="AB76" s="1665">
        <v>0</v>
      </c>
      <c r="AC76" s="1680">
        <v>0</v>
      </c>
      <c r="AD76" s="1682">
        <v>43013</v>
      </c>
      <c r="AE76" s="1679" t="s">
        <v>2128</v>
      </c>
      <c r="AF76" s="1662" t="s">
        <v>2115</v>
      </c>
      <c r="AG76" s="1666"/>
      <c r="AH76" s="1667">
        <v>4665.1899999999996</v>
      </c>
      <c r="AI76" s="1665">
        <v>2059.4499999999998</v>
      </c>
      <c r="AJ76" s="1665">
        <v>2059.44</v>
      </c>
      <c r="AK76" s="1698">
        <v>2059.44</v>
      </c>
      <c r="AL76" s="1665">
        <v>0</v>
      </c>
      <c r="AM76" s="1664">
        <v>43014</v>
      </c>
      <c r="AN76" s="1665">
        <v>4665.1899999999996</v>
      </c>
      <c r="AO76" s="1665">
        <v>2059.44</v>
      </c>
      <c r="AP76" s="1665">
        <v>2059.44</v>
      </c>
      <c r="AQ76" s="1665">
        <v>2059.44</v>
      </c>
      <c r="AR76" s="1665">
        <v>0</v>
      </c>
      <c r="AS76" s="1665">
        <v>2605.75</v>
      </c>
      <c r="AT76" s="1665">
        <v>0</v>
      </c>
      <c r="AU76" s="1665">
        <v>0</v>
      </c>
      <c r="AV76" s="1665">
        <v>0</v>
      </c>
      <c r="AW76" s="1665">
        <v>2605.75</v>
      </c>
      <c r="AX76" s="1663"/>
      <c r="AY76" s="1663"/>
      <c r="AZ76" s="1663"/>
      <c r="BA76" s="1668"/>
      <c r="BB76" s="1668"/>
      <c r="BC76" s="1663"/>
      <c r="BD76" s="1663"/>
      <c r="BE76" s="1665">
        <v>4665.1899999999996</v>
      </c>
      <c r="BF76" s="1665">
        <v>2059.44</v>
      </c>
      <c r="BG76" s="1665">
        <v>2059.44</v>
      </c>
      <c r="BH76" s="1665">
        <v>2059.44</v>
      </c>
      <c r="BI76" s="1665">
        <v>0</v>
      </c>
      <c r="BJ76" s="1665">
        <v>2605.75</v>
      </c>
      <c r="BK76" s="1665">
        <v>0</v>
      </c>
      <c r="BL76" s="1665">
        <v>0</v>
      </c>
      <c r="BM76" s="1665">
        <v>0</v>
      </c>
      <c r="BN76" s="1665">
        <v>2605.75</v>
      </c>
      <c r="BO76" s="1664">
        <v>43125</v>
      </c>
      <c r="BP76" s="1665">
        <v>4665.1899999999996</v>
      </c>
      <c r="BQ76" s="1665">
        <v>2059.44</v>
      </c>
      <c r="BR76" s="1665">
        <v>2059.44</v>
      </c>
      <c r="BS76" s="1667">
        <v>2059.44</v>
      </c>
      <c r="BT76" s="1665">
        <v>0</v>
      </c>
      <c r="BU76" s="1665">
        <v>2605.75</v>
      </c>
      <c r="BV76" s="1665">
        <v>0</v>
      </c>
      <c r="BW76" s="1665">
        <v>0</v>
      </c>
      <c r="BX76" s="1665">
        <v>0</v>
      </c>
      <c r="BY76" s="1665">
        <v>2605.75</v>
      </c>
      <c r="BZ76" s="1665">
        <v>0</v>
      </c>
      <c r="CA76" s="1663"/>
      <c r="CB76" s="1668"/>
      <c r="CC76" s="1668"/>
      <c r="CD76" s="1663"/>
      <c r="CE76" s="1663"/>
      <c r="CF76" s="1665">
        <v>0</v>
      </c>
      <c r="CG76" s="1665">
        <v>0</v>
      </c>
      <c r="CH76" s="1665">
        <v>0</v>
      </c>
      <c r="CI76" s="1665">
        <v>0</v>
      </c>
      <c r="CJ76" s="1665">
        <v>0</v>
      </c>
      <c r="CK76" s="1665">
        <v>0</v>
      </c>
      <c r="CL76" s="1668"/>
      <c r="CM76" s="1665">
        <v>0</v>
      </c>
      <c r="CN76" s="1665">
        <v>0</v>
      </c>
      <c r="CO76" s="1665">
        <v>0</v>
      </c>
      <c r="CP76" s="1665">
        <v>0</v>
      </c>
      <c r="CQ76" s="1665">
        <v>0</v>
      </c>
      <c r="CR76" s="1665">
        <v>0</v>
      </c>
      <c r="CS76" s="1665">
        <v>0</v>
      </c>
      <c r="CT76" s="1665">
        <v>0</v>
      </c>
      <c r="CU76" s="1665">
        <v>0</v>
      </c>
      <c r="CV76" s="1665">
        <v>0</v>
      </c>
      <c r="CW76" s="1668"/>
      <c r="CX76" s="1663"/>
      <c r="CY76" s="1663"/>
      <c r="CZ76" s="1663"/>
      <c r="DA76" s="1663"/>
      <c r="DB76" s="1668"/>
      <c r="DC76" s="1662"/>
      <c r="DD76" s="1665">
        <v>0</v>
      </c>
      <c r="DE76" s="1663"/>
      <c r="DF76" s="1663"/>
      <c r="DG76" s="1665">
        <v>0</v>
      </c>
      <c r="DH76" s="1665">
        <v>0</v>
      </c>
    </row>
    <row r="77" spans="1:112" ht="45" hidden="1" x14ac:dyDescent="0.25">
      <c r="A77" s="1662" t="s">
        <v>2070</v>
      </c>
      <c r="B77" s="1662" t="s">
        <v>1719</v>
      </c>
      <c r="C77" s="1662" t="s">
        <v>2621</v>
      </c>
      <c r="D77" s="1662" t="s">
        <v>2622</v>
      </c>
      <c r="E77" s="1662" t="s">
        <v>144</v>
      </c>
      <c r="F77" s="1662" t="s">
        <v>2616</v>
      </c>
      <c r="G77" s="1662" t="s">
        <v>2617</v>
      </c>
      <c r="H77" s="1662" t="s">
        <v>2618</v>
      </c>
      <c r="I77" s="1662" t="s">
        <v>713</v>
      </c>
      <c r="J77" s="1662" t="s">
        <v>393</v>
      </c>
      <c r="K77" s="1662" t="s">
        <v>2127</v>
      </c>
      <c r="L77" s="1662" t="s">
        <v>2109</v>
      </c>
      <c r="M77" s="1663"/>
      <c r="N77" s="1663"/>
      <c r="O77" s="1663"/>
      <c r="P77" s="1663"/>
      <c r="Q77" s="1663"/>
      <c r="R77" s="1663"/>
      <c r="S77" s="1663"/>
      <c r="T77" s="1663"/>
      <c r="U77" s="1663"/>
      <c r="V77" s="1663"/>
      <c r="W77" s="1663"/>
      <c r="X77" s="1663"/>
      <c r="Y77" s="1664">
        <v>42989</v>
      </c>
      <c r="Z77" s="1662" t="s">
        <v>2110</v>
      </c>
      <c r="AA77" s="1665">
        <v>145936.60999999999</v>
      </c>
      <c r="AB77" s="1665">
        <v>145936.60999999999</v>
      </c>
      <c r="AC77" s="1680">
        <v>0</v>
      </c>
      <c r="AD77" s="1682">
        <v>43013</v>
      </c>
      <c r="AE77" s="1679" t="s">
        <v>2128</v>
      </c>
      <c r="AF77" s="1662" t="s">
        <v>2112</v>
      </c>
      <c r="AG77" s="1666"/>
      <c r="AH77" s="1667">
        <v>527912.46</v>
      </c>
      <c r="AI77" s="1665">
        <v>233046.66</v>
      </c>
      <c r="AJ77" s="1665">
        <v>87110.05</v>
      </c>
      <c r="AK77" s="1698">
        <v>87110.05</v>
      </c>
      <c r="AL77" s="1665">
        <v>0</v>
      </c>
      <c r="AM77" s="1664">
        <v>43013</v>
      </c>
      <c r="AN77" s="1665">
        <v>527912.46</v>
      </c>
      <c r="AO77" s="1665">
        <v>233046.66</v>
      </c>
      <c r="AP77" s="1665">
        <v>233046.66</v>
      </c>
      <c r="AQ77" s="1665">
        <v>233046.66</v>
      </c>
      <c r="AR77" s="1665">
        <v>0</v>
      </c>
      <c r="AS77" s="1665">
        <v>294865.8</v>
      </c>
      <c r="AT77" s="1665">
        <v>0</v>
      </c>
      <c r="AU77" s="1665">
        <v>0</v>
      </c>
      <c r="AV77" s="1665">
        <v>0</v>
      </c>
      <c r="AW77" s="1665">
        <v>294865.8</v>
      </c>
      <c r="AX77" s="1663"/>
      <c r="AY77" s="1663"/>
      <c r="AZ77" s="1663"/>
      <c r="BA77" s="1668"/>
      <c r="BB77" s="1668"/>
      <c r="BC77" s="1663"/>
      <c r="BD77" s="1663"/>
      <c r="BE77" s="1665">
        <v>527912.46</v>
      </c>
      <c r="BF77" s="1665">
        <v>233046.66</v>
      </c>
      <c r="BG77" s="1665">
        <v>233046.66</v>
      </c>
      <c r="BH77" s="1665">
        <v>233046.66</v>
      </c>
      <c r="BI77" s="1665">
        <v>0</v>
      </c>
      <c r="BJ77" s="1665">
        <v>294865.8</v>
      </c>
      <c r="BK77" s="1665">
        <v>0</v>
      </c>
      <c r="BL77" s="1665">
        <v>0</v>
      </c>
      <c r="BM77" s="1665">
        <v>0</v>
      </c>
      <c r="BN77" s="1665">
        <v>294865.8</v>
      </c>
      <c r="BO77" s="1664">
        <v>43125</v>
      </c>
      <c r="BP77" s="1665">
        <v>527912.46</v>
      </c>
      <c r="BQ77" s="1665">
        <v>233046.66</v>
      </c>
      <c r="BR77" s="1665">
        <v>233046.66</v>
      </c>
      <c r="BS77" s="1667">
        <v>233046.66</v>
      </c>
      <c r="BT77" s="1665">
        <v>0</v>
      </c>
      <c r="BU77" s="1665">
        <v>294865.8</v>
      </c>
      <c r="BV77" s="1665">
        <v>0</v>
      </c>
      <c r="BW77" s="1665">
        <v>0</v>
      </c>
      <c r="BX77" s="1665">
        <v>0</v>
      </c>
      <c r="BY77" s="1665">
        <v>294865.8</v>
      </c>
      <c r="BZ77" s="1665">
        <v>0</v>
      </c>
      <c r="CA77" s="1663"/>
      <c r="CB77" s="1668"/>
      <c r="CC77" s="1668"/>
      <c r="CD77" s="1663"/>
      <c r="CE77" s="1663"/>
      <c r="CF77" s="1665">
        <v>0</v>
      </c>
      <c r="CG77" s="1665">
        <v>0</v>
      </c>
      <c r="CH77" s="1665">
        <v>0</v>
      </c>
      <c r="CI77" s="1665">
        <v>0</v>
      </c>
      <c r="CJ77" s="1665">
        <v>0</v>
      </c>
      <c r="CK77" s="1665">
        <v>0</v>
      </c>
      <c r="CL77" s="1668"/>
      <c r="CM77" s="1665">
        <v>0</v>
      </c>
      <c r="CN77" s="1665">
        <v>0</v>
      </c>
      <c r="CO77" s="1665">
        <v>0</v>
      </c>
      <c r="CP77" s="1665">
        <v>0</v>
      </c>
      <c r="CQ77" s="1665">
        <v>0</v>
      </c>
      <c r="CR77" s="1665">
        <v>0</v>
      </c>
      <c r="CS77" s="1665">
        <v>0</v>
      </c>
      <c r="CT77" s="1665">
        <v>0</v>
      </c>
      <c r="CU77" s="1665">
        <v>0</v>
      </c>
      <c r="CV77" s="1665">
        <v>0</v>
      </c>
      <c r="CW77" s="1668"/>
      <c r="CX77" s="1663"/>
      <c r="CY77" s="1663"/>
      <c r="CZ77" s="1663"/>
      <c r="DA77" s="1663"/>
      <c r="DB77" s="1668"/>
      <c r="DC77" s="1662"/>
      <c r="DD77" s="1665">
        <v>0</v>
      </c>
      <c r="DE77" s="1663"/>
      <c r="DF77" s="1663"/>
      <c r="DG77" s="1665">
        <v>0</v>
      </c>
      <c r="DH77" s="1665">
        <v>0</v>
      </c>
    </row>
    <row r="78" spans="1:112" ht="45" hidden="1" x14ac:dyDescent="0.25">
      <c r="A78" s="1662" t="s">
        <v>2071</v>
      </c>
      <c r="B78" s="1662" t="s">
        <v>1719</v>
      </c>
      <c r="C78" s="1662" t="s">
        <v>2621</v>
      </c>
      <c r="D78" s="1662" t="s">
        <v>2622</v>
      </c>
      <c r="E78" s="1662" t="s">
        <v>144</v>
      </c>
      <c r="F78" s="1662" t="s">
        <v>2616</v>
      </c>
      <c r="G78" s="1662" t="s">
        <v>2617</v>
      </c>
      <c r="H78" s="1662" t="s">
        <v>2618</v>
      </c>
      <c r="I78" s="1662" t="s">
        <v>713</v>
      </c>
      <c r="J78" s="1662" t="s">
        <v>393</v>
      </c>
      <c r="K78" s="1662" t="s">
        <v>2127</v>
      </c>
      <c r="L78" s="1662" t="s">
        <v>2109</v>
      </c>
      <c r="M78" s="1663"/>
      <c r="N78" s="1663"/>
      <c r="O78" s="1663"/>
      <c r="P78" s="1663"/>
      <c r="Q78" s="1663"/>
      <c r="R78" s="1663"/>
      <c r="S78" s="1663"/>
      <c r="T78" s="1663"/>
      <c r="U78" s="1663"/>
      <c r="V78" s="1663"/>
      <c r="W78" s="1663"/>
      <c r="X78" s="1663"/>
      <c r="Y78" s="1664">
        <v>43067</v>
      </c>
      <c r="Z78" s="1662" t="s">
        <v>2110</v>
      </c>
      <c r="AA78" s="1665">
        <v>0</v>
      </c>
      <c r="AB78" s="1665">
        <v>0</v>
      </c>
      <c r="AC78" s="1680">
        <v>0</v>
      </c>
      <c r="AD78" s="1682">
        <v>43087</v>
      </c>
      <c r="AE78" s="1679" t="s">
        <v>2129</v>
      </c>
      <c r="AF78" s="1662" t="s">
        <v>2115</v>
      </c>
      <c r="AG78" s="1666"/>
      <c r="AH78" s="1667">
        <v>324900</v>
      </c>
      <c r="AI78" s="1665">
        <v>143426.92000000001</v>
      </c>
      <c r="AJ78" s="1665">
        <v>143426.92000000001</v>
      </c>
      <c r="AK78" s="1698">
        <v>143426.92000000001</v>
      </c>
      <c r="AL78" s="1665">
        <v>0</v>
      </c>
      <c r="AM78" s="1664">
        <v>43088</v>
      </c>
      <c r="AN78" s="1665">
        <v>324900</v>
      </c>
      <c r="AO78" s="1665">
        <v>143426.92000000001</v>
      </c>
      <c r="AP78" s="1665">
        <v>143426.92000000001</v>
      </c>
      <c r="AQ78" s="1665">
        <v>143426.92000000001</v>
      </c>
      <c r="AR78" s="1665">
        <v>0</v>
      </c>
      <c r="AS78" s="1665">
        <v>181473.08</v>
      </c>
      <c r="AT78" s="1665">
        <v>0</v>
      </c>
      <c r="AU78" s="1665">
        <v>0</v>
      </c>
      <c r="AV78" s="1665">
        <v>0</v>
      </c>
      <c r="AW78" s="1665">
        <v>181473.08</v>
      </c>
      <c r="AX78" s="1663"/>
      <c r="AY78" s="1663"/>
      <c r="AZ78" s="1663"/>
      <c r="BA78" s="1668"/>
      <c r="BB78" s="1668"/>
      <c r="BC78" s="1663"/>
      <c r="BD78" s="1663"/>
      <c r="BE78" s="1665">
        <v>324900</v>
      </c>
      <c r="BF78" s="1665">
        <v>143426.92000000001</v>
      </c>
      <c r="BG78" s="1665">
        <v>143426.92000000001</v>
      </c>
      <c r="BH78" s="1665">
        <v>143426.92000000001</v>
      </c>
      <c r="BI78" s="1665">
        <v>0</v>
      </c>
      <c r="BJ78" s="1665">
        <v>181473.08</v>
      </c>
      <c r="BK78" s="1665">
        <v>0</v>
      </c>
      <c r="BL78" s="1665">
        <v>0</v>
      </c>
      <c r="BM78" s="1665">
        <v>0</v>
      </c>
      <c r="BN78" s="1665">
        <v>181473.08</v>
      </c>
      <c r="BO78" s="1664">
        <v>43189</v>
      </c>
      <c r="BP78" s="1665">
        <v>324900</v>
      </c>
      <c r="BQ78" s="1665">
        <v>143426.92000000001</v>
      </c>
      <c r="BR78" s="1665">
        <v>143426.92000000001</v>
      </c>
      <c r="BS78" s="1667">
        <v>143426.92000000001</v>
      </c>
      <c r="BT78" s="1665">
        <v>0</v>
      </c>
      <c r="BU78" s="1665">
        <v>181473.08</v>
      </c>
      <c r="BV78" s="1665">
        <v>0</v>
      </c>
      <c r="BW78" s="1665">
        <v>0</v>
      </c>
      <c r="BX78" s="1665">
        <v>0</v>
      </c>
      <c r="BY78" s="1665">
        <v>181473.08</v>
      </c>
      <c r="BZ78" s="1665">
        <v>0</v>
      </c>
      <c r="CA78" s="1663"/>
      <c r="CB78" s="1668"/>
      <c r="CC78" s="1668"/>
      <c r="CD78" s="1663"/>
      <c r="CE78" s="1663"/>
      <c r="CF78" s="1665">
        <v>0</v>
      </c>
      <c r="CG78" s="1665">
        <v>0</v>
      </c>
      <c r="CH78" s="1665">
        <v>0</v>
      </c>
      <c r="CI78" s="1665">
        <v>0</v>
      </c>
      <c r="CJ78" s="1665">
        <v>0</v>
      </c>
      <c r="CK78" s="1665">
        <v>0</v>
      </c>
      <c r="CL78" s="1668"/>
      <c r="CM78" s="1665">
        <v>0</v>
      </c>
      <c r="CN78" s="1665">
        <v>0</v>
      </c>
      <c r="CO78" s="1665">
        <v>0</v>
      </c>
      <c r="CP78" s="1665">
        <v>0</v>
      </c>
      <c r="CQ78" s="1665">
        <v>0</v>
      </c>
      <c r="CR78" s="1665">
        <v>0</v>
      </c>
      <c r="CS78" s="1665">
        <v>0</v>
      </c>
      <c r="CT78" s="1665">
        <v>0</v>
      </c>
      <c r="CU78" s="1665">
        <v>0</v>
      </c>
      <c r="CV78" s="1665">
        <v>0</v>
      </c>
      <c r="CW78" s="1668"/>
      <c r="CX78" s="1663"/>
      <c r="CY78" s="1663"/>
      <c r="CZ78" s="1663"/>
      <c r="DA78" s="1663"/>
      <c r="DB78" s="1668"/>
      <c r="DC78" s="1662"/>
      <c r="DD78" s="1665">
        <v>0</v>
      </c>
      <c r="DE78" s="1663"/>
      <c r="DF78" s="1663"/>
      <c r="DG78" s="1665">
        <v>0</v>
      </c>
      <c r="DH78" s="1665">
        <v>0</v>
      </c>
    </row>
    <row r="79" spans="1:112" ht="45" hidden="1" x14ac:dyDescent="0.25">
      <c r="A79" s="1662" t="s">
        <v>2072</v>
      </c>
      <c r="B79" s="1662" t="s">
        <v>1719</v>
      </c>
      <c r="C79" s="1662" t="s">
        <v>2621</v>
      </c>
      <c r="D79" s="1662" t="s">
        <v>2622</v>
      </c>
      <c r="E79" s="1662" t="s">
        <v>144</v>
      </c>
      <c r="F79" s="1662" t="s">
        <v>2616</v>
      </c>
      <c r="G79" s="1662" t="s">
        <v>2617</v>
      </c>
      <c r="H79" s="1662" t="s">
        <v>2618</v>
      </c>
      <c r="I79" s="1662" t="s">
        <v>713</v>
      </c>
      <c r="J79" s="1662" t="s">
        <v>393</v>
      </c>
      <c r="K79" s="1662" t="s">
        <v>2127</v>
      </c>
      <c r="L79" s="1662" t="s">
        <v>2109</v>
      </c>
      <c r="M79" s="1663"/>
      <c r="N79" s="1663"/>
      <c r="O79" s="1663"/>
      <c r="P79" s="1663"/>
      <c r="Q79" s="1663"/>
      <c r="R79" s="1663"/>
      <c r="S79" s="1663"/>
      <c r="T79" s="1663"/>
      <c r="U79" s="1663"/>
      <c r="V79" s="1663"/>
      <c r="W79" s="1663"/>
      <c r="X79" s="1663"/>
      <c r="Y79" s="1664">
        <v>43067</v>
      </c>
      <c r="Z79" s="1662" t="s">
        <v>2110</v>
      </c>
      <c r="AA79" s="1665">
        <v>0</v>
      </c>
      <c r="AB79" s="1665">
        <v>0</v>
      </c>
      <c r="AC79" s="1680">
        <v>0</v>
      </c>
      <c r="AD79" s="1682">
        <v>43087</v>
      </c>
      <c r="AE79" s="1679" t="s">
        <v>2129</v>
      </c>
      <c r="AF79" s="1662" t="s">
        <v>2112</v>
      </c>
      <c r="AG79" s="1666"/>
      <c r="AH79" s="1667">
        <v>309979.08</v>
      </c>
      <c r="AI79" s="1665">
        <v>136840.09</v>
      </c>
      <c r="AJ79" s="1665">
        <v>136840.09</v>
      </c>
      <c r="AK79" s="1698">
        <v>136840.09</v>
      </c>
      <c r="AL79" s="1665">
        <v>0</v>
      </c>
      <c r="AM79" s="1664">
        <v>43087</v>
      </c>
      <c r="AN79" s="1665">
        <v>309979.08</v>
      </c>
      <c r="AO79" s="1665">
        <v>136840.09</v>
      </c>
      <c r="AP79" s="1665">
        <v>136840.09</v>
      </c>
      <c r="AQ79" s="1665">
        <v>136840.09</v>
      </c>
      <c r="AR79" s="1665">
        <v>0</v>
      </c>
      <c r="AS79" s="1665">
        <v>173138.99</v>
      </c>
      <c r="AT79" s="1665">
        <v>0</v>
      </c>
      <c r="AU79" s="1665">
        <v>0</v>
      </c>
      <c r="AV79" s="1665">
        <v>0</v>
      </c>
      <c r="AW79" s="1665">
        <v>173138.99</v>
      </c>
      <c r="AX79" s="1663"/>
      <c r="AY79" s="1663"/>
      <c r="AZ79" s="1663"/>
      <c r="BA79" s="1668"/>
      <c r="BB79" s="1668"/>
      <c r="BC79" s="1663"/>
      <c r="BD79" s="1663"/>
      <c r="BE79" s="1665">
        <v>309979.08</v>
      </c>
      <c r="BF79" s="1665">
        <v>136840.09</v>
      </c>
      <c r="BG79" s="1665">
        <v>136840.09</v>
      </c>
      <c r="BH79" s="1665">
        <v>136840.09</v>
      </c>
      <c r="BI79" s="1665">
        <v>0</v>
      </c>
      <c r="BJ79" s="1665">
        <v>173138.99</v>
      </c>
      <c r="BK79" s="1665">
        <v>0</v>
      </c>
      <c r="BL79" s="1665">
        <v>0</v>
      </c>
      <c r="BM79" s="1665">
        <v>0</v>
      </c>
      <c r="BN79" s="1665">
        <v>173138.99</v>
      </c>
      <c r="BO79" s="1664">
        <v>43189</v>
      </c>
      <c r="BP79" s="1665">
        <v>309979.08</v>
      </c>
      <c r="BQ79" s="1665">
        <v>136840.09</v>
      </c>
      <c r="BR79" s="1665">
        <v>136840.09</v>
      </c>
      <c r="BS79" s="1667">
        <v>136840.09</v>
      </c>
      <c r="BT79" s="1665">
        <v>0</v>
      </c>
      <c r="BU79" s="1665">
        <v>173138.99</v>
      </c>
      <c r="BV79" s="1665">
        <v>0</v>
      </c>
      <c r="BW79" s="1665">
        <v>0</v>
      </c>
      <c r="BX79" s="1665">
        <v>0</v>
      </c>
      <c r="BY79" s="1665">
        <v>173138.99</v>
      </c>
      <c r="BZ79" s="1665">
        <v>0</v>
      </c>
      <c r="CA79" s="1663"/>
      <c r="CB79" s="1668"/>
      <c r="CC79" s="1668"/>
      <c r="CD79" s="1663"/>
      <c r="CE79" s="1663"/>
      <c r="CF79" s="1665">
        <v>0</v>
      </c>
      <c r="CG79" s="1665">
        <v>0</v>
      </c>
      <c r="CH79" s="1665">
        <v>0</v>
      </c>
      <c r="CI79" s="1665">
        <v>0</v>
      </c>
      <c r="CJ79" s="1665">
        <v>0</v>
      </c>
      <c r="CK79" s="1665">
        <v>0</v>
      </c>
      <c r="CL79" s="1668"/>
      <c r="CM79" s="1665">
        <v>0</v>
      </c>
      <c r="CN79" s="1665">
        <v>0</v>
      </c>
      <c r="CO79" s="1665">
        <v>0</v>
      </c>
      <c r="CP79" s="1665">
        <v>0</v>
      </c>
      <c r="CQ79" s="1665">
        <v>0</v>
      </c>
      <c r="CR79" s="1665">
        <v>0</v>
      </c>
      <c r="CS79" s="1665">
        <v>0</v>
      </c>
      <c r="CT79" s="1665">
        <v>0</v>
      </c>
      <c r="CU79" s="1665">
        <v>0</v>
      </c>
      <c r="CV79" s="1665">
        <v>0</v>
      </c>
      <c r="CW79" s="1668"/>
      <c r="CX79" s="1663"/>
      <c r="CY79" s="1663"/>
      <c r="CZ79" s="1663"/>
      <c r="DA79" s="1663"/>
      <c r="DB79" s="1668"/>
      <c r="DC79" s="1662"/>
      <c r="DD79" s="1665">
        <v>0</v>
      </c>
      <c r="DE79" s="1663"/>
      <c r="DF79" s="1663"/>
      <c r="DG79" s="1665">
        <v>0</v>
      </c>
      <c r="DH79" s="1665">
        <v>0</v>
      </c>
    </row>
    <row r="80" spans="1:112" ht="45" hidden="1" x14ac:dyDescent="0.25">
      <c r="A80" s="1662" t="s">
        <v>2073</v>
      </c>
      <c r="B80" s="1662" t="s">
        <v>1719</v>
      </c>
      <c r="C80" s="1662" t="s">
        <v>2621</v>
      </c>
      <c r="D80" s="1662" t="s">
        <v>2622</v>
      </c>
      <c r="E80" s="1662" t="s">
        <v>144</v>
      </c>
      <c r="F80" s="1662" t="s">
        <v>2616</v>
      </c>
      <c r="G80" s="1662" t="s">
        <v>2617</v>
      </c>
      <c r="H80" s="1662" t="s">
        <v>2618</v>
      </c>
      <c r="I80" s="1662" t="s">
        <v>713</v>
      </c>
      <c r="J80" s="1662" t="s">
        <v>393</v>
      </c>
      <c r="K80" s="1662" t="s">
        <v>2127</v>
      </c>
      <c r="L80" s="1662" t="s">
        <v>2109</v>
      </c>
      <c r="M80" s="1663"/>
      <c r="N80" s="1663"/>
      <c r="O80" s="1663"/>
      <c r="P80" s="1663"/>
      <c r="Q80" s="1663"/>
      <c r="R80" s="1663"/>
      <c r="S80" s="1663"/>
      <c r="T80" s="1663"/>
      <c r="U80" s="1663"/>
      <c r="V80" s="1663"/>
      <c r="W80" s="1663"/>
      <c r="X80" s="1663"/>
      <c r="Y80" s="1664">
        <v>43110</v>
      </c>
      <c r="Z80" s="1662" t="s">
        <v>2110</v>
      </c>
      <c r="AA80" s="1665">
        <v>0</v>
      </c>
      <c r="AB80" s="1665">
        <v>0</v>
      </c>
      <c r="AC80" s="1680">
        <v>0</v>
      </c>
      <c r="AD80" s="1682">
        <v>43130</v>
      </c>
      <c r="AE80" s="1679" t="s">
        <v>2130</v>
      </c>
      <c r="AF80" s="1662" t="s">
        <v>2115</v>
      </c>
      <c r="AG80" s="1666"/>
      <c r="AH80" s="1667">
        <v>209953.91</v>
      </c>
      <c r="AI80" s="1665">
        <v>92684.03</v>
      </c>
      <c r="AJ80" s="1665">
        <v>92684.04</v>
      </c>
      <c r="AK80" s="1698">
        <v>92684.04</v>
      </c>
      <c r="AL80" s="1665">
        <v>0</v>
      </c>
      <c r="AM80" s="1664">
        <v>43133</v>
      </c>
      <c r="AN80" s="1665">
        <v>209953.91</v>
      </c>
      <c r="AO80" s="1665">
        <v>92684.04</v>
      </c>
      <c r="AP80" s="1665">
        <v>92684.04</v>
      </c>
      <c r="AQ80" s="1665">
        <v>92684.04</v>
      </c>
      <c r="AR80" s="1665">
        <v>0</v>
      </c>
      <c r="AS80" s="1665">
        <v>117269.87</v>
      </c>
      <c r="AT80" s="1665">
        <v>0</v>
      </c>
      <c r="AU80" s="1665">
        <v>0</v>
      </c>
      <c r="AV80" s="1665">
        <v>0</v>
      </c>
      <c r="AW80" s="1665">
        <v>117269.87</v>
      </c>
      <c r="AX80" s="1663"/>
      <c r="AY80" s="1663"/>
      <c r="AZ80" s="1663"/>
      <c r="BA80" s="1668"/>
      <c r="BB80" s="1668"/>
      <c r="BC80" s="1663"/>
      <c r="BD80" s="1663"/>
      <c r="BE80" s="1665">
        <v>209953.91</v>
      </c>
      <c r="BF80" s="1665">
        <v>92684.04</v>
      </c>
      <c r="BG80" s="1665">
        <v>92684.04</v>
      </c>
      <c r="BH80" s="1665">
        <v>92684.04</v>
      </c>
      <c r="BI80" s="1665">
        <v>0</v>
      </c>
      <c r="BJ80" s="1665">
        <v>117269.87</v>
      </c>
      <c r="BK80" s="1665">
        <v>0</v>
      </c>
      <c r="BL80" s="1665">
        <v>0</v>
      </c>
      <c r="BM80" s="1665">
        <v>0</v>
      </c>
      <c r="BN80" s="1665">
        <v>117269.87</v>
      </c>
      <c r="BO80" s="1664">
        <v>43230</v>
      </c>
      <c r="BP80" s="1665">
        <v>209953.91</v>
      </c>
      <c r="BQ80" s="1665">
        <v>92684.04</v>
      </c>
      <c r="BR80" s="1665">
        <v>92684.04</v>
      </c>
      <c r="BS80" s="1667">
        <v>92684.04</v>
      </c>
      <c r="BT80" s="1665">
        <v>0</v>
      </c>
      <c r="BU80" s="1665">
        <v>117269.87</v>
      </c>
      <c r="BV80" s="1665">
        <v>0</v>
      </c>
      <c r="BW80" s="1665">
        <v>0</v>
      </c>
      <c r="BX80" s="1665">
        <v>0</v>
      </c>
      <c r="BY80" s="1665">
        <v>117269.87</v>
      </c>
      <c r="BZ80" s="1665">
        <v>0</v>
      </c>
      <c r="CA80" s="1663"/>
      <c r="CB80" s="1668"/>
      <c r="CC80" s="1668"/>
      <c r="CD80" s="1663"/>
      <c r="CE80" s="1663"/>
      <c r="CF80" s="1665">
        <v>0</v>
      </c>
      <c r="CG80" s="1665">
        <v>0</v>
      </c>
      <c r="CH80" s="1665">
        <v>0</v>
      </c>
      <c r="CI80" s="1665">
        <v>0</v>
      </c>
      <c r="CJ80" s="1665">
        <v>0</v>
      </c>
      <c r="CK80" s="1665">
        <v>0</v>
      </c>
      <c r="CL80" s="1668"/>
      <c r="CM80" s="1665">
        <v>0</v>
      </c>
      <c r="CN80" s="1665">
        <v>0</v>
      </c>
      <c r="CO80" s="1665">
        <v>0</v>
      </c>
      <c r="CP80" s="1665">
        <v>0</v>
      </c>
      <c r="CQ80" s="1665">
        <v>0</v>
      </c>
      <c r="CR80" s="1665">
        <v>0</v>
      </c>
      <c r="CS80" s="1665">
        <v>0</v>
      </c>
      <c r="CT80" s="1665">
        <v>0</v>
      </c>
      <c r="CU80" s="1665">
        <v>0</v>
      </c>
      <c r="CV80" s="1665">
        <v>0</v>
      </c>
      <c r="CW80" s="1668"/>
      <c r="CX80" s="1663"/>
      <c r="CY80" s="1663"/>
      <c r="CZ80" s="1663"/>
      <c r="DA80" s="1663"/>
      <c r="DB80" s="1668"/>
      <c r="DC80" s="1662"/>
      <c r="DD80" s="1665">
        <v>0</v>
      </c>
      <c r="DE80" s="1663"/>
      <c r="DF80" s="1663"/>
      <c r="DG80" s="1665">
        <v>0</v>
      </c>
      <c r="DH80" s="1665">
        <v>0</v>
      </c>
    </row>
    <row r="81" spans="1:112" ht="45" hidden="1" x14ac:dyDescent="0.25">
      <c r="A81" s="1662" t="s">
        <v>2147</v>
      </c>
      <c r="B81" s="1662" t="s">
        <v>1719</v>
      </c>
      <c r="C81" s="1662" t="s">
        <v>2621</v>
      </c>
      <c r="D81" s="1662" t="s">
        <v>2622</v>
      </c>
      <c r="E81" s="1662" t="s">
        <v>144</v>
      </c>
      <c r="F81" s="1662" t="s">
        <v>2616</v>
      </c>
      <c r="G81" s="1662" t="s">
        <v>2617</v>
      </c>
      <c r="H81" s="1662" t="s">
        <v>2618</v>
      </c>
      <c r="I81" s="1662" t="s">
        <v>713</v>
      </c>
      <c r="J81" s="1662" t="s">
        <v>393</v>
      </c>
      <c r="K81" s="1662" t="s">
        <v>2127</v>
      </c>
      <c r="L81" s="1662" t="s">
        <v>2109</v>
      </c>
      <c r="M81" s="1663"/>
      <c r="N81" s="1663"/>
      <c r="O81" s="1663"/>
      <c r="P81" s="1663"/>
      <c r="Q81" s="1663"/>
      <c r="R81" s="1663"/>
      <c r="S81" s="1663"/>
      <c r="T81" s="1663"/>
      <c r="U81" s="1663"/>
      <c r="V81" s="1663"/>
      <c r="W81" s="1663"/>
      <c r="X81" s="1663"/>
      <c r="Y81" s="1664">
        <v>43171</v>
      </c>
      <c r="Z81" s="1662" t="s">
        <v>2110</v>
      </c>
      <c r="AA81" s="1665">
        <v>0</v>
      </c>
      <c r="AB81" s="1665">
        <v>0</v>
      </c>
      <c r="AC81" s="1680">
        <v>0</v>
      </c>
      <c r="AD81" s="1682">
        <v>43196</v>
      </c>
      <c r="AE81" s="1679" t="s">
        <v>2137</v>
      </c>
      <c r="AF81" s="1662" t="s">
        <v>2115</v>
      </c>
      <c r="AG81" s="1666"/>
      <c r="AH81" s="1667">
        <v>80414.64</v>
      </c>
      <c r="AI81" s="1665">
        <v>35499</v>
      </c>
      <c r="AJ81" s="1665">
        <v>35499</v>
      </c>
      <c r="AK81" s="1698">
        <v>35499</v>
      </c>
      <c r="AL81" s="1665">
        <v>0</v>
      </c>
      <c r="AM81" s="1664">
        <v>43199</v>
      </c>
      <c r="AN81" s="1665">
        <v>80414.64</v>
      </c>
      <c r="AO81" s="1665">
        <v>35499</v>
      </c>
      <c r="AP81" s="1665">
        <v>35499</v>
      </c>
      <c r="AQ81" s="1665">
        <v>35499</v>
      </c>
      <c r="AR81" s="1665">
        <v>0</v>
      </c>
      <c r="AS81" s="1665">
        <v>44915.64</v>
      </c>
      <c r="AT81" s="1665">
        <v>0</v>
      </c>
      <c r="AU81" s="1665">
        <v>0</v>
      </c>
      <c r="AV81" s="1665">
        <v>0</v>
      </c>
      <c r="AW81" s="1665">
        <v>44915.64</v>
      </c>
      <c r="AX81" s="1663"/>
      <c r="AY81" s="1663"/>
      <c r="AZ81" s="1663"/>
      <c r="BA81" s="1668"/>
      <c r="BB81" s="1668"/>
      <c r="BC81" s="1663"/>
      <c r="BD81" s="1663"/>
      <c r="BE81" s="1665">
        <v>80414.64</v>
      </c>
      <c r="BF81" s="1665">
        <v>35499</v>
      </c>
      <c r="BG81" s="1665">
        <v>35499</v>
      </c>
      <c r="BH81" s="1665">
        <v>35499</v>
      </c>
      <c r="BI81" s="1665">
        <v>0</v>
      </c>
      <c r="BJ81" s="1665">
        <v>44915.64</v>
      </c>
      <c r="BK81" s="1665">
        <v>0</v>
      </c>
      <c r="BL81" s="1665">
        <v>0</v>
      </c>
      <c r="BM81" s="1665">
        <v>0</v>
      </c>
      <c r="BN81" s="1665">
        <v>44915.64</v>
      </c>
      <c r="BO81" s="1664">
        <v>43355</v>
      </c>
      <c r="BP81" s="1665">
        <v>80414.64</v>
      </c>
      <c r="BQ81" s="1665">
        <v>35499</v>
      </c>
      <c r="BR81" s="1665">
        <v>35499</v>
      </c>
      <c r="BS81" s="1667">
        <v>35499</v>
      </c>
      <c r="BT81" s="1665">
        <v>0</v>
      </c>
      <c r="BU81" s="1665">
        <v>44915.64</v>
      </c>
      <c r="BV81" s="1665">
        <v>0</v>
      </c>
      <c r="BW81" s="1665">
        <v>0</v>
      </c>
      <c r="BX81" s="1665">
        <v>0</v>
      </c>
      <c r="BY81" s="1665">
        <v>44915.64</v>
      </c>
      <c r="BZ81" s="1665">
        <v>0</v>
      </c>
      <c r="CA81" s="1663"/>
      <c r="CB81" s="1668"/>
      <c r="CC81" s="1668"/>
      <c r="CD81" s="1663"/>
      <c r="CE81" s="1663"/>
      <c r="CF81" s="1665">
        <v>0</v>
      </c>
      <c r="CG81" s="1665">
        <v>0</v>
      </c>
      <c r="CH81" s="1665">
        <v>0</v>
      </c>
      <c r="CI81" s="1665">
        <v>0</v>
      </c>
      <c r="CJ81" s="1665">
        <v>0</v>
      </c>
      <c r="CK81" s="1665">
        <v>0</v>
      </c>
      <c r="CL81" s="1668"/>
      <c r="CM81" s="1665">
        <v>0</v>
      </c>
      <c r="CN81" s="1665">
        <v>0</v>
      </c>
      <c r="CO81" s="1665">
        <v>0</v>
      </c>
      <c r="CP81" s="1665">
        <v>0</v>
      </c>
      <c r="CQ81" s="1665">
        <v>0</v>
      </c>
      <c r="CR81" s="1665">
        <v>0</v>
      </c>
      <c r="CS81" s="1665">
        <v>0</v>
      </c>
      <c r="CT81" s="1665">
        <v>0</v>
      </c>
      <c r="CU81" s="1665">
        <v>0</v>
      </c>
      <c r="CV81" s="1665">
        <v>0</v>
      </c>
      <c r="CW81" s="1668"/>
      <c r="CX81" s="1663"/>
      <c r="CY81" s="1663"/>
      <c r="CZ81" s="1663"/>
      <c r="DA81" s="1663"/>
      <c r="DB81" s="1668"/>
      <c r="DC81" s="1662"/>
      <c r="DD81" s="1665">
        <v>0</v>
      </c>
      <c r="DE81" s="1663"/>
      <c r="DF81" s="1663"/>
      <c r="DG81" s="1665">
        <v>0</v>
      </c>
      <c r="DH81" s="1665">
        <v>0</v>
      </c>
    </row>
    <row r="82" spans="1:112" ht="45" hidden="1" x14ac:dyDescent="0.25">
      <c r="A82" s="1662" t="s">
        <v>2148</v>
      </c>
      <c r="B82" s="1662" t="s">
        <v>1719</v>
      </c>
      <c r="C82" s="1662" t="s">
        <v>2621</v>
      </c>
      <c r="D82" s="1662" t="s">
        <v>2622</v>
      </c>
      <c r="E82" s="1662" t="s">
        <v>144</v>
      </c>
      <c r="F82" s="1662" t="s">
        <v>2616</v>
      </c>
      <c r="G82" s="1662" t="s">
        <v>2617</v>
      </c>
      <c r="H82" s="1662" t="s">
        <v>2618</v>
      </c>
      <c r="I82" s="1662" t="s">
        <v>713</v>
      </c>
      <c r="J82" s="1662" t="s">
        <v>393</v>
      </c>
      <c r="K82" s="1662" t="s">
        <v>2127</v>
      </c>
      <c r="L82" s="1662" t="s">
        <v>2109</v>
      </c>
      <c r="M82" s="1663"/>
      <c r="N82" s="1663"/>
      <c r="O82" s="1663"/>
      <c r="P82" s="1663"/>
      <c r="Q82" s="1663"/>
      <c r="R82" s="1663"/>
      <c r="S82" s="1663"/>
      <c r="T82" s="1663"/>
      <c r="U82" s="1663"/>
      <c r="V82" s="1663"/>
      <c r="W82" s="1663"/>
      <c r="X82" s="1663"/>
      <c r="Y82" s="1664">
        <v>43235</v>
      </c>
      <c r="Z82" s="1662" t="s">
        <v>2110</v>
      </c>
      <c r="AA82" s="1665">
        <v>0</v>
      </c>
      <c r="AB82" s="1665">
        <v>0</v>
      </c>
      <c r="AC82" s="1680">
        <v>0</v>
      </c>
      <c r="AD82" s="1682">
        <v>43255</v>
      </c>
      <c r="AE82" s="1679" t="s">
        <v>2131</v>
      </c>
      <c r="AF82" s="1662" t="s">
        <v>2112</v>
      </c>
      <c r="AG82" s="1666"/>
      <c r="AH82" s="1667">
        <v>0</v>
      </c>
      <c r="AI82" s="1665">
        <v>0</v>
      </c>
      <c r="AJ82" s="1665">
        <v>0</v>
      </c>
      <c r="AK82" s="1698">
        <v>0</v>
      </c>
      <c r="AL82" s="1665">
        <v>0</v>
      </c>
      <c r="AM82" s="1668"/>
      <c r="AN82" s="1665">
        <v>0</v>
      </c>
      <c r="AO82" s="1665">
        <v>0</v>
      </c>
      <c r="AP82" s="1665">
        <v>0</v>
      </c>
      <c r="AQ82" s="1665">
        <v>0</v>
      </c>
      <c r="AR82" s="1665">
        <v>0</v>
      </c>
      <c r="AS82" s="1665">
        <v>0</v>
      </c>
      <c r="AT82" s="1665">
        <v>0</v>
      </c>
      <c r="AU82" s="1665">
        <v>0</v>
      </c>
      <c r="AV82" s="1665">
        <v>0</v>
      </c>
      <c r="AW82" s="1665">
        <v>0</v>
      </c>
      <c r="AX82" s="1663"/>
      <c r="AY82" s="1663"/>
      <c r="AZ82" s="1663"/>
      <c r="BA82" s="1668"/>
      <c r="BB82" s="1668"/>
      <c r="BC82" s="1663"/>
      <c r="BD82" s="1663"/>
      <c r="BE82" s="1665">
        <v>0</v>
      </c>
      <c r="BF82" s="1665">
        <v>0</v>
      </c>
      <c r="BG82" s="1665">
        <v>0</v>
      </c>
      <c r="BH82" s="1665">
        <v>0</v>
      </c>
      <c r="BI82" s="1665">
        <v>0</v>
      </c>
      <c r="BJ82" s="1665">
        <v>0</v>
      </c>
      <c r="BK82" s="1665">
        <v>0</v>
      </c>
      <c r="BL82" s="1665">
        <v>0</v>
      </c>
      <c r="BM82" s="1665">
        <v>0</v>
      </c>
      <c r="BN82" s="1665">
        <v>0</v>
      </c>
      <c r="BO82" s="1668"/>
      <c r="BP82" s="1665">
        <v>0</v>
      </c>
      <c r="BQ82" s="1665">
        <v>0</v>
      </c>
      <c r="BR82" s="1665">
        <v>0</v>
      </c>
      <c r="BS82" s="1667">
        <v>0</v>
      </c>
      <c r="BT82" s="1665">
        <v>0</v>
      </c>
      <c r="BU82" s="1665">
        <v>0</v>
      </c>
      <c r="BV82" s="1665">
        <v>0</v>
      </c>
      <c r="BW82" s="1665">
        <v>0</v>
      </c>
      <c r="BX82" s="1665">
        <v>0</v>
      </c>
      <c r="BY82" s="1665">
        <v>0</v>
      </c>
      <c r="BZ82" s="1663"/>
      <c r="CA82" s="1663"/>
      <c r="CB82" s="1668"/>
      <c r="CC82" s="1668"/>
      <c r="CD82" s="1663"/>
      <c r="CE82" s="1663"/>
      <c r="CF82" s="1665">
        <v>0</v>
      </c>
      <c r="CG82" s="1665">
        <v>0</v>
      </c>
      <c r="CH82" s="1665">
        <v>0</v>
      </c>
      <c r="CI82" s="1665">
        <v>0</v>
      </c>
      <c r="CJ82" s="1665">
        <v>0</v>
      </c>
      <c r="CK82" s="1665">
        <v>0</v>
      </c>
      <c r="CL82" s="1668"/>
      <c r="CM82" s="1665">
        <v>0</v>
      </c>
      <c r="CN82" s="1665">
        <v>0</v>
      </c>
      <c r="CO82" s="1665">
        <v>0</v>
      </c>
      <c r="CP82" s="1665">
        <v>0</v>
      </c>
      <c r="CQ82" s="1665">
        <v>0</v>
      </c>
      <c r="CR82" s="1665">
        <v>0</v>
      </c>
      <c r="CS82" s="1665">
        <v>0</v>
      </c>
      <c r="CT82" s="1665">
        <v>0</v>
      </c>
      <c r="CU82" s="1665">
        <v>0</v>
      </c>
      <c r="CV82" s="1665">
        <v>0</v>
      </c>
      <c r="CW82" s="1668"/>
      <c r="CX82" s="1663"/>
      <c r="CY82" s="1663"/>
      <c r="CZ82" s="1663"/>
      <c r="DA82" s="1663"/>
      <c r="DB82" s="1668"/>
      <c r="DC82" s="1662"/>
      <c r="DD82" s="1665">
        <v>0</v>
      </c>
      <c r="DE82" s="1663"/>
      <c r="DF82" s="1663"/>
      <c r="DG82" s="1665">
        <v>0</v>
      </c>
      <c r="DH82" s="1665">
        <v>0</v>
      </c>
    </row>
    <row r="83" spans="1:112" ht="45" hidden="1" x14ac:dyDescent="0.25">
      <c r="A83" s="1662" t="s">
        <v>2149</v>
      </c>
      <c r="B83" s="1662" t="s">
        <v>1719</v>
      </c>
      <c r="C83" s="1662" t="s">
        <v>2621</v>
      </c>
      <c r="D83" s="1662" t="s">
        <v>2622</v>
      </c>
      <c r="E83" s="1662" t="s">
        <v>144</v>
      </c>
      <c r="F83" s="1662" t="s">
        <v>2616</v>
      </c>
      <c r="G83" s="1662" t="s">
        <v>2617</v>
      </c>
      <c r="H83" s="1662" t="s">
        <v>2618</v>
      </c>
      <c r="I83" s="1662" t="s">
        <v>713</v>
      </c>
      <c r="J83" s="1662" t="s">
        <v>393</v>
      </c>
      <c r="K83" s="1662" t="s">
        <v>2127</v>
      </c>
      <c r="L83" s="1662" t="s">
        <v>2109</v>
      </c>
      <c r="M83" s="1663"/>
      <c r="N83" s="1663"/>
      <c r="O83" s="1663"/>
      <c r="P83" s="1663"/>
      <c r="Q83" s="1663"/>
      <c r="R83" s="1663"/>
      <c r="S83" s="1663"/>
      <c r="T83" s="1663"/>
      <c r="U83" s="1663"/>
      <c r="V83" s="1663"/>
      <c r="W83" s="1663"/>
      <c r="X83" s="1663"/>
      <c r="Y83" s="1664">
        <v>43235</v>
      </c>
      <c r="Z83" s="1662" t="s">
        <v>2110</v>
      </c>
      <c r="AA83" s="1665">
        <v>0</v>
      </c>
      <c r="AB83" s="1665">
        <v>0</v>
      </c>
      <c r="AC83" s="1680">
        <v>0</v>
      </c>
      <c r="AD83" s="1682">
        <v>43259</v>
      </c>
      <c r="AE83" s="1679" t="s">
        <v>2131</v>
      </c>
      <c r="AF83" s="1662" t="s">
        <v>2115</v>
      </c>
      <c r="AG83" s="1666"/>
      <c r="AH83" s="1667">
        <v>135418.38</v>
      </c>
      <c r="AI83" s="1665">
        <v>59780.37</v>
      </c>
      <c r="AJ83" s="1665">
        <v>59780.37</v>
      </c>
      <c r="AK83" s="1698">
        <v>59780.37</v>
      </c>
      <c r="AL83" s="1665">
        <v>0</v>
      </c>
      <c r="AM83" s="1664">
        <v>43262</v>
      </c>
      <c r="AN83" s="1665">
        <v>135418.38</v>
      </c>
      <c r="AO83" s="1665">
        <v>59780.37</v>
      </c>
      <c r="AP83" s="1665">
        <v>59780.37</v>
      </c>
      <c r="AQ83" s="1665">
        <v>59780.37</v>
      </c>
      <c r="AR83" s="1665">
        <v>0</v>
      </c>
      <c r="AS83" s="1665">
        <v>75638.009999999995</v>
      </c>
      <c r="AT83" s="1665">
        <v>0</v>
      </c>
      <c r="AU83" s="1665">
        <v>0</v>
      </c>
      <c r="AV83" s="1665">
        <v>0</v>
      </c>
      <c r="AW83" s="1665">
        <v>75638.009999999995</v>
      </c>
      <c r="AX83" s="1663"/>
      <c r="AY83" s="1663"/>
      <c r="AZ83" s="1663"/>
      <c r="BA83" s="1668"/>
      <c r="BB83" s="1668"/>
      <c r="BC83" s="1663"/>
      <c r="BD83" s="1663"/>
      <c r="BE83" s="1665">
        <v>135418.38</v>
      </c>
      <c r="BF83" s="1665">
        <v>59780.37</v>
      </c>
      <c r="BG83" s="1665">
        <v>59780.37</v>
      </c>
      <c r="BH83" s="1665">
        <v>59780.37</v>
      </c>
      <c r="BI83" s="1665">
        <v>0</v>
      </c>
      <c r="BJ83" s="1665">
        <v>75638.009999999995</v>
      </c>
      <c r="BK83" s="1665">
        <v>0</v>
      </c>
      <c r="BL83" s="1665">
        <v>0</v>
      </c>
      <c r="BM83" s="1665">
        <v>0</v>
      </c>
      <c r="BN83" s="1665">
        <v>75638.009999999995</v>
      </c>
      <c r="BO83" s="1664">
        <v>43355</v>
      </c>
      <c r="BP83" s="1665">
        <v>135418.38</v>
      </c>
      <c r="BQ83" s="1665">
        <v>59780.37</v>
      </c>
      <c r="BR83" s="1665">
        <v>59780.37</v>
      </c>
      <c r="BS83" s="1667">
        <v>59780.37</v>
      </c>
      <c r="BT83" s="1665">
        <v>0</v>
      </c>
      <c r="BU83" s="1665">
        <v>75638.009999999995</v>
      </c>
      <c r="BV83" s="1665">
        <v>0</v>
      </c>
      <c r="BW83" s="1665">
        <v>0</v>
      </c>
      <c r="BX83" s="1665">
        <v>0</v>
      </c>
      <c r="BY83" s="1665">
        <v>75638.009999999995</v>
      </c>
      <c r="BZ83" s="1665">
        <v>0</v>
      </c>
      <c r="CA83" s="1663"/>
      <c r="CB83" s="1668"/>
      <c r="CC83" s="1668"/>
      <c r="CD83" s="1663"/>
      <c r="CE83" s="1663"/>
      <c r="CF83" s="1665">
        <v>0</v>
      </c>
      <c r="CG83" s="1665">
        <v>0</v>
      </c>
      <c r="CH83" s="1665">
        <v>0</v>
      </c>
      <c r="CI83" s="1665">
        <v>0</v>
      </c>
      <c r="CJ83" s="1665">
        <v>0</v>
      </c>
      <c r="CK83" s="1665">
        <v>0</v>
      </c>
      <c r="CL83" s="1668"/>
      <c r="CM83" s="1665">
        <v>0</v>
      </c>
      <c r="CN83" s="1665">
        <v>0</v>
      </c>
      <c r="CO83" s="1665">
        <v>0</v>
      </c>
      <c r="CP83" s="1665">
        <v>0</v>
      </c>
      <c r="CQ83" s="1665">
        <v>0</v>
      </c>
      <c r="CR83" s="1665">
        <v>0</v>
      </c>
      <c r="CS83" s="1665">
        <v>0</v>
      </c>
      <c r="CT83" s="1665">
        <v>0</v>
      </c>
      <c r="CU83" s="1665">
        <v>0</v>
      </c>
      <c r="CV83" s="1665">
        <v>0</v>
      </c>
      <c r="CW83" s="1668"/>
      <c r="CX83" s="1663"/>
      <c r="CY83" s="1663"/>
      <c r="CZ83" s="1663"/>
      <c r="DA83" s="1663"/>
      <c r="DB83" s="1668"/>
      <c r="DC83" s="1662"/>
      <c r="DD83" s="1665">
        <v>0</v>
      </c>
      <c r="DE83" s="1663"/>
      <c r="DF83" s="1663"/>
      <c r="DG83" s="1665">
        <v>0</v>
      </c>
      <c r="DH83" s="1665">
        <v>0</v>
      </c>
    </row>
    <row r="84" spans="1:112" ht="45" hidden="1" x14ac:dyDescent="0.25">
      <c r="A84" s="1662" t="s">
        <v>2077</v>
      </c>
      <c r="B84" s="1662" t="s">
        <v>1719</v>
      </c>
      <c r="C84" s="1662" t="s">
        <v>2621</v>
      </c>
      <c r="D84" s="1662" t="s">
        <v>2622</v>
      </c>
      <c r="E84" s="1662" t="s">
        <v>144</v>
      </c>
      <c r="F84" s="1662" t="s">
        <v>2616</v>
      </c>
      <c r="G84" s="1662" t="s">
        <v>2617</v>
      </c>
      <c r="H84" s="1662" t="s">
        <v>2618</v>
      </c>
      <c r="I84" s="1662" t="s">
        <v>713</v>
      </c>
      <c r="J84" s="1662" t="s">
        <v>393</v>
      </c>
      <c r="K84" s="1662" t="s">
        <v>2127</v>
      </c>
      <c r="L84" s="1662" t="s">
        <v>2109</v>
      </c>
      <c r="M84" s="1663"/>
      <c r="N84" s="1663"/>
      <c r="O84" s="1663"/>
      <c r="P84" s="1663"/>
      <c r="Q84" s="1663"/>
      <c r="R84" s="1663"/>
      <c r="S84" s="1663"/>
      <c r="T84" s="1663"/>
      <c r="U84" s="1663"/>
      <c r="V84" s="1663"/>
      <c r="W84" s="1663"/>
      <c r="X84" s="1663"/>
      <c r="Y84" s="1664">
        <v>43313</v>
      </c>
      <c r="Z84" s="1662" t="s">
        <v>2110</v>
      </c>
      <c r="AA84" s="1665">
        <v>0</v>
      </c>
      <c r="AB84" s="1665">
        <v>0</v>
      </c>
      <c r="AC84" s="1680">
        <v>0</v>
      </c>
      <c r="AD84" s="1682">
        <v>43333</v>
      </c>
      <c r="AE84" s="1679" t="s">
        <v>2132</v>
      </c>
      <c r="AF84" s="1662" t="s">
        <v>2115</v>
      </c>
      <c r="AG84" s="1666"/>
      <c r="AH84" s="1667">
        <v>212269.23</v>
      </c>
      <c r="AI84" s="1665">
        <v>93706.13</v>
      </c>
      <c r="AJ84" s="1665">
        <v>93706.13</v>
      </c>
      <c r="AK84" s="1698">
        <v>93706.13</v>
      </c>
      <c r="AL84" s="1665">
        <v>0</v>
      </c>
      <c r="AM84" s="1664">
        <v>43335</v>
      </c>
      <c r="AN84" s="1665">
        <v>212269.23</v>
      </c>
      <c r="AO84" s="1665">
        <v>93706.13</v>
      </c>
      <c r="AP84" s="1665">
        <v>93706.13</v>
      </c>
      <c r="AQ84" s="1665">
        <v>93706.13</v>
      </c>
      <c r="AR84" s="1665">
        <v>0</v>
      </c>
      <c r="AS84" s="1665">
        <v>118563.1</v>
      </c>
      <c r="AT84" s="1665">
        <v>0</v>
      </c>
      <c r="AU84" s="1665">
        <v>0</v>
      </c>
      <c r="AV84" s="1665">
        <v>0</v>
      </c>
      <c r="AW84" s="1665">
        <v>118563.1</v>
      </c>
      <c r="AX84" s="1663"/>
      <c r="AY84" s="1663"/>
      <c r="AZ84" s="1663"/>
      <c r="BA84" s="1668"/>
      <c r="BB84" s="1668"/>
      <c r="BC84" s="1663"/>
      <c r="BD84" s="1663"/>
      <c r="BE84" s="1665">
        <v>212269.23</v>
      </c>
      <c r="BF84" s="1665">
        <v>93706.13</v>
      </c>
      <c r="BG84" s="1665">
        <v>93706.13</v>
      </c>
      <c r="BH84" s="1665">
        <v>93706.13</v>
      </c>
      <c r="BI84" s="1665">
        <v>0</v>
      </c>
      <c r="BJ84" s="1665">
        <v>118563.1</v>
      </c>
      <c r="BK84" s="1665">
        <v>0</v>
      </c>
      <c r="BL84" s="1665">
        <v>0</v>
      </c>
      <c r="BM84" s="1665">
        <v>0</v>
      </c>
      <c r="BN84" s="1665">
        <v>118563.1</v>
      </c>
      <c r="BO84" s="1668"/>
      <c r="BP84" s="1665">
        <v>0</v>
      </c>
      <c r="BQ84" s="1665">
        <v>0</v>
      </c>
      <c r="BR84" s="1665">
        <v>0</v>
      </c>
      <c r="BS84" s="1667">
        <v>0</v>
      </c>
      <c r="BT84" s="1665">
        <v>0</v>
      </c>
      <c r="BU84" s="1665">
        <v>0</v>
      </c>
      <c r="BV84" s="1665">
        <v>0</v>
      </c>
      <c r="BW84" s="1665">
        <v>0</v>
      </c>
      <c r="BX84" s="1665">
        <v>0</v>
      </c>
      <c r="BY84" s="1665">
        <v>0</v>
      </c>
      <c r="BZ84" s="1665">
        <v>0</v>
      </c>
      <c r="CA84" s="1663"/>
      <c r="CB84" s="1668"/>
      <c r="CC84" s="1668"/>
      <c r="CD84" s="1663"/>
      <c r="CE84" s="1663"/>
      <c r="CF84" s="1665">
        <v>0</v>
      </c>
      <c r="CG84" s="1665">
        <v>0</v>
      </c>
      <c r="CH84" s="1665">
        <v>0</v>
      </c>
      <c r="CI84" s="1665">
        <v>0</v>
      </c>
      <c r="CJ84" s="1665">
        <v>0</v>
      </c>
      <c r="CK84" s="1665">
        <v>0</v>
      </c>
      <c r="CL84" s="1668"/>
      <c r="CM84" s="1665">
        <v>0</v>
      </c>
      <c r="CN84" s="1665">
        <v>0</v>
      </c>
      <c r="CO84" s="1665">
        <v>0</v>
      </c>
      <c r="CP84" s="1665">
        <v>0</v>
      </c>
      <c r="CQ84" s="1665">
        <v>0</v>
      </c>
      <c r="CR84" s="1665">
        <v>0</v>
      </c>
      <c r="CS84" s="1665">
        <v>0</v>
      </c>
      <c r="CT84" s="1665">
        <v>0</v>
      </c>
      <c r="CU84" s="1665">
        <v>0</v>
      </c>
      <c r="CV84" s="1665">
        <v>0</v>
      </c>
      <c r="CW84" s="1668"/>
      <c r="CX84" s="1663"/>
      <c r="CY84" s="1663"/>
      <c r="CZ84" s="1663"/>
      <c r="DA84" s="1663"/>
      <c r="DB84" s="1668"/>
      <c r="DC84" s="1662"/>
      <c r="DD84" s="1665">
        <v>0</v>
      </c>
      <c r="DE84" s="1663"/>
      <c r="DF84" s="1663"/>
      <c r="DG84" s="1665">
        <v>0</v>
      </c>
      <c r="DH84" s="1665">
        <v>0</v>
      </c>
    </row>
    <row r="85" spans="1:112" ht="45" hidden="1" x14ac:dyDescent="0.25">
      <c r="A85" s="1662" t="s">
        <v>2078</v>
      </c>
      <c r="B85" s="1662" t="s">
        <v>1719</v>
      </c>
      <c r="C85" s="1662" t="s">
        <v>2621</v>
      </c>
      <c r="D85" s="1662" t="s">
        <v>2622</v>
      </c>
      <c r="E85" s="1662" t="s">
        <v>144</v>
      </c>
      <c r="F85" s="1662" t="s">
        <v>2616</v>
      </c>
      <c r="G85" s="1662" t="s">
        <v>2617</v>
      </c>
      <c r="H85" s="1662" t="s">
        <v>2618</v>
      </c>
      <c r="I85" s="1662" t="s">
        <v>713</v>
      </c>
      <c r="J85" s="1662" t="s">
        <v>393</v>
      </c>
      <c r="K85" s="1662" t="s">
        <v>2127</v>
      </c>
      <c r="L85" s="1662" t="s">
        <v>2109</v>
      </c>
      <c r="M85" s="1663"/>
      <c r="N85" s="1663"/>
      <c r="O85" s="1663"/>
      <c r="P85" s="1663"/>
      <c r="Q85" s="1663"/>
      <c r="R85" s="1663"/>
      <c r="S85" s="1663"/>
      <c r="T85" s="1663"/>
      <c r="U85" s="1663"/>
      <c r="V85" s="1663"/>
      <c r="W85" s="1663"/>
      <c r="X85" s="1663"/>
      <c r="Y85" s="1664">
        <v>43368</v>
      </c>
      <c r="Z85" s="1662" t="s">
        <v>2110</v>
      </c>
      <c r="AA85" s="1665">
        <v>0</v>
      </c>
      <c r="AB85" s="1665">
        <v>0</v>
      </c>
      <c r="AC85" s="1680">
        <v>0</v>
      </c>
      <c r="AD85" s="1682">
        <v>43392</v>
      </c>
      <c r="AE85" s="1679" t="s">
        <v>2133</v>
      </c>
      <c r="AF85" s="1662" t="s">
        <v>2115</v>
      </c>
      <c r="AG85" s="1666"/>
      <c r="AH85" s="1667">
        <v>270240.74</v>
      </c>
      <c r="AI85" s="1665">
        <v>119297.62</v>
      </c>
      <c r="AJ85" s="1665">
        <v>119297.62</v>
      </c>
      <c r="AK85" s="1698">
        <v>119297.62</v>
      </c>
      <c r="AL85" s="1665">
        <v>0</v>
      </c>
      <c r="AM85" s="1668"/>
      <c r="AN85" s="1665">
        <v>0</v>
      </c>
      <c r="AO85" s="1665">
        <v>0</v>
      </c>
      <c r="AP85" s="1665">
        <v>0</v>
      </c>
      <c r="AQ85" s="1665">
        <v>0</v>
      </c>
      <c r="AR85" s="1665">
        <v>0</v>
      </c>
      <c r="AS85" s="1665">
        <v>0</v>
      </c>
      <c r="AT85" s="1665">
        <v>0</v>
      </c>
      <c r="AU85" s="1665">
        <v>0</v>
      </c>
      <c r="AV85" s="1665">
        <v>0</v>
      </c>
      <c r="AW85" s="1665">
        <v>0</v>
      </c>
      <c r="AX85" s="1663"/>
      <c r="AY85" s="1663"/>
      <c r="AZ85" s="1663"/>
      <c r="BA85" s="1668"/>
      <c r="BB85" s="1668"/>
      <c r="BC85" s="1663"/>
      <c r="BD85" s="1663"/>
      <c r="BE85" s="1665">
        <v>0</v>
      </c>
      <c r="BF85" s="1665">
        <v>0</v>
      </c>
      <c r="BG85" s="1665">
        <v>0</v>
      </c>
      <c r="BH85" s="1665">
        <v>0</v>
      </c>
      <c r="BI85" s="1665">
        <v>0</v>
      </c>
      <c r="BJ85" s="1665">
        <v>0</v>
      </c>
      <c r="BK85" s="1665">
        <v>0</v>
      </c>
      <c r="BL85" s="1665">
        <v>0</v>
      </c>
      <c r="BM85" s="1665">
        <v>0</v>
      </c>
      <c r="BN85" s="1665">
        <v>0</v>
      </c>
      <c r="BO85" s="1668"/>
      <c r="BP85" s="1665">
        <v>0</v>
      </c>
      <c r="BQ85" s="1665">
        <v>0</v>
      </c>
      <c r="BR85" s="1665">
        <v>0</v>
      </c>
      <c r="BS85" s="1667">
        <v>0</v>
      </c>
      <c r="BT85" s="1665">
        <v>0</v>
      </c>
      <c r="BU85" s="1665">
        <v>0</v>
      </c>
      <c r="BV85" s="1665">
        <v>0</v>
      </c>
      <c r="BW85" s="1665">
        <v>0</v>
      </c>
      <c r="BX85" s="1665">
        <v>0</v>
      </c>
      <c r="BY85" s="1665">
        <v>0</v>
      </c>
      <c r="BZ85" s="1663"/>
      <c r="CA85" s="1663"/>
      <c r="CB85" s="1668"/>
      <c r="CC85" s="1668"/>
      <c r="CD85" s="1663"/>
      <c r="CE85" s="1663"/>
      <c r="CF85" s="1665">
        <v>0</v>
      </c>
      <c r="CG85" s="1665">
        <v>0</v>
      </c>
      <c r="CH85" s="1665">
        <v>0</v>
      </c>
      <c r="CI85" s="1665">
        <v>0</v>
      </c>
      <c r="CJ85" s="1665">
        <v>0</v>
      </c>
      <c r="CK85" s="1665">
        <v>0</v>
      </c>
      <c r="CL85" s="1668"/>
      <c r="CM85" s="1665">
        <v>0</v>
      </c>
      <c r="CN85" s="1665">
        <v>0</v>
      </c>
      <c r="CO85" s="1665">
        <v>0</v>
      </c>
      <c r="CP85" s="1665">
        <v>0</v>
      </c>
      <c r="CQ85" s="1665">
        <v>0</v>
      </c>
      <c r="CR85" s="1665">
        <v>0</v>
      </c>
      <c r="CS85" s="1665">
        <v>0</v>
      </c>
      <c r="CT85" s="1665">
        <v>0</v>
      </c>
      <c r="CU85" s="1665">
        <v>0</v>
      </c>
      <c r="CV85" s="1665">
        <v>0</v>
      </c>
      <c r="CW85" s="1668"/>
      <c r="CX85" s="1663"/>
      <c r="CY85" s="1663"/>
      <c r="CZ85" s="1663"/>
      <c r="DA85" s="1663"/>
      <c r="DB85" s="1668"/>
      <c r="DC85" s="1662"/>
      <c r="DD85" s="1665">
        <v>0</v>
      </c>
      <c r="DE85" s="1663"/>
      <c r="DF85" s="1663"/>
      <c r="DG85" s="1665">
        <v>0</v>
      </c>
      <c r="DH85" s="1665">
        <v>0</v>
      </c>
    </row>
    <row r="86" spans="1:112" ht="67.5" hidden="1" x14ac:dyDescent="0.25">
      <c r="A86" s="1662" t="s">
        <v>2151</v>
      </c>
      <c r="B86" s="1662" t="s">
        <v>1719</v>
      </c>
      <c r="C86" s="1662" t="s">
        <v>2621</v>
      </c>
      <c r="D86" s="1662" t="s">
        <v>2622</v>
      </c>
      <c r="E86" s="1662" t="s">
        <v>144</v>
      </c>
      <c r="F86" s="1662" t="s">
        <v>2616</v>
      </c>
      <c r="G86" s="1662" t="s">
        <v>2617</v>
      </c>
      <c r="H86" s="1662" t="s">
        <v>2618</v>
      </c>
      <c r="I86" s="1662" t="s">
        <v>716</v>
      </c>
      <c r="J86" s="1662" t="s">
        <v>299</v>
      </c>
      <c r="K86" s="1662" t="s">
        <v>2150</v>
      </c>
      <c r="L86" s="1662" t="s">
        <v>2109</v>
      </c>
      <c r="M86" s="1665">
        <v>2359811.84</v>
      </c>
      <c r="N86" s="1665">
        <v>0</v>
      </c>
      <c r="O86" s="1665">
        <v>2359811.84</v>
      </c>
      <c r="P86" s="1665">
        <v>1479103.09</v>
      </c>
      <c r="Q86" s="1665">
        <v>1479103.09</v>
      </c>
      <c r="R86" s="1665">
        <v>1479103.09</v>
      </c>
      <c r="S86" s="1665">
        <v>0</v>
      </c>
      <c r="T86" s="1665">
        <v>880708.75</v>
      </c>
      <c r="U86" s="1665">
        <v>0</v>
      </c>
      <c r="V86" s="1665">
        <v>0</v>
      </c>
      <c r="W86" s="1665">
        <v>0</v>
      </c>
      <c r="X86" s="1665">
        <v>880708.75</v>
      </c>
      <c r="Y86" s="1668"/>
      <c r="Z86" s="1662"/>
      <c r="AA86" s="1665">
        <v>0</v>
      </c>
      <c r="AB86" s="1665">
        <v>0</v>
      </c>
      <c r="AC86" s="1680">
        <v>0</v>
      </c>
      <c r="AD86" s="1681"/>
      <c r="AE86" s="1679"/>
      <c r="AF86" s="1662"/>
      <c r="AG86" s="1666"/>
      <c r="AH86" s="1667">
        <v>421728.95</v>
      </c>
      <c r="AI86" s="1665">
        <v>243027.98</v>
      </c>
      <c r="AJ86" s="1665">
        <v>243027.98</v>
      </c>
      <c r="AK86" s="1698">
        <v>243027.98</v>
      </c>
      <c r="AL86" s="1665">
        <v>0</v>
      </c>
      <c r="AM86" s="1668"/>
      <c r="AN86" s="1665">
        <v>232068.86</v>
      </c>
      <c r="AO86" s="1665">
        <v>119273.04</v>
      </c>
      <c r="AP86" s="1665">
        <v>119273.04</v>
      </c>
      <c r="AQ86" s="1665">
        <v>119273.04</v>
      </c>
      <c r="AR86" s="1665">
        <v>0</v>
      </c>
      <c r="AS86" s="1665">
        <v>112795.82</v>
      </c>
      <c r="AT86" s="1665">
        <v>0</v>
      </c>
      <c r="AU86" s="1665">
        <v>0</v>
      </c>
      <c r="AV86" s="1665">
        <v>0</v>
      </c>
      <c r="AW86" s="1665">
        <v>112795.82</v>
      </c>
      <c r="AX86" s="1665">
        <v>0</v>
      </c>
      <c r="AY86" s="1665">
        <v>0</v>
      </c>
      <c r="AZ86" s="1665">
        <v>0</v>
      </c>
      <c r="BA86" s="1668"/>
      <c r="BB86" s="1668"/>
      <c r="BC86" s="1665">
        <v>0</v>
      </c>
      <c r="BD86" s="1665">
        <v>0</v>
      </c>
      <c r="BE86" s="1665">
        <v>232068.86</v>
      </c>
      <c r="BF86" s="1665">
        <v>119273.04</v>
      </c>
      <c r="BG86" s="1665">
        <v>119273.04</v>
      </c>
      <c r="BH86" s="1665">
        <v>119273.04</v>
      </c>
      <c r="BI86" s="1665">
        <v>0</v>
      </c>
      <c r="BJ86" s="1665">
        <v>112795.82</v>
      </c>
      <c r="BK86" s="1665">
        <v>0</v>
      </c>
      <c r="BL86" s="1665">
        <v>0</v>
      </c>
      <c r="BM86" s="1665">
        <v>0</v>
      </c>
      <c r="BN86" s="1665">
        <v>112795.82</v>
      </c>
      <c r="BO86" s="1668"/>
      <c r="BP86" s="1665">
        <v>171637.75</v>
      </c>
      <c r="BQ86" s="1665">
        <v>89057.49</v>
      </c>
      <c r="BR86" s="1665">
        <v>89057.49</v>
      </c>
      <c r="BS86" s="1667">
        <v>89057.49</v>
      </c>
      <c r="BT86" s="1665">
        <v>0</v>
      </c>
      <c r="BU86" s="1665">
        <v>82580.259999999995</v>
      </c>
      <c r="BV86" s="1665">
        <v>0</v>
      </c>
      <c r="BW86" s="1665">
        <v>0</v>
      </c>
      <c r="BX86" s="1665">
        <v>0</v>
      </c>
      <c r="BY86" s="1665">
        <v>82580.259999999995</v>
      </c>
      <c r="BZ86" s="1665">
        <v>0</v>
      </c>
      <c r="CA86" s="1665">
        <v>0</v>
      </c>
      <c r="CB86" s="1668"/>
      <c r="CC86" s="1668"/>
      <c r="CD86" s="1665">
        <v>0</v>
      </c>
      <c r="CE86" s="1665">
        <v>0</v>
      </c>
      <c r="CF86" s="1665">
        <v>0</v>
      </c>
      <c r="CG86" s="1665">
        <v>0</v>
      </c>
      <c r="CH86" s="1665">
        <v>0</v>
      </c>
      <c r="CI86" s="1665">
        <v>0</v>
      </c>
      <c r="CJ86" s="1665">
        <v>0</v>
      </c>
      <c r="CK86" s="1665">
        <v>0</v>
      </c>
      <c r="CL86" s="1668"/>
      <c r="CM86" s="1665">
        <v>0</v>
      </c>
      <c r="CN86" s="1665">
        <v>0</v>
      </c>
      <c r="CO86" s="1665">
        <v>0</v>
      </c>
      <c r="CP86" s="1665">
        <v>0</v>
      </c>
      <c r="CQ86" s="1665">
        <v>0</v>
      </c>
      <c r="CR86" s="1665">
        <v>0</v>
      </c>
      <c r="CS86" s="1665">
        <v>0</v>
      </c>
      <c r="CT86" s="1665">
        <v>0</v>
      </c>
      <c r="CU86" s="1665">
        <v>0</v>
      </c>
      <c r="CV86" s="1665">
        <v>0</v>
      </c>
      <c r="CW86" s="1668"/>
      <c r="CX86" s="1665">
        <v>0</v>
      </c>
      <c r="CY86" s="1665">
        <v>0</v>
      </c>
      <c r="CZ86" s="1665">
        <v>0</v>
      </c>
      <c r="DA86" s="1665">
        <v>0</v>
      </c>
      <c r="DB86" s="1668"/>
      <c r="DC86" s="1662"/>
      <c r="DD86" s="1665">
        <v>0</v>
      </c>
      <c r="DE86" s="1665">
        <v>0</v>
      </c>
      <c r="DF86" s="1665">
        <v>0</v>
      </c>
      <c r="DG86" s="1665">
        <v>0</v>
      </c>
      <c r="DH86" s="1665">
        <v>0</v>
      </c>
    </row>
    <row r="87" spans="1:112" ht="67.5" hidden="1" x14ac:dyDescent="0.25">
      <c r="A87" s="1662" t="s">
        <v>2080</v>
      </c>
      <c r="B87" s="1662" t="s">
        <v>1719</v>
      </c>
      <c r="C87" s="1662" t="s">
        <v>2621</v>
      </c>
      <c r="D87" s="1662" t="s">
        <v>2622</v>
      </c>
      <c r="E87" s="1662" t="s">
        <v>144</v>
      </c>
      <c r="F87" s="1662" t="s">
        <v>2616</v>
      </c>
      <c r="G87" s="1662" t="s">
        <v>2617</v>
      </c>
      <c r="H87" s="1662" t="s">
        <v>2618</v>
      </c>
      <c r="I87" s="1662" t="s">
        <v>716</v>
      </c>
      <c r="J87" s="1662" t="s">
        <v>299</v>
      </c>
      <c r="K87" s="1662" t="s">
        <v>2150</v>
      </c>
      <c r="L87" s="1662" t="s">
        <v>2109</v>
      </c>
      <c r="M87" s="1663"/>
      <c r="N87" s="1663"/>
      <c r="O87" s="1663"/>
      <c r="P87" s="1663"/>
      <c r="Q87" s="1663"/>
      <c r="R87" s="1663"/>
      <c r="S87" s="1663"/>
      <c r="T87" s="1663"/>
      <c r="U87" s="1663"/>
      <c r="V87" s="1663"/>
      <c r="W87" s="1663"/>
      <c r="X87" s="1663"/>
      <c r="Y87" s="1664">
        <v>42864</v>
      </c>
      <c r="Z87" s="1662" t="s">
        <v>2110</v>
      </c>
      <c r="AA87" s="1665">
        <v>0</v>
      </c>
      <c r="AB87" s="1665">
        <v>0</v>
      </c>
      <c r="AC87" s="1680">
        <v>0</v>
      </c>
      <c r="AD87" s="1682">
        <v>42892</v>
      </c>
      <c r="AE87" s="1679" t="s">
        <v>2122</v>
      </c>
      <c r="AF87" s="1662" t="s">
        <v>2112</v>
      </c>
      <c r="AG87" s="1666"/>
      <c r="AH87" s="1667">
        <v>18555.84</v>
      </c>
      <c r="AI87" s="1665">
        <v>11630.59</v>
      </c>
      <c r="AJ87" s="1665">
        <v>11630.59</v>
      </c>
      <c r="AK87" s="1698">
        <v>11630.59</v>
      </c>
      <c r="AL87" s="1665">
        <v>0</v>
      </c>
      <c r="AM87" s="1664">
        <v>42892</v>
      </c>
      <c r="AN87" s="1665">
        <v>18555.84</v>
      </c>
      <c r="AO87" s="1665">
        <v>11630.59</v>
      </c>
      <c r="AP87" s="1665">
        <v>11630.59</v>
      </c>
      <c r="AQ87" s="1665">
        <v>11630.59</v>
      </c>
      <c r="AR87" s="1665">
        <v>0</v>
      </c>
      <c r="AS87" s="1665">
        <v>6925.25</v>
      </c>
      <c r="AT87" s="1665">
        <v>0</v>
      </c>
      <c r="AU87" s="1665">
        <v>0</v>
      </c>
      <c r="AV87" s="1665">
        <v>0</v>
      </c>
      <c r="AW87" s="1665">
        <v>6925.25</v>
      </c>
      <c r="AX87" s="1663"/>
      <c r="AY87" s="1663"/>
      <c r="AZ87" s="1663"/>
      <c r="BA87" s="1668"/>
      <c r="BB87" s="1668"/>
      <c r="BC87" s="1663"/>
      <c r="BD87" s="1663"/>
      <c r="BE87" s="1665">
        <v>18555.84</v>
      </c>
      <c r="BF87" s="1665">
        <v>11630.59</v>
      </c>
      <c r="BG87" s="1665">
        <v>11630.59</v>
      </c>
      <c r="BH87" s="1665">
        <v>11630.59</v>
      </c>
      <c r="BI87" s="1665">
        <v>0</v>
      </c>
      <c r="BJ87" s="1665">
        <v>6925.25</v>
      </c>
      <c r="BK87" s="1665">
        <v>0</v>
      </c>
      <c r="BL87" s="1665">
        <v>0</v>
      </c>
      <c r="BM87" s="1665">
        <v>0</v>
      </c>
      <c r="BN87" s="1665">
        <v>6925.25</v>
      </c>
      <c r="BO87" s="1664">
        <v>42991</v>
      </c>
      <c r="BP87" s="1665">
        <v>18555.84</v>
      </c>
      <c r="BQ87" s="1665">
        <v>11630.59</v>
      </c>
      <c r="BR87" s="1665">
        <v>11630.59</v>
      </c>
      <c r="BS87" s="1667">
        <v>11630.59</v>
      </c>
      <c r="BT87" s="1665">
        <v>0</v>
      </c>
      <c r="BU87" s="1665">
        <v>6925.25</v>
      </c>
      <c r="BV87" s="1665">
        <v>0</v>
      </c>
      <c r="BW87" s="1665">
        <v>0</v>
      </c>
      <c r="BX87" s="1665">
        <v>0</v>
      </c>
      <c r="BY87" s="1665">
        <v>6925.25</v>
      </c>
      <c r="BZ87" s="1665">
        <v>0</v>
      </c>
      <c r="CA87" s="1663"/>
      <c r="CB87" s="1668"/>
      <c r="CC87" s="1668"/>
      <c r="CD87" s="1663"/>
      <c r="CE87" s="1663"/>
      <c r="CF87" s="1665">
        <v>0</v>
      </c>
      <c r="CG87" s="1665">
        <v>0</v>
      </c>
      <c r="CH87" s="1665">
        <v>0</v>
      </c>
      <c r="CI87" s="1665">
        <v>0</v>
      </c>
      <c r="CJ87" s="1665">
        <v>0</v>
      </c>
      <c r="CK87" s="1665">
        <v>0</v>
      </c>
      <c r="CL87" s="1668"/>
      <c r="CM87" s="1665">
        <v>0</v>
      </c>
      <c r="CN87" s="1665">
        <v>0</v>
      </c>
      <c r="CO87" s="1665">
        <v>0</v>
      </c>
      <c r="CP87" s="1665">
        <v>0</v>
      </c>
      <c r="CQ87" s="1665">
        <v>0</v>
      </c>
      <c r="CR87" s="1665">
        <v>0</v>
      </c>
      <c r="CS87" s="1665">
        <v>0</v>
      </c>
      <c r="CT87" s="1665">
        <v>0</v>
      </c>
      <c r="CU87" s="1665">
        <v>0</v>
      </c>
      <c r="CV87" s="1665">
        <v>0</v>
      </c>
      <c r="CW87" s="1668"/>
      <c r="CX87" s="1663"/>
      <c r="CY87" s="1663"/>
      <c r="CZ87" s="1663"/>
      <c r="DA87" s="1663"/>
      <c r="DB87" s="1668"/>
      <c r="DC87" s="1662"/>
      <c r="DD87" s="1665">
        <v>0</v>
      </c>
      <c r="DE87" s="1663"/>
      <c r="DF87" s="1663"/>
      <c r="DG87" s="1665">
        <v>0</v>
      </c>
      <c r="DH87" s="1665">
        <v>0</v>
      </c>
    </row>
    <row r="88" spans="1:112" ht="67.5" hidden="1" x14ac:dyDescent="0.25">
      <c r="A88" s="1662" t="s">
        <v>2081</v>
      </c>
      <c r="B88" s="1662" t="s">
        <v>1719</v>
      </c>
      <c r="C88" s="1662" t="s">
        <v>2621</v>
      </c>
      <c r="D88" s="1662" t="s">
        <v>2622</v>
      </c>
      <c r="E88" s="1662" t="s">
        <v>144</v>
      </c>
      <c r="F88" s="1662" t="s">
        <v>2616</v>
      </c>
      <c r="G88" s="1662" t="s">
        <v>2617</v>
      </c>
      <c r="H88" s="1662" t="s">
        <v>2618</v>
      </c>
      <c r="I88" s="1662" t="s">
        <v>716</v>
      </c>
      <c r="J88" s="1662" t="s">
        <v>299</v>
      </c>
      <c r="K88" s="1662" t="s">
        <v>2150</v>
      </c>
      <c r="L88" s="1662" t="s">
        <v>2109</v>
      </c>
      <c r="M88" s="1663"/>
      <c r="N88" s="1663"/>
      <c r="O88" s="1663"/>
      <c r="P88" s="1663"/>
      <c r="Q88" s="1663"/>
      <c r="R88" s="1663"/>
      <c r="S88" s="1663"/>
      <c r="T88" s="1663"/>
      <c r="U88" s="1663"/>
      <c r="V88" s="1663"/>
      <c r="W88" s="1663"/>
      <c r="X88" s="1663"/>
      <c r="Y88" s="1664">
        <v>42926</v>
      </c>
      <c r="Z88" s="1662" t="s">
        <v>2110</v>
      </c>
      <c r="AA88" s="1665">
        <v>0</v>
      </c>
      <c r="AB88" s="1665">
        <v>0</v>
      </c>
      <c r="AC88" s="1680">
        <v>0</v>
      </c>
      <c r="AD88" s="1682">
        <v>42958</v>
      </c>
      <c r="AE88" s="1679" t="s">
        <v>2111</v>
      </c>
      <c r="AF88" s="1662" t="s">
        <v>2115</v>
      </c>
      <c r="AG88" s="1666"/>
      <c r="AH88" s="1667">
        <v>41306.5</v>
      </c>
      <c r="AI88" s="1665">
        <v>20696.93</v>
      </c>
      <c r="AJ88" s="1665">
        <v>20696.93</v>
      </c>
      <c r="AK88" s="1698">
        <v>20696.93</v>
      </c>
      <c r="AL88" s="1665">
        <v>0</v>
      </c>
      <c r="AM88" s="1664">
        <v>42965</v>
      </c>
      <c r="AN88" s="1665">
        <v>41306.5</v>
      </c>
      <c r="AO88" s="1665">
        <v>20696.93</v>
      </c>
      <c r="AP88" s="1665">
        <v>20696.93</v>
      </c>
      <c r="AQ88" s="1665">
        <v>20696.93</v>
      </c>
      <c r="AR88" s="1665">
        <v>0</v>
      </c>
      <c r="AS88" s="1665">
        <v>20609.57</v>
      </c>
      <c r="AT88" s="1665">
        <v>0</v>
      </c>
      <c r="AU88" s="1665">
        <v>0</v>
      </c>
      <c r="AV88" s="1665">
        <v>0</v>
      </c>
      <c r="AW88" s="1665">
        <v>20609.57</v>
      </c>
      <c r="AX88" s="1663"/>
      <c r="AY88" s="1663"/>
      <c r="AZ88" s="1663"/>
      <c r="BA88" s="1668"/>
      <c r="BB88" s="1668"/>
      <c r="BC88" s="1663"/>
      <c r="BD88" s="1663"/>
      <c r="BE88" s="1665">
        <v>41306.5</v>
      </c>
      <c r="BF88" s="1665">
        <v>20696.93</v>
      </c>
      <c r="BG88" s="1665">
        <v>20696.93</v>
      </c>
      <c r="BH88" s="1665">
        <v>20696.93</v>
      </c>
      <c r="BI88" s="1665">
        <v>0</v>
      </c>
      <c r="BJ88" s="1665">
        <v>20609.57</v>
      </c>
      <c r="BK88" s="1665">
        <v>0</v>
      </c>
      <c r="BL88" s="1665">
        <v>0</v>
      </c>
      <c r="BM88" s="1665">
        <v>0</v>
      </c>
      <c r="BN88" s="1665">
        <v>20609.57</v>
      </c>
      <c r="BO88" s="1664">
        <v>43035</v>
      </c>
      <c r="BP88" s="1665">
        <v>41306.5</v>
      </c>
      <c r="BQ88" s="1665">
        <v>20696.93</v>
      </c>
      <c r="BR88" s="1665">
        <v>20696.93</v>
      </c>
      <c r="BS88" s="1667">
        <v>20696.93</v>
      </c>
      <c r="BT88" s="1665">
        <v>0</v>
      </c>
      <c r="BU88" s="1665">
        <v>20609.57</v>
      </c>
      <c r="BV88" s="1665">
        <v>0</v>
      </c>
      <c r="BW88" s="1665">
        <v>0</v>
      </c>
      <c r="BX88" s="1665">
        <v>0</v>
      </c>
      <c r="BY88" s="1665">
        <v>20609.57</v>
      </c>
      <c r="BZ88" s="1665">
        <v>0</v>
      </c>
      <c r="CA88" s="1663"/>
      <c r="CB88" s="1668"/>
      <c r="CC88" s="1668"/>
      <c r="CD88" s="1663"/>
      <c r="CE88" s="1663"/>
      <c r="CF88" s="1665">
        <v>0</v>
      </c>
      <c r="CG88" s="1665">
        <v>0</v>
      </c>
      <c r="CH88" s="1665">
        <v>0</v>
      </c>
      <c r="CI88" s="1665">
        <v>0</v>
      </c>
      <c r="CJ88" s="1665">
        <v>0</v>
      </c>
      <c r="CK88" s="1665">
        <v>0</v>
      </c>
      <c r="CL88" s="1668"/>
      <c r="CM88" s="1665">
        <v>0</v>
      </c>
      <c r="CN88" s="1665">
        <v>0</v>
      </c>
      <c r="CO88" s="1665">
        <v>0</v>
      </c>
      <c r="CP88" s="1665">
        <v>0</v>
      </c>
      <c r="CQ88" s="1665">
        <v>0</v>
      </c>
      <c r="CR88" s="1665">
        <v>0</v>
      </c>
      <c r="CS88" s="1665">
        <v>0</v>
      </c>
      <c r="CT88" s="1665">
        <v>0</v>
      </c>
      <c r="CU88" s="1665">
        <v>0</v>
      </c>
      <c r="CV88" s="1665">
        <v>0</v>
      </c>
      <c r="CW88" s="1668"/>
      <c r="CX88" s="1663"/>
      <c r="CY88" s="1663"/>
      <c r="CZ88" s="1663"/>
      <c r="DA88" s="1663"/>
      <c r="DB88" s="1668"/>
      <c r="DC88" s="1662"/>
      <c r="DD88" s="1665">
        <v>0</v>
      </c>
      <c r="DE88" s="1663"/>
      <c r="DF88" s="1663"/>
      <c r="DG88" s="1665">
        <v>0</v>
      </c>
      <c r="DH88" s="1665">
        <v>0</v>
      </c>
    </row>
    <row r="89" spans="1:112" ht="67.5" hidden="1" x14ac:dyDescent="0.25">
      <c r="A89" s="1662" t="s">
        <v>2082</v>
      </c>
      <c r="B89" s="1662" t="s">
        <v>1719</v>
      </c>
      <c r="C89" s="1662" t="s">
        <v>2621</v>
      </c>
      <c r="D89" s="1662" t="s">
        <v>2622</v>
      </c>
      <c r="E89" s="1662" t="s">
        <v>144</v>
      </c>
      <c r="F89" s="1662" t="s">
        <v>2616</v>
      </c>
      <c r="G89" s="1662" t="s">
        <v>2617</v>
      </c>
      <c r="H89" s="1662" t="s">
        <v>2618</v>
      </c>
      <c r="I89" s="1662" t="s">
        <v>716</v>
      </c>
      <c r="J89" s="1662" t="s">
        <v>299</v>
      </c>
      <c r="K89" s="1662" t="s">
        <v>2150</v>
      </c>
      <c r="L89" s="1662" t="s">
        <v>2109</v>
      </c>
      <c r="M89" s="1663"/>
      <c r="N89" s="1663"/>
      <c r="O89" s="1663"/>
      <c r="P89" s="1663"/>
      <c r="Q89" s="1663"/>
      <c r="R89" s="1663"/>
      <c r="S89" s="1663"/>
      <c r="T89" s="1663"/>
      <c r="U89" s="1663"/>
      <c r="V89" s="1663"/>
      <c r="W89" s="1663"/>
      <c r="X89" s="1663"/>
      <c r="Y89" s="1664">
        <v>42986</v>
      </c>
      <c r="Z89" s="1662" t="s">
        <v>2110</v>
      </c>
      <c r="AA89" s="1665">
        <v>0</v>
      </c>
      <c r="AB89" s="1665">
        <v>0</v>
      </c>
      <c r="AC89" s="1680">
        <v>0</v>
      </c>
      <c r="AD89" s="1682">
        <v>43017</v>
      </c>
      <c r="AE89" s="1679" t="s">
        <v>2114</v>
      </c>
      <c r="AF89" s="1662" t="s">
        <v>2115</v>
      </c>
      <c r="AG89" s="1666"/>
      <c r="AH89" s="1667">
        <v>32805.839999999997</v>
      </c>
      <c r="AI89" s="1665">
        <v>16428.16</v>
      </c>
      <c r="AJ89" s="1665">
        <v>16428.150000000001</v>
      </c>
      <c r="AK89" s="1698">
        <v>16428.150000000001</v>
      </c>
      <c r="AL89" s="1665">
        <v>0</v>
      </c>
      <c r="AM89" s="1664">
        <v>43025</v>
      </c>
      <c r="AN89" s="1665">
        <v>32805.839999999997</v>
      </c>
      <c r="AO89" s="1665">
        <v>16428.150000000001</v>
      </c>
      <c r="AP89" s="1665">
        <v>16428.150000000001</v>
      </c>
      <c r="AQ89" s="1665">
        <v>16428.150000000001</v>
      </c>
      <c r="AR89" s="1665">
        <v>0</v>
      </c>
      <c r="AS89" s="1665">
        <v>16377.69</v>
      </c>
      <c r="AT89" s="1665">
        <v>0</v>
      </c>
      <c r="AU89" s="1665">
        <v>0</v>
      </c>
      <c r="AV89" s="1665">
        <v>0</v>
      </c>
      <c r="AW89" s="1665">
        <v>16377.69</v>
      </c>
      <c r="AX89" s="1663"/>
      <c r="AY89" s="1663"/>
      <c r="AZ89" s="1663"/>
      <c r="BA89" s="1668"/>
      <c r="BB89" s="1668"/>
      <c r="BC89" s="1663"/>
      <c r="BD89" s="1663"/>
      <c r="BE89" s="1665">
        <v>32805.839999999997</v>
      </c>
      <c r="BF89" s="1665">
        <v>16428.150000000001</v>
      </c>
      <c r="BG89" s="1665">
        <v>16428.150000000001</v>
      </c>
      <c r="BH89" s="1665">
        <v>16428.150000000001</v>
      </c>
      <c r="BI89" s="1665">
        <v>0</v>
      </c>
      <c r="BJ89" s="1665">
        <v>16377.69</v>
      </c>
      <c r="BK89" s="1665">
        <v>0</v>
      </c>
      <c r="BL89" s="1665">
        <v>0</v>
      </c>
      <c r="BM89" s="1665">
        <v>0</v>
      </c>
      <c r="BN89" s="1665">
        <v>16377.69</v>
      </c>
      <c r="BO89" s="1664">
        <v>43125</v>
      </c>
      <c r="BP89" s="1665">
        <v>32805.839999999997</v>
      </c>
      <c r="BQ89" s="1665">
        <v>16428.150000000001</v>
      </c>
      <c r="BR89" s="1665">
        <v>16428.150000000001</v>
      </c>
      <c r="BS89" s="1667">
        <v>16428.150000000001</v>
      </c>
      <c r="BT89" s="1665">
        <v>0</v>
      </c>
      <c r="BU89" s="1665">
        <v>16377.69</v>
      </c>
      <c r="BV89" s="1665">
        <v>0</v>
      </c>
      <c r="BW89" s="1665">
        <v>0</v>
      </c>
      <c r="BX89" s="1665">
        <v>0</v>
      </c>
      <c r="BY89" s="1665">
        <v>16377.69</v>
      </c>
      <c r="BZ89" s="1665">
        <v>0</v>
      </c>
      <c r="CA89" s="1663"/>
      <c r="CB89" s="1668"/>
      <c r="CC89" s="1668"/>
      <c r="CD89" s="1663"/>
      <c r="CE89" s="1663"/>
      <c r="CF89" s="1665">
        <v>0</v>
      </c>
      <c r="CG89" s="1665">
        <v>0</v>
      </c>
      <c r="CH89" s="1665">
        <v>0</v>
      </c>
      <c r="CI89" s="1665">
        <v>0</v>
      </c>
      <c r="CJ89" s="1665">
        <v>0</v>
      </c>
      <c r="CK89" s="1665">
        <v>0</v>
      </c>
      <c r="CL89" s="1668"/>
      <c r="CM89" s="1665">
        <v>0</v>
      </c>
      <c r="CN89" s="1665">
        <v>0</v>
      </c>
      <c r="CO89" s="1665">
        <v>0</v>
      </c>
      <c r="CP89" s="1665">
        <v>0</v>
      </c>
      <c r="CQ89" s="1665">
        <v>0</v>
      </c>
      <c r="CR89" s="1665">
        <v>0</v>
      </c>
      <c r="CS89" s="1665">
        <v>0</v>
      </c>
      <c r="CT89" s="1665">
        <v>0</v>
      </c>
      <c r="CU89" s="1665">
        <v>0</v>
      </c>
      <c r="CV89" s="1665">
        <v>0</v>
      </c>
      <c r="CW89" s="1668"/>
      <c r="CX89" s="1663"/>
      <c r="CY89" s="1663"/>
      <c r="CZ89" s="1663"/>
      <c r="DA89" s="1663"/>
      <c r="DB89" s="1668"/>
      <c r="DC89" s="1662"/>
      <c r="DD89" s="1665">
        <v>0</v>
      </c>
      <c r="DE89" s="1663"/>
      <c r="DF89" s="1663"/>
      <c r="DG89" s="1665">
        <v>0</v>
      </c>
      <c r="DH89" s="1665">
        <v>0</v>
      </c>
    </row>
    <row r="90" spans="1:112" ht="67.5" hidden="1" x14ac:dyDescent="0.25">
      <c r="A90" s="1662" t="s">
        <v>2083</v>
      </c>
      <c r="B90" s="1662" t="s">
        <v>1719</v>
      </c>
      <c r="C90" s="1662" t="s">
        <v>2621</v>
      </c>
      <c r="D90" s="1662" t="s">
        <v>2622</v>
      </c>
      <c r="E90" s="1662" t="s">
        <v>144</v>
      </c>
      <c r="F90" s="1662" t="s">
        <v>2616</v>
      </c>
      <c r="G90" s="1662" t="s">
        <v>2617</v>
      </c>
      <c r="H90" s="1662" t="s">
        <v>2618</v>
      </c>
      <c r="I90" s="1662" t="s">
        <v>716</v>
      </c>
      <c r="J90" s="1662" t="s">
        <v>299</v>
      </c>
      <c r="K90" s="1662" t="s">
        <v>2150</v>
      </c>
      <c r="L90" s="1662" t="s">
        <v>2109</v>
      </c>
      <c r="M90" s="1663"/>
      <c r="N90" s="1663"/>
      <c r="O90" s="1663"/>
      <c r="P90" s="1663"/>
      <c r="Q90" s="1663"/>
      <c r="R90" s="1663"/>
      <c r="S90" s="1663"/>
      <c r="T90" s="1663"/>
      <c r="U90" s="1663"/>
      <c r="V90" s="1663"/>
      <c r="W90" s="1663"/>
      <c r="X90" s="1663"/>
      <c r="Y90" s="1664">
        <v>43068</v>
      </c>
      <c r="Z90" s="1662" t="s">
        <v>2110</v>
      </c>
      <c r="AA90" s="1665">
        <v>0</v>
      </c>
      <c r="AB90" s="1665">
        <v>0</v>
      </c>
      <c r="AC90" s="1680">
        <v>0</v>
      </c>
      <c r="AD90" s="1682">
        <v>43096</v>
      </c>
      <c r="AE90" s="1679" t="s">
        <v>2128</v>
      </c>
      <c r="AF90" s="1662" t="s">
        <v>2115</v>
      </c>
      <c r="AG90" s="1666"/>
      <c r="AH90" s="1667">
        <v>77775.360000000001</v>
      </c>
      <c r="AI90" s="1665">
        <v>39553.29</v>
      </c>
      <c r="AJ90" s="1665">
        <v>39553.300000000003</v>
      </c>
      <c r="AK90" s="1698">
        <v>39553.300000000003</v>
      </c>
      <c r="AL90" s="1665">
        <v>0</v>
      </c>
      <c r="AM90" s="1664">
        <v>43098</v>
      </c>
      <c r="AN90" s="1665">
        <v>77775.360000000001</v>
      </c>
      <c r="AO90" s="1665">
        <v>39553.300000000003</v>
      </c>
      <c r="AP90" s="1665">
        <v>39553.300000000003</v>
      </c>
      <c r="AQ90" s="1665">
        <v>39553.300000000003</v>
      </c>
      <c r="AR90" s="1665">
        <v>0</v>
      </c>
      <c r="AS90" s="1665">
        <v>38222.06</v>
      </c>
      <c r="AT90" s="1665">
        <v>0</v>
      </c>
      <c r="AU90" s="1665">
        <v>0</v>
      </c>
      <c r="AV90" s="1665">
        <v>0</v>
      </c>
      <c r="AW90" s="1665">
        <v>38222.06</v>
      </c>
      <c r="AX90" s="1663"/>
      <c r="AY90" s="1663"/>
      <c r="AZ90" s="1663"/>
      <c r="BA90" s="1668"/>
      <c r="BB90" s="1668"/>
      <c r="BC90" s="1663"/>
      <c r="BD90" s="1663"/>
      <c r="BE90" s="1665">
        <v>77775.360000000001</v>
      </c>
      <c r="BF90" s="1665">
        <v>39553.300000000003</v>
      </c>
      <c r="BG90" s="1665">
        <v>39553.300000000003</v>
      </c>
      <c r="BH90" s="1665">
        <v>39553.300000000003</v>
      </c>
      <c r="BI90" s="1665">
        <v>0</v>
      </c>
      <c r="BJ90" s="1665">
        <v>38222.06</v>
      </c>
      <c r="BK90" s="1665">
        <v>0</v>
      </c>
      <c r="BL90" s="1665">
        <v>0</v>
      </c>
      <c r="BM90" s="1665">
        <v>0</v>
      </c>
      <c r="BN90" s="1665">
        <v>38222.06</v>
      </c>
      <c r="BO90" s="1664">
        <v>43189</v>
      </c>
      <c r="BP90" s="1665">
        <v>77775.360000000001</v>
      </c>
      <c r="BQ90" s="1665">
        <v>39553.300000000003</v>
      </c>
      <c r="BR90" s="1665">
        <v>39553.300000000003</v>
      </c>
      <c r="BS90" s="1667">
        <v>39553.300000000003</v>
      </c>
      <c r="BT90" s="1665">
        <v>0</v>
      </c>
      <c r="BU90" s="1665">
        <v>38222.06</v>
      </c>
      <c r="BV90" s="1665">
        <v>0</v>
      </c>
      <c r="BW90" s="1665">
        <v>0</v>
      </c>
      <c r="BX90" s="1665">
        <v>0</v>
      </c>
      <c r="BY90" s="1665">
        <v>38222.06</v>
      </c>
      <c r="BZ90" s="1665">
        <v>0</v>
      </c>
      <c r="CA90" s="1663"/>
      <c r="CB90" s="1668"/>
      <c r="CC90" s="1668"/>
      <c r="CD90" s="1663"/>
      <c r="CE90" s="1663"/>
      <c r="CF90" s="1665">
        <v>0</v>
      </c>
      <c r="CG90" s="1665">
        <v>0</v>
      </c>
      <c r="CH90" s="1665">
        <v>0</v>
      </c>
      <c r="CI90" s="1665">
        <v>0</v>
      </c>
      <c r="CJ90" s="1665">
        <v>0</v>
      </c>
      <c r="CK90" s="1665">
        <v>0</v>
      </c>
      <c r="CL90" s="1668"/>
      <c r="CM90" s="1665">
        <v>0</v>
      </c>
      <c r="CN90" s="1665">
        <v>0</v>
      </c>
      <c r="CO90" s="1665">
        <v>0</v>
      </c>
      <c r="CP90" s="1665">
        <v>0</v>
      </c>
      <c r="CQ90" s="1665">
        <v>0</v>
      </c>
      <c r="CR90" s="1665">
        <v>0</v>
      </c>
      <c r="CS90" s="1665">
        <v>0</v>
      </c>
      <c r="CT90" s="1665">
        <v>0</v>
      </c>
      <c r="CU90" s="1665">
        <v>0</v>
      </c>
      <c r="CV90" s="1665">
        <v>0</v>
      </c>
      <c r="CW90" s="1668"/>
      <c r="CX90" s="1663"/>
      <c r="CY90" s="1663"/>
      <c r="CZ90" s="1663"/>
      <c r="DA90" s="1663"/>
      <c r="DB90" s="1668"/>
      <c r="DC90" s="1662"/>
      <c r="DD90" s="1665">
        <v>0</v>
      </c>
      <c r="DE90" s="1663"/>
      <c r="DF90" s="1663"/>
      <c r="DG90" s="1665">
        <v>0</v>
      </c>
      <c r="DH90" s="1665">
        <v>0</v>
      </c>
    </row>
    <row r="91" spans="1:112" ht="67.5" hidden="1" x14ac:dyDescent="0.25">
      <c r="A91" s="1662" t="s">
        <v>2084</v>
      </c>
      <c r="B91" s="1662" t="s">
        <v>1719</v>
      </c>
      <c r="C91" s="1662" t="s">
        <v>2621</v>
      </c>
      <c r="D91" s="1662" t="s">
        <v>2622</v>
      </c>
      <c r="E91" s="1662" t="s">
        <v>144</v>
      </c>
      <c r="F91" s="1662" t="s">
        <v>2616</v>
      </c>
      <c r="G91" s="1662" t="s">
        <v>2617</v>
      </c>
      <c r="H91" s="1662" t="s">
        <v>2618</v>
      </c>
      <c r="I91" s="1662" t="s">
        <v>716</v>
      </c>
      <c r="J91" s="1662" t="s">
        <v>299</v>
      </c>
      <c r="K91" s="1662" t="s">
        <v>2150</v>
      </c>
      <c r="L91" s="1662" t="s">
        <v>2109</v>
      </c>
      <c r="M91" s="1663"/>
      <c r="N91" s="1663"/>
      <c r="O91" s="1663"/>
      <c r="P91" s="1663"/>
      <c r="Q91" s="1663"/>
      <c r="R91" s="1663"/>
      <c r="S91" s="1663"/>
      <c r="T91" s="1663"/>
      <c r="U91" s="1663"/>
      <c r="V91" s="1663"/>
      <c r="W91" s="1663"/>
      <c r="X91" s="1663"/>
      <c r="Y91" s="1664">
        <v>43068</v>
      </c>
      <c r="Z91" s="1662" t="s">
        <v>2110</v>
      </c>
      <c r="AA91" s="1665">
        <v>0</v>
      </c>
      <c r="AB91" s="1665">
        <v>0</v>
      </c>
      <c r="AC91" s="1680">
        <v>0</v>
      </c>
      <c r="AD91" s="1682">
        <v>43096</v>
      </c>
      <c r="AE91" s="1679" t="s">
        <v>2128</v>
      </c>
      <c r="AF91" s="1662" t="s">
        <v>2112</v>
      </c>
      <c r="AG91" s="1666"/>
      <c r="AH91" s="1667">
        <v>344.21</v>
      </c>
      <c r="AI91" s="1665">
        <v>215.75</v>
      </c>
      <c r="AJ91" s="1665">
        <v>215.74</v>
      </c>
      <c r="AK91" s="1698">
        <v>215.74</v>
      </c>
      <c r="AL91" s="1665">
        <v>0</v>
      </c>
      <c r="AM91" s="1664">
        <v>43096</v>
      </c>
      <c r="AN91" s="1665">
        <v>344.21</v>
      </c>
      <c r="AO91" s="1665">
        <v>215.74</v>
      </c>
      <c r="AP91" s="1665">
        <v>215.74</v>
      </c>
      <c r="AQ91" s="1665">
        <v>215.74</v>
      </c>
      <c r="AR91" s="1665">
        <v>0</v>
      </c>
      <c r="AS91" s="1665">
        <v>128.47</v>
      </c>
      <c r="AT91" s="1665">
        <v>0</v>
      </c>
      <c r="AU91" s="1665">
        <v>0</v>
      </c>
      <c r="AV91" s="1665">
        <v>0</v>
      </c>
      <c r="AW91" s="1665">
        <v>128.47</v>
      </c>
      <c r="AX91" s="1663"/>
      <c r="AY91" s="1663"/>
      <c r="AZ91" s="1663"/>
      <c r="BA91" s="1668"/>
      <c r="BB91" s="1668"/>
      <c r="BC91" s="1663"/>
      <c r="BD91" s="1663"/>
      <c r="BE91" s="1665">
        <v>344.21</v>
      </c>
      <c r="BF91" s="1665">
        <v>215.74</v>
      </c>
      <c r="BG91" s="1665">
        <v>215.74</v>
      </c>
      <c r="BH91" s="1665">
        <v>215.74</v>
      </c>
      <c r="BI91" s="1665">
        <v>0</v>
      </c>
      <c r="BJ91" s="1665">
        <v>128.47</v>
      </c>
      <c r="BK91" s="1665">
        <v>0</v>
      </c>
      <c r="BL91" s="1665">
        <v>0</v>
      </c>
      <c r="BM91" s="1665">
        <v>0</v>
      </c>
      <c r="BN91" s="1665">
        <v>128.47</v>
      </c>
      <c r="BO91" s="1664">
        <v>43189</v>
      </c>
      <c r="BP91" s="1665">
        <v>344.21</v>
      </c>
      <c r="BQ91" s="1665">
        <v>215.74</v>
      </c>
      <c r="BR91" s="1665">
        <v>215.74</v>
      </c>
      <c r="BS91" s="1667">
        <v>215.74</v>
      </c>
      <c r="BT91" s="1665">
        <v>0</v>
      </c>
      <c r="BU91" s="1665">
        <v>128.47</v>
      </c>
      <c r="BV91" s="1665">
        <v>0</v>
      </c>
      <c r="BW91" s="1665">
        <v>0</v>
      </c>
      <c r="BX91" s="1665">
        <v>0</v>
      </c>
      <c r="BY91" s="1665">
        <v>128.47</v>
      </c>
      <c r="BZ91" s="1665">
        <v>0</v>
      </c>
      <c r="CA91" s="1663"/>
      <c r="CB91" s="1668"/>
      <c r="CC91" s="1668"/>
      <c r="CD91" s="1663"/>
      <c r="CE91" s="1663"/>
      <c r="CF91" s="1665">
        <v>0</v>
      </c>
      <c r="CG91" s="1665">
        <v>0</v>
      </c>
      <c r="CH91" s="1665">
        <v>0</v>
      </c>
      <c r="CI91" s="1665">
        <v>0</v>
      </c>
      <c r="CJ91" s="1665">
        <v>0</v>
      </c>
      <c r="CK91" s="1665">
        <v>0</v>
      </c>
      <c r="CL91" s="1668"/>
      <c r="CM91" s="1665">
        <v>0</v>
      </c>
      <c r="CN91" s="1665">
        <v>0</v>
      </c>
      <c r="CO91" s="1665">
        <v>0</v>
      </c>
      <c r="CP91" s="1665">
        <v>0</v>
      </c>
      <c r="CQ91" s="1665">
        <v>0</v>
      </c>
      <c r="CR91" s="1665">
        <v>0</v>
      </c>
      <c r="CS91" s="1665">
        <v>0</v>
      </c>
      <c r="CT91" s="1665">
        <v>0</v>
      </c>
      <c r="CU91" s="1665">
        <v>0</v>
      </c>
      <c r="CV91" s="1665">
        <v>0</v>
      </c>
      <c r="CW91" s="1668"/>
      <c r="CX91" s="1663"/>
      <c r="CY91" s="1663"/>
      <c r="CZ91" s="1663"/>
      <c r="DA91" s="1663"/>
      <c r="DB91" s="1668"/>
      <c r="DC91" s="1662"/>
      <c r="DD91" s="1665">
        <v>0</v>
      </c>
      <c r="DE91" s="1663"/>
      <c r="DF91" s="1663"/>
      <c r="DG91" s="1665">
        <v>0</v>
      </c>
      <c r="DH91" s="1665">
        <v>0</v>
      </c>
    </row>
    <row r="92" spans="1:112" ht="67.5" hidden="1" x14ac:dyDescent="0.25">
      <c r="A92" s="1662" t="s">
        <v>2085</v>
      </c>
      <c r="B92" s="1662" t="s">
        <v>1719</v>
      </c>
      <c r="C92" s="1662" t="s">
        <v>2621</v>
      </c>
      <c r="D92" s="1662" t="s">
        <v>2622</v>
      </c>
      <c r="E92" s="1662" t="s">
        <v>144</v>
      </c>
      <c r="F92" s="1662" t="s">
        <v>2616</v>
      </c>
      <c r="G92" s="1662" t="s">
        <v>2617</v>
      </c>
      <c r="H92" s="1662" t="s">
        <v>2618</v>
      </c>
      <c r="I92" s="1662" t="s">
        <v>716</v>
      </c>
      <c r="J92" s="1662" t="s">
        <v>299</v>
      </c>
      <c r="K92" s="1662" t="s">
        <v>2150</v>
      </c>
      <c r="L92" s="1662" t="s">
        <v>2109</v>
      </c>
      <c r="M92" s="1663"/>
      <c r="N92" s="1663"/>
      <c r="O92" s="1663"/>
      <c r="P92" s="1663"/>
      <c r="Q92" s="1663"/>
      <c r="R92" s="1663"/>
      <c r="S92" s="1663"/>
      <c r="T92" s="1663"/>
      <c r="U92" s="1663"/>
      <c r="V92" s="1663"/>
      <c r="W92" s="1663"/>
      <c r="X92" s="1663"/>
      <c r="Y92" s="1664">
        <v>43172</v>
      </c>
      <c r="Z92" s="1662" t="s">
        <v>2110</v>
      </c>
      <c r="AA92" s="1665">
        <v>0</v>
      </c>
      <c r="AB92" s="1665">
        <v>0</v>
      </c>
      <c r="AC92" s="1680">
        <v>0</v>
      </c>
      <c r="AD92" s="1682">
        <v>43199</v>
      </c>
      <c r="AE92" s="1679" t="s">
        <v>2130</v>
      </c>
      <c r="AF92" s="1662" t="s">
        <v>2115</v>
      </c>
      <c r="AG92" s="1666"/>
      <c r="AH92" s="1667">
        <v>0</v>
      </c>
      <c r="AI92" s="1665">
        <v>0</v>
      </c>
      <c r="AJ92" s="1665">
        <v>0</v>
      </c>
      <c r="AK92" s="1698">
        <v>0</v>
      </c>
      <c r="AL92" s="1665">
        <v>0</v>
      </c>
      <c r="AM92" s="1668"/>
      <c r="AN92" s="1665">
        <v>0</v>
      </c>
      <c r="AO92" s="1665">
        <v>0</v>
      </c>
      <c r="AP92" s="1665">
        <v>0</v>
      </c>
      <c r="AQ92" s="1665">
        <v>0</v>
      </c>
      <c r="AR92" s="1665">
        <v>0</v>
      </c>
      <c r="AS92" s="1665">
        <v>0</v>
      </c>
      <c r="AT92" s="1665">
        <v>0</v>
      </c>
      <c r="AU92" s="1665">
        <v>0</v>
      </c>
      <c r="AV92" s="1665">
        <v>0</v>
      </c>
      <c r="AW92" s="1665">
        <v>0</v>
      </c>
      <c r="AX92" s="1663"/>
      <c r="AY92" s="1663"/>
      <c r="AZ92" s="1663"/>
      <c r="BA92" s="1668"/>
      <c r="BB92" s="1668"/>
      <c r="BC92" s="1663"/>
      <c r="BD92" s="1663"/>
      <c r="BE92" s="1665">
        <v>0</v>
      </c>
      <c r="BF92" s="1665">
        <v>0</v>
      </c>
      <c r="BG92" s="1665">
        <v>0</v>
      </c>
      <c r="BH92" s="1665">
        <v>0</v>
      </c>
      <c r="BI92" s="1665">
        <v>0</v>
      </c>
      <c r="BJ92" s="1665">
        <v>0</v>
      </c>
      <c r="BK92" s="1665">
        <v>0</v>
      </c>
      <c r="BL92" s="1665">
        <v>0</v>
      </c>
      <c r="BM92" s="1665">
        <v>0</v>
      </c>
      <c r="BN92" s="1665">
        <v>0</v>
      </c>
      <c r="BO92" s="1668"/>
      <c r="BP92" s="1665">
        <v>0</v>
      </c>
      <c r="BQ92" s="1665">
        <v>0</v>
      </c>
      <c r="BR92" s="1665">
        <v>0</v>
      </c>
      <c r="BS92" s="1667">
        <v>0</v>
      </c>
      <c r="BT92" s="1665">
        <v>0</v>
      </c>
      <c r="BU92" s="1665">
        <v>0</v>
      </c>
      <c r="BV92" s="1665">
        <v>0</v>
      </c>
      <c r="BW92" s="1665">
        <v>0</v>
      </c>
      <c r="BX92" s="1665">
        <v>0</v>
      </c>
      <c r="BY92" s="1665">
        <v>0</v>
      </c>
      <c r="BZ92" s="1663"/>
      <c r="CA92" s="1663"/>
      <c r="CB92" s="1668"/>
      <c r="CC92" s="1668"/>
      <c r="CD92" s="1663"/>
      <c r="CE92" s="1663"/>
      <c r="CF92" s="1665">
        <v>0</v>
      </c>
      <c r="CG92" s="1665">
        <v>0</v>
      </c>
      <c r="CH92" s="1665">
        <v>0</v>
      </c>
      <c r="CI92" s="1665">
        <v>0</v>
      </c>
      <c r="CJ92" s="1665">
        <v>0</v>
      </c>
      <c r="CK92" s="1665">
        <v>0</v>
      </c>
      <c r="CL92" s="1668"/>
      <c r="CM92" s="1665">
        <v>0</v>
      </c>
      <c r="CN92" s="1665">
        <v>0</v>
      </c>
      <c r="CO92" s="1665">
        <v>0</v>
      </c>
      <c r="CP92" s="1665">
        <v>0</v>
      </c>
      <c r="CQ92" s="1665">
        <v>0</v>
      </c>
      <c r="CR92" s="1665">
        <v>0</v>
      </c>
      <c r="CS92" s="1665">
        <v>0</v>
      </c>
      <c r="CT92" s="1665">
        <v>0</v>
      </c>
      <c r="CU92" s="1665">
        <v>0</v>
      </c>
      <c r="CV92" s="1665">
        <v>0</v>
      </c>
      <c r="CW92" s="1668"/>
      <c r="CX92" s="1663"/>
      <c r="CY92" s="1663"/>
      <c r="CZ92" s="1663"/>
      <c r="DA92" s="1663"/>
      <c r="DB92" s="1668"/>
      <c r="DC92" s="1662"/>
      <c r="DD92" s="1665">
        <v>0</v>
      </c>
      <c r="DE92" s="1663"/>
      <c r="DF92" s="1663"/>
      <c r="DG92" s="1665">
        <v>0</v>
      </c>
      <c r="DH92" s="1665">
        <v>0</v>
      </c>
    </row>
    <row r="93" spans="1:112" ht="67.5" hidden="1" x14ac:dyDescent="0.25">
      <c r="A93" s="1662" t="s">
        <v>2086</v>
      </c>
      <c r="B93" s="1662" t="s">
        <v>1719</v>
      </c>
      <c r="C93" s="1662" t="s">
        <v>2621</v>
      </c>
      <c r="D93" s="1662" t="s">
        <v>2622</v>
      </c>
      <c r="E93" s="1662" t="s">
        <v>144</v>
      </c>
      <c r="F93" s="1662" t="s">
        <v>2616</v>
      </c>
      <c r="G93" s="1662" t="s">
        <v>2617</v>
      </c>
      <c r="H93" s="1662" t="s">
        <v>2618</v>
      </c>
      <c r="I93" s="1662" t="s">
        <v>716</v>
      </c>
      <c r="J93" s="1662" t="s">
        <v>299</v>
      </c>
      <c r="K93" s="1662" t="s">
        <v>2150</v>
      </c>
      <c r="L93" s="1662" t="s">
        <v>2109</v>
      </c>
      <c r="M93" s="1663"/>
      <c r="N93" s="1663"/>
      <c r="O93" s="1663"/>
      <c r="P93" s="1663"/>
      <c r="Q93" s="1663"/>
      <c r="R93" s="1663"/>
      <c r="S93" s="1663"/>
      <c r="T93" s="1663"/>
      <c r="U93" s="1663"/>
      <c r="V93" s="1663"/>
      <c r="W93" s="1663"/>
      <c r="X93" s="1663"/>
      <c r="Y93" s="1664">
        <v>43172</v>
      </c>
      <c r="Z93" s="1662" t="s">
        <v>2110</v>
      </c>
      <c r="AA93" s="1665">
        <v>0</v>
      </c>
      <c r="AB93" s="1665">
        <v>0</v>
      </c>
      <c r="AC93" s="1680">
        <v>0</v>
      </c>
      <c r="AD93" s="1682">
        <v>43203</v>
      </c>
      <c r="AE93" s="1679" t="s">
        <v>2130</v>
      </c>
      <c r="AF93" s="1662" t="s">
        <v>2112</v>
      </c>
      <c r="AG93" s="1666"/>
      <c r="AH93" s="1667">
        <v>850</v>
      </c>
      <c r="AI93" s="1665">
        <v>532.77</v>
      </c>
      <c r="AJ93" s="1665">
        <v>532.78</v>
      </c>
      <c r="AK93" s="1698">
        <v>532.78</v>
      </c>
      <c r="AL93" s="1665">
        <v>0</v>
      </c>
      <c r="AM93" s="1664">
        <v>43203</v>
      </c>
      <c r="AN93" s="1665">
        <v>850</v>
      </c>
      <c r="AO93" s="1665">
        <v>532.78</v>
      </c>
      <c r="AP93" s="1665">
        <v>532.78</v>
      </c>
      <c r="AQ93" s="1665">
        <v>532.78</v>
      </c>
      <c r="AR93" s="1665">
        <v>0</v>
      </c>
      <c r="AS93" s="1665">
        <v>317.22000000000003</v>
      </c>
      <c r="AT93" s="1665">
        <v>0</v>
      </c>
      <c r="AU93" s="1665">
        <v>0</v>
      </c>
      <c r="AV93" s="1665">
        <v>0</v>
      </c>
      <c r="AW93" s="1665">
        <v>317.22000000000003</v>
      </c>
      <c r="AX93" s="1663"/>
      <c r="AY93" s="1663"/>
      <c r="AZ93" s="1663"/>
      <c r="BA93" s="1668"/>
      <c r="BB93" s="1668"/>
      <c r="BC93" s="1663"/>
      <c r="BD93" s="1663"/>
      <c r="BE93" s="1665">
        <v>850</v>
      </c>
      <c r="BF93" s="1665">
        <v>532.78</v>
      </c>
      <c r="BG93" s="1665">
        <v>532.78</v>
      </c>
      <c r="BH93" s="1665">
        <v>532.78</v>
      </c>
      <c r="BI93" s="1665">
        <v>0</v>
      </c>
      <c r="BJ93" s="1665">
        <v>317.22000000000003</v>
      </c>
      <c r="BK93" s="1665">
        <v>0</v>
      </c>
      <c r="BL93" s="1665">
        <v>0</v>
      </c>
      <c r="BM93" s="1665">
        <v>0</v>
      </c>
      <c r="BN93" s="1665">
        <v>317.22000000000003</v>
      </c>
      <c r="BO93" s="1664">
        <v>43355</v>
      </c>
      <c r="BP93" s="1665">
        <v>850</v>
      </c>
      <c r="BQ93" s="1665">
        <v>532.78</v>
      </c>
      <c r="BR93" s="1665">
        <v>532.78</v>
      </c>
      <c r="BS93" s="1667">
        <v>532.78</v>
      </c>
      <c r="BT93" s="1665">
        <v>0</v>
      </c>
      <c r="BU93" s="1665">
        <v>317.22000000000003</v>
      </c>
      <c r="BV93" s="1665">
        <v>0</v>
      </c>
      <c r="BW93" s="1665">
        <v>0</v>
      </c>
      <c r="BX93" s="1665">
        <v>0</v>
      </c>
      <c r="BY93" s="1665">
        <v>317.22000000000003</v>
      </c>
      <c r="BZ93" s="1665">
        <v>0</v>
      </c>
      <c r="CA93" s="1663"/>
      <c r="CB93" s="1668"/>
      <c r="CC93" s="1668"/>
      <c r="CD93" s="1663"/>
      <c r="CE93" s="1663"/>
      <c r="CF93" s="1665">
        <v>0</v>
      </c>
      <c r="CG93" s="1665">
        <v>0</v>
      </c>
      <c r="CH93" s="1665">
        <v>0</v>
      </c>
      <c r="CI93" s="1665">
        <v>0</v>
      </c>
      <c r="CJ93" s="1665">
        <v>0</v>
      </c>
      <c r="CK93" s="1665">
        <v>0</v>
      </c>
      <c r="CL93" s="1668"/>
      <c r="CM93" s="1665">
        <v>0</v>
      </c>
      <c r="CN93" s="1665">
        <v>0</v>
      </c>
      <c r="CO93" s="1665">
        <v>0</v>
      </c>
      <c r="CP93" s="1665">
        <v>0</v>
      </c>
      <c r="CQ93" s="1665">
        <v>0</v>
      </c>
      <c r="CR93" s="1665">
        <v>0</v>
      </c>
      <c r="CS93" s="1665">
        <v>0</v>
      </c>
      <c r="CT93" s="1665">
        <v>0</v>
      </c>
      <c r="CU93" s="1665">
        <v>0</v>
      </c>
      <c r="CV93" s="1665">
        <v>0</v>
      </c>
      <c r="CW93" s="1668"/>
      <c r="CX93" s="1663"/>
      <c r="CY93" s="1663"/>
      <c r="CZ93" s="1663"/>
      <c r="DA93" s="1663"/>
      <c r="DB93" s="1668"/>
      <c r="DC93" s="1662"/>
      <c r="DD93" s="1665">
        <v>0</v>
      </c>
      <c r="DE93" s="1663"/>
      <c r="DF93" s="1663"/>
      <c r="DG93" s="1665">
        <v>0</v>
      </c>
      <c r="DH93" s="1665">
        <v>0</v>
      </c>
    </row>
    <row r="94" spans="1:112" ht="67.5" hidden="1" x14ac:dyDescent="0.25">
      <c r="A94" s="1662" t="s">
        <v>2087</v>
      </c>
      <c r="B94" s="1662" t="s">
        <v>1719</v>
      </c>
      <c r="C94" s="1662" t="s">
        <v>2621</v>
      </c>
      <c r="D94" s="1662" t="s">
        <v>2622</v>
      </c>
      <c r="E94" s="1662" t="s">
        <v>144</v>
      </c>
      <c r="F94" s="1662" t="s">
        <v>2616</v>
      </c>
      <c r="G94" s="1662" t="s">
        <v>2617</v>
      </c>
      <c r="H94" s="1662" t="s">
        <v>2618</v>
      </c>
      <c r="I94" s="1662" t="s">
        <v>716</v>
      </c>
      <c r="J94" s="1662" t="s">
        <v>299</v>
      </c>
      <c r="K94" s="1662" t="s">
        <v>2150</v>
      </c>
      <c r="L94" s="1662" t="s">
        <v>2109</v>
      </c>
      <c r="M94" s="1663"/>
      <c r="N94" s="1663"/>
      <c r="O94" s="1663"/>
      <c r="P94" s="1663"/>
      <c r="Q94" s="1663"/>
      <c r="R94" s="1663"/>
      <c r="S94" s="1663"/>
      <c r="T94" s="1663"/>
      <c r="U94" s="1663"/>
      <c r="V94" s="1663"/>
      <c r="W94" s="1663"/>
      <c r="X94" s="1663"/>
      <c r="Y94" s="1664">
        <v>43307</v>
      </c>
      <c r="Z94" s="1662" t="s">
        <v>2110</v>
      </c>
      <c r="AA94" s="1665">
        <v>0</v>
      </c>
      <c r="AB94" s="1665">
        <v>0</v>
      </c>
      <c r="AC94" s="1680">
        <v>0</v>
      </c>
      <c r="AD94" s="1682">
        <v>43333</v>
      </c>
      <c r="AE94" s="1679" t="s">
        <v>2131</v>
      </c>
      <c r="AF94" s="1662" t="s">
        <v>2115</v>
      </c>
      <c r="AG94" s="1666"/>
      <c r="AH94" s="1667">
        <v>60431.11</v>
      </c>
      <c r="AI94" s="1665">
        <v>30215.55</v>
      </c>
      <c r="AJ94" s="1665">
        <v>30215.55</v>
      </c>
      <c r="AK94" s="1698">
        <v>30215.55</v>
      </c>
      <c r="AL94" s="1665">
        <v>0</v>
      </c>
      <c r="AM94" s="1664">
        <v>43334</v>
      </c>
      <c r="AN94" s="1665">
        <v>60431.11</v>
      </c>
      <c r="AO94" s="1665">
        <v>30215.55</v>
      </c>
      <c r="AP94" s="1665">
        <v>30215.55</v>
      </c>
      <c r="AQ94" s="1665">
        <v>30215.55</v>
      </c>
      <c r="AR94" s="1665">
        <v>0</v>
      </c>
      <c r="AS94" s="1665">
        <v>30215.56</v>
      </c>
      <c r="AT94" s="1665">
        <v>0</v>
      </c>
      <c r="AU94" s="1665">
        <v>0</v>
      </c>
      <c r="AV94" s="1665">
        <v>0</v>
      </c>
      <c r="AW94" s="1665">
        <v>30215.56</v>
      </c>
      <c r="AX94" s="1663"/>
      <c r="AY94" s="1663"/>
      <c r="AZ94" s="1663"/>
      <c r="BA94" s="1668"/>
      <c r="BB94" s="1668"/>
      <c r="BC94" s="1663"/>
      <c r="BD94" s="1663"/>
      <c r="BE94" s="1665">
        <v>60431.11</v>
      </c>
      <c r="BF94" s="1665">
        <v>30215.55</v>
      </c>
      <c r="BG94" s="1665">
        <v>30215.55</v>
      </c>
      <c r="BH94" s="1665">
        <v>30215.55</v>
      </c>
      <c r="BI94" s="1665">
        <v>0</v>
      </c>
      <c r="BJ94" s="1665">
        <v>30215.56</v>
      </c>
      <c r="BK94" s="1665">
        <v>0</v>
      </c>
      <c r="BL94" s="1665">
        <v>0</v>
      </c>
      <c r="BM94" s="1665">
        <v>0</v>
      </c>
      <c r="BN94" s="1665">
        <v>30215.56</v>
      </c>
      <c r="BO94" s="1668"/>
      <c r="BP94" s="1665">
        <v>0</v>
      </c>
      <c r="BQ94" s="1665">
        <v>0</v>
      </c>
      <c r="BR94" s="1665">
        <v>0</v>
      </c>
      <c r="BS94" s="1667">
        <v>0</v>
      </c>
      <c r="BT94" s="1665">
        <v>0</v>
      </c>
      <c r="BU94" s="1665">
        <v>0</v>
      </c>
      <c r="BV94" s="1665">
        <v>0</v>
      </c>
      <c r="BW94" s="1665">
        <v>0</v>
      </c>
      <c r="BX94" s="1665">
        <v>0</v>
      </c>
      <c r="BY94" s="1665">
        <v>0</v>
      </c>
      <c r="BZ94" s="1665">
        <v>0</v>
      </c>
      <c r="CA94" s="1663"/>
      <c r="CB94" s="1668"/>
      <c r="CC94" s="1668"/>
      <c r="CD94" s="1663"/>
      <c r="CE94" s="1663"/>
      <c r="CF94" s="1665">
        <v>0</v>
      </c>
      <c r="CG94" s="1665">
        <v>0</v>
      </c>
      <c r="CH94" s="1665">
        <v>0</v>
      </c>
      <c r="CI94" s="1665">
        <v>0</v>
      </c>
      <c r="CJ94" s="1665">
        <v>0</v>
      </c>
      <c r="CK94" s="1665">
        <v>0</v>
      </c>
      <c r="CL94" s="1668"/>
      <c r="CM94" s="1665">
        <v>0</v>
      </c>
      <c r="CN94" s="1665">
        <v>0</v>
      </c>
      <c r="CO94" s="1665">
        <v>0</v>
      </c>
      <c r="CP94" s="1665">
        <v>0</v>
      </c>
      <c r="CQ94" s="1665">
        <v>0</v>
      </c>
      <c r="CR94" s="1665">
        <v>0</v>
      </c>
      <c r="CS94" s="1665">
        <v>0</v>
      </c>
      <c r="CT94" s="1665">
        <v>0</v>
      </c>
      <c r="CU94" s="1665">
        <v>0</v>
      </c>
      <c r="CV94" s="1665">
        <v>0</v>
      </c>
      <c r="CW94" s="1668"/>
      <c r="CX94" s="1663"/>
      <c r="CY94" s="1663"/>
      <c r="CZ94" s="1663"/>
      <c r="DA94" s="1663"/>
      <c r="DB94" s="1668"/>
      <c r="DC94" s="1662"/>
      <c r="DD94" s="1665">
        <v>0</v>
      </c>
      <c r="DE94" s="1663"/>
      <c r="DF94" s="1663"/>
      <c r="DG94" s="1665">
        <v>0</v>
      </c>
      <c r="DH94" s="1665">
        <v>0</v>
      </c>
    </row>
    <row r="95" spans="1:112" ht="67.5" hidden="1" x14ac:dyDescent="0.25">
      <c r="A95" s="1662" t="s">
        <v>2088</v>
      </c>
      <c r="B95" s="1662" t="s">
        <v>1719</v>
      </c>
      <c r="C95" s="1662" t="s">
        <v>2621</v>
      </c>
      <c r="D95" s="1662" t="s">
        <v>2622</v>
      </c>
      <c r="E95" s="1662" t="s">
        <v>144</v>
      </c>
      <c r="F95" s="1662" t="s">
        <v>2616</v>
      </c>
      <c r="G95" s="1662" t="s">
        <v>2617</v>
      </c>
      <c r="H95" s="1662" t="s">
        <v>2618</v>
      </c>
      <c r="I95" s="1662" t="s">
        <v>716</v>
      </c>
      <c r="J95" s="1662" t="s">
        <v>299</v>
      </c>
      <c r="K95" s="1662" t="s">
        <v>2150</v>
      </c>
      <c r="L95" s="1662" t="s">
        <v>2109</v>
      </c>
      <c r="M95" s="1663"/>
      <c r="N95" s="1663"/>
      <c r="O95" s="1663"/>
      <c r="P95" s="1663"/>
      <c r="Q95" s="1663"/>
      <c r="R95" s="1663"/>
      <c r="S95" s="1663"/>
      <c r="T95" s="1663"/>
      <c r="U95" s="1663"/>
      <c r="V95" s="1663"/>
      <c r="W95" s="1663"/>
      <c r="X95" s="1663"/>
      <c r="Y95" s="1664">
        <v>43354</v>
      </c>
      <c r="Z95" s="1662" t="s">
        <v>2110</v>
      </c>
      <c r="AA95" s="1665">
        <v>0</v>
      </c>
      <c r="AB95" s="1665">
        <v>0</v>
      </c>
      <c r="AC95" s="1680">
        <v>0</v>
      </c>
      <c r="AD95" s="1682">
        <v>43385</v>
      </c>
      <c r="AE95" s="1679" t="s">
        <v>2132</v>
      </c>
      <c r="AF95" s="1662" t="s">
        <v>2115</v>
      </c>
      <c r="AG95" s="1666"/>
      <c r="AH95" s="1667">
        <v>189660.09</v>
      </c>
      <c r="AI95" s="1665">
        <v>123754.94</v>
      </c>
      <c r="AJ95" s="1665">
        <v>123754.94</v>
      </c>
      <c r="AK95" s="1698">
        <v>123754.94</v>
      </c>
      <c r="AL95" s="1665">
        <v>0</v>
      </c>
      <c r="AM95" s="1668"/>
      <c r="AN95" s="1665">
        <v>0</v>
      </c>
      <c r="AO95" s="1665">
        <v>0</v>
      </c>
      <c r="AP95" s="1665">
        <v>0</v>
      </c>
      <c r="AQ95" s="1665">
        <v>0</v>
      </c>
      <c r="AR95" s="1665">
        <v>0</v>
      </c>
      <c r="AS95" s="1665">
        <v>0</v>
      </c>
      <c r="AT95" s="1665">
        <v>0</v>
      </c>
      <c r="AU95" s="1665">
        <v>0</v>
      </c>
      <c r="AV95" s="1665">
        <v>0</v>
      </c>
      <c r="AW95" s="1665">
        <v>0</v>
      </c>
      <c r="AX95" s="1663"/>
      <c r="AY95" s="1663"/>
      <c r="AZ95" s="1663"/>
      <c r="BA95" s="1668"/>
      <c r="BB95" s="1668"/>
      <c r="BC95" s="1663"/>
      <c r="BD95" s="1663"/>
      <c r="BE95" s="1665">
        <v>0</v>
      </c>
      <c r="BF95" s="1665">
        <v>0</v>
      </c>
      <c r="BG95" s="1665">
        <v>0</v>
      </c>
      <c r="BH95" s="1665">
        <v>0</v>
      </c>
      <c r="BI95" s="1665">
        <v>0</v>
      </c>
      <c r="BJ95" s="1665">
        <v>0</v>
      </c>
      <c r="BK95" s="1665">
        <v>0</v>
      </c>
      <c r="BL95" s="1665">
        <v>0</v>
      </c>
      <c r="BM95" s="1665">
        <v>0</v>
      </c>
      <c r="BN95" s="1665">
        <v>0</v>
      </c>
      <c r="BO95" s="1668"/>
      <c r="BP95" s="1665">
        <v>0</v>
      </c>
      <c r="BQ95" s="1665">
        <v>0</v>
      </c>
      <c r="BR95" s="1665">
        <v>0</v>
      </c>
      <c r="BS95" s="1667">
        <v>0</v>
      </c>
      <c r="BT95" s="1665">
        <v>0</v>
      </c>
      <c r="BU95" s="1665">
        <v>0</v>
      </c>
      <c r="BV95" s="1665">
        <v>0</v>
      </c>
      <c r="BW95" s="1665">
        <v>0</v>
      </c>
      <c r="BX95" s="1665">
        <v>0</v>
      </c>
      <c r="BY95" s="1665">
        <v>0</v>
      </c>
      <c r="BZ95" s="1663"/>
      <c r="CA95" s="1663"/>
      <c r="CB95" s="1668"/>
      <c r="CC95" s="1668"/>
      <c r="CD95" s="1663"/>
      <c r="CE95" s="1663"/>
      <c r="CF95" s="1665">
        <v>0</v>
      </c>
      <c r="CG95" s="1665">
        <v>0</v>
      </c>
      <c r="CH95" s="1665">
        <v>0</v>
      </c>
      <c r="CI95" s="1665">
        <v>0</v>
      </c>
      <c r="CJ95" s="1665">
        <v>0</v>
      </c>
      <c r="CK95" s="1665">
        <v>0</v>
      </c>
      <c r="CL95" s="1668"/>
      <c r="CM95" s="1665">
        <v>0</v>
      </c>
      <c r="CN95" s="1665">
        <v>0</v>
      </c>
      <c r="CO95" s="1665">
        <v>0</v>
      </c>
      <c r="CP95" s="1665">
        <v>0</v>
      </c>
      <c r="CQ95" s="1665">
        <v>0</v>
      </c>
      <c r="CR95" s="1665">
        <v>0</v>
      </c>
      <c r="CS95" s="1665">
        <v>0</v>
      </c>
      <c r="CT95" s="1665">
        <v>0</v>
      </c>
      <c r="CU95" s="1665">
        <v>0</v>
      </c>
      <c r="CV95" s="1665">
        <v>0</v>
      </c>
      <c r="CW95" s="1668"/>
      <c r="CX95" s="1663"/>
      <c r="CY95" s="1663"/>
      <c r="CZ95" s="1663"/>
      <c r="DA95" s="1663"/>
      <c r="DB95" s="1668"/>
      <c r="DC95" s="1662"/>
      <c r="DD95" s="1665">
        <v>0</v>
      </c>
      <c r="DE95" s="1663"/>
      <c r="DF95" s="1663"/>
      <c r="DG95" s="1665">
        <v>0</v>
      </c>
      <c r="DH95" s="1665">
        <v>0</v>
      </c>
    </row>
    <row r="96" spans="1:112" ht="67.5" hidden="1" x14ac:dyDescent="0.25">
      <c r="A96" s="1662" t="s">
        <v>2089</v>
      </c>
      <c r="B96" s="1662" t="s">
        <v>1719</v>
      </c>
      <c r="C96" s="1662" t="s">
        <v>2621</v>
      </c>
      <c r="D96" s="1662" t="s">
        <v>2622</v>
      </c>
      <c r="E96" s="1662" t="s">
        <v>144</v>
      </c>
      <c r="F96" s="1662" t="s">
        <v>2616</v>
      </c>
      <c r="G96" s="1662" t="s">
        <v>2617</v>
      </c>
      <c r="H96" s="1662" t="s">
        <v>2618</v>
      </c>
      <c r="I96" s="1662" t="s">
        <v>715</v>
      </c>
      <c r="J96" s="1662" t="s">
        <v>280</v>
      </c>
      <c r="K96" s="1662" t="s">
        <v>2152</v>
      </c>
      <c r="L96" s="1662" t="s">
        <v>2109</v>
      </c>
      <c r="M96" s="1665">
        <v>1288228.01</v>
      </c>
      <c r="N96" s="1665">
        <v>0</v>
      </c>
      <c r="O96" s="1665">
        <v>1288228.01</v>
      </c>
      <c r="P96" s="1665">
        <v>790102</v>
      </c>
      <c r="Q96" s="1665">
        <v>790102</v>
      </c>
      <c r="R96" s="1665">
        <v>790102</v>
      </c>
      <c r="S96" s="1665">
        <v>0</v>
      </c>
      <c r="T96" s="1665">
        <v>498126.01</v>
      </c>
      <c r="U96" s="1665">
        <v>0</v>
      </c>
      <c r="V96" s="1665">
        <v>0</v>
      </c>
      <c r="W96" s="1665">
        <v>0</v>
      </c>
      <c r="X96" s="1665">
        <v>498126.01</v>
      </c>
      <c r="Y96" s="1668"/>
      <c r="Z96" s="1662"/>
      <c r="AA96" s="1665">
        <v>0</v>
      </c>
      <c r="AB96" s="1665">
        <v>0</v>
      </c>
      <c r="AC96" s="1680">
        <v>0</v>
      </c>
      <c r="AD96" s="1681"/>
      <c r="AE96" s="1679"/>
      <c r="AF96" s="1662"/>
      <c r="AG96" s="1666"/>
      <c r="AH96" s="1667">
        <v>729380.31</v>
      </c>
      <c r="AI96" s="1665">
        <v>458579.51</v>
      </c>
      <c r="AJ96" s="1665">
        <v>458579.5</v>
      </c>
      <c r="AK96" s="1698">
        <v>458579.5</v>
      </c>
      <c r="AL96" s="1665">
        <v>0</v>
      </c>
      <c r="AM96" s="1668"/>
      <c r="AN96" s="1665">
        <v>729380.31</v>
      </c>
      <c r="AO96" s="1665">
        <v>458579.5</v>
      </c>
      <c r="AP96" s="1665">
        <v>458579.5</v>
      </c>
      <c r="AQ96" s="1665">
        <v>458579.5</v>
      </c>
      <c r="AR96" s="1665">
        <v>0</v>
      </c>
      <c r="AS96" s="1665">
        <v>270800.81</v>
      </c>
      <c r="AT96" s="1665">
        <v>0</v>
      </c>
      <c r="AU96" s="1665">
        <v>0</v>
      </c>
      <c r="AV96" s="1665">
        <v>0</v>
      </c>
      <c r="AW96" s="1665">
        <v>270800.81</v>
      </c>
      <c r="AX96" s="1665">
        <v>0</v>
      </c>
      <c r="AY96" s="1665">
        <v>0</v>
      </c>
      <c r="AZ96" s="1665">
        <v>0</v>
      </c>
      <c r="BA96" s="1668"/>
      <c r="BB96" s="1668"/>
      <c r="BC96" s="1665">
        <v>0</v>
      </c>
      <c r="BD96" s="1665">
        <v>0</v>
      </c>
      <c r="BE96" s="1665">
        <v>729380.31</v>
      </c>
      <c r="BF96" s="1665">
        <v>458579.5</v>
      </c>
      <c r="BG96" s="1665">
        <v>458579.5</v>
      </c>
      <c r="BH96" s="1665">
        <v>458579.5</v>
      </c>
      <c r="BI96" s="1665">
        <v>0</v>
      </c>
      <c r="BJ96" s="1665">
        <v>270800.81</v>
      </c>
      <c r="BK96" s="1665">
        <v>0</v>
      </c>
      <c r="BL96" s="1665">
        <v>0</v>
      </c>
      <c r="BM96" s="1665">
        <v>0</v>
      </c>
      <c r="BN96" s="1665">
        <v>270800.81</v>
      </c>
      <c r="BO96" s="1668"/>
      <c r="BP96" s="1665">
        <v>631708.72</v>
      </c>
      <c r="BQ96" s="1665">
        <v>384717.28</v>
      </c>
      <c r="BR96" s="1665">
        <v>384717.28</v>
      </c>
      <c r="BS96" s="1667">
        <v>384717.28</v>
      </c>
      <c r="BT96" s="1665">
        <v>0</v>
      </c>
      <c r="BU96" s="1665">
        <v>246991.44</v>
      </c>
      <c r="BV96" s="1665">
        <v>0</v>
      </c>
      <c r="BW96" s="1665">
        <v>0</v>
      </c>
      <c r="BX96" s="1665">
        <v>0</v>
      </c>
      <c r="BY96" s="1665">
        <v>246991.44</v>
      </c>
      <c r="BZ96" s="1665">
        <v>0</v>
      </c>
      <c r="CA96" s="1665">
        <v>0</v>
      </c>
      <c r="CB96" s="1668"/>
      <c r="CC96" s="1668"/>
      <c r="CD96" s="1665">
        <v>0</v>
      </c>
      <c r="CE96" s="1665">
        <v>0</v>
      </c>
      <c r="CF96" s="1665">
        <v>0</v>
      </c>
      <c r="CG96" s="1665">
        <v>0</v>
      </c>
      <c r="CH96" s="1665">
        <v>0</v>
      </c>
      <c r="CI96" s="1665">
        <v>0</v>
      </c>
      <c r="CJ96" s="1665">
        <v>0</v>
      </c>
      <c r="CK96" s="1665">
        <v>0</v>
      </c>
      <c r="CL96" s="1668"/>
      <c r="CM96" s="1665">
        <v>0</v>
      </c>
      <c r="CN96" s="1665">
        <v>0</v>
      </c>
      <c r="CO96" s="1665">
        <v>0</v>
      </c>
      <c r="CP96" s="1665">
        <v>0</v>
      </c>
      <c r="CQ96" s="1665">
        <v>0</v>
      </c>
      <c r="CR96" s="1665">
        <v>0</v>
      </c>
      <c r="CS96" s="1665">
        <v>0</v>
      </c>
      <c r="CT96" s="1665">
        <v>0</v>
      </c>
      <c r="CU96" s="1665">
        <v>0</v>
      </c>
      <c r="CV96" s="1665">
        <v>0</v>
      </c>
      <c r="CW96" s="1668"/>
      <c r="CX96" s="1665">
        <v>0</v>
      </c>
      <c r="CY96" s="1665">
        <v>0</v>
      </c>
      <c r="CZ96" s="1665">
        <v>0</v>
      </c>
      <c r="DA96" s="1665">
        <v>0</v>
      </c>
      <c r="DB96" s="1668"/>
      <c r="DC96" s="1662"/>
      <c r="DD96" s="1665">
        <v>0</v>
      </c>
      <c r="DE96" s="1665">
        <v>0</v>
      </c>
      <c r="DF96" s="1665">
        <v>0</v>
      </c>
      <c r="DG96" s="1665">
        <v>0</v>
      </c>
      <c r="DH96" s="1665">
        <v>0</v>
      </c>
    </row>
    <row r="97" spans="1:112" ht="67.5" hidden="1" x14ac:dyDescent="0.25">
      <c r="A97" s="1662" t="s">
        <v>2090</v>
      </c>
      <c r="B97" s="1662" t="s">
        <v>1719</v>
      </c>
      <c r="C97" s="1662" t="s">
        <v>2621</v>
      </c>
      <c r="D97" s="1662" t="s">
        <v>2622</v>
      </c>
      <c r="E97" s="1662" t="s">
        <v>144</v>
      </c>
      <c r="F97" s="1662" t="s">
        <v>2616</v>
      </c>
      <c r="G97" s="1662" t="s">
        <v>2617</v>
      </c>
      <c r="H97" s="1662" t="s">
        <v>2618</v>
      </c>
      <c r="I97" s="1662" t="s">
        <v>715</v>
      </c>
      <c r="J97" s="1662" t="s">
        <v>280</v>
      </c>
      <c r="K97" s="1662" t="s">
        <v>2152</v>
      </c>
      <c r="L97" s="1662" t="s">
        <v>2109</v>
      </c>
      <c r="M97" s="1663"/>
      <c r="N97" s="1663"/>
      <c r="O97" s="1663"/>
      <c r="P97" s="1663"/>
      <c r="Q97" s="1663"/>
      <c r="R97" s="1663"/>
      <c r="S97" s="1663"/>
      <c r="T97" s="1663"/>
      <c r="U97" s="1663"/>
      <c r="V97" s="1663"/>
      <c r="W97" s="1663"/>
      <c r="X97" s="1663"/>
      <c r="Y97" s="1664">
        <v>43038</v>
      </c>
      <c r="Z97" s="1662" t="s">
        <v>2110</v>
      </c>
      <c r="AA97" s="1665">
        <v>0</v>
      </c>
      <c r="AB97" s="1665">
        <v>0</v>
      </c>
      <c r="AC97" s="1680">
        <v>0</v>
      </c>
      <c r="AD97" s="1682">
        <v>43069</v>
      </c>
      <c r="AE97" s="1679" t="s">
        <v>2111</v>
      </c>
      <c r="AF97" s="1662" t="s">
        <v>2115</v>
      </c>
      <c r="AG97" s="1666"/>
      <c r="AH97" s="1667">
        <v>419547</v>
      </c>
      <c r="AI97" s="1665">
        <v>273450.02</v>
      </c>
      <c r="AJ97" s="1665">
        <v>273450.02</v>
      </c>
      <c r="AK97" s="1698">
        <v>273450.02</v>
      </c>
      <c r="AL97" s="1665">
        <v>0</v>
      </c>
      <c r="AM97" s="1664">
        <v>43083</v>
      </c>
      <c r="AN97" s="1665">
        <v>419547</v>
      </c>
      <c r="AO97" s="1665">
        <v>273450.02</v>
      </c>
      <c r="AP97" s="1665">
        <v>273450.02</v>
      </c>
      <c r="AQ97" s="1665">
        <v>273450.02</v>
      </c>
      <c r="AR97" s="1665">
        <v>0</v>
      </c>
      <c r="AS97" s="1665">
        <v>146096.98000000001</v>
      </c>
      <c r="AT97" s="1665">
        <v>0</v>
      </c>
      <c r="AU97" s="1665">
        <v>0</v>
      </c>
      <c r="AV97" s="1665">
        <v>0</v>
      </c>
      <c r="AW97" s="1665">
        <v>146096.98000000001</v>
      </c>
      <c r="AX97" s="1663"/>
      <c r="AY97" s="1663"/>
      <c r="AZ97" s="1663"/>
      <c r="BA97" s="1668"/>
      <c r="BB97" s="1668"/>
      <c r="BC97" s="1663"/>
      <c r="BD97" s="1663"/>
      <c r="BE97" s="1665">
        <v>419547</v>
      </c>
      <c r="BF97" s="1665">
        <v>273450.02</v>
      </c>
      <c r="BG97" s="1665">
        <v>273450.02</v>
      </c>
      <c r="BH97" s="1665">
        <v>273450.02</v>
      </c>
      <c r="BI97" s="1665">
        <v>0</v>
      </c>
      <c r="BJ97" s="1665">
        <v>146096.98000000001</v>
      </c>
      <c r="BK97" s="1665">
        <v>0</v>
      </c>
      <c r="BL97" s="1665">
        <v>0</v>
      </c>
      <c r="BM97" s="1665">
        <v>0</v>
      </c>
      <c r="BN97" s="1665">
        <v>146096.98000000001</v>
      </c>
      <c r="BO97" s="1664">
        <v>43189</v>
      </c>
      <c r="BP97" s="1665">
        <v>419547</v>
      </c>
      <c r="BQ97" s="1665">
        <v>273450.02</v>
      </c>
      <c r="BR97" s="1665">
        <v>273450.02</v>
      </c>
      <c r="BS97" s="1667">
        <v>273450.02</v>
      </c>
      <c r="BT97" s="1665">
        <v>0</v>
      </c>
      <c r="BU97" s="1665">
        <v>146096.98000000001</v>
      </c>
      <c r="BV97" s="1665">
        <v>0</v>
      </c>
      <c r="BW97" s="1665">
        <v>0</v>
      </c>
      <c r="BX97" s="1665">
        <v>0</v>
      </c>
      <c r="BY97" s="1665">
        <v>146096.98000000001</v>
      </c>
      <c r="BZ97" s="1665">
        <v>0</v>
      </c>
      <c r="CA97" s="1663"/>
      <c r="CB97" s="1668"/>
      <c r="CC97" s="1668"/>
      <c r="CD97" s="1663"/>
      <c r="CE97" s="1663"/>
      <c r="CF97" s="1665">
        <v>0</v>
      </c>
      <c r="CG97" s="1665">
        <v>0</v>
      </c>
      <c r="CH97" s="1665">
        <v>0</v>
      </c>
      <c r="CI97" s="1665">
        <v>0</v>
      </c>
      <c r="CJ97" s="1665">
        <v>0</v>
      </c>
      <c r="CK97" s="1665">
        <v>0</v>
      </c>
      <c r="CL97" s="1668"/>
      <c r="CM97" s="1665">
        <v>0</v>
      </c>
      <c r="CN97" s="1665">
        <v>0</v>
      </c>
      <c r="CO97" s="1665">
        <v>0</v>
      </c>
      <c r="CP97" s="1665">
        <v>0</v>
      </c>
      <c r="CQ97" s="1665">
        <v>0</v>
      </c>
      <c r="CR97" s="1665">
        <v>0</v>
      </c>
      <c r="CS97" s="1665">
        <v>0</v>
      </c>
      <c r="CT97" s="1665">
        <v>0</v>
      </c>
      <c r="CU97" s="1665">
        <v>0</v>
      </c>
      <c r="CV97" s="1665">
        <v>0</v>
      </c>
      <c r="CW97" s="1668"/>
      <c r="CX97" s="1663"/>
      <c r="CY97" s="1663"/>
      <c r="CZ97" s="1663"/>
      <c r="DA97" s="1663"/>
      <c r="DB97" s="1668"/>
      <c r="DC97" s="1662"/>
      <c r="DD97" s="1665">
        <v>0</v>
      </c>
      <c r="DE97" s="1663"/>
      <c r="DF97" s="1663"/>
      <c r="DG97" s="1665">
        <v>0</v>
      </c>
      <c r="DH97" s="1665">
        <v>0</v>
      </c>
    </row>
    <row r="98" spans="1:112" ht="67.5" hidden="1" x14ac:dyDescent="0.25">
      <c r="A98" s="1662" t="s">
        <v>2091</v>
      </c>
      <c r="B98" s="1662" t="s">
        <v>1719</v>
      </c>
      <c r="C98" s="1662" t="s">
        <v>2621</v>
      </c>
      <c r="D98" s="1662" t="s">
        <v>2622</v>
      </c>
      <c r="E98" s="1662" t="s">
        <v>144</v>
      </c>
      <c r="F98" s="1662" t="s">
        <v>2616</v>
      </c>
      <c r="G98" s="1662" t="s">
        <v>2617</v>
      </c>
      <c r="H98" s="1662" t="s">
        <v>2618</v>
      </c>
      <c r="I98" s="1662" t="s">
        <v>715</v>
      </c>
      <c r="J98" s="1662" t="s">
        <v>280</v>
      </c>
      <c r="K98" s="1662" t="s">
        <v>2152</v>
      </c>
      <c r="L98" s="1662" t="s">
        <v>2109</v>
      </c>
      <c r="M98" s="1663"/>
      <c r="N98" s="1663"/>
      <c r="O98" s="1663"/>
      <c r="P98" s="1663"/>
      <c r="Q98" s="1663"/>
      <c r="R98" s="1663"/>
      <c r="S98" s="1663"/>
      <c r="T98" s="1663"/>
      <c r="U98" s="1663"/>
      <c r="V98" s="1663"/>
      <c r="W98" s="1663"/>
      <c r="X98" s="1663"/>
      <c r="Y98" s="1664">
        <v>43129</v>
      </c>
      <c r="Z98" s="1662" t="s">
        <v>2110</v>
      </c>
      <c r="AA98" s="1665">
        <v>0</v>
      </c>
      <c r="AB98" s="1665">
        <v>0</v>
      </c>
      <c r="AC98" s="1680">
        <v>0</v>
      </c>
      <c r="AD98" s="1682">
        <v>43167</v>
      </c>
      <c r="AE98" s="1679" t="s">
        <v>2114</v>
      </c>
      <c r="AF98" s="1662" t="s">
        <v>2115</v>
      </c>
      <c r="AG98" s="1666"/>
      <c r="AH98" s="1667">
        <v>28240</v>
      </c>
      <c r="AI98" s="1665">
        <v>17320.29</v>
      </c>
      <c r="AJ98" s="1665">
        <v>17320.29</v>
      </c>
      <c r="AK98" s="1698">
        <v>17320.29</v>
      </c>
      <c r="AL98" s="1665">
        <v>0</v>
      </c>
      <c r="AM98" s="1664">
        <v>43187</v>
      </c>
      <c r="AN98" s="1665">
        <v>28240</v>
      </c>
      <c r="AO98" s="1665">
        <v>17320.29</v>
      </c>
      <c r="AP98" s="1665">
        <v>17320.29</v>
      </c>
      <c r="AQ98" s="1665">
        <v>17320.29</v>
      </c>
      <c r="AR98" s="1665">
        <v>0</v>
      </c>
      <c r="AS98" s="1665">
        <v>10919.71</v>
      </c>
      <c r="AT98" s="1665">
        <v>0</v>
      </c>
      <c r="AU98" s="1665">
        <v>0</v>
      </c>
      <c r="AV98" s="1665">
        <v>0</v>
      </c>
      <c r="AW98" s="1665">
        <v>10919.71</v>
      </c>
      <c r="AX98" s="1663"/>
      <c r="AY98" s="1663"/>
      <c r="AZ98" s="1663"/>
      <c r="BA98" s="1668"/>
      <c r="BB98" s="1668"/>
      <c r="BC98" s="1663"/>
      <c r="BD98" s="1663"/>
      <c r="BE98" s="1665">
        <v>28240</v>
      </c>
      <c r="BF98" s="1665">
        <v>17320.29</v>
      </c>
      <c r="BG98" s="1665">
        <v>17320.29</v>
      </c>
      <c r="BH98" s="1665">
        <v>17320.29</v>
      </c>
      <c r="BI98" s="1665">
        <v>0</v>
      </c>
      <c r="BJ98" s="1665">
        <v>10919.71</v>
      </c>
      <c r="BK98" s="1665">
        <v>0</v>
      </c>
      <c r="BL98" s="1665">
        <v>0</v>
      </c>
      <c r="BM98" s="1665">
        <v>0</v>
      </c>
      <c r="BN98" s="1665">
        <v>10919.71</v>
      </c>
      <c r="BO98" s="1664">
        <v>43230</v>
      </c>
      <c r="BP98" s="1665">
        <v>28240</v>
      </c>
      <c r="BQ98" s="1665">
        <v>17320.29</v>
      </c>
      <c r="BR98" s="1665">
        <v>17320.29</v>
      </c>
      <c r="BS98" s="1667">
        <v>17320.29</v>
      </c>
      <c r="BT98" s="1665">
        <v>0</v>
      </c>
      <c r="BU98" s="1665">
        <v>10919.71</v>
      </c>
      <c r="BV98" s="1665">
        <v>0</v>
      </c>
      <c r="BW98" s="1665">
        <v>0</v>
      </c>
      <c r="BX98" s="1665">
        <v>0</v>
      </c>
      <c r="BY98" s="1665">
        <v>10919.71</v>
      </c>
      <c r="BZ98" s="1665">
        <v>0</v>
      </c>
      <c r="CA98" s="1663"/>
      <c r="CB98" s="1668"/>
      <c r="CC98" s="1668"/>
      <c r="CD98" s="1663"/>
      <c r="CE98" s="1663"/>
      <c r="CF98" s="1665">
        <v>0</v>
      </c>
      <c r="CG98" s="1665">
        <v>0</v>
      </c>
      <c r="CH98" s="1665">
        <v>0</v>
      </c>
      <c r="CI98" s="1665">
        <v>0</v>
      </c>
      <c r="CJ98" s="1665">
        <v>0</v>
      </c>
      <c r="CK98" s="1665">
        <v>0</v>
      </c>
      <c r="CL98" s="1668"/>
      <c r="CM98" s="1665">
        <v>0</v>
      </c>
      <c r="CN98" s="1665">
        <v>0</v>
      </c>
      <c r="CO98" s="1665">
        <v>0</v>
      </c>
      <c r="CP98" s="1665">
        <v>0</v>
      </c>
      <c r="CQ98" s="1665">
        <v>0</v>
      </c>
      <c r="CR98" s="1665">
        <v>0</v>
      </c>
      <c r="CS98" s="1665">
        <v>0</v>
      </c>
      <c r="CT98" s="1665">
        <v>0</v>
      </c>
      <c r="CU98" s="1665">
        <v>0</v>
      </c>
      <c r="CV98" s="1665">
        <v>0</v>
      </c>
      <c r="CW98" s="1668"/>
      <c r="CX98" s="1663"/>
      <c r="CY98" s="1663"/>
      <c r="CZ98" s="1663"/>
      <c r="DA98" s="1663"/>
      <c r="DB98" s="1668"/>
      <c r="DC98" s="1662"/>
      <c r="DD98" s="1665">
        <v>0</v>
      </c>
      <c r="DE98" s="1663"/>
      <c r="DF98" s="1663"/>
      <c r="DG98" s="1665">
        <v>0</v>
      </c>
      <c r="DH98" s="1665">
        <v>0</v>
      </c>
    </row>
    <row r="99" spans="1:112" ht="67.5" hidden="1" x14ac:dyDescent="0.25">
      <c r="A99" s="1662" t="s">
        <v>2092</v>
      </c>
      <c r="B99" s="1662" t="s">
        <v>1719</v>
      </c>
      <c r="C99" s="1662" t="s">
        <v>2621</v>
      </c>
      <c r="D99" s="1662" t="s">
        <v>2622</v>
      </c>
      <c r="E99" s="1662" t="s">
        <v>144</v>
      </c>
      <c r="F99" s="1662" t="s">
        <v>2616</v>
      </c>
      <c r="G99" s="1662" t="s">
        <v>2617</v>
      </c>
      <c r="H99" s="1662" t="s">
        <v>2618</v>
      </c>
      <c r="I99" s="1662" t="s">
        <v>715</v>
      </c>
      <c r="J99" s="1662" t="s">
        <v>280</v>
      </c>
      <c r="K99" s="1662" t="s">
        <v>2152</v>
      </c>
      <c r="L99" s="1662" t="s">
        <v>2109</v>
      </c>
      <c r="M99" s="1663"/>
      <c r="N99" s="1663"/>
      <c r="O99" s="1663"/>
      <c r="P99" s="1663"/>
      <c r="Q99" s="1663"/>
      <c r="R99" s="1663"/>
      <c r="S99" s="1663"/>
      <c r="T99" s="1663"/>
      <c r="U99" s="1663"/>
      <c r="V99" s="1663"/>
      <c r="W99" s="1663"/>
      <c r="X99" s="1663"/>
      <c r="Y99" s="1664">
        <v>43259</v>
      </c>
      <c r="Z99" s="1662" t="s">
        <v>2110</v>
      </c>
      <c r="AA99" s="1665">
        <v>0</v>
      </c>
      <c r="AB99" s="1665">
        <v>0</v>
      </c>
      <c r="AC99" s="1680">
        <v>0</v>
      </c>
      <c r="AD99" s="1682">
        <v>43273</v>
      </c>
      <c r="AE99" s="1679" t="s">
        <v>2129</v>
      </c>
      <c r="AF99" s="1662" t="s">
        <v>2115</v>
      </c>
      <c r="AG99" s="1666"/>
      <c r="AH99" s="1667">
        <v>183921.72</v>
      </c>
      <c r="AI99" s="1665">
        <v>93946.97</v>
      </c>
      <c r="AJ99" s="1665">
        <v>93946.97</v>
      </c>
      <c r="AK99" s="1698">
        <v>93946.97</v>
      </c>
      <c r="AL99" s="1665">
        <v>0</v>
      </c>
      <c r="AM99" s="1664">
        <v>43290</v>
      </c>
      <c r="AN99" s="1665">
        <v>183921.72</v>
      </c>
      <c r="AO99" s="1665">
        <v>93946.97</v>
      </c>
      <c r="AP99" s="1665">
        <v>93946.97</v>
      </c>
      <c r="AQ99" s="1665">
        <v>93946.97</v>
      </c>
      <c r="AR99" s="1665">
        <v>0</v>
      </c>
      <c r="AS99" s="1665">
        <v>89974.75</v>
      </c>
      <c r="AT99" s="1665">
        <v>0</v>
      </c>
      <c r="AU99" s="1665">
        <v>0</v>
      </c>
      <c r="AV99" s="1665">
        <v>0</v>
      </c>
      <c r="AW99" s="1665">
        <v>89974.75</v>
      </c>
      <c r="AX99" s="1663"/>
      <c r="AY99" s="1663"/>
      <c r="AZ99" s="1663"/>
      <c r="BA99" s="1668"/>
      <c r="BB99" s="1668"/>
      <c r="BC99" s="1663"/>
      <c r="BD99" s="1663"/>
      <c r="BE99" s="1665">
        <v>183921.72</v>
      </c>
      <c r="BF99" s="1665">
        <v>93946.97</v>
      </c>
      <c r="BG99" s="1665">
        <v>93946.97</v>
      </c>
      <c r="BH99" s="1665">
        <v>93946.97</v>
      </c>
      <c r="BI99" s="1665">
        <v>0</v>
      </c>
      <c r="BJ99" s="1665">
        <v>89974.75</v>
      </c>
      <c r="BK99" s="1665">
        <v>0</v>
      </c>
      <c r="BL99" s="1665">
        <v>0</v>
      </c>
      <c r="BM99" s="1665">
        <v>0</v>
      </c>
      <c r="BN99" s="1665">
        <v>89974.75</v>
      </c>
      <c r="BO99" s="1664">
        <v>43355</v>
      </c>
      <c r="BP99" s="1665">
        <v>183921.72</v>
      </c>
      <c r="BQ99" s="1665">
        <v>93946.97</v>
      </c>
      <c r="BR99" s="1665">
        <v>93946.97</v>
      </c>
      <c r="BS99" s="1667">
        <v>93946.97</v>
      </c>
      <c r="BT99" s="1665">
        <v>0</v>
      </c>
      <c r="BU99" s="1665">
        <v>89974.75</v>
      </c>
      <c r="BV99" s="1665">
        <v>0</v>
      </c>
      <c r="BW99" s="1665">
        <v>0</v>
      </c>
      <c r="BX99" s="1665">
        <v>0</v>
      </c>
      <c r="BY99" s="1665">
        <v>89974.75</v>
      </c>
      <c r="BZ99" s="1665">
        <v>0</v>
      </c>
      <c r="CA99" s="1663"/>
      <c r="CB99" s="1668"/>
      <c r="CC99" s="1668"/>
      <c r="CD99" s="1663"/>
      <c r="CE99" s="1663"/>
      <c r="CF99" s="1665">
        <v>0</v>
      </c>
      <c r="CG99" s="1665">
        <v>0</v>
      </c>
      <c r="CH99" s="1665">
        <v>0</v>
      </c>
      <c r="CI99" s="1665">
        <v>0</v>
      </c>
      <c r="CJ99" s="1665">
        <v>0</v>
      </c>
      <c r="CK99" s="1665">
        <v>0</v>
      </c>
      <c r="CL99" s="1668"/>
      <c r="CM99" s="1665">
        <v>0</v>
      </c>
      <c r="CN99" s="1665">
        <v>0</v>
      </c>
      <c r="CO99" s="1665">
        <v>0</v>
      </c>
      <c r="CP99" s="1665">
        <v>0</v>
      </c>
      <c r="CQ99" s="1665">
        <v>0</v>
      </c>
      <c r="CR99" s="1665">
        <v>0</v>
      </c>
      <c r="CS99" s="1665">
        <v>0</v>
      </c>
      <c r="CT99" s="1665">
        <v>0</v>
      </c>
      <c r="CU99" s="1665">
        <v>0</v>
      </c>
      <c r="CV99" s="1665">
        <v>0</v>
      </c>
      <c r="CW99" s="1668"/>
      <c r="CX99" s="1663"/>
      <c r="CY99" s="1663"/>
      <c r="CZ99" s="1663"/>
      <c r="DA99" s="1663"/>
      <c r="DB99" s="1668"/>
      <c r="DC99" s="1662"/>
      <c r="DD99" s="1665">
        <v>0</v>
      </c>
      <c r="DE99" s="1663"/>
      <c r="DF99" s="1663"/>
      <c r="DG99" s="1665">
        <v>0</v>
      </c>
      <c r="DH99" s="1665">
        <v>0</v>
      </c>
    </row>
    <row r="100" spans="1:112" ht="67.5" hidden="1" x14ac:dyDescent="0.25">
      <c r="A100" s="1662" t="s">
        <v>2093</v>
      </c>
      <c r="B100" s="1662" t="s">
        <v>1719</v>
      </c>
      <c r="C100" s="1662" t="s">
        <v>2621</v>
      </c>
      <c r="D100" s="1662" t="s">
        <v>2622</v>
      </c>
      <c r="E100" s="1662" t="s">
        <v>144</v>
      </c>
      <c r="F100" s="1662" t="s">
        <v>2616</v>
      </c>
      <c r="G100" s="1662" t="s">
        <v>2617</v>
      </c>
      <c r="H100" s="1662" t="s">
        <v>2618</v>
      </c>
      <c r="I100" s="1662" t="s">
        <v>715</v>
      </c>
      <c r="J100" s="1662" t="s">
        <v>280</v>
      </c>
      <c r="K100" s="1662" t="s">
        <v>2152</v>
      </c>
      <c r="L100" s="1662" t="s">
        <v>2109</v>
      </c>
      <c r="M100" s="1663"/>
      <c r="N100" s="1663"/>
      <c r="O100" s="1663"/>
      <c r="P100" s="1663"/>
      <c r="Q100" s="1663"/>
      <c r="R100" s="1663"/>
      <c r="S100" s="1663"/>
      <c r="T100" s="1663"/>
      <c r="U100" s="1663"/>
      <c r="V100" s="1663"/>
      <c r="W100" s="1663"/>
      <c r="X100" s="1663"/>
      <c r="Y100" s="1664">
        <v>43321</v>
      </c>
      <c r="Z100" s="1662" t="s">
        <v>2110</v>
      </c>
      <c r="AA100" s="1665">
        <v>0</v>
      </c>
      <c r="AB100" s="1665">
        <v>0</v>
      </c>
      <c r="AC100" s="1680">
        <v>0</v>
      </c>
      <c r="AD100" s="1682">
        <v>43343</v>
      </c>
      <c r="AE100" s="1679" t="s">
        <v>2130</v>
      </c>
      <c r="AF100" s="1662" t="s">
        <v>2115</v>
      </c>
      <c r="AG100" s="1666"/>
      <c r="AH100" s="1667">
        <v>97671.59</v>
      </c>
      <c r="AI100" s="1665">
        <v>73862.23</v>
      </c>
      <c r="AJ100" s="1665">
        <v>73862.22</v>
      </c>
      <c r="AK100" s="1698">
        <v>73862.22</v>
      </c>
      <c r="AL100" s="1665">
        <v>0</v>
      </c>
      <c r="AM100" s="1664">
        <v>43363</v>
      </c>
      <c r="AN100" s="1665">
        <v>97671.59</v>
      </c>
      <c r="AO100" s="1665">
        <v>73862.22</v>
      </c>
      <c r="AP100" s="1665">
        <v>73862.22</v>
      </c>
      <c r="AQ100" s="1665">
        <v>73862.22</v>
      </c>
      <c r="AR100" s="1665">
        <v>0</v>
      </c>
      <c r="AS100" s="1665">
        <v>23809.37</v>
      </c>
      <c r="AT100" s="1665">
        <v>0</v>
      </c>
      <c r="AU100" s="1665">
        <v>0</v>
      </c>
      <c r="AV100" s="1665">
        <v>0</v>
      </c>
      <c r="AW100" s="1665">
        <v>23809.37</v>
      </c>
      <c r="AX100" s="1663"/>
      <c r="AY100" s="1663"/>
      <c r="AZ100" s="1663"/>
      <c r="BA100" s="1668"/>
      <c r="BB100" s="1668"/>
      <c r="BC100" s="1663"/>
      <c r="BD100" s="1663"/>
      <c r="BE100" s="1665">
        <v>97671.59</v>
      </c>
      <c r="BF100" s="1665">
        <v>73862.22</v>
      </c>
      <c r="BG100" s="1665">
        <v>73862.22</v>
      </c>
      <c r="BH100" s="1665">
        <v>73862.22</v>
      </c>
      <c r="BI100" s="1665">
        <v>0</v>
      </c>
      <c r="BJ100" s="1665">
        <v>23809.37</v>
      </c>
      <c r="BK100" s="1665">
        <v>0</v>
      </c>
      <c r="BL100" s="1665">
        <v>0</v>
      </c>
      <c r="BM100" s="1665">
        <v>0</v>
      </c>
      <c r="BN100" s="1665">
        <v>23809.37</v>
      </c>
      <c r="BO100" s="1668"/>
      <c r="BP100" s="1665">
        <v>0</v>
      </c>
      <c r="BQ100" s="1665">
        <v>0</v>
      </c>
      <c r="BR100" s="1665">
        <v>0</v>
      </c>
      <c r="BS100" s="1667">
        <v>0</v>
      </c>
      <c r="BT100" s="1665">
        <v>0</v>
      </c>
      <c r="BU100" s="1665">
        <v>0</v>
      </c>
      <c r="BV100" s="1665">
        <v>0</v>
      </c>
      <c r="BW100" s="1665">
        <v>0</v>
      </c>
      <c r="BX100" s="1665">
        <v>0</v>
      </c>
      <c r="BY100" s="1665">
        <v>0</v>
      </c>
      <c r="BZ100" s="1665">
        <v>0</v>
      </c>
      <c r="CA100" s="1663"/>
      <c r="CB100" s="1668"/>
      <c r="CC100" s="1668"/>
      <c r="CD100" s="1663"/>
      <c r="CE100" s="1663"/>
      <c r="CF100" s="1665">
        <v>0</v>
      </c>
      <c r="CG100" s="1665">
        <v>0</v>
      </c>
      <c r="CH100" s="1665">
        <v>0</v>
      </c>
      <c r="CI100" s="1665">
        <v>0</v>
      </c>
      <c r="CJ100" s="1665">
        <v>0</v>
      </c>
      <c r="CK100" s="1665">
        <v>0</v>
      </c>
      <c r="CL100" s="1668"/>
      <c r="CM100" s="1665">
        <v>0</v>
      </c>
      <c r="CN100" s="1665">
        <v>0</v>
      </c>
      <c r="CO100" s="1665">
        <v>0</v>
      </c>
      <c r="CP100" s="1665">
        <v>0</v>
      </c>
      <c r="CQ100" s="1665">
        <v>0</v>
      </c>
      <c r="CR100" s="1665">
        <v>0</v>
      </c>
      <c r="CS100" s="1665">
        <v>0</v>
      </c>
      <c r="CT100" s="1665">
        <v>0</v>
      </c>
      <c r="CU100" s="1665">
        <v>0</v>
      </c>
      <c r="CV100" s="1665">
        <v>0</v>
      </c>
      <c r="CW100" s="1668"/>
      <c r="CX100" s="1663"/>
      <c r="CY100" s="1663"/>
      <c r="CZ100" s="1663"/>
      <c r="DA100" s="1663"/>
      <c r="DB100" s="1668"/>
      <c r="DC100" s="1662"/>
      <c r="DD100" s="1665">
        <v>0</v>
      </c>
      <c r="DE100" s="1663"/>
      <c r="DF100" s="1663"/>
      <c r="DG100" s="1665">
        <v>0</v>
      </c>
      <c r="DH100" s="1665">
        <v>0</v>
      </c>
    </row>
    <row r="101" spans="1:112" ht="56.25" hidden="1" x14ac:dyDescent="0.25">
      <c r="A101" s="1662" t="s">
        <v>2094</v>
      </c>
      <c r="B101" s="1662" t="s">
        <v>1719</v>
      </c>
      <c r="C101" s="1662" t="s">
        <v>2621</v>
      </c>
      <c r="D101" s="1662" t="s">
        <v>2622</v>
      </c>
      <c r="E101" s="1662" t="s">
        <v>144</v>
      </c>
      <c r="F101" s="1662" t="s">
        <v>2616</v>
      </c>
      <c r="G101" s="1662" t="s">
        <v>2617</v>
      </c>
      <c r="H101" s="1662" t="s">
        <v>2618</v>
      </c>
      <c r="I101" s="1662" t="s">
        <v>714</v>
      </c>
      <c r="J101" s="1662" t="s">
        <v>306</v>
      </c>
      <c r="K101" s="1662" t="s">
        <v>2153</v>
      </c>
      <c r="L101" s="1662" t="s">
        <v>2109</v>
      </c>
      <c r="M101" s="1665">
        <v>1481000</v>
      </c>
      <c r="N101" s="1665">
        <v>0</v>
      </c>
      <c r="O101" s="1665">
        <v>1481000</v>
      </c>
      <c r="P101" s="1665">
        <v>867744</v>
      </c>
      <c r="Q101" s="1665">
        <v>867744</v>
      </c>
      <c r="R101" s="1665">
        <v>867744</v>
      </c>
      <c r="S101" s="1665">
        <v>0</v>
      </c>
      <c r="T101" s="1665">
        <v>613256</v>
      </c>
      <c r="U101" s="1665">
        <v>0</v>
      </c>
      <c r="V101" s="1665">
        <v>0</v>
      </c>
      <c r="W101" s="1665">
        <v>0</v>
      </c>
      <c r="X101" s="1665">
        <v>613256</v>
      </c>
      <c r="Y101" s="1668"/>
      <c r="Z101" s="1662"/>
      <c r="AA101" s="1665">
        <v>0</v>
      </c>
      <c r="AB101" s="1665">
        <v>0</v>
      </c>
      <c r="AC101" s="1680">
        <v>0</v>
      </c>
      <c r="AD101" s="1681"/>
      <c r="AE101" s="1679"/>
      <c r="AF101" s="1662"/>
      <c r="AG101" s="1666"/>
      <c r="AH101" s="1667">
        <v>9778.26</v>
      </c>
      <c r="AI101" s="1665">
        <v>5127.0600000000004</v>
      </c>
      <c r="AJ101" s="1665">
        <v>5127.0600000000004</v>
      </c>
      <c r="AK101" s="1698">
        <v>5127.0600000000004</v>
      </c>
      <c r="AL101" s="1665">
        <v>0</v>
      </c>
      <c r="AM101" s="1668"/>
      <c r="AN101" s="1665">
        <v>5044.5</v>
      </c>
      <c r="AO101" s="1665">
        <v>2955.66</v>
      </c>
      <c r="AP101" s="1665">
        <v>2955.66</v>
      </c>
      <c r="AQ101" s="1665">
        <v>2955.66</v>
      </c>
      <c r="AR101" s="1665">
        <v>0</v>
      </c>
      <c r="AS101" s="1665">
        <v>2088.84</v>
      </c>
      <c r="AT101" s="1665">
        <v>0</v>
      </c>
      <c r="AU101" s="1665">
        <v>0</v>
      </c>
      <c r="AV101" s="1665">
        <v>0</v>
      </c>
      <c r="AW101" s="1665">
        <v>2088.84</v>
      </c>
      <c r="AX101" s="1665">
        <v>0</v>
      </c>
      <c r="AY101" s="1665">
        <v>0</v>
      </c>
      <c r="AZ101" s="1665">
        <v>0</v>
      </c>
      <c r="BA101" s="1668"/>
      <c r="BB101" s="1668"/>
      <c r="BC101" s="1665">
        <v>0</v>
      </c>
      <c r="BD101" s="1665">
        <v>0</v>
      </c>
      <c r="BE101" s="1665">
        <v>5044.5</v>
      </c>
      <c r="BF101" s="1665">
        <v>2955.66</v>
      </c>
      <c r="BG101" s="1665">
        <v>2955.66</v>
      </c>
      <c r="BH101" s="1665">
        <v>2955.66</v>
      </c>
      <c r="BI101" s="1665">
        <v>0</v>
      </c>
      <c r="BJ101" s="1665">
        <v>2088.84</v>
      </c>
      <c r="BK101" s="1665">
        <v>0</v>
      </c>
      <c r="BL101" s="1665">
        <v>0</v>
      </c>
      <c r="BM101" s="1665">
        <v>0</v>
      </c>
      <c r="BN101" s="1665">
        <v>2088.84</v>
      </c>
      <c r="BO101" s="1668"/>
      <c r="BP101" s="1665">
        <v>5044.5</v>
      </c>
      <c r="BQ101" s="1665">
        <v>2955.66</v>
      </c>
      <c r="BR101" s="1665">
        <v>2955.66</v>
      </c>
      <c r="BS101" s="1667">
        <v>2955.66</v>
      </c>
      <c r="BT101" s="1665">
        <v>0</v>
      </c>
      <c r="BU101" s="1665">
        <v>2088.84</v>
      </c>
      <c r="BV101" s="1665">
        <v>0</v>
      </c>
      <c r="BW101" s="1665">
        <v>0</v>
      </c>
      <c r="BX101" s="1665">
        <v>0</v>
      </c>
      <c r="BY101" s="1665">
        <v>2088.84</v>
      </c>
      <c r="BZ101" s="1665">
        <v>0</v>
      </c>
      <c r="CA101" s="1665">
        <v>0</v>
      </c>
      <c r="CB101" s="1668"/>
      <c r="CC101" s="1668"/>
      <c r="CD101" s="1665">
        <v>0</v>
      </c>
      <c r="CE101" s="1665">
        <v>0</v>
      </c>
      <c r="CF101" s="1665">
        <v>0</v>
      </c>
      <c r="CG101" s="1665">
        <v>0</v>
      </c>
      <c r="CH101" s="1665">
        <v>0</v>
      </c>
      <c r="CI101" s="1665">
        <v>0</v>
      </c>
      <c r="CJ101" s="1665">
        <v>0</v>
      </c>
      <c r="CK101" s="1665">
        <v>0</v>
      </c>
      <c r="CL101" s="1668"/>
      <c r="CM101" s="1665">
        <v>0</v>
      </c>
      <c r="CN101" s="1665">
        <v>0</v>
      </c>
      <c r="CO101" s="1665">
        <v>0</v>
      </c>
      <c r="CP101" s="1665">
        <v>0</v>
      </c>
      <c r="CQ101" s="1665">
        <v>0</v>
      </c>
      <c r="CR101" s="1665">
        <v>0</v>
      </c>
      <c r="CS101" s="1665">
        <v>0</v>
      </c>
      <c r="CT101" s="1665">
        <v>0</v>
      </c>
      <c r="CU101" s="1665">
        <v>0</v>
      </c>
      <c r="CV101" s="1665">
        <v>0</v>
      </c>
      <c r="CW101" s="1668"/>
      <c r="CX101" s="1665">
        <v>0</v>
      </c>
      <c r="CY101" s="1665">
        <v>0</v>
      </c>
      <c r="CZ101" s="1665">
        <v>0</v>
      </c>
      <c r="DA101" s="1665">
        <v>0</v>
      </c>
      <c r="DB101" s="1668"/>
      <c r="DC101" s="1662"/>
      <c r="DD101" s="1665">
        <v>0</v>
      </c>
      <c r="DE101" s="1665">
        <v>0</v>
      </c>
      <c r="DF101" s="1665">
        <v>0</v>
      </c>
      <c r="DG101" s="1665">
        <v>0</v>
      </c>
      <c r="DH101" s="1665">
        <v>0</v>
      </c>
    </row>
    <row r="102" spans="1:112" ht="56.25" hidden="1" x14ac:dyDescent="0.25">
      <c r="A102" s="1662" t="s">
        <v>2095</v>
      </c>
      <c r="B102" s="1662" t="s">
        <v>1719</v>
      </c>
      <c r="C102" s="1662" t="s">
        <v>2621</v>
      </c>
      <c r="D102" s="1662" t="s">
        <v>2622</v>
      </c>
      <c r="E102" s="1662" t="s">
        <v>144</v>
      </c>
      <c r="F102" s="1662" t="s">
        <v>2616</v>
      </c>
      <c r="G102" s="1662" t="s">
        <v>2617</v>
      </c>
      <c r="H102" s="1662" t="s">
        <v>2618</v>
      </c>
      <c r="I102" s="1662" t="s">
        <v>714</v>
      </c>
      <c r="J102" s="1662" t="s">
        <v>306</v>
      </c>
      <c r="K102" s="1662" t="s">
        <v>2153</v>
      </c>
      <c r="L102" s="1662" t="s">
        <v>2109</v>
      </c>
      <c r="M102" s="1663"/>
      <c r="N102" s="1663"/>
      <c r="O102" s="1663"/>
      <c r="P102" s="1663"/>
      <c r="Q102" s="1663"/>
      <c r="R102" s="1663"/>
      <c r="S102" s="1663"/>
      <c r="T102" s="1663"/>
      <c r="U102" s="1663"/>
      <c r="V102" s="1663"/>
      <c r="W102" s="1663"/>
      <c r="X102" s="1663"/>
      <c r="Y102" s="1664">
        <v>43209</v>
      </c>
      <c r="Z102" s="1662" t="s">
        <v>2110</v>
      </c>
      <c r="AA102" s="1665">
        <v>0</v>
      </c>
      <c r="AB102" s="1665">
        <v>0</v>
      </c>
      <c r="AC102" s="1680">
        <v>0</v>
      </c>
      <c r="AD102" s="1682">
        <v>43235</v>
      </c>
      <c r="AE102" s="1679" t="s">
        <v>2122</v>
      </c>
      <c r="AF102" s="1662" t="s">
        <v>2115</v>
      </c>
      <c r="AG102" s="1666"/>
      <c r="AH102" s="1667">
        <v>44.5</v>
      </c>
      <c r="AI102" s="1665">
        <v>26.07</v>
      </c>
      <c r="AJ102" s="1665">
        <v>26.07</v>
      </c>
      <c r="AK102" s="1698">
        <v>26.07</v>
      </c>
      <c r="AL102" s="1665">
        <v>0</v>
      </c>
      <c r="AM102" s="1664">
        <v>43243</v>
      </c>
      <c r="AN102" s="1665">
        <v>44.5</v>
      </c>
      <c r="AO102" s="1665">
        <v>26.07</v>
      </c>
      <c r="AP102" s="1665">
        <v>26.07</v>
      </c>
      <c r="AQ102" s="1665">
        <v>26.07</v>
      </c>
      <c r="AR102" s="1665">
        <v>0</v>
      </c>
      <c r="AS102" s="1665">
        <v>18.43</v>
      </c>
      <c r="AT102" s="1665">
        <v>0</v>
      </c>
      <c r="AU102" s="1665">
        <v>0</v>
      </c>
      <c r="AV102" s="1665">
        <v>0</v>
      </c>
      <c r="AW102" s="1665">
        <v>18.43</v>
      </c>
      <c r="AX102" s="1663"/>
      <c r="AY102" s="1663"/>
      <c r="AZ102" s="1663"/>
      <c r="BA102" s="1668"/>
      <c r="BB102" s="1668"/>
      <c r="BC102" s="1663"/>
      <c r="BD102" s="1663"/>
      <c r="BE102" s="1665">
        <v>44.5</v>
      </c>
      <c r="BF102" s="1665">
        <v>26.07</v>
      </c>
      <c r="BG102" s="1665">
        <v>26.07</v>
      </c>
      <c r="BH102" s="1665">
        <v>26.07</v>
      </c>
      <c r="BI102" s="1665">
        <v>0</v>
      </c>
      <c r="BJ102" s="1665">
        <v>18.43</v>
      </c>
      <c r="BK102" s="1665">
        <v>0</v>
      </c>
      <c r="BL102" s="1665">
        <v>0</v>
      </c>
      <c r="BM102" s="1665">
        <v>0</v>
      </c>
      <c r="BN102" s="1665">
        <v>18.43</v>
      </c>
      <c r="BO102" s="1664">
        <v>43355</v>
      </c>
      <c r="BP102" s="1665">
        <v>44.5</v>
      </c>
      <c r="BQ102" s="1665">
        <v>26.07</v>
      </c>
      <c r="BR102" s="1665">
        <v>26.07</v>
      </c>
      <c r="BS102" s="1667">
        <v>26.07</v>
      </c>
      <c r="BT102" s="1665">
        <v>0</v>
      </c>
      <c r="BU102" s="1665">
        <v>18.43</v>
      </c>
      <c r="BV102" s="1665">
        <v>0</v>
      </c>
      <c r="BW102" s="1665">
        <v>0</v>
      </c>
      <c r="BX102" s="1665">
        <v>0</v>
      </c>
      <c r="BY102" s="1665">
        <v>18.43</v>
      </c>
      <c r="BZ102" s="1665">
        <v>0</v>
      </c>
      <c r="CA102" s="1663"/>
      <c r="CB102" s="1668"/>
      <c r="CC102" s="1668"/>
      <c r="CD102" s="1663"/>
      <c r="CE102" s="1663"/>
      <c r="CF102" s="1665">
        <v>0</v>
      </c>
      <c r="CG102" s="1665">
        <v>0</v>
      </c>
      <c r="CH102" s="1665">
        <v>0</v>
      </c>
      <c r="CI102" s="1665">
        <v>0</v>
      </c>
      <c r="CJ102" s="1665">
        <v>0</v>
      </c>
      <c r="CK102" s="1665">
        <v>0</v>
      </c>
      <c r="CL102" s="1668"/>
      <c r="CM102" s="1665">
        <v>0</v>
      </c>
      <c r="CN102" s="1665">
        <v>0</v>
      </c>
      <c r="CO102" s="1665">
        <v>0</v>
      </c>
      <c r="CP102" s="1665">
        <v>0</v>
      </c>
      <c r="CQ102" s="1665">
        <v>0</v>
      </c>
      <c r="CR102" s="1665">
        <v>0</v>
      </c>
      <c r="CS102" s="1665">
        <v>0</v>
      </c>
      <c r="CT102" s="1665">
        <v>0</v>
      </c>
      <c r="CU102" s="1665">
        <v>0</v>
      </c>
      <c r="CV102" s="1665">
        <v>0</v>
      </c>
      <c r="CW102" s="1668"/>
      <c r="CX102" s="1663"/>
      <c r="CY102" s="1663"/>
      <c r="CZ102" s="1663"/>
      <c r="DA102" s="1663"/>
      <c r="DB102" s="1668"/>
      <c r="DC102" s="1662"/>
      <c r="DD102" s="1665">
        <v>0</v>
      </c>
      <c r="DE102" s="1663"/>
      <c r="DF102" s="1663"/>
      <c r="DG102" s="1665">
        <v>0</v>
      </c>
      <c r="DH102" s="1665">
        <v>0</v>
      </c>
    </row>
    <row r="103" spans="1:112" ht="56.25" hidden="1" x14ac:dyDescent="0.25">
      <c r="A103" s="1662" t="s">
        <v>2096</v>
      </c>
      <c r="B103" s="1662" t="s">
        <v>1719</v>
      </c>
      <c r="C103" s="1662" t="s">
        <v>2621</v>
      </c>
      <c r="D103" s="1662" t="s">
        <v>2622</v>
      </c>
      <c r="E103" s="1662" t="s">
        <v>144</v>
      </c>
      <c r="F103" s="1662" t="s">
        <v>2616</v>
      </c>
      <c r="G103" s="1662" t="s">
        <v>2617</v>
      </c>
      <c r="H103" s="1662" t="s">
        <v>2618</v>
      </c>
      <c r="I103" s="1662" t="s">
        <v>714</v>
      </c>
      <c r="J103" s="1662" t="s">
        <v>306</v>
      </c>
      <c r="K103" s="1662" t="s">
        <v>2153</v>
      </c>
      <c r="L103" s="1662" t="s">
        <v>2109</v>
      </c>
      <c r="M103" s="1663"/>
      <c r="N103" s="1663"/>
      <c r="O103" s="1663"/>
      <c r="P103" s="1663"/>
      <c r="Q103" s="1663"/>
      <c r="R103" s="1663"/>
      <c r="S103" s="1663"/>
      <c r="T103" s="1663"/>
      <c r="U103" s="1663"/>
      <c r="V103" s="1663"/>
      <c r="W103" s="1663"/>
      <c r="X103" s="1663"/>
      <c r="Y103" s="1664">
        <v>43209</v>
      </c>
      <c r="Z103" s="1662" t="s">
        <v>2110</v>
      </c>
      <c r="AA103" s="1665">
        <v>0</v>
      </c>
      <c r="AB103" s="1665">
        <v>0</v>
      </c>
      <c r="AC103" s="1680">
        <v>0</v>
      </c>
      <c r="AD103" s="1682">
        <v>43235</v>
      </c>
      <c r="AE103" s="1679" t="s">
        <v>2122</v>
      </c>
      <c r="AF103" s="1662" t="s">
        <v>2112</v>
      </c>
      <c r="AG103" s="1666"/>
      <c r="AH103" s="1667">
        <v>5000</v>
      </c>
      <c r="AI103" s="1665">
        <v>2929.59</v>
      </c>
      <c r="AJ103" s="1665">
        <v>2929.59</v>
      </c>
      <c r="AK103" s="1698">
        <v>2929.59</v>
      </c>
      <c r="AL103" s="1665">
        <v>0</v>
      </c>
      <c r="AM103" s="1664">
        <v>43235</v>
      </c>
      <c r="AN103" s="1665">
        <v>5000</v>
      </c>
      <c r="AO103" s="1665">
        <v>2929.59</v>
      </c>
      <c r="AP103" s="1665">
        <v>2929.59</v>
      </c>
      <c r="AQ103" s="1665">
        <v>2929.59</v>
      </c>
      <c r="AR103" s="1665">
        <v>0</v>
      </c>
      <c r="AS103" s="1665">
        <v>2070.41</v>
      </c>
      <c r="AT103" s="1665">
        <v>0</v>
      </c>
      <c r="AU103" s="1665">
        <v>0</v>
      </c>
      <c r="AV103" s="1665">
        <v>0</v>
      </c>
      <c r="AW103" s="1665">
        <v>2070.41</v>
      </c>
      <c r="AX103" s="1663"/>
      <c r="AY103" s="1663"/>
      <c r="AZ103" s="1663"/>
      <c r="BA103" s="1668"/>
      <c r="BB103" s="1668"/>
      <c r="BC103" s="1663"/>
      <c r="BD103" s="1663"/>
      <c r="BE103" s="1665">
        <v>5000</v>
      </c>
      <c r="BF103" s="1665">
        <v>2929.59</v>
      </c>
      <c r="BG103" s="1665">
        <v>2929.59</v>
      </c>
      <c r="BH103" s="1665">
        <v>2929.59</v>
      </c>
      <c r="BI103" s="1665">
        <v>0</v>
      </c>
      <c r="BJ103" s="1665">
        <v>2070.41</v>
      </c>
      <c r="BK103" s="1665">
        <v>0</v>
      </c>
      <c r="BL103" s="1665">
        <v>0</v>
      </c>
      <c r="BM103" s="1665">
        <v>0</v>
      </c>
      <c r="BN103" s="1665">
        <v>2070.41</v>
      </c>
      <c r="BO103" s="1664">
        <v>43355</v>
      </c>
      <c r="BP103" s="1665">
        <v>5000</v>
      </c>
      <c r="BQ103" s="1665">
        <v>2929.59</v>
      </c>
      <c r="BR103" s="1665">
        <v>2929.59</v>
      </c>
      <c r="BS103" s="1667">
        <v>2929.59</v>
      </c>
      <c r="BT103" s="1665">
        <v>0</v>
      </c>
      <c r="BU103" s="1665">
        <v>2070.41</v>
      </c>
      <c r="BV103" s="1665">
        <v>0</v>
      </c>
      <c r="BW103" s="1665">
        <v>0</v>
      </c>
      <c r="BX103" s="1665">
        <v>0</v>
      </c>
      <c r="BY103" s="1665">
        <v>2070.41</v>
      </c>
      <c r="BZ103" s="1665">
        <v>0</v>
      </c>
      <c r="CA103" s="1663"/>
      <c r="CB103" s="1668"/>
      <c r="CC103" s="1668"/>
      <c r="CD103" s="1663"/>
      <c r="CE103" s="1663"/>
      <c r="CF103" s="1665">
        <v>0</v>
      </c>
      <c r="CG103" s="1665">
        <v>0</v>
      </c>
      <c r="CH103" s="1665">
        <v>0</v>
      </c>
      <c r="CI103" s="1665">
        <v>0</v>
      </c>
      <c r="CJ103" s="1665">
        <v>0</v>
      </c>
      <c r="CK103" s="1665">
        <v>0</v>
      </c>
      <c r="CL103" s="1668"/>
      <c r="CM103" s="1665">
        <v>0</v>
      </c>
      <c r="CN103" s="1665">
        <v>0</v>
      </c>
      <c r="CO103" s="1665">
        <v>0</v>
      </c>
      <c r="CP103" s="1665">
        <v>0</v>
      </c>
      <c r="CQ103" s="1665">
        <v>0</v>
      </c>
      <c r="CR103" s="1665">
        <v>0</v>
      </c>
      <c r="CS103" s="1665">
        <v>0</v>
      </c>
      <c r="CT103" s="1665">
        <v>0</v>
      </c>
      <c r="CU103" s="1665">
        <v>0</v>
      </c>
      <c r="CV103" s="1665">
        <v>0</v>
      </c>
      <c r="CW103" s="1668"/>
      <c r="CX103" s="1663"/>
      <c r="CY103" s="1663"/>
      <c r="CZ103" s="1663"/>
      <c r="DA103" s="1663"/>
      <c r="DB103" s="1668"/>
      <c r="DC103" s="1662"/>
      <c r="DD103" s="1665">
        <v>0</v>
      </c>
      <c r="DE103" s="1663"/>
      <c r="DF103" s="1663"/>
      <c r="DG103" s="1665">
        <v>0</v>
      </c>
      <c r="DH103" s="1665">
        <v>0</v>
      </c>
    </row>
    <row r="104" spans="1:112" ht="56.25" hidden="1" x14ac:dyDescent="0.25">
      <c r="A104" s="1662" t="s">
        <v>2154</v>
      </c>
      <c r="B104" s="1662" t="s">
        <v>1719</v>
      </c>
      <c r="C104" s="1662" t="s">
        <v>2621</v>
      </c>
      <c r="D104" s="1662" t="s">
        <v>2622</v>
      </c>
      <c r="E104" s="1662" t="s">
        <v>144</v>
      </c>
      <c r="F104" s="1662" t="s">
        <v>2616</v>
      </c>
      <c r="G104" s="1662" t="s">
        <v>2617</v>
      </c>
      <c r="H104" s="1662" t="s">
        <v>2618</v>
      </c>
      <c r="I104" s="1662" t="s">
        <v>714</v>
      </c>
      <c r="J104" s="1662" t="s">
        <v>306</v>
      </c>
      <c r="K104" s="1662" t="s">
        <v>2153</v>
      </c>
      <c r="L104" s="1662" t="s">
        <v>2109</v>
      </c>
      <c r="M104" s="1663"/>
      <c r="N104" s="1663"/>
      <c r="O104" s="1663"/>
      <c r="P104" s="1663"/>
      <c r="Q104" s="1663"/>
      <c r="R104" s="1663"/>
      <c r="S104" s="1663"/>
      <c r="T104" s="1663"/>
      <c r="U104" s="1663"/>
      <c r="V104" s="1663"/>
      <c r="W104" s="1663"/>
      <c r="X104" s="1663"/>
      <c r="Y104" s="1664">
        <v>43355</v>
      </c>
      <c r="Z104" s="1662" t="s">
        <v>2110</v>
      </c>
      <c r="AA104" s="1665">
        <v>0</v>
      </c>
      <c r="AB104" s="1665">
        <v>0</v>
      </c>
      <c r="AC104" s="1680">
        <v>0</v>
      </c>
      <c r="AD104" s="1682">
        <v>43381</v>
      </c>
      <c r="AE104" s="1679" t="s">
        <v>2114</v>
      </c>
      <c r="AF104" s="1662" t="s">
        <v>2115</v>
      </c>
      <c r="AG104" s="1666"/>
      <c r="AH104" s="1667">
        <v>4733.76</v>
      </c>
      <c r="AI104" s="1665">
        <v>2171.4</v>
      </c>
      <c r="AJ104" s="1665">
        <v>2171.4</v>
      </c>
      <c r="AK104" s="1698">
        <v>2171.4</v>
      </c>
      <c r="AL104" s="1665">
        <v>0</v>
      </c>
      <c r="AM104" s="1668"/>
      <c r="AN104" s="1665">
        <v>0</v>
      </c>
      <c r="AO104" s="1665">
        <v>0</v>
      </c>
      <c r="AP104" s="1665">
        <v>0</v>
      </c>
      <c r="AQ104" s="1665">
        <v>0</v>
      </c>
      <c r="AR104" s="1665">
        <v>0</v>
      </c>
      <c r="AS104" s="1665">
        <v>0</v>
      </c>
      <c r="AT104" s="1665">
        <v>0</v>
      </c>
      <c r="AU104" s="1665">
        <v>0</v>
      </c>
      <c r="AV104" s="1665">
        <v>0</v>
      </c>
      <c r="AW104" s="1665">
        <v>0</v>
      </c>
      <c r="AX104" s="1663"/>
      <c r="AY104" s="1663"/>
      <c r="AZ104" s="1663"/>
      <c r="BA104" s="1668"/>
      <c r="BB104" s="1668"/>
      <c r="BC104" s="1663"/>
      <c r="BD104" s="1663"/>
      <c r="BE104" s="1665">
        <v>0</v>
      </c>
      <c r="BF104" s="1665">
        <v>0</v>
      </c>
      <c r="BG104" s="1665">
        <v>0</v>
      </c>
      <c r="BH104" s="1665">
        <v>0</v>
      </c>
      <c r="BI104" s="1665">
        <v>0</v>
      </c>
      <c r="BJ104" s="1665">
        <v>0</v>
      </c>
      <c r="BK104" s="1665">
        <v>0</v>
      </c>
      <c r="BL104" s="1665">
        <v>0</v>
      </c>
      <c r="BM104" s="1665">
        <v>0</v>
      </c>
      <c r="BN104" s="1665">
        <v>0</v>
      </c>
      <c r="BO104" s="1668"/>
      <c r="BP104" s="1665">
        <v>0</v>
      </c>
      <c r="BQ104" s="1665">
        <v>0</v>
      </c>
      <c r="BR104" s="1665">
        <v>0</v>
      </c>
      <c r="BS104" s="1667">
        <v>0</v>
      </c>
      <c r="BT104" s="1665">
        <v>0</v>
      </c>
      <c r="BU104" s="1665">
        <v>0</v>
      </c>
      <c r="BV104" s="1665">
        <v>0</v>
      </c>
      <c r="BW104" s="1665">
        <v>0</v>
      </c>
      <c r="BX104" s="1665">
        <v>0</v>
      </c>
      <c r="BY104" s="1665">
        <v>0</v>
      </c>
      <c r="BZ104" s="1663"/>
      <c r="CA104" s="1663"/>
      <c r="CB104" s="1668"/>
      <c r="CC104" s="1668"/>
      <c r="CD104" s="1663"/>
      <c r="CE104" s="1663"/>
      <c r="CF104" s="1665">
        <v>0</v>
      </c>
      <c r="CG104" s="1665">
        <v>0</v>
      </c>
      <c r="CH104" s="1665">
        <v>0</v>
      </c>
      <c r="CI104" s="1665">
        <v>0</v>
      </c>
      <c r="CJ104" s="1665">
        <v>0</v>
      </c>
      <c r="CK104" s="1665">
        <v>0</v>
      </c>
      <c r="CL104" s="1668"/>
      <c r="CM104" s="1665">
        <v>0</v>
      </c>
      <c r="CN104" s="1665">
        <v>0</v>
      </c>
      <c r="CO104" s="1665">
        <v>0</v>
      </c>
      <c r="CP104" s="1665">
        <v>0</v>
      </c>
      <c r="CQ104" s="1665">
        <v>0</v>
      </c>
      <c r="CR104" s="1665">
        <v>0</v>
      </c>
      <c r="CS104" s="1665">
        <v>0</v>
      </c>
      <c r="CT104" s="1665">
        <v>0</v>
      </c>
      <c r="CU104" s="1665">
        <v>0</v>
      </c>
      <c r="CV104" s="1665">
        <v>0</v>
      </c>
      <c r="CW104" s="1668"/>
      <c r="CX104" s="1663"/>
      <c r="CY104" s="1663"/>
      <c r="CZ104" s="1663"/>
      <c r="DA104" s="1663"/>
      <c r="DB104" s="1668"/>
      <c r="DC104" s="1662"/>
      <c r="DD104" s="1665">
        <v>0</v>
      </c>
      <c r="DE104" s="1663"/>
      <c r="DF104" s="1663"/>
      <c r="DG104" s="1665">
        <v>0</v>
      </c>
      <c r="DH104" s="1665">
        <v>0</v>
      </c>
    </row>
    <row r="105" spans="1:112" hidden="1" x14ac:dyDescent="0.25">
      <c r="A105" s="1662" t="s">
        <v>2155</v>
      </c>
      <c r="B105" s="1662" t="s">
        <v>1719</v>
      </c>
      <c r="C105" s="1662" t="s">
        <v>2623</v>
      </c>
      <c r="D105" s="1662"/>
      <c r="E105" s="1662"/>
      <c r="F105" s="1662"/>
      <c r="G105" s="1662"/>
      <c r="H105" s="1662"/>
      <c r="I105" s="1662"/>
      <c r="J105" s="1662"/>
      <c r="K105" s="1662"/>
      <c r="L105" s="1662"/>
      <c r="M105" s="1665">
        <v>790381.97</v>
      </c>
      <c r="N105" s="1665">
        <v>0</v>
      </c>
      <c r="O105" s="1665">
        <v>790381.97</v>
      </c>
      <c r="P105" s="1665">
        <v>790381.97</v>
      </c>
      <c r="Q105" s="1665">
        <v>624860.81999999995</v>
      </c>
      <c r="R105" s="1665">
        <v>624860.81999999995</v>
      </c>
      <c r="S105" s="1665">
        <v>0</v>
      </c>
      <c r="T105" s="1665">
        <v>165521.15</v>
      </c>
      <c r="U105" s="1665">
        <v>0</v>
      </c>
      <c r="V105" s="1665">
        <v>165521.15</v>
      </c>
      <c r="W105" s="1665">
        <v>0</v>
      </c>
      <c r="X105" s="1665">
        <v>0</v>
      </c>
      <c r="Y105" s="1668"/>
      <c r="Z105" s="1662"/>
      <c r="AA105" s="1665">
        <v>0</v>
      </c>
      <c r="AB105" s="1665">
        <v>0</v>
      </c>
      <c r="AC105" s="1680">
        <v>0</v>
      </c>
      <c r="AD105" s="1681"/>
      <c r="AE105" s="1679"/>
      <c r="AF105" s="1662"/>
      <c r="AG105" s="1666"/>
      <c r="AH105" s="1667">
        <v>82485.11</v>
      </c>
      <c r="AI105" s="1665">
        <v>82485.11</v>
      </c>
      <c r="AJ105" s="1665">
        <v>68441.919999999998</v>
      </c>
      <c r="AK105" s="1698">
        <v>68441.919999999998</v>
      </c>
      <c r="AL105" s="1665">
        <v>0</v>
      </c>
      <c r="AM105" s="1668"/>
      <c r="AN105" s="1665">
        <v>81474.11</v>
      </c>
      <c r="AO105" s="1665">
        <v>81474.11</v>
      </c>
      <c r="AP105" s="1665">
        <v>67582.570000000007</v>
      </c>
      <c r="AQ105" s="1665">
        <v>67582.570000000007</v>
      </c>
      <c r="AR105" s="1665">
        <v>0</v>
      </c>
      <c r="AS105" s="1665">
        <v>13891.54</v>
      </c>
      <c r="AT105" s="1665">
        <v>0</v>
      </c>
      <c r="AU105" s="1665">
        <v>13891.54</v>
      </c>
      <c r="AV105" s="1665">
        <v>0</v>
      </c>
      <c r="AW105" s="1665">
        <v>0</v>
      </c>
      <c r="AX105" s="1665">
        <v>0</v>
      </c>
      <c r="AY105" s="1665">
        <v>0</v>
      </c>
      <c r="AZ105" s="1665">
        <v>0</v>
      </c>
      <c r="BA105" s="1668"/>
      <c r="BB105" s="1668"/>
      <c r="BC105" s="1665">
        <v>0</v>
      </c>
      <c r="BD105" s="1665">
        <v>0</v>
      </c>
      <c r="BE105" s="1665">
        <v>81474.11</v>
      </c>
      <c r="BF105" s="1665">
        <v>81474.11</v>
      </c>
      <c r="BG105" s="1665">
        <v>67582.570000000007</v>
      </c>
      <c r="BH105" s="1665">
        <v>67582.570000000007</v>
      </c>
      <c r="BI105" s="1665">
        <v>0</v>
      </c>
      <c r="BJ105" s="1665">
        <v>13891.54</v>
      </c>
      <c r="BK105" s="1665">
        <v>0</v>
      </c>
      <c r="BL105" s="1665">
        <v>13891.54</v>
      </c>
      <c r="BM105" s="1665">
        <v>0</v>
      </c>
      <c r="BN105" s="1665">
        <v>0</v>
      </c>
      <c r="BO105" s="1668"/>
      <c r="BP105" s="1665">
        <v>0</v>
      </c>
      <c r="BQ105" s="1665">
        <v>0</v>
      </c>
      <c r="BR105" s="1665">
        <v>0</v>
      </c>
      <c r="BS105" s="1667">
        <v>0</v>
      </c>
      <c r="BT105" s="1665">
        <v>0</v>
      </c>
      <c r="BU105" s="1665">
        <v>0</v>
      </c>
      <c r="BV105" s="1665">
        <v>0</v>
      </c>
      <c r="BW105" s="1665">
        <v>0</v>
      </c>
      <c r="BX105" s="1665">
        <v>0</v>
      </c>
      <c r="BY105" s="1665">
        <v>0</v>
      </c>
      <c r="BZ105" s="1665">
        <v>0</v>
      </c>
      <c r="CA105" s="1665">
        <v>0</v>
      </c>
      <c r="CB105" s="1668"/>
      <c r="CC105" s="1668"/>
      <c r="CD105" s="1665">
        <v>0</v>
      </c>
      <c r="CE105" s="1665">
        <v>0</v>
      </c>
      <c r="CF105" s="1665">
        <v>0</v>
      </c>
      <c r="CG105" s="1665">
        <v>0</v>
      </c>
      <c r="CH105" s="1665">
        <v>0</v>
      </c>
      <c r="CI105" s="1665">
        <v>0</v>
      </c>
      <c r="CJ105" s="1665">
        <v>0</v>
      </c>
      <c r="CK105" s="1665">
        <v>0</v>
      </c>
      <c r="CL105" s="1668"/>
      <c r="CM105" s="1665">
        <v>0</v>
      </c>
      <c r="CN105" s="1665">
        <v>0</v>
      </c>
      <c r="CO105" s="1665">
        <v>0</v>
      </c>
      <c r="CP105" s="1665">
        <v>0</v>
      </c>
      <c r="CQ105" s="1665">
        <v>0</v>
      </c>
      <c r="CR105" s="1665">
        <v>0</v>
      </c>
      <c r="CS105" s="1665">
        <v>0</v>
      </c>
      <c r="CT105" s="1665">
        <v>0</v>
      </c>
      <c r="CU105" s="1665">
        <v>0</v>
      </c>
      <c r="CV105" s="1665">
        <v>0</v>
      </c>
      <c r="CW105" s="1668"/>
      <c r="CX105" s="1665">
        <v>0</v>
      </c>
      <c r="CY105" s="1665">
        <v>0</v>
      </c>
      <c r="CZ105" s="1665">
        <v>0</v>
      </c>
      <c r="DA105" s="1665">
        <v>0</v>
      </c>
      <c r="DB105" s="1668"/>
      <c r="DC105" s="1662"/>
      <c r="DD105" s="1665">
        <v>0</v>
      </c>
      <c r="DE105" s="1665">
        <v>0</v>
      </c>
      <c r="DF105" s="1665">
        <v>0</v>
      </c>
      <c r="DG105" s="1665">
        <v>0</v>
      </c>
      <c r="DH105" s="1665">
        <v>0</v>
      </c>
    </row>
    <row r="106" spans="1:112" hidden="1" x14ac:dyDescent="0.25">
      <c r="A106" s="1662" t="s">
        <v>2156</v>
      </c>
      <c r="B106" s="1662" t="s">
        <v>1719</v>
      </c>
      <c r="C106" s="1662" t="s">
        <v>2623</v>
      </c>
      <c r="D106" s="1662" t="s">
        <v>2624</v>
      </c>
      <c r="E106" s="1662"/>
      <c r="F106" s="1662"/>
      <c r="G106" s="1662"/>
      <c r="H106" s="1662"/>
      <c r="I106" s="1662"/>
      <c r="J106" s="1662"/>
      <c r="K106" s="1662"/>
      <c r="L106" s="1662"/>
      <c r="M106" s="1665">
        <v>790381.97</v>
      </c>
      <c r="N106" s="1665">
        <v>0</v>
      </c>
      <c r="O106" s="1665">
        <v>790381.97</v>
      </c>
      <c r="P106" s="1665">
        <v>790381.97</v>
      </c>
      <c r="Q106" s="1665">
        <v>624860.81999999995</v>
      </c>
      <c r="R106" s="1665">
        <v>624860.81999999995</v>
      </c>
      <c r="S106" s="1665">
        <v>0</v>
      </c>
      <c r="T106" s="1665">
        <v>165521.15</v>
      </c>
      <c r="U106" s="1665">
        <v>0</v>
      </c>
      <c r="V106" s="1665">
        <v>165521.15</v>
      </c>
      <c r="W106" s="1665">
        <v>0</v>
      </c>
      <c r="X106" s="1665">
        <v>0</v>
      </c>
      <c r="Y106" s="1668"/>
      <c r="Z106" s="1662"/>
      <c r="AA106" s="1665">
        <v>0</v>
      </c>
      <c r="AB106" s="1665">
        <v>0</v>
      </c>
      <c r="AC106" s="1680">
        <v>0</v>
      </c>
      <c r="AD106" s="1681"/>
      <c r="AE106" s="1679"/>
      <c r="AF106" s="1662"/>
      <c r="AG106" s="1666"/>
      <c r="AH106" s="1667">
        <v>82485.11</v>
      </c>
      <c r="AI106" s="1665">
        <v>82485.11</v>
      </c>
      <c r="AJ106" s="1665">
        <v>68441.919999999998</v>
      </c>
      <c r="AK106" s="1698">
        <v>68441.919999999998</v>
      </c>
      <c r="AL106" s="1665">
        <v>0</v>
      </c>
      <c r="AM106" s="1668"/>
      <c r="AN106" s="1665">
        <v>81474.11</v>
      </c>
      <c r="AO106" s="1665">
        <v>81474.11</v>
      </c>
      <c r="AP106" s="1665">
        <v>67582.570000000007</v>
      </c>
      <c r="AQ106" s="1665">
        <v>67582.570000000007</v>
      </c>
      <c r="AR106" s="1665">
        <v>0</v>
      </c>
      <c r="AS106" s="1665">
        <v>13891.54</v>
      </c>
      <c r="AT106" s="1665">
        <v>0</v>
      </c>
      <c r="AU106" s="1665">
        <v>13891.54</v>
      </c>
      <c r="AV106" s="1665">
        <v>0</v>
      </c>
      <c r="AW106" s="1665">
        <v>0</v>
      </c>
      <c r="AX106" s="1665">
        <v>0</v>
      </c>
      <c r="AY106" s="1665">
        <v>0</v>
      </c>
      <c r="AZ106" s="1665">
        <v>0</v>
      </c>
      <c r="BA106" s="1668"/>
      <c r="BB106" s="1668"/>
      <c r="BC106" s="1665">
        <v>0</v>
      </c>
      <c r="BD106" s="1665">
        <v>0</v>
      </c>
      <c r="BE106" s="1665">
        <v>81474.11</v>
      </c>
      <c r="BF106" s="1665">
        <v>81474.11</v>
      </c>
      <c r="BG106" s="1665">
        <v>67582.570000000007</v>
      </c>
      <c r="BH106" s="1665">
        <v>67582.570000000007</v>
      </c>
      <c r="BI106" s="1665">
        <v>0</v>
      </c>
      <c r="BJ106" s="1665">
        <v>13891.54</v>
      </c>
      <c r="BK106" s="1665">
        <v>0</v>
      </c>
      <c r="BL106" s="1665">
        <v>13891.54</v>
      </c>
      <c r="BM106" s="1665">
        <v>0</v>
      </c>
      <c r="BN106" s="1665">
        <v>0</v>
      </c>
      <c r="BO106" s="1668"/>
      <c r="BP106" s="1665">
        <v>0</v>
      </c>
      <c r="BQ106" s="1665">
        <v>0</v>
      </c>
      <c r="BR106" s="1665">
        <v>0</v>
      </c>
      <c r="BS106" s="1667">
        <v>0</v>
      </c>
      <c r="BT106" s="1665">
        <v>0</v>
      </c>
      <c r="BU106" s="1665">
        <v>0</v>
      </c>
      <c r="BV106" s="1665">
        <v>0</v>
      </c>
      <c r="BW106" s="1665">
        <v>0</v>
      </c>
      <c r="BX106" s="1665">
        <v>0</v>
      </c>
      <c r="BY106" s="1665">
        <v>0</v>
      </c>
      <c r="BZ106" s="1665">
        <v>0</v>
      </c>
      <c r="CA106" s="1665">
        <v>0</v>
      </c>
      <c r="CB106" s="1668"/>
      <c r="CC106" s="1668"/>
      <c r="CD106" s="1665">
        <v>0</v>
      </c>
      <c r="CE106" s="1665">
        <v>0</v>
      </c>
      <c r="CF106" s="1665">
        <v>0</v>
      </c>
      <c r="CG106" s="1665">
        <v>0</v>
      </c>
      <c r="CH106" s="1665">
        <v>0</v>
      </c>
      <c r="CI106" s="1665">
        <v>0</v>
      </c>
      <c r="CJ106" s="1665">
        <v>0</v>
      </c>
      <c r="CK106" s="1665">
        <v>0</v>
      </c>
      <c r="CL106" s="1668"/>
      <c r="CM106" s="1665">
        <v>0</v>
      </c>
      <c r="CN106" s="1665">
        <v>0</v>
      </c>
      <c r="CO106" s="1665">
        <v>0</v>
      </c>
      <c r="CP106" s="1665">
        <v>0</v>
      </c>
      <c r="CQ106" s="1665">
        <v>0</v>
      </c>
      <c r="CR106" s="1665">
        <v>0</v>
      </c>
      <c r="CS106" s="1665">
        <v>0</v>
      </c>
      <c r="CT106" s="1665">
        <v>0</v>
      </c>
      <c r="CU106" s="1665">
        <v>0</v>
      </c>
      <c r="CV106" s="1665">
        <v>0</v>
      </c>
      <c r="CW106" s="1668"/>
      <c r="CX106" s="1665">
        <v>0</v>
      </c>
      <c r="CY106" s="1665">
        <v>0</v>
      </c>
      <c r="CZ106" s="1665">
        <v>0</v>
      </c>
      <c r="DA106" s="1665">
        <v>0</v>
      </c>
      <c r="DB106" s="1668"/>
      <c r="DC106" s="1662"/>
      <c r="DD106" s="1665">
        <v>0</v>
      </c>
      <c r="DE106" s="1665">
        <v>0</v>
      </c>
      <c r="DF106" s="1665">
        <v>0</v>
      </c>
      <c r="DG106" s="1665">
        <v>0</v>
      </c>
      <c r="DH106" s="1665">
        <v>0</v>
      </c>
    </row>
    <row r="107" spans="1:112" ht="22.5" hidden="1" x14ac:dyDescent="0.25">
      <c r="A107" s="1662" t="s">
        <v>2100</v>
      </c>
      <c r="B107" s="1662" t="s">
        <v>1719</v>
      </c>
      <c r="C107" s="1662" t="s">
        <v>2623</v>
      </c>
      <c r="D107" s="1662" t="s">
        <v>2624</v>
      </c>
      <c r="E107" s="1662" t="s">
        <v>774</v>
      </c>
      <c r="F107" s="1662"/>
      <c r="G107" s="1662"/>
      <c r="H107" s="1662"/>
      <c r="I107" s="1662"/>
      <c r="J107" s="1662"/>
      <c r="K107" s="1662"/>
      <c r="L107" s="1662"/>
      <c r="M107" s="1665">
        <v>288106</v>
      </c>
      <c r="N107" s="1665">
        <v>0</v>
      </c>
      <c r="O107" s="1665">
        <v>288106</v>
      </c>
      <c r="P107" s="1665">
        <v>288106</v>
      </c>
      <c r="Q107" s="1665">
        <v>244890.1</v>
      </c>
      <c r="R107" s="1665">
        <v>244890.1</v>
      </c>
      <c r="S107" s="1665">
        <v>0</v>
      </c>
      <c r="T107" s="1665">
        <v>43215.9</v>
      </c>
      <c r="U107" s="1665">
        <v>0</v>
      </c>
      <c r="V107" s="1665">
        <v>43215.9</v>
      </c>
      <c r="W107" s="1665">
        <v>0</v>
      </c>
      <c r="X107" s="1665">
        <v>0</v>
      </c>
      <c r="Y107" s="1668"/>
      <c r="Z107" s="1662"/>
      <c r="AA107" s="1665">
        <v>0</v>
      </c>
      <c r="AB107" s="1665">
        <v>0</v>
      </c>
      <c r="AC107" s="1680">
        <v>0</v>
      </c>
      <c r="AD107" s="1681"/>
      <c r="AE107" s="1679"/>
      <c r="AF107" s="1662"/>
      <c r="AG107" s="1666"/>
      <c r="AH107" s="1667">
        <v>56149.93</v>
      </c>
      <c r="AI107" s="1665">
        <v>56149.93</v>
      </c>
      <c r="AJ107" s="1665">
        <v>47727.44</v>
      </c>
      <c r="AK107" s="1698">
        <v>47727.44</v>
      </c>
      <c r="AL107" s="1665">
        <v>0</v>
      </c>
      <c r="AM107" s="1668"/>
      <c r="AN107" s="1665">
        <v>56149.93</v>
      </c>
      <c r="AO107" s="1665">
        <v>56149.93</v>
      </c>
      <c r="AP107" s="1665">
        <v>47727.44</v>
      </c>
      <c r="AQ107" s="1665">
        <v>47727.44</v>
      </c>
      <c r="AR107" s="1665">
        <v>0</v>
      </c>
      <c r="AS107" s="1665">
        <v>8422.49</v>
      </c>
      <c r="AT107" s="1665">
        <v>0</v>
      </c>
      <c r="AU107" s="1665">
        <v>8422.49</v>
      </c>
      <c r="AV107" s="1665">
        <v>0</v>
      </c>
      <c r="AW107" s="1665">
        <v>0</v>
      </c>
      <c r="AX107" s="1665">
        <v>0</v>
      </c>
      <c r="AY107" s="1665">
        <v>0</v>
      </c>
      <c r="AZ107" s="1665">
        <v>0</v>
      </c>
      <c r="BA107" s="1668"/>
      <c r="BB107" s="1668"/>
      <c r="BC107" s="1665">
        <v>0</v>
      </c>
      <c r="BD107" s="1665">
        <v>0</v>
      </c>
      <c r="BE107" s="1665">
        <v>56149.93</v>
      </c>
      <c r="BF107" s="1665">
        <v>56149.93</v>
      </c>
      <c r="BG107" s="1665">
        <v>47727.44</v>
      </c>
      <c r="BH107" s="1665">
        <v>47727.44</v>
      </c>
      <c r="BI107" s="1665">
        <v>0</v>
      </c>
      <c r="BJ107" s="1665">
        <v>8422.49</v>
      </c>
      <c r="BK107" s="1665">
        <v>0</v>
      </c>
      <c r="BL107" s="1665">
        <v>8422.49</v>
      </c>
      <c r="BM107" s="1665">
        <v>0</v>
      </c>
      <c r="BN107" s="1665">
        <v>0</v>
      </c>
      <c r="BO107" s="1668"/>
      <c r="BP107" s="1665">
        <v>0</v>
      </c>
      <c r="BQ107" s="1665">
        <v>0</v>
      </c>
      <c r="BR107" s="1665">
        <v>0</v>
      </c>
      <c r="BS107" s="1667">
        <v>0</v>
      </c>
      <c r="BT107" s="1665">
        <v>0</v>
      </c>
      <c r="BU107" s="1665">
        <v>0</v>
      </c>
      <c r="BV107" s="1665">
        <v>0</v>
      </c>
      <c r="BW107" s="1665">
        <v>0</v>
      </c>
      <c r="BX107" s="1665">
        <v>0</v>
      </c>
      <c r="BY107" s="1665">
        <v>0</v>
      </c>
      <c r="BZ107" s="1665">
        <v>0</v>
      </c>
      <c r="CA107" s="1665">
        <v>0</v>
      </c>
      <c r="CB107" s="1668"/>
      <c r="CC107" s="1668"/>
      <c r="CD107" s="1665">
        <v>0</v>
      </c>
      <c r="CE107" s="1665">
        <v>0</v>
      </c>
      <c r="CF107" s="1665">
        <v>0</v>
      </c>
      <c r="CG107" s="1665">
        <v>0</v>
      </c>
      <c r="CH107" s="1665">
        <v>0</v>
      </c>
      <c r="CI107" s="1665">
        <v>0</v>
      </c>
      <c r="CJ107" s="1665">
        <v>0</v>
      </c>
      <c r="CK107" s="1665">
        <v>0</v>
      </c>
      <c r="CL107" s="1668"/>
      <c r="CM107" s="1665">
        <v>0</v>
      </c>
      <c r="CN107" s="1665">
        <v>0</v>
      </c>
      <c r="CO107" s="1665">
        <v>0</v>
      </c>
      <c r="CP107" s="1665">
        <v>0</v>
      </c>
      <c r="CQ107" s="1665">
        <v>0</v>
      </c>
      <c r="CR107" s="1665">
        <v>0</v>
      </c>
      <c r="CS107" s="1665">
        <v>0</v>
      </c>
      <c r="CT107" s="1665">
        <v>0</v>
      </c>
      <c r="CU107" s="1665">
        <v>0</v>
      </c>
      <c r="CV107" s="1665">
        <v>0</v>
      </c>
      <c r="CW107" s="1668"/>
      <c r="CX107" s="1665">
        <v>0</v>
      </c>
      <c r="CY107" s="1665">
        <v>0</v>
      </c>
      <c r="CZ107" s="1665">
        <v>0</v>
      </c>
      <c r="DA107" s="1665">
        <v>0</v>
      </c>
      <c r="DB107" s="1668"/>
      <c r="DC107" s="1662"/>
      <c r="DD107" s="1665">
        <v>0</v>
      </c>
      <c r="DE107" s="1665">
        <v>0</v>
      </c>
      <c r="DF107" s="1665">
        <v>0</v>
      </c>
      <c r="DG107" s="1665">
        <v>0</v>
      </c>
      <c r="DH107" s="1665">
        <v>0</v>
      </c>
    </row>
    <row r="108" spans="1:112" ht="78.75" hidden="1" x14ac:dyDescent="0.25">
      <c r="A108" s="1662" t="s">
        <v>2101</v>
      </c>
      <c r="B108" s="1662" t="s">
        <v>1719</v>
      </c>
      <c r="C108" s="1662" t="s">
        <v>2623</v>
      </c>
      <c r="D108" s="1662" t="s">
        <v>2624</v>
      </c>
      <c r="E108" s="1662" t="s">
        <v>774</v>
      </c>
      <c r="F108" s="1662" t="s">
        <v>2625</v>
      </c>
      <c r="G108" s="1662" t="s">
        <v>2626</v>
      </c>
      <c r="H108" s="1662" t="s">
        <v>2613</v>
      </c>
      <c r="I108" s="1662" t="s">
        <v>718</v>
      </c>
      <c r="J108" s="1662" t="s">
        <v>2157</v>
      </c>
      <c r="K108" s="1662" t="s">
        <v>2117</v>
      </c>
      <c r="L108" s="1662" t="s">
        <v>2109</v>
      </c>
      <c r="M108" s="1665">
        <v>288106</v>
      </c>
      <c r="N108" s="1665">
        <v>0</v>
      </c>
      <c r="O108" s="1665">
        <v>288106</v>
      </c>
      <c r="P108" s="1665">
        <v>288106</v>
      </c>
      <c r="Q108" s="1665">
        <v>244890.1</v>
      </c>
      <c r="R108" s="1665">
        <v>244890.1</v>
      </c>
      <c r="S108" s="1665">
        <v>0</v>
      </c>
      <c r="T108" s="1665">
        <v>43215.9</v>
      </c>
      <c r="U108" s="1665">
        <v>0</v>
      </c>
      <c r="V108" s="1665">
        <v>43215.9</v>
      </c>
      <c r="W108" s="1665">
        <v>0</v>
      </c>
      <c r="X108" s="1665">
        <v>0</v>
      </c>
      <c r="Y108" s="1668"/>
      <c r="Z108" s="1662"/>
      <c r="AA108" s="1665">
        <v>0</v>
      </c>
      <c r="AB108" s="1665">
        <v>0</v>
      </c>
      <c r="AC108" s="1680">
        <v>0</v>
      </c>
      <c r="AD108" s="1681"/>
      <c r="AE108" s="1679"/>
      <c r="AF108" s="1662"/>
      <c r="AG108" s="1666"/>
      <c r="AH108" s="1667">
        <v>56149.93</v>
      </c>
      <c r="AI108" s="1665">
        <v>56149.93</v>
      </c>
      <c r="AJ108" s="1665">
        <v>47727.44</v>
      </c>
      <c r="AK108" s="1698">
        <v>47727.44</v>
      </c>
      <c r="AL108" s="1665">
        <v>0</v>
      </c>
      <c r="AM108" s="1668"/>
      <c r="AN108" s="1665">
        <v>56149.93</v>
      </c>
      <c r="AO108" s="1665">
        <v>56149.93</v>
      </c>
      <c r="AP108" s="1665">
        <v>47727.44</v>
      </c>
      <c r="AQ108" s="1665">
        <v>47727.44</v>
      </c>
      <c r="AR108" s="1665">
        <v>0</v>
      </c>
      <c r="AS108" s="1665">
        <v>8422.49</v>
      </c>
      <c r="AT108" s="1665">
        <v>0</v>
      </c>
      <c r="AU108" s="1665">
        <v>8422.49</v>
      </c>
      <c r="AV108" s="1665">
        <v>0</v>
      </c>
      <c r="AW108" s="1665">
        <v>0</v>
      </c>
      <c r="AX108" s="1665">
        <v>0</v>
      </c>
      <c r="AY108" s="1665">
        <v>0</v>
      </c>
      <c r="AZ108" s="1665">
        <v>0</v>
      </c>
      <c r="BA108" s="1668"/>
      <c r="BB108" s="1668"/>
      <c r="BC108" s="1665">
        <v>0</v>
      </c>
      <c r="BD108" s="1665">
        <v>0</v>
      </c>
      <c r="BE108" s="1665">
        <v>56149.93</v>
      </c>
      <c r="BF108" s="1665">
        <v>56149.93</v>
      </c>
      <c r="BG108" s="1665">
        <v>47727.44</v>
      </c>
      <c r="BH108" s="1665">
        <v>47727.44</v>
      </c>
      <c r="BI108" s="1665">
        <v>0</v>
      </c>
      <c r="BJ108" s="1665">
        <v>8422.49</v>
      </c>
      <c r="BK108" s="1665">
        <v>0</v>
      </c>
      <c r="BL108" s="1665">
        <v>8422.49</v>
      </c>
      <c r="BM108" s="1665">
        <v>0</v>
      </c>
      <c r="BN108" s="1665">
        <v>0</v>
      </c>
      <c r="BO108" s="1668"/>
      <c r="BP108" s="1665">
        <v>0</v>
      </c>
      <c r="BQ108" s="1665">
        <v>0</v>
      </c>
      <c r="BR108" s="1665">
        <v>0</v>
      </c>
      <c r="BS108" s="1667">
        <v>0</v>
      </c>
      <c r="BT108" s="1665">
        <v>0</v>
      </c>
      <c r="BU108" s="1665">
        <v>0</v>
      </c>
      <c r="BV108" s="1665">
        <v>0</v>
      </c>
      <c r="BW108" s="1665">
        <v>0</v>
      </c>
      <c r="BX108" s="1665">
        <v>0</v>
      </c>
      <c r="BY108" s="1665">
        <v>0</v>
      </c>
      <c r="BZ108" s="1665">
        <v>0</v>
      </c>
      <c r="CA108" s="1665">
        <v>0</v>
      </c>
      <c r="CB108" s="1668"/>
      <c r="CC108" s="1668"/>
      <c r="CD108" s="1665">
        <v>0</v>
      </c>
      <c r="CE108" s="1665">
        <v>0</v>
      </c>
      <c r="CF108" s="1665">
        <v>0</v>
      </c>
      <c r="CG108" s="1665">
        <v>0</v>
      </c>
      <c r="CH108" s="1665">
        <v>0</v>
      </c>
      <c r="CI108" s="1665">
        <v>0</v>
      </c>
      <c r="CJ108" s="1665">
        <v>0</v>
      </c>
      <c r="CK108" s="1665">
        <v>0</v>
      </c>
      <c r="CL108" s="1668"/>
      <c r="CM108" s="1665">
        <v>0</v>
      </c>
      <c r="CN108" s="1665">
        <v>0</v>
      </c>
      <c r="CO108" s="1665">
        <v>0</v>
      </c>
      <c r="CP108" s="1665">
        <v>0</v>
      </c>
      <c r="CQ108" s="1665">
        <v>0</v>
      </c>
      <c r="CR108" s="1665">
        <v>0</v>
      </c>
      <c r="CS108" s="1665">
        <v>0</v>
      </c>
      <c r="CT108" s="1665">
        <v>0</v>
      </c>
      <c r="CU108" s="1665">
        <v>0</v>
      </c>
      <c r="CV108" s="1665">
        <v>0</v>
      </c>
      <c r="CW108" s="1668"/>
      <c r="CX108" s="1665">
        <v>0</v>
      </c>
      <c r="CY108" s="1665">
        <v>0</v>
      </c>
      <c r="CZ108" s="1665">
        <v>0</v>
      </c>
      <c r="DA108" s="1665">
        <v>0</v>
      </c>
      <c r="DB108" s="1668"/>
      <c r="DC108" s="1662"/>
      <c r="DD108" s="1665">
        <v>0</v>
      </c>
      <c r="DE108" s="1665">
        <v>0</v>
      </c>
      <c r="DF108" s="1665">
        <v>0</v>
      </c>
      <c r="DG108" s="1665">
        <v>0</v>
      </c>
      <c r="DH108" s="1665">
        <v>0</v>
      </c>
    </row>
    <row r="109" spans="1:112" ht="78.75" hidden="1" x14ac:dyDescent="0.25">
      <c r="A109" s="1662" t="s">
        <v>2158</v>
      </c>
      <c r="B109" s="1662" t="s">
        <v>1719</v>
      </c>
      <c r="C109" s="1662" t="s">
        <v>2623</v>
      </c>
      <c r="D109" s="1662" t="s">
        <v>2624</v>
      </c>
      <c r="E109" s="1662" t="s">
        <v>774</v>
      </c>
      <c r="F109" s="1662" t="s">
        <v>2625</v>
      </c>
      <c r="G109" s="1662" t="s">
        <v>2626</v>
      </c>
      <c r="H109" s="1662" t="s">
        <v>2613</v>
      </c>
      <c r="I109" s="1662" t="s">
        <v>718</v>
      </c>
      <c r="J109" s="1662" t="s">
        <v>2157</v>
      </c>
      <c r="K109" s="1662" t="s">
        <v>2117</v>
      </c>
      <c r="L109" s="1662" t="s">
        <v>2109</v>
      </c>
      <c r="M109" s="1663"/>
      <c r="N109" s="1663"/>
      <c r="O109" s="1663"/>
      <c r="P109" s="1663"/>
      <c r="Q109" s="1663"/>
      <c r="R109" s="1663"/>
      <c r="S109" s="1663"/>
      <c r="T109" s="1663"/>
      <c r="U109" s="1663"/>
      <c r="V109" s="1663"/>
      <c r="W109" s="1663"/>
      <c r="X109" s="1663"/>
      <c r="Y109" s="1664">
        <v>43294</v>
      </c>
      <c r="Z109" s="1662" t="s">
        <v>2110</v>
      </c>
      <c r="AA109" s="1665">
        <v>0</v>
      </c>
      <c r="AB109" s="1665">
        <v>0</v>
      </c>
      <c r="AC109" s="1680">
        <v>0</v>
      </c>
      <c r="AD109" s="1682">
        <v>43314</v>
      </c>
      <c r="AE109" s="1679" t="s">
        <v>2130</v>
      </c>
      <c r="AF109" s="1662" t="s">
        <v>2115</v>
      </c>
      <c r="AG109" s="1666"/>
      <c r="AH109" s="1667">
        <v>55539</v>
      </c>
      <c r="AI109" s="1665">
        <v>55539</v>
      </c>
      <c r="AJ109" s="1665">
        <v>47208.15</v>
      </c>
      <c r="AK109" s="1698">
        <v>47208.15</v>
      </c>
      <c r="AL109" s="1665">
        <v>0</v>
      </c>
      <c r="AM109" s="1664">
        <v>43335</v>
      </c>
      <c r="AN109" s="1665">
        <v>55539</v>
      </c>
      <c r="AO109" s="1665">
        <v>55539</v>
      </c>
      <c r="AP109" s="1665">
        <v>47208.15</v>
      </c>
      <c r="AQ109" s="1665">
        <v>47208.15</v>
      </c>
      <c r="AR109" s="1665">
        <v>0</v>
      </c>
      <c r="AS109" s="1665">
        <v>8330.85</v>
      </c>
      <c r="AT109" s="1665">
        <v>0</v>
      </c>
      <c r="AU109" s="1665">
        <v>8330.85</v>
      </c>
      <c r="AV109" s="1665">
        <v>0</v>
      </c>
      <c r="AW109" s="1665">
        <v>0</v>
      </c>
      <c r="AX109" s="1663"/>
      <c r="AY109" s="1663"/>
      <c r="AZ109" s="1663"/>
      <c r="BA109" s="1668"/>
      <c r="BB109" s="1668"/>
      <c r="BC109" s="1663"/>
      <c r="BD109" s="1663"/>
      <c r="BE109" s="1665">
        <v>55539</v>
      </c>
      <c r="BF109" s="1665">
        <v>55539</v>
      </c>
      <c r="BG109" s="1665">
        <v>47208.15</v>
      </c>
      <c r="BH109" s="1665">
        <v>47208.15</v>
      </c>
      <c r="BI109" s="1665">
        <v>0</v>
      </c>
      <c r="BJ109" s="1665">
        <v>8330.85</v>
      </c>
      <c r="BK109" s="1665">
        <v>0</v>
      </c>
      <c r="BL109" s="1665">
        <v>8330.85</v>
      </c>
      <c r="BM109" s="1665">
        <v>0</v>
      </c>
      <c r="BN109" s="1665">
        <v>0</v>
      </c>
      <c r="BO109" s="1668"/>
      <c r="BP109" s="1665">
        <v>0</v>
      </c>
      <c r="BQ109" s="1665">
        <v>0</v>
      </c>
      <c r="BR109" s="1665">
        <v>0</v>
      </c>
      <c r="BS109" s="1667">
        <v>0</v>
      </c>
      <c r="BT109" s="1665">
        <v>0</v>
      </c>
      <c r="BU109" s="1665">
        <v>0</v>
      </c>
      <c r="BV109" s="1665">
        <v>0</v>
      </c>
      <c r="BW109" s="1665">
        <v>0</v>
      </c>
      <c r="BX109" s="1665">
        <v>0</v>
      </c>
      <c r="BY109" s="1665">
        <v>0</v>
      </c>
      <c r="BZ109" s="1665">
        <v>0</v>
      </c>
      <c r="CA109" s="1663"/>
      <c r="CB109" s="1668"/>
      <c r="CC109" s="1668"/>
      <c r="CD109" s="1663"/>
      <c r="CE109" s="1663"/>
      <c r="CF109" s="1665">
        <v>0</v>
      </c>
      <c r="CG109" s="1665">
        <v>0</v>
      </c>
      <c r="CH109" s="1665">
        <v>0</v>
      </c>
      <c r="CI109" s="1665">
        <v>0</v>
      </c>
      <c r="CJ109" s="1665">
        <v>0</v>
      </c>
      <c r="CK109" s="1665">
        <v>0</v>
      </c>
      <c r="CL109" s="1668"/>
      <c r="CM109" s="1665">
        <v>0</v>
      </c>
      <c r="CN109" s="1665">
        <v>0</v>
      </c>
      <c r="CO109" s="1665">
        <v>0</v>
      </c>
      <c r="CP109" s="1665">
        <v>0</v>
      </c>
      <c r="CQ109" s="1665">
        <v>0</v>
      </c>
      <c r="CR109" s="1665">
        <v>0</v>
      </c>
      <c r="CS109" s="1665">
        <v>0</v>
      </c>
      <c r="CT109" s="1665">
        <v>0</v>
      </c>
      <c r="CU109" s="1665">
        <v>0</v>
      </c>
      <c r="CV109" s="1665">
        <v>0</v>
      </c>
      <c r="CW109" s="1668"/>
      <c r="CX109" s="1663"/>
      <c r="CY109" s="1663"/>
      <c r="CZ109" s="1663"/>
      <c r="DA109" s="1663"/>
      <c r="DB109" s="1668"/>
      <c r="DC109" s="1662"/>
      <c r="DD109" s="1665">
        <v>0</v>
      </c>
      <c r="DE109" s="1663"/>
      <c r="DF109" s="1663"/>
      <c r="DG109" s="1665">
        <v>0</v>
      </c>
      <c r="DH109" s="1665">
        <v>0</v>
      </c>
    </row>
    <row r="110" spans="1:112" ht="78.75" hidden="1" x14ac:dyDescent="0.25">
      <c r="A110" s="1662" t="s">
        <v>2103</v>
      </c>
      <c r="B110" s="1662" t="s">
        <v>1719</v>
      </c>
      <c r="C110" s="1662" t="s">
        <v>2623</v>
      </c>
      <c r="D110" s="1662" t="s">
        <v>2624</v>
      </c>
      <c r="E110" s="1662" t="s">
        <v>774</v>
      </c>
      <c r="F110" s="1662" t="s">
        <v>2625</v>
      </c>
      <c r="G110" s="1662" t="s">
        <v>2626</v>
      </c>
      <c r="H110" s="1662" t="s">
        <v>2613</v>
      </c>
      <c r="I110" s="1662" t="s">
        <v>718</v>
      </c>
      <c r="J110" s="1662" t="s">
        <v>2157</v>
      </c>
      <c r="K110" s="1662" t="s">
        <v>2117</v>
      </c>
      <c r="L110" s="1662" t="s">
        <v>2109</v>
      </c>
      <c r="M110" s="1663"/>
      <c r="N110" s="1663"/>
      <c r="O110" s="1663"/>
      <c r="P110" s="1663"/>
      <c r="Q110" s="1663"/>
      <c r="R110" s="1663"/>
      <c r="S110" s="1663"/>
      <c r="T110" s="1663"/>
      <c r="U110" s="1663"/>
      <c r="V110" s="1663"/>
      <c r="W110" s="1663"/>
      <c r="X110" s="1663"/>
      <c r="Y110" s="1664">
        <v>43294</v>
      </c>
      <c r="Z110" s="1662" t="s">
        <v>2110</v>
      </c>
      <c r="AA110" s="1665">
        <v>0</v>
      </c>
      <c r="AB110" s="1665">
        <v>0</v>
      </c>
      <c r="AC110" s="1680">
        <v>0</v>
      </c>
      <c r="AD110" s="1682">
        <v>43314</v>
      </c>
      <c r="AE110" s="1679" t="s">
        <v>2130</v>
      </c>
      <c r="AF110" s="1662" t="s">
        <v>2112</v>
      </c>
      <c r="AG110" s="1666"/>
      <c r="AH110" s="1667">
        <v>610.92999999999995</v>
      </c>
      <c r="AI110" s="1665">
        <v>610.92999999999995</v>
      </c>
      <c r="AJ110" s="1665">
        <v>519.29</v>
      </c>
      <c r="AK110" s="1698">
        <v>519.29</v>
      </c>
      <c r="AL110" s="1665">
        <v>0</v>
      </c>
      <c r="AM110" s="1664">
        <v>43314</v>
      </c>
      <c r="AN110" s="1665">
        <v>610.92999999999995</v>
      </c>
      <c r="AO110" s="1665">
        <v>610.92999999999995</v>
      </c>
      <c r="AP110" s="1665">
        <v>519.29</v>
      </c>
      <c r="AQ110" s="1665">
        <v>519.29</v>
      </c>
      <c r="AR110" s="1665">
        <v>0</v>
      </c>
      <c r="AS110" s="1665">
        <v>91.64</v>
      </c>
      <c r="AT110" s="1665">
        <v>0</v>
      </c>
      <c r="AU110" s="1665">
        <v>91.64</v>
      </c>
      <c r="AV110" s="1665">
        <v>0</v>
      </c>
      <c r="AW110" s="1665">
        <v>0</v>
      </c>
      <c r="AX110" s="1663"/>
      <c r="AY110" s="1663"/>
      <c r="AZ110" s="1663"/>
      <c r="BA110" s="1668"/>
      <c r="BB110" s="1668"/>
      <c r="BC110" s="1663"/>
      <c r="BD110" s="1663"/>
      <c r="BE110" s="1665">
        <v>610.92999999999995</v>
      </c>
      <c r="BF110" s="1665">
        <v>610.92999999999995</v>
      </c>
      <c r="BG110" s="1665">
        <v>519.29</v>
      </c>
      <c r="BH110" s="1665">
        <v>519.29</v>
      </c>
      <c r="BI110" s="1665">
        <v>0</v>
      </c>
      <c r="BJ110" s="1665">
        <v>91.64</v>
      </c>
      <c r="BK110" s="1665">
        <v>0</v>
      </c>
      <c r="BL110" s="1665">
        <v>91.64</v>
      </c>
      <c r="BM110" s="1665">
        <v>0</v>
      </c>
      <c r="BN110" s="1665">
        <v>0</v>
      </c>
      <c r="BO110" s="1668"/>
      <c r="BP110" s="1665">
        <v>0</v>
      </c>
      <c r="BQ110" s="1665">
        <v>0</v>
      </c>
      <c r="BR110" s="1665">
        <v>0</v>
      </c>
      <c r="BS110" s="1667">
        <v>0</v>
      </c>
      <c r="BT110" s="1665">
        <v>0</v>
      </c>
      <c r="BU110" s="1665">
        <v>0</v>
      </c>
      <c r="BV110" s="1665">
        <v>0</v>
      </c>
      <c r="BW110" s="1665">
        <v>0</v>
      </c>
      <c r="BX110" s="1665">
        <v>0</v>
      </c>
      <c r="BY110" s="1665">
        <v>0</v>
      </c>
      <c r="BZ110" s="1665">
        <v>0</v>
      </c>
      <c r="CA110" s="1663"/>
      <c r="CB110" s="1668"/>
      <c r="CC110" s="1668"/>
      <c r="CD110" s="1663"/>
      <c r="CE110" s="1663"/>
      <c r="CF110" s="1665">
        <v>0</v>
      </c>
      <c r="CG110" s="1665">
        <v>0</v>
      </c>
      <c r="CH110" s="1665">
        <v>0</v>
      </c>
      <c r="CI110" s="1665">
        <v>0</v>
      </c>
      <c r="CJ110" s="1665">
        <v>0</v>
      </c>
      <c r="CK110" s="1665">
        <v>0</v>
      </c>
      <c r="CL110" s="1668"/>
      <c r="CM110" s="1665">
        <v>0</v>
      </c>
      <c r="CN110" s="1665">
        <v>0</v>
      </c>
      <c r="CO110" s="1665">
        <v>0</v>
      </c>
      <c r="CP110" s="1665">
        <v>0</v>
      </c>
      <c r="CQ110" s="1665">
        <v>0</v>
      </c>
      <c r="CR110" s="1665">
        <v>0</v>
      </c>
      <c r="CS110" s="1665">
        <v>0</v>
      </c>
      <c r="CT110" s="1665">
        <v>0</v>
      </c>
      <c r="CU110" s="1665">
        <v>0</v>
      </c>
      <c r="CV110" s="1665">
        <v>0</v>
      </c>
      <c r="CW110" s="1668"/>
      <c r="CX110" s="1663"/>
      <c r="CY110" s="1663"/>
      <c r="CZ110" s="1663"/>
      <c r="DA110" s="1663"/>
      <c r="DB110" s="1668"/>
      <c r="DC110" s="1662"/>
      <c r="DD110" s="1665">
        <v>0</v>
      </c>
      <c r="DE110" s="1663"/>
      <c r="DF110" s="1663"/>
      <c r="DG110" s="1665">
        <v>0</v>
      </c>
      <c r="DH110" s="1665">
        <v>0</v>
      </c>
    </row>
    <row r="111" spans="1:112" ht="22.5" hidden="1" x14ac:dyDescent="0.25">
      <c r="A111" s="1662" t="s">
        <v>2104</v>
      </c>
      <c r="B111" s="1662" t="s">
        <v>1719</v>
      </c>
      <c r="C111" s="1662" t="s">
        <v>2623</v>
      </c>
      <c r="D111" s="1662" t="s">
        <v>2624</v>
      </c>
      <c r="E111" s="1662" t="s">
        <v>182</v>
      </c>
      <c r="F111" s="1662"/>
      <c r="G111" s="1662"/>
      <c r="H111" s="1662"/>
      <c r="I111" s="1662"/>
      <c r="J111" s="1662"/>
      <c r="K111" s="1662"/>
      <c r="L111" s="1662"/>
      <c r="M111" s="1665">
        <v>502275.97</v>
      </c>
      <c r="N111" s="1665">
        <v>0</v>
      </c>
      <c r="O111" s="1665">
        <v>502275.97</v>
      </c>
      <c r="P111" s="1665">
        <v>502275.97</v>
      </c>
      <c r="Q111" s="1665">
        <v>379970.72</v>
      </c>
      <c r="R111" s="1665">
        <v>379970.72</v>
      </c>
      <c r="S111" s="1665">
        <v>0</v>
      </c>
      <c r="T111" s="1665">
        <v>122305.25</v>
      </c>
      <c r="U111" s="1665">
        <v>0</v>
      </c>
      <c r="V111" s="1665">
        <v>122305.25</v>
      </c>
      <c r="W111" s="1665">
        <v>0</v>
      </c>
      <c r="X111" s="1665">
        <v>0</v>
      </c>
      <c r="Y111" s="1668"/>
      <c r="Z111" s="1662"/>
      <c r="AA111" s="1665">
        <v>0</v>
      </c>
      <c r="AB111" s="1665">
        <v>0</v>
      </c>
      <c r="AC111" s="1680">
        <v>0</v>
      </c>
      <c r="AD111" s="1681"/>
      <c r="AE111" s="1679"/>
      <c r="AF111" s="1662"/>
      <c r="AG111" s="1666"/>
      <c r="AH111" s="1667">
        <v>26335.18</v>
      </c>
      <c r="AI111" s="1665">
        <v>26335.18</v>
      </c>
      <c r="AJ111" s="1665">
        <v>20714.48</v>
      </c>
      <c r="AK111" s="1698">
        <v>20714.48</v>
      </c>
      <c r="AL111" s="1665">
        <v>0</v>
      </c>
      <c r="AM111" s="1668"/>
      <c r="AN111" s="1665">
        <v>25324.18</v>
      </c>
      <c r="AO111" s="1665">
        <v>25324.18</v>
      </c>
      <c r="AP111" s="1665">
        <v>19855.13</v>
      </c>
      <c r="AQ111" s="1665">
        <v>19855.13</v>
      </c>
      <c r="AR111" s="1665">
        <v>0</v>
      </c>
      <c r="AS111" s="1665">
        <v>5469.05</v>
      </c>
      <c r="AT111" s="1665">
        <v>0</v>
      </c>
      <c r="AU111" s="1665">
        <v>5469.05</v>
      </c>
      <c r="AV111" s="1665">
        <v>0</v>
      </c>
      <c r="AW111" s="1665">
        <v>0</v>
      </c>
      <c r="AX111" s="1665">
        <v>0</v>
      </c>
      <c r="AY111" s="1665">
        <v>0</v>
      </c>
      <c r="AZ111" s="1665">
        <v>0</v>
      </c>
      <c r="BA111" s="1668"/>
      <c r="BB111" s="1668"/>
      <c r="BC111" s="1665">
        <v>0</v>
      </c>
      <c r="BD111" s="1665">
        <v>0</v>
      </c>
      <c r="BE111" s="1665">
        <v>25324.18</v>
      </c>
      <c r="BF111" s="1665">
        <v>25324.18</v>
      </c>
      <c r="BG111" s="1665">
        <v>19855.13</v>
      </c>
      <c r="BH111" s="1665">
        <v>19855.13</v>
      </c>
      <c r="BI111" s="1665">
        <v>0</v>
      </c>
      <c r="BJ111" s="1665">
        <v>5469.05</v>
      </c>
      <c r="BK111" s="1665">
        <v>0</v>
      </c>
      <c r="BL111" s="1665">
        <v>5469.05</v>
      </c>
      <c r="BM111" s="1665">
        <v>0</v>
      </c>
      <c r="BN111" s="1665">
        <v>0</v>
      </c>
      <c r="BO111" s="1668"/>
      <c r="BP111" s="1665">
        <v>0</v>
      </c>
      <c r="BQ111" s="1665">
        <v>0</v>
      </c>
      <c r="BR111" s="1665">
        <v>0</v>
      </c>
      <c r="BS111" s="1667">
        <v>0</v>
      </c>
      <c r="BT111" s="1665">
        <v>0</v>
      </c>
      <c r="BU111" s="1665">
        <v>0</v>
      </c>
      <c r="BV111" s="1665">
        <v>0</v>
      </c>
      <c r="BW111" s="1665">
        <v>0</v>
      </c>
      <c r="BX111" s="1665">
        <v>0</v>
      </c>
      <c r="BY111" s="1665">
        <v>0</v>
      </c>
      <c r="BZ111" s="1665">
        <v>0</v>
      </c>
      <c r="CA111" s="1665">
        <v>0</v>
      </c>
      <c r="CB111" s="1668"/>
      <c r="CC111" s="1668"/>
      <c r="CD111" s="1665">
        <v>0</v>
      </c>
      <c r="CE111" s="1665">
        <v>0</v>
      </c>
      <c r="CF111" s="1665">
        <v>0</v>
      </c>
      <c r="CG111" s="1665">
        <v>0</v>
      </c>
      <c r="CH111" s="1665">
        <v>0</v>
      </c>
      <c r="CI111" s="1665">
        <v>0</v>
      </c>
      <c r="CJ111" s="1665">
        <v>0</v>
      </c>
      <c r="CK111" s="1665">
        <v>0</v>
      </c>
      <c r="CL111" s="1668"/>
      <c r="CM111" s="1665">
        <v>0</v>
      </c>
      <c r="CN111" s="1665">
        <v>0</v>
      </c>
      <c r="CO111" s="1665">
        <v>0</v>
      </c>
      <c r="CP111" s="1665">
        <v>0</v>
      </c>
      <c r="CQ111" s="1665">
        <v>0</v>
      </c>
      <c r="CR111" s="1665">
        <v>0</v>
      </c>
      <c r="CS111" s="1665">
        <v>0</v>
      </c>
      <c r="CT111" s="1665">
        <v>0</v>
      </c>
      <c r="CU111" s="1665">
        <v>0</v>
      </c>
      <c r="CV111" s="1665">
        <v>0</v>
      </c>
      <c r="CW111" s="1668"/>
      <c r="CX111" s="1665">
        <v>0</v>
      </c>
      <c r="CY111" s="1665">
        <v>0</v>
      </c>
      <c r="CZ111" s="1665">
        <v>0</v>
      </c>
      <c r="DA111" s="1665">
        <v>0</v>
      </c>
      <c r="DB111" s="1668"/>
      <c r="DC111" s="1662"/>
      <c r="DD111" s="1665">
        <v>0</v>
      </c>
      <c r="DE111" s="1665">
        <v>0</v>
      </c>
      <c r="DF111" s="1665">
        <v>0</v>
      </c>
      <c r="DG111" s="1665">
        <v>0</v>
      </c>
      <c r="DH111" s="1665">
        <v>0</v>
      </c>
    </row>
    <row r="112" spans="1:112" ht="78.75" hidden="1" x14ac:dyDescent="0.25">
      <c r="A112" s="1662" t="s">
        <v>2105</v>
      </c>
      <c r="B112" s="1662" t="s">
        <v>1719</v>
      </c>
      <c r="C112" s="1662" t="s">
        <v>2623</v>
      </c>
      <c r="D112" s="1662" t="s">
        <v>2624</v>
      </c>
      <c r="E112" s="1662" t="s">
        <v>182</v>
      </c>
      <c r="F112" s="1662" t="s">
        <v>2627</v>
      </c>
      <c r="G112" s="1662" t="s">
        <v>2628</v>
      </c>
      <c r="H112" s="1662" t="s">
        <v>2613</v>
      </c>
      <c r="I112" s="1662" t="s">
        <v>1618</v>
      </c>
      <c r="J112" s="1662" t="s">
        <v>395</v>
      </c>
      <c r="K112" s="1662" t="s">
        <v>2159</v>
      </c>
      <c r="L112" s="1662" t="s">
        <v>2109</v>
      </c>
      <c r="M112" s="1665">
        <v>297670.40999999997</v>
      </c>
      <c r="N112" s="1665">
        <v>0</v>
      </c>
      <c r="O112" s="1665">
        <v>297670.40999999997</v>
      </c>
      <c r="P112" s="1665">
        <v>297670.40999999997</v>
      </c>
      <c r="Q112" s="1665">
        <v>206056</v>
      </c>
      <c r="R112" s="1665">
        <v>206056</v>
      </c>
      <c r="S112" s="1665">
        <v>0</v>
      </c>
      <c r="T112" s="1665">
        <v>91614.41</v>
      </c>
      <c r="U112" s="1665">
        <v>0</v>
      </c>
      <c r="V112" s="1665">
        <v>91614.41</v>
      </c>
      <c r="W112" s="1665">
        <v>0</v>
      </c>
      <c r="X112" s="1665">
        <v>0</v>
      </c>
      <c r="Y112" s="1668"/>
      <c r="Z112" s="1662"/>
      <c r="AA112" s="1665">
        <v>0</v>
      </c>
      <c r="AB112" s="1665">
        <v>0</v>
      </c>
      <c r="AC112" s="1680">
        <v>0</v>
      </c>
      <c r="AD112" s="1681"/>
      <c r="AE112" s="1679"/>
      <c r="AF112" s="1662"/>
      <c r="AG112" s="1666"/>
      <c r="AH112" s="1667">
        <v>10587.62</v>
      </c>
      <c r="AI112" s="1665">
        <v>10587.62</v>
      </c>
      <c r="AJ112" s="1665">
        <v>7329.05</v>
      </c>
      <c r="AK112" s="1698">
        <v>7329.05</v>
      </c>
      <c r="AL112" s="1665">
        <v>0</v>
      </c>
      <c r="AM112" s="1668"/>
      <c r="AN112" s="1665">
        <v>10587.62</v>
      </c>
      <c r="AO112" s="1665">
        <v>10587.62</v>
      </c>
      <c r="AP112" s="1665">
        <v>7329.05</v>
      </c>
      <c r="AQ112" s="1665">
        <v>7329.05</v>
      </c>
      <c r="AR112" s="1665">
        <v>0</v>
      </c>
      <c r="AS112" s="1665">
        <v>3258.57</v>
      </c>
      <c r="AT112" s="1665">
        <v>0</v>
      </c>
      <c r="AU112" s="1665">
        <v>3258.57</v>
      </c>
      <c r="AV112" s="1665">
        <v>0</v>
      </c>
      <c r="AW112" s="1665">
        <v>0</v>
      </c>
      <c r="AX112" s="1665">
        <v>0</v>
      </c>
      <c r="AY112" s="1665">
        <v>0</v>
      </c>
      <c r="AZ112" s="1665">
        <v>0</v>
      </c>
      <c r="BA112" s="1668"/>
      <c r="BB112" s="1668"/>
      <c r="BC112" s="1665">
        <v>0</v>
      </c>
      <c r="BD112" s="1665">
        <v>0</v>
      </c>
      <c r="BE112" s="1665">
        <v>10587.62</v>
      </c>
      <c r="BF112" s="1665">
        <v>10587.62</v>
      </c>
      <c r="BG112" s="1665">
        <v>7329.05</v>
      </c>
      <c r="BH112" s="1665">
        <v>7329.05</v>
      </c>
      <c r="BI112" s="1665">
        <v>0</v>
      </c>
      <c r="BJ112" s="1665">
        <v>3258.57</v>
      </c>
      <c r="BK112" s="1665">
        <v>0</v>
      </c>
      <c r="BL112" s="1665">
        <v>3258.57</v>
      </c>
      <c r="BM112" s="1665">
        <v>0</v>
      </c>
      <c r="BN112" s="1665">
        <v>0</v>
      </c>
      <c r="BO112" s="1668"/>
      <c r="BP112" s="1665">
        <v>0</v>
      </c>
      <c r="BQ112" s="1665">
        <v>0</v>
      </c>
      <c r="BR112" s="1665">
        <v>0</v>
      </c>
      <c r="BS112" s="1667">
        <v>0</v>
      </c>
      <c r="BT112" s="1665">
        <v>0</v>
      </c>
      <c r="BU112" s="1665">
        <v>0</v>
      </c>
      <c r="BV112" s="1665">
        <v>0</v>
      </c>
      <c r="BW112" s="1665">
        <v>0</v>
      </c>
      <c r="BX112" s="1665">
        <v>0</v>
      </c>
      <c r="BY112" s="1665">
        <v>0</v>
      </c>
      <c r="BZ112" s="1665">
        <v>0</v>
      </c>
      <c r="CA112" s="1665">
        <v>0</v>
      </c>
      <c r="CB112" s="1668"/>
      <c r="CC112" s="1668"/>
      <c r="CD112" s="1665">
        <v>0</v>
      </c>
      <c r="CE112" s="1665">
        <v>0</v>
      </c>
      <c r="CF112" s="1665">
        <v>0</v>
      </c>
      <c r="CG112" s="1665">
        <v>0</v>
      </c>
      <c r="CH112" s="1665">
        <v>0</v>
      </c>
      <c r="CI112" s="1665">
        <v>0</v>
      </c>
      <c r="CJ112" s="1665">
        <v>0</v>
      </c>
      <c r="CK112" s="1665">
        <v>0</v>
      </c>
      <c r="CL112" s="1668"/>
      <c r="CM112" s="1665">
        <v>0</v>
      </c>
      <c r="CN112" s="1665">
        <v>0</v>
      </c>
      <c r="CO112" s="1665">
        <v>0</v>
      </c>
      <c r="CP112" s="1665">
        <v>0</v>
      </c>
      <c r="CQ112" s="1665">
        <v>0</v>
      </c>
      <c r="CR112" s="1665">
        <v>0</v>
      </c>
      <c r="CS112" s="1665">
        <v>0</v>
      </c>
      <c r="CT112" s="1665">
        <v>0</v>
      </c>
      <c r="CU112" s="1665">
        <v>0</v>
      </c>
      <c r="CV112" s="1665">
        <v>0</v>
      </c>
      <c r="CW112" s="1668"/>
      <c r="CX112" s="1665">
        <v>0</v>
      </c>
      <c r="CY112" s="1665">
        <v>0</v>
      </c>
      <c r="CZ112" s="1665">
        <v>0</v>
      </c>
      <c r="DA112" s="1665">
        <v>0</v>
      </c>
      <c r="DB112" s="1668"/>
      <c r="DC112" s="1662"/>
      <c r="DD112" s="1665">
        <v>0</v>
      </c>
      <c r="DE112" s="1665">
        <v>0</v>
      </c>
      <c r="DF112" s="1665">
        <v>0</v>
      </c>
      <c r="DG112" s="1665">
        <v>0</v>
      </c>
      <c r="DH112" s="1665">
        <v>0</v>
      </c>
    </row>
    <row r="113" spans="1:112" ht="78.75" hidden="1" x14ac:dyDescent="0.25">
      <c r="A113" s="1662" t="s">
        <v>2106</v>
      </c>
      <c r="B113" s="1662" t="s">
        <v>1719</v>
      </c>
      <c r="C113" s="1662" t="s">
        <v>2623</v>
      </c>
      <c r="D113" s="1662" t="s">
        <v>2624</v>
      </c>
      <c r="E113" s="1662" t="s">
        <v>182</v>
      </c>
      <c r="F113" s="1662" t="s">
        <v>2627</v>
      </c>
      <c r="G113" s="1662" t="s">
        <v>2628</v>
      </c>
      <c r="H113" s="1662" t="s">
        <v>2613</v>
      </c>
      <c r="I113" s="1662" t="s">
        <v>1618</v>
      </c>
      <c r="J113" s="1662" t="s">
        <v>395</v>
      </c>
      <c r="K113" s="1662" t="s">
        <v>2159</v>
      </c>
      <c r="L113" s="1662" t="s">
        <v>2109</v>
      </c>
      <c r="M113" s="1663"/>
      <c r="N113" s="1663"/>
      <c r="O113" s="1663"/>
      <c r="P113" s="1663"/>
      <c r="Q113" s="1663"/>
      <c r="R113" s="1663"/>
      <c r="S113" s="1663"/>
      <c r="T113" s="1663"/>
      <c r="U113" s="1663"/>
      <c r="V113" s="1663"/>
      <c r="W113" s="1663"/>
      <c r="X113" s="1663"/>
      <c r="Y113" s="1664">
        <v>43318</v>
      </c>
      <c r="Z113" s="1662" t="s">
        <v>2110</v>
      </c>
      <c r="AA113" s="1665">
        <v>0</v>
      </c>
      <c r="AB113" s="1665">
        <v>0</v>
      </c>
      <c r="AC113" s="1680">
        <v>0</v>
      </c>
      <c r="AD113" s="1682">
        <v>43335</v>
      </c>
      <c r="AE113" s="1679" t="s">
        <v>2122</v>
      </c>
      <c r="AF113" s="1662" t="s">
        <v>2112</v>
      </c>
      <c r="AG113" s="1666"/>
      <c r="AH113" s="1667">
        <v>10587.62</v>
      </c>
      <c r="AI113" s="1665">
        <v>10587.62</v>
      </c>
      <c r="AJ113" s="1665">
        <v>7329.05</v>
      </c>
      <c r="AK113" s="1698">
        <v>7329.05</v>
      </c>
      <c r="AL113" s="1665">
        <v>0</v>
      </c>
      <c r="AM113" s="1664">
        <v>43335</v>
      </c>
      <c r="AN113" s="1665">
        <v>10587.62</v>
      </c>
      <c r="AO113" s="1665">
        <v>10587.62</v>
      </c>
      <c r="AP113" s="1665">
        <v>7329.05</v>
      </c>
      <c r="AQ113" s="1665">
        <v>7329.05</v>
      </c>
      <c r="AR113" s="1665">
        <v>0</v>
      </c>
      <c r="AS113" s="1665">
        <v>3258.57</v>
      </c>
      <c r="AT113" s="1665">
        <v>0</v>
      </c>
      <c r="AU113" s="1665">
        <v>3258.57</v>
      </c>
      <c r="AV113" s="1665">
        <v>0</v>
      </c>
      <c r="AW113" s="1665">
        <v>0</v>
      </c>
      <c r="AX113" s="1663"/>
      <c r="AY113" s="1663"/>
      <c r="AZ113" s="1663"/>
      <c r="BA113" s="1668"/>
      <c r="BB113" s="1668"/>
      <c r="BC113" s="1663"/>
      <c r="BD113" s="1663"/>
      <c r="BE113" s="1665">
        <v>10587.62</v>
      </c>
      <c r="BF113" s="1665">
        <v>10587.62</v>
      </c>
      <c r="BG113" s="1665">
        <v>7329.05</v>
      </c>
      <c r="BH113" s="1665">
        <v>7329.05</v>
      </c>
      <c r="BI113" s="1665">
        <v>0</v>
      </c>
      <c r="BJ113" s="1665">
        <v>3258.57</v>
      </c>
      <c r="BK113" s="1665">
        <v>0</v>
      </c>
      <c r="BL113" s="1665">
        <v>3258.57</v>
      </c>
      <c r="BM113" s="1665">
        <v>0</v>
      </c>
      <c r="BN113" s="1665">
        <v>0</v>
      </c>
      <c r="BO113" s="1668"/>
      <c r="BP113" s="1665">
        <v>0</v>
      </c>
      <c r="BQ113" s="1665">
        <v>0</v>
      </c>
      <c r="BR113" s="1665">
        <v>0</v>
      </c>
      <c r="BS113" s="1667">
        <v>0</v>
      </c>
      <c r="BT113" s="1665">
        <v>0</v>
      </c>
      <c r="BU113" s="1665">
        <v>0</v>
      </c>
      <c r="BV113" s="1665">
        <v>0</v>
      </c>
      <c r="BW113" s="1665">
        <v>0</v>
      </c>
      <c r="BX113" s="1665">
        <v>0</v>
      </c>
      <c r="BY113" s="1665">
        <v>0</v>
      </c>
      <c r="BZ113" s="1665">
        <v>0</v>
      </c>
      <c r="CA113" s="1663"/>
      <c r="CB113" s="1668"/>
      <c r="CC113" s="1668"/>
      <c r="CD113" s="1663"/>
      <c r="CE113" s="1663"/>
      <c r="CF113" s="1665">
        <v>0</v>
      </c>
      <c r="CG113" s="1665">
        <v>0</v>
      </c>
      <c r="CH113" s="1665">
        <v>0</v>
      </c>
      <c r="CI113" s="1665">
        <v>0</v>
      </c>
      <c r="CJ113" s="1665">
        <v>0</v>
      </c>
      <c r="CK113" s="1665">
        <v>0</v>
      </c>
      <c r="CL113" s="1668"/>
      <c r="CM113" s="1665">
        <v>0</v>
      </c>
      <c r="CN113" s="1665">
        <v>0</v>
      </c>
      <c r="CO113" s="1665">
        <v>0</v>
      </c>
      <c r="CP113" s="1665">
        <v>0</v>
      </c>
      <c r="CQ113" s="1665">
        <v>0</v>
      </c>
      <c r="CR113" s="1665">
        <v>0</v>
      </c>
      <c r="CS113" s="1665">
        <v>0</v>
      </c>
      <c r="CT113" s="1665">
        <v>0</v>
      </c>
      <c r="CU113" s="1665">
        <v>0</v>
      </c>
      <c r="CV113" s="1665">
        <v>0</v>
      </c>
      <c r="CW113" s="1668"/>
      <c r="CX113" s="1663"/>
      <c r="CY113" s="1663"/>
      <c r="CZ113" s="1663"/>
      <c r="DA113" s="1663"/>
      <c r="DB113" s="1668"/>
      <c r="DC113" s="1662"/>
      <c r="DD113" s="1665">
        <v>0</v>
      </c>
      <c r="DE113" s="1663"/>
      <c r="DF113" s="1663"/>
      <c r="DG113" s="1665">
        <v>0</v>
      </c>
      <c r="DH113" s="1665">
        <v>0</v>
      </c>
    </row>
    <row r="114" spans="1:112" ht="56.25" hidden="1" x14ac:dyDescent="0.25">
      <c r="A114" s="1662" t="s">
        <v>2160</v>
      </c>
      <c r="B114" s="1662" t="s">
        <v>1719</v>
      </c>
      <c r="C114" s="1662" t="s">
        <v>2623</v>
      </c>
      <c r="D114" s="1662" t="s">
        <v>2624</v>
      </c>
      <c r="E114" s="1662" t="s">
        <v>182</v>
      </c>
      <c r="F114" s="1662" t="s">
        <v>2627</v>
      </c>
      <c r="G114" s="1662" t="s">
        <v>2628</v>
      </c>
      <c r="H114" s="1662" t="s">
        <v>2613</v>
      </c>
      <c r="I114" s="1662" t="s">
        <v>1620</v>
      </c>
      <c r="J114" s="1662" t="s">
        <v>652</v>
      </c>
      <c r="K114" s="1662" t="s">
        <v>2108</v>
      </c>
      <c r="L114" s="1662" t="s">
        <v>2109</v>
      </c>
      <c r="M114" s="1665">
        <v>204605.56</v>
      </c>
      <c r="N114" s="1665">
        <v>0</v>
      </c>
      <c r="O114" s="1665">
        <v>204605.56</v>
      </c>
      <c r="P114" s="1665">
        <v>204605.56</v>
      </c>
      <c r="Q114" s="1665">
        <v>173914.72</v>
      </c>
      <c r="R114" s="1665">
        <v>173914.72</v>
      </c>
      <c r="S114" s="1665">
        <v>0</v>
      </c>
      <c r="T114" s="1665">
        <v>30690.84</v>
      </c>
      <c r="U114" s="1665">
        <v>0</v>
      </c>
      <c r="V114" s="1665">
        <v>30690.84</v>
      </c>
      <c r="W114" s="1665">
        <v>0</v>
      </c>
      <c r="X114" s="1665">
        <v>0</v>
      </c>
      <c r="Y114" s="1668"/>
      <c r="Z114" s="1662"/>
      <c r="AA114" s="1665">
        <v>0</v>
      </c>
      <c r="AB114" s="1665">
        <v>0</v>
      </c>
      <c r="AC114" s="1680">
        <v>0</v>
      </c>
      <c r="AD114" s="1681"/>
      <c r="AE114" s="1679"/>
      <c r="AF114" s="1662"/>
      <c r="AG114" s="1666"/>
      <c r="AH114" s="1667">
        <v>15747.56</v>
      </c>
      <c r="AI114" s="1665">
        <v>15747.56</v>
      </c>
      <c r="AJ114" s="1665">
        <v>13385.43</v>
      </c>
      <c r="AK114" s="1698">
        <v>13385.43</v>
      </c>
      <c r="AL114" s="1665">
        <v>0</v>
      </c>
      <c r="AM114" s="1668"/>
      <c r="AN114" s="1665">
        <v>14736.56</v>
      </c>
      <c r="AO114" s="1665">
        <v>14736.56</v>
      </c>
      <c r="AP114" s="1665">
        <v>12526.08</v>
      </c>
      <c r="AQ114" s="1665">
        <v>12526.08</v>
      </c>
      <c r="AR114" s="1665">
        <v>0</v>
      </c>
      <c r="AS114" s="1665">
        <v>2210.48</v>
      </c>
      <c r="AT114" s="1665">
        <v>0</v>
      </c>
      <c r="AU114" s="1665">
        <v>2210.48</v>
      </c>
      <c r="AV114" s="1665">
        <v>0</v>
      </c>
      <c r="AW114" s="1665">
        <v>0</v>
      </c>
      <c r="AX114" s="1665">
        <v>0</v>
      </c>
      <c r="AY114" s="1665">
        <v>0</v>
      </c>
      <c r="AZ114" s="1665">
        <v>0</v>
      </c>
      <c r="BA114" s="1668"/>
      <c r="BB114" s="1668"/>
      <c r="BC114" s="1665">
        <v>0</v>
      </c>
      <c r="BD114" s="1665">
        <v>0</v>
      </c>
      <c r="BE114" s="1665">
        <v>14736.56</v>
      </c>
      <c r="BF114" s="1665">
        <v>14736.56</v>
      </c>
      <c r="BG114" s="1665">
        <v>12526.08</v>
      </c>
      <c r="BH114" s="1665">
        <v>12526.08</v>
      </c>
      <c r="BI114" s="1665">
        <v>0</v>
      </c>
      <c r="BJ114" s="1665">
        <v>2210.48</v>
      </c>
      <c r="BK114" s="1665">
        <v>0</v>
      </c>
      <c r="BL114" s="1665">
        <v>2210.48</v>
      </c>
      <c r="BM114" s="1665">
        <v>0</v>
      </c>
      <c r="BN114" s="1665">
        <v>0</v>
      </c>
      <c r="BO114" s="1668"/>
      <c r="BP114" s="1665">
        <v>0</v>
      </c>
      <c r="BQ114" s="1665">
        <v>0</v>
      </c>
      <c r="BR114" s="1665">
        <v>0</v>
      </c>
      <c r="BS114" s="1667">
        <v>0</v>
      </c>
      <c r="BT114" s="1665">
        <v>0</v>
      </c>
      <c r="BU114" s="1665">
        <v>0</v>
      </c>
      <c r="BV114" s="1665">
        <v>0</v>
      </c>
      <c r="BW114" s="1665">
        <v>0</v>
      </c>
      <c r="BX114" s="1665">
        <v>0</v>
      </c>
      <c r="BY114" s="1665">
        <v>0</v>
      </c>
      <c r="BZ114" s="1663"/>
      <c r="CA114" s="1665">
        <v>0</v>
      </c>
      <c r="CB114" s="1668"/>
      <c r="CC114" s="1668"/>
      <c r="CD114" s="1665">
        <v>0</v>
      </c>
      <c r="CE114" s="1665">
        <v>0</v>
      </c>
      <c r="CF114" s="1665">
        <v>0</v>
      </c>
      <c r="CG114" s="1665">
        <v>0</v>
      </c>
      <c r="CH114" s="1665">
        <v>0</v>
      </c>
      <c r="CI114" s="1665">
        <v>0</v>
      </c>
      <c r="CJ114" s="1665">
        <v>0</v>
      </c>
      <c r="CK114" s="1665">
        <v>0</v>
      </c>
      <c r="CL114" s="1668"/>
      <c r="CM114" s="1665">
        <v>0</v>
      </c>
      <c r="CN114" s="1665">
        <v>0</v>
      </c>
      <c r="CO114" s="1665">
        <v>0</v>
      </c>
      <c r="CP114" s="1665">
        <v>0</v>
      </c>
      <c r="CQ114" s="1665">
        <v>0</v>
      </c>
      <c r="CR114" s="1665">
        <v>0</v>
      </c>
      <c r="CS114" s="1665">
        <v>0</v>
      </c>
      <c r="CT114" s="1665">
        <v>0</v>
      </c>
      <c r="CU114" s="1665">
        <v>0</v>
      </c>
      <c r="CV114" s="1665">
        <v>0</v>
      </c>
      <c r="CW114" s="1668"/>
      <c r="CX114" s="1665">
        <v>0</v>
      </c>
      <c r="CY114" s="1665">
        <v>0</v>
      </c>
      <c r="CZ114" s="1665">
        <v>0</v>
      </c>
      <c r="DA114" s="1665">
        <v>0</v>
      </c>
      <c r="DB114" s="1668"/>
      <c r="DC114" s="1662"/>
      <c r="DD114" s="1665">
        <v>0</v>
      </c>
      <c r="DE114" s="1665">
        <v>0</v>
      </c>
      <c r="DF114" s="1665">
        <v>0</v>
      </c>
      <c r="DG114" s="1665">
        <v>0</v>
      </c>
      <c r="DH114" s="1665">
        <v>0</v>
      </c>
    </row>
    <row r="115" spans="1:112" ht="56.25" hidden="1" x14ac:dyDescent="0.25">
      <c r="A115" s="1662" t="s">
        <v>2161</v>
      </c>
      <c r="B115" s="1662" t="s">
        <v>1719</v>
      </c>
      <c r="C115" s="1662" t="s">
        <v>2623</v>
      </c>
      <c r="D115" s="1662" t="s">
        <v>2624</v>
      </c>
      <c r="E115" s="1662" t="s">
        <v>182</v>
      </c>
      <c r="F115" s="1662" t="s">
        <v>2627</v>
      </c>
      <c r="G115" s="1662" t="s">
        <v>2628</v>
      </c>
      <c r="H115" s="1662" t="s">
        <v>2613</v>
      </c>
      <c r="I115" s="1662" t="s">
        <v>1620</v>
      </c>
      <c r="J115" s="1662" t="s">
        <v>652</v>
      </c>
      <c r="K115" s="1662" t="s">
        <v>2108</v>
      </c>
      <c r="L115" s="1662" t="s">
        <v>2109</v>
      </c>
      <c r="M115" s="1663"/>
      <c r="N115" s="1663"/>
      <c r="O115" s="1663"/>
      <c r="P115" s="1663"/>
      <c r="Q115" s="1663"/>
      <c r="R115" s="1663"/>
      <c r="S115" s="1663"/>
      <c r="T115" s="1663"/>
      <c r="U115" s="1663"/>
      <c r="V115" s="1663"/>
      <c r="W115" s="1663"/>
      <c r="X115" s="1663"/>
      <c r="Y115" s="1664">
        <v>43356</v>
      </c>
      <c r="Z115" s="1662" t="s">
        <v>2110</v>
      </c>
      <c r="AA115" s="1665">
        <v>0</v>
      </c>
      <c r="AB115" s="1665">
        <v>0</v>
      </c>
      <c r="AC115" s="1680">
        <v>0</v>
      </c>
      <c r="AD115" s="1682">
        <v>43390</v>
      </c>
      <c r="AE115" s="1679" t="s">
        <v>2122</v>
      </c>
      <c r="AF115" s="1662" t="s">
        <v>2115</v>
      </c>
      <c r="AG115" s="1666"/>
      <c r="AH115" s="1667">
        <v>1011</v>
      </c>
      <c r="AI115" s="1665">
        <v>1011</v>
      </c>
      <c r="AJ115" s="1665">
        <v>859.35</v>
      </c>
      <c r="AK115" s="1698">
        <v>859.35</v>
      </c>
      <c r="AL115" s="1665">
        <v>0</v>
      </c>
      <c r="AM115" s="1668"/>
      <c r="AN115" s="1665">
        <v>0</v>
      </c>
      <c r="AO115" s="1665">
        <v>0</v>
      </c>
      <c r="AP115" s="1665">
        <v>0</v>
      </c>
      <c r="AQ115" s="1665">
        <v>0</v>
      </c>
      <c r="AR115" s="1665">
        <v>0</v>
      </c>
      <c r="AS115" s="1665">
        <v>0</v>
      </c>
      <c r="AT115" s="1665">
        <v>0</v>
      </c>
      <c r="AU115" s="1665">
        <v>0</v>
      </c>
      <c r="AV115" s="1665">
        <v>0</v>
      </c>
      <c r="AW115" s="1665">
        <v>0</v>
      </c>
      <c r="AX115" s="1663"/>
      <c r="AY115" s="1663"/>
      <c r="AZ115" s="1663"/>
      <c r="BA115" s="1668"/>
      <c r="BB115" s="1668"/>
      <c r="BC115" s="1663"/>
      <c r="BD115" s="1663"/>
      <c r="BE115" s="1665">
        <v>0</v>
      </c>
      <c r="BF115" s="1665">
        <v>0</v>
      </c>
      <c r="BG115" s="1665">
        <v>0</v>
      </c>
      <c r="BH115" s="1665">
        <v>0</v>
      </c>
      <c r="BI115" s="1665">
        <v>0</v>
      </c>
      <c r="BJ115" s="1665">
        <v>0</v>
      </c>
      <c r="BK115" s="1665">
        <v>0</v>
      </c>
      <c r="BL115" s="1665">
        <v>0</v>
      </c>
      <c r="BM115" s="1665">
        <v>0</v>
      </c>
      <c r="BN115" s="1665">
        <v>0</v>
      </c>
      <c r="BO115" s="1668"/>
      <c r="BP115" s="1665">
        <v>0</v>
      </c>
      <c r="BQ115" s="1665">
        <v>0</v>
      </c>
      <c r="BR115" s="1665">
        <v>0</v>
      </c>
      <c r="BS115" s="1667">
        <v>0</v>
      </c>
      <c r="BT115" s="1665">
        <v>0</v>
      </c>
      <c r="BU115" s="1665">
        <v>0</v>
      </c>
      <c r="BV115" s="1665">
        <v>0</v>
      </c>
      <c r="BW115" s="1665">
        <v>0</v>
      </c>
      <c r="BX115" s="1665">
        <v>0</v>
      </c>
      <c r="BY115" s="1665">
        <v>0</v>
      </c>
      <c r="BZ115" s="1663"/>
      <c r="CA115" s="1663"/>
      <c r="CB115" s="1668"/>
      <c r="CC115" s="1668"/>
      <c r="CD115" s="1663"/>
      <c r="CE115" s="1663"/>
      <c r="CF115" s="1665">
        <v>0</v>
      </c>
      <c r="CG115" s="1665">
        <v>0</v>
      </c>
      <c r="CH115" s="1665">
        <v>0</v>
      </c>
      <c r="CI115" s="1665">
        <v>0</v>
      </c>
      <c r="CJ115" s="1665">
        <v>0</v>
      </c>
      <c r="CK115" s="1665">
        <v>0</v>
      </c>
      <c r="CL115" s="1668"/>
      <c r="CM115" s="1665">
        <v>0</v>
      </c>
      <c r="CN115" s="1665">
        <v>0</v>
      </c>
      <c r="CO115" s="1665">
        <v>0</v>
      </c>
      <c r="CP115" s="1665">
        <v>0</v>
      </c>
      <c r="CQ115" s="1665">
        <v>0</v>
      </c>
      <c r="CR115" s="1665">
        <v>0</v>
      </c>
      <c r="CS115" s="1665">
        <v>0</v>
      </c>
      <c r="CT115" s="1665">
        <v>0</v>
      </c>
      <c r="CU115" s="1665">
        <v>0</v>
      </c>
      <c r="CV115" s="1665">
        <v>0</v>
      </c>
      <c r="CW115" s="1668"/>
      <c r="CX115" s="1663"/>
      <c r="CY115" s="1663"/>
      <c r="CZ115" s="1663"/>
      <c r="DA115" s="1663"/>
      <c r="DB115" s="1668"/>
      <c r="DC115" s="1662"/>
      <c r="DD115" s="1665">
        <v>0</v>
      </c>
      <c r="DE115" s="1663"/>
      <c r="DF115" s="1663"/>
      <c r="DG115" s="1665">
        <v>0</v>
      </c>
      <c r="DH115" s="1665">
        <v>0</v>
      </c>
    </row>
    <row r="116" spans="1:112" ht="56.25" hidden="1" x14ac:dyDescent="0.25">
      <c r="A116" s="1662" t="s">
        <v>2162</v>
      </c>
      <c r="B116" s="1662" t="s">
        <v>1719</v>
      </c>
      <c r="C116" s="1662" t="s">
        <v>2623</v>
      </c>
      <c r="D116" s="1662" t="s">
        <v>2624</v>
      </c>
      <c r="E116" s="1662" t="s">
        <v>182</v>
      </c>
      <c r="F116" s="1662" t="s">
        <v>2627</v>
      </c>
      <c r="G116" s="1662" t="s">
        <v>2628</v>
      </c>
      <c r="H116" s="1662" t="s">
        <v>2613</v>
      </c>
      <c r="I116" s="1662" t="s">
        <v>1620</v>
      </c>
      <c r="J116" s="1662" t="s">
        <v>652</v>
      </c>
      <c r="K116" s="1662" t="s">
        <v>2108</v>
      </c>
      <c r="L116" s="1662" t="s">
        <v>2109</v>
      </c>
      <c r="M116" s="1663"/>
      <c r="N116" s="1663"/>
      <c r="O116" s="1663"/>
      <c r="P116" s="1663"/>
      <c r="Q116" s="1663"/>
      <c r="R116" s="1663"/>
      <c r="S116" s="1663"/>
      <c r="T116" s="1663"/>
      <c r="U116" s="1663"/>
      <c r="V116" s="1663"/>
      <c r="W116" s="1663"/>
      <c r="X116" s="1663"/>
      <c r="Y116" s="1664">
        <v>43356</v>
      </c>
      <c r="Z116" s="1662" t="s">
        <v>2110</v>
      </c>
      <c r="AA116" s="1665">
        <v>0</v>
      </c>
      <c r="AB116" s="1665">
        <v>0</v>
      </c>
      <c r="AC116" s="1680">
        <v>0</v>
      </c>
      <c r="AD116" s="1682">
        <v>43390</v>
      </c>
      <c r="AE116" s="1679" t="s">
        <v>2122</v>
      </c>
      <c r="AF116" s="1662" t="s">
        <v>2112</v>
      </c>
      <c r="AG116" s="1666"/>
      <c r="AH116" s="1667">
        <v>14736.56</v>
      </c>
      <c r="AI116" s="1665">
        <v>14736.56</v>
      </c>
      <c r="AJ116" s="1665">
        <v>12526.08</v>
      </c>
      <c r="AK116" s="1698">
        <v>12526.08</v>
      </c>
      <c r="AL116" s="1665">
        <v>0</v>
      </c>
      <c r="AM116" s="1664">
        <v>43390</v>
      </c>
      <c r="AN116" s="1665">
        <v>14736.56</v>
      </c>
      <c r="AO116" s="1665">
        <v>14736.56</v>
      </c>
      <c r="AP116" s="1665">
        <v>12526.08</v>
      </c>
      <c r="AQ116" s="1665">
        <v>12526.08</v>
      </c>
      <c r="AR116" s="1665">
        <v>0</v>
      </c>
      <c r="AS116" s="1665">
        <v>2210.48</v>
      </c>
      <c r="AT116" s="1665">
        <v>0</v>
      </c>
      <c r="AU116" s="1665">
        <v>2210.48</v>
      </c>
      <c r="AV116" s="1665">
        <v>0</v>
      </c>
      <c r="AW116" s="1665">
        <v>0</v>
      </c>
      <c r="AX116" s="1663"/>
      <c r="AY116" s="1663"/>
      <c r="AZ116" s="1663"/>
      <c r="BA116" s="1668"/>
      <c r="BB116" s="1668"/>
      <c r="BC116" s="1663"/>
      <c r="BD116" s="1663"/>
      <c r="BE116" s="1665">
        <v>14736.56</v>
      </c>
      <c r="BF116" s="1665">
        <v>14736.56</v>
      </c>
      <c r="BG116" s="1665">
        <v>12526.08</v>
      </c>
      <c r="BH116" s="1665">
        <v>12526.08</v>
      </c>
      <c r="BI116" s="1665">
        <v>0</v>
      </c>
      <c r="BJ116" s="1665">
        <v>2210.48</v>
      </c>
      <c r="BK116" s="1665">
        <v>0</v>
      </c>
      <c r="BL116" s="1665">
        <v>2210.48</v>
      </c>
      <c r="BM116" s="1665">
        <v>0</v>
      </c>
      <c r="BN116" s="1665">
        <v>0</v>
      </c>
      <c r="BO116" s="1668"/>
      <c r="BP116" s="1665">
        <v>0</v>
      </c>
      <c r="BQ116" s="1665">
        <v>0</v>
      </c>
      <c r="BR116" s="1665">
        <v>0</v>
      </c>
      <c r="BS116" s="1667">
        <v>0</v>
      </c>
      <c r="BT116" s="1665">
        <v>0</v>
      </c>
      <c r="BU116" s="1665">
        <v>0</v>
      </c>
      <c r="BV116" s="1665">
        <v>0</v>
      </c>
      <c r="BW116" s="1665">
        <v>0</v>
      </c>
      <c r="BX116" s="1665">
        <v>0</v>
      </c>
      <c r="BY116" s="1665">
        <v>0</v>
      </c>
      <c r="BZ116" s="1663"/>
      <c r="CA116" s="1663"/>
      <c r="CB116" s="1668"/>
      <c r="CC116" s="1668"/>
      <c r="CD116" s="1663"/>
      <c r="CE116" s="1663"/>
      <c r="CF116" s="1665">
        <v>0</v>
      </c>
      <c r="CG116" s="1665">
        <v>0</v>
      </c>
      <c r="CH116" s="1665">
        <v>0</v>
      </c>
      <c r="CI116" s="1665">
        <v>0</v>
      </c>
      <c r="CJ116" s="1665">
        <v>0</v>
      </c>
      <c r="CK116" s="1665">
        <v>0</v>
      </c>
      <c r="CL116" s="1668"/>
      <c r="CM116" s="1665">
        <v>0</v>
      </c>
      <c r="CN116" s="1665">
        <v>0</v>
      </c>
      <c r="CO116" s="1665">
        <v>0</v>
      </c>
      <c r="CP116" s="1665">
        <v>0</v>
      </c>
      <c r="CQ116" s="1665">
        <v>0</v>
      </c>
      <c r="CR116" s="1665">
        <v>0</v>
      </c>
      <c r="CS116" s="1665">
        <v>0</v>
      </c>
      <c r="CT116" s="1665">
        <v>0</v>
      </c>
      <c r="CU116" s="1665">
        <v>0</v>
      </c>
      <c r="CV116" s="1665">
        <v>0</v>
      </c>
      <c r="CW116" s="1668"/>
      <c r="CX116" s="1663"/>
      <c r="CY116" s="1663"/>
      <c r="CZ116" s="1663"/>
      <c r="DA116" s="1663"/>
      <c r="DB116" s="1668"/>
      <c r="DC116" s="1662"/>
      <c r="DD116" s="1665">
        <v>0</v>
      </c>
      <c r="DE116" s="1663"/>
      <c r="DF116" s="1663"/>
      <c r="DG116" s="1665">
        <v>0</v>
      </c>
      <c r="DH116" s="1665">
        <v>0</v>
      </c>
    </row>
    <row r="117" spans="1:112" hidden="1" x14ac:dyDescent="0.25">
      <c r="A117" s="1662" t="s">
        <v>2163</v>
      </c>
      <c r="B117" s="1662" t="s">
        <v>1719</v>
      </c>
      <c r="C117" s="1662" t="s">
        <v>2629</v>
      </c>
      <c r="D117" s="1662"/>
      <c r="E117" s="1662"/>
      <c r="F117" s="1662"/>
      <c r="G117" s="1662"/>
      <c r="H117" s="1662"/>
      <c r="I117" s="1662"/>
      <c r="J117" s="1662"/>
      <c r="K117" s="1662"/>
      <c r="L117" s="1662"/>
      <c r="M117" s="1665">
        <v>978732.84</v>
      </c>
      <c r="N117" s="1665">
        <v>0</v>
      </c>
      <c r="O117" s="1665">
        <v>978732.84</v>
      </c>
      <c r="P117" s="1665">
        <v>978732.84</v>
      </c>
      <c r="Q117" s="1665">
        <v>831922.88</v>
      </c>
      <c r="R117" s="1665">
        <v>831922.88</v>
      </c>
      <c r="S117" s="1665">
        <v>0</v>
      </c>
      <c r="T117" s="1665">
        <v>146809.96</v>
      </c>
      <c r="U117" s="1665">
        <v>0</v>
      </c>
      <c r="V117" s="1665">
        <v>146809.96</v>
      </c>
      <c r="W117" s="1665">
        <v>0</v>
      </c>
      <c r="X117" s="1665">
        <v>0</v>
      </c>
      <c r="Y117" s="1668"/>
      <c r="Z117" s="1662"/>
      <c r="AA117" s="1665">
        <v>135094.60999999999</v>
      </c>
      <c r="AB117" s="1665">
        <v>135094.60999999999</v>
      </c>
      <c r="AC117" s="1680">
        <v>0</v>
      </c>
      <c r="AD117" s="1681"/>
      <c r="AE117" s="1679"/>
      <c r="AF117" s="1662"/>
      <c r="AG117" s="1666"/>
      <c r="AH117" s="1667">
        <v>737219.84</v>
      </c>
      <c r="AI117" s="1665">
        <v>737219.84</v>
      </c>
      <c r="AJ117" s="1665">
        <v>533649.80000000005</v>
      </c>
      <c r="AK117" s="1698">
        <v>533649.80000000005</v>
      </c>
      <c r="AL117" s="1665">
        <v>0</v>
      </c>
      <c r="AM117" s="1668"/>
      <c r="AN117" s="1665">
        <v>456502.91</v>
      </c>
      <c r="AO117" s="1665">
        <v>456502.91</v>
      </c>
      <c r="AP117" s="1665">
        <v>388027.48</v>
      </c>
      <c r="AQ117" s="1665">
        <v>388027.48</v>
      </c>
      <c r="AR117" s="1665">
        <v>0</v>
      </c>
      <c r="AS117" s="1665">
        <v>68475.429999999993</v>
      </c>
      <c r="AT117" s="1665">
        <v>0</v>
      </c>
      <c r="AU117" s="1665">
        <v>68475.429999999993</v>
      </c>
      <c r="AV117" s="1665">
        <v>0</v>
      </c>
      <c r="AW117" s="1665">
        <v>0</v>
      </c>
      <c r="AX117" s="1665">
        <v>0</v>
      </c>
      <c r="AY117" s="1665">
        <v>0</v>
      </c>
      <c r="AZ117" s="1665">
        <v>0</v>
      </c>
      <c r="BA117" s="1668"/>
      <c r="BB117" s="1668"/>
      <c r="BC117" s="1665">
        <v>0</v>
      </c>
      <c r="BD117" s="1665">
        <v>0</v>
      </c>
      <c r="BE117" s="1665">
        <v>456502.91</v>
      </c>
      <c r="BF117" s="1665">
        <v>456502.91</v>
      </c>
      <c r="BG117" s="1665">
        <v>388027.48</v>
      </c>
      <c r="BH117" s="1665">
        <v>388027.48</v>
      </c>
      <c r="BI117" s="1665">
        <v>0</v>
      </c>
      <c r="BJ117" s="1665">
        <v>68475.429999999993</v>
      </c>
      <c r="BK117" s="1665">
        <v>0</v>
      </c>
      <c r="BL117" s="1665">
        <v>68475.429999999993</v>
      </c>
      <c r="BM117" s="1665">
        <v>0</v>
      </c>
      <c r="BN117" s="1665">
        <v>0</v>
      </c>
      <c r="BO117" s="1668"/>
      <c r="BP117" s="1665">
        <v>255709.56</v>
      </c>
      <c r="BQ117" s="1665">
        <v>255709.56</v>
      </c>
      <c r="BR117" s="1665">
        <v>217353.12</v>
      </c>
      <c r="BS117" s="1667">
        <v>217353.12</v>
      </c>
      <c r="BT117" s="1665">
        <v>0</v>
      </c>
      <c r="BU117" s="1665">
        <v>38356.44</v>
      </c>
      <c r="BV117" s="1665">
        <v>0</v>
      </c>
      <c r="BW117" s="1665">
        <v>0</v>
      </c>
      <c r="BX117" s="1665">
        <v>0</v>
      </c>
      <c r="BY117" s="1665">
        <v>0</v>
      </c>
      <c r="BZ117" s="1665">
        <v>0</v>
      </c>
      <c r="CA117" s="1665">
        <v>0</v>
      </c>
      <c r="CB117" s="1668"/>
      <c r="CC117" s="1668"/>
      <c r="CD117" s="1665">
        <v>0</v>
      </c>
      <c r="CE117" s="1665">
        <v>0</v>
      </c>
      <c r="CF117" s="1665">
        <v>0</v>
      </c>
      <c r="CG117" s="1665">
        <v>0</v>
      </c>
      <c r="CH117" s="1665">
        <v>0</v>
      </c>
      <c r="CI117" s="1665">
        <v>0</v>
      </c>
      <c r="CJ117" s="1665">
        <v>1724.64</v>
      </c>
      <c r="CK117" s="1665">
        <v>1724.64</v>
      </c>
      <c r="CL117" s="1668"/>
      <c r="CM117" s="1665">
        <v>0</v>
      </c>
      <c r="CN117" s="1665">
        <v>0</v>
      </c>
      <c r="CO117" s="1665">
        <v>0</v>
      </c>
      <c r="CP117" s="1665">
        <v>0</v>
      </c>
      <c r="CQ117" s="1665">
        <v>0</v>
      </c>
      <c r="CR117" s="1665">
        <v>0</v>
      </c>
      <c r="CS117" s="1665">
        <v>0</v>
      </c>
      <c r="CT117" s="1665">
        <v>0</v>
      </c>
      <c r="CU117" s="1665">
        <v>0</v>
      </c>
      <c r="CV117" s="1665">
        <v>0</v>
      </c>
      <c r="CW117" s="1668"/>
      <c r="CX117" s="1665">
        <v>0</v>
      </c>
      <c r="CY117" s="1665">
        <v>0</v>
      </c>
      <c r="CZ117" s="1665">
        <v>0</v>
      </c>
      <c r="DA117" s="1665">
        <v>0</v>
      </c>
      <c r="DB117" s="1668"/>
      <c r="DC117" s="1662"/>
      <c r="DD117" s="1665">
        <v>0</v>
      </c>
      <c r="DE117" s="1665">
        <v>0</v>
      </c>
      <c r="DF117" s="1665">
        <v>0</v>
      </c>
      <c r="DG117" s="1665">
        <v>0</v>
      </c>
      <c r="DH117" s="1665">
        <v>0</v>
      </c>
    </row>
    <row r="118" spans="1:112" hidden="1" x14ac:dyDescent="0.25">
      <c r="A118" s="1662" t="s">
        <v>2164</v>
      </c>
      <c r="B118" s="1662" t="s">
        <v>1719</v>
      </c>
      <c r="C118" s="1662" t="s">
        <v>2629</v>
      </c>
      <c r="D118" s="1662" t="s">
        <v>2630</v>
      </c>
      <c r="E118" s="1662"/>
      <c r="F118" s="1662"/>
      <c r="G118" s="1662"/>
      <c r="H118" s="1662"/>
      <c r="I118" s="1662"/>
      <c r="J118" s="1662"/>
      <c r="K118" s="1662"/>
      <c r="L118" s="1662"/>
      <c r="M118" s="1665">
        <v>978732.84</v>
      </c>
      <c r="N118" s="1665">
        <v>0</v>
      </c>
      <c r="O118" s="1665">
        <v>978732.84</v>
      </c>
      <c r="P118" s="1665">
        <v>978732.84</v>
      </c>
      <c r="Q118" s="1665">
        <v>831922.88</v>
      </c>
      <c r="R118" s="1665">
        <v>831922.88</v>
      </c>
      <c r="S118" s="1665">
        <v>0</v>
      </c>
      <c r="T118" s="1665">
        <v>146809.96</v>
      </c>
      <c r="U118" s="1665">
        <v>0</v>
      </c>
      <c r="V118" s="1665">
        <v>146809.96</v>
      </c>
      <c r="W118" s="1665">
        <v>0</v>
      </c>
      <c r="X118" s="1665">
        <v>0</v>
      </c>
      <c r="Y118" s="1668"/>
      <c r="Z118" s="1662"/>
      <c r="AA118" s="1665">
        <v>135094.60999999999</v>
      </c>
      <c r="AB118" s="1665">
        <v>135094.60999999999</v>
      </c>
      <c r="AC118" s="1680">
        <v>0</v>
      </c>
      <c r="AD118" s="1681"/>
      <c r="AE118" s="1679"/>
      <c r="AF118" s="1662"/>
      <c r="AG118" s="1666"/>
      <c r="AH118" s="1667">
        <v>737219.84</v>
      </c>
      <c r="AI118" s="1665">
        <v>737219.84</v>
      </c>
      <c r="AJ118" s="1665">
        <v>533649.80000000005</v>
      </c>
      <c r="AK118" s="1698">
        <v>533649.80000000005</v>
      </c>
      <c r="AL118" s="1665">
        <v>0</v>
      </c>
      <c r="AM118" s="1668"/>
      <c r="AN118" s="1665">
        <v>456502.91</v>
      </c>
      <c r="AO118" s="1665">
        <v>456502.91</v>
      </c>
      <c r="AP118" s="1665">
        <v>388027.48</v>
      </c>
      <c r="AQ118" s="1665">
        <v>388027.48</v>
      </c>
      <c r="AR118" s="1665">
        <v>0</v>
      </c>
      <c r="AS118" s="1665">
        <v>68475.429999999993</v>
      </c>
      <c r="AT118" s="1665">
        <v>0</v>
      </c>
      <c r="AU118" s="1665">
        <v>68475.429999999993</v>
      </c>
      <c r="AV118" s="1665">
        <v>0</v>
      </c>
      <c r="AW118" s="1665">
        <v>0</v>
      </c>
      <c r="AX118" s="1665">
        <v>0</v>
      </c>
      <c r="AY118" s="1665">
        <v>0</v>
      </c>
      <c r="AZ118" s="1665">
        <v>0</v>
      </c>
      <c r="BA118" s="1668"/>
      <c r="BB118" s="1668"/>
      <c r="BC118" s="1665">
        <v>0</v>
      </c>
      <c r="BD118" s="1665">
        <v>0</v>
      </c>
      <c r="BE118" s="1665">
        <v>456502.91</v>
      </c>
      <c r="BF118" s="1665">
        <v>456502.91</v>
      </c>
      <c r="BG118" s="1665">
        <v>388027.48</v>
      </c>
      <c r="BH118" s="1665">
        <v>388027.48</v>
      </c>
      <c r="BI118" s="1665">
        <v>0</v>
      </c>
      <c r="BJ118" s="1665">
        <v>68475.429999999993</v>
      </c>
      <c r="BK118" s="1665">
        <v>0</v>
      </c>
      <c r="BL118" s="1665">
        <v>68475.429999999993</v>
      </c>
      <c r="BM118" s="1665">
        <v>0</v>
      </c>
      <c r="BN118" s="1665">
        <v>0</v>
      </c>
      <c r="BO118" s="1668"/>
      <c r="BP118" s="1665">
        <v>255709.56</v>
      </c>
      <c r="BQ118" s="1665">
        <v>255709.56</v>
      </c>
      <c r="BR118" s="1665">
        <v>217353.12</v>
      </c>
      <c r="BS118" s="1667">
        <v>217353.12</v>
      </c>
      <c r="BT118" s="1665">
        <v>0</v>
      </c>
      <c r="BU118" s="1665">
        <v>38356.44</v>
      </c>
      <c r="BV118" s="1665">
        <v>0</v>
      </c>
      <c r="BW118" s="1665">
        <v>0</v>
      </c>
      <c r="BX118" s="1665">
        <v>0</v>
      </c>
      <c r="BY118" s="1665">
        <v>0</v>
      </c>
      <c r="BZ118" s="1665">
        <v>0</v>
      </c>
      <c r="CA118" s="1665">
        <v>0</v>
      </c>
      <c r="CB118" s="1668"/>
      <c r="CC118" s="1668"/>
      <c r="CD118" s="1665">
        <v>0</v>
      </c>
      <c r="CE118" s="1665">
        <v>0</v>
      </c>
      <c r="CF118" s="1665">
        <v>0</v>
      </c>
      <c r="CG118" s="1665">
        <v>0</v>
      </c>
      <c r="CH118" s="1665">
        <v>0</v>
      </c>
      <c r="CI118" s="1665">
        <v>0</v>
      </c>
      <c r="CJ118" s="1665">
        <v>1724.64</v>
      </c>
      <c r="CK118" s="1665">
        <v>1724.64</v>
      </c>
      <c r="CL118" s="1668"/>
      <c r="CM118" s="1665">
        <v>0</v>
      </c>
      <c r="CN118" s="1665">
        <v>0</v>
      </c>
      <c r="CO118" s="1665">
        <v>0</v>
      </c>
      <c r="CP118" s="1665">
        <v>0</v>
      </c>
      <c r="CQ118" s="1665">
        <v>0</v>
      </c>
      <c r="CR118" s="1665">
        <v>0</v>
      </c>
      <c r="CS118" s="1665">
        <v>0</v>
      </c>
      <c r="CT118" s="1665">
        <v>0</v>
      </c>
      <c r="CU118" s="1665">
        <v>0</v>
      </c>
      <c r="CV118" s="1665">
        <v>0</v>
      </c>
      <c r="CW118" s="1668"/>
      <c r="CX118" s="1665">
        <v>0</v>
      </c>
      <c r="CY118" s="1665">
        <v>0</v>
      </c>
      <c r="CZ118" s="1665">
        <v>0</v>
      </c>
      <c r="DA118" s="1665">
        <v>0</v>
      </c>
      <c r="DB118" s="1668"/>
      <c r="DC118" s="1662"/>
      <c r="DD118" s="1665">
        <v>0</v>
      </c>
      <c r="DE118" s="1665">
        <v>0</v>
      </c>
      <c r="DF118" s="1665">
        <v>0</v>
      </c>
      <c r="DG118" s="1665">
        <v>0</v>
      </c>
      <c r="DH118" s="1665">
        <v>0</v>
      </c>
    </row>
    <row r="119" spans="1:112" ht="22.5" hidden="1" x14ac:dyDescent="0.25">
      <c r="A119" s="1662" t="s">
        <v>2165</v>
      </c>
      <c r="B119" s="1662" t="s">
        <v>1719</v>
      </c>
      <c r="C119" s="1662" t="s">
        <v>2629</v>
      </c>
      <c r="D119" s="1662" t="s">
        <v>2630</v>
      </c>
      <c r="E119" s="1662" t="s">
        <v>193</v>
      </c>
      <c r="F119" s="1662"/>
      <c r="G119" s="1662"/>
      <c r="H119" s="1662"/>
      <c r="I119" s="1662"/>
      <c r="J119" s="1662"/>
      <c r="K119" s="1662"/>
      <c r="L119" s="1662"/>
      <c r="M119" s="1665">
        <v>978732.84</v>
      </c>
      <c r="N119" s="1665">
        <v>0</v>
      </c>
      <c r="O119" s="1665">
        <v>978732.84</v>
      </c>
      <c r="P119" s="1665">
        <v>978732.84</v>
      </c>
      <c r="Q119" s="1665">
        <v>831922.88</v>
      </c>
      <c r="R119" s="1665">
        <v>831922.88</v>
      </c>
      <c r="S119" s="1665">
        <v>0</v>
      </c>
      <c r="T119" s="1665">
        <v>146809.96</v>
      </c>
      <c r="U119" s="1665">
        <v>0</v>
      </c>
      <c r="V119" s="1665">
        <v>146809.96</v>
      </c>
      <c r="W119" s="1665">
        <v>0</v>
      </c>
      <c r="X119" s="1665">
        <v>0</v>
      </c>
      <c r="Y119" s="1668"/>
      <c r="Z119" s="1662"/>
      <c r="AA119" s="1665">
        <v>135094.60999999999</v>
      </c>
      <c r="AB119" s="1665">
        <v>135094.60999999999</v>
      </c>
      <c r="AC119" s="1680">
        <v>0</v>
      </c>
      <c r="AD119" s="1681"/>
      <c r="AE119" s="1679"/>
      <c r="AF119" s="1662"/>
      <c r="AG119" s="1666"/>
      <c r="AH119" s="1667">
        <v>737219.84</v>
      </c>
      <c r="AI119" s="1665">
        <v>737219.84</v>
      </c>
      <c r="AJ119" s="1665">
        <v>533649.80000000005</v>
      </c>
      <c r="AK119" s="1698">
        <v>533649.80000000005</v>
      </c>
      <c r="AL119" s="1665">
        <v>0</v>
      </c>
      <c r="AM119" s="1668"/>
      <c r="AN119" s="1665">
        <v>456502.91</v>
      </c>
      <c r="AO119" s="1665">
        <v>456502.91</v>
      </c>
      <c r="AP119" s="1665">
        <v>388027.48</v>
      </c>
      <c r="AQ119" s="1665">
        <v>388027.48</v>
      </c>
      <c r="AR119" s="1665">
        <v>0</v>
      </c>
      <c r="AS119" s="1665">
        <v>68475.429999999993</v>
      </c>
      <c r="AT119" s="1665">
        <v>0</v>
      </c>
      <c r="AU119" s="1665">
        <v>68475.429999999993</v>
      </c>
      <c r="AV119" s="1665">
        <v>0</v>
      </c>
      <c r="AW119" s="1665">
        <v>0</v>
      </c>
      <c r="AX119" s="1665">
        <v>0</v>
      </c>
      <c r="AY119" s="1665">
        <v>0</v>
      </c>
      <c r="AZ119" s="1665">
        <v>0</v>
      </c>
      <c r="BA119" s="1668"/>
      <c r="BB119" s="1668"/>
      <c r="BC119" s="1665">
        <v>0</v>
      </c>
      <c r="BD119" s="1665">
        <v>0</v>
      </c>
      <c r="BE119" s="1665">
        <v>456502.91</v>
      </c>
      <c r="BF119" s="1665">
        <v>456502.91</v>
      </c>
      <c r="BG119" s="1665">
        <v>388027.48</v>
      </c>
      <c r="BH119" s="1665">
        <v>388027.48</v>
      </c>
      <c r="BI119" s="1665">
        <v>0</v>
      </c>
      <c r="BJ119" s="1665">
        <v>68475.429999999993</v>
      </c>
      <c r="BK119" s="1665">
        <v>0</v>
      </c>
      <c r="BL119" s="1665">
        <v>68475.429999999993</v>
      </c>
      <c r="BM119" s="1665">
        <v>0</v>
      </c>
      <c r="BN119" s="1665">
        <v>0</v>
      </c>
      <c r="BO119" s="1668"/>
      <c r="BP119" s="1665">
        <v>255709.56</v>
      </c>
      <c r="BQ119" s="1665">
        <v>255709.56</v>
      </c>
      <c r="BR119" s="1665">
        <v>217353.12</v>
      </c>
      <c r="BS119" s="1667">
        <v>217353.12</v>
      </c>
      <c r="BT119" s="1665">
        <v>0</v>
      </c>
      <c r="BU119" s="1665">
        <v>38356.44</v>
      </c>
      <c r="BV119" s="1665">
        <v>0</v>
      </c>
      <c r="BW119" s="1665">
        <v>0</v>
      </c>
      <c r="BX119" s="1665">
        <v>0</v>
      </c>
      <c r="BY119" s="1665">
        <v>0</v>
      </c>
      <c r="BZ119" s="1665">
        <v>0</v>
      </c>
      <c r="CA119" s="1665">
        <v>0</v>
      </c>
      <c r="CB119" s="1668"/>
      <c r="CC119" s="1668"/>
      <c r="CD119" s="1665">
        <v>0</v>
      </c>
      <c r="CE119" s="1665">
        <v>0</v>
      </c>
      <c r="CF119" s="1665">
        <v>0</v>
      </c>
      <c r="CG119" s="1665">
        <v>0</v>
      </c>
      <c r="CH119" s="1665">
        <v>0</v>
      </c>
      <c r="CI119" s="1665">
        <v>0</v>
      </c>
      <c r="CJ119" s="1665">
        <v>1724.64</v>
      </c>
      <c r="CK119" s="1665">
        <v>1724.64</v>
      </c>
      <c r="CL119" s="1668"/>
      <c r="CM119" s="1665">
        <v>0</v>
      </c>
      <c r="CN119" s="1665">
        <v>0</v>
      </c>
      <c r="CO119" s="1665">
        <v>0</v>
      </c>
      <c r="CP119" s="1665">
        <v>0</v>
      </c>
      <c r="CQ119" s="1665">
        <v>0</v>
      </c>
      <c r="CR119" s="1665">
        <v>0</v>
      </c>
      <c r="CS119" s="1665">
        <v>0</v>
      </c>
      <c r="CT119" s="1665">
        <v>0</v>
      </c>
      <c r="CU119" s="1665">
        <v>0</v>
      </c>
      <c r="CV119" s="1665">
        <v>0</v>
      </c>
      <c r="CW119" s="1668"/>
      <c r="CX119" s="1665">
        <v>0</v>
      </c>
      <c r="CY119" s="1665">
        <v>0</v>
      </c>
      <c r="CZ119" s="1665">
        <v>0</v>
      </c>
      <c r="DA119" s="1665">
        <v>0</v>
      </c>
      <c r="DB119" s="1668"/>
      <c r="DC119" s="1662"/>
      <c r="DD119" s="1665">
        <v>0</v>
      </c>
      <c r="DE119" s="1665">
        <v>0</v>
      </c>
      <c r="DF119" s="1665">
        <v>0</v>
      </c>
      <c r="DG119" s="1665">
        <v>0</v>
      </c>
      <c r="DH119" s="1665">
        <v>0</v>
      </c>
    </row>
    <row r="120" spans="1:112" ht="56.25" hidden="1" x14ac:dyDescent="0.25">
      <c r="A120" s="1662" t="s">
        <v>2166</v>
      </c>
      <c r="B120" s="1662" t="s">
        <v>1719</v>
      </c>
      <c r="C120" s="1662" t="s">
        <v>2629</v>
      </c>
      <c r="D120" s="1662" t="s">
        <v>2630</v>
      </c>
      <c r="E120" s="1662" t="s">
        <v>193</v>
      </c>
      <c r="F120" s="1662" t="s">
        <v>2616</v>
      </c>
      <c r="G120" s="1662" t="s">
        <v>2617</v>
      </c>
      <c r="H120" s="1662" t="s">
        <v>2618</v>
      </c>
      <c r="I120" s="1662" t="s">
        <v>743</v>
      </c>
      <c r="J120" s="1662" t="s">
        <v>192</v>
      </c>
      <c r="K120" s="1662" t="s">
        <v>2126</v>
      </c>
      <c r="L120" s="1662" t="s">
        <v>2109</v>
      </c>
      <c r="M120" s="1665">
        <v>101765.7</v>
      </c>
      <c r="N120" s="1665">
        <v>0</v>
      </c>
      <c r="O120" s="1665">
        <v>101765.7</v>
      </c>
      <c r="P120" s="1665">
        <v>101765.7</v>
      </c>
      <c r="Q120" s="1665">
        <v>86500.800000000003</v>
      </c>
      <c r="R120" s="1665">
        <v>86500.800000000003</v>
      </c>
      <c r="S120" s="1665">
        <v>0</v>
      </c>
      <c r="T120" s="1665">
        <v>15264.9</v>
      </c>
      <c r="U120" s="1665">
        <v>0</v>
      </c>
      <c r="V120" s="1665">
        <v>15264.9</v>
      </c>
      <c r="W120" s="1665">
        <v>0</v>
      </c>
      <c r="X120" s="1665">
        <v>0</v>
      </c>
      <c r="Y120" s="1668"/>
      <c r="Z120" s="1662"/>
      <c r="AA120" s="1665">
        <v>0</v>
      </c>
      <c r="AB120" s="1665">
        <v>0</v>
      </c>
      <c r="AC120" s="1680">
        <v>0</v>
      </c>
      <c r="AD120" s="1681"/>
      <c r="AE120" s="1679"/>
      <c r="AF120" s="1662"/>
      <c r="AG120" s="1666"/>
      <c r="AH120" s="1667">
        <v>53478.87</v>
      </c>
      <c r="AI120" s="1665">
        <v>53478.87</v>
      </c>
      <c r="AJ120" s="1665">
        <v>45457.02</v>
      </c>
      <c r="AK120" s="1698">
        <v>45457.02</v>
      </c>
      <c r="AL120" s="1665">
        <v>0</v>
      </c>
      <c r="AM120" s="1668"/>
      <c r="AN120" s="1665">
        <v>53478.87</v>
      </c>
      <c r="AO120" s="1665">
        <v>53478.87</v>
      </c>
      <c r="AP120" s="1665">
        <v>45457.02</v>
      </c>
      <c r="AQ120" s="1665">
        <v>45457.02</v>
      </c>
      <c r="AR120" s="1665">
        <v>0</v>
      </c>
      <c r="AS120" s="1665">
        <v>8021.85</v>
      </c>
      <c r="AT120" s="1665">
        <v>0</v>
      </c>
      <c r="AU120" s="1665">
        <v>8021.85</v>
      </c>
      <c r="AV120" s="1665">
        <v>0</v>
      </c>
      <c r="AW120" s="1665">
        <v>0</v>
      </c>
      <c r="AX120" s="1665">
        <v>0</v>
      </c>
      <c r="AY120" s="1665">
        <v>0</v>
      </c>
      <c r="AZ120" s="1665">
        <v>0</v>
      </c>
      <c r="BA120" s="1668"/>
      <c r="BB120" s="1668"/>
      <c r="BC120" s="1665">
        <v>0</v>
      </c>
      <c r="BD120" s="1665">
        <v>0</v>
      </c>
      <c r="BE120" s="1665">
        <v>53478.87</v>
      </c>
      <c r="BF120" s="1665">
        <v>53478.87</v>
      </c>
      <c r="BG120" s="1665">
        <v>45457.02</v>
      </c>
      <c r="BH120" s="1665">
        <v>45457.02</v>
      </c>
      <c r="BI120" s="1665">
        <v>0</v>
      </c>
      <c r="BJ120" s="1665">
        <v>8021.85</v>
      </c>
      <c r="BK120" s="1665">
        <v>0</v>
      </c>
      <c r="BL120" s="1665">
        <v>8021.85</v>
      </c>
      <c r="BM120" s="1665">
        <v>0</v>
      </c>
      <c r="BN120" s="1665">
        <v>0</v>
      </c>
      <c r="BO120" s="1668"/>
      <c r="BP120" s="1665">
        <v>0</v>
      </c>
      <c r="BQ120" s="1665">
        <v>0</v>
      </c>
      <c r="BR120" s="1665">
        <v>0</v>
      </c>
      <c r="BS120" s="1667">
        <v>0</v>
      </c>
      <c r="BT120" s="1665">
        <v>0</v>
      </c>
      <c r="BU120" s="1665">
        <v>0</v>
      </c>
      <c r="BV120" s="1665">
        <v>0</v>
      </c>
      <c r="BW120" s="1665">
        <v>0</v>
      </c>
      <c r="BX120" s="1665">
        <v>0</v>
      </c>
      <c r="BY120" s="1665">
        <v>0</v>
      </c>
      <c r="BZ120" s="1665">
        <v>0</v>
      </c>
      <c r="CA120" s="1665">
        <v>0</v>
      </c>
      <c r="CB120" s="1668"/>
      <c r="CC120" s="1668"/>
      <c r="CD120" s="1665">
        <v>0</v>
      </c>
      <c r="CE120" s="1665">
        <v>0</v>
      </c>
      <c r="CF120" s="1665">
        <v>0</v>
      </c>
      <c r="CG120" s="1665">
        <v>0</v>
      </c>
      <c r="CH120" s="1665">
        <v>0</v>
      </c>
      <c r="CI120" s="1665">
        <v>0</v>
      </c>
      <c r="CJ120" s="1665">
        <v>0</v>
      </c>
      <c r="CK120" s="1665">
        <v>0</v>
      </c>
      <c r="CL120" s="1668"/>
      <c r="CM120" s="1665">
        <v>0</v>
      </c>
      <c r="CN120" s="1665">
        <v>0</v>
      </c>
      <c r="CO120" s="1665">
        <v>0</v>
      </c>
      <c r="CP120" s="1665">
        <v>0</v>
      </c>
      <c r="CQ120" s="1665">
        <v>0</v>
      </c>
      <c r="CR120" s="1665">
        <v>0</v>
      </c>
      <c r="CS120" s="1665">
        <v>0</v>
      </c>
      <c r="CT120" s="1665">
        <v>0</v>
      </c>
      <c r="CU120" s="1665">
        <v>0</v>
      </c>
      <c r="CV120" s="1665">
        <v>0</v>
      </c>
      <c r="CW120" s="1668"/>
      <c r="CX120" s="1665">
        <v>0</v>
      </c>
      <c r="CY120" s="1665">
        <v>0</v>
      </c>
      <c r="CZ120" s="1665">
        <v>0</v>
      </c>
      <c r="DA120" s="1665">
        <v>0</v>
      </c>
      <c r="DB120" s="1668"/>
      <c r="DC120" s="1662"/>
      <c r="DD120" s="1665">
        <v>0</v>
      </c>
      <c r="DE120" s="1665">
        <v>0</v>
      </c>
      <c r="DF120" s="1665">
        <v>0</v>
      </c>
      <c r="DG120" s="1665">
        <v>0</v>
      </c>
      <c r="DH120" s="1665">
        <v>0</v>
      </c>
    </row>
    <row r="121" spans="1:112" ht="56.25" hidden="1" x14ac:dyDescent="0.25">
      <c r="A121" s="1662" t="s">
        <v>2167</v>
      </c>
      <c r="B121" s="1662" t="s">
        <v>1719</v>
      </c>
      <c r="C121" s="1662" t="s">
        <v>2629</v>
      </c>
      <c r="D121" s="1662" t="s">
        <v>2630</v>
      </c>
      <c r="E121" s="1662" t="s">
        <v>193</v>
      </c>
      <c r="F121" s="1662" t="s">
        <v>2616</v>
      </c>
      <c r="G121" s="1662" t="s">
        <v>2617</v>
      </c>
      <c r="H121" s="1662" t="s">
        <v>2618</v>
      </c>
      <c r="I121" s="1662" t="s">
        <v>743</v>
      </c>
      <c r="J121" s="1662" t="s">
        <v>192</v>
      </c>
      <c r="K121" s="1662" t="s">
        <v>2126</v>
      </c>
      <c r="L121" s="1662" t="s">
        <v>2109</v>
      </c>
      <c r="M121" s="1663"/>
      <c r="N121" s="1663"/>
      <c r="O121" s="1663"/>
      <c r="P121" s="1663"/>
      <c r="Q121" s="1663"/>
      <c r="R121" s="1663"/>
      <c r="S121" s="1663"/>
      <c r="T121" s="1663"/>
      <c r="U121" s="1663"/>
      <c r="V121" s="1663"/>
      <c r="W121" s="1663"/>
      <c r="X121" s="1663"/>
      <c r="Y121" s="1664">
        <v>43269</v>
      </c>
      <c r="Z121" s="1662" t="s">
        <v>2110</v>
      </c>
      <c r="AA121" s="1665">
        <v>0</v>
      </c>
      <c r="AB121" s="1665">
        <v>0</v>
      </c>
      <c r="AC121" s="1680">
        <v>0</v>
      </c>
      <c r="AD121" s="1682">
        <v>43322</v>
      </c>
      <c r="AE121" s="1679" t="s">
        <v>2114</v>
      </c>
      <c r="AF121" s="1662" t="s">
        <v>2115</v>
      </c>
      <c r="AG121" s="1666"/>
      <c r="AH121" s="1667">
        <v>53240</v>
      </c>
      <c r="AI121" s="1665">
        <v>53240</v>
      </c>
      <c r="AJ121" s="1665">
        <v>45253.98</v>
      </c>
      <c r="AK121" s="1698">
        <v>45253.98</v>
      </c>
      <c r="AL121" s="1665">
        <v>0</v>
      </c>
      <c r="AM121" s="1664">
        <v>43322</v>
      </c>
      <c r="AN121" s="1665">
        <v>53240</v>
      </c>
      <c r="AO121" s="1665">
        <v>53240</v>
      </c>
      <c r="AP121" s="1665">
        <v>45253.98</v>
      </c>
      <c r="AQ121" s="1665">
        <v>45253.98</v>
      </c>
      <c r="AR121" s="1665">
        <v>0</v>
      </c>
      <c r="AS121" s="1665">
        <v>7986.02</v>
      </c>
      <c r="AT121" s="1665">
        <v>0</v>
      </c>
      <c r="AU121" s="1665">
        <v>7986.02</v>
      </c>
      <c r="AV121" s="1665">
        <v>0</v>
      </c>
      <c r="AW121" s="1665">
        <v>0</v>
      </c>
      <c r="AX121" s="1663"/>
      <c r="AY121" s="1663"/>
      <c r="AZ121" s="1663"/>
      <c r="BA121" s="1668"/>
      <c r="BB121" s="1668"/>
      <c r="BC121" s="1663"/>
      <c r="BD121" s="1663"/>
      <c r="BE121" s="1665">
        <v>53240</v>
      </c>
      <c r="BF121" s="1665">
        <v>53240</v>
      </c>
      <c r="BG121" s="1665">
        <v>45253.98</v>
      </c>
      <c r="BH121" s="1665">
        <v>45253.98</v>
      </c>
      <c r="BI121" s="1665">
        <v>0</v>
      </c>
      <c r="BJ121" s="1665">
        <v>7986.02</v>
      </c>
      <c r="BK121" s="1665">
        <v>0</v>
      </c>
      <c r="BL121" s="1665">
        <v>7986.02</v>
      </c>
      <c r="BM121" s="1665">
        <v>0</v>
      </c>
      <c r="BN121" s="1665">
        <v>0</v>
      </c>
      <c r="BO121" s="1668"/>
      <c r="BP121" s="1665">
        <v>0</v>
      </c>
      <c r="BQ121" s="1665">
        <v>0</v>
      </c>
      <c r="BR121" s="1665">
        <v>0</v>
      </c>
      <c r="BS121" s="1667">
        <v>0</v>
      </c>
      <c r="BT121" s="1665">
        <v>0</v>
      </c>
      <c r="BU121" s="1665">
        <v>0</v>
      </c>
      <c r="BV121" s="1665">
        <v>0</v>
      </c>
      <c r="BW121" s="1665">
        <v>0</v>
      </c>
      <c r="BX121" s="1665">
        <v>0</v>
      </c>
      <c r="BY121" s="1665">
        <v>0</v>
      </c>
      <c r="BZ121" s="1665">
        <v>0</v>
      </c>
      <c r="CA121" s="1663"/>
      <c r="CB121" s="1668"/>
      <c r="CC121" s="1668"/>
      <c r="CD121" s="1663"/>
      <c r="CE121" s="1663"/>
      <c r="CF121" s="1665">
        <v>0</v>
      </c>
      <c r="CG121" s="1665">
        <v>0</v>
      </c>
      <c r="CH121" s="1665">
        <v>0</v>
      </c>
      <c r="CI121" s="1665">
        <v>0</v>
      </c>
      <c r="CJ121" s="1665">
        <v>0</v>
      </c>
      <c r="CK121" s="1665">
        <v>0</v>
      </c>
      <c r="CL121" s="1668"/>
      <c r="CM121" s="1665">
        <v>0</v>
      </c>
      <c r="CN121" s="1665">
        <v>0</v>
      </c>
      <c r="CO121" s="1665">
        <v>0</v>
      </c>
      <c r="CP121" s="1665">
        <v>0</v>
      </c>
      <c r="CQ121" s="1665">
        <v>0</v>
      </c>
      <c r="CR121" s="1665">
        <v>0</v>
      </c>
      <c r="CS121" s="1665">
        <v>0</v>
      </c>
      <c r="CT121" s="1665">
        <v>0</v>
      </c>
      <c r="CU121" s="1665">
        <v>0</v>
      </c>
      <c r="CV121" s="1665">
        <v>0</v>
      </c>
      <c r="CW121" s="1668"/>
      <c r="CX121" s="1663"/>
      <c r="CY121" s="1663"/>
      <c r="CZ121" s="1663"/>
      <c r="DA121" s="1663"/>
      <c r="DB121" s="1668"/>
      <c r="DC121" s="1662"/>
      <c r="DD121" s="1665">
        <v>0</v>
      </c>
      <c r="DE121" s="1663"/>
      <c r="DF121" s="1663"/>
      <c r="DG121" s="1665">
        <v>0</v>
      </c>
      <c r="DH121" s="1665">
        <v>0</v>
      </c>
    </row>
    <row r="122" spans="1:112" ht="56.25" hidden="1" x14ac:dyDescent="0.25">
      <c r="A122" s="1662" t="s">
        <v>2168</v>
      </c>
      <c r="B122" s="1662" t="s">
        <v>1719</v>
      </c>
      <c r="C122" s="1662" t="s">
        <v>2629</v>
      </c>
      <c r="D122" s="1662" t="s">
        <v>2630</v>
      </c>
      <c r="E122" s="1662" t="s">
        <v>193</v>
      </c>
      <c r="F122" s="1662" t="s">
        <v>2616</v>
      </c>
      <c r="G122" s="1662" t="s">
        <v>2617</v>
      </c>
      <c r="H122" s="1662" t="s">
        <v>2618</v>
      </c>
      <c r="I122" s="1662" t="s">
        <v>743</v>
      </c>
      <c r="J122" s="1662" t="s">
        <v>192</v>
      </c>
      <c r="K122" s="1662" t="s">
        <v>2126</v>
      </c>
      <c r="L122" s="1662" t="s">
        <v>2109</v>
      </c>
      <c r="M122" s="1663"/>
      <c r="N122" s="1663"/>
      <c r="O122" s="1663"/>
      <c r="P122" s="1663"/>
      <c r="Q122" s="1663"/>
      <c r="R122" s="1663"/>
      <c r="S122" s="1663"/>
      <c r="T122" s="1663"/>
      <c r="U122" s="1663"/>
      <c r="V122" s="1663"/>
      <c r="W122" s="1663"/>
      <c r="X122" s="1663"/>
      <c r="Y122" s="1664">
        <v>43269</v>
      </c>
      <c r="Z122" s="1662" t="s">
        <v>2110</v>
      </c>
      <c r="AA122" s="1665">
        <v>0</v>
      </c>
      <c r="AB122" s="1665">
        <v>0</v>
      </c>
      <c r="AC122" s="1680">
        <v>0</v>
      </c>
      <c r="AD122" s="1682">
        <v>43322</v>
      </c>
      <c r="AE122" s="1679" t="s">
        <v>2114</v>
      </c>
      <c r="AF122" s="1662" t="s">
        <v>2112</v>
      </c>
      <c r="AG122" s="1666"/>
      <c r="AH122" s="1667">
        <v>238.87</v>
      </c>
      <c r="AI122" s="1665">
        <v>238.87</v>
      </c>
      <c r="AJ122" s="1665">
        <v>203.04</v>
      </c>
      <c r="AK122" s="1698">
        <v>203.04</v>
      </c>
      <c r="AL122" s="1665">
        <v>0</v>
      </c>
      <c r="AM122" s="1664">
        <v>43322</v>
      </c>
      <c r="AN122" s="1665">
        <v>238.87</v>
      </c>
      <c r="AO122" s="1665">
        <v>238.87</v>
      </c>
      <c r="AP122" s="1665">
        <v>203.04</v>
      </c>
      <c r="AQ122" s="1665">
        <v>203.04</v>
      </c>
      <c r="AR122" s="1665">
        <v>0</v>
      </c>
      <c r="AS122" s="1665">
        <v>35.83</v>
      </c>
      <c r="AT122" s="1665">
        <v>0</v>
      </c>
      <c r="AU122" s="1665">
        <v>35.83</v>
      </c>
      <c r="AV122" s="1665">
        <v>0</v>
      </c>
      <c r="AW122" s="1665">
        <v>0</v>
      </c>
      <c r="AX122" s="1663"/>
      <c r="AY122" s="1663"/>
      <c r="AZ122" s="1663"/>
      <c r="BA122" s="1668"/>
      <c r="BB122" s="1668"/>
      <c r="BC122" s="1663"/>
      <c r="BD122" s="1663"/>
      <c r="BE122" s="1665">
        <v>238.87</v>
      </c>
      <c r="BF122" s="1665">
        <v>238.87</v>
      </c>
      <c r="BG122" s="1665">
        <v>203.04</v>
      </c>
      <c r="BH122" s="1665">
        <v>203.04</v>
      </c>
      <c r="BI122" s="1665">
        <v>0</v>
      </c>
      <c r="BJ122" s="1665">
        <v>35.83</v>
      </c>
      <c r="BK122" s="1665">
        <v>0</v>
      </c>
      <c r="BL122" s="1665">
        <v>35.83</v>
      </c>
      <c r="BM122" s="1665">
        <v>0</v>
      </c>
      <c r="BN122" s="1665">
        <v>0</v>
      </c>
      <c r="BO122" s="1668"/>
      <c r="BP122" s="1665">
        <v>0</v>
      </c>
      <c r="BQ122" s="1665">
        <v>0</v>
      </c>
      <c r="BR122" s="1665">
        <v>0</v>
      </c>
      <c r="BS122" s="1667">
        <v>0</v>
      </c>
      <c r="BT122" s="1665">
        <v>0</v>
      </c>
      <c r="BU122" s="1665">
        <v>0</v>
      </c>
      <c r="BV122" s="1665">
        <v>0</v>
      </c>
      <c r="BW122" s="1665">
        <v>0</v>
      </c>
      <c r="BX122" s="1665">
        <v>0</v>
      </c>
      <c r="BY122" s="1665">
        <v>0</v>
      </c>
      <c r="BZ122" s="1665">
        <v>0</v>
      </c>
      <c r="CA122" s="1663"/>
      <c r="CB122" s="1668"/>
      <c r="CC122" s="1668"/>
      <c r="CD122" s="1663"/>
      <c r="CE122" s="1663"/>
      <c r="CF122" s="1665">
        <v>0</v>
      </c>
      <c r="CG122" s="1665">
        <v>0</v>
      </c>
      <c r="CH122" s="1665">
        <v>0</v>
      </c>
      <c r="CI122" s="1665">
        <v>0</v>
      </c>
      <c r="CJ122" s="1665">
        <v>0</v>
      </c>
      <c r="CK122" s="1665">
        <v>0</v>
      </c>
      <c r="CL122" s="1668"/>
      <c r="CM122" s="1665">
        <v>0</v>
      </c>
      <c r="CN122" s="1665">
        <v>0</v>
      </c>
      <c r="CO122" s="1665">
        <v>0</v>
      </c>
      <c r="CP122" s="1665">
        <v>0</v>
      </c>
      <c r="CQ122" s="1665">
        <v>0</v>
      </c>
      <c r="CR122" s="1665">
        <v>0</v>
      </c>
      <c r="CS122" s="1665">
        <v>0</v>
      </c>
      <c r="CT122" s="1665">
        <v>0</v>
      </c>
      <c r="CU122" s="1665">
        <v>0</v>
      </c>
      <c r="CV122" s="1665">
        <v>0</v>
      </c>
      <c r="CW122" s="1668"/>
      <c r="CX122" s="1663"/>
      <c r="CY122" s="1663"/>
      <c r="CZ122" s="1663"/>
      <c r="DA122" s="1663"/>
      <c r="DB122" s="1668"/>
      <c r="DC122" s="1662"/>
      <c r="DD122" s="1665">
        <v>0</v>
      </c>
      <c r="DE122" s="1663"/>
      <c r="DF122" s="1663"/>
      <c r="DG122" s="1665">
        <v>0</v>
      </c>
      <c r="DH122" s="1665">
        <v>0</v>
      </c>
    </row>
    <row r="123" spans="1:112" ht="56.25" hidden="1" x14ac:dyDescent="0.25">
      <c r="A123" s="1662" t="s">
        <v>2169</v>
      </c>
      <c r="B123" s="1662" t="s">
        <v>1719</v>
      </c>
      <c r="C123" s="1662" t="s">
        <v>2629</v>
      </c>
      <c r="D123" s="1662" t="s">
        <v>2630</v>
      </c>
      <c r="E123" s="1662" t="s">
        <v>193</v>
      </c>
      <c r="F123" s="1662" t="s">
        <v>2616</v>
      </c>
      <c r="G123" s="1662" t="s">
        <v>2617</v>
      </c>
      <c r="H123" s="1662" t="s">
        <v>2618</v>
      </c>
      <c r="I123" s="1662" t="s">
        <v>744</v>
      </c>
      <c r="J123" s="1662" t="s">
        <v>308</v>
      </c>
      <c r="K123" s="1662" t="s">
        <v>2108</v>
      </c>
      <c r="L123" s="1662" t="s">
        <v>2109</v>
      </c>
      <c r="M123" s="1665">
        <v>309522</v>
      </c>
      <c r="N123" s="1665">
        <v>0</v>
      </c>
      <c r="O123" s="1665">
        <v>309522</v>
      </c>
      <c r="P123" s="1665">
        <v>309522</v>
      </c>
      <c r="Q123" s="1665">
        <v>263093.7</v>
      </c>
      <c r="R123" s="1665">
        <v>263093.7</v>
      </c>
      <c r="S123" s="1665">
        <v>0</v>
      </c>
      <c r="T123" s="1665">
        <v>46428.3</v>
      </c>
      <c r="U123" s="1665">
        <v>0</v>
      </c>
      <c r="V123" s="1665">
        <v>46428.3</v>
      </c>
      <c r="W123" s="1665">
        <v>0</v>
      </c>
      <c r="X123" s="1665">
        <v>0</v>
      </c>
      <c r="Y123" s="1668"/>
      <c r="Z123" s="1662"/>
      <c r="AA123" s="1665">
        <v>104200.45</v>
      </c>
      <c r="AB123" s="1665">
        <v>104200.45</v>
      </c>
      <c r="AC123" s="1680">
        <v>0</v>
      </c>
      <c r="AD123" s="1681"/>
      <c r="AE123" s="1679"/>
      <c r="AF123" s="1662"/>
      <c r="AG123" s="1666"/>
      <c r="AH123" s="1667">
        <v>323095.46000000002</v>
      </c>
      <c r="AI123" s="1665">
        <v>323095.46000000002</v>
      </c>
      <c r="AJ123" s="1665">
        <v>190951.38</v>
      </c>
      <c r="AK123" s="1698">
        <v>190951.38</v>
      </c>
      <c r="AL123" s="1665">
        <v>0</v>
      </c>
      <c r="AM123" s="1668"/>
      <c r="AN123" s="1665">
        <v>186290.91</v>
      </c>
      <c r="AO123" s="1665">
        <v>186290.91</v>
      </c>
      <c r="AP123" s="1665">
        <v>158347.28</v>
      </c>
      <c r="AQ123" s="1665">
        <v>158347.28</v>
      </c>
      <c r="AR123" s="1665">
        <v>0</v>
      </c>
      <c r="AS123" s="1665">
        <v>27943.63</v>
      </c>
      <c r="AT123" s="1665">
        <v>0</v>
      </c>
      <c r="AU123" s="1665">
        <v>27943.63</v>
      </c>
      <c r="AV123" s="1665">
        <v>0</v>
      </c>
      <c r="AW123" s="1665">
        <v>0</v>
      </c>
      <c r="AX123" s="1665">
        <v>0</v>
      </c>
      <c r="AY123" s="1665">
        <v>0</v>
      </c>
      <c r="AZ123" s="1665">
        <v>0</v>
      </c>
      <c r="BA123" s="1668"/>
      <c r="BB123" s="1668"/>
      <c r="BC123" s="1665">
        <v>0</v>
      </c>
      <c r="BD123" s="1665">
        <v>0</v>
      </c>
      <c r="BE123" s="1665">
        <v>186290.91</v>
      </c>
      <c r="BF123" s="1665">
        <v>186290.91</v>
      </c>
      <c r="BG123" s="1665">
        <v>158347.28</v>
      </c>
      <c r="BH123" s="1665">
        <v>158347.28</v>
      </c>
      <c r="BI123" s="1665">
        <v>0</v>
      </c>
      <c r="BJ123" s="1665">
        <v>27943.63</v>
      </c>
      <c r="BK123" s="1665">
        <v>0</v>
      </c>
      <c r="BL123" s="1665">
        <v>27943.63</v>
      </c>
      <c r="BM123" s="1665">
        <v>0</v>
      </c>
      <c r="BN123" s="1665">
        <v>0</v>
      </c>
      <c r="BO123" s="1668"/>
      <c r="BP123" s="1665">
        <v>103776.33</v>
      </c>
      <c r="BQ123" s="1665">
        <v>103776.33</v>
      </c>
      <c r="BR123" s="1665">
        <v>88209.88</v>
      </c>
      <c r="BS123" s="1667">
        <v>88209.88</v>
      </c>
      <c r="BT123" s="1665">
        <v>0</v>
      </c>
      <c r="BU123" s="1665">
        <v>15566.45</v>
      </c>
      <c r="BV123" s="1665">
        <v>0</v>
      </c>
      <c r="BW123" s="1665">
        <v>0</v>
      </c>
      <c r="BX123" s="1665">
        <v>0</v>
      </c>
      <c r="BY123" s="1665">
        <v>0</v>
      </c>
      <c r="BZ123" s="1665">
        <v>0</v>
      </c>
      <c r="CA123" s="1665">
        <v>0</v>
      </c>
      <c r="CB123" s="1668"/>
      <c r="CC123" s="1668"/>
      <c r="CD123" s="1665">
        <v>0</v>
      </c>
      <c r="CE123" s="1665">
        <v>0</v>
      </c>
      <c r="CF123" s="1665">
        <v>0</v>
      </c>
      <c r="CG123" s="1665">
        <v>0</v>
      </c>
      <c r="CH123" s="1665">
        <v>0</v>
      </c>
      <c r="CI123" s="1665">
        <v>0</v>
      </c>
      <c r="CJ123" s="1665">
        <v>1037.6500000000001</v>
      </c>
      <c r="CK123" s="1665">
        <v>1037.6500000000001</v>
      </c>
      <c r="CL123" s="1668"/>
      <c r="CM123" s="1665">
        <v>0</v>
      </c>
      <c r="CN123" s="1665">
        <v>0</v>
      </c>
      <c r="CO123" s="1665">
        <v>0</v>
      </c>
      <c r="CP123" s="1665">
        <v>0</v>
      </c>
      <c r="CQ123" s="1665">
        <v>0</v>
      </c>
      <c r="CR123" s="1665">
        <v>0</v>
      </c>
      <c r="CS123" s="1665">
        <v>0</v>
      </c>
      <c r="CT123" s="1665">
        <v>0</v>
      </c>
      <c r="CU123" s="1665">
        <v>0</v>
      </c>
      <c r="CV123" s="1665">
        <v>0</v>
      </c>
      <c r="CW123" s="1668"/>
      <c r="CX123" s="1665">
        <v>0</v>
      </c>
      <c r="CY123" s="1665">
        <v>0</v>
      </c>
      <c r="CZ123" s="1665">
        <v>0</v>
      </c>
      <c r="DA123" s="1665">
        <v>0</v>
      </c>
      <c r="DB123" s="1668"/>
      <c r="DC123" s="1662"/>
      <c r="DD123" s="1665">
        <v>0</v>
      </c>
      <c r="DE123" s="1665">
        <v>0</v>
      </c>
      <c r="DF123" s="1665">
        <v>0</v>
      </c>
      <c r="DG123" s="1665">
        <v>0</v>
      </c>
      <c r="DH123" s="1665">
        <v>0</v>
      </c>
    </row>
    <row r="124" spans="1:112" ht="56.25" hidden="1" x14ac:dyDescent="0.25">
      <c r="A124" s="1662" t="s">
        <v>2170</v>
      </c>
      <c r="B124" s="1662" t="s">
        <v>1719</v>
      </c>
      <c r="C124" s="1662" t="s">
        <v>2629</v>
      </c>
      <c r="D124" s="1662" t="s">
        <v>2630</v>
      </c>
      <c r="E124" s="1662" t="s">
        <v>193</v>
      </c>
      <c r="F124" s="1662" t="s">
        <v>2616</v>
      </c>
      <c r="G124" s="1662" t="s">
        <v>2617</v>
      </c>
      <c r="H124" s="1662" t="s">
        <v>2618</v>
      </c>
      <c r="I124" s="1662" t="s">
        <v>744</v>
      </c>
      <c r="J124" s="1662" t="s">
        <v>308</v>
      </c>
      <c r="K124" s="1662" t="s">
        <v>2108</v>
      </c>
      <c r="L124" s="1662" t="s">
        <v>2109</v>
      </c>
      <c r="M124" s="1663"/>
      <c r="N124" s="1663"/>
      <c r="O124" s="1663"/>
      <c r="P124" s="1663"/>
      <c r="Q124" s="1663"/>
      <c r="R124" s="1663"/>
      <c r="S124" s="1663"/>
      <c r="T124" s="1663"/>
      <c r="U124" s="1663"/>
      <c r="V124" s="1663"/>
      <c r="W124" s="1663"/>
      <c r="X124" s="1663"/>
      <c r="Y124" s="1664">
        <v>42927</v>
      </c>
      <c r="Z124" s="1662" t="s">
        <v>2145</v>
      </c>
      <c r="AA124" s="1665">
        <v>0</v>
      </c>
      <c r="AB124" s="1665">
        <v>0</v>
      </c>
      <c r="AC124" s="1680">
        <v>0</v>
      </c>
      <c r="AD124" s="1682">
        <v>42935</v>
      </c>
      <c r="AE124" s="1679" t="s">
        <v>2122</v>
      </c>
      <c r="AF124" s="1662" t="s">
        <v>2112</v>
      </c>
      <c r="AG124" s="1666"/>
      <c r="AH124" s="1667">
        <v>78928.11</v>
      </c>
      <c r="AI124" s="1665">
        <v>78928.11</v>
      </c>
      <c r="AJ124" s="1665">
        <v>78928.11</v>
      </c>
      <c r="AK124" s="1698">
        <v>78928.11</v>
      </c>
      <c r="AL124" s="1665">
        <v>0</v>
      </c>
      <c r="AM124" s="1668"/>
      <c r="AN124" s="1665">
        <v>0</v>
      </c>
      <c r="AO124" s="1665">
        <v>0</v>
      </c>
      <c r="AP124" s="1665">
        <v>0</v>
      </c>
      <c r="AQ124" s="1665">
        <v>0</v>
      </c>
      <c r="AR124" s="1665">
        <v>0</v>
      </c>
      <c r="AS124" s="1665">
        <v>0</v>
      </c>
      <c r="AT124" s="1665">
        <v>0</v>
      </c>
      <c r="AU124" s="1665">
        <v>0</v>
      </c>
      <c r="AV124" s="1665">
        <v>0</v>
      </c>
      <c r="AW124" s="1665">
        <v>0</v>
      </c>
      <c r="AX124" s="1663"/>
      <c r="AY124" s="1663"/>
      <c r="AZ124" s="1663"/>
      <c r="BA124" s="1668"/>
      <c r="BB124" s="1668"/>
      <c r="BC124" s="1663"/>
      <c r="BD124" s="1663"/>
      <c r="BE124" s="1665">
        <v>0</v>
      </c>
      <c r="BF124" s="1665">
        <v>0</v>
      </c>
      <c r="BG124" s="1665">
        <v>0</v>
      </c>
      <c r="BH124" s="1665">
        <v>0</v>
      </c>
      <c r="BI124" s="1665">
        <v>0</v>
      </c>
      <c r="BJ124" s="1665">
        <v>0</v>
      </c>
      <c r="BK124" s="1665">
        <v>0</v>
      </c>
      <c r="BL124" s="1665">
        <v>0</v>
      </c>
      <c r="BM124" s="1665">
        <v>0</v>
      </c>
      <c r="BN124" s="1665">
        <v>0</v>
      </c>
      <c r="BO124" s="1668"/>
      <c r="BP124" s="1665">
        <v>0</v>
      </c>
      <c r="BQ124" s="1665">
        <v>0</v>
      </c>
      <c r="BR124" s="1665">
        <v>0</v>
      </c>
      <c r="BS124" s="1667">
        <v>0</v>
      </c>
      <c r="BT124" s="1665">
        <v>0</v>
      </c>
      <c r="BU124" s="1665">
        <v>0</v>
      </c>
      <c r="BV124" s="1665">
        <v>0</v>
      </c>
      <c r="BW124" s="1665">
        <v>0</v>
      </c>
      <c r="BX124" s="1665">
        <v>0</v>
      </c>
      <c r="BY124" s="1665">
        <v>0</v>
      </c>
      <c r="BZ124" s="1663"/>
      <c r="CA124" s="1663"/>
      <c r="CB124" s="1668"/>
      <c r="CC124" s="1668"/>
      <c r="CD124" s="1663"/>
      <c r="CE124" s="1663"/>
      <c r="CF124" s="1665">
        <v>0</v>
      </c>
      <c r="CG124" s="1665">
        <v>0</v>
      </c>
      <c r="CH124" s="1665">
        <v>0</v>
      </c>
      <c r="CI124" s="1665">
        <v>0</v>
      </c>
      <c r="CJ124" s="1665">
        <v>0</v>
      </c>
      <c r="CK124" s="1665">
        <v>0</v>
      </c>
      <c r="CL124" s="1668"/>
      <c r="CM124" s="1665">
        <v>0</v>
      </c>
      <c r="CN124" s="1665">
        <v>0</v>
      </c>
      <c r="CO124" s="1665">
        <v>0</v>
      </c>
      <c r="CP124" s="1665">
        <v>0</v>
      </c>
      <c r="CQ124" s="1665">
        <v>0</v>
      </c>
      <c r="CR124" s="1665">
        <v>0</v>
      </c>
      <c r="CS124" s="1665">
        <v>0</v>
      </c>
      <c r="CT124" s="1665">
        <v>0</v>
      </c>
      <c r="CU124" s="1665">
        <v>0</v>
      </c>
      <c r="CV124" s="1665">
        <v>0</v>
      </c>
      <c r="CW124" s="1668"/>
      <c r="CX124" s="1663"/>
      <c r="CY124" s="1663"/>
      <c r="CZ124" s="1663"/>
      <c r="DA124" s="1663"/>
      <c r="DB124" s="1668"/>
      <c r="DC124" s="1662"/>
      <c r="DD124" s="1665">
        <v>0</v>
      </c>
      <c r="DE124" s="1663"/>
      <c r="DF124" s="1663"/>
      <c r="DG124" s="1665">
        <v>0</v>
      </c>
      <c r="DH124" s="1665">
        <v>0</v>
      </c>
    </row>
    <row r="125" spans="1:112" ht="56.25" hidden="1" x14ac:dyDescent="0.25">
      <c r="A125" s="1662" t="s">
        <v>2171</v>
      </c>
      <c r="B125" s="1662" t="s">
        <v>1719</v>
      </c>
      <c r="C125" s="1662" t="s">
        <v>2629</v>
      </c>
      <c r="D125" s="1662" t="s">
        <v>2630</v>
      </c>
      <c r="E125" s="1662" t="s">
        <v>193</v>
      </c>
      <c r="F125" s="1662" t="s">
        <v>2616</v>
      </c>
      <c r="G125" s="1662" t="s">
        <v>2617</v>
      </c>
      <c r="H125" s="1662" t="s">
        <v>2618</v>
      </c>
      <c r="I125" s="1662" t="s">
        <v>744</v>
      </c>
      <c r="J125" s="1662" t="s">
        <v>308</v>
      </c>
      <c r="K125" s="1662" t="s">
        <v>2108</v>
      </c>
      <c r="L125" s="1662" t="s">
        <v>2109</v>
      </c>
      <c r="M125" s="1663"/>
      <c r="N125" s="1663"/>
      <c r="O125" s="1663"/>
      <c r="P125" s="1663"/>
      <c r="Q125" s="1663"/>
      <c r="R125" s="1663"/>
      <c r="S125" s="1663"/>
      <c r="T125" s="1663"/>
      <c r="U125" s="1663"/>
      <c r="V125" s="1663"/>
      <c r="W125" s="1663"/>
      <c r="X125" s="1663"/>
      <c r="Y125" s="1664">
        <v>42984</v>
      </c>
      <c r="Z125" s="1662" t="s">
        <v>2110</v>
      </c>
      <c r="AA125" s="1665">
        <v>0</v>
      </c>
      <c r="AB125" s="1665">
        <v>0</v>
      </c>
      <c r="AC125" s="1680">
        <v>0</v>
      </c>
      <c r="AD125" s="1682">
        <v>43013</v>
      </c>
      <c r="AE125" s="1679" t="s">
        <v>2111</v>
      </c>
      <c r="AF125" s="1662" t="s">
        <v>2112</v>
      </c>
      <c r="AG125" s="1666"/>
      <c r="AH125" s="1667">
        <v>10755.54</v>
      </c>
      <c r="AI125" s="1665">
        <v>10755.54</v>
      </c>
      <c r="AJ125" s="1665">
        <v>9142.2099999999991</v>
      </c>
      <c r="AK125" s="1698">
        <v>9142.2099999999991</v>
      </c>
      <c r="AL125" s="1665">
        <v>0</v>
      </c>
      <c r="AM125" s="1664">
        <v>43013</v>
      </c>
      <c r="AN125" s="1665">
        <v>10755.54</v>
      </c>
      <c r="AO125" s="1665">
        <v>10755.54</v>
      </c>
      <c r="AP125" s="1665">
        <v>9142.2099999999991</v>
      </c>
      <c r="AQ125" s="1665">
        <v>9142.2099999999991</v>
      </c>
      <c r="AR125" s="1665">
        <v>0</v>
      </c>
      <c r="AS125" s="1665">
        <v>1613.33</v>
      </c>
      <c r="AT125" s="1665">
        <v>0</v>
      </c>
      <c r="AU125" s="1665">
        <v>1613.33</v>
      </c>
      <c r="AV125" s="1665">
        <v>0</v>
      </c>
      <c r="AW125" s="1665">
        <v>0</v>
      </c>
      <c r="AX125" s="1663"/>
      <c r="AY125" s="1663"/>
      <c r="AZ125" s="1663"/>
      <c r="BA125" s="1668"/>
      <c r="BB125" s="1668"/>
      <c r="BC125" s="1663"/>
      <c r="BD125" s="1663"/>
      <c r="BE125" s="1665">
        <v>10755.54</v>
      </c>
      <c r="BF125" s="1665">
        <v>10755.54</v>
      </c>
      <c r="BG125" s="1665">
        <v>9142.2099999999991</v>
      </c>
      <c r="BH125" s="1665">
        <v>9142.2099999999991</v>
      </c>
      <c r="BI125" s="1665">
        <v>0</v>
      </c>
      <c r="BJ125" s="1665">
        <v>1613.33</v>
      </c>
      <c r="BK125" s="1665">
        <v>0</v>
      </c>
      <c r="BL125" s="1665">
        <v>1613.33</v>
      </c>
      <c r="BM125" s="1665">
        <v>0</v>
      </c>
      <c r="BN125" s="1665">
        <v>0</v>
      </c>
      <c r="BO125" s="1664">
        <v>43125</v>
      </c>
      <c r="BP125" s="1665">
        <v>10755.54</v>
      </c>
      <c r="BQ125" s="1665">
        <v>10755.54</v>
      </c>
      <c r="BR125" s="1665">
        <v>9142.2099999999991</v>
      </c>
      <c r="BS125" s="1667">
        <v>9142.2099999999991</v>
      </c>
      <c r="BT125" s="1665">
        <v>0</v>
      </c>
      <c r="BU125" s="1665">
        <v>1613.33</v>
      </c>
      <c r="BV125" s="1665">
        <v>0</v>
      </c>
      <c r="BW125" s="1665">
        <v>0</v>
      </c>
      <c r="BX125" s="1665">
        <v>0</v>
      </c>
      <c r="BY125" s="1665">
        <v>0</v>
      </c>
      <c r="BZ125" s="1665">
        <v>0</v>
      </c>
      <c r="CA125" s="1663"/>
      <c r="CB125" s="1668"/>
      <c r="CC125" s="1668"/>
      <c r="CD125" s="1663"/>
      <c r="CE125" s="1663"/>
      <c r="CF125" s="1665">
        <v>0</v>
      </c>
      <c r="CG125" s="1665">
        <v>0</v>
      </c>
      <c r="CH125" s="1665">
        <v>0</v>
      </c>
      <c r="CI125" s="1665">
        <v>0</v>
      </c>
      <c r="CJ125" s="1665">
        <v>107.54</v>
      </c>
      <c r="CK125" s="1665">
        <v>107.54</v>
      </c>
      <c r="CL125" s="1668"/>
      <c r="CM125" s="1665">
        <v>0</v>
      </c>
      <c r="CN125" s="1665">
        <v>0</v>
      </c>
      <c r="CO125" s="1665">
        <v>0</v>
      </c>
      <c r="CP125" s="1665">
        <v>0</v>
      </c>
      <c r="CQ125" s="1665">
        <v>0</v>
      </c>
      <c r="CR125" s="1665">
        <v>0</v>
      </c>
      <c r="CS125" s="1665">
        <v>0</v>
      </c>
      <c r="CT125" s="1665">
        <v>0</v>
      </c>
      <c r="CU125" s="1665">
        <v>0</v>
      </c>
      <c r="CV125" s="1665">
        <v>0</v>
      </c>
      <c r="CW125" s="1668"/>
      <c r="CX125" s="1663"/>
      <c r="CY125" s="1663"/>
      <c r="CZ125" s="1663"/>
      <c r="DA125" s="1663"/>
      <c r="DB125" s="1668"/>
      <c r="DC125" s="1662"/>
      <c r="DD125" s="1665">
        <v>0</v>
      </c>
      <c r="DE125" s="1663"/>
      <c r="DF125" s="1663"/>
      <c r="DG125" s="1665">
        <v>0</v>
      </c>
      <c r="DH125" s="1665">
        <v>0</v>
      </c>
    </row>
    <row r="126" spans="1:112" ht="56.25" hidden="1" x14ac:dyDescent="0.25">
      <c r="A126" s="1662" t="s">
        <v>2172</v>
      </c>
      <c r="B126" s="1662" t="s">
        <v>1719</v>
      </c>
      <c r="C126" s="1662" t="s">
        <v>2629</v>
      </c>
      <c r="D126" s="1662" t="s">
        <v>2630</v>
      </c>
      <c r="E126" s="1662" t="s">
        <v>193</v>
      </c>
      <c r="F126" s="1662" t="s">
        <v>2616</v>
      </c>
      <c r="G126" s="1662" t="s">
        <v>2617</v>
      </c>
      <c r="H126" s="1662" t="s">
        <v>2618</v>
      </c>
      <c r="I126" s="1662" t="s">
        <v>744</v>
      </c>
      <c r="J126" s="1662" t="s">
        <v>308</v>
      </c>
      <c r="K126" s="1662" t="s">
        <v>2108</v>
      </c>
      <c r="L126" s="1662" t="s">
        <v>2109</v>
      </c>
      <c r="M126" s="1663"/>
      <c r="N126" s="1663"/>
      <c r="O126" s="1663"/>
      <c r="P126" s="1663"/>
      <c r="Q126" s="1663"/>
      <c r="R126" s="1663"/>
      <c r="S126" s="1663"/>
      <c r="T126" s="1663"/>
      <c r="U126" s="1663"/>
      <c r="V126" s="1663"/>
      <c r="W126" s="1663"/>
      <c r="X126" s="1663"/>
      <c r="Y126" s="1664">
        <v>43182</v>
      </c>
      <c r="Z126" s="1662" t="s">
        <v>2110</v>
      </c>
      <c r="AA126" s="1665">
        <v>0</v>
      </c>
      <c r="AB126" s="1665">
        <v>0</v>
      </c>
      <c r="AC126" s="1680">
        <v>0</v>
      </c>
      <c r="AD126" s="1682">
        <v>43202</v>
      </c>
      <c r="AE126" s="1679" t="s">
        <v>2128</v>
      </c>
      <c r="AF126" s="1662" t="s">
        <v>2112</v>
      </c>
      <c r="AG126" s="1666"/>
      <c r="AH126" s="1667">
        <v>52946.61</v>
      </c>
      <c r="AI126" s="1665">
        <v>52946.61</v>
      </c>
      <c r="AJ126" s="1665">
        <v>45004.62</v>
      </c>
      <c r="AK126" s="1698">
        <v>45004.62</v>
      </c>
      <c r="AL126" s="1665">
        <v>0</v>
      </c>
      <c r="AM126" s="1664">
        <v>43202</v>
      </c>
      <c r="AN126" s="1665">
        <v>52946.61</v>
      </c>
      <c r="AO126" s="1665">
        <v>52946.61</v>
      </c>
      <c r="AP126" s="1665">
        <v>45004.62</v>
      </c>
      <c r="AQ126" s="1665">
        <v>45004.62</v>
      </c>
      <c r="AR126" s="1665">
        <v>0</v>
      </c>
      <c r="AS126" s="1665">
        <v>7941.99</v>
      </c>
      <c r="AT126" s="1665">
        <v>0</v>
      </c>
      <c r="AU126" s="1665">
        <v>7941.99</v>
      </c>
      <c r="AV126" s="1665">
        <v>0</v>
      </c>
      <c r="AW126" s="1665">
        <v>0</v>
      </c>
      <c r="AX126" s="1663"/>
      <c r="AY126" s="1663"/>
      <c r="AZ126" s="1663"/>
      <c r="BA126" s="1668"/>
      <c r="BB126" s="1668"/>
      <c r="BC126" s="1663"/>
      <c r="BD126" s="1663"/>
      <c r="BE126" s="1665">
        <v>52946.61</v>
      </c>
      <c r="BF126" s="1665">
        <v>52946.61</v>
      </c>
      <c r="BG126" s="1665">
        <v>45004.62</v>
      </c>
      <c r="BH126" s="1665">
        <v>45004.62</v>
      </c>
      <c r="BI126" s="1665">
        <v>0</v>
      </c>
      <c r="BJ126" s="1665">
        <v>7941.99</v>
      </c>
      <c r="BK126" s="1665">
        <v>0</v>
      </c>
      <c r="BL126" s="1665">
        <v>7941.99</v>
      </c>
      <c r="BM126" s="1665">
        <v>0</v>
      </c>
      <c r="BN126" s="1665">
        <v>0</v>
      </c>
      <c r="BO126" s="1664">
        <v>43355</v>
      </c>
      <c r="BP126" s="1665">
        <v>52946.61</v>
      </c>
      <c r="BQ126" s="1665">
        <v>52946.61</v>
      </c>
      <c r="BR126" s="1665">
        <v>45004.62</v>
      </c>
      <c r="BS126" s="1667">
        <v>45004.62</v>
      </c>
      <c r="BT126" s="1665">
        <v>0</v>
      </c>
      <c r="BU126" s="1665">
        <v>7941.99</v>
      </c>
      <c r="BV126" s="1665">
        <v>0</v>
      </c>
      <c r="BW126" s="1665">
        <v>0</v>
      </c>
      <c r="BX126" s="1665">
        <v>0</v>
      </c>
      <c r="BY126" s="1665">
        <v>0</v>
      </c>
      <c r="BZ126" s="1665">
        <v>0</v>
      </c>
      <c r="CA126" s="1663"/>
      <c r="CB126" s="1668"/>
      <c r="CC126" s="1668"/>
      <c r="CD126" s="1663"/>
      <c r="CE126" s="1663"/>
      <c r="CF126" s="1665">
        <v>0</v>
      </c>
      <c r="CG126" s="1665">
        <v>0</v>
      </c>
      <c r="CH126" s="1665">
        <v>0</v>
      </c>
      <c r="CI126" s="1665">
        <v>0</v>
      </c>
      <c r="CJ126" s="1665">
        <v>529.41</v>
      </c>
      <c r="CK126" s="1665">
        <v>529.41</v>
      </c>
      <c r="CL126" s="1668"/>
      <c r="CM126" s="1665">
        <v>0</v>
      </c>
      <c r="CN126" s="1665">
        <v>0</v>
      </c>
      <c r="CO126" s="1665">
        <v>0</v>
      </c>
      <c r="CP126" s="1665">
        <v>0</v>
      </c>
      <c r="CQ126" s="1665">
        <v>0</v>
      </c>
      <c r="CR126" s="1665">
        <v>0</v>
      </c>
      <c r="CS126" s="1665">
        <v>0</v>
      </c>
      <c r="CT126" s="1665">
        <v>0</v>
      </c>
      <c r="CU126" s="1665">
        <v>0</v>
      </c>
      <c r="CV126" s="1665">
        <v>0</v>
      </c>
      <c r="CW126" s="1668"/>
      <c r="CX126" s="1663"/>
      <c r="CY126" s="1663"/>
      <c r="CZ126" s="1663"/>
      <c r="DA126" s="1663"/>
      <c r="DB126" s="1668"/>
      <c r="DC126" s="1662"/>
      <c r="DD126" s="1665">
        <v>0</v>
      </c>
      <c r="DE126" s="1663"/>
      <c r="DF126" s="1663"/>
      <c r="DG126" s="1665">
        <v>0</v>
      </c>
      <c r="DH126" s="1665">
        <v>0</v>
      </c>
    </row>
    <row r="127" spans="1:112" ht="56.25" hidden="1" x14ac:dyDescent="0.25">
      <c r="A127" s="1662" t="s">
        <v>2173</v>
      </c>
      <c r="B127" s="1662" t="s">
        <v>1719</v>
      </c>
      <c r="C127" s="1662" t="s">
        <v>2629</v>
      </c>
      <c r="D127" s="1662" t="s">
        <v>2630</v>
      </c>
      <c r="E127" s="1662" t="s">
        <v>193</v>
      </c>
      <c r="F127" s="1662" t="s">
        <v>2616</v>
      </c>
      <c r="G127" s="1662" t="s">
        <v>2617</v>
      </c>
      <c r="H127" s="1662" t="s">
        <v>2618</v>
      </c>
      <c r="I127" s="1662" t="s">
        <v>744</v>
      </c>
      <c r="J127" s="1662" t="s">
        <v>308</v>
      </c>
      <c r="K127" s="1662" t="s">
        <v>2108</v>
      </c>
      <c r="L127" s="1662" t="s">
        <v>2109</v>
      </c>
      <c r="M127" s="1663"/>
      <c r="N127" s="1663"/>
      <c r="O127" s="1663"/>
      <c r="P127" s="1663"/>
      <c r="Q127" s="1663"/>
      <c r="R127" s="1663"/>
      <c r="S127" s="1663"/>
      <c r="T127" s="1663"/>
      <c r="U127" s="1663"/>
      <c r="V127" s="1663"/>
      <c r="W127" s="1663"/>
      <c r="X127" s="1663"/>
      <c r="Y127" s="1664">
        <v>43273</v>
      </c>
      <c r="Z127" s="1662" t="s">
        <v>2110</v>
      </c>
      <c r="AA127" s="1665">
        <v>23813.39</v>
      </c>
      <c r="AB127" s="1665">
        <v>23813.39</v>
      </c>
      <c r="AC127" s="1680">
        <v>0</v>
      </c>
      <c r="AD127" s="1682">
        <v>43285</v>
      </c>
      <c r="AE127" s="1679" t="s">
        <v>2129</v>
      </c>
      <c r="AF127" s="1662" t="s">
        <v>2115</v>
      </c>
      <c r="AG127" s="1666"/>
      <c r="AH127" s="1667">
        <v>28015.75</v>
      </c>
      <c r="AI127" s="1665">
        <v>28015.75</v>
      </c>
      <c r="AJ127" s="1665">
        <v>0</v>
      </c>
      <c r="AK127" s="1698">
        <v>0</v>
      </c>
      <c r="AL127" s="1665">
        <v>0</v>
      </c>
      <c r="AM127" s="1664">
        <v>43332</v>
      </c>
      <c r="AN127" s="1665">
        <v>28015.75</v>
      </c>
      <c r="AO127" s="1665">
        <v>28015.75</v>
      </c>
      <c r="AP127" s="1665">
        <v>23813.39</v>
      </c>
      <c r="AQ127" s="1665">
        <v>23813.39</v>
      </c>
      <c r="AR127" s="1665">
        <v>0</v>
      </c>
      <c r="AS127" s="1665">
        <v>4202.3599999999997</v>
      </c>
      <c r="AT127" s="1665">
        <v>0</v>
      </c>
      <c r="AU127" s="1665">
        <v>4202.3599999999997</v>
      </c>
      <c r="AV127" s="1665">
        <v>0</v>
      </c>
      <c r="AW127" s="1665">
        <v>0</v>
      </c>
      <c r="AX127" s="1663"/>
      <c r="AY127" s="1663"/>
      <c r="AZ127" s="1663"/>
      <c r="BA127" s="1668"/>
      <c r="BB127" s="1668"/>
      <c r="BC127" s="1663"/>
      <c r="BD127" s="1663"/>
      <c r="BE127" s="1665">
        <v>28015.75</v>
      </c>
      <c r="BF127" s="1665">
        <v>28015.75</v>
      </c>
      <c r="BG127" s="1665">
        <v>23813.39</v>
      </c>
      <c r="BH127" s="1665">
        <v>23813.39</v>
      </c>
      <c r="BI127" s="1665">
        <v>0</v>
      </c>
      <c r="BJ127" s="1665">
        <v>4202.3599999999997</v>
      </c>
      <c r="BK127" s="1665">
        <v>0</v>
      </c>
      <c r="BL127" s="1665">
        <v>4202.3599999999997</v>
      </c>
      <c r="BM127" s="1665">
        <v>0</v>
      </c>
      <c r="BN127" s="1665">
        <v>0</v>
      </c>
      <c r="BO127" s="1668"/>
      <c r="BP127" s="1665">
        <v>0</v>
      </c>
      <c r="BQ127" s="1665">
        <v>0</v>
      </c>
      <c r="BR127" s="1665">
        <v>0</v>
      </c>
      <c r="BS127" s="1667">
        <v>0</v>
      </c>
      <c r="BT127" s="1665">
        <v>0</v>
      </c>
      <c r="BU127" s="1665">
        <v>0</v>
      </c>
      <c r="BV127" s="1665">
        <v>0</v>
      </c>
      <c r="BW127" s="1665">
        <v>0</v>
      </c>
      <c r="BX127" s="1665">
        <v>0</v>
      </c>
      <c r="BY127" s="1665">
        <v>0</v>
      </c>
      <c r="BZ127" s="1665">
        <v>0</v>
      </c>
      <c r="CA127" s="1663"/>
      <c r="CB127" s="1668"/>
      <c r="CC127" s="1668"/>
      <c r="CD127" s="1663"/>
      <c r="CE127" s="1663"/>
      <c r="CF127" s="1665">
        <v>0</v>
      </c>
      <c r="CG127" s="1665">
        <v>0</v>
      </c>
      <c r="CH127" s="1665">
        <v>0</v>
      </c>
      <c r="CI127" s="1665">
        <v>0</v>
      </c>
      <c r="CJ127" s="1665">
        <v>0</v>
      </c>
      <c r="CK127" s="1665">
        <v>0</v>
      </c>
      <c r="CL127" s="1668"/>
      <c r="CM127" s="1665">
        <v>0</v>
      </c>
      <c r="CN127" s="1665">
        <v>0</v>
      </c>
      <c r="CO127" s="1665">
        <v>0</v>
      </c>
      <c r="CP127" s="1665">
        <v>0</v>
      </c>
      <c r="CQ127" s="1665">
        <v>0</v>
      </c>
      <c r="CR127" s="1665">
        <v>0</v>
      </c>
      <c r="CS127" s="1665">
        <v>0</v>
      </c>
      <c r="CT127" s="1665">
        <v>0</v>
      </c>
      <c r="CU127" s="1665">
        <v>0</v>
      </c>
      <c r="CV127" s="1665">
        <v>0</v>
      </c>
      <c r="CW127" s="1668"/>
      <c r="CX127" s="1663"/>
      <c r="CY127" s="1663"/>
      <c r="CZ127" s="1663"/>
      <c r="DA127" s="1663"/>
      <c r="DB127" s="1668"/>
      <c r="DC127" s="1662"/>
      <c r="DD127" s="1665">
        <v>0</v>
      </c>
      <c r="DE127" s="1663"/>
      <c r="DF127" s="1663"/>
      <c r="DG127" s="1665">
        <v>0</v>
      </c>
      <c r="DH127" s="1665">
        <v>0</v>
      </c>
    </row>
    <row r="128" spans="1:112" ht="56.25" hidden="1" x14ac:dyDescent="0.25">
      <c r="A128" s="1662" t="s">
        <v>2174</v>
      </c>
      <c r="B128" s="1662" t="s">
        <v>1719</v>
      </c>
      <c r="C128" s="1662" t="s">
        <v>2629</v>
      </c>
      <c r="D128" s="1662" t="s">
        <v>2630</v>
      </c>
      <c r="E128" s="1662" t="s">
        <v>193</v>
      </c>
      <c r="F128" s="1662" t="s">
        <v>2616</v>
      </c>
      <c r="G128" s="1662" t="s">
        <v>2617</v>
      </c>
      <c r="H128" s="1662" t="s">
        <v>2618</v>
      </c>
      <c r="I128" s="1662" t="s">
        <v>744</v>
      </c>
      <c r="J128" s="1662" t="s">
        <v>308</v>
      </c>
      <c r="K128" s="1662" t="s">
        <v>2108</v>
      </c>
      <c r="L128" s="1662" t="s">
        <v>2109</v>
      </c>
      <c r="M128" s="1663"/>
      <c r="N128" s="1663"/>
      <c r="O128" s="1663"/>
      <c r="P128" s="1663"/>
      <c r="Q128" s="1663"/>
      <c r="R128" s="1663"/>
      <c r="S128" s="1663"/>
      <c r="T128" s="1663"/>
      <c r="U128" s="1663"/>
      <c r="V128" s="1663"/>
      <c r="W128" s="1663"/>
      <c r="X128" s="1663"/>
      <c r="Y128" s="1664">
        <v>43273</v>
      </c>
      <c r="Z128" s="1662" t="s">
        <v>2110</v>
      </c>
      <c r="AA128" s="1665">
        <v>34063.050000000003</v>
      </c>
      <c r="AB128" s="1665">
        <v>34063.050000000003</v>
      </c>
      <c r="AC128" s="1680">
        <v>0</v>
      </c>
      <c r="AD128" s="1682">
        <v>43285</v>
      </c>
      <c r="AE128" s="1679" t="s">
        <v>2129</v>
      </c>
      <c r="AF128" s="1662" t="s">
        <v>2112</v>
      </c>
      <c r="AG128" s="1666"/>
      <c r="AH128" s="1667">
        <v>40074.18</v>
      </c>
      <c r="AI128" s="1665">
        <v>40074.18</v>
      </c>
      <c r="AJ128" s="1665">
        <v>0</v>
      </c>
      <c r="AK128" s="1698">
        <v>0</v>
      </c>
      <c r="AL128" s="1665">
        <v>0</v>
      </c>
      <c r="AM128" s="1664">
        <v>43285</v>
      </c>
      <c r="AN128" s="1665">
        <v>40074.18</v>
      </c>
      <c r="AO128" s="1665">
        <v>40074.18</v>
      </c>
      <c r="AP128" s="1665">
        <v>34063.050000000003</v>
      </c>
      <c r="AQ128" s="1665">
        <v>34063.050000000003</v>
      </c>
      <c r="AR128" s="1665">
        <v>0</v>
      </c>
      <c r="AS128" s="1665">
        <v>6011.13</v>
      </c>
      <c r="AT128" s="1665">
        <v>0</v>
      </c>
      <c r="AU128" s="1665">
        <v>6011.13</v>
      </c>
      <c r="AV128" s="1665">
        <v>0</v>
      </c>
      <c r="AW128" s="1665">
        <v>0</v>
      </c>
      <c r="AX128" s="1663"/>
      <c r="AY128" s="1663"/>
      <c r="AZ128" s="1663"/>
      <c r="BA128" s="1668"/>
      <c r="BB128" s="1668"/>
      <c r="BC128" s="1663"/>
      <c r="BD128" s="1663"/>
      <c r="BE128" s="1665">
        <v>40074.18</v>
      </c>
      <c r="BF128" s="1665">
        <v>40074.18</v>
      </c>
      <c r="BG128" s="1665">
        <v>34063.050000000003</v>
      </c>
      <c r="BH128" s="1665">
        <v>34063.050000000003</v>
      </c>
      <c r="BI128" s="1665">
        <v>0</v>
      </c>
      <c r="BJ128" s="1665">
        <v>6011.13</v>
      </c>
      <c r="BK128" s="1665">
        <v>0</v>
      </c>
      <c r="BL128" s="1665">
        <v>6011.13</v>
      </c>
      <c r="BM128" s="1665">
        <v>0</v>
      </c>
      <c r="BN128" s="1665">
        <v>0</v>
      </c>
      <c r="BO128" s="1664">
        <v>43355</v>
      </c>
      <c r="BP128" s="1665">
        <v>40074.18</v>
      </c>
      <c r="BQ128" s="1665">
        <v>40074.18</v>
      </c>
      <c r="BR128" s="1665">
        <v>34063.050000000003</v>
      </c>
      <c r="BS128" s="1667">
        <v>34063.050000000003</v>
      </c>
      <c r="BT128" s="1665">
        <v>0</v>
      </c>
      <c r="BU128" s="1665">
        <v>6011.13</v>
      </c>
      <c r="BV128" s="1665">
        <v>0</v>
      </c>
      <c r="BW128" s="1665">
        <v>0</v>
      </c>
      <c r="BX128" s="1665">
        <v>0</v>
      </c>
      <c r="BY128" s="1665">
        <v>0</v>
      </c>
      <c r="BZ128" s="1665">
        <v>0</v>
      </c>
      <c r="CA128" s="1663"/>
      <c r="CB128" s="1668"/>
      <c r="CC128" s="1668"/>
      <c r="CD128" s="1663"/>
      <c r="CE128" s="1663"/>
      <c r="CF128" s="1665">
        <v>0</v>
      </c>
      <c r="CG128" s="1665">
        <v>0</v>
      </c>
      <c r="CH128" s="1665">
        <v>0</v>
      </c>
      <c r="CI128" s="1665">
        <v>0</v>
      </c>
      <c r="CJ128" s="1665">
        <v>400.7</v>
      </c>
      <c r="CK128" s="1665">
        <v>400.7</v>
      </c>
      <c r="CL128" s="1668"/>
      <c r="CM128" s="1665">
        <v>0</v>
      </c>
      <c r="CN128" s="1665">
        <v>0</v>
      </c>
      <c r="CO128" s="1665">
        <v>0</v>
      </c>
      <c r="CP128" s="1665">
        <v>0</v>
      </c>
      <c r="CQ128" s="1665">
        <v>0</v>
      </c>
      <c r="CR128" s="1665">
        <v>0</v>
      </c>
      <c r="CS128" s="1665">
        <v>0</v>
      </c>
      <c r="CT128" s="1665">
        <v>0</v>
      </c>
      <c r="CU128" s="1665">
        <v>0</v>
      </c>
      <c r="CV128" s="1665">
        <v>0</v>
      </c>
      <c r="CW128" s="1668"/>
      <c r="CX128" s="1663"/>
      <c r="CY128" s="1663"/>
      <c r="CZ128" s="1663"/>
      <c r="DA128" s="1663"/>
      <c r="DB128" s="1668"/>
      <c r="DC128" s="1662"/>
      <c r="DD128" s="1665">
        <v>0</v>
      </c>
      <c r="DE128" s="1663"/>
      <c r="DF128" s="1663"/>
      <c r="DG128" s="1665">
        <v>0</v>
      </c>
      <c r="DH128" s="1665">
        <v>0</v>
      </c>
    </row>
    <row r="129" spans="1:112" ht="56.25" hidden="1" x14ac:dyDescent="0.25">
      <c r="A129" s="1662" t="s">
        <v>2175</v>
      </c>
      <c r="B129" s="1662" t="s">
        <v>1719</v>
      </c>
      <c r="C129" s="1662" t="s">
        <v>2629</v>
      </c>
      <c r="D129" s="1662" t="s">
        <v>2630</v>
      </c>
      <c r="E129" s="1662" t="s">
        <v>193</v>
      </c>
      <c r="F129" s="1662" t="s">
        <v>2616</v>
      </c>
      <c r="G129" s="1662" t="s">
        <v>2617</v>
      </c>
      <c r="H129" s="1662" t="s">
        <v>2618</v>
      </c>
      <c r="I129" s="1662" t="s">
        <v>744</v>
      </c>
      <c r="J129" s="1662" t="s">
        <v>308</v>
      </c>
      <c r="K129" s="1662" t="s">
        <v>2108</v>
      </c>
      <c r="L129" s="1662" t="s">
        <v>2109</v>
      </c>
      <c r="M129" s="1663"/>
      <c r="N129" s="1663"/>
      <c r="O129" s="1663"/>
      <c r="P129" s="1663"/>
      <c r="Q129" s="1663"/>
      <c r="R129" s="1663"/>
      <c r="S129" s="1663"/>
      <c r="T129" s="1663"/>
      <c r="U129" s="1663"/>
      <c r="V129" s="1663"/>
      <c r="W129" s="1663"/>
      <c r="X129" s="1663"/>
      <c r="Y129" s="1664">
        <v>43332</v>
      </c>
      <c r="Z129" s="1662" t="s">
        <v>2145</v>
      </c>
      <c r="AA129" s="1665">
        <v>0</v>
      </c>
      <c r="AB129" s="1665">
        <v>0</v>
      </c>
      <c r="AC129" s="1680">
        <v>0</v>
      </c>
      <c r="AD129" s="1682">
        <v>43339</v>
      </c>
      <c r="AE129" s="1679" t="s">
        <v>2130</v>
      </c>
      <c r="AF129" s="1662" t="s">
        <v>2112</v>
      </c>
      <c r="AG129" s="1666"/>
      <c r="AH129" s="1667">
        <v>57876.44</v>
      </c>
      <c r="AI129" s="1665">
        <v>57876.44</v>
      </c>
      <c r="AJ129" s="1665">
        <v>57876.44</v>
      </c>
      <c r="AK129" s="1698">
        <v>57876.44</v>
      </c>
      <c r="AL129" s="1665">
        <v>0</v>
      </c>
      <c r="AM129" s="1668"/>
      <c r="AN129" s="1665">
        <v>0</v>
      </c>
      <c r="AO129" s="1665">
        <v>0</v>
      </c>
      <c r="AP129" s="1665">
        <v>0</v>
      </c>
      <c r="AQ129" s="1665">
        <v>0</v>
      </c>
      <c r="AR129" s="1665">
        <v>0</v>
      </c>
      <c r="AS129" s="1665">
        <v>0</v>
      </c>
      <c r="AT129" s="1665">
        <v>0</v>
      </c>
      <c r="AU129" s="1665">
        <v>0</v>
      </c>
      <c r="AV129" s="1665">
        <v>0</v>
      </c>
      <c r="AW129" s="1665">
        <v>0</v>
      </c>
      <c r="AX129" s="1663"/>
      <c r="AY129" s="1663"/>
      <c r="AZ129" s="1663"/>
      <c r="BA129" s="1668"/>
      <c r="BB129" s="1668"/>
      <c r="BC129" s="1663"/>
      <c r="BD129" s="1663"/>
      <c r="BE129" s="1665">
        <v>0</v>
      </c>
      <c r="BF129" s="1665">
        <v>0</v>
      </c>
      <c r="BG129" s="1665">
        <v>0</v>
      </c>
      <c r="BH129" s="1665">
        <v>0</v>
      </c>
      <c r="BI129" s="1665">
        <v>0</v>
      </c>
      <c r="BJ129" s="1665">
        <v>0</v>
      </c>
      <c r="BK129" s="1665">
        <v>0</v>
      </c>
      <c r="BL129" s="1665">
        <v>0</v>
      </c>
      <c r="BM129" s="1665">
        <v>0</v>
      </c>
      <c r="BN129" s="1665">
        <v>0</v>
      </c>
      <c r="BO129" s="1668"/>
      <c r="BP129" s="1665">
        <v>0</v>
      </c>
      <c r="BQ129" s="1665">
        <v>0</v>
      </c>
      <c r="BR129" s="1665">
        <v>0</v>
      </c>
      <c r="BS129" s="1667">
        <v>0</v>
      </c>
      <c r="BT129" s="1665">
        <v>0</v>
      </c>
      <c r="BU129" s="1665">
        <v>0</v>
      </c>
      <c r="BV129" s="1665">
        <v>0</v>
      </c>
      <c r="BW129" s="1665">
        <v>0</v>
      </c>
      <c r="BX129" s="1665">
        <v>0</v>
      </c>
      <c r="BY129" s="1665">
        <v>0</v>
      </c>
      <c r="BZ129" s="1663"/>
      <c r="CA129" s="1663"/>
      <c r="CB129" s="1668"/>
      <c r="CC129" s="1668"/>
      <c r="CD129" s="1663"/>
      <c r="CE129" s="1663"/>
      <c r="CF129" s="1665">
        <v>0</v>
      </c>
      <c r="CG129" s="1665">
        <v>0</v>
      </c>
      <c r="CH129" s="1665">
        <v>0</v>
      </c>
      <c r="CI129" s="1665">
        <v>0</v>
      </c>
      <c r="CJ129" s="1665">
        <v>0</v>
      </c>
      <c r="CK129" s="1665">
        <v>0</v>
      </c>
      <c r="CL129" s="1668"/>
      <c r="CM129" s="1665">
        <v>0</v>
      </c>
      <c r="CN129" s="1665">
        <v>0</v>
      </c>
      <c r="CO129" s="1665">
        <v>0</v>
      </c>
      <c r="CP129" s="1665">
        <v>0</v>
      </c>
      <c r="CQ129" s="1665">
        <v>0</v>
      </c>
      <c r="CR129" s="1665">
        <v>0</v>
      </c>
      <c r="CS129" s="1665">
        <v>0</v>
      </c>
      <c r="CT129" s="1665">
        <v>0</v>
      </c>
      <c r="CU129" s="1665">
        <v>0</v>
      </c>
      <c r="CV129" s="1665">
        <v>0</v>
      </c>
      <c r="CW129" s="1668"/>
      <c r="CX129" s="1663"/>
      <c r="CY129" s="1663"/>
      <c r="CZ129" s="1663"/>
      <c r="DA129" s="1663"/>
      <c r="DB129" s="1668"/>
      <c r="DC129" s="1662"/>
      <c r="DD129" s="1665">
        <v>0</v>
      </c>
      <c r="DE129" s="1663"/>
      <c r="DF129" s="1663"/>
      <c r="DG129" s="1665">
        <v>0</v>
      </c>
      <c r="DH129" s="1665">
        <v>0</v>
      </c>
    </row>
    <row r="130" spans="1:112" ht="56.25" hidden="1" x14ac:dyDescent="0.25">
      <c r="A130" s="1662" t="s">
        <v>2176</v>
      </c>
      <c r="B130" s="1662" t="s">
        <v>1719</v>
      </c>
      <c r="C130" s="1662" t="s">
        <v>2629</v>
      </c>
      <c r="D130" s="1662" t="s">
        <v>2630</v>
      </c>
      <c r="E130" s="1662" t="s">
        <v>193</v>
      </c>
      <c r="F130" s="1662" t="s">
        <v>2616</v>
      </c>
      <c r="G130" s="1662" t="s">
        <v>2617</v>
      </c>
      <c r="H130" s="1662" t="s">
        <v>2618</v>
      </c>
      <c r="I130" s="1662" t="s">
        <v>744</v>
      </c>
      <c r="J130" s="1662" t="s">
        <v>308</v>
      </c>
      <c r="K130" s="1662" t="s">
        <v>2108</v>
      </c>
      <c r="L130" s="1662" t="s">
        <v>2109</v>
      </c>
      <c r="M130" s="1663"/>
      <c r="N130" s="1663"/>
      <c r="O130" s="1663"/>
      <c r="P130" s="1663"/>
      <c r="Q130" s="1663"/>
      <c r="R130" s="1663"/>
      <c r="S130" s="1663"/>
      <c r="T130" s="1663"/>
      <c r="U130" s="1663"/>
      <c r="V130" s="1663"/>
      <c r="W130" s="1663"/>
      <c r="X130" s="1663"/>
      <c r="Y130" s="1664">
        <v>43360</v>
      </c>
      <c r="Z130" s="1662" t="s">
        <v>2110</v>
      </c>
      <c r="AA130" s="1665">
        <v>46324.01</v>
      </c>
      <c r="AB130" s="1665">
        <v>46324.01</v>
      </c>
      <c r="AC130" s="1680">
        <v>0</v>
      </c>
      <c r="AD130" s="1682">
        <v>43378</v>
      </c>
      <c r="AE130" s="1679" t="s">
        <v>2137</v>
      </c>
      <c r="AF130" s="1662" t="s">
        <v>2112</v>
      </c>
      <c r="AG130" s="1666"/>
      <c r="AH130" s="1667">
        <v>54498.83</v>
      </c>
      <c r="AI130" s="1665">
        <v>54498.83</v>
      </c>
      <c r="AJ130" s="1665">
        <v>0</v>
      </c>
      <c r="AK130" s="1698">
        <v>0</v>
      </c>
      <c r="AL130" s="1665">
        <v>0</v>
      </c>
      <c r="AM130" s="1664">
        <v>43378</v>
      </c>
      <c r="AN130" s="1665">
        <v>54498.83</v>
      </c>
      <c r="AO130" s="1665">
        <v>54498.83</v>
      </c>
      <c r="AP130" s="1665">
        <v>46324.01</v>
      </c>
      <c r="AQ130" s="1665">
        <v>46324.01</v>
      </c>
      <c r="AR130" s="1665">
        <v>0</v>
      </c>
      <c r="AS130" s="1665">
        <v>8174.82</v>
      </c>
      <c r="AT130" s="1665">
        <v>0</v>
      </c>
      <c r="AU130" s="1665">
        <v>8174.82</v>
      </c>
      <c r="AV130" s="1665">
        <v>0</v>
      </c>
      <c r="AW130" s="1665">
        <v>0</v>
      </c>
      <c r="AX130" s="1663"/>
      <c r="AY130" s="1663"/>
      <c r="AZ130" s="1663"/>
      <c r="BA130" s="1668"/>
      <c r="BB130" s="1668"/>
      <c r="BC130" s="1663"/>
      <c r="BD130" s="1663"/>
      <c r="BE130" s="1665">
        <v>54498.83</v>
      </c>
      <c r="BF130" s="1665">
        <v>54498.83</v>
      </c>
      <c r="BG130" s="1665">
        <v>46324.01</v>
      </c>
      <c r="BH130" s="1665">
        <v>46324.01</v>
      </c>
      <c r="BI130" s="1665">
        <v>0</v>
      </c>
      <c r="BJ130" s="1665">
        <v>8174.82</v>
      </c>
      <c r="BK130" s="1665">
        <v>0</v>
      </c>
      <c r="BL130" s="1665">
        <v>8174.82</v>
      </c>
      <c r="BM130" s="1665">
        <v>0</v>
      </c>
      <c r="BN130" s="1665">
        <v>0</v>
      </c>
      <c r="BO130" s="1668"/>
      <c r="BP130" s="1665">
        <v>0</v>
      </c>
      <c r="BQ130" s="1665">
        <v>0</v>
      </c>
      <c r="BR130" s="1665">
        <v>0</v>
      </c>
      <c r="BS130" s="1667">
        <v>0</v>
      </c>
      <c r="BT130" s="1665">
        <v>0</v>
      </c>
      <c r="BU130" s="1665">
        <v>0</v>
      </c>
      <c r="BV130" s="1665">
        <v>0</v>
      </c>
      <c r="BW130" s="1665">
        <v>0</v>
      </c>
      <c r="BX130" s="1665">
        <v>0</v>
      </c>
      <c r="BY130" s="1665">
        <v>0</v>
      </c>
      <c r="BZ130" s="1663"/>
      <c r="CA130" s="1663"/>
      <c r="CB130" s="1668"/>
      <c r="CC130" s="1668"/>
      <c r="CD130" s="1663"/>
      <c r="CE130" s="1663"/>
      <c r="CF130" s="1665">
        <v>0</v>
      </c>
      <c r="CG130" s="1665">
        <v>0</v>
      </c>
      <c r="CH130" s="1665">
        <v>0</v>
      </c>
      <c r="CI130" s="1665">
        <v>0</v>
      </c>
      <c r="CJ130" s="1665">
        <v>0</v>
      </c>
      <c r="CK130" s="1665">
        <v>0</v>
      </c>
      <c r="CL130" s="1668"/>
      <c r="CM130" s="1665">
        <v>0</v>
      </c>
      <c r="CN130" s="1665">
        <v>0</v>
      </c>
      <c r="CO130" s="1665">
        <v>0</v>
      </c>
      <c r="CP130" s="1665">
        <v>0</v>
      </c>
      <c r="CQ130" s="1665">
        <v>0</v>
      </c>
      <c r="CR130" s="1665">
        <v>0</v>
      </c>
      <c r="CS130" s="1665">
        <v>0</v>
      </c>
      <c r="CT130" s="1665">
        <v>0</v>
      </c>
      <c r="CU130" s="1665">
        <v>0</v>
      </c>
      <c r="CV130" s="1665">
        <v>0</v>
      </c>
      <c r="CW130" s="1668"/>
      <c r="CX130" s="1663"/>
      <c r="CY130" s="1663"/>
      <c r="CZ130" s="1663"/>
      <c r="DA130" s="1663"/>
      <c r="DB130" s="1668"/>
      <c r="DC130" s="1662"/>
      <c r="DD130" s="1665">
        <v>0</v>
      </c>
      <c r="DE130" s="1663"/>
      <c r="DF130" s="1663"/>
      <c r="DG130" s="1665">
        <v>0</v>
      </c>
      <c r="DH130" s="1665">
        <v>0</v>
      </c>
    </row>
    <row r="131" spans="1:112" ht="33.75" hidden="1" x14ac:dyDescent="0.25">
      <c r="A131" s="1662" t="s">
        <v>2177</v>
      </c>
      <c r="B131" s="1662" t="s">
        <v>1719</v>
      </c>
      <c r="C131" s="1662" t="s">
        <v>2629</v>
      </c>
      <c r="D131" s="1662" t="s">
        <v>2630</v>
      </c>
      <c r="E131" s="1662" t="s">
        <v>193</v>
      </c>
      <c r="F131" s="1662" t="s">
        <v>2616</v>
      </c>
      <c r="G131" s="1662" t="s">
        <v>2617</v>
      </c>
      <c r="H131" s="1662" t="s">
        <v>2618</v>
      </c>
      <c r="I131" s="1662" t="s">
        <v>745</v>
      </c>
      <c r="J131" s="1662" t="s">
        <v>292</v>
      </c>
      <c r="K131" s="1662" t="s">
        <v>2117</v>
      </c>
      <c r="L131" s="1662" t="s">
        <v>2109</v>
      </c>
      <c r="M131" s="1665">
        <v>442298.59</v>
      </c>
      <c r="N131" s="1665">
        <v>0</v>
      </c>
      <c r="O131" s="1665">
        <v>442298.59</v>
      </c>
      <c r="P131" s="1665">
        <v>442298.59</v>
      </c>
      <c r="Q131" s="1665">
        <v>375953.81</v>
      </c>
      <c r="R131" s="1665">
        <v>375953.81</v>
      </c>
      <c r="S131" s="1665">
        <v>0</v>
      </c>
      <c r="T131" s="1665">
        <v>66344.78</v>
      </c>
      <c r="U131" s="1665">
        <v>0</v>
      </c>
      <c r="V131" s="1665">
        <v>66344.78</v>
      </c>
      <c r="W131" s="1665">
        <v>0</v>
      </c>
      <c r="X131" s="1665">
        <v>0</v>
      </c>
      <c r="Y131" s="1668"/>
      <c r="Z131" s="1662"/>
      <c r="AA131" s="1665">
        <v>0</v>
      </c>
      <c r="AB131" s="1665">
        <v>0</v>
      </c>
      <c r="AC131" s="1680">
        <v>0</v>
      </c>
      <c r="AD131" s="1681"/>
      <c r="AE131" s="1679"/>
      <c r="AF131" s="1662"/>
      <c r="AG131" s="1666"/>
      <c r="AH131" s="1667">
        <v>207579.6</v>
      </c>
      <c r="AI131" s="1665">
        <v>207579.6</v>
      </c>
      <c r="AJ131" s="1665">
        <v>193242.66</v>
      </c>
      <c r="AK131" s="1698">
        <v>193242.66</v>
      </c>
      <c r="AL131" s="1665">
        <v>0</v>
      </c>
      <c r="AM131" s="1668"/>
      <c r="AN131" s="1665">
        <v>95579.6</v>
      </c>
      <c r="AO131" s="1665">
        <v>95579.6</v>
      </c>
      <c r="AP131" s="1665">
        <v>81242.66</v>
      </c>
      <c r="AQ131" s="1665">
        <v>81242.66</v>
      </c>
      <c r="AR131" s="1665">
        <v>0</v>
      </c>
      <c r="AS131" s="1665">
        <v>14336.94</v>
      </c>
      <c r="AT131" s="1665">
        <v>0</v>
      </c>
      <c r="AU131" s="1665">
        <v>14336.94</v>
      </c>
      <c r="AV131" s="1665">
        <v>0</v>
      </c>
      <c r="AW131" s="1665">
        <v>0</v>
      </c>
      <c r="AX131" s="1665">
        <v>0</v>
      </c>
      <c r="AY131" s="1665">
        <v>0</v>
      </c>
      <c r="AZ131" s="1665">
        <v>0</v>
      </c>
      <c r="BA131" s="1668"/>
      <c r="BB131" s="1668"/>
      <c r="BC131" s="1665">
        <v>0</v>
      </c>
      <c r="BD131" s="1665">
        <v>0</v>
      </c>
      <c r="BE131" s="1665">
        <v>95579.6</v>
      </c>
      <c r="BF131" s="1665">
        <v>95579.6</v>
      </c>
      <c r="BG131" s="1665">
        <v>81242.66</v>
      </c>
      <c r="BH131" s="1665">
        <v>81242.66</v>
      </c>
      <c r="BI131" s="1665">
        <v>0</v>
      </c>
      <c r="BJ131" s="1665">
        <v>14336.94</v>
      </c>
      <c r="BK131" s="1665">
        <v>0</v>
      </c>
      <c r="BL131" s="1665">
        <v>14336.94</v>
      </c>
      <c r="BM131" s="1665">
        <v>0</v>
      </c>
      <c r="BN131" s="1665">
        <v>0</v>
      </c>
      <c r="BO131" s="1668"/>
      <c r="BP131" s="1665">
        <v>68707.14</v>
      </c>
      <c r="BQ131" s="1665">
        <v>68707.14</v>
      </c>
      <c r="BR131" s="1665">
        <v>58401.07</v>
      </c>
      <c r="BS131" s="1667">
        <v>58401.07</v>
      </c>
      <c r="BT131" s="1665">
        <v>0</v>
      </c>
      <c r="BU131" s="1665">
        <v>10306.07</v>
      </c>
      <c r="BV131" s="1665">
        <v>0</v>
      </c>
      <c r="BW131" s="1665">
        <v>0</v>
      </c>
      <c r="BX131" s="1665">
        <v>0</v>
      </c>
      <c r="BY131" s="1665">
        <v>0</v>
      </c>
      <c r="BZ131" s="1665">
        <v>0</v>
      </c>
      <c r="CA131" s="1665">
        <v>0</v>
      </c>
      <c r="CB131" s="1668"/>
      <c r="CC131" s="1668"/>
      <c r="CD131" s="1665">
        <v>0</v>
      </c>
      <c r="CE131" s="1665">
        <v>0</v>
      </c>
      <c r="CF131" s="1665">
        <v>0</v>
      </c>
      <c r="CG131" s="1665">
        <v>0</v>
      </c>
      <c r="CH131" s="1665">
        <v>0</v>
      </c>
      <c r="CI131" s="1665">
        <v>0</v>
      </c>
      <c r="CJ131" s="1665">
        <v>686.99</v>
      </c>
      <c r="CK131" s="1665">
        <v>686.99</v>
      </c>
      <c r="CL131" s="1668"/>
      <c r="CM131" s="1665">
        <v>0</v>
      </c>
      <c r="CN131" s="1665">
        <v>0</v>
      </c>
      <c r="CO131" s="1665">
        <v>0</v>
      </c>
      <c r="CP131" s="1665">
        <v>0</v>
      </c>
      <c r="CQ131" s="1665">
        <v>0</v>
      </c>
      <c r="CR131" s="1665">
        <v>0</v>
      </c>
      <c r="CS131" s="1665">
        <v>0</v>
      </c>
      <c r="CT131" s="1665">
        <v>0</v>
      </c>
      <c r="CU131" s="1665">
        <v>0</v>
      </c>
      <c r="CV131" s="1665">
        <v>0</v>
      </c>
      <c r="CW131" s="1668"/>
      <c r="CX131" s="1665">
        <v>0</v>
      </c>
      <c r="CY131" s="1665">
        <v>0</v>
      </c>
      <c r="CZ131" s="1665">
        <v>0</v>
      </c>
      <c r="DA131" s="1665">
        <v>0</v>
      </c>
      <c r="DB131" s="1668"/>
      <c r="DC131" s="1662"/>
      <c r="DD131" s="1665">
        <v>0</v>
      </c>
      <c r="DE131" s="1665">
        <v>0</v>
      </c>
      <c r="DF131" s="1665">
        <v>0</v>
      </c>
      <c r="DG131" s="1665">
        <v>0</v>
      </c>
      <c r="DH131" s="1665">
        <v>0</v>
      </c>
    </row>
    <row r="132" spans="1:112" ht="33.75" hidden="1" x14ac:dyDescent="0.25">
      <c r="A132" s="1662" t="s">
        <v>2178</v>
      </c>
      <c r="B132" s="1662" t="s">
        <v>1719</v>
      </c>
      <c r="C132" s="1662" t="s">
        <v>2629</v>
      </c>
      <c r="D132" s="1662" t="s">
        <v>2630</v>
      </c>
      <c r="E132" s="1662" t="s">
        <v>193</v>
      </c>
      <c r="F132" s="1662" t="s">
        <v>2616</v>
      </c>
      <c r="G132" s="1662" t="s">
        <v>2617</v>
      </c>
      <c r="H132" s="1662" t="s">
        <v>2618</v>
      </c>
      <c r="I132" s="1662" t="s">
        <v>745</v>
      </c>
      <c r="J132" s="1662" t="s">
        <v>292</v>
      </c>
      <c r="K132" s="1662" t="s">
        <v>2117</v>
      </c>
      <c r="L132" s="1662" t="s">
        <v>2109</v>
      </c>
      <c r="M132" s="1663"/>
      <c r="N132" s="1663"/>
      <c r="O132" s="1663"/>
      <c r="P132" s="1663"/>
      <c r="Q132" s="1663"/>
      <c r="R132" s="1663"/>
      <c r="S132" s="1663"/>
      <c r="T132" s="1663"/>
      <c r="U132" s="1663"/>
      <c r="V132" s="1663"/>
      <c r="W132" s="1663"/>
      <c r="X132" s="1663"/>
      <c r="Y132" s="1664">
        <v>42971</v>
      </c>
      <c r="Z132" s="1662" t="s">
        <v>2145</v>
      </c>
      <c r="AA132" s="1665">
        <v>0</v>
      </c>
      <c r="AB132" s="1665">
        <v>0</v>
      </c>
      <c r="AC132" s="1680">
        <v>0</v>
      </c>
      <c r="AD132" s="1682">
        <v>42977</v>
      </c>
      <c r="AE132" s="1679" t="s">
        <v>2122</v>
      </c>
      <c r="AF132" s="1662" t="s">
        <v>2112</v>
      </c>
      <c r="AG132" s="1666"/>
      <c r="AH132" s="1667">
        <v>112000</v>
      </c>
      <c r="AI132" s="1665">
        <v>112000</v>
      </c>
      <c r="AJ132" s="1665">
        <v>112000</v>
      </c>
      <c r="AK132" s="1698">
        <v>112000</v>
      </c>
      <c r="AL132" s="1665">
        <v>0</v>
      </c>
      <c r="AM132" s="1668"/>
      <c r="AN132" s="1665">
        <v>0</v>
      </c>
      <c r="AO132" s="1665">
        <v>0</v>
      </c>
      <c r="AP132" s="1665">
        <v>0</v>
      </c>
      <c r="AQ132" s="1665">
        <v>0</v>
      </c>
      <c r="AR132" s="1665">
        <v>0</v>
      </c>
      <c r="AS132" s="1665">
        <v>0</v>
      </c>
      <c r="AT132" s="1665">
        <v>0</v>
      </c>
      <c r="AU132" s="1665">
        <v>0</v>
      </c>
      <c r="AV132" s="1665">
        <v>0</v>
      </c>
      <c r="AW132" s="1665">
        <v>0</v>
      </c>
      <c r="AX132" s="1663"/>
      <c r="AY132" s="1663"/>
      <c r="AZ132" s="1663"/>
      <c r="BA132" s="1668"/>
      <c r="BB132" s="1668"/>
      <c r="BC132" s="1663"/>
      <c r="BD132" s="1663"/>
      <c r="BE132" s="1665">
        <v>0</v>
      </c>
      <c r="BF132" s="1665">
        <v>0</v>
      </c>
      <c r="BG132" s="1665">
        <v>0</v>
      </c>
      <c r="BH132" s="1665">
        <v>0</v>
      </c>
      <c r="BI132" s="1665">
        <v>0</v>
      </c>
      <c r="BJ132" s="1665">
        <v>0</v>
      </c>
      <c r="BK132" s="1665">
        <v>0</v>
      </c>
      <c r="BL132" s="1665">
        <v>0</v>
      </c>
      <c r="BM132" s="1665">
        <v>0</v>
      </c>
      <c r="BN132" s="1665">
        <v>0</v>
      </c>
      <c r="BO132" s="1668"/>
      <c r="BP132" s="1665">
        <v>0</v>
      </c>
      <c r="BQ132" s="1665">
        <v>0</v>
      </c>
      <c r="BR132" s="1665">
        <v>0</v>
      </c>
      <c r="BS132" s="1667">
        <v>0</v>
      </c>
      <c r="BT132" s="1665">
        <v>0</v>
      </c>
      <c r="BU132" s="1665">
        <v>0</v>
      </c>
      <c r="BV132" s="1665">
        <v>0</v>
      </c>
      <c r="BW132" s="1665">
        <v>0</v>
      </c>
      <c r="BX132" s="1665">
        <v>0</v>
      </c>
      <c r="BY132" s="1665">
        <v>0</v>
      </c>
      <c r="BZ132" s="1663"/>
      <c r="CA132" s="1663"/>
      <c r="CB132" s="1668"/>
      <c r="CC132" s="1668"/>
      <c r="CD132" s="1663"/>
      <c r="CE132" s="1663"/>
      <c r="CF132" s="1665">
        <v>0</v>
      </c>
      <c r="CG132" s="1665">
        <v>0</v>
      </c>
      <c r="CH132" s="1665">
        <v>0</v>
      </c>
      <c r="CI132" s="1665">
        <v>0</v>
      </c>
      <c r="CJ132" s="1665">
        <v>0</v>
      </c>
      <c r="CK132" s="1665">
        <v>0</v>
      </c>
      <c r="CL132" s="1668"/>
      <c r="CM132" s="1665">
        <v>0</v>
      </c>
      <c r="CN132" s="1665">
        <v>0</v>
      </c>
      <c r="CO132" s="1665">
        <v>0</v>
      </c>
      <c r="CP132" s="1665">
        <v>0</v>
      </c>
      <c r="CQ132" s="1665">
        <v>0</v>
      </c>
      <c r="CR132" s="1665">
        <v>0</v>
      </c>
      <c r="CS132" s="1665">
        <v>0</v>
      </c>
      <c r="CT132" s="1665">
        <v>0</v>
      </c>
      <c r="CU132" s="1665">
        <v>0</v>
      </c>
      <c r="CV132" s="1665">
        <v>0</v>
      </c>
      <c r="CW132" s="1668"/>
      <c r="CX132" s="1663"/>
      <c r="CY132" s="1663"/>
      <c r="CZ132" s="1663"/>
      <c r="DA132" s="1663"/>
      <c r="DB132" s="1668"/>
      <c r="DC132" s="1662"/>
      <c r="DD132" s="1665">
        <v>0</v>
      </c>
      <c r="DE132" s="1663"/>
      <c r="DF132" s="1663"/>
      <c r="DG132" s="1665">
        <v>0</v>
      </c>
      <c r="DH132" s="1665">
        <v>0</v>
      </c>
    </row>
    <row r="133" spans="1:112" ht="33.75" hidden="1" x14ac:dyDescent="0.25">
      <c r="A133" s="1662" t="s">
        <v>2179</v>
      </c>
      <c r="B133" s="1662" t="s">
        <v>1719</v>
      </c>
      <c r="C133" s="1662" t="s">
        <v>2629</v>
      </c>
      <c r="D133" s="1662" t="s">
        <v>2630</v>
      </c>
      <c r="E133" s="1662" t="s">
        <v>193</v>
      </c>
      <c r="F133" s="1662" t="s">
        <v>2616</v>
      </c>
      <c r="G133" s="1662" t="s">
        <v>2617</v>
      </c>
      <c r="H133" s="1662" t="s">
        <v>2618</v>
      </c>
      <c r="I133" s="1662" t="s">
        <v>745</v>
      </c>
      <c r="J133" s="1662" t="s">
        <v>292</v>
      </c>
      <c r="K133" s="1662" t="s">
        <v>2117</v>
      </c>
      <c r="L133" s="1662" t="s">
        <v>2109</v>
      </c>
      <c r="M133" s="1663"/>
      <c r="N133" s="1663"/>
      <c r="O133" s="1663"/>
      <c r="P133" s="1663"/>
      <c r="Q133" s="1663"/>
      <c r="R133" s="1663"/>
      <c r="S133" s="1663"/>
      <c r="T133" s="1663"/>
      <c r="U133" s="1663"/>
      <c r="V133" s="1663"/>
      <c r="W133" s="1663"/>
      <c r="X133" s="1663"/>
      <c r="Y133" s="1664">
        <v>43055</v>
      </c>
      <c r="Z133" s="1662" t="s">
        <v>2110</v>
      </c>
      <c r="AA133" s="1665">
        <v>0</v>
      </c>
      <c r="AB133" s="1665">
        <v>0</v>
      </c>
      <c r="AC133" s="1680">
        <v>0</v>
      </c>
      <c r="AD133" s="1682">
        <v>43067</v>
      </c>
      <c r="AE133" s="1679" t="s">
        <v>2111</v>
      </c>
      <c r="AF133" s="1662" t="s">
        <v>2112</v>
      </c>
      <c r="AG133" s="1666"/>
      <c r="AH133" s="1667">
        <v>3557.4</v>
      </c>
      <c r="AI133" s="1665">
        <v>3557.4</v>
      </c>
      <c r="AJ133" s="1665">
        <v>3023.79</v>
      </c>
      <c r="AK133" s="1698">
        <v>3023.79</v>
      </c>
      <c r="AL133" s="1665">
        <v>0</v>
      </c>
      <c r="AM133" s="1664">
        <v>43067</v>
      </c>
      <c r="AN133" s="1665">
        <v>3557.4</v>
      </c>
      <c r="AO133" s="1665">
        <v>3557.4</v>
      </c>
      <c r="AP133" s="1665">
        <v>3023.79</v>
      </c>
      <c r="AQ133" s="1665">
        <v>3023.79</v>
      </c>
      <c r="AR133" s="1665">
        <v>0</v>
      </c>
      <c r="AS133" s="1665">
        <v>533.61</v>
      </c>
      <c r="AT133" s="1665">
        <v>0</v>
      </c>
      <c r="AU133" s="1665">
        <v>533.61</v>
      </c>
      <c r="AV133" s="1665">
        <v>0</v>
      </c>
      <c r="AW133" s="1665">
        <v>0</v>
      </c>
      <c r="AX133" s="1663"/>
      <c r="AY133" s="1663"/>
      <c r="AZ133" s="1663"/>
      <c r="BA133" s="1668"/>
      <c r="BB133" s="1668"/>
      <c r="BC133" s="1663"/>
      <c r="BD133" s="1663"/>
      <c r="BE133" s="1665">
        <v>3557.4</v>
      </c>
      <c r="BF133" s="1665">
        <v>3557.4</v>
      </c>
      <c r="BG133" s="1665">
        <v>3023.79</v>
      </c>
      <c r="BH133" s="1665">
        <v>3023.79</v>
      </c>
      <c r="BI133" s="1665">
        <v>0</v>
      </c>
      <c r="BJ133" s="1665">
        <v>533.61</v>
      </c>
      <c r="BK133" s="1665">
        <v>0</v>
      </c>
      <c r="BL133" s="1665">
        <v>533.61</v>
      </c>
      <c r="BM133" s="1665">
        <v>0</v>
      </c>
      <c r="BN133" s="1665">
        <v>0</v>
      </c>
      <c r="BO133" s="1664">
        <v>43125</v>
      </c>
      <c r="BP133" s="1665">
        <v>3557.4</v>
      </c>
      <c r="BQ133" s="1665">
        <v>3557.4</v>
      </c>
      <c r="BR133" s="1665">
        <v>3023.79</v>
      </c>
      <c r="BS133" s="1667">
        <v>3023.79</v>
      </c>
      <c r="BT133" s="1665">
        <v>0</v>
      </c>
      <c r="BU133" s="1665">
        <v>533.61</v>
      </c>
      <c r="BV133" s="1665">
        <v>0</v>
      </c>
      <c r="BW133" s="1665">
        <v>0</v>
      </c>
      <c r="BX133" s="1665">
        <v>0</v>
      </c>
      <c r="BY133" s="1665">
        <v>0</v>
      </c>
      <c r="BZ133" s="1665">
        <v>0</v>
      </c>
      <c r="CA133" s="1663"/>
      <c r="CB133" s="1668"/>
      <c r="CC133" s="1668"/>
      <c r="CD133" s="1663"/>
      <c r="CE133" s="1663"/>
      <c r="CF133" s="1665">
        <v>0</v>
      </c>
      <c r="CG133" s="1665">
        <v>0</v>
      </c>
      <c r="CH133" s="1665">
        <v>0</v>
      </c>
      <c r="CI133" s="1665">
        <v>0</v>
      </c>
      <c r="CJ133" s="1665">
        <v>0</v>
      </c>
      <c r="CK133" s="1665">
        <v>0</v>
      </c>
      <c r="CL133" s="1668"/>
      <c r="CM133" s="1665">
        <v>0</v>
      </c>
      <c r="CN133" s="1665">
        <v>0</v>
      </c>
      <c r="CO133" s="1665">
        <v>0</v>
      </c>
      <c r="CP133" s="1665">
        <v>0</v>
      </c>
      <c r="CQ133" s="1665">
        <v>0</v>
      </c>
      <c r="CR133" s="1665">
        <v>0</v>
      </c>
      <c r="CS133" s="1665">
        <v>0</v>
      </c>
      <c r="CT133" s="1665">
        <v>0</v>
      </c>
      <c r="CU133" s="1665">
        <v>0</v>
      </c>
      <c r="CV133" s="1665">
        <v>0</v>
      </c>
      <c r="CW133" s="1668"/>
      <c r="CX133" s="1663"/>
      <c r="CY133" s="1663"/>
      <c r="CZ133" s="1663"/>
      <c r="DA133" s="1663"/>
      <c r="DB133" s="1668"/>
      <c r="DC133" s="1662"/>
      <c r="DD133" s="1665">
        <v>0</v>
      </c>
      <c r="DE133" s="1663"/>
      <c r="DF133" s="1663"/>
      <c r="DG133" s="1665">
        <v>0</v>
      </c>
      <c r="DH133" s="1665">
        <v>0</v>
      </c>
    </row>
    <row r="134" spans="1:112" ht="33.75" hidden="1" x14ac:dyDescent="0.25">
      <c r="A134" s="1662" t="s">
        <v>2180</v>
      </c>
      <c r="B134" s="1662" t="s">
        <v>1719</v>
      </c>
      <c r="C134" s="1662" t="s">
        <v>2629</v>
      </c>
      <c r="D134" s="1662" t="s">
        <v>2630</v>
      </c>
      <c r="E134" s="1662" t="s">
        <v>193</v>
      </c>
      <c r="F134" s="1662" t="s">
        <v>2616</v>
      </c>
      <c r="G134" s="1662" t="s">
        <v>2617</v>
      </c>
      <c r="H134" s="1662" t="s">
        <v>2618</v>
      </c>
      <c r="I134" s="1662" t="s">
        <v>745</v>
      </c>
      <c r="J134" s="1662" t="s">
        <v>292</v>
      </c>
      <c r="K134" s="1662" t="s">
        <v>2117</v>
      </c>
      <c r="L134" s="1662" t="s">
        <v>2109</v>
      </c>
      <c r="M134" s="1663"/>
      <c r="N134" s="1663"/>
      <c r="O134" s="1663"/>
      <c r="P134" s="1663"/>
      <c r="Q134" s="1663"/>
      <c r="R134" s="1663"/>
      <c r="S134" s="1663"/>
      <c r="T134" s="1663"/>
      <c r="U134" s="1663"/>
      <c r="V134" s="1663"/>
      <c r="W134" s="1663"/>
      <c r="X134" s="1663"/>
      <c r="Y134" s="1664">
        <v>43146</v>
      </c>
      <c r="Z134" s="1662" t="s">
        <v>2110</v>
      </c>
      <c r="AA134" s="1665">
        <v>0</v>
      </c>
      <c r="AB134" s="1665">
        <v>0</v>
      </c>
      <c r="AC134" s="1680">
        <v>0</v>
      </c>
      <c r="AD134" s="1682">
        <v>43161</v>
      </c>
      <c r="AE134" s="1679" t="s">
        <v>2114</v>
      </c>
      <c r="AF134" s="1662" t="s">
        <v>2112</v>
      </c>
      <c r="AG134" s="1666"/>
      <c r="AH134" s="1667">
        <v>7332.59</v>
      </c>
      <c r="AI134" s="1665">
        <v>7332.59</v>
      </c>
      <c r="AJ134" s="1665">
        <v>6232.7</v>
      </c>
      <c r="AK134" s="1698">
        <v>6232.7</v>
      </c>
      <c r="AL134" s="1665">
        <v>0</v>
      </c>
      <c r="AM134" s="1664">
        <v>43161</v>
      </c>
      <c r="AN134" s="1665">
        <v>7332.59</v>
      </c>
      <c r="AO134" s="1665">
        <v>7332.59</v>
      </c>
      <c r="AP134" s="1665">
        <v>6232.7</v>
      </c>
      <c r="AQ134" s="1665">
        <v>6232.7</v>
      </c>
      <c r="AR134" s="1665">
        <v>0</v>
      </c>
      <c r="AS134" s="1665">
        <v>1099.8900000000001</v>
      </c>
      <c r="AT134" s="1665">
        <v>0</v>
      </c>
      <c r="AU134" s="1665">
        <v>1099.8900000000001</v>
      </c>
      <c r="AV134" s="1665">
        <v>0</v>
      </c>
      <c r="AW134" s="1665">
        <v>0</v>
      </c>
      <c r="AX134" s="1663"/>
      <c r="AY134" s="1663"/>
      <c r="AZ134" s="1663"/>
      <c r="BA134" s="1668"/>
      <c r="BB134" s="1668"/>
      <c r="BC134" s="1663"/>
      <c r="BD134" s="1663"/>
      <c r="BE134" s="1665">
        <v>7332.59</v>
      </c>
      <c r="BF134" s="1665">
        <v>7332.59</v>
      </c>
      <c r="BG134" s="1665">
        <v>6232.7</v>
      </c>
      <c r="BH134" s="1665">
        <v>6232.7</v>
      </c>
      <c r="BI134" s="1665">
        <v>0</v>
      </c>
      <c r="BJ134" s="1665">
        <v>1099.8900000000001</v>
      </c>
      <c r="BK134" s="1665">
        <v>0</v>
      </c>
      <c r="BL134" s="1665">
        <v>1099.8900000000001</v>
      </c>
      <c r="BM134" s="1665">
        <v>0</v>
      </c>
      <c r="BN134" s="1665">
        <v>0</v>
      </c>
      <c r="BO134" s="1664">
        <v>43230</v>
      </c>
      <c r="BP134" s="1665">
        <v>7332.59</v>
      </c>
      <c r="BQ134" s="1665">
        <v>7332.59</v>
      </c>
      <c r="BR134" s="1665">
        <v>6232.7</v>
      </c>
      <c r="BS134" s="1667">
        <v>6232.7</v>
      </c>
      <c r="BT134" s="1665">
        <v>0</v>
      </c>
      <c r="BU134" s="1665">
        <v>1099.8900000000001</v>
      </c>
      <c r="BV134" s="1665">
        <v>0</v>
      </c>
      <c r="BW134" s="1665">
        <v>0</v>
      </c>
      <c r="BX134" s="1665">
        <v>0</v>
      </c>
      <c r="BY134" s="1665">
        <v>0</v>
      </c>
      <c r="BZ134" s="1665">
        <v>0</v>
      </c>
      <c r="CA134" s="1663"/>
      <c r="CB134" s="1668"/>
      <c r="CC134" s="1668"/>
      <c r="CD134" s="1663"/>
      <c r="CE134" s="1663"/>
      <c r="CF134" s="1665">
        <v>0</v>
      </c>
      <c r="CG134" s="1665">
        <v>0</v>
      </c>
      <c r="CH134" s="1665">
        <v>0</v>
      </c>
      <c r="CI134" s="1665">
        <v>0</v>
      </c>
      <c r="CJ134" s="1665">
        <v>108.89</v>
      </c>
      <c r="CK134" s="1665">
        <v>108.89</v>
      </c>
      <c r="CL134" s="1668"/>
      <c r="CM134" s="1665">
        <v>0</v>
      </c>
      <c r="CN134" s="1665">
        <v>0</v>
      </c>
      <c r="CO134" s="1665">
        <v>0</v>
      </c>
      <c r="CP134" s="1665">
        <v>0</v>
      </c>
      <c r="CQ134" s="1665">
        <v>0</v>
      </c>
      <c r="CR134" s="1665">
        <v>0</v>
      </c>
      <c r="CS134" s="1665">
        <v>0</v>
      </c>
      <c r="CT134" s="1665">
        <v>0</v>
      </c>
      <c r="CU134" s="1665">
        <v>0</v>
      </c>
      <c r="CV134" s="1665">
        <v>0</v>
      </c>
      <c r="CW134" s="1668"/>
      <c r="CX134" s="1663"/>
      <c r="CY134" s="1663"/>
      <c r="CZ134" s="1663"/>
      <c r="DA134" s="1663"/>
      <c r="DB134" s="1668"/>
      <c r="DC134" s="1662"/>
      <c r="DD134" s="1665">
        <v>0</v>
      </c>
      <c r="DE134" s="1663"/>
      <c r="DF134" s="1663"/>
      <c r="DG134" s="1665">
        <v>0</v>
      </c>
      <c r="DH134" s="1665">
        <v>0</v>
      </c>
    </row>
    <row r="135" spans="1:112" ht="33.75" hidden="1" x14ac:dyDescent="0.25">
      <c r="A135" s="1662" t="s">
        <v>2181</v>
      </c>
      <c r="B135" s="1662" t="s">
        <v>1719</v>
      </c>
      <c r="C135" s="1662" t="s">
        <v>2629</v>
      </c>
      <c r="D135" s="1662" t="s">
        <v>2630</v>
      </c>
      <c r="E135" s="1662" t="s">
        <v>193</v>
      </c>
      <c r="F135" s="1662" t="s">
        <v>2616</v>
      </c>
      <c r="G135" s="1662" t="s">
        <v>2617</v>
      </c>
      <c r="H135" s="1662" t="s">
        <v>2618</v>
      </c>
      <c r="I135" s="1662" t="s">
        <v>745</v>
      </c>
      <c r="J135" s="1662" t="s">
        <v>292</v>
      </c>
      <c r="K135" s="1662" t="s">
        <v>2117</v>
      </c>
      <c r="L135" s="1662" t="s">
        <v>2109</v>
      </c>
      <c r="M135" s="1663"/>
      <c r="N135" s="1663"/>
      <c r="O135" s="1663"/>
      <c r="P135" s="1663"/>
      <c r="Q135" s="1663"/>
      <c r="R135" s="1663"/>
      <c r="S135" s="1663"/>
      <c r="T135" s="1663"/>
      <c r="U135" s="1663"/>
      <c r="V135" s="1663"/>
      <c r="W135" s="1663"/>
      <c r="X135" s="1663"/>
      <c r="Y135" s="1664">
        <v>43238</v>
      </c>
      <c r="Z135" s="1662" t="s">
        <v>2110</v>
      </c>
      <c r="AA135" s="1665">
        <v>0</v>
      </c>
      <c r="AB135" s="1665">
        <v>0</v>
      </c>
      <c r="AC135" s="1680">
        <v>0</v>
      </c>
      <c r="AD135" s="1682">
        <v>43264</v>
      </c>
      <c r="AE135" s="1679" t="s">
        <v>2128</v>
      </c>
      <c r="AF135" s="1662" t="s">
        <v>2115</v>
      </c>
      <c r="AG135" s="1666"/>
      <c r="AH135" s="1667">
        <v>49498.86</v>
      </c>
      <c r="AI135" s="1665">
        <v>49498.86</v>
      </c>
      <c r="AJ135" s="1665">
        <v>42074.03</v>
      </c>
      <c r="AK135" s="1698">
        <v>42074.03</v>
      </c>
      <c r="AL135" s="1665">
        <v>0</v>
      </c>
      <c r="AM135" s="1664">
        <v>43277</v>
      </c>
      <c r="AN135" s="1665">
        <v>49498.86</v>
      </c>
      <c r="AO135" s="1665">
        <v>49498.86</v>
      </c>
      <c r="AP135" s="1665">
        <v>42074.03</v>
      </c>
      <c r="AQ135" s="1665">
        <v>42074.03</v>
      </c>
      <c r="AR135" s="1665">
        <v>0</v>
      </c>
      <c r="AS135" s="1665">
        <v>7424.83</v>
      </c>
      <c r="AT135" s="1665">
        <v>0</v>
      </c>
      <c r="AU135" s="1665">
        <v>7424.83</v>
      </c>
      <c r="AV135" s="1665">
        <v>0</v>
      </c>
      <c r="AW135" s="1665">
        <v>0</v>
      </c>
      <c r="AX135" s="1663"/>
      <c r="AY135" s="1663"/>
      <c r="AZ135" s="1663"/>
      <c r="BA135" s="1668"/>
      <c r="BB135" s="1668"/>
      <c r="BC135" s="1663"/>
      <c r="BD135" s="1663"/>
      <c r="BE135" s="1665">
        <v>49498.86</v>
      </c>
      <c r="BF135" s="1665">
        <v>49498.86</v>
      </c>
      <c r="BG135" s="1665">
        <v>42074.03</v>
      </c>
      <c r="BH135" s="1665">
        <v>42074.03</v>
      </c>
      <c r="BI135" s="1665">
        <v>0</v>
      </c>
      <c r="BJ135" s="1665">
        <v>7424.83</v>
      </c>
      <c r="BK135" s="1665">
        <v>0</v>
      </c>
      <c r="BL135" s="1665">
        <v>7424.83</v>
      </c>
      <c r="BM135" s="1665">
        <v>0</v>
      </c>
      <c r="BN135" s="1665">
        <v>0</v>
      </c>
      <c r="BO135" s="1664">
        <v>43355</v>
      </c>
      <c r="BP135" s="1665">
        <v>49498.86</v>
      </c>
      <c r="BQ135" s="1665">
        <v>49498.86</v>
      </c>
      <c r="BR135" s="1665">
        <v>42074.03</v>
      </c>
      <c r="BS135" s="1667">
        <v>42074.03</v>
      </c>
      <c r="BT135" s="1665">
        <v>0</v>
      </c>
      <c r="BU135" s="1665">
        <v>7424.83</v>
      </c>
      <c r="BV135" s="1665">
        <v>0</v>
      </c>
      <c r="BW135" s="1665">
        <v>0</v>
      </c>
      <c r="BX135" s="1665">
        <v>0</v>
      </c>
      <c r="BY135" s="1665">
        <v>0</v>
      </c>
      <c r="BZ135" s="1665">
        <v>0</v>
      </c>
      <c r="CA135" s="1663"/>
      <c r="CB135" s="1668"/>
      <c r="CC135" s="1668"/>
      <c r="CD135" s="1663"/>
      <c r="CE135" s="1663"/>
      <c r="CF135" s="1665">
        <v>0</v>
      </c>
      <c r="CG135" s="1665">
        <v>0</v>
      </c>
      <c r="CH135" s="1665">
        <v>0</v>
      </c>
      <c r="CI135" s="1665">
        <v>0</v>
      </c>
      <c r="CJ135" s="1665">
        <v>578.1</v>
      </c>
      <c r="CK135" s="1665">
        <v>578.1</v>
      </c>
      <c r="CL135" s="1668"/>
      <c r="CM135" s="1665">
        <v>0</v>
      </c>
      <c r="CN135" s="1665">
        <v>0</v>
      </c>
      <c r="CO135" s="1665">
        <v>0</v>
      </c>
      <c r="CP135" s="1665">
        <v>0</v>
      </c>
      <c r="CQ135" s="1665">
        <v>0</v>
      </c>
      <c r="CR135" s="1665">
        <v>0</v>
      </c>
      <c r="CS135" s="1665">
        <v>0</v>
      </c>
      <c r="CT135" s="1665">
        <v>0</v>
      </c>
      <c r="CU135" s="1665">
        <v>0</v>
      </c>
      <c r="CV135" s="1665">
        <v>0</v>
      </c>
      <c r="CW135" s="1668"/>
      <c r="CX135" s="1663"/>
      <c r="CY135" s="1663"/>
      <c r="CZ135" s="1663"/>
      <c r="DA135" s="1663"/>
      <c r="DB135" s="1668"/>
      <c r="DC135" s="1662"/>
      <c r="DD135" s="1665">
        <v>0</v>
      </c>
      <c r="DE135" s="1663"/>
      <c r="DF135" s="1663"/>
      <c r="DG135" s="1665">
        <v>0</v>
      </c>
      <c r="DH135" s="1665">
        <v>0</v>
      </c>
    </row>
    <row r="136" spans="1:112" ht="33.75" hidden="1" x14ac:dyDescent="0.25">
      <c r="A136" s="1662" t="s">
        <v>2182</v>
      </c>
      <c r="B136" s="1662" t="s">
        <v>1719</v>
      </c>
      <c r="C136" s="1662" t="s">
        <v>2629</v>
      </c>
      <c r="D136" s="1662" t="s">
        <v>2630</v>
      </c>
      <c r="E136" s="1662" t="s">
        <v>193</v>
      </c>
      <c r="F136" s="1662" t="s">
        <v>2616</v>
      </c>
      <c r="G136" s="1662" t="s">
        <v>2617</v>
      </c>
      <c r="H136" s="1662" t="s">
        <v>2618</v>
      </c>
      <c r="I136" s="1662" t="s">
        <v>745</v>
      </c>
      <c r="J136" s="1662" t="s">
        <v>292</v>
      </c>
      <c r="K136" s="1662" t="s">
        <v>2117</v>
      </c>
      <c r="L136" s="1662" t="s">
        <v>2109</v>
      </c>
      <c r="M136" s="1663"/>
      <c r="N136" s="1663"/>
      <c r="O136" s="1663"/>
      <c r="P136" s="1663"/>
      <c r="Q136" s="1663"/>
      <c r="R136" s="1663"/>
      <c r="S136" s="1663"/>
      <c r="T136" s="1663"/>
      <c r="U136" s="1663"/>
      <c r="V136" s="1663"/>
      <c r="W136" s="1663"/>
      <c r="X136" s="1663"/>
      <c r="Y136" s="1664">
        <v>43238</v>
      </c>
      <c r="Z136" s="1662" t="s">
        <v>2110</v>
      </c>
      <c r="AA136" s="1665">
        <v>0</v>
      </c>
      <c r="AB136" s="1665">
        <v>0</v>
      </c>
      <c r="AC136" s="1680">
        <v>0</v>
      </c>
      <c r="AD136" s="1682">
        <v>43264</v>
      </c>
      <c r="AE136" s="1679" t="s">
        <v>2128</v>
      </c>
      <c r="AF136" s="1662" t="s">
        <v>2112</v>
      </c>
      <c r="AG136" s="1666"/>
      <c r="AH136" s="1667">
        <v>8318.2900000000009</v>
      </c>
      <c r="AI136" s="1665">
        <v>8318.2900000000009</v>
      </c>
      <c r="AJ136" s="1665">
        <v>7070.55</v>
      </c>
      <c r="AK136" s="1698">
        <v>7070.55</v>
      </c>
      <c r="AL136" s="1665">
        <v>0</v>
      </c>
      <c r="AM136" s="1664">
        <v>43264</v>
      </c>
      <c r="AN136" s="1665">
        <v>8318.2900000000009</v>
      </c>
      <c r="AO136" s="1665">
        <v>8318.2900000000009</v>
      </c>
      <c r="AP136" s="1665">
        <v>7070.55</v>
      </c>
      <c r="AQ136" s="1665">
        <v>7070.55</v>
      </c>
      <c r="AR136" s="1665">
        <v>0</v>
      </c>
      <c r="AS136" s="1665">
        <v>1247.74</v>
      </c>
      <c r="AT136" s="1665">
        <v>0</v>
      </c>
      <c r="AU136" s="1665">
        <v>1247.74</v>
      </c>
      <c r="AV136" s="1665">
        <v>0</v>
      </c>
      <c r="AW136" s="1665">
        <v>0</v>
      </c>
      <c r="AX136" s="1663"/>
      <c r="AY136" s="1663"/>
      <c r="AZ136" s="1663"/>
      <c r="BA136" s="1668"/>
      <c r="BB136" s="1668"/>
      <c r="BC136" s="1663"/>
      <c r="BD136" s="1663"/>
      <c r="BE136" s="1665">
        <v>8318.2900000000009</v>
      </c>
      <c r="BF136" s="1665">
        <v>8318.2900000000009</v>
      </c>
      <c r="BG136" s="1665">
        <v>7070.55</v>
      </c>
      <c r="BH136" s="1665">
        <v>7070.55</v>
      </c>
      <c r="BI136" s="1665">
        <v>0</v>
      </c>
      <c r="BJ136" s="1665">
        <v>1247.74</v>
      </c>
      <c r="BK136" s="1665">
        <v>0</v>
      </c>
      <c r="BL136" s="1665">
        <v>1247.74</v>
      </c>
      <c r="BM136" s="1665">
        <v>0</v>
      </c>
      <c r="BN136" s="1665">
        <v>0</v>
      </c>
      <c r="BO136" s="1664">
        <v>43355</v>
      </c>
      <c r="BP136" s="1665">
        <v>8318.2900000000009</v>
      </c>
      <c r="BQ136" s="1665">
        <v>8318.2900000000009</v>
      </c>
      <c r="BR136" s="1665">
        <v>7070.55</v>
      </c>
      <c r="BS136" s="1667">
        <v>7070.55</v>
      </c>
      <c r="BT136" s="1665">
        <v>0</v>
      </c>
      <c r="BU136" s="1665">
        <v>1247.74</v>
      </c>
      <c r="BV136" s="1665">
        <v>0</v>
      </c>
      <c r="BW136" s="1665">
        <v>0</v>
      </c>
      <c r="BX136" s="1665">
        <v>0</v>
      </c>
      <c r="BY136" s="1665">
        <v>0</v>
      </c>
      <c r="BZ136" s="1665">
        <v>0</v>
      </c>
      <c r="CA136" s="1663"/>
      <c r="CB136" s="1668"/>
      <c r="CC136" s="1668"/>
      <c r="CD136" s="1663"/>
      <c r="CE136" s="1663"/>
      <c r="CF136" s="1665">
        <v>0</v>
      </c>
      <c r="CG136" s="1665">
        <v>0</v>
      </c>
      <c r="CH136" s="1665">
        <v>0</v>
      </c>
      <c r="CI136" s="1665">
        <v>0</v>
      </c>
      <c r="CJ136" s="1665">
        <v>0</v>
      </c>
      <c r="CK136" s="1665">
        <v>0</v>
      </c>
      <c r="CL136" s="1668"/>
      <c r="CM136" s="1665">
        <v>0</v>
      </c>
      <c r="CN136" s="1665">
        <v>0</v>
      </c>
      <c r="CO136" s="1665">
        <v>0</v>
      </c>
      <c r="CP136" s="1665">
        <v>0</v>
      </c>
      <c r="CQ136" s="1665">
        <v>0</v>
      </c>
      <c r="CR136" s="1665">
        <v>0</v>
      </c>
      <c r="CS136" s="1665">
        <v>0</v>
      </c>
      <c r="CT136" s="1665">
        <v>0</v>
      </c>
      <c r="CU136" s="1665">
        <v>0</v>
      </c>
      <c r="CV136" s="1665">
        <v>0</v>
      </c>
      <c r="CW136" s="1668"/>
      <c r="CX136" s="1663"/>
      <c r="CY136" s="1663"/>
      <c r="CZ136" s="1663"/>
      <c r="DA136" s="1663"/>
      <c r="DB136" s="1668"/>
      <c r="DC136" s="1662"/>
      <c r="DD136" s="1665">
        <v>0</v>
      </c>
      <c r="DE136" s="1663"/>
      <c r="DF136" s="1663"/>
      <c r="DG136" s="1665">
        <v>0</v>
      </c>
      <c r="DH136" s="1665">
        <v>0</v>
      </c>
    </row>
    <row r="137" spans="1:112" ht="33.75" hidden="1" x14ac:dyDescent="0.25">
      <c r="A137" s="1662" t="s">
        <v>2183</v>
      </c>
      <c r="B137" s="1662" t="s">
        <v>1719</v>
      </c>
      <c r="C137" s="1662" t="s">
        <v>2629</v>
      </c>
      <c r="D137" s="1662" t="s">
        <v>2630</v>
      </c>
      <c r="E137" s="1662" t="s">
        <v>193</v>
      </c>
      <c r="F137" s="1662" t="s">
        <v>2616</v>
      </c>
      <c r="G137" s="1662" t="s">
        <v>2617</v>
      </c>
      <c r="H137" s="1662" t="s">
        <v>2618</v>
      </c>
      <c r="I137" s="1662" t="s">
        <v>745</v>
      </c>
      <c r="J137" s="1662" t="s">
        <v>292</v>
      </c>
      <c r="K137" s="1662" t="s">
        <v>2117</v>
      </c>
      <c r="L137" s="1662" t="s">
        <v>2109</v>
      </c>
      <c r="M137" s="1663"/>
      <c r="N137" s="1663"/>
      <c r="O137" s="1663"/>
      <c r="P137" s="1663"/>
      <c r="Q137" s="1663"/>
      <c r="R137" s="1663"/>
      <c r="S137" s="1663"/>
      <c r="T137" s="1663"/>
      <c r="U137" s="1663"/>
      <c r="V137" s="1663"/>
      <c r="W137" s="1663"/>
      <c r="X137" s="1663"/>
      <c r="Y137" s="1664">
        <v>43332</v>
      </c>
      <c r="Z137" s="1662" t="s">
        <v>2110</v>
      </c>
      <c r="AA137" s="1665">
        <v>0</v>
      </c>
      <c r="AB137" s="1665">
        <v>0</v>
      </c>
      <c r="AC137" s="1680">
        <v>0</v>
      </c>
      <c r="AD137" s="1682">
        <v>43348</v>
      </c>
      <c r="AE137" s="1679" t="s">
        <v>2129</v>
      </c>
      <c r="AF137" s="1662" t="s">
        <v>2112</v>
      </c>
      <c r="AG137" s="1666"/>
      <c r="AH137" s="1667">
        <v>26872.46</v>
      </c>
      <c r="AI137" s="1665">
        <v>26872.46</v>
      </c>
      <c r="AJ137" s="1665">
        <v>22841.59</v>
      </c>
      <c r="AK137" s="1698">
        <v>22841.59</v>
      </c>
      <c r="AL137" s="1665">
        <v>0</v>
      </c>
      <c r="AM137" s="1664">
        <v>43348</v>
      </c>
      <c r="AN137" s="1665">
        <v>26872.46</v>
      </c>
      <c r="AO137" s="1665">
        <v>26872.46</v>
      </c>
      <c r="AP137" s="1665">
        <v>22841.59</v>
      </c>
      <c r="AQ137" s="1665">
        <v>22841.59</v>
      </c>
      <c r="AR137" s="1665">
        <v>0</v>
      </c>
      <c r="AS137" s="1665">
        <v>4030.87</v>
      </c>
      <c r="AT137" s="1665">
        <v>0</v>
      </c>
      <c r="AU137" s="1665">
        <v>4030.87</v>
      </c>
      <c r="AV137" s="1665">
        <v>0</v>
      </c>
      <c r="AW137" s="1665">
        <v>0</v>
      </c>
      <c r="AX137" s="1663"/>
      <c r="AY137" s="1663"/>
      <c r="AZ137" s="1663"/>
      <c r="BA137" s="1668"/>
      <c r="BB137" s="1668"/>
      <c r="BC137" s="1663"/>
      <c r="BD137" s="1663"/>
      <c r="BE137" s="1665">
        <v>26872.46</v>
      </c>
      <c r="BF137" s="1665">
        <v>26872.46</v>
      </c>
      <c r="BG137" s="1665">
        <v>22841.59</v>
      </c>
      <c r="BH137" s="1665">
        <v>22841.59</v>
      </c>
      <c r="BI137" s="1665">
        <v>0</v>
      </c>
      <c r="BJ137" s="1665">
        <v>4030.87</v>
      </c>
      <c r="BK137" s="1665">
        <v>0</v>
      </c>
      <c r="BL137" s="1665">
        <v>4030.87</v>
      </c>
      <c r="BM137" s="1665">
        <v>0</v>
      </c>
      <c r="BN137" s="1665">
        <v>0</v>
      </c>
      <c r="BO137" s="1668"/>
      <c r="BP137" s="1665">
        <v>0</v>
      </c>
      <c r="BQ137" s="1665">
        <v>0</v>
      </c>
      <c r="BR137" s="1665">
        <v>0</v>
      </c>
      <c r="BS137" s="1667">
        <v>0</v>
      </c>
      <c r="BT137" s="1665">
        <v>0</v>
      </c>
      <c r="BU137" s="1665">
        <v>0</v>
      </c>
      <c r="BV137" s="1665">
        <v>0</v>
      </c>
      <c r="BW137" s="1665">
        <v>0</v>
      </c>
      <c r="BX137" s="1665">
        <v>0</v>
      </c>
      <c r="BY137" s="1665">
        <v>0</v>
      </c>
      <c r="BZ137" s="1665">
        <v>0</v>
      </c>
      <c r="CA137" s="1663"/>
      <c r="CB137" s="1668"/>
      <c r="CC137" s="1668"/>
      <c r="CD137" s="1663"/>
      <c r="CE137" s="1663"/>
      <c r="CF137" s="1665">
        <v>0</v>
      </c>
      <c r="CG137" s="1665">
        <v>0</v>
      </c>
      <c r="CH137" s="1665">
        <v>0</v>
      </c>
      <c r="CI137" s="1665">
        <v>0</v>
      </c>
      <c r="CJ137" s="1665">
        <v>0</v>
      </c>
      <c r="CK137" s="1665">
        <v>0</v>
      </c>
      <c r="CL137" s="1668"/>
      <c r="CM137" s="1665">
        <v>0</v>
      </c>
      <c r="CN137" s="1665">
        <v>0</v>
      </c>
      <c r="CO137" s="1665">
        <v>0</v>
      </c>
      <c r="CP137" s="1665">
        <v>0</v>
      </c>
      <c r="CQ137" s="1665">
        <v>0</v>
      </c>
      <c r="CR137" s="1665">
        <v>0</v>
      </c>
      <c r="CS137" s="1665">
        <v>0</v>
      </c>
      <c r="CT137" s="1665">
        <v>0</v>
      </c>
      <c r="CU137" s="1665">
        <v>0</v>
      </c>
      <c r="CV137" s="1665">
        <v>0</v>
      </c>
      <c r="CW137" s="1668"/>
      <c r="CX137" s="1663"/>
      <c r="CY137" s="1663"/>
      <c r="CZ137" s="1663"/>
      <c r="DA137" s="1663"/>
      <c r="DB137" s="1668"/>
      <c r="DC137" s="1662"/>
      <c r="DD137" s="1665">
        <v>0</v>
      </c>
      <c r="DE137" s="1663"/>
      <c r="DF137" s="1663"/>
      <c r="DG137" s="1665">
        <v>0</v>
      </c>
      <c r="DH137" s="1665">
        <v>0</v>
      </c>
    </row>
    <row r="138" spans="1:112" ht="78.75" hidden="1" x14ac:dyDescent="0.25">
      <c r="A138" s="1662" t="s">
        <v>2184</v>
      </c>
      <c r="B138" s="1662" t="s">
        <v>1719</v>
      </c>
      <c r="C138" s="1662" t="s">
        <v>2629</v>
      </c>
      <c r="D138" s="1662" t="s">
        <v>2630</v>
      </c>
      <c r="E138" s="1662" t="s">
        <v>193</v>
      </c>
      <c r="F138" s="1662" t="s">
        <v>2616</v>
      </c>
      <c r="G138" s="1662" t="s">
        <v>2617</v>
      </c>
      <c r="H138" s="1662" t="s">
        <v>2618</v>
      </c>
      <c r="I138" s="1662" t="s">
        <v>746</v>
      </c>
      <c r="J138" s="1662" t="s">
        <v>394</v>
      </c>
      <c r="K138" s="1662" t="s">
        <v>2120</v>
      </c>
      <c r="L138" s="1662" t="s">
        <v>2109</v>
      </c>
      <c r="M138" s="1665">
        <v>3993</v>
      </c>
      <c r="N138" s="1665">
        <v>0</v>
      </c>
      <c r="O138" s="1665">
        <v>3993</v>
      </c>
      <c r="P138" s="1665">
        <v>3993</v>
      </c>
      <c r="Q138" s="1665">
        <v>3394.05</v>
      </c>
      <c r="R138" s="1665">
        <v>3394.05</v>
      </c>
      <c r="S138" s="1665">
        <v>0</v>
      </c>
      <c r="T138" s="1665">
        <v>598.95000000000005</v>
      </c>
      <c r="U138" s="1665">
        <v>0</v>
      </c>
      <c r="V138" s="1665">
        <v>598.95000000000005</v>
      </c>
      <c r="W138" s="1665">
        <v>0</v>
      </c>
      <c r="X138" s="1665">
        <v>0</v>
      </c>
      <c r="Y138" s="1668"/>
      <c r="Z138" s="1662"/>
      <c r="AA138" s="1665">
        <v>0</v>
      </c>
      <c r="AB138" s="1665">
        <v>0</v>
      </c>
      <c r="AC138" s="1680">
        <v>0</v>
      </c>
      <c r="AD138" s="1681"/>
      <c r="AE138" s="1679"/>
      <c r="AF138" s="1662"/>
      <c r="AG138" s="1666"/>
      <c r="AH138" s="1667">
        <v>1018.22</v>
      </c>
      <c r="AI138" s="1665">
        <v>1018.22</v>
      </c>
      <c r="AJ138" s="1665">
        <v>1018.22</v>
      </c>
      <c r="AK138" s="1698">
        <v>1018.22</v>
      </c>
      <c r="AL138" s="1665">
        <v>0</v>
      </c>
      <c r="AM138" s="1668"/>
      <c r="AN138" s="1665">
        <v>0</v>
      </c>
      <c r="AO138" s="1665">
        <v>0</v>
      </c>
      <c r="AP138" s="1665">
        <v>0</v>
      </c>
      <c r="AQ138" s="1665">
        <v>0</v>
      </c>
      <c r="AR138" s="1665">
        <v>0</v>
      </c>
      <c r="AS138" s="1665">
        <v>0</v>
      </c>
      <c r="AT138" s="1665">
        <v>0</v>
      </c>
      <c r="AU138" s="1665">
        <v>0</v>
      </c>
      <c r="AV138" s="1665">
        <v>0</v>
      </c>
      <c r="AW138" s="1665">
        <v>0</v>
      </c>
      <c r="AX138" s="1665">
        <v>0</v>
      </c>
      <c r="AY138" s="1665">
        <v>0</v>
      </c>
      <c r="AZ138" s="1665">
        <v>0</v>
      </c>
      <c r="BA138" s="1668"/>
      <c r="BB138" s="1668"/>
      <c r="BC138" s="1665">
        <v>0</v>
      </c>
      <c r="BD138" s="1665">
        <v>0</v>
      </c>
      <c r="BE138" s="1665">
        <v>0</v>
      </c>
      <c r="BF138" s="1665">
        <v>0</v>
      </c>
      <c r="BG138" s="1665">
        <v>0</v>
      </c>
      <c r="BH138" s="1665">
        <v>0</v>
      </c>
      <c r="BI138" s="1665">
        <v>0</v>
      </c>
      <c r="BJ138" s="1665">
        <v>0</v>
      </c>
      <c r="BK138" s="1665">
        <v>0</v>
      </c>
      <c r="BL138" s="1665">
        <v>0</v>
      </c>
      <c r="BM138" s="1665">
        <v>0</v>
      </c>
      <c r="BN138" s="1665">
        <v>0</v>
      </c>
      <c r="BO138" s="1668"/>
      <c r="BP138" s="1665">
        <v>0</v>
      </c>
      <c r="BQ138" s="1665">
        <v>0</v>
      </c>
      <c r="BR138" s="1665">
        <v>0</v>
      </c>
      <c r="BS138" s="1667">
        <v>0</v>
      </c>
      <c r="BT138" s="1665">
        <v>0</v>
      </c>
      <c r="BU138" s="1665">
        <v>0</v>
      </c>
      <c r="BV138" s="1665">
        <v>0</v>
      </c>
      <c r="BW138" s="1665">
        <v>0</v>
      </c>
      <c r="BX138" s="1665">
        <v>0</v>
      </c>
      <c r="BY138" s="1665">
        <v>0</v>
      </c>
      <c r="BZ138" s="1663"/>
      <c r="CA138" s="1665">
        <v>0</v>
      </c>
      <c r="CB138" s="1668"/>
      <c r="CC138" s="1668"/>
      <c r="CD138" s="1665">
        <v>0</v>
      </c>
      <c r="CE138" s="1665">
        <v>0</v>
      </c>
      <c r="CF138" s="1665">
        <v>0</v>
      </c>
      <c r="CG138" s="1665">
        <v>0</v>
      </c>
      <c r="CH138" s="1665">
        <v>0</v>
      </c>
      <c r="CI138" s="1665">
        <v>0</v>
      </c>
      <c r="CJ138" s="1665">
        <v>0</v>
      </c>
      <c r="CK138" s="1665">
        <v>0</v>
      </c>
      <c r="CL138" s="1668"/>
      <c r="CM138" s="1665">
        <v>0</v>
      </c>
      <c r="CN138" s="1665">
        <v>0</v>
      </c>
      <c r="CO138" s="1665">
        <v>0</v>
      </c>
      <c r="CP138" s="1665">
        <v>0</v>
      </c>
      <c r="CQ138" s="1665">
        <v>0</v>
      </c>
      <c r="CR138" s="1665">
        <v>0</v>
      </c>
      <c r="CS138" s="1665">
        <v>0</v>
      </c>
      <c r="CT138" s="1665">
        <v>0</v>
      </c>
      <c r="CU138" s="1665">
        <v>0</v>
      </c>
      <c r="CV138" s="1665">
        <v>0</v>
      </c>
      <c r="CW138" s="1668"/>
      <c r="CX138" s="1665">
        <v>0</v>
      </c>
      <c r="CY138" s="1665">
        <v>0</v>
      </c>
      <c r="CZ138" s="1665">
        <v>0</v>
      </c>
      <c r="DA138" s="1665">
        <v>0</v>
      </c>
      <c r="DB138" s="1668"/>
      <c r="DC138" s="1662"/>
      <c r="DD138" s="1665">
        <v>0</v>
      </c>
      <c r="DE138" s="1665">
        <v>0</v>
      </c>
      <c r="DF138" s="1665">
        <v>0</v>
      </c>
      <c r="DG138" s="1665">
        <v>0</v>
      </c>
      <c r="DH138" s="1665">
        <v>0</v>
      </c>
    </row>
    <row r="139" spans="1:112" ht="78.75" hidden="1" x14ac:dyDescent="0.25">
      <c r="A139" s="1662" t="s">
        <v>2185</v>
      </c>
      <c r="B139" s="1662" t="s">
        <v>1719</v>
      </c>
      <c r="C139" s="1662" t="s">
        <v>2629</v>
      </c>
      <c r="D139" s="1662" t="s">
        <v>2630</v>
      </c>
      <c r="E139" s="1662" t="s">
        <v>193</v>
      </c>
      <c r="F139" s="1662" t="s">
        <v>2616</v>
      </c>
      <c r="G139" s="1662" t="s">
        <v>2617</v>
      </c>
      <c r="H139" s="1662" t="s">
        <v>2618</v>
      </c>
      <c r="I139" s="1662" t="s">
        <v>746</v>
      </c>
      <c r="J139" s="1662" t="s">
        <v>394</v>
      </c>
      <c r="K139" s="1662" t="s">
        <v>2120</v>
      </c>
      <c r="L139" s="1662" t="s">
        <v>2109</v>
      </c>
      <c r="M139" s="1663"/>
      <c r="N139" s="1663"/>
      <c r="O139" s="1663"/>
      <c r="P139" s="1663"/>
      <c r="Q139" s="1663"/>
      <c r="R139" s="1663"/>
      <c r="S139" s="1663"/>
      <c r="T139" s="1663"/>
      <c r="U139" s="1663"/>
      <c r="V139" s="1663"/>
      <c r="W139" s="1663"/>
      <c r="X139" s="1663"/>
      <c r="Y139" s="1664">
        <v>43297</v>
      </c>
      <c r="Z139" s="1662" t="s">
        <v>2145</v>
      </c>
      <c r="AA139" s="1665">
        <v>0</v>
      </c>
      <c r="AB139" s="1665">
        <v>0</v>
      </c>
      <c r="AC139" s="1680">
        <v>0</v>
      </c>
      <c r="AD139" s="1682">
        <v>43322</v>
      </c>
      <c r="AE139" s="1679" t="s">
        <v>2128</v>
      </c>
      <c r="AF139" s="1662" t="s">
        <v>2112</v>
      </c>
      <c r="AG139" s="1666"/>
      <c r="AH139" s="1667">
        <v>1018.22</v>
      </c>
      <c r="AI139" s="1665">
        <v>1018.22</v>
      </c>
      <c r="AJ139" s="1665">
        <v>1018.22</v>
      </c>
      <c r="AK139" s="1698">
        <v>1018.22</v>
      </c>
      <c r="AL139" s="1665">
        <v>0</v>
      </c>
      <c r="AM139" s="1668"/>
      <c r="AN139" s="1665">
        <v>0</v>
      </c>
      <c r="AO139" s="1665">
        <v>0</v>
      </c>
      <c r="AP139" s="1665">
        <v>0</v>
      </c>
      <c r="AQ139" s="1665">
        <v>0</v>
      </c>
      <c r="AR139" s="1665">
        <v>0</v>
      </c>
      <c r="AS139" s="1665">
        <v>0</v>
      </c>
      <c r="AT139" s="1665">
        <v>0</v>
      </c>
      <c r="AU139" s="1665">
        <v>0</v>
      </c>
      <c r="AV139" s="1665">
        <v>0</v>
      </c>
      <c r="AW139" s="1665">
        <v>0</v>
      </c>
      <c r="AX139" s="1663"/>
      <c r="AY139" s="1663"/>
      <c r="AZ139" s="1663"/>
      <c r="BA139" s="1668"/>
      <c r="BB139" s="1668"/>
      <c r="BC139" s="1663"/>
      <c r="BD139" s="1663"/>
      <c r="BE139" s="1665">
        <v>0</v>
      </c>
      <c r="BF139" s="1665">
        <v>0</v>
      </c>
      <c r="BG139" s="1665">
        <v>0</v>
      </c>
      <c r="BH139" s="1665">
        <v>0</v>
      </c>
      <c r="BI139" s="1665">
        <v>0</v>
      </c>
      <c r="BJ139" s="1665">
        <v>0</v>
      </c>
      <c r="BK139" s="1665">
        <v>0</v>
      </c>
      <c r="BL139" s="1665">
        <v>0</v>
      </c>
      <c r="BM139" s="1665">
        <v>0</v>
      </c>
      <c r="BN139" s="1665">
        <v>0</v>
      </c>
      <c r="BO139" s="1668"/>
      <c r="BP139" s="1665">
        <v>0</v>
      </c>
      <c r="BQ139" s="1665">
        <v>0</v>
      </c>
      <c r="BR139" s="1665">
        <v>0</v>
      </c>
      <c r="BS139" s="1667">
        <v>0</v>
      </c>
      <c r="BT139" s="1665">
        <v>0</v>
      </c>
      <c r="BU139" s="1665">
        <v>0</v>
      </c>
      <c r="BV139" s="1665">
        <v>0</v>
      </c>
      <c r="BW139" s="1665">
        <v>0</v>
      </c>
      <c r="BX139" s="1665">
        <v>0</v>
      </c>
      <c r="BY139" s="1665">
        <v>0</v>
      </c>
      <c r="BZ139" s="1663"/>
      <c r="CA139" s="1663"/>
      <c r="CB139" s="1668"/>
      <c r="CC139" s="1668"/>
      <c r="CD139" s="1663"/>
      <c r="CE139" s="1663"/>
      <c r="CF139" s="1665">
        <v>0</v>
      </c>
      <c r="CG139" s="1665">
        <v>0</v>
      </c>
      <c r="CH139" s="1665">
        <v>0</v>
      </c>
      <c r="CI139" s="1665">
        <v>0</v>
      </c>
      <c r="CJ139" s="1665">
        <v>0</v>
      </c>
      <c r="CK139" s="1665">
        <v>0</v>
      </c>
      <c r="CL139" s="1668"/>
      <c r="CM139" s="1665">
        <v>0</v>
      </c>
      <c r="CN139" s="1665">
        <v>0</v>
      </c>
      <c r="CO139" s="1665">
        <v>0</v>
      </c>
      <c r="CP139" s="1665">
        <v>0</v>
      </c>
      <c r="CQ139" s="1665">
        <v>0</v>
      </c>
      <c r="CR139" s="1665">
        <v>0</v>
      </c>
      <c r="CS139" s="1665">
        <v>0</v>
      </c>
      <c r="CT139" s="1665">
        <v>0</v>
      </c>
      <c r="CU139" s="1665">
        <v>0</v>
      </c>
      <c r="CV139" s="1665">
        <v>0</v>
      </c>
      <c r="CW139" s="1668"/>
      <c r="CX139" s="1663"/>
      <c r="CY139" s="1663"/>
      <c r="CZ139" s="1663"/>
      <c r="DA139" s="1663"/>
      <c r="DB139" s="1668"/>
      <c r="DC139" s="1662"/>
      <c r="DD139" s="1665">
        <v>0</v>
      </c>
      <c r="DE139" s="1663"/>
      <c r="DF139" s="1663"/>
      <c r="DG139" s="1665">
        <v>0</v>
      </c>
      <c r="DH139" s="1665">
        <v>0</v>
      </c>
    </row>
    <row r="140" spans="1:112" ht="67.5" hidden="1" x14ac:dyDescent="0.25">
      <c r="A140" s="1662" t="s">
        <v>2187</v>
      </c>
      <c r="B140" s="1662" t="s">
        <v>1719</v>
      </c>
      <c r="C140" s="1662" t="s">
        <v>2629</v>
      </c>
      <c r="D140" s="1662" t="s">
        <v>2630</v>
      </c>
      <c r="E140" s="1662" t="s">
        <v>193</v>
      </c>
      <c r="F140" s="1662" t="s">
        <v>2616</v>
      </c>
      <c r="G140" s="1662" t="s">
        <v>2617</v>
      </c>
      <c r="H140" s="1662" t="s">
        <v>2618</v>
      </c>
      <c r="I140" s="1662" t="s">
        <v>747</v>
      </c>
      <c r="J140" s="1662" t="s">
        <v>383</v>
      </c>
      <c r="K140" s="1662" t="s">
        <v>2159</v>
      </c>
      <c r="L140" s="1662" t="s">
        <v>2186</v>
      </c>
      <c r="M140" s="1665">
        <v>121153.55</v>
      </c>
      <c r="N140" s="1665">
        <v>0</v>
      </c>
      <c r="O140" s="1665">
        <v>121153.55</v>
      </c>
      <c r="P140" s="1665">
        <v>121153.55</v>
      </c>
      <c r="Q140" s="1665">
        <v>102980.52</v>
      </c>
      <c r="R140" s="1665">
        <v>102980.52</v>
      </c>
      <c r="S140" s="1665">
        <v>0</v>
      </c>
      <c r="T140" s="1665">
        <v>18173.03</v>
      </c>
      <c r="U140" s="1665">
        <v>0</v>
      </c>
      <c r="V140" s="1665">
        <v>18173.03</v>
      </c>
      <c r="W140" s="1665">
        <v>0</v>
      </c>
      <c r="X140" s="1665">
        <v>0</v>
      </c>
      <c r="Y140" s="1668"/>
      <c r="Z140" s="1662"/>
      <c r="AA140" s="1665">
        <v>30894.16</v>
      </c>
      <c r="AB140" s="1665">
        <v>30894.16</v>
      </c>
      <c r="AC140" s="1680">
        <v>0</v>
      </c>
      <c r="AD140" s="1681"/>
      <c r="AE140" s="1679"/>
      <c r="AF140" s="1662"/>
      <c r="AG140" s="1666"/>
      <c r="AH140" s="1667">
        <v>152047.69</v>
      </c>
      <c r="AI140" s="1665">
        <v>152047.69</v>
      </c>
      <c r="AJ140" s="1665">
        <v>102980.52</v>
      </c>
      <c r="AK140" s="1698">
        <v>102980.52</v>
      </c>
      <c r="AL140" s="1665">
        <v>0</v>
      </c>
      <c r="AM140" s="1668"/>
      <c r="AN140" s="1665">
        <v>121153.53</v>
      </c>
      <c r="AO140" s="1665">
        <v>121153.53</v>
      </c>
      <c r="AP140" s="1665">
        <v>102980.52</v>
      </c>
      <c r="AQ140" s="1665">
        <v>102980.52</v>
      </c>
      <c r="AR140" s="1665">
        <v>0</v>
      </c>
      <c r="AS140" s="1665">
        <v>18173.009999999998</v>
      </c>
      <c r="AT140" s="1665">
        <v>0</v>
      </c>
      <c r="AU140" s="1665">
        <v>18173.009999999998</v>
      </c>
      <c r="AV140" s="1665">
        <v>0</v>
      </c>
      <c r="AW140" s="1665">
        <v>0</v>
      </c>
      <c r="AX140" s="1665">
        <v>0</v>
      </c>
      <c r="AY140" s="1665">
        <v>0</v>
      </c>
      <c r="AZ140" s="1665">
        <v>0</v>
      </c>
      <c r="BA140" s="1668"/>
      <c r="BB140" s="1668"/>
      <c r="BC140" s="1665">
        <v>0</v>
      </c>
      <c r="BD140" s="1665">
        <v>0</v>
      </c>
      <c r="BE140" s="1665">
        <v>121153.53</v>
      </c>
      <c r="BF140" s="1665">
        <v>121153.53</v>
      </c>
      <c r="BG140" s="1665">
        <v>102980.52</v>
      </c>
      <c r="BH140" s="1665">
        <v>102980.52</v>
      </c>
      <c r="BI140" s="1665">
        <v>0</v>
      </c>
      <c r="BJ140" s="1665">
        <v>18173.009999999998</v>
      </c>
      <c r="BK140" s="1665">
        <v>0</v>
      </c>
      <c r="BL140" s="1665">
        <v>18173.009999999998</v>
      </c>
      <c r="BM140" s="1665">
        <v>0</v>
      </c>
      <c r="BN140" s="1665">
        <v>0</v>
      </c>
      <c r="BO140" s="1668"/>
      <c r="BP140" s="1665">
        <v>83226.09</v>
      </c>
      <c r="BQ140" s="1665">
        <v>83226.09</v>
      </c>
      <c r="BR140" s="1665">
        <v>70742.17</v>
      </c>
      <c r="BS140" s="1667">
        <v>70742.17</v>
      </c>
      <c r="BT140" s="1665">
        <v>0</v>
      </c>
      <c r="BU140" s="1665">
        <v>12483.92</v>
      </c>
      <c r="BV140" s="1665">
        <v>0</v>
      </c>
      <c r="BW140" s="1665">
        <v>0</v>
      </c>
      <c r="BX140" s="1665">
        <v>0</v>
      </c>
      <c r="BY140" s="1665">
        <v>0</v>
      </c>
      <c r="BZ140" s="1665">
        <v>0</v>
      </c>
      <c r="CA140" s="1665">
        <v>0</v>
      </c>
      <c r="CB140" s="1668"/>
      <c r="CC140" s="1668"/>
      <c r="CD140" s="1665">
        <v>0</v>
      </c>
      <c r="CE140" s="1665">
        <v>0</v>
      </c>
      <c r="CF140" s="1665">
        <v>0</v>
      </c>
      <c r="CG140" s="1665">
        <v>0</v>
      </c>
      <c r="CH140" s="1665">
        <v>0</v>
      </c>
      <c r="CI140" s="1665">
        <v>0</v>
      </c>
      <c r="CJ140" s="1665">
        <v>0</v>
      </c>
      <c r="CK140" s="1665">
        <v>0</v>
      </c>
      <c r="CL140" s="1668"/>
      <c r="CM140" s="1665">
        <v>0</v>
      </c>
      <c r="CN140" s="1665">
        <v>0</v>
      </c>
      <c r="CO140" s="1665">
        <v>0</v>
      </c>
      <c r="CP140" s="1665">
        <v>0</v>
      </c>
      <c r="CQ140" s="1665">
        <v>0</v>
      </c>
      <c r="CR140" s="1665">
        <v>0</v>
      </c>
      <c r="CS140" s="1665">
        <v>0</v>
      </c>
      <c r="CT140" s="1665">
        <v>0</v>
      </c>
      <c r="CU140" s="1665">
        <v>0</v>
      </c>
      <c r="CV140" s="1665">
        <v>0</v>
      </c>
      <c r="CW140" s="1668"/>
      <c r="CX140" s="1665">
        <v>0</v>
      </c>
      <c r="CY140" s="1665">
        <v>0</v>
      </c>
      <c r="CZ140" s="1665">
        <v>0</v>
      </c>
      <c r="DA140" s="1665">
        <v>0</v>
      </c>
      <c r="DB140" s="1668"/>
      <c r="DC140" s="1662"/>
      <c r="DD140" s="1665">
        <v>0</v>
      </c>
      <c r="DE140" s="1665">
        <v>0</v>
      </c>
      <c r="DF140" s="1665">
        <v>0</v>
      </c>
      <c r="DG140" s="1665">
        <v>0</v>
      </c>
      <c r="DH140" s="1665">
        <v>0</v>
      </c>
    </row>
    <row r="141" spans="1:112" ht="67.5" hidden="1" x14ac:dyDescent="0.25">
      <c r="A141" s="1662" t="s">
        <v>2188</v>
      </c>
      <c r="B141" s="1662" t="s">
        <v>1719</v>
      </c>
      <c r="C141" s="1662" t="s">
        <v>2629</v>
      </c>
      <c r="D141" s="1662" t="s">
        <v>2630</v>
      </c>
      <c r="E141" s="1662" t="s">
        <v>193</v>
      </c>
      <c r="F141" s="1662" t="s">
        <v>2616</v>
      </c>
      <c r="G141" s="1662" t="s">
        <v>2617</v>
      </c>
      <c r="H141" s="1662" t="s">
        <v>2618</v>
      </c>
      <c r="I141" s="1662" t="s">
        <v>747</v>
      </c>
      <c r="J141" s="1662" t="s">
        <v>383</v>
      </c>
      <c r="K141" s="1662" t="s">
        <v>2159</v>
      </c>
      <c r="L141" s="1662" t="s">
        <v>2186</v>
      </c>
      <c r="M141" s="1663"/>
      <c r="N141" s="1663"/>
      <c r="O141" s="1663"/>
      <c r="P141" s="1663"/>
      <c r="Q141" s="1663"/>
      <c r="R141" s="1663"/>
      <c r="S141" s="1663"/>
      <c r="T141" s="1663"/>
      <c r="U141" s="1663"/>
      <c r="V141" s="1663"/>
      <c r="W141" s="1663"/>
      <c r="X141" s="1663"/>
      <c r="Y141" s="1664">
        <v>42977</v>
      </c>
      <c r="Z141" s="1662" t="s">
        <v>2145</v>
      </c>
      <c r="AA141" s="1665">
        <v>0</v>
      </c>
      <c r="AB141" s="1665">
        <v>0</v>
      </c>
      <c r="AC141" s="1680">
        <v>0</v>
      </c>
      <c r="AD141" s="1682">
        <v>42996</v>
      </c>
      <c r="AE141" s="1679" t="s">
        <v>2122</v>
      </c>
      <c r="AF141" s="1662" t="s">
        <v>2112</v>
      </c>
      <c r="AG141" s="1666"/>
      <c r="AH141" s="1667">
        <v>30894.16</v>
      </c>
      <c r="AI141" s="1665">
        <v>30894.16</v>
      </c>
      <c r="AJ141" s="1665">
        <v>30894.16</v>
      </c>
      <c r="AK141" s="1698">
        <v>30894.16</v>
      </c>
      <c r="AL141" s="1665">
        <v>0</v>
      </c>
      <c r="AM141" s="1668"/>
      <c r="AN141" s="1665">
        <v>0</v>
      </c>
      <c r="AO141" s="1665">
        <v>0</v>
      </c>
      <c r="AP141" s="1665">
        <v>0</v>
      </c>
      <c r="AQ141" s="1665">
        <v>0</v>
      </c>
      <c r="AR141" s="1665">
        <v>0</v>
      </c>
      <c r="AS141" s="1665">
        <v>0</v>
      </c>
      <c r="AT141" s="1665">
        <v>0</v>
      </c>
      <c r="AU141" s="1665">
        <v>0</v>
      </c>
      <c r="AV141" s="1665">
        <v>0</v>
      </c>
      <c r="AW141" s="1665">
        <v>0</v>
      </c>
      <c r="AX141" s="1663"/>
      <c r="AY141" s="1663"/>
      <c r="AZ141" s="1663"/>
      <c r="BA141" s="1668"/>
      <c r="BB141" s="1668"/>
      <c r="BC141" s="1663"/>
      <c r="BD141" s="1663"/>
      <c r="BE141" s="1665">
        <v>0</v>
      </c>
      <c r="BF141" s="1665">
        <v>0</v>
      </c>
      <c r="BG141" s="1665">
        <v>0</v>
      </c>
      <c r="BH141" s="1665">
        <v>0</v>
      </c>
      <c r="BI141" s="1665">
        <v>0</v>
      </c>
      <c r="BJ141" s="1665">
        <v>0</v>
      </c>
      <c r="BK141" s="1665">
        <v>0</v>
      </c>
      <c r="BL141" s="1665">
        <v>0</v>
      </c>
      <c r="BM141" s="1665">
        <v>0</v>
      </c>
      <c r="BN141" s="1665">
        <v>0</v>
      </c>
      <c r="BO141" s="1668"/>
      <c r="BP141" s="1665">
        <v>0</v>
      </c>
      <c r="BQ141" s="1665">
        <v>0</v>
      </c>
      <c r="BR141" s="1665">
        <v>0</v>
      </c>
      <c r="BS141" s="1667">
        <v>0</v>
      </c>
      <c r="BT141" s="1665">
        <v>0</v>
      </c>
      <c r="BU141" s="1665">
        <v>0</v>
      </c>
      <c r="BV141" s="1665">
        <v>0</v>
      </c>
      <c r="BW141" s="1665">
        <v>0</v>
      </c>
      <c r="BX141" s="1665">
        <v>0</v>
      </c>
      <c r="BY141" s="1665">
        <v>0</v>
      </c>
      <c r="BZ141" s="1663"/>
      <c r="CA141" s="1663"/>
      <c r="CB141" s="1668"/>
      <c r="CC141" s="1668"/>
      <c r="CD141" s="1663"/>
      <c r="CE141" s="1663"/>
      <c r="CF141" s="1665">
        <v>0</v>
      </c>
      <c r="CG141" s="1665">
        <v>0</v>
      </c>
      <c r="CH141" s="1665">
        <v>0</v>
      </c>
      <c r="CI141" s="1665">
        <v>0</v>
      </c>
      <c r="CJ141" s="1665">
        <v>0</v>
      </c>
      <c r="CK141" s="1665">
        <v>0</v>
      </c>
      <c r="CL141" s="1668"/>
      <c r="CM141" s="1665">
        <v>0</v>
      </c>
      <c r="CN141" s="1665">
        <v>0</v>
      </c>
      <c r="CO141" s="1665">
        <v>0</v>
      </c>
      <c r="CP141" s="1665">
        <v>0</v>
      </c>
      <c r="CQ141" s="1665">
        <v>0</v>
      </c>
      <c r="CR141" s="1665">
        <v>0</v>
      </c>
      <c r="CS141" s="1665">
        <v>0</v>
      </c>
      <c r="CT141" s="1665">
        <v>0</v>
      </c>
      <c r="CU141" s="1665">
        <v>0</v>
      </c>
      <c r="CV141" s="1665">
        <v>0</v>
      </c>
      <c r="CW141" s="1668"/>
      <c r="CX141" s="1663"/>
      <c r="CY141" s="1663"/>
      <c r="CZ141" s="1663"/>
      <c r="DA141" s="1663"/>
      <c r="DB141" s="1668"/>
      <c r="DC141" s="1662"/>
      <c r="DD141" s="1665">
        <v>0</v>
      </c>
      <c r="DE141" s="1663"/>
      <c r="DF141" s="1663"/>
      <c r="DG141" s="1665">
        <v>0</v>
      </c>
      <c r="DH141" s="1665">
        <v>0</v>
      </c>
    </row>
    <row r="142" spans="1:112" ht="67.5" hidden="1" x14ac:dyDescent="0.25">
      <c r="A142" s="1662" t="s">
        <v>2189</v>
      </c>
      <c r="B142" s="1662" t="s">
        <v>1719</v>
      </c>
      <c r="C142" s="1662" t="s">
        <v>2629</v>
      </c>
      <c r="D142" s="1662" t="s">
        <v>2630</v>
      </c>
      <c r="E142" s="1662" t="s">
        <v>193</v>
      </c>
      <c r="F142" s="1662" t="s">
        <v>2616</v>
      </c>
      <c r="G142" s="1662" t="s">
        <v>2617</v>
      </c>
      <c r="H142" s="1662" t="s">
        <v>2618</v>
      </c>
      <c r="I142" s="1662" t="s">
        <v>747</v>
      </c>
      <c r="J142" s="1662" t="s">
        <v>383</v>
      </c>
      <c r="K142" s="1662" t="s">
        <v>2159</v>
      </c>
      <c r="L142" s="1662" t="s">
        <v>2186</v>
      </c>
      <c r="M142" s="1663"/>
      <c r="N142" s="1663"/>
      <c r="O142" s="1663"/>
      <c r="P142" s="1663"/>
      <c r="Q142" s="1663"/>
      <c r="R142" s="1663"/>
      <c r="S142" s="1663"/>
      <c r="T142" s="1663"/>
      <c r="U142" s="1663"/>
      <c r="V142" s="1663"/>
      <c r="W142" s="1663"/>
      <c r="X142" s="1663"/>
      <c r="Y142" s="1664">
        <v>43028</v>
      </c>
      <c r="Z142" s="1662" t="s">
        <v>2110</v>
      </c>
      <c r="AA142" s="1665">
        <v>0</v>
      </c>
      <c r="AB142" s="1665">
        <v>0</v>
      </c>
      <c r="AC142" s="1680">
        <v>0</v>
      </c>
      <c r="AD142" s="1682">
        <v>43048</v>
      </c>
      <c r="AE142" s="1679" t="s">
        <v>2111</v>
      </c>
      <c r="AF142" s="1662" t="s">
        <v>2112</v>
      </c>
      <c r="AG142" s="1666"/>
      <c r="AH142" s="1667">
        <v>6999.72</v>
      </c>
      <c r="AI142" s="1665">
        <v>6999.72</v>
      </c>
      <c r="AJ142" s="1665">
        <v>5949.76</v>
      </c>
      <c r="AK142" s="1698">
        <v>5949.76</v>
      </c>
      <c r="AL142" s="1665">
        <v>0</v>
      </c>
      <c r="AM142" s="1664">
        <v>43048</v>
      </c>
      <c r="AN142" s="1665">
        <v>6999.72</v>
      </c>
      <c r="AO142" s="1665">
        <v>6999.72</v>
      </c>
      <c r="AP142" s="1665">
        <v>5949.76</v>
      </c>
      <c r="AQ142" s="1665">
        <v>5949.76</v>
      </c>
      <c r="AR142" s="1665">
        <v>0</v>
      </c>
      <c r="AS142" s="1665">
        <v>1049.96</v>
      </c>
      <c r="AT142" s="1665">
        <v>0</v>
      </c>
      <c r="AU142" s="1665">
        <v>1049.96</v>
      </c>
      <c r="AV142" s="1665">
        <v>0</v>
      </c>
      <c r="AW142" s="1665">
        <v>0</v>
      </c>
      <c r="AX142" s="1663"/>
      <c r="AY142" s="1663"/>
      <c r="AZ142" s="1663"/>
      <c r="BA142" s="1668"/>
      <c r="BB142" s="1668"/>
      <c r="BC142" s="1663"/>
      <c r="BD142" s="1663"/>
      <c r="BE142" s="1665">
        <v>6999.72</v>
      </c>
      <c r="BF142" s="1665">
        <v>6999.72</v>
      </c>
      <c r="BG142" s="1665">
        <v>5949.76</v>
      </c>
      <c r="BH142" s="1665">
        <v>5949.76</v>
      </c>
      <c r="BI142" s="1665">
        <v>0</v>
      </c>
      <c r="BJ142" s="1665">
        <v>1049.96</v>
      </c>
      <c r="BK142" s="1665">
        <v>0</v>
      </c>
      <c r="BL142" s="1665">
        <v>1049.96</v>
      </c>
      <c r="BM142" s="1665">
        <v>0</v>
      </c>
      <c r="BN142" s="1665">
        <v>0</v>
      </c>
      <c r="BO142" s="1664">
        <v>43125</v>
      </c>
      <c r="BP142" s="1665">
        <v>6999.72</v>
      </c>
      <c r="BQ142" s="1665">
        <v>6999.72</v>
      </c>
      <c r="BR142" s="1665">
        <v>5949.76</v>
      </c>
      <c r="BS142" s="1667">
        <v>5949.76</v>
      </c>
      <c r="BT142" s="1665">
        <v>0</v>
      </c>
      <c r="BU142" s="1665">
        <v>1049.96</v>
      </c>
      <c r="BV142" s="1665">
        <v>0</v>
      </c>
      <c r="BW142" s="1665">
        <v>0</v>
      </c>
      <c r="BX142" s="1665">
        <v>0</v>
      </c>
      <c r="BY142" s="1665">
        <v>0</v>
      </c>
      <c r="BZ142" s="1665">
        <v>0</v>
      </c>
      <c r="CA142" s="1663"/>
      <c r="CB142" s="1668"/>
      <c r="CC142" s="1668"/>
      <c r="CD142" s="1663"/>
      <c r="CE142" s="1663"/>
      <c r="CF142" s="1665">
        <v>0</v>
      </c>
      <c r="CG142" s="1665">
        <v>0</v>
      </c>
      <c r="CH142" s="1665">
        <v>0</v>
      </c>
      <c r="CI142" s="1665">
        <v>0</v>
      </c>
      <c r="CJ142" s="1665">
        <v>0</v>
      </c>
      <c r="CK142" s="1665">
        <v>0</v>
      </c>
      <c r="CL142" s="1668"/>
      <c r="CM142" s="1665">
        <v>0</v>
      </c>
      <c r="CN142" s="1665">
        <v>0</v>
      </c>
      <c r="CO142" s="1665">
        <v>0</v>
      </c>
      <c r="CP142" s="1665">
        <v>0</v>
      </c>
      <c r="CQ142" s="1665">
        <v>0</v>
      </c>
      <c r="CR142" s="1665">
        <v>0</v>
      </c>
      <c r="CS142" s="1665">
        <v>0</v>
      </c>
      <c r="CT142" s="1665">
        <v>0</v>
      </c>
      <c r="CU142" s="1665">
        <v>0</v>
      </c>
      <c r="CV142" s="1665">
        <v>0</v>
      </c>
      <c r="CW142" s="1668"/>
      <c r="CX142" s="1663"/>
      <c r="CY142" s="1663"/>
      <c r="CZ142" s="1663"/>
      <c r="DA142" s="1663"/>
      <c r="DB142" s="1668"/>
      <c r="DC142" s="1662"/>
      <c r="DD142" s="1665">
        <v>0</v>
      </c>
      <c r="DE142" s="1663"/>
      <c r="DF142" s="1663"/>
      <c r="DG142" s="1665">
        <v>0</v>
      </c>
      <c r="DH142" s="1665">
        <v>0</v>
      </c>
    </row>
    <row r="143" spans="1:112" ht="67.5" hidden="1" x14ac:dyDescent="0.25">
      <c r="A143" s="1662" t="s">
        <v>2190</v>
      </c>
      <c r="B143" s="1662" t="s">
        <v>1719</v>
      </c>
      <c r="C143" s="1662" t="s">
        <v>2629</v>
      </c>
      <c r="D143" s="1662" t="s">
        <v>2630</v>
      </c>
      <c r="E143" s="1662" t="s">
        <v>193</v>
      </c>
      <c r="F143" s="1662" t="s">
        <v>2616</v>
      </c>
      <c r="G143" s="1662" t="s">
        <v>2617</v>
      </c>
      <c r="H143" s="1662" t="s">
        <v>2618</v>
      </c>
      <c r="I143" s="1662" t="s">
        <v>747</v>
      </c>
      <c r="J143" s="1662" t="s">
        <v>383</v>
      </c>
      <c r="K143" s="1662" t="s">
        <v>2159</v>
      </c>
      <c r="L143" s="1662" t="s">
        <v>2186</v>
      </c>
      <c r="M143" s="1663"/>
      <c r="N143" s="1663"/>
      <c r="O143" s="1663"/>
      <c r="P143" s="1663"/>
      <c r="Q143" s="1663"/>
      <c r="R143" s="1663"/>
      <c r="S143" s="1663"/>
      <c r="T143" s="1663"/>
      <c r="U143" s="1663"/>
      <c r="V143" s="1663"/>
      <c r="W143" s="1663"/>
      <c r="X143" s="1663"/>
      <c r="Y143" s="1664">
        <v>43146</v>
      </c>
      <c r="Z143" s="1662" t="s">
        <v>2110</v>
      </c>
      <c r="AA143" s="1665">
        <v>0</v>
      </c>
      <c r="AB143" s="1665">
        <v>0</v>
      </c>
      <c r="AC143" s="1680">
        <v>0</v>
      </c>
      <c r="AD143" s="1682">
        <v>43160</v>
      </c>
      <c r="AE143" s="1679" t="s">
        <v>2128</v>
      </c>
      <c r="AF143" s="1662" t="s">
        <v>2115</v>
      </c>
      <c r="AG143" s="1666"/>
      <c r="AH143" s="1667">
        <v>19116.62</v>
      </c>
      <c r="AI143" s="1665">
        <v>19116.62</v>
      </c>
      <c r="AJ143" s="1665">
        <v>16249.13</v>
      </c>
      <c r="AK143" s="1698">
        <v>16249.13</v>
      </c>
      <c r="AL143" s="1665">
        <v>0</v>
      </c>
      <c r="AM143" s="1664">
        <v>43165</v>
      </c>
      <c r="AN143" s="1665">
        <v>19116.62</v>
      </c>
      <c r="AO143" s="1665">
        <v>19116.62</v>
      </c>
      <c r="AP143" s="1665">
        <v>16249.13</v>
      </c>
      <c r="AQ143" s="1665">
        <v>16249.13</v>
      </c>
      <c r="AR143" s="1665">
        <v>0</v>
      </c>
      <c r="AS143" s="1665">
        <v>2867.49</v>
      </c>
      <c r="AT143" s="1665">
        <v>0</v>
      </c>
      <c r="AU143" s="1665">
        <v>2867.49</v>
      </c>
      <c r="AV143" s="1665">
        <v>0</v>
      </c>
      <c r="AW143" s="1665">
        <v>0</v>
      </c>
      <c r="AX143" s="1663"/>
      <c r="AY143" s="1663"/>
      <c r="AZ143" s="1663"/>
      <c r="BA143" s="1668"/>
      <c r="BB143" s="1668"/>
      <c r="BC143" s="1663"/>
      <c r="BD143" s="1663"/>
      <c r="BE143" s="1665">
        <v>19116.62</v>
      </c>
      <c r="BF143" s="1665">
        <v>19116.62</v>
      </c>
      <c r="BG143" s="1665">
        <v>16249.13</v>
      </c>
      <c r="BH143" s="1665">
        <v>16249.13</v>
      </c>
      <c r="BI143" s="1665">
        <v>0</v>
      </c>
      <c r="BJ143" s="1665">
        <v>2867.49</v>
      </c>
      <c r="BK143" s="1665">
        <v>0</v>
      </c>
      <c r="BL143" s="1665">
        <v>2867.49</v>
      </c>
      <c r="BM143" s="1665">
        <v>0</v>
      </c>
      <c r="BN143" s="1665">
        <v>0</v>
      </c>
      <c r="BO143" s="1664">
        <v>43230</v>
      </c>
      <c r="BP143" s="1665">
        <v>19116.62</v>
      </c>
      <c r="BQ143" s="1665">
        <v>19116.62</v>
      </c>
      <c r="BR143" s="1665">
        <v>16249.13</v>
      </c>
      <c r="BS143" s="1667">
        <v>16249.13</v>
      </c>
      <c r="BT143" s="1665">
        <v>0</v>
      </c>
      <c r="BU143" s="1665">
        <v>2867.49</v>
      </c>
      <c r="BV143" s="1665">
        <v>0</v>
      </c>
      <c r="BW143" s="1665">
        <v>0</v>
      </c>
      <c r="BX143" s="1665">
        <v>0</v>
      </c>
      <c r="BY143" s="1665">
        <v>0</v>
      </c>
      <c r="BZ143" s="1665">
        <v>0</v>
      </c>
      <c r="CA143" s="1663"/>
      <c r="CB143" s="1668"/>
      <c r="CC143" s="1668"/>
      <c r="CD143" s="1663"/>
      <c r="CE143" s="1663"/>
      <c r="CF143" s="1665">
        <v>0</v>
      </c>
      <c r="CG143" s="1665">
        <v>0</v>
      </c>
      <c r="CH143" s="1665">
        <v>0</v>
      </c>
      <c r="CI143" s="1665">
        <v>0</v>
      </c>
      <c r="CJ143" s="1665">
        <v>0</v>
      </c>
      <c r="CK143" s="1665">
        <v>0</v>
      </c>
      <c r="CL143" s="1668"/>
      <c r="CM143" s="1665">
        <v>0</v>
      </c>
      <c r="CN143" s="1665">
        <v>0</v>
      </c>
      <c r="CO143" s="1665">
        <v>0</v>
      </c>
      <c r="CP143" s="1665">
        <v>0</v>
      </c>
      <c r="CQ143" s="1665">
        <v>0</v>
      </c>
      <c r="CR143" s="1665">
        <v>0</v>
      </c>
      <c r="CS143" s="1665">
        <v>0</v>
      </c>
      <c r="CT143" s="1665">
        <v>0</v>
      </c>
      <c r="CU143" s="1665">
        <v>0</v>
      </c>
      <c r="CV143" s="1665">
        <v>0</v>
      </c>
      <c r="CW143" s="1668"/>
      <c r="CX143" s="1663"/>
      <c r="CY143" s="1663"/>
      <c r="CZ143" s="1663"/>
      <c r="DA143" s="1663"/>
      <c r="DB143" s="1668"/>
      <c r="DC143" s="1662"/>
      <c r="DD143" s="1665">
        <v>0</v>
      </c>
      <c r="DE143" s="1663"/>
      <c r="DF143" s="1663"/>
      <c r="DG143" s="1665">
        <v>0</v>
      </c>
      <c r="DH143" s="1665">
        <v>0</v>
      </c>
    </row>
    <row r="144" spans="1:112" ht="67.5" hidden="1" x14ac:dyDescent="0.25">
      <c r="A144" s="1662" t="s">
        <v>2191</v>
      </c>
      <c r="B144" s="1662" t="s">
        <v>1719</v>
      </c>
      <c r="C144" s="1662" t="s">
        <v>2629</v>
      </c>
      <c r="D144" s="1662" t="s">
        <v>2630</v>
      </c>
      <c r="E144" s="1662" t="s">
        <v>193</v>
      </c>
      <c r="F144" s="1662" t="s">
        <v>2616</v>
      </c>
      <c r="G144" s="1662" t="s">
        <v>2617</v>
      </c>
      <c r="H144" s="1662" t="s">
        <v>2618</v>
      </c>
      <c r="I144" s="1662" t="s">
        <v>747</v>
      </c>
      <c r="J144" s="1662" t="s">
        <v>383</v>
      </c>
      <c r="K144" s="1662" t="s">
        <v>2159</v>
      </c>
      <c r="L144" s="1662" t="s">
        <v>2186</v>
      </c>
      <c r="M144" s="1663"/>
      <c r="N144" s="1663"/>
      <c r="O144" s="1663"/>
      <c r="P144" s="1663"/>
      <c r="Q144" s="1663"/>
      <c r="R144" s="1663"/>
      <c r="S144" s="1663"/>
      <c r="T144" s="1663"/>
      <c r="U144" s="1663"/>
      <c r="V144" s="1663"/>
      <c r="W144" s="1663"/>
      <c r="X144" s="1663"/>
      <c r="Y144" s="1664">
        <v>43146</v>
      </c>
      <c r="Z144" s="1662" t="s">
        <v>2110</v>
      </c>
      <c r="AA144" s="1665">
        <v>0</v>
      </c>
      <c r="AB144" s="1665">
        <v>0</v>
      </c>
      <c r="AC144" s="1680">
        <v>0</v>
      </c>
      <c r="AD144" s="1682">
        <v>43160</v>
      </c>
      <c r="AE144" s="1679" t="s">
        <v>2128</v>
      </c>
      <c r="AF144" s="1662" t="s">
        <v>2112</v>
      </c>
      <c r="AG144" s="1666"/>
      <c r="AH144" s="1667">
        <v>8093.86</v>
      </c>
      <c r="AI144" s="1665">
        <v>8093.86</v>
      </c>
      <c r="AJ144" s="1665">
        <v>6879.78</v>
      </c>
      <c r="AK144" s="1698">
        <v>6879.78</v>
      </c>
      <c r="AL144" s="1665">
        <v>0</v>
      </c>
      <c r="AM144" s="1664">
        <v>43160</v>
      </c>
      <c r="AN144" s="1665">
        <v>8093.86</v>
      </c>
      <c r="AO144" s="1665">
        <v>8093.86</v>
      </c>
      <c r="AP144" s="1665">
        <v>6879.78</v>
      </c>
      <c r="AQ144" s="1665">
        <v>6879.78</v>
      </c>
      <c r="AR144" s="1665">
        <v>0</v>
      </c>
      <c r="AS144" s="1665">
        <v>1214.08</v>
      </c>
      <c r="AT144" s="1665">
        <v>0</v>
      </c>
      <c r="AU144" s="1665">
        <v>1214.08</v>
      </c>
      <c r="AV144" s="1665">
        <v>0</v>
      </c>
      <c r="AW144" s="1665">
        <v>0</v>
      </c>
      <c r="AX144" s="1663"/>
      <c r="AY144" s="1663"/>
      <c r="AZ144" s="1663"/>
      <c r="BA144" s="1668"/>
      <c r="BB144" s="1668"/>
      <c r="BC144" s="1663"/>
      <c r="BD144" s="1663"/>
      <c r="BE144" s="1665">
        <v>8093.86</v>
      </c>
      <c r="BF144" s="1665">
        <v>8093.86</v>
      </c>
      <c r="BG144" s="1665">
        <v>6879.78</v>
      </c>
      <c r="BH144" s="1665">
        <v>6879.78</v>
      </c>
      <c r="BI144" s="1665">
        <v>0</v>
      </c>
      <c r="BJ144" s="1665">
        <v>1214.08</v>
      </c>
      <c r="BK144" s="1665">
        <v>0</v>
      </c>
      <c r="BL144" s="1665">
        <v>1214.08</v>
      </c>
      <c r="BM144" s="1665">
        <v>0</v>
      </c>
      <c r="BN144" s="1665">
        <v>0</v>
      </c>
      <c r="BO144" s="1664">
        <v>43230</v>
      </c>
      <c r="BP144" s="1665">
        <v>8093.86</v>
      </c>
      <c r="BQ144" s="1665">
        <v>8093.86</v>
      </c>
      <c r="BR144" s="1665">
        <v>6879.78</v>
      </c>
      <c r="BS144" s="1667">
        <v>6879.78</v>
      </c>
      <c r="BT144" s="1665">
        <v>0</v>
      </c>
      <c r="BU144" s="1665">
        <v>1214.08</v>
      </c>
      <c r="BV144" s="1665">
        <v>0</v>
      </c>
      <c r="BW144" s="1665">
        <v>0</v>
      </c>
      <c r="BX144" s="1665">
        <v>0</v>
      </c>
      <c r="BY144" s="1665">
        <v>0</v>
      </c>
      <c r="BZ144" s="1665">
        <v>0</v>
      </c>
      <c r="CA144" s="1663"/>
      <c r="CB144" s="1668"/>
      <c r="CC144" s="1668"/>
      <c r="CD144" s="1663"/>
      <c r="CE144" s="1663"/>
      <c r="CF144" s="1665">
        <v>0</v>
      </c>
      <c r="CG144" s="1665">
        <v>0</v>
      </c>
      <c r="CH144" s="1665">
        <v>0</v>
      </c>
      <c r="CI144" s="1665">
        <v>0</v>
      </c>
      <c r="CJ144" s="1665">
        <v>0</v>
      </c>
      <c r="CK144" s="1665">
        <v>0</v>
      </c>
      <c r="CL144" s="1668"/>
      <c r="CM144" s="1665">
        <v>0</v>
      </c>
      <c r="CN144" s="1665">
        <v>0</v>
      </c>
      <c r="CO144" s="1665">
        <v>0</v>
      </c>
      <c r="CP144" s="1665">
        <v>0</v>
      </c>
      <c r="CQ144" s="1665">
        <v>0</v>
      </c>
      <c r="CR144" s="1665">
        <v>0</v>
      </c>
      <c r="CS144" s="1665">
        <v>0</v>
      </c>
      <c r="CT144" s="1665">
        <v>0</v>
      </c>
      <c r="CU144" s="1665">
        <v>0</v>
      </c>
      <c r="CV144" s="1665">
        <v>0</v>
      </c>
      <c r="CW144" s="1668"/>
      <c r="CX144" s="1663"/>
      <c r="CY144" s="1663"/>
      <c r="CZ144" s="1663"/>
      <c r="DA144" s="1663"/>
      <c r="DB144" s="1668"/>
      <c r="DC144" s="1662"/>
      <c r="DD144" s="1665">
        <v>0</v>
      </c>
      <c r="DE144" s="1663"/>
      <c r="DF144" s="1663"/>
      <c r="DG144" s="1665">
        <v>0</v>
      </c>
      <c r="DH144" s="1665">
        <v>0</v>
      </c>
    </row>
    <row r="145" spans="1:112" ht="67.5" hidden="1" x14ac:dyDescent="0.25">
      <c r="A145" s="1662" t="s">
        <v>2192</v>
      </c>
      <c r="B145" s="1662" t="s">
        <v>1719</v>
      </c>
      <c r="C145" s="1662" t="s">
        <v>2629</v>
      </c>
      <c r="D145" s="1662" t="s">
        <v>2630</v>
      </c>
      <c r="E145" s="1662" t="s">
        <v>193</v>
      </c>
      <c r="F145" s="1662" t="s">
        <v>2616</v>
      </c>
      <c r="G145" s="1662" t="s">
        <v>2617</v>
      </c>
      <c r="H145" s="1662" t="s">
        <v>2618</v>
      </c>
      <c r="I145" s="1662" t="s">
        <v>747</v>
      </c>
      <c r="J145" s="1662" t="s">
        <v>383</v>
      </c>
      <c r="K145" s="1662" t="s">
        <v>2159</v>
      </c>
      <c r="L145" s="1662" t="s">
        <v>2186</v>
      </c>
      <c r="M145" s="1663"/>
      <c r="N145" s="1663"/>
      <c r="O145" s="1663"/>
      <c r="P145" s="1663"/>
      <c r="Q145" s="1663"/>
      <c r="R145" s="1663"/>
      <c r="S145" s="1663"/>
      <c r="T145" s="1663"/>
      <c r="U145" s="1663"/>
      <c r="V145" s="1663"/>
      <c r="W145" s="1663"/>
      <c r="X145" s="1663"/>
      <c r="Y145" s="1664">
        <v>43217</v>
      </c>
      <c r="Z145" s="1662" t="s">
        <v>2110</v>
      </c>
      <c r="AA145" s="1665">
        <v>0</v>
      </c>
      <c r="AB145" s="1665">
        <v>0</v>
      </c>
      <c r="AC145" s="1680">
        <v>0</v>
      </c>
      <c r="AD145" s="1682">
        <v>43238</v>
      </c>
      <c r="AE145" s="1679" t="s">
        <v>2129</v>
      </c>
      <c r="AF145" s="1662" t="s">
        <v>2115</v>
      </c>
      <c r="AG145" s="1666"/>
      <c r="AH145" s="1667">
        <v>30457.72</v>
      </c>
      <c r="AI145" s="1665">
        <v>30457.72</v>
      </c>
      <c r="AJ145" s="1665">
        <v>25889.06</v>
      </c>
      <c r="AK145" s="1698">
        <v>25889.06</v>
      </c>
      <c r="AL145" s="1665">
        <v>0</v>
      </c>
      <c r="AM145" s="1664">
        <v>43242</v>
      </c>
      <c r="AN145" s="1665">
        <v>30457.72</v>
      </c>
      <c r="AO145" s="1665">
        <v>30457.72</v>
      </c>
      <c r="AP145" s="1665">
        <v>25889.06</v>
      </c>
      <c r="AQ145" s="1665">
        <v>25889.06</v>
      </c>
      <c r="AR145" s="1665">
        <v>0</v>
      </c>
      <c r="AS145" s="1665">
        <v>4568.66</v>
      </c>
      <c r="AT145" s="1665">
        <v>0</v>
      </c>
      <c r="AU145" s="1665">
        <v>4568.66</v>
      </c>
      <c r="AV145" s="1665">
        <v>0</v>
      </c>
      <c r="AW145" s="1665">
        <v>0</v>
      </c>
      <c r="AX145" s="1663"/>
      <c r="AY145" s="1663"/>
      <c r="AZ145" s="1663"/>
      <c r="BA145" s="1668"/>
      <c r="BB145" s="1668"/>
      <c r="BC145" s="1663"/>
      <c r="BD145" s="1663"/>
      <c r="BE145" s="1665">
        <v>30457.72</v>
      </c>
      <c r="BF145" s="1665">
        <v>30457.72</v>
      </c>
      <c r="BG145" s="1665">
        <v>25889.06</v>
      </c>
      <c r="BH145" s="1665">
        <v>25889.06</v>
      </c>
      <c r="BI145" s="1665">
        <v>0</v>
      </c>
      <c r="BJ145" s="1665">
        <v>4568.66</v>
      </c>
      <c r="BK145" s="1665">
        <v>0</v>
      </c>
      <c r="BL145" s="1665">
        <v>4568.66</v>
      </c>
      <c r="BM145" s="1665">
        <v>0</v>
      </c>
      <c r="BN145" s="1665">
        <v>0</v>
      </c>
      <c r="BO145" s="1664">
        <v>43355</v>
      </c>
      <c r="BP145" s="1665">
        <v>30457.72</v>
      </c>
      <c r="BQ145" s="1665">
        <v>30457.72</v>
      </c>
      <c r="BR145" s="1665">
        <v>25889.06</v>
      </c>
      <c r="BS145" s="1667">
        <v>25889.06</v>
      </c>
      <c r="BT145" s="1665">
        <v>0</v>
      </c>
      <c r="BU145" s="1665">
        <v>4568.66</v>
      </c>
      <c r="BV145" s="1665">
        <v>0</v>
      </c>
      <c r="BW145" s="1665">
        <v>0</v>
      </c>
      <c r="BX145" s="1665">
        <v>0</v>
      </c>
      <c r="BY145" s="1665">
        <v>0</v>
      </c>
      <c r="BZ145" s="1665">
        <v>0</v>
      </c>
      <c r="CA145" s="1663"/>
      <c r="CB145" s="1668"/>
      <c r="CC145" s="1668"/>
      <c r="CD145" s="1663"/>
      <c r="CE145" s="1663"/>
      <c r="CF145" s="1665">
        <v>0</v>
      </c>
      <c r="CG145" s="1665">
        <v>0</v>
      </c>
      <c r="CH145" s="1665">
        <v>0</v>
      </c>
      <c r="CI145" s="1665">
        <v>0</v>
      </c>
      <c r="CJ145" s="1665">
        <v>0</v>
      </c>
      <c r="CK145" s="1665">
        <v>0</v>
      </c>
      <c r="CL145" s="1668"/>
      <c r="CM145" s="1665">
        <v>0</v>
      </c>
      <c r="CN145" s="1665">
        <v>0</v>
      </c>
      <c r="CO145" s="1665">
        <v>0</v>
      </c>
      <c r="CP145" s="1665">
        <v>0</v>
      </c>
      <c r="CQ145" s="1665">
        <v>0</v>
      </c>
      <c r="CR145" s="1665">
        <v>0</v>
      </c>
      <c r="CS145" s="1665">
        <v>0</v>
      </c>
      <c r="CT145" s="1665">
        <v>0</v>
      </c>
      <c r="CU145" s="1665">
        <v>0</v>
      </c>
      <c r="CV145" s="1665">
        <v>0</v>
      </c>
      <c r="CW145" s="1668"/>
      <c r="CX145" s="1663"/>
      <c r="CY145" s="1663"/>
      <c r="CZ145" s="1663"/>
      <c r="DA145" s="1663"/>
      <c r="DB145" s="1668"/>
      <c r="DC145" s="1662"/>
      <c r="DD145" s="1665">
        <v>0</v>
      </c>
      <c r="DE145" s="1663"/>
      <c r="DF145" s="1663"/>
      <c r="DG145" s="1665">
        <v>0</v>
      </c>
      <c r="DH145" s="1665">
        <v>0</v>
      </c>
    </row>
    <row r="146" spans="1:112" ht="67.5" hidden="1" x14ac:dyDescent="0.25">
      <c r="A146" s="1662" t="s">
        <v>2193</v>
      </c>
      <c r="B146" s="1662" t="s">
        <v>1719</v>
      </c>
      <c r="C146" s="1662" t="s">
        <v>2629</v>
      </c>
      <c r="D146" s="1662" t="s">
        <v>2630</v>
      </c>
      <c r="E146" s="1662" t="s">
        <v>193</v>
      </c>
      <c r="F146" s="1662" t="s">
        <v>2616</v>
      </c>
      <c r="G146" s="1662" t="s">
        <v>2617</v>
      </c>
      <c r="H146" s="1662" t="s">
        <v>2618</v>
      </c>
      <c r="I146" s="1662" t="s">
        <v>747</v>
      </c>
      <c r="J146" s="1662" t="s">
        <v>383</v>
      </c>
      <c r="K146" s="1662" t="s">
        <v>2159</v>
      </c>
      <c r="L146" s="1662" t="s">
        <v>2186</v>
      </c>
      <c r="M146" s="1663"/>
      <c r="N146" s="1663"/>
      <c r="O146" s="1663"/>
      <c r="P146" s="1663"/>
      <c r="Q146" s="1663"/>
      <c r="R146" s="1663"/>
      <c r="S146" s="1663"/>
      <c r="T146" s="1663"/>
      <c r="U146" s="1663"/>
      <c r="V146" s="1663"/>
      <c r="W146" s="1663"/>
      <c r="X146" s="1663"/>
      <c r="Y146" s="1664">
        <v>43217</v>
      </c>
      <c r="Z146" s="1662" t="s">
        <v>2110</v>
      </c>
      <c r="AA146" s="1665">
        <v>0</v>
      </c>
      <c r="AB146" s="1665">
        <v>0</v>
      </c>
      <c r="AC146" s="1680">
        <v>0</v>
      </c>
      <c r="AD146" s="1682">
        <v>43238</v>
      </c>
      <c r="AE146" s="1679" t="s">
        <v>2129</v>
      </c>
      <c r="AF146" s="1662" t="s">
        <v>2112</v>
      </c>
      <c r="AG146" s="1666"/>
      <c r="AH146" s="1667">
        <v>18558.169999999998</v>
      </c>
      <c r="AI146" s="1665">
        <v>18558.169999999998</v>
      </c>
      <c r="AJ146" s="1665">
        <v>15774.44</v>
      </c>
      <c r="AK146" s="1698">
        <v>15774.44</v>
      </c>
      <c r="AL146" s="1665">
        <v>0</v>
      </c>
      <c r="AM146" s="1664">
        <v>43238</v>
      </c>
      <c r="AN146" s="1665">
        <v>18558.169999999998</v>
      </c>
      <c r="AO146" s="1665">
        <v>18558.169999999998</v>
      </c>
      <c r="AP146" s="1665">
        <v>15774.44</v>
      </c>
      <c r="AQ146" s="1665">
        <v>15774.44</v>
      </c>
      <c r="AR146" s="1665">
        <v>0</v>
      </c>
      <c r="AS146" s="1665">
        <v>2783.73</v>
      </c>
      <c r="AT146" s="1665">
        <v>0</v>
      </c>
      <c r="AU146" s="1665">
        <v>2783.73</v>
      </c>
      <c r="AV146" s="1665">
        <v>0</v>
      </c>
      <c r="AW146" s="1665">
        <v>0</v>
      </c>
      <c r="AX146" s="1663"/>
      <c r="AY146" s="1663"/>
      <c r="AZ146" s="1663"/>
      <c r="BA146" s="1668"/>
      <c r="BB146" s="1668"/>
      <c r="BC146" s="1663"/>
      <c r="BD146" s="1663"/>
      <c r="BE146" s="1665">
        <v>18558.169999999998</v>
      </c>
      <c r="BF146" s="1665">
        <v>18558.169999999998</v>
      </c>
      <c r="BG146" s="1665">
        <v>15774.44</v>
      </c>
      <c r="BH146" s="1665">
        <v>15774.44</v>
      </c>
      <c r="BI146" s="1665">
        <v>0</v>
      </c>
      <c r="BJ146" s="1665">
        <v>2783.73</v>
      </c>
      <c r="BK146" s="1665">
        <v>0</v>
      </c>
      <c r="BL146" s="1665">
        <v>2783.73</v>
      </c>
      <c r="BM146" s="1665">
        <v>0</v>
      </c>
      <c r="BN146" s="1665">
        <v>0</v>
      </c>
      <c r="BO146" s="1664">
        <v>43355</v>
      </c>
      <c r="BP146" s="1665">
        <v>18558.169999999998</v>
      </c>
      <c r="BQ146" s="1665">
        <v>18558.169999999998</v>
      </c>
      <c r="BR146" s="1665">
        <v>15774.44</v>
      </c>
      <c r="BS146" s="1667">
        <v>15774.44</v>
      </c>
      <c r="BT146" s="1665">
        <v>0</v>
      </c>
      <c r="BU146" s="1665">
        <v>2783.73</v>
      </c>
      <c r="BV146" s="1665">
        <v>0</v>
      </c>
      <c r="BW146" s="1665">
        <v>0</v>
      </c>
      <c r="BX146" s="1665">
        <v>0</v>
      </c>
      <c r="BY146" s="1665">
        <v>0</v>
      </c>
      <c r="BZ146" s="1665">
        <v>0</v>
      </c>
      <c r="CA146" s="1663"/>
      <c r="CB146" s="1668"/>
      <c r="CC146" s="1668"/>
      <c r="CD146" s="1663"/>
      <c r="CE146" s="1663"/>
      <c r="CF146" s="1665">
        <v>0</v>
      </c>
      <c r="CG146" s="1665">
        <v>0</v>
      </c>
      <c r="CH146" s="1665">
        <v>0</v>
      </c>
      <c r="CI146" s="1665">
        <v>0</v>
      </c>
      <c r="CJ146" s="1665">
        <v>0</v>
      </c>
      <c r="CK146" s="1665">
        <v>0</v>
      </c>
      <c r="CL146" s="1668"/>
      <c r="CM146" s="1665">
        <v>0</v>
      </c>
      <c r="CN146" s="1665">
        <v>0</v>
      </c>
      <c r="CO146" s="1665">
        <v>0</v>
      </c>
      <c r="CP146" s="1665">
        <v>0</v>
      </c>
      <c r="CQ146" s="1665">
        <v>0</v>
      </c>
      <c r="CR146" s="1665">
        <v>0</v>
      </c>
      <c r="CS146" s="1665">
        <v>0</v>
      </c>
      <c r="CT146" s="1665">
        <v>0</v>
      </c>
      <c r="CU146" s="1665">
        <v>0</v>
      </c>
      <c r="CV146" s="1665">
        <v>0</v>
      </c>
      <c r="CW146" s="1668"/>
      <c r="CX146" s="1663"/>
      <c r="CY146" s="1663"/>
      <c r="CZ146" s="1663"/>
      <c r="DA146" s="1663"/>
      <c r="DB146" s="1668"/>
      <c r="DC146" s="1662"/>
      <c r="DD146" s="1665">
        <v>0</v>
      </c>
      <c r="DE146" s="1663"/>
      <c r="DF146" s="1663"/>
      <c r="DG146" s="1665">
        <v>0</v>
      </c>
      <c r="DH146" s="1665">
        <v>0</v>
      </c>
    </row>
    <row r="147" spans="1:112" ht="67.5" hidden="1" x14ac:dyDescent="0.25">
      <c r="A147" s="1662" t="s">
        <v>2195</v>
      </c>
      <c r="B147" s="1662" t="s">
        <v>1719</v>
      </c>
      <c r="C147" s="1662" t="s">
        <v>2629</v>
      </c>
      <c r="D147" s="1662" t="s">
        <v>2630</v>
      </c>
      <c r="E147" s="1662" t="s">
        <v>193</v>
      </c>
      <c r="F147" s="1662" t="s">
        <v>2616</v>
      </c>
      <c r="G147" s="1662" t="s">
        <v>2617</v>
      </c>
      <c r="H147" s="1662" t="s">
        <v>2618</v>
      </c>
      <c r="I147" s="1662" t="s">
        <v>747</v>
      </c>
      <c r="J147" s="1662" t="s">
        <v>383</v>
      </c>
      <c r="K147" s="1662" t="s">
        <v>2159</v>
      </c>
      <c r="L147" s="1662" t="s">
        <v>2186</v>
      </c>
      <c r="M147" s="1663"/>
      <c r="N147" s="1663"/>
      <c r="O147" s="1663"/>
      <c r="P147" s="1663"/>
      <c r="Q147" s="1663"/>
      <c r="R147" s="1663"/>
      <c r="S147" s="1663"/>
      <c r="T147" s="1663"/>
      <c r="U147" s="1663"/>
      <c r="V147" s="1663"/>
      <c r="W147" s="1663"/>
      <c r="X147" s="1663"/>
      <c r="Y147" s="1664">
        <v>43332</v>
      </c>
      <c r="Z147" s="1662" t="s">
        <v>2194</v>
      </c>
      <c r="AA147" s="1665">
        <v>25960.28</v>
      </c>
      <c r="AB147" s="1665">
        <v>25960.28</v>
      </c>
      <c r="AC147" s="1680">
        <v>0</v>
      </c>
      <c r="AD147" s="1682">
        <v>43343</v>
      </c>
      <c r="AE147" s="1679" t="s">
        <v>2130</v>
      </c>
      <c r="AF147" s="1662" t="s">
        <v>2112</v>
      </c>
      <c r="AG147" s="1666"/>
      <c r="AH147" s="1667">
        <v>30541.49</v>
      </c>
      <c r="AI147" s="1665">
        <v>30541.49</v>
      </c>
      <c r="AJ147" s="1665">
        <v>0</v>
      </c>
      <c r="AK147" s="1698">
        <v>0</v>
      </c>
      <c r="AL147" s="1665">
        <v>0</v>
      </c>
      <c r="AM147" s="1664">
        <v>43343</v>
      </c>
      <c r="AN147" s="1665">
        <v>30541.49</v>
      </c>
      <c r="AO147" s="1665">
        <v>30541.49</v>
      </c>
      <c r="AP147" s="1665">
        <v>25960.28</v>
      </c>
      <c r="AQ147" s="1665">
        <v>25960.28</v>
      </c>
      <c r="AR147" s="1665">
        <v>0</v>
      </c>
      <c r="AS147" s="1665">
        <v>4581.21</v>
      </c>
      <c r="AT147" s="1665">
        <v>0</v>
      </c>
      <c r="AU147" s="1665">
        <v>4581.21</v>
      </c>
      <c r="AV147" s="1665">
        <v>0</v>
      </c>
      <c r="AW147" s="1665">
        <v>0</v>
      </c>
      <c r="AX147" s="1663"/>
      <c r="AY147" s="1663"/>
      <c r="AZ147" s="1663"/>
      <c r="BA147" s="1668"/>
      <c r="BB147" s="1668"/>
      <c r="BC147" s="1663"/>
      <c r="BD147" s="1663"/>
      <c r="BE147" s="1665">
        <v>30541.49</v>
      </c>
      <c r="BF147" s="1665">
        <v>30541.49</v>
      </c>
      <c r="BG147" s="1665">
        <v>25960.28</v>
      </c>
      <c r="BH147" s="1665">
        <v>25960.28</v>
      </c>
      <c r="BI147" s="1665">
        <v>0</v>
      </c>
      <c r="BJ147" s="1665">
        <v>4581.21</v>
      </c>
      <c r="BK147" s="1665">
        <v>0</v>
      </c>
      <c r="BL147" s="1665">
        <v>4581.21</v>
      </c>
      <c r="BM147" s="1665">
        <v>0</v>
      </c>
      <c r="BN147" s="1665">
        <v>0</v>
      </c>
      <c r="BO147" s="1668"/>
      <c r="BP147" s="1665">
        <v>0</v>
      </c>
      <c r="BQ147" s="1665">
        <v>0</v>
      </c>
      <c r="BR147" s="1665">
        <v>0</v>
      </c>
      <c r="BS147" s="1667">
        <v>0</v>
      </c>
      <c r="BT147" s="1665">
        <v>0</v>
      </c>
      <c r="BU147" s="1665">
        <v>0</v>
      </c>
      <c r="BV147" s="1665">
        <v>0</v>
      </c>
      <c r="BW147" s="1665">
        <v>0</v>
      </c>
      <c r="BX147" s="1665">
        <v>0</v>
      </c>
      <c r="BY147" s="1665">
        <v>0</v>
      </c>
      <c r="BZ147" s="1665">
        <v>0</v>
      </c>
      <c r="CA147" s="1663"/>
      <c r="CB147" s="1668"/>
      <c r="CC147" s="1668"/>
      <c r="CD147" s="1663"/>
      <c r="CE147" s="1663"/>
      <c r="CF147" s="1665">
        <v>0</v>
      </c>
      <c r="CG147" s="1665">
        <v>0</v>
      </c>
      <c r="CH147" s="1665">
        <v>0</v>
      </c>
      <c r="CI147" s="1665">
        <v>0</v>
      </c>
      <c r="CJ147" s="1665">
        <v>0</v>
      </c>
      <c r="CK147" s="1665">
        <v>0</v>
      </c>
      <c r="CL147" s="1668"/>
      <c r="CM147" s="1665">
        <v>0</v>
      </c>
      <c r="CN147" s="1665">
        <v>0</v>
      </c>
      <c r="CO147" s="1665">
        <v>0</v>
      </c>
      <c r="CP147" s="1665">
        <v>0</v>
      </c>
      <c r="CQ147" s="1665">
        <v>0</v>
      </c>
      <c r="CR147" s="1665">
        <v>0</v>
      </c>
      <c r="CS147" s="1665">
        <v>0</v>
      </c>
      <c r="CT147" s="1665">
        <v>0</v>
      </c>
      <c r="CU147" s="1665">
        <v>0</v>
      </c>
      <c r="CV147" s="1665">
        <v>0</v>
      </c>
      <c r="CW147" s="1668"/>
      <c r="CX147" s="1663"/>
      <c r="CY147" s="1663"/>
      <c r="CZ147" s="1663"/>
      <c r="DA147" s="1663"/>
      <c r="DB147" s="1668"/>
      <c r="DC147" s="1662"/>
      <c r="DD147" s="1665">
        <v>0</v>
      </c>
      <c r="DE147" s="1663"/>
      <c r="DF147" s="1663"/>
      <c r="DG147" s="1665">
        <v>0</v>
      </c>
      <c r="DH147" s="1665">
        <v>0</v>
      </c>
    </row>
    <row r="148" spans="1:112" ht="67.5" hidden="1" x14ac:dyDescent="0.25">
      <c r="A148" s="1662" t="s">
        <v>2196</v>
      </c>
      <c r="B148" s="1662" t="s">
        <v>1719</v>
      </c>
      <c r="C148" s="1662" t="s">
        <v>2629</v>
      </c>
      <c r="D148" s="1662" t="s">
        <v>2630</v>
      </c>
      <c r="E148" s="1662" t="s">
        <v>193</v>
      </c>
      <c r="F148" s="1662" t="s">
        <v>2616</v>
      </c>
      <c r="G148" s="1662" t="s">
        <v>2617</v>
      </c>
      <c r="H148" s="1662" t="s">
        <v>2618</v>
      </c>
      <c r="I148" s="1662" t="s">
        <v>747</v>
      </c>
      <c r="J148" s="1662" t="s">
        <v>383</v>
      </c>
      <c r="K148" s="1662" t="s">
        <v>2159</v>
      </c>
      <c r="L148" s="1662" t="s">
        <v>2186</v>
      </c>
      <c r="M148" s="1663"/>
      <c r="N148" s="1663"/>
      <c r="O148" s="1663"/>
      <c r="P148" s="1663"/>
      <c r="Q148" s="1663"/>
      <c r="R148" s="1663"/>
      <c r="S148" s="1663"/>
      <c r="T148" s="1663"/>
      <c r="U148" s="1663"/>
      <c r="V148" s="1663"/>
      <c r="W148" s="1663"/>
      <c r="X148" s="1663"/>
      <c r="Y148" s="1664">
        <v>43332</v>
      </c>
      <c r="Z148" s="1662" t="s">
        <v>2194</v>
      </c>
      <c r="AA148" s="1665">
        <v>4933.88</v>
      </c>
      <c r="AB148" s="1665">
        <v>4933.88</v>
      </c>
      <c r="AC148" s="1680">
        <v>0</v>
      </c>
      <c r="AD148" s="1682">
        <v>43348</v>
      </c>
      <c r="AE148" s="1679" t="s">
        <v>2130</v>
      </c>
      <c r="AF148" s="1662" t="s">
        <v>2115</v>
      </c>
      <c r="AG148" s="1666"/>
      <c r="AH148" s="1667">
        <v>7385.95</v>
      </c>
      <c r="AI148" s="1665">
        <v>7385.95</v>
      </c>
      <c r="AJ148" s="1665">
        <v>1344.19</v>
      </c>
      <c r="AK148" s="1698">
        <v>1344.19</v>
      </c>
      <c r="AL148" s="1665">
        <v>0</v>
      </c>
      <c r="AM148" s="1664">
        <v>43355</v>
      </c>
      <c r="AN148" s="1665">
        <v>7385.95</v>
      </c>
      <c r="AO148" s="1665">
        <v>7385.95</v>
      </c>
      <c r="AP148" s="1665">
        <v>6278.07</v>
      </c>
      <c r="AQ148" s="1665">
        <v>6278.07</v>
      </c>
      <c r="AR148" s="1665">
        <v>0</v>
      </c>
      <c r="AS148" s="1665">
        <v>1107.8800000000001</v>
      </c>
      <c r="AT148" s="1665">
        <v>0</v>
      </c>
      <c r="AU148" s="1665">
        <v>1107.8800000000001</v>
      </c>
      <c r="AV148" s="1665">
        <v>0</v>
      </c>
      <c r="AW148" s="1665">
        <v>0</v>
      </c>
      <c r="AX148" s="1663"/>
      <c r="AY148" s="1663"/>
      <c r="AZ148" s="1663"/>
      <c r="BA148" s="1668"/>
      <c r="BB148" s="1668"/>
      <c r="BC148" s="1663"/>
      <c r="BD148" s="1663"/>
      <c r="BE148" s="1665">
        <v>7385.95</v>
      </c>
      <c r="BF148" s="1665">
        <v>7385.95</v>
      </c>
      <c r="BG148" s="1665">
        <v>6278.07</v>
      </c>
      <c r="BH148" s="1665">
        <v>6278.07</v>
      </c>
      <c r="BI148" s="1665">
        <v>0</v>
      </c>
      <c r="BJ148" s="1665">
        <v>1107.8800000000001</v>
      </c>
      <c r="BK148" s="1665">
        <v>0</v>
      </c>
      <c r="BL148" s="1665">
        <v>1107.8800000000001</v>
      </c>
      <c r="BM148" s="1665">
        <v>0</v>
      </c>
      <c r="BN148" s="1665">
        <v>0</v>
      </c>
      <c r="BO148" s="1668"/>
      <c r="BP148" s="1665">
        <v>0</v>
      </c>
      <c r="BQ148" s="1665">
        <v>0</v>
      </c>
      <c r="BR148" s="1665">
        <v>0</v>
      </c>
      <c r="BS148" s="1667">
        <v>0</v>
      </c>
      <c r="BT148" s="1665">
        <v>0</v>
      </c>
      <c r="BU148" s="1665">
        <v>0</v>
      </c>
      <c r="BV148" s="1665">
        <v>0</v>
      </c>
      <c r="BW148" s="1665">
        <v>0</v>
      </c>
      <c r="BX148" s="1665">
        <v>0</v>
      </c>
      <c r="BY148" s="1665">
        <v>0</v>
      </c>
      <c r="BZ148" s="1665">
        <v>0</v>
      </c>
      <c r="CA148" s="1663"/>
      <c r="CB148" s="1668"/>
      <c r="CC148" s="1668"/>
      <c r="CD148" s="1663"/>
      <c r="CE148" s="1663"/>
      <c r="CF148" s="1665">
        <v>0</v>
      </c>
      <c r="CG148" s="1665">
        <v>0</v>
      </c>
      <c r="CH148" s="1665">
        <v>0</v>
      </c>
      <c r="CI148" s="1665">
        <v>0</v>
      </c>
      <c r="CJ148" s="1665">
        <v>0</v>
      </c>
      <c r="CK148" s="1665">
        <v>0</v>
      </c>
      <c r="CL148" s="1668"/>
      <c r="CM148" s="1665">
        <v>0</v>
      </c>
      <c r="CN148" s="1665">
        <v>0</v>
      </c>
      <c r="CO148" s="1665">
        <v>0</v>
      </c>
      <c r="CP148" s="1665">
        <v>0</v>
      </c>
      <c r="CQ148" s="1665">
        <v>0</v>
      </c>
      <c r="CR148" s="1665">
        <v>0</v>
      </c>
      <c r="CS148" s="1665">
        <v>0</v>
      </c>
      <c r="CT148" s="1665">
        <v>0</v>
      </c>
      <c r="CU148" s="1665">
        <v>0</v>
      </c>
      <c r="CV148" s="1665">
        <v>0</v>
      </c>
      <c r="CW148" s="1668"/>
      <c r="CX148" s="1663"/>
      <c r="CY148" s="1663"/>
      <c r="CZ148" s="1663"/>
      <c r="DA148" s="1663"/>
      <c r="DB148" s="1668"/>
      <c r="DC148" s="1662"/>
      <c r="DD148" s="1665">
        <v>0</v>
      </c>
      <c r="DE148" s="1663"/>
      <c r="DF148" s="1663"/>
      <c r="DG148" s="1665">
        <v>0</v>
      </c>
      <c r="DH148" s="1665">
        <v>0</v>
      </c>
    </row>
    <row r="149" spans="1:112" hidden="1" x14ac:dyDescent="0.25">
      <c r="A149" s="1662" t="s">
        <v>2197</v>
      </c>
      <c r="B149" s="1662" t="s">
        <v>1722</v>
      </c>
      <c r="C149" s="1662"/>
      <c r="D149" s="1662"/>
      <c r="E149" s="1662"/>
      <c r="F149" s="1662"/>
      <c r="G149" s="1662"/>
      <c r="H149" s="1662"/>
      <c r="I149" s="1662"/>
      <c r="J149" s="1662"/>
      <c r="K149" s="1662"/>
      <c r="L149" s="1662"/>
      <c r="M149" s="1665">
        <v>1715391.06</v>
      </c>
      <c r="N149" s="1665">
        <v>0</v>
      </c>
      <c r="O149" s="1665">
        <v>1715391.06</v>
      </c>
      <c r="P149" s="1665">
        <v>1715391.06</v>
      </c>
      <c r="Q149" s="1665">
        <v>1458082</v>
      </c>
      <c r="R149" s="1665">
        <v>1458082</v>
      </c>
      <c r="S149" s="1665">
        <v>0</v>
      </c>
      <c r="T149" s="1665">
        <v>257309.06</v>
      </c>
      <c r="U149" s="1665">
        <v>62660</v>
      </c>
      <c r="V149" s="1665">
        <v>194649.06</v>
      </c>
      <c r="W149" s="1665">
        <v>0</v>
      </c>
      <c r="X149" s="1665">
        <v>0</v>
      </c>
      <c r="Y149" s="1668"/>
      <c r="Z149" s="1662"/>
      <c r="AA149" s="1665">
        <v>0</v>
      </c>
      <c r="AB149" s="1665">
        <v>0</v>
      </c>
      <c r="AC149" s="1680">
        <v>0</v>
      </c>
      <c r="AD149" s="1681"/>
      <c r="AE149" s="1679"/>
      <c r="AF149" s="1662"/>
      <c r="AG149" s="1666"/>
      <c r="AH149" s="1667">
        <v>1371445.5</v>
      </c>
      <c r="AI149" s="1665">
        <v>1371445.5</v>
      </c>
      <c r="AJ149" s="1665">
        <v>1165728.3999999999</v>
      </c>
      <c r="AK149" s="1698">
        <v>1165728.3999999999</v>
      </c>
      <c r="AL149" s="1665">
        <v>0</v>
      </c>
      <c r="AM149" s="1668"/>
      <c r="AN149" s="1665">
        <v>1371445.5</v>
      </c>
      <c r="AO149" s="1665">
        <v>1371445.5</v>
      </c>
      <c r="AP149" s="1665">
        <v>1165728.3999999999</v>
      </c>
      <c r="AQ149" s="1665">
        <v>1165728.3999999999</v>
      </c>
      <c r="AR149" s="1665">
        <v>0</v>
      </c>
      <c r="AS149" s="1665">
        <v>205717.1</v>
      </c>
      <c r="AT149" s="1665">
        <v>43770.87</v>
      </c>
      <c r="AU149" s="1665">
        <v>161946.23000000001</v>
      </c>
      <c r="AV149" s="1665">
        <v>0</v>
      </c>
      <c r="AW149" s="1665">
        <v>0</v>
      </c>
      <c r="AX149" s="1665">
        <v>0</v>
      </c>
      <c r="AY149" s="1665">
        <v>0</v>
      </c>
      <c r="AZ149" s="1665">
        <v>0</v>
      </c>
      <c r="BA149" s="1668"/>
      <c r="BB149" s="1668"/>
      <c r="BC149" s="1665">
        <v>0</v>
      </c>
      <c r="BD149" s="1665">
        <v>0</v>
      </c>
      <c r="BE149" s="1665">
        <v>1371445.5</v>
      </c>
      <c r="BF149" s="1665">
        <v>1371445.5</v>
      </c>
      <c r="BG149" s="1665">
        <v>1165728.3999999999</v>
      </c>
      <c r="BH149" s="1665">
        <v>1165728.3999999999</v>
      </c>
      <c r="BI149" s="1665">
        <v>0</v>
      </c>
      <c r="BJ149" s="1665">
        <v>205717.1</v>
      </c>
      <c r="BK149" s="1665">
        <v>43770.87</v>
      </c>
      <c r="BL149" s="1665">
        <v>161946.23000000001</v>
      </c>
      <c r="BM149" s="1665">
        <v>0</v>
      </c>
      <c r="BN149" s="1665">
        <v>0</v>
      </c>
      <c r="BO149" s="1668"/>
      <c r="BP149" s="1665">
        <v>1214322.3600000001</v>
      </c>
      <c r="BQ149" s="1665">
        <v>1214322.3600000001</v>
      </c>
      <c r="BR149" s="1665">
        <v>1032173.8</v>
      </c>
      <c r="BS149" s="1667">
        <v>1032173.8</v>
      </c>
      <c r="BT149" s="1665">
        <v>0</v>
      </c>
      <c r="BU149" s="1665">
        <v>182148.56</v>
      </c>
      <c r="BV149" s="1665">
        <v>43770.87</v>
      </c>
      <c r="BW149" s="1665">
        <v>0</v>
      </c>
      <c r="BX149" s="1665">
        <v>0</v>
      </c>
      <c r="BY149" s="1665">
        <v>0</v>
      </c>
      <c r="BZ149" s="1665">
        <v>0</v>
      </c>
      <c r="CA149" s="1665">
        <v>0</v>
      </c>
      <c r="CB149" s="1668"/>
      <c r="CC149" s="1668"/>
      <c r="CD149" s="1665">
        <v>0</v>
      </c>
      <c r="CE149" s="1665">
        <v>0</v>
      </c>
      <c r="CF149" s="1665">
        <v>0</v>
      </c>
      <c r="CG149" s="1665">
        <v>0</v>
      </c>
      <c r="CH149" s="1665">
        <v>0</v>
      </c>
      <c r="CI149" s="1665">
        <v>0</v>
      </c>
      <c r="CJ149" s="1665">
        <v>0</v>
      </c>
      <c r="CK149" s="1665">
        <v>0</v>
      </c>
      <c r="CL149" s="1668"/>
      <c r="CM149" s="1665">
        <v>0</v>
      </c>
      <c r="CN149" s="1665">
        <v>0</v>
      </c>
      <c r="CO149" s="1665">
        <v>0</v>
      </c>
      <c r="CP149" s="1665">
        <v>0</v>
      </c>
      <c r="CQ149" s="1665">
        <v>0</v>
      </c>
      <c r="CR149" s="1665">
        <v>0</v>
      </c>
      <c r="CS149" s="1665">
        <v>0</v>
      </c>
      <c r="CT149" s="1665">
        <v>0</v>
      </c>
      <c r="CU149" s="1665">
        <v>0</v>
      </c>
      <c r="CV149" s="1665">
        <v>0</v>
      </c>
      <c r="CW149" s="1668"/>
      <c r="CX149" s="1665">
        <v>0</v>
      </c>
      <c r="CY149" s="1665">
        <v>0</v>
      </c>
      <c r="CZ149" s="1665">
        <v>0</v>
      </c>
      <c r="DA149" s="1665">
        <v>0</v>
      </c>
      <c r="DB149" s="1668"/>
      <c r="DC149" s="1662"/>
      <c r="DD149" s="1665">
        <v>0</v>
      </c>
      <c r="DE149" s="1665">
        <v>0</v>
      </c>
      <c r="DF149" s="1665">
        <v>0</v>
      </c>
      <c r="DG149" s="1665">
        <v>0</v>
      </c>
      <c r="DH149" s="1665">
        <v>0</v>
      </c>
    </row>
    <row r="150" spans="1:112" hidden="1" x14ac:dyDescent="0.25">
      <c r="A150" s="1662" t="s">
        <v>2198</v>
      </c>
      <c r="B150" s="1662" t="s">
        <v>1722</v>
      </c>
      <c r="C150" s="1662" t="s">
        <v>2631</v>
      </c>
      <c r="D150" s="1662"/>
      <c r="E150" s="1662"/>
      <c r="F150" s="1662"/>
      <c r="G150" s="1662"/>
      <c r="H150" s="1662"/>
      <c r="I150" s="1662"/>
      <c r="J150" s="1662"/>
      <c r="K150" s="1662"/>
      <c r="L150" s="1662"/>
      <c r="M150" s="1665">
        <v>1715391.06</v>
      </c>
      <c r="N150" s="1665">
        <v>0</v>
      </c>
      <c r="O150" s="1665">
        <v>1715391.06</v>
      </c>
      <c r="P150" s="1665">
        <v>1715391.06</v>
      </c>
      <c r="Q150" s="1665">
        <v>1458082</v>
      </c>
      <c r="R150" s="1665">
        <v>1458082</v>
      </c>
      <c r="S150" s="1665">
        <v>0</v>
      </c>
      <c r="T150" s="1665">
        <v>257309.06</v>
      </c>
      <c r="U150" s="1665">
        <v>62660</v>
      </c>
      <c r="V150" s="1665">
        <v>194649.06</v>
      </c>
      <c r="W150" s="1665">
        <v>0</v>
      </c>
      <c r="X150" s="1665">
        <v>0</v>
      </c>
      <c r="Y150" s="1668"/>
      <c r="Z150" s="1662"/>
      <c r="AA150" s="1665">
        <v>0</v>
      </c>
      <c r="AB150" s="1665">
        <v>0</v>
      </c>
      <c r="AC150" s="1680">
        <v>0</v>
      </c>
      <c r="AD150" s="1681"/>
      <c r="AE150" s="1679"/>
      <c r="AF150" s="1662"/>
      <c r="AG150" s="1666"/>
      <c r="AH150" s="1667">
        <v>1371445.5</v>
      </c>
      <c r="AI150" s="1665">
        <v>1371445.5</v>
      </c>
      <c r="AJ150" s="1665">
        <v>1165728.3999999999</v>
      </c>
      <c r="AK150" s="1698">
        <v>1165728.3999999999</v>
      </c>
      <c r="AL150" s="1665">
        <v>0</v>
      </c>
      <c r="AM150" s="1668"/>
      <c r="AN150" s="1665">
        <v>1371445.5</v>
      </c>
      <c r="AO150" s="1665">
        <v>1371445.5</v>
      </c>
      <c r="AP150" s="1665">
        <v>1165728.3999999999</v>
      </c>
      <c r="AQ150" s="1665">
        <v>1165728.3999999999</v>
      </c>
      <c r="AR150" s="1665">
        <v>0</v>
      </c>
      <c r="AS150" s="1665">
        <v>205717.1</v>
      </c>
      <c r="AT150" s="1665">
        <v>43770.87</v>
      </c>
      <c r="AU150" s="1665">
        <v>161946.23000000001</v>
      </c>
      <c r="AV150" s="1665">
        <v>0</v>
      </c>
      <c r="AW150" s="1665">
        <v>0</v>
      </c>
      <c r="AX150" s="1665">
        <v>0</v>
      </c>
      <c r="AY150" s="1665">
        <v>0</v>
      </c>
      <c r="AZ150" s="1665">
        <v>0</v>
      </c>
      <c r="BA150" s="1668"/>
      <c r="BB150" s="1668"/>
      <c r="BC150" s="1665">
        <v>0</v>
      </c>
      <c r="BD150" s="1665">
        <v>0</v>
      </c>
      <c r="BE150" s="1665">
        <v>1371445.5</v>
      </c>
      <c r="BF150" s="1665">
        <v>1371445.5</v>
      </c>
      <c r="BG150" s="1665">
        <v>1165728.3999999999</v>
      </c>
      <c r="BH150" s="1665">
        <v>1165728.3999999999</v>
      </c>
      <c r="BI150" s="1665">
        <v>0</v>
      </c>
      <c r="BJ150" s="1665">
        <v>205717.1</v>
      </c>
      <c r="BK150" s="1665">
        <v>43770.87</v>
      </c>
      <c r="BL150" s="1665">
        <v>161946.23000000001</v>
      </c>
      <c r="BM150" s="1665">
        <v>0</v>
      </c>
      <c r="BN150" s="1665">
        <v>0</v>
      </c>
      <c r="BO150" s="1668"/>
      <c r="BP150" s="1665">
        <v>1214322.3600000001</v>
      </c>
      <c r="BQ150" s="1665">
        <v>1214322.3600000001</v>
      </c>
      <c r="BR150" s="1665">
        <v>1032173.8</v>
      </c>
      <c r="BS150" s="1667">
        <v>1032173.8</v>
      </c>
      <c r="BT150" s="1665">
        <v>0</v>
      </c>
      <c r="BU150" s="1665">
        <v>182148.56</v>
      </c>
      <c r="BV150" s="1665">
        <v>43770.87</v>
      </c>
      <c r="BW150" s="1665">
        <v>0</v>
      </c>
      <c r="BX150" s="1665">
        <v>0</v>
      </c>
      <c r="BY150" s="1665">
        <v>0</v>
      </c>
      <c r="BZ150" s="1665">
        <v>0</v>
      </c>
      <c r="CA150" s="1665">
        <v>0</v>
      </c>
      <c r="CB150" s="1668"/>
      <c r="CC150" s="1668"/>
      <c r="CD150" s="1665">
        <v>0</v>
      </c>
      <c r="CE150" s="1665">
        <v>0</v>
      </c>
      <c r="CF150" s="1665">
        <v>0</v>
      </c>
      <c r="CG150" s="1665">
        <v>0</v>
      </c>
      <c r="CH150" s="1665">
        <v>0</v>
      </c>
      <c r="CI150" s="1665">
        <v>0</v>
      </c>
      <c r="CJ150" s="1665">
        <v>0</v>
      </c>
      <c r="CK150" s="1665">
        <v>0</v>
      </c>
      <c r="CL150" s="1668"/>
      <c r="CM150" s="1665">
        <v>0</v>
      </c>
      <c r="CN150" s="1665">
        <v>0</v>
      </c>
      <c r="CO150" s="1665">
        <v>0</v>
      </c>
      <c r="CP150" s="1665">
        <v>0</v>
      </c>
      <c r="CQ150" s="1665">
        <v>0</v>
      </c>
      <c r="CR150" s="1665">
        <v>0</v>
      </c>
      <c r="CS150" s="1665">
        <v>0</v>
      </c>
      <c r="CT150" s="1665">
        <v>0</v>
      </c>
      <c r="CU150" s="1665">
        <v>0</v>
      </c>
      <c r="CV150" s="1665">
        <v>0</v>
      </c>
      <c r="CW150" s="1668"/>
      <c r="CX150" s="1665">
        <v>0</v>
      </c>
      <c r="CY150" s="1665">
        <v>0</v>
      </c>
      <c r="CZ150" s="1665">
        <v>0</v>
      </c>
      <c r="DA150" s="1665">
        <v>0</v>
      </c>
      <c r="DB150" s="1668"/>
      <c r="DC150" s="1662"/>
      <c r="DD150" s="1665">
        <v>0</v>
      </c>
      <c r="DE150" s="1665">
        <v>0</v>
      </c>
      <c r="DF150" s="1665">
        <v>0</v>
      </c>
      <c r="DG150" s="1665">
        <v>0</v>
      </c>
      <c r="DH150" s="1665">
        <v>0</v>
      </c>
    </row>
    <row r="151" spans="1:112" hidden="1" x14ac:dyDescent="0.25">
      <c r="A151" s="1662" t="s">
        <v>2199</v>
      </c>
      <c r="B151" s="1662" t="s">
        <v>1722</v>
      </c>
      <c r="C151" s="1662" t="s">
        <v>2631</v>
      </c>
      <c r="D151" s="1662" t="s">
        <v>2632</v>
      </c>
      <c r="E151" s="1662"/>
      <c r="F151" s="1662"/>
      <c r="G151" s="1662"/>
      <c r="H151" s="1662"/>
      <c r="I151" s="1662"/>
      <c r="J151" s="1662"/>
      <c r="K151" s="1662"/>
      <c r="L151" s="1662"/>
      <c r="M151" s="1665">
        <v>1715391.06</v>
      </c>
      <c r="N151" s="1665">
        <v>0</v>
      </c>
      <c r="O151" s="1665">
        <v>1715391.06</v>
      </c>
      <c r="P151" s="1665">
        <v>1715391.06</v>
      </c>
      <c r="Q151" s="1665">
        <v>1458082</v>
      </c>
      <c r="R151" s="1665">
        <v>1458082</v>
      </c>
      <c r="S151" s="1665">
        <v>0</v>
      </c>
      <c r="T151" s="1665">
        <v>257309.06</v>
      </c>
      <c r="U151" s="1665">
        <v>62660</v>
      </c>
      <c r="V151" s="1665">
        <v>194649.06</v>
      </c>
      <c r="W151" s="1665">
        <v>0</v>
      </c>
      <c r="X151" s="1665">
        <v>0</v>
      </c>
      <c r="Y151" s="1668"/>
      <c r="Z151" s="1662"/>
      <c r="AA151" s="1665">
        <v>0</v>
      </c>
      <c r="AB151" s="1665">
        <v>0</v>
      </c>
      <c r="AC151" s="1680">
        <v>0</v>
      </c>
      <c r="AD151" s="1681"/>
      <c r="AE151" s="1679"/>
      <c r="AF151" s="1662"/>
      <c r="AG151" s="1666"/>
      <c r="AH151" s="1667">
        <v>1371445.5</v>
      </c>
      <c r="AI151" s="1665">
        <v>1371445.5</v>
      </c>
      <c r="AJ151" s="1665">
        <v>1165728.3999999999</v>
      </c>
      <c r="AK151" s="1698">
        <v>1165728.3999999999</v>
      </c>
      <c r="AL151" s="1665">
        <v>0</v>
      </c>
      <c r="AM151" s="1668"/>
      <c r="AN151" s="1665">
        <v>1371445.5</v>
      </c>
      <c r="AO151" s="1665">
        <v>1371445.5</v>
      </c>
      <c r="AP151" s="1665">
        <v>1165728.3999999999</v>
      </c>
      <c r="AQ151" s="1665">
        <v>1165728.3999999999</v>
      </c>
      <c r="AR151" s="1665">
        <v>0</v>
      </c>
      <c r="AS151" s="1665">
        <v>205717.1</v>
      </c>
      <c r="AT151" s="1665">
        <v>43770.87</v>
      </c>
      <c r="AU151" s="1665">
        <v>161946.23000000001</v>
      </c>
      <c r="AV151" s="1665">
        <v>0</v>
      </c>
      <c r="AW151" s="1665">
        <v>0</v>
      </c>
      <c r="AX151" s="1665">
        <v>0</v>
      </c>
      <c r="AY151" s="1665">
        <v>0</v>
      </c>
      <c r="AZ151" s="1665">
        <v>0</v>
      </c>
      <c r="BA151" s="1668"/>
      <c r="BB151" s="1668"/>
      <c r="BC151" s="1665">
        <v>0</v>
      </c>
      <c r="BD151" s="1665">
        <v>0</v>
      </c>
      <c r="BE151" s="1665">
        <v>1371445.5</v>
      </c>
      <c r="BF151" s="1665">
        <v>1371445.5</v>
      </c>
      <c r="BG151" s="1665">
        <v>1165728.3999999999</v>
      </c>
      <c r="BH151" s="1665">
        <v>1165728.3999999999</v>
      </c>
      <c r="BI151" s="1665">
        <v>0</v>
      </c>
      <c r="BJ151" s="1665">
        <v>205717.1</v>
      </c>
      <c r="BK151" s="1665">
        <v>43770.87</v>
      </c>
      <c r="BL151" s="1665">
        <v>161946.23000000001</v>
      </c>
      <c r="BM151" s="1665">
        <v>0</v>
      </c>
      <c r="BN151" s="1665">
        <v>0</v>
      </c>
      <c r="BO151" s="1668"/>
      <c r="BP151" s="1665">
        <v>1214322.3600000001</v>
      </c>
      <c r="BQ151" s="1665">
        <v>1214322.3600000001</v>
      </c>
      <c r="BR151" s="1665">
        <v>1032173.8</v>
      </c>
      <c r="BS151" s="1667">
        <v>1032173.8</v>
      </c>
      <c r="BT151" s="1665">
        <v>0</v>
      </c>
      <c r="BU151" s="1665">
        <v>182148.56</v>
      </c>
      <c r="BV151" s="1665">
        <v>43770.87</v>
      </c>
      <c r="BW151" s="1665">
        <v>0</v>
      </c>
      <c r="BX151" s="1665">
        <v>0</v>
      </c>
      <c r="BY151" s="1665">
        <v>0</v>
      </c>
      <c r="BZ151" s="1665">
        <v>0</v>
      </c>
      <c r="CA151" s="1665">
        <v>0</v>
      </c>
      <c r="CB151" s="1668"/>
      <c r="CC151" s="1668"/>
      <c r="CD151" s="1665">
        <v>0</v>
      </c>
      <c r="CE151" s="1665">
        <v>0</v>
      </c>
      <c r="CF151" s="1665">
        <v>0</v>
      </c>
      <c r="CG151" s="1665">
        <v>0</v>
      </c>
      <c r="CH151" s="1665">
        <v>0</v>
      </c>
      <c r="CI151" s="1665">
        <v>0</v>
      </c>
      <c r="CJ151" s="1665">
        <v>0</v>
      </c>
      <c r="CK151" s="1665">
        <v>0</v>
      </c>
      <c r="CL151" s="1668"/>
      <c r="CM151" s="1665">
        <v>0</v>
      </c>
      <c r="CN151" s="1665">
        <v>0</v>
      </c>
      <c r="CO151" s="1665">
        <v>0</v>
      </c>
      <c r="CP151" s="1665">
        <v>0</v>
      </c>
      <c r="CQ151" s="1665">
        <v>0</v>
      </c>
      <c r="CR151" s="1665">
        <v>0</v>
      </c>
      <c r="CS151" s="1665">
        <v>0</v>
      </c>
      <c r="CT151" s="1665">
        <v>0</v>
      </c>
      <c r="CU151" s="1665">
        <v>0</v>
      </c>
      <c r="CV151" s="1665">
        <v>0</v>
      </c>
      <c r="CW151" s="1668"/>
      <c r="CX151" s="1665">
        <v>0</v>
      </c>
      <c r="CY151" s="1665">
        <v>0</v>
      </c>
      <c r="CZ151" s="1665">
        <v>0</v>
      </c>
      <c r="DA151" s="1665">
        <v>0</v>
      </c>
      <c r="DB151" s="1668"/>
      <c r="DC151" s="1662"/>
      <c r="DD151" s="1665">
        <v>0</v>
      </c>
      <c r="DE151" s="1665">
        <v>0</v>
      </c>
      <c r="DF151" s="1665">
        <v>0</v>
      </c>
      <c r="DG151" s="1665">
        <v>0</v>
      </c>
      <c r="DH151" s="1665">
        <v>0</v>
      </c>
    </row>
    <row r="152" spans="1:112" ht="22.5" x14ac:dyDescent="0.25">
      <c r="A152" s="1662" t="s">
        <v>2200</v>
      </c>
      <c r="B152" s="1662" t="s">
        <v>1722</v>
      </c>
      <c r="C152" s="1662" t="s">
        <v>2631</v>
      </c>
      <c r="D152" s="1662" t="s">
        <v>2632</v>
      </c>
      <c r="E152" s="1662" t="s">
        <v>141</v>
      </c>
      <c r="F152" s="1662"/>
      <c r="G152" s="1662"/>
      <c r="H152" s="1662"/>
      <c r="I152" s="1662"/>
      <c r="J152" s="1662"/>
      <c r="K152" s="1662"/>
      <c r="L152" s="1662"/>
      <c r="M152" s="1665">
        <v>1715391.06</v>
      </c>
      <c r="N152" s="1665">
        <v>0</v>
      </c>
      <c r="O152" s="1665">
        <v>1715391.06</v>
      </c>
      <c r="P152" s="1665">
        <v>1715391.06</v>
      </c>
      <c r="Q152" s="1665">
        <v>1458082</v>
      </c>
      <c r="R152" s="1665">
        <v>1458082</v>
      </c>
      <c r="S152" s="1665">
        <v>0</v>
      </c>
      <c r="T152" s="1665">
        <v>257309.06</v>
      </c>
      <c r="U152" s="1665">
        <v>62660</v>
      </c>
      <c r="V152" s="1665">
        <v>194649.06</v>
      </c>
      <c r="W152" s="1665">
        <v>0</v>
      </c>
      <c r="X152" s="1665">
        <v>0</v>
      </c>
      <c r="Y152" s="1668"/>
      <c r="Z152" s="1662"/>
      <c r="AA152" s="1665">
        <v>0</v>
      </c>
      <c r="AB152" s="1665">
        <v>0</v>
      </c>
      <c r="AC152" s="1680">
        <v>0</v>
      </c>
      <c r="AD152" s="1681"/>
      <c r="AE152" s="1679"/>
      <c r="AF152" s="1662"/>
      <c r="AG152" s="1666"/>
      <c r="AH152" s="1667">
        <v>1371445.5</v>
      </c>
      <c r="AI152" s="1665">
        <v>1371445.5</v>
      </c>
      <c r="AJ152" s="1665">
        <v>1165728.3999999999</v>
      </c>
      <c r="AK152" s="1698">
        <v>1165728.3999999999</v>
      </c>
      <c r="AL152" s="1665">
        <v>0</v>
      </c>
      <c r="AM152" s="1668"/>
      <c r="AN152" s="1665">
        <v>1371445.5</v>
      </c>
      <c r="AO152" s="1665">
        <v>1371445.5</v>
      </c>
      <c r="AP152" s="1665">
        <v>1165728.3999999999</v>
      </c>
      <c r="AQ152" s="1665">
        <v>1165728.3999999999</v>
      </c>
      <c r="AR152" s="1665">
        <v>0</v>
      </c>
      <c r="AS152" s="1665">
        <v>205717.1</v>
      </c>
      <c r="AT152" s="1665">
        <v>43770.87</v>
      </c>
      <c r="AU152" s="1665">
        <v>161946.23000000001</v>
      </c>
      <c r="AV152" s="1665">
        <v>0</v>
      </c>
      <c r="AW152" s="1665">
        <v>0</v>
      </c>
      <c r="AX152" s="1665">
        <v>0</v>
      </c>
      <c r="AY152" s="1665">
        <v>0</v>
      </c>
      <c r="AZ152" s="1665">
        <v>0</v>
      </c>
      <c r="BA152" s="1668"/>
      <c r="BB152" s="1668"/>
      <c r="BC152" s="1665">
        <v>0</v>
      </c>
      <c r="BD152" s="1665">
        <v>0</v>
      </c>
      <c r="BE152" s="1665">
        <v>1371445.5</v>
      </c>
      <c r="BF152" s="1665">
        <v>1371445.5</v>
      </c>
      <c r="BG152" s="1665">
        <v>1165728.3999999999</v>
      </c>
      <c r="BH152" s="1665">
        <v>1165728.3999999999</v>
      </c>
      <c r="BI152" s="1665">
        <v>0</v>
      </c>
      <c r="BJ152" s="1665">
        <v>205717.1</v>
      </c>
      <c r="BK152" s="1665">
        <v>43770.87</v>
      </c>
      <c r="BL152" s="1665">
        <v>161946.23000000001</v>
      </c>
      <c r="BM152" s="1665">
        <v>0</v>
      </c>
      <c r="BN152" s="1665">
        <v>0</v>
      </c>
      <c r="BO152" s="1668"/>
      <c r="BP152" s="1665">
        <v>1214322.3600000001</v>
      </c>
      <c r="BQ152" s="1665">
        <v>1214322.3600000001</v>
      </c>
      <c r="BR152" s="1665">
        <v>1032173.8</v>
      </c>
      <c r="BS152" s="1667">
        <v>1032173.8</v>
      </c>
      <c r="BT152" s="1665">
        <v>0</v>
      </c>
      <c r="BU152" s="1665">
        <v>182148.56</v>
      </c>
      <c r="BV152" s="1665">
        <v>43770.87</v>
      </c>
      <c r="BW152" s="1665">
        <v>0</v>
      </c>
      <c r="BX152" s="1665">
        <v>0</v>
      </c>
      <c r="BY152" s="1665">
        <v>0</v>
      </c>
      <c r="BZ152" s="1665">
        <v>0</v>
      </c>
      <c r="CA152" s="1665">
        <v>0</v>
      </c>
      <c r="CB152" s="1668"/>
      <c r="CC152" s="1668"/>
      <c r="CD152" s="1665">
        <v>0</v>
      </c>
      <c r="CE152" s="1665">
        <v>0</v>
      </c>
      <c r="CF152" s="1665">
        <v>0</v>
      </c>
      <c r="CG152" s="1665">
        <v>0</v>
      </c>
      <c r="CH152" s="1665">
        <v>0</v>
      </c>
      <c r="CI152" s="1665">
        <v>0</v>
      </c>
      <c r="CJ152" s="1665">
        <v>0</v>
      </c>
      <c r="CK152" s="1665">
        <v>0</v>
      </c>
      <c r="CL152" s="1668"/>
      <c r="CM152" s="1665">
        <v>0</v>
      </c>
      <c r="CN152" s="1665">
        <v>0</v>
      </c>
      <c r="CO152" s="1665">
        <v>0</v>
      </c>
      <c r="CP152" s="1665">
        <v>0</v>
      </c>
      <c r="CQ152" s="1665">
        <v>0</v>
      </c>
      <c r="CR152" s="1665">
        <v>0</v>
      </c>
      <c r="CS152" s="1665">
        <v>0</v>
      </c>
      <c r="CT152" s="1665">
        <v>0</v>
      </c>
      <c r="CU152" s="1665">
        <v>0</v>
      </c>
      <c r="CV152" s="1665">
        <v>0</v>
      </c>
      <c r="CW152" s="1668"/>
      <c r="CX152" s="1665">
        <v>0</v>
      </c>
      <c r="CY152" s="1665">
        <v>0</v>
      </c>
      <c r="CZ152" s="1665">
        <v>0</v>
      </c>
      <c r="DA152" s="1665">
        <v>0</v>
      </c>
      <c r="DB152" s="1668"/>
      <c r="DC152" s="1662"/>
      <c r="DD152" s="1665">
        <v>0</v>
      </c>
      <c r="DE152" s="1665">
        <v>0</v>
      </c>
      <c r="DF152" s="1665">
        <v>0</v>
      </c>
      <c r="DG152" s="1665">
        <v>0</v>
      </c>
      <c r="DH152" s="1665">
        <v>0</v>
      </c>
    </row>
    <row r="153" spans="1:112" ht="56.25" x14ac:dyDescent="0.25">
      <c r="A153" s="1662" t="s">
        <v>2202</v>
      </c>
      <c r="B153" s="1662" t="s">
        <v>1722</v>
      </c>
      <c r="C153" s="1662" t="s">
        <v>2631</v>
      </c>
      <c r="D153" s="1662" t="s">
        <v>2632</v>
      </c>
      <c r="E153" s="1662" t="s">
        <v>141</v>
      </c>
      <c r="F153" s="1662" t="s">
        <v>2611</v>
      </c>
      <c r="G153" s="1662" t="s">
        <v>2612</v>
      </c>
      <c r="H153" s="1662" t="s">
        <v>2613</v>
      </c>
      <c r="I153" s="1662" t="s">
        <v>730</v>
      </c>
      <c r="J153" s="1662" t="s">
        <v>2201</v>
      </c>
      <c r="K153" s="1662" t="s">
        <v>2120</v>
      </c>
      <c r="L153" s="1662" t="s">
        <v>2109</v>
      </c>
      <c r="M153" s="1665">
        <v>879927.06</v>
      </c>
      <c r="N153" s="1665">
        <v>0</v>
      </c>
      <c r="O153" s="1665">
        <v>879927.06</v>
      </c>
      <c r="P153" s="1665">
        <v>879927.06</v>
      </c>
      <c r="Q153" s="1665">
        <v>747938</v>
      </c>
      <c r="R153" s="1665">
        <v>747938</v>
      </c>
      <c r="S153" s="1665">
        <v>0</v>
      </c>
      <c r="T153" s="1665">
        <v>131989.06</v>
      </c>
      <c r="U153" s="1665">
        <v>0</v>
      </c>
      <c r="V153" s="1665">
        <v>131989.06</v>
      </c>
      <c r="W153" s="1665">
        <v>0</v>
      </c>
      <c r="X153" s="1665">
        <v>0</v>
      </c>
      <c r="Y153" s="1668"/>
      <c r="Z153" s="1662"/>
      <c r="AA153" s="1665">
        <v>0</v>
      </c>
      <c r="AB153" s="1665">
        <v>0</v>
      </c>
      <c r="AC153" s="1680">
        <v>0</v>
      </c>
      <c r="AD153" s="1681"/>
      <c r="AE153" s="1679"/>
      <c r="AF153" s="1662"/>
      <c r="AG153" s="1666"/>
      <c r="AH153" s="1667">
        <v>787835.73</v>
      </c>
      <c r="AI153" s="1665">
        <v>787835.73</v>
      </c>
      <c r="AJ153" s="1665">
        <v>669660.37</v>
      </c>
      <c r="AK153" s="1698">
        <v>669660.37</v>
      </c>
      <c r="AL153" s="1665">
        <v>0</v>
      </c>
      <c r="AM153" s="1668"/>
      <c r="AN153" s="1665">
        <v>787835.73</v>
      </c>
      <c r="AO153" s="1665">
        <v>787835.73</v>
      </c>
      <c r="AP153" s="1665">
        <v>669660.37</v>
      </c>
      <c r="AQ153" s="1665">
        <v>669660.37</v>
      </c>
      <c r="AR153" s="1665">
        <v>0</v>
      </c>
      <c r="AS153" s="1665">
        <v>118175.36</v>
      </c>
      <c r="AT153" s="1665">
        <v>0</v>
      </c>
      <c r="AU153" s="1665">
        <v>118175.36</v>
      </c>
      <c r="AV153" s="1665">
        <v>0</v>
      </c>
      <c r="AW153" s="1665">
        <v>0</v>
      </c>
      <c r="AX153" s="1665">
        <v>0</v>
      </c>
      <c r="AY153" s="1665">
        <v>0</v>
      </c>
      <c r="AZ153" s="1665">
        <v>0</v>
      </c>
      <c r="BA153" s="1668"/>
      <c r="BB153" s="1668"/>
      <c r="BC153" s="1665">
        <v>0</v>
      </c>
      <c r="BD153" s="1665">
        <v>0</v>
      </c>
      <c r="BE153" s="1665">
        <v>787835.73</v>
      </c>
      <c r="BF153" s="1665">
        <v>787835.73</v>
      </c>
      <c r="BG153" s="1665">
        <v>669660.37</v>
      </c>
      <c r="BH153" s="1665">
        <v>669660.37</v>
      </c>
      <c r="BI153" s="1665">
        <v>0</v>
      </c>
      <c r="BJ153" s="1665">
        <v>118175.36</v>
      </c>
      <c r="BK153" s="1665">
        <v>0</v>
      </c>
      <c r="BL153" s="1665">
        <v>118175.36</v>
      </c>
      <c r="BM153" s="1665">
        <v>0</v>
      </c>
      <c r="BN153" s="1665">
        <v>0</v>
      </c>
      <c r="BO153" s="1668"/>
      <c r="BP153" s="1665">
        <v>775385.48</v>
      </c>
      <c r="BQ153" s="1665">
        <v>775385.48</v>
      </c>
      <c r="BR153" s="1665">
        <v>659077.66</v>
      </c>
      <c r="BS153" s="1667">
        <v>659077.66</v>
      </c>
      <c r="BT153" s="1665">
        <v>0</v>
      </c>
      <c r="BU153" s="1665">
        <v>116307.82</v>
      </c>
      <c r="BV153" s="1665">
        <v>0</v>
      </c>
      <c r="BW153" s="1665">
        <v>0</v>
      </c>
      <c r="BX153" s="1665">
        <v>0</v>
      </c>
      <c r="BY153" s="1665">
        <v>0</v>
      </c>
      <c r="BZ153" s="1665">
        <v>0</v>
      </c>
      <c r="CA153" s="1665">
        <v>0</v>
      </c>
      <c r="CB153" s="1668"/>
      <c r="CC153" s="1668"/>
      <c r="CD153" s="1665">
        <v>0</v>
      </c>
      <c r="CE153" s="1665">
        <v>0</v>
      </c>
      <c r="CF153" s="1665">
        <v>0</v>
      </c>
      <c r="CG153" s="1665">
        <v>0</v>
      </c>
      <c r="CH153" s="1665">
        <v>0</v>
      </c>
      <c r="CI153" s="1665">
        <v>0</v>
      </c>
      <c r="CJ153" s="1665">
        <v>0</v>
      </c>
      <c r="CK153" s="1665">
        <v>0</v>
      </c>
      <c r="CL153" s="1668"/>
      <c r="CM153" s="1665">
        <v>0</v>
      </c>
      <c r="CN153" s="1665">
        <v>0</v>
      </c>
      <c r="CO153" s="1665">
        <v>0</v>
      </c>
      <c r="CP153" s="1665">
        <v>0</v>
      </c>
      <c r="CQ153" s="1665">
        <v>0</v>
      </c>
      <c r="CR153" s="1665">
        <v>0</v>
      </c>
      <c r="CS153" s="1665">
        <v>0</v>
      </c>
      <c r="CT153" s="1665">
        <v>0</v>
      </c>
      <c r="CU153" s="1665">
        <v>0</v>
      </c>
      <c r="CV153" s="1665">
        <v>0</v>
      </c>
      <c r="CW153" s="1668"/>
      <c r="CX153" s="1665">
        <v>0</v>
      </c>
      <c r="CY153" s="1665">
        <v>0</v>
      </c>
      <c r="CZ153" s="1665">
        <v>0</v>
      </c>
      <c r="DA153" s="1665">
        <v>0</v>
      </c>
      <c r="DB153" s="1668"/>
      <c r="DC153" s="1662"/>
      <c r="DD153" s="1665">
        <v>0</v>
      </c>
      <c r="DE153" s="1665">
        <v>0</v>
      </c>
      <c r="DF153" s="1665">
        <v>0</v>
      </c>
      <c r="DG153" s="1665">
        <v>0</v>
      </c>
      <c r="DH153" s="1665">
        <v>0</v>
      </c>
    </row>
    <row r="154" spans="1:112" ht="56.25" x14ac:dyDescent="0.25">
      <c r="A154" s="1662" t="s">
        <v>2203</v>
      </c>
      <c r="B154" s="1662" t="s">
        <v>1722</v>
      </c>
      <c r="C154" s="1662" t="s">
        <v>2631</v>
      </c>
      <c r="D154" s="1662" t="s">
        <v>2632</v>
      </c>
      <c r="E154" s="1662" t="s">
        <v>141</v>
      </c>
      <c r="F154" s="1662" t="s">
        <v>2611</v>
      </c>
      <c r="G154" s="1662" t="s">
        <v>2612</v>
      </c>
      <c r="H154" s="1662" t="s">
        <v>2613</v>
      </c>
      <c r="I154" s="1662" t="s">
        <v>730</v>
      </c>
      <c r="J154" s="1662" t="s">
        <v>2201</v>
      </c>
      <c r="K154" s="1662" t="s">
        <v>2120</v>
      </c>
      <c r="L154" s="1662" t="s">
        <v>2109</v>
      </c>
      <c r="M154" s="1663"/>
      <c r="N154" s="1663"/>
      <c r="O154" s="1663"/>
      <c r="P154" s="1663"/>
      <c r="Q154" s="1663"/>
      <c r="R154" s="1663"/>
      <c r="S154" s="1663"/>
      <c r="T154" s="1663"/>
      <c r="U154" s="1663"/>
      <c r="V154" s="1663"/>
      <c r="W154" s="1663"/>
      <c r="X154" s="1663"/>
      <c r="Y154" s="1664">
        <v>43003</v>
      </c>
      <c r="Z154" s="1662" t="s">
        <v>2110</v>
      </c>
      <c r="AA154" s="1665">
        <v>0</v>
      </c>
      <c r="AB154" s="1665">
        <v>0</v>
      </c>
      <c r="AC154" s="1680">
        <v>0</v>
      </c>
      <c r="AD154" s="1682">
        <v>43024</v>
      </c>
      <c r="AE154" s="1679" t="s">
        <v>2122</v>
      </c>
      <c r="AF154" s="1662" t="s">
        <v>2115</v>
      </c>
      <c r="AG154" s="1666"/>
      <c r="AH154" s="1667">
        <v>104202.09</v>
      </c>
      <c r="AI154" s="1665">
        <v>104202.09</v>
      </c>
      <c r="AJ154" s="1665">
        <v>88571.78</v>
      </c>
      <c r="AK154" s="1698">
        <v>88571.78</v>
      </c>
      <c r="AL154" s="1665">
        <v>0</v>
      </c>
      <c r="AM154" s="1664">
        <v>43025</v>
      </c>
      <c r="AN154" s="1665">
        <v>104202.09</v>
      </c>
      <c r="AO154" s="1665">
        <v>104202.09</v>
      </c>
      <c r="AP154" s="1665">
        <v>88571.78</v>
      </c>
      <c r="AQ154" s="1665">
        <v>88571.78</v>
      </c>
      <c r="AR154" s="1665">
        <v>0</v>
      </c>
      <c r="AS154" s="1665">
        <v>15630.31</v>
      </c>
      <c r="AT154" s="1665">
        <v>0</v>
      </c>
      <c r="AU154" s="1665">
        <v>15630.31</v>
      </c>
      <c r="AV154" s="1665">
        <v>0</v>
      </c>
      <c r="AW154" s="1665">
        <v>0</v>
      </c>
      <c r="AX154" s="1663"/>
      <c r="AY154" s="1663"/>
      <c r="AZ154" s="1663"/>
      <c r="BA154" s="1668"/>
      <c r="BB154" s="1668"/>
      <c r="BC154" s="1663"/>
      <c r="BD154" s="1663"/>
      <c r="BE154" s="1665">
        <v>104202.09</v>
      </c>
      <c r="BF154" s="1665">
        <v>104202.09</v>
      </c>
      <c r="BG154" s="1665">
        <v>88571.78</v>
      </c>
      <c r="BH154" s="1665">
        <v>88571.78</v>
      </c>
      <c r="BI154" s="1665">
        <v>0</v>
      </c>
      <c r="BJ154" s="1665">
        <v>15630.31</v>
      </c>
      <c r="BK154" s="1665">
        <v>0</v>
      </c>
      <c r="BL154" s="1665">
        <v>15630.31</v>
      </c>
      <c r="BM154" s="1665">
        <v>0</v>
      </c>
      <c r="BN154" s="1665">
        <v>0</v>
      </c>
      <c r="BO154" s="1664">
        <v>43364</v>
      </c>
      <c r="BP154" s="1665">
        <v>104202.09</v>
      </c>
      <c r="BQ154" s="1665">
        <v>104202.09</v>
      </c>
      <c r="BR154" s="1665">
        <v>88571.78</v>
      </c>
      <c r="BS154" s="1667">
        <v>88571.78</v>
      </c>
      <c r="BT154" s="1665">
        <v>0</v>
      </c>
      <c r="BU154" s="1665">
        <v>15630.31</v>
      </c>
      <c r="BV154" s="1665">
        <v>0</v>
      </c>
      <c r="BW154" s="1665">
        <v>0</v>
      </c>
      <c r="BX154" s="1665">
        <v>0</v>
      </c>
      <c r="BY154" s="1665">
        <v>0</v>
      </c>
      <c r="BZ154" s="1665">
        <v>0</v>
      </c>
      <c r="CA154" s="1663"/>
      <c r="CB154" s="1668"/>
      <c r="CC154" s="1668"/>
      <c r="CD154" s="1663"/>
      <c r="CE154" s="1663"/>
      <c r="CF154" s="1665">
        <v>0</v>
      </c>
      <c r="CG154" s="1665">
        <v>0</v>
      </c>
      <c r="CH154" s="1665">
        <v>0</v>
      </c>
      <c r="CI154" s="1665">
        <v>0</v>
      </c>
      <c r="CJ154" s="1665">
        <v>0</v>
      </c>
      <c r="CK154" s="1665">
        <v>0</v>
      </c>
      <c r="CL154" s="1668"/>
      <c r="CM154" s="1665">
        <v>0</v>
      </c>
      <c r="CN154" s="1665">
        <v>0</v>
      </c>
      <c r="CO154" s="1665">
        <v>0</v>
      </c>
      <c r="CP154" s="1665">
        <v>0</v>
      </c>
      <c r="CQ154" s="1665">
        <v>0</v>
      </c>
      <c r="CR154" s="1665">
        <v>0</v>
      </c>
      <c r="CS154" s="1665">
        <v>0</v>
      </c>
      <c r="CT154" s="1665">
        <v>0</v>
      </c>
      <c r="CU154" s="1665">
        <v>0</v>
      </c>
      <c r="CV154" s="1665">
        <v>0</v>
      </c>
      <c r="CW154" s="1668"/>
      <c r="CX154" s="1663"/>
      <c r="CY154" s="1663"/>
      <c r="CZ154" s="1663"/>
      <c r="DA154" s="1663"/>
      <c r="DB154" s="1668"/>
      <c r="DC154" s="1662"/>
      <c r="DD154" s="1665">
        <v>0</v>
      </c>
      <c r="DE154" s="1663"/>
      <c r="DF154" s="1663"/>
      <c r="DG154" s="1665">
        <v>0</v>
      </c>
      <c r="DH154" s="1665">
        <v>0</v>
      </c>
    </row>
    <row r="155" spans="1:112" ht="56.25" x14ac:dyDescent="0.25">
      <c r="A155" s="1662" t="s">
        <v>2204</v>
      </c>
      <c r="B155" s="1662" t="s">
        <v>1722</v>
      </c>
      <c r="C155" s="1662" t="s">
        <v>2631</v>
      </c>
      <c r="D155" s="1662" t="s">
        <v>2632</v>
      </c>
      <c r="E155" s="1662" t="s">
        <v>141</v>
      </c>
      <c r="F155" s="1662" t="s">
        <v>2611</v>
      </c>
      <c r="G155" s="1662" t="s">
        <v>2612</v>
      </c>
      <c r="H155" s="1662" t="s">
        <v>2613</v>
      </c>
      <c r="I155" s="1662" t="s">
        <v>730</v>
      </c>
      <c r="J155" s="1662" t="s">
        <v>2201</v>
      </c>
      <c r="K155" s="1662" t="s">
        <v>2120</v>
      </c>
      <c r="L155" s="1662" t="s">
        <v>2109</v>
      </c>
      <c r="M155" s="1663"/>
      <c r="N155" s="1663"/>
      <c r="O155" s="1663"/>
      <c r="P155" s="1663"/>
      <c r="Q155" s="1663"/>
      <c r="R155" s="1663"/>
      <c r="S155" s="1663"/>
      <c r="T155" s="1663"/>
      <c r="U155" s="1663"/>
      <c r="V155" s="1663"/>
      <c r="W155" s="1663"/>
      <c r="X155" s="1663"/>
      <c r="Y155" s="1664">
        <v>43003</v>
      </c>
      <c r="Z155" s="1662" t="s">
        <v>2110</v>
      </c>
      <c r="AA155" s="1665">
        <v>0</v>
      </c>
      <c r="AB155" s="1665">
        <v>0</v>
      </c>
      <c r="AC155" s="1680">
        <v>0</v>
      </c>
      <c r="AD155" s="1682">
        <v>43024</v>
      </c>
      <c r="AE155" s="1679" t="s">
        <v>2122</v>
      </c>
      <c r="AF155" s="1662" t="s">
        <v>2112</v>
      </c>
      <c r="AG155" s="1666"/>
      <c r="AH155" s="1667">
        <v>208638.32</v>
      </c>
      <c r="AI155" s="1665">
        <v>208638.32</v>
      </c>
      <c r="AJ155" s="1665">
        <v>177342.57</v>
      </c>
      <c r="AK155" s="1698">
        <v>177342.57</v>
      </c>
      <c r="AL155" s="1665">
        <v>0</v>
      </c>
      <c r="AM155" s="1664">
        <v>43024</v>
      </c>
      <c r="AN155" s="1665">
        <v>208638.32</v>
      </c>
      <c r="AO155" s="1665">
        <v>208638.32</v>
      </c>
      <c r="AP155" s="1665">
        <v>177342.57</v>
      </c>
      <c r="AQ155" s="1665">
        <v>177342.57</v>
      </c>
      <c r="AR155" s="1665">
        <v>0</v>
      </c>
      <c r="AS155" s="1665">
        <v>31295.75</v>
      </c>
      <c r="AT155" s="1665">
        <v>0</v>
      </c>
      <c r="AU155" s="1665">
        <v>31295.75</v>
      </c>
      <c r="AV155" s="1665">
        <v>0</v>
      </c>
      <c r="AW155" s="1665">
        <v>0</v>
      </c>
      <c r="AX155" s="1663"/>
      <c r="AY155" s="1663"/>
      <c r="AZ155" s="1663"/>
      <c r="BA155" s="1668"/>
      <c r="BB155" s="1668"/>
      <c r="BC155" s="1663"/>
      <c r="BD155" s="1663"/>
      <c r="BE155" s="1665">
        <v>208638.32</v>
      </c>
      <c r="BF155" s="1665">
        <v>208638.32</v>
      </c>
      <c r="BG155" s="1665">
        <v>177342.57</v>
      </c>
      <c r="BH155" s="1665">
        <v>177342.57</v>
      </c>
      <c r="BI155" s="1665">
        <v>0</v>
      </c>
      <c r="BJ155" s="1665">
        <v>31295.75</v>
      </c>
      <c r="BK155" s="1665">
        <v>0</v>
      </c>
      <c r="BL155" s="1665">
        <v>31295.75</v>
      </c>
      <c r="BM155" s="1665">
        <v>0</v>
      </c>
      <c r="BN155" s="1665">
        <v>0</v>
      </c>
      <c r="BO155" s="1664">
        <v>43364</v>
      </c>
      <c r="BP155" s="1665">
        <v>208638.32</v>
      </c>
      <c r="BQ155" s="1665">
        <v>208638.32</v>
      </c>
      <c r="BR155" s="1665">
        <v>177342.57</v>
      </c>
      <c r="BS155" s="1667">
        <v>177342.57</v>
      </c>
      <c r="BT155" s="1665">
        <v>0</v>
      </c>
      <c r="BU155" s="1665">
        <v>31295.75</v>
      </c>
      <c r="BV155" s="1665">
        <v>0</v>
      </c>
      <c r="BW155" s="1665">
        <v>0</v>
      </c>
      <c r="BX155" s="1665">
        <v>0</v>
      </c>
      <c r="BY155" s="1665">
        <v>0</v>
      </c>
      <c r="BZ155" s="1665">
        <v>0</v>
      </c>
      <c r="CA155" s="1663"/>
      <c r="CB155" s="1668"/>
      <c r="CC155" s="1668"/>
      <c r="CD155" s="1663"/>
      <c r="CE155" s="1663"/>
      <c r="CF155" s="1665">
        <v>0</v>
      </c>
      <c r="CG155" s="1665">
        <v>0</v>
      </c>
      <c r="CH155" s="1665">
        <v>0</v>
      </c>
      <c r="CI155" s="1665">
        <v>0</v>
      </c>
      <c r="CJ155" s="1665">
        <v>0</v>
      </c>
      <c r="CK155" s="1665">
        <v>0</v>
      </c>
      <c r="CL155" s="1668"/>
      <c r="CM155" s="1665">
        <v>0</v>
      </c>
      <c r="CN155" s="1665">
        <v>0</v>
      </c>
      <c r="CO155" s="1665">
        <v>0</v>
      </c>
      <c r="CP155" s="1665">
        <v>0</v>
      </c>
      <c r="CQ155" s="1665">
        <v>0</v>
      </c>
      <c r="CR155" s="1665">
        <v>0</v>
      </c>
      <c r="CS155" s="1665">
        <v>0</v>
      </c>
      <c r="CT155" s="1665">
        <v>0</v>
      </c>
      <c r="CU155" s="1665">
        <v>0</v>
      </c>
      <c r="CV155" s="1665">
        <v>0</v>
      </c>
      <c r="CW155" s="1668"/>
      <c r="CX155" s="1663"/>
      <c r="CY155" s="1663"/>
      <c r="CZ155" s="1663"/>
      <c r="DA155" s="1663"/>
      <c r="DB155" s="1668"/>
      <c r="DC155" s="1662"/>
      <c r="DD155" s="1665">
        <v>0</v>
      </c>
      <c r="DE155" s="1663"/>
      <c r="DF155" s="1663"/>
      <c r="DG155" s="1665">
        <v>0</v>
      </c>
      <c r="DH155" s="1665">
        <v>0</v>
      </c>
    </row>
    <row r="156" spans="1:112" ht="56.25" x14ac:dyDescent="0.25">
      <c r="A156" s="1662" t="s">
        <v>2205</v>
      </c>
      <c r="B156" s="1662" t="s">
        <v>1722</v>
      </c>
      <c r="C156" s="1662" t="s">
        <v>2631</v>
      </c>
      <c r="D156" s="1662" t="s">
        <v>2632</v>
      </c>
      <c r="E156" s="1662" t="s">
        <v>141</v>
      </c>
      <c r="F156" s="1662" t="s">
        <v>2611</v>
      </c>
      <c r="G156" s="1662" t="s">
        <v>2612</v>
      </c>
      <c r="H156" s="1662" t="s">
        <v>2613</v>
      </c>
      <c r="I156" s="1662" t="s">
        <v>730</v>
      </c>
      <c r="J156" s="1662" t="s">
        <v>2201</v>
      </c>
      <c r="K156" s="1662" t="s">
        <v>2120</v>
      </c>
      <c r="L156" s="1662" t="s">
        <v>2109</v>
      </c>
      <c r="M156" s="1663"/>
      <c r="N156" s="1663"/>
      <c r="O156" s="1663"/>
      <c r="P156" s="1663"/>
      <c r="Q156" s="1663"/>
      <c r="R156" s="1663"/>
      <c r="S156" s="1663"/>
      <c r="T156" s="1663"/>
      <c r="U156" s="1663"/>
      <c r="V156" s="1663"/>
      <c r="W156" s="1663"/>
      <c r="X156" s="1663"/>
      <c r="Y156" s="1664">
        <v>43063</v>
      </c>
      <c r="Z156" s="1662" t="s">
        <v>2110</v>
      </c>
      <c r="AA156" s="1665">
        <v>0</v>
      </c>
      <c r="AB156" s="1665">
        <v>0</v>
      </c>
      <c r="AC156" s="1680">
        <v>0</v>
      </c>
      <c r="AD156" s="1682">
        <v>43088</v>
      </c>
      <c r="AE156" s="1679" t="s">
        <v>2111</v>
      </c>
      <c r="AF156" s="1662" t="s">
        <v>2112</v>
      </c>
      <c r="AG156" s="1666"/>
      <c r="AH156" s="1667">
        <v>126814.02</v>
      </c>
      <c r="AI156" s="1665">
        <v>126814.02</v>
      </c>
      <c r="AJ156" s="1665">
        <v>107791.92</v>
      </c>
      <c r="AK156" s="1698">
        <v>107791.92</v>
      </c>
      <c r="AL156" s="1665">
        <v>0</v>
      </c>
      <c r="AM156" s="1664">
        <v>43088</v>
      </c>
      <c r="AN156" s="1665">
        <v>126814.02</v>
      </c>
      <c r="AO156" s="1665">
        <v>126814.02</v>
      </c>
      <c r="AP156" s="1665">
        <v>107791.92</v>
      </c>
      <c r="AQ156" s="1665">
        <v>107791.92</v>
      </c>
      <c r="AR156" s="1665">
        <v>0</v>
      </c>
      <c r="AS156" s="1665">
        <v>19022.099999999999</v>
      </c>
      <c r="AT156" s="1665">
        <v>0</v>
      </c>
      <c r="AU156" s="1665">
        <v>19022.099999999999</v>
      </c>
      <c r="AV156" s="1665">
        <v>0</v>
      </c>
      <c r="AW156" s="1665">
        <v>0</v>
      </c>
      <c r="AX156" s="1663"/>
      <c r="AY156" s="1663"/>
      <c r="AZ156" s="1663"/>
      <c r="BA156" s="1668"/>
      <c r="BB156" s="1668"/>
      <c r="BC156" s="1663"/>
      <c r="BD156" s="1663"/>
      <c r="BE156" s="1665">
        <v>126814.02</v>
      </c>
      <c r="BF156" s="1665">
        <v>126814.02</v>
      </c>
      <c r="BG156" s="1665">
        <v>107791.92</v>
      </c>
      <c r="BH156" s="1665">
        <v>107791.92</v>
      </c>
      <c r="BI156" s="1665">
        <v>0</v>
      </c>
      <c r="BJ156" s="1665">
        <v>19022.099999999999</v>
      </c>
      <c r="BK156" s="1665">
        <v>0</v>
      </c>
      <c r="BL156" s="1665">
        <v>19022.099999999999</v>
      </c>
      <c r="BM156" s="1665">
        <v>0</v>
      </c>
      <c r="BN156" s="1665">
        <v>0</v>
      </c>
      <c r="BO156" s="1664">
        <v>43364</v>
      </c>
      <c r="BP156" s="1665">
        <v>126814.02</v>
      </c>
      <c r="BQ156" s="1665">
        <v>126814.02</v>
      </c>
      <c r="BR156" s="1665">
        <v>107791.92</v>
      </c>
      <c r="BS156" s="1667">
        <v>107791.92</v>
      </c>
      <c r="BT156" s="1665">
        <v>0</v>
      </c>
      <c r="BU156" s="1665">
        <v>19022.099999999999</v>
      </c>
      <c r="BV156" s="1665">
        <v>0</v>
      </c>
      <c r="BW156" s="1665">
        <v>0</v>
      </c>
      <c r="BX156" s="1665">
        <v>0</v>
      </c>
      <c r="BY156" s="1665">
        <v>0</v>
      </c>
      <c r="BZ156" s="1665">
        <v>0</v>
      </c>
      <c r="CA156" s="1663"/>
      <c r="CB156" s="1668"/>
      <c r="CC156" s="1668"/>
      <c r="CD156" s="1663"/>
      <c r="CE156" s="1663"/>
      <c r="CF156" s="1665">
        <v>0</v>
      </c>
      <c r="CG156" s="1665">
        <v>0</v>
      </c>
      <c r="CH156" s="1665">
        <v>0</v>
      </c>
      <c r="CI156" s="1665">
        <v>0</v>
      </c>
      <c r="CJ156" s="1665">
        <v>0</v>
      </c>
      <c r="CK156" s="1665">
        <v>0</v>
      </c>
      <c r="CL156" s="1668"/>
      <c r="CM156" s="1665">
        <v>0</v>
      </c>
      <c r="CN156" s="1665">
        <v>0</v>
      </c>
      <c r="CO156" s="1665">
        <v>0</v>
      </c>
      <c r="CP156" s="1665">
        <v>0</v>
      </c>
      <c r="CQ156" s="1665">
        <v>0</v>
      </c>
      <c r="CR156" s="1665">
        <v>0</v>
      </c>
      <c r="CS156" s="1665">
        <v>0</v>
      </c>
      <c r="CT156" s="1665">
        <v>0</v>
      </c>
      <c r="CU156" s="1665">
        <v>0</v>
      </c>
      <c r="CV156" s="1665">
        <v>0</v>
      </c>
      <c r="CW156" s="1668"/>
      <c r="CX156" s="1663"/>
      <c r="CY156" s="1663"/>
      <c r="CZ156" s="1663"/>
      <c r="DA156" s="1663"/>
      <c r="DB156" s="1668"/>
      <c r="DC156" s="1662"/>
      <c r="DD156" s="1665">
        <v>0</v>
      </c>
      <c r="DE156" s="1663"/>
      <c r="DF156" s="1663"/>
      <c r="DG156" s="1665">
        <v>0</v>
      </c>
      <c r="DH156" s="1665">
        <v>0</v>
      </c>
    </row>
    <row r="157" spans="1:112" ht="56.25" x14ac:dyDescent="0.25">
      <c r="A157" s="1662" t="s">
        <v>2206</v>
      </c>
      <c r="B157" s="1662" t="s">
        <v>1722</v>
      </c>
      <c r="C157" s="1662" t="s">
        <v>2631</v>
      </c>
      <c r="D157" s="1662" t="s">
        <v>2632</v>
      </c>
      <c r="E157" s="1662" t="s">
        <v>141</v>
      </c>
      <c r="F157" s="1662" t="s">
        <v>2611</v>
      </c>
      <c r="G157" s="1662" t="s">
        <v>2612</v>
      </c>
      <c r="H157" s="1662" t="s">
        <v>2613</v>
      </c>
      <c r="I157" s="1662" t="s">
        <v>730</v>
      </c>
      <c r="J157" s="1662" t="s">
        <v>2201</v>
      </c>
      <c r="K157" s="1662" t="s">
        <v>2120</v>
      </c>
      <c r="L157" s="1662" t="s">
        <v>2109</v>
      </c>
      <c r="M157" s="1663"/>
      <c r="N157" s="1663"/>
      <c r="O157" s="1663"/>
      <c r="P157" s="1663"/>
      <c r="Q157" s="1663"/>
      <c r="R157" s="1663"/>
      <c r="S157" s="1663"/>
      <c r="T157" s="1663"/>
      <c r="U157" s="1663"/>
      <c r="V157" s="1663"/>
      <c r="W157" s="1663"/>
      <c r="X157" s="1663"/>
      <c r="Y157" s="1664">
        <v>43137</v>
      </c>
      <c r="Z157" s="1662" t="s">
        <v>2110</v>
      </c>
      <c r="AA157" s="1665">
        <v>0</v>
      </c>
      <c r="AB157" s="1665">
        <v>0</v>
      </c>
      <c r="AC157" s="1680">
        <v>0</v>
      </c>
      <c r="AD157" s="1682">
        <v>43167</v>
      </c>
      <c r="AE157" s="1679" t="s">
        <v>2114</v>
      </c>
      <c r="AF157" s="1662" t="s">
        <v>2115</v>
      </c>
      <c r="AG157" s="1666"/>
      <c r="AH157" s="1667">
        <v>198805.13</v>
      </c>
      <c r="AI157" s="1665">
        <v>198805.13</v>
      </c>
      <c r="AJ157" s="1665">
        <v>168984.36</v>
      </c>
      <c r="AK157" s="1698">
        <v>168984.36</v>
      </c>
      <c r="AL157" s="1665">
        <v>0</v>
      </c>
      <c r="AM157" s="1664">
        <v>43168</v>
      </c>
      <c r="AN157" s="1665">
        <v>198805.13</v>
      </c>
      <c r="AO157" s="1665">
        <v>198805.13</v>
      </c>
      <c r="AP157" s="1665">
        <v>168984.36</v>
      </c>
      <c r="AQ157" s="1665">
        <v>168984.36</v>
      </c>
      <c r="AR157" s="1665">
        <v>0</v>
      </c>
      <c r="AS157" s="1665">
        <v>29820.77</v>
      </c>
      <c r="AT157" s="1665">
        <v>0</v>
      </c>
      <c r="AU157" s="1665">
        <v>29820.77</v>
      </c>
      <c r="AV157" s="1665">
        <v>0</v>
      </c>
      <c r="AW157" s="1665">
        <v>0</v>
      </c>
      <c r="AX157" s="1663"/>
      <c r="AY157" s="1663"/>
      <c r="AZ157" s="1663"/>
      <c r="BA157" s="1668"/>
      <c r="BB157" s="1668"/>
      <c r="BC157" s="1663"/>
      <c r="BD157" s="1663"/>
      <c r="BE157" s="1665">
        <v>198805.13</v>
      </c>
      <c r="BF157" s="1665">
        <v>198805.13</v>
      </c>
      <c r="BG157" s="1665">
        <v>168984.36</v>
      </c>
      <c r="BH157" s="1665">
        <v>168984.36</v>
      </c>
      <c r="BI157" s="1665">
        <v>0</v>
      </c>
      <c r="BJ157" s="1665">
        <v>29820.77</v>
      </c>
      <c r="BK157" s="1665">
        <v>0</v>
      </c>
      <c r="BL157" s="1665">
        <v>29820.77</v>
      </c>
      <c r="BM157" s="1665">
        <v>0</v>
      </c>
      <c r="BN157" s="1665">
        <v>0</v>
      </c>
      <c r="BO157" s="1664">
        <v>43364</v>
      </c>
      <c r="BP157" s="1665">
        <v>198805.13</v>
      </c>
      <c r="BQ157" s="1665">
        <v>198805.13</v>
      </c>
      <c r="BR157" s="1665">
        <v>168984.36</v>
      </c>
      <c r="BS157" s="1667">
        <v>168984.36</v>
      </c>
      <c r="BT157" s="1665">
        <v>0</v>
      </c>
      <c r="BU157" s="1665">
        <v>29820.77</v>
      </c>
      <c r="BV157" s="1665">
        <v>0</v>
      </c>
      <c r="BW157" s="1665">
        <v>0</v>
      </c>
      <c r="BX157" s="1665">
        <v>0</v>
      </c>
      <c r="BY157" s="1665">
        <v>0</v>
      </c>
      <c r="BZ157" s="1665">
        <v>0</v>
      </c>
      <c r="CA157" s="1663"/>
      <c r="CB157" s="1668"/>
      <c r="CC157" s="1668"/>
      <c r="CD157" s="1663"/>
      <c r="CE157" s="1663"/>
      <c r="CF157" s="1665">
        <v>0</v>
      </c>
      <c r="CG157" s="1665">
        <v>0</v>
      </c>
      <c r="CH157" s="1665">
        <v>0</v>
      </c>
      <c r="CI157" s="1665">
        <v>0</v>
      </c>
      <c r="CJ157" s="1665">
        <v>0</v>
      </c>
      <c r="CK157" s="1665">
        <v>0</v>
      </c>
      <c r="CL157" s="1668"/>
      <c r="CM157" s="1665">
        <v>0</v>
      </c>
      <c r="CN157" s="1665">
        <v>0</v>
      </c>
      <c r="CO157" s="1665">
        <v>0</v>
      </c>
      <c r="CP157" s="1665">
        <v>0</v>
      </c>
      <c r="CQ157" s="1665">
        <v>0</v>
      </c>
      <c r="CR157" s="1665">
        <v>0</v>
      </c>
      <c r="CS157" s="1665">
        <v>0</v>
      </c>
      <c r="CT157" s="1665">
        <v>0</v>
      </c>
      <c r="CU157" s="1665">
        <v>0</v>
      </c>
      <c r="CV157" s="1665">
        <v>0</v>
      </c>
      <c r="CW157" s="1668"/>
      <c r="CX157" s="1663"/>
      <c r="CY157" s="1663"/>
      <c r="CZ157" s="1663"/>
      <c r="DA157" s="1663"/>
      <c r="DB157" s="1668"/>
      <c r="DC157" s="1662"/>
      <c r="DD157" s="1665">
        <v>0</v>
      </c>
      <c r="DE157" s="1663"/>
      <c r="DF157" s="1663"/>
      <c r="DG157" s="1665">
        <v>0</v>
      </c>
      <c r="DH157" s="1665">
        <v>0</v>
      </c>
    </row>
    <row r="158" spans="1:112" ht="56.25" x14ac:dyDescent="0.25">
      <c r="A158" s="1662" t="s">
        <v>2207</v>
      </c>
      <c r="B158" s="1662" t="s">
        <v>1722</v>
      </c>
      <c r="C158" s="1662" t="s">
        <v>2631</v>
      </c>
      <c r="D158" s="1662" t="s">
        <v>2632</v>
      </c>
      <c r="E158" s="1662" t="s">
        <v>141</v>
      </c>
      <c r="F158" s="1662" t="s">
        <v>2611</v>
      </c>
      <c r="G158" s="1662" t="s">
        <v>2612</v>
      </c>
      <c r="H158" s="1662" t="s">
        <v>2613</v>
      </c>
      <c r="I158" s="1662" t="s">
        <v>730</v>
      </c>
      <c r="J158" s="1662" t="s">
        <v>2201</v>
      </c>
      <c r="K158" s="1662" t="s">
        <v>2120</v>
      </c>
      <c r="L158" s="1662" t="s">
        <v>2109</v>
      </c>
      <c r="M158" s="1663"/>
      <c r="N158" s="1663"/>
      <c r="O158" s="1663"/>
      <c r="P158" s="1663"/>
      <c r="Q158" s="1663"/>
      <c r="R158" s="1663"/>
      <c r="S158" s="1663"/>
      <c r="T158" s="1663"/>
      <c r="U158" s="1663"/>
      <c r="V158" s="1663"/>
      <c r="W158" s="1663"/>
      <c r="X158" s="1663"/>
      <c r="Y158" s="1664">
        <v>43137</v>
      </c>
      <c r="Z158" s="1662" t="s">
        <v>2110</v>
      </c>
      <c r="AA158" s="1665">
        <v>0</v>
      </c>
      <c r="AB158" s="1665">
        <v>0</v>
      </c>
      <c r="AC158" s="1680">
        <v>0</v>
      </c>
      <c r="AD158" s="1682">
        <v>43167</v>
      </c>
      <c r="AE158" s="1679" t="s">
        <v>2114</v>
      </c>
      <c r="AF158" s="1662" t="s">
        <v>2112</v>
      </c>
      <c r="AG158" s="1666"/>
      <c r="AH158" s="1667">
        <v>136925.92000000001</v>
      </c>
      <c r="AI158" s="1665">
        <v>136925.92000000001</v>
      </c>
      <c r="AJ158" s="1665">
        <v>116387.03</v>
      </c>
      <c r="AK158" s="1698">
        <v>116387.03</v>
      </c>
      <c r="AL158" s="1665">
        <v>0</v>
      </c>
      <c r="AM158" s="1664">
        <v>43167</v>
      </c>
      <c r="AN158" s="1665">
        <v>136925.92000000001</v>
      </c>
      <c r="AO158" s="1665">
        <v>136925.92000000001</v>
      </c>
      <c r="AP158" s="1665">
        <v>116387.03</v>
      </c>
      <c r="AQ158" s="1665">
        <v>116387.03</v>
      </c>
      <c r="AR158" s="1665">
        <v>0</v>
      </c>
      <c r="AS158" s="1665">
        <v>20538.89</v>
      </c>
      <c r="AT158" s="1665">
        <v>0</v>
      </c>
      <c r="AU158" s="1665">
        <v>20538.89</v>
      </c>
      <c r="AV158" s="1665">
        <v>0</v>
      </c>
      <c r="AW158" s="1665">
        <v>0</v>
      </c>
      <c r="AX158" s="1663"/>
      <c r="AY158" s="1663"/>
      <c r="AZ158" s="1663"/>
      <c r="BA158" s="1668"/>
      <c r="BB158" s="1668"/>
      <c r="BC158" s="1663"/>
      <c r="BD158" s="1663"/>
      <c r="BE158" s="1665">
        <v>136925.92000000001</v>
      </c>
      <c r="BF158" s="1665">
        <v>136925.92000000001</v>
      </c>
      <c r="BG158" s="1665">
        <v>116387.03</v>
      </c>
      <c r="BH158" s="1665">
        <v>116387.03</v>
      </c>
      <c r="BI158" s="1665">
        <v>0</v>
      </c>
      <c r="BJ158" s="1665">
        <v>20538.89</v>
      </c>
      <c r="BK158" s="1665">
        <v>0</v>
      </c>
      <c r="BL158" s="1665">
        <v>20538.89</v>
      </c>
      <c r="BM158" s="1665">
        <v>0</v>
      </c>
      <c r="BN158" s="1665">
        <v>0</v>
      </c>
      <c r="BO158" s="1664">
        <v>43364</v>
      </c>
      <c r="BP158" s="1665">
        <v>136925.92000000001</v>
      </c>
      <c r="BQ158" s="1665">
        <v>136925.92000000001</v>
      </c>
      <c r="BR158" s="1665">
        <v>116387.03</v>
      </c>
      <c r="BS158" s="1667">
        <v>116387.03</v>
      </c>
      <c r="BT158" s="1665">
        <v>0</v>
      </c>
      <c r="BU158" s="1665">
        <v>20538.89</v>
      </c>
      <c r="BV158" s="1665">
        <v>0</v>
      </c>
      <c r="BW158" s="1665">
        <v>0</v>
      </c>
      <c r="BX158" s="1665">
        <v>0</v>
      </c>
      <c r="BY158" s="1665">
        <v>0</v>
      </c>
      <c r="BZ158" s="1665">
        <v>0</v>
      </c>
      <c r="CA158" s="1663"/>
      <c r="CB158" s="1668"/>
      <c r="CC158" s="1668"/>
      <c r="CD158" s="1663"/>
      <c r="CE158" s="1663"/>
      <c r="CF158" s="1665">
        <v>0</v>
      </c>
      <c r="CG158" s="1665">
        <v>0</v>
      </c>
      <c r="CH158" s="1665">
        <v>0</v>
      </c>
      <c r="CI158" s="1665">
        <v>0</v>
      </c>
      <c r="CJ158" s="1665">
        <v>0</v>
      </c>
      <c r="CK158" s="1665">
        <v>0</v>
      </c>
      <c r="CL158" s="1668"/>
      <c r="CM158" s="1665">
        <v>0</v>
      </c>
      <c r="CN158" s="1665">
        <v>0</v>
      </c>
      <c r="CO158" s="1665">
        <v>0</v>
      </c>
      <c r="CP158" s="1665">
        <v>0</v>
      </c>
      <c r="CQ158" s="1665">
        <v>0</v>
      </c>
      <c r="CR158" s="1665">
        <v>0</v>
      </c>
      <c r="CS158" s="1665">
        <v>0</v>
      </c>
      <c r="CT158" s="1665">
        <v>0</v>
      </c>
      <c r="CU158" s="1665">
        <v>0</v>
      </c>
      <c r="CV158" s="1665">
        <v>0</v>
      </c>
      <c r="CW158" s="1668"/>
      <c r="CX158" s="1663"/>
      <c r="CY158" s="1663"/>
      <c r="CZ158" s="1663"/>
      <c r="DA158" s="1663"/>
      <c r="DB158" s="1668"/>
      <c r="DC158" s="1662"/>
      <c r="DD158" s="1665">
        <v>0</v>
      </c>
      <c r="DE158" s="1663"/>
      <c r="DF158" s="1663"/>
      <c r="DG158" s="1665">
        <v>0</v>
      </c>
      <c r="DH158" s="1665">
        <v>0</v>
      </c>
    </row>
    <row r="159" spans="1:112" ht="56.25" x14ac:dyDescent="0.25">
      <c r="A159" s="1662" t="s">
        <v>2208</v>
      </c>
      <c r="B159" s="1662" t="s">
        <v>1722</v>
      </c>
      <c r="C159" s="1662" t="s">
        <v>2631</v>
      </c>
      <c r="D159" s="1662" t="s">
        <v>2632</v>
      </c>
      <c r="E159" s="1662" t="s">
        <v>141</v>
      </c>
      <c r="F159" s="1662" t="s">
        <v>2611</v>
      </c>
      <c r="G159" s="1662" t="s">
        <v>2612</v>
      </c>
      <c r="H159" s="1662" t="s">
        <v>2613</v>
      </c>
      <c r="I159" s="1662" t="s">
        <v>730</v>
      </c>
      <c r="J159" s="1662" t="s">
        <v>2201</v>
      </c>
      <c r="K159" s="1662" t="s">
        <v>2120</v>
      </c>
      <c r="L159" s="1662" t="s">
        <v>2109</v>
      </c>
      <c r="M159" s="1663"/>
      <c r="N159" s="1663"/>
      <c r="O159" s="1663"/>
      <c r="P159" s="1663"/>
      <c r="Q159" s="1663"/>
      <c r="R159" s="1663"/>
      <c r="S159" s="1663"/>
      <c r="T159" s="1663"/>
      <c r="U159" s="1663"/>
      <c r="V159" s="1663"/>
      <c r="W159" s="1663"/>
      <c r="X159" s="1663"/>
      <c r="Y159" s="1664">
        <v>43252</v>
      </c>
      <c r="Z159" s="1662" t="s">
        <v>2110</v>
      </c>
      <c r="AA159" s="1665">
        <v>0</v>
      </c>
      <c r="AB159" s="1665">
        <v>0</v>
      </c>
      <c r="AC159" s="1680">
        <v>0</v>
      </c>
      <c r="AD159" s="1682">
        <v>43332</v>
      </c>
      <c r="AE159" s="1679" t="s">
        <v>2128</v>
      </c>
      <c r="AF159" s="1662" t="s">
        <v>2112</v>
      </c>
      <c r="AG159" s="1666"/>
      <c r="AH159" s="1667">
        <v>12450.25</v>
      </c>
      <c r="AI159" s="1665">
        <v>12450.25</v>
      </c>
      <c r="AJ159" s="1665">
        <v>10582.71</v>
      </c>
      <c r="AK159" s="1698">
        <v>10582.71</v>
      </c>
      <c r="AL159" s="1665">
        <v>0</v>
      </c>
      <c r="AM159" s="1664">
        <v>43332</v>
      </c>
      <c r="AN159" s="1665">
        <v>12450.25</v>
      </c>
      <c r="AO159" s="1665">
        <v>12450.25</v>
      </c>
      <c r="AP159" s="1665">
        <v>10582.71</v>
      </c>
      <c r="AQ159" s="1665">
        <v>10582.71</v>
      </c>
      <c r="AR159" s="1665">
        <v>0</v>
      </c>
      <c r="AS159" s="1665">
        <v>1867.54</v>
      </c>
      <c r="AT159" s="1665">
        <v>0</v>
      </c>
      <c r="AU159" s="1665">
        <v>1867.54</v>
      </c>
      <c r="AV159" s="1665">
        <v>0</v>
      </c>
      <c r="AW159" s="1665">
        <v>0</v>
      </c>
      <c r="AX159" s="1663"/>
      <c r="AY159" s="1663"/>
      <c r="AZ159" s="1663"/>
      <c r="BA159" s="1668"/>
      <c r="BB159" s="1668"/>
      <c r="BC159" s="1663"/>
      <c r="BD159" s="1663"/>
      <c r="BE159" s="1665">
        <v>12450.25</v>
      </c>
      <c r="BF159" s="1665">
        <v>12450.25</v>
      </c>
      <c r="BG159" s="1665">
        <v>10582.71</v>
      </c>
      <c r="BH159" s="1665">
        <v>10582.71</v>
      </c>
      <c r="BI159" s="1665">
        <v>0</v>
      </c>
      <c r="BJ159" s="1665">
        <v>1867.54</v>
      </c>
      <c r="BK159" s="1665">
        <v>0</v>
      </c>
      <c r="BL159" s="1665">
        <v>1867.54</v>
      </c>
      <c r="BM159" s="1665">
        <v>0</v>
      </c>
      <c r="BN159" s="1665">
        <v>0</v>
      </c>
      <c r="BO159" s="1668"/>
      <c r="BP159" s="1665">
        <v>0</v>
      </c>
      <c r="BQ159" s="1665">
        <v>0</v>
      </c>
      <c r="BR159" s="1665">
        <v>0</v>
      </c>
      <c r="BS159" s="1667">
        <v>0</v>
      </c>
      <c r="BT159" s="1665">
        <v>0</v>
      </c>
      <c r="BU159" s="1665">
        <v>0</v>
      </c>
      <c r="BV159" s="1665">
        <v>0</v>
      </c>
      <c r="BW159" s="1665">
        <v>0</v>
      </c>
      <c r="BX159" s="1665">
        <v>0</v>
      </c>
      <c r="BY159" s="1665">
        <v>0</v>
      </c>
      <c r="BZ159" s="1665">
        <v>0</v>
      </c>
      <c r="CA159" s="1663"/>
      <c r="CB159" s="1668"/>
      <c r="CC159" s="1668"/>
      <c r="CD159" s="1663"/>
      <c r="CE159" s="1663"/>
      <c r="CF159" s="1665">
        <v>0</v>
      </c>
      <c r="CG159" s="1665">
        <v>0</v>
      </c>
      <c r="CH159" s="1665">
        <v>0</v>
      </c>
      <c r="CI159" s="1665">
        <v>0</v>
      </c>
      <c r="CJ159" s="1665">
        <v>0</v>
      </c>
      <c r="CK159" s="1665">
        <v>0</v>
      </c>
      <c r="CL159" s="1668"/>
      <c r="CM159" s="1665">
        <v>0</v>
      </c>
      <c r="CN159" s="1665">
        <v>0</v>
      </c>
      <c r="CO159" s="1665">
        <v>0</v>
      </c>
      <c r="CP159" s="1665">
        <v>0</v>
      </c>
      <c r="CQ159" s="1665">
        <v>0</v>
      </c>
      <c r="CR159" s="1665">
        <v>0</v>
      </c>
      <c r="CS159" s="1665">
        <v>0</v>
      </c>
      <c r="CT159" s="1665">
        <v>0</v>
      </c>
      <c r="CU159" s="1665">
        <v>0</v>
      </c>
      <c r="CV159" s="1665">
        <v>0</v>
      </c>
      <c r="CW159" s="1668"/>
      <c r="CX159" s="1663"/>
      <c r="CY159" s="1663"/>
      <c r="CZ159" s="1663"/>
      <c r="DA159" s="1663"/>
      <c r="DB159" s="1668"/>
      <c r="DC159" s="1662"/>
      <c r="DD159" s="1665">
        <v>0</v>
      </c>
      <c r="DE159" s="1663"/>
      <c r="DF159" s="1663"/>
      <c r="DG159" s="1665">
        <v>0</v>
      </c>
      <c r="DH159" s="1665">
        <v>0</v>
      </c>
    </row>
    <row r="160" spans="1:112" ht="56.25" x14ac:dyDescent="0.25">
      <c r="A160" s="1662" t="s">
        <v>2210</v>
      </c>
      <c r="B160" s="1662" t="s">
        <v>1722</v>
      </c>
      <c r="C160" s="1662" t="s">
        <v>2631</v>
      </c>
      <c r="D160" s="1662" t="s">
        <v>2632</v>
      </c>
      <c r="E160" s="1662" t="s">
        <v>141</v>
      </c>
      <c r="F160" s="1662" t="s">
        <v>2611</v>
      </c>
      <c r="G160" s="1662" t="s">
        <v>2612</v>
      </c>
      <c r="H160" s="1662" t="s">
        <v>2613</v>
      </c>
      <c r="I160" s="1662" t="s">
        <v>731</v>
      </c>
      <c r="J160" s="1662" t="s">
        <v>2209</v>
      </c>
      <c r="K160" s="1662" t="s">
        <v>2108</v>
      </c>
      <c r="L160" s="1662" t="s">
        <v>2109</v>
      </c>
      <c r="M160" s="1665">
        <v>835464</v>
      </c>
      <c r="N160" s="1665">
        <v>0</v>
      </c>
      <c r="O160" s="1665">
        <v>835464</v>
      </c>
      <c r="P160" s="1665">
        <v>835464</v>
      </c>
      <c r="Q160" s="1665">
        <v>710144</v>
      </c>
      <c r="R160" s="1665">
        <v>710144</v>
      </c>
      <c r="S160" s="1665">
        <v>0</v>
      </c>
      <c r="T160" s="1665">
        <v>125320</v>
      </c>
      <c r="U160" s="1665">
        <v>62660</v>
      </c>
      <c r="V160" s="1665">
        <v>62660</v>
      </c>
      <c r="W160" s="1665">
        <v>0</v>
      </c>
      <c r="X160" s="1665">
        <v>0</v>
      </c>
      <c r="Y160" s="1668"/>
      <c r="Z160" s="1662"/>
      <c r="AA160" s="1665">
        <v>0</v>
      </c>
      <c r="AB160" s="1665">
        <v>0</v>
      </c>
      <c r="AC160" s="1680">
        <v>0</v>
      </c>
      <c r="AD160" s="1681"/>
      <c r="AE160" s="1679"/>
      <c r="AF160" s="1662"/>
      <c r="AG160" s="1666"/>
      <c r="AH160" s="1667">
        <v>583609.77</v>
      </c>
      <c r="AI160" s="1665">
        <v>583609.77</v>
      </c>
      <c r="AJ160" s="1665">
        <v>496068.03</v>
      </c>
      <c r="AK160" s="1698">
        <v>496068.03</v>
      </c>
      <c r="AL160" s="1665">
        <v>0</v>
      </c>
      <c r="AM160" s="1668"/>
      <c r="AN160" s="1665">
        <v>583609.77</v>
      </c>
      <c r="AO160" s="1665">
        <v>583609.77</v>
      </c>
      <c r="AP160" s="1665">
        <v>496068.03</v>
      </c>
      <c r="AQ160" s="1665">
        <v>496068.03</v>
      </c>
      <c r="AR160" s="1665">
        <v>0</v>
      </c>
      <c r="AS160" s="1665">
        <v>87541.74</v>
      </c>
      <c r="AT160" s="1665">
        <v>43770.87</v>
      </c>
      <c r="AU160" s="1665">
        <v>43770.87</v>
      </c>
      <c r="AV160" s="1665">
        <v>0</v>
      </c>
      <c r="AW160" s="1665">
        <v>0</v>
      </c>
      <c r="AX160" s="1665">
        <v>0</v>
      </c>
      <c r="AY160" s="1665">
        <v>0</v>
      </c>
      <c r="AZ160" s="1665">
        <v>0</v>
      </c>
      <c r="BA160" s="1668"/>
      <c r="BB160" s="1668"/>
      <c r="BC160" s="1665">
        <v>0</v>
      </c>
      <c r="BD160" s="1665">
        <v>0</v>
      </c>
      <c r="BE160" s="1665">
        <v>583609.77</v>
      </c>
      <c r="BF160" s="1665">
        <v>583609.77</v>
      </c>
      <c r="BG160" s="1665">
        <v>496068.03</v>
      </c>
      <c r="BH160" s="1665">
        <v>496068.03</v>
      </c>
      <c r="BI160" s="1665">
        <v>0</v>
      </c>
      <c r="BJ160" s="1665">
        <v>87541.74</v>
      </c>
      <c r="BK160" s="1665">
        <v>43770.87</v>
      </c>
      <c r="BL160" s="1665">
        <v>43770.87</v>
      </c>
      <c r="BM160" s="1665">
        <v>0</v>
      </c>
      <c r="BN160" s="1665">
        <v>0</v>
      </c>
      <c r="BO160" s="1668"/>
      <c r="BP160" s="1665">
        <v>438936.88</v>
      </c>
      <c r="BQ160" s="1665">
        <v>438936.88</v>
      </c>
      <c r="BR160" s="1665">
        <v>373096.14</v>
      </c>
      <c r="BS160" s="1667">
        <v>373096.14</v>
      </c>
      <c r="BT160" s="1665">
        <v>0</v>
      </c>
      <c r="BU160" s="1665">
        <v>65840.740000000005</v>
      </c>
      <c r="BV160" s="1665">
        <v>43770.87</v>
      </c>
      <c r="BW160" s="1665">
        <v>0</v>
      </c>
      <c r="BX160" s="1665">
        <v>0</v>
      </c>
      <c r="BY160" s="1665">
        <v>0</v>
      </c>
      <c r="BZ160" s="1665">
        <v>0</v>
      </c>
      <c r="CA160" s="1665">
        <v>0</v>
      </c>
      <c r="CB160" s="1668"/>
      <c r="CC160" s="1668"/>
      <c r="CD160" s="1665">
        <v>0</v>
      </c>
      <c r="CE160" s="1665">
        <v>0</v>
      </c>
      <c r="CF160" s="1665">
        <v>0</v>
      </c>
      <c r="CG160" s="1665">
        <v>0</v>
      </c>
      <c r="CH160" s="1665">
        <v>0</v>
      </c>
      <c r="CI160" s="1665">
        <v>0</v>
      </c>
      <c r="CJ160" s="1665">
        <v>0</v>
      </c>
      <c r="CK160" s="1665">
        <v>0</v>
      </c>
      <c r="CL160" s="1668"/>
      <c r="CM160" s="1665">
        <v>0</v>
      </c>
      <c r="CN160" s="1665">
        <v>0</v>
      </c>
      <c r="CO160" s="1665">
        <v>0</v>
      </c>
      <c r="CP160" s="1665">
        <v>0</v>
      </c>
      <c r="CQ160" s="1665">
        <v>0</v>
      </c>
      <c r="CR160" s="1665">
        <v>0</v>
      </c>
      <c r="CS160" s="1665">
        <v>0</v>
      </c>
      <c r="CT160" s="1665">
        <v>0</v>
      </c>
      <c r="CU160" s="1665">
        <v>0</v>
      </c>
      <c r="CV160" s="1665">
        <v>0</v>
      </c>
      <c r="CW160" s="1668"/>
      <c r="CX160" s="1665">
        <v>0</v>
      </c>
      <c r="CY160" s="1665">
        <v>0</v>
      </c>
      <c r="CZ160" s="1665">
        <v>0</v>
      </c>
      <c r="DA160" s="1665">
        <v>0</v>
      </c>
      <c r="DB160" s="1668"/>
      <c r="DC160" s="1662"/>
      <c r="DD160" s="1665">
        <v>0</v>
      </c>
      <c r="DE160" s="1665">
        <v>0</v>
      </c>
      <c r="DF160" s="1665">
        <v>0</v>
      </c>
      <c r="DG160" s="1665">
        <v>0</v>
      </c>
      <c r="DH160" s="1665">
        <v>0</v>
      </c>
    </row>
    <row r="161" spans="1:112" ht="56.25" x14ac:dyDescent="0.25">
      <c r="A161" s="1662" t="s">
        <v>2211</v>
      </c>
      <c r="B161" s="1662" t="s">
        <v>1722</v>
      </c>
      <c r="C161" s="1662" t="s">
        <v>2631</v>
      </c>
      <c r="D161" s="1662" t="s">
        <v>2632</v>
      </c>
      <c r="E161" s="1662" t="s">
        <v>141</v>
      </c>
      <c r="F161" s="1662" t="s">
        <v>2611</v>
      </c>
      <c r="G161" s="1662" t="s">
        <v>2612</v>
      </c>
      <c r="H161" s="1662" t="s">
        <v>2613</v>
      </c>
      <c r="I161" s="1662" t="s">
        <v>731</v>
      </c>
      <c r="J161" s="1662" t="s">
        <v>2209</v>
      </c>
      <c r="K161" s="1662" t="s">
        <v>2108</v>
      </c>
      <c r="L161" s="1662" t="s">
        <v>2109</v>
      </c>
      <c r="M161" s="1663"/>
      <c r="N161" s="1663"/>
      <c r="O161" s="1663"/>
      <c r="P161" s="1663"/>
      <c r="Q161" s="1663"/>
      <c r="R161" s="1663"/>
      <c r="S161" s="1663"/>
      <c r="T161" s="1663"/>
      <c r="U161" s="1663"/>
      <c r="V161" s="1663"/>
      <c r="W161" s="1663"/>
      <c r="X161" s="1663"/>
      <c r="Y161" s="1664">
        <v>43062</v>
      </c>
      <c r="Z161" s="1662" t="s">
        <v>2110</v>
      </c>
      <c r="AA161" s="1665">
        <v>0</v>
      </c>
      <c r="AB161" s="1665">
        <v>0</v>
      </c>
      <c r="AC161" s="1680">
        <v>0</v>
      </c>
      <c r="AD161" s="1682">
        <v>43091</v>
      </c>
      <c r="AE161" s="1679" t="s">
        <v>2122</v>
      </c>
      <c r="AF161" s="1662" t="s">
        <v>2115</v>
      </c>
      <c r="AG161" s="1666"/>
      <c r="AH161" s="1667">
        <v>167369.53</v>
      </c>
      <c r="AI161" s="1665">
        <v>167369.53</v>
      </c>
      <c r="AJ161" s="1665">
        <v>142264.01999999999</v>
      </c>
      <c r="AK161" s="1698">
        <v>142264.01999999999</v>
      </c>
      <c r="AL161" s="1665">
        <v>0</v>
      </c>
      <c r="AM161" s="1664">
        <v>43130</v>
      </c>
      <c r="AN161" s="1665">
        <v>167369.53</v>
      </c>
      <c r="AO161" s="1665">
        <v>167369.53</v>
      </c>
      <c r="AP161" s="1665">
        <v>142264.01999999999</v>
      </c>
      <c r="AQ161" s="1665">
        <v>142264.01999999999</v>
      </c>
      <c r="AR161" s="1665">
        <v>0</v>
      </c>
      <c r="AS161" s="1665">
        <v>25105.51</v>
      </c>
      <c r="AT161" s="1665">
        <v>12552.75</v>
      </c>
      <c r="AU161" s="1665">
        <v>12552.76</v>
      </c>
      <c r="AV161" s="1665">
        <v>0</v>
      </c>
      <c r="AW161" s="1665">
        <v>0</v>
      </c>
      <c r="AX161" s="1663"/>
      <c r="AY161" s="1663"/>
      <c r="AZ161" s="1663"/>
      <c r="BA161" s="1668"/>
      <c r="BB161" s="1668"/>
      <c r="BC161" s="1663"/>
      <c r="BD161" s="1663"/>
      <c r="BE161" s="1665">
        <v>167369.53</v>
      </c>
      <c r="BF161" s="1665">
        <v>167369.53</v>
      </c>
      <c r="BG161" s="1665">
        <v>142264.01999999999</v>
      </c>
      <c r="BH161" s="1665">
        <v>142264.01999999999</v>
      </c>
      <c r="BI161" s="1665">
        <v>0</v>
      </c>
      <c r="BJ161" s="1665">
        <v>25105.51</v>
      </c>
      <c r="BK161" s="1665">
        <v>12552.75</v>
      </c>
      <c r="BL161" s="1665">
        <v>12552.76</v>
      </c>
      <c r="BM161" s="1665">
        <v>0</v>
      </c>
      <c r="BN161" s="1665">
        <v>0</v>
      </c>
      <c r="BO161" s="1664">
        <v>43364</v>
      </c>
      <c r="BP161" s="1665">
        <v>167369.53</v>
      </c>
      <c r="BQ161" s="1665">
        <v>167369.53</v>
      </c>
      <c r="BR161" s="1665">
        <v>142264.01999999999</v>
      </c>
      <c r="BS161" s="1667">
        <v>142264.01999999999</v>
      </c>
      <c r="BT161" s="1665">
        <v>0</v>
      </c>
      <c r="BU161" s="1665">
        <v>25105.51</v>
      </c>
      <c r="BV161" s="1665">
        <v>12552.75</v>
      </c>
      <c r="BW161" s="1665">
        <v>0</v>
      </c>
      <c r="BX161" s="1665">
        <v>0</v>
      </c>
      <c r="BY161" s="1665">
        <v>0</v>
      </c>
      <c r="BZ161" s="1665">
        <v>0</v>
      </c>
      <c r="CA161" s="1663"/>
      <c r="CB161" s="1668"/>
      <c r="CC161" s="1668"/>
      <c r="CD161" s="1663"/>
      <c r="CE161" s="1663"/>
      <c r="CF161" s="1665">
        <v>0</v>
      </c>
      <c r="CG161" s="1665">
        <v>0</v>
      </c>
      <c r="CH161" s="1665">
        <v>0</v>
      </c>
      <c r="CI161" s="1665">
        <v>0</v>
      </c>
      <c r="CJ161" s="1665">
        <v>0</v>
      </c>
      <c r="CK161" s="1665">
        <v>0</v>
      </c>
      <c r="CL161" s="1668"/>
      <c r="CM161" s="1665">
        <v>0</v>
      </c>
      <c r="CN161" s="1665">
        <v>0</v>
      </c>
      <c r="CO161" s="1665">
        <v>0</v>
      </c>
      <c r="CP161" s="1665">
        <v>0</v>
      </c>
      <c r="CQ161" s="1665">
        <v>0</v>
      </c>
      <c r="CR161" s="1665">
        <v>0</v>
      </c>
      <c r="CS161" s="1665">
        <v>0</v>
      </c>
      <c r="CT161" s="1665">
        <v>0</v>
      </c>
      <c r="CU161" s="1665">
        <v>0</v>
      </c>
      <c r="CV161" s="1665">
        <v>0</v>
      </c>
      <c r="CW161" s="1668"/>
      <c r="CX161" s="1663"/>
      <c r="CY161" s="1663"/>
      <c r="CZ161" s="1663"/>
      <c r="DA161" s="1663"/>
      <c r="DB161" s="1668"/>
      <c r="DC161" s="1662"/>
      <c r="DD161" s="1665">
        <v>0</v>
      </c>
      <c r="DE161" s="1663"/>
      <c r="DF161" s="1663"/>
      <c r="DG161" s="1665">
        <v>0</v>
      </c>
      <c r="DH161" s="1665">
        <v>0</v>
      </c>
    </row>
    <row r="162" spans="1:112" ht="56.25" x14ac:dyDescent="0.25">
      <c r="A162" s="1662" t="s">
        <v>2212</v>
      </c>
      <c r="B162" s="1662" t="s">
        <v>1722</v>
      </c>
      <c r="C162" s="1662" t="s">
        <v>2631</v>
      </c>
      <c r="D162" s="1662" t="s">
        <v>2632</v>
      </c>
      <c r="E162" s="1662" t="s">
        <v>141</v>
      </c>
      <c r="F162" s="1662" t="s">
        <v>2611</v>
      </c>
      <c r="G162" s="1662" t="s">
        <v>2612</v>
      </c>
      <c r="H162" s="1662" t="s">
        <v>2613</v>
      </c>
      <c r="I162" s="1662" t="s">
        <v>731</v>
      </c>
      <c r="J162" s="1662" t="s">
        <v>2209</v>
      </c>
      <c r="K162" s="1662" t="s">
        <v>2108</v>
      </c>
      <c r="L162" s="1662" t="s">
        <v>2109</v>
      </c>
      <c r="M162" s="1663"/>
      <c r="N162" s="1663"/>
      <c r="O162" s="1663"/>
      <c r="P162" s="1663"/>
      <c r="Q162" s="1663"/>
      <c r="R162" s="1663"/>
      <c r="S162" s="1663"/>
      <c r="T162" s="1663"/>
      <c r="U162" s="1663"/>
      <c r="V162" s="1663"/>
      <c r="W162" s="1663"/>
      <c r="X162" s="1663"/>
      <c r="Y162" s="1664">
        <v>43084</v>
      </c>
      <c r="Z162" s="1662" t="s">
        <v>2110</v>
      </c>
      <c r="AA162" s="1665">
        <v>0</v>
      </c>
      <c r="AB162" s="1665">
        <v>0</v>
      </c>
      <c r="AC162" s="1680">
        <v>0</v>
      </c>
      <c r="AD162" s="1682">
        <v>43097</v>
      </c>
      <c r="AE162" s="1679" t="s">
        <v>2111</v>
      </c>
      <c r="AF162" s="1662" t="s">
        <v>2115</v>
      </c>
      <c r="AG162" s="1666"/>
      <c r="AH162" s="1667">
        <v>266567.36</v>
      </c>
      <c r="AI162" s="1665">
        <v>266567.36</v>
      </c>
      <c r="AJ162" s="1665">
        <v>226582.13</v>
      </c>
      <c r="AK162" s="1698">
        <v>226582.13</v>
      </c>
      <c r="AL162" s="1665">
        <v>0</v>
      </c>
      <c r="AM162" s="1664">
        <v>43130</v>
      </c>
      <c r="AN162" s="1665">
        <v>266567.36</v>
      </c>
      <c r="AO162" s="1665">
        <v>266567.36</v>
      </c>
      <c r="AP162" s="1665">
        <v>226582.13</v>
      </c>
      <c r="AQ162" s="1665">
        <v>226582.13</v>
      </c>
      <c r="AR162" s="1665">
        <v>0</v>
      </c>
      <c r="AS162" s="1665">
        <v>39985.230000000003</v>
      </c>
      <c r="AT162" s="1665">
        <v>19992.62</v>
      </c>
      <c r="AU162" s="1665">
        <v>19992.61</v>
      </c>
      <c r="AV162" s="1665">
        <v>0</v>
      </c>
      <c r="AW162" s="1665">
        <v>0</v>
      </c>
      <c r="AX162" s="1663"/>
      <c r="AY162" s="1663"/>
      <c r="AZ162" s="1663"/>
      <c r="BA162" s="1668"/>
      <c r="BB162" s="1668"/>
      <c r="BC162" s="1663"/>
      <c r="BD162" s="1663"/>
      <c r="BE162" s="1665">
        <v>266567.36</v>
      </c>
      <c r="BF162" s="1665">
        <v>266567.36</v>
      </c>
      <c r="BG162" s="1665">
        <v>226582.13</v>
      </c>
      <c r="BH162" s="1665">
        <v>226582.13</v>
      </c>
      <c r="BI162" s="1665">
        <v>0</v>
      </c>
      <c r="BJ162" s="1665">
        <v>39985.230000000003</v>
      </c>
      <c r="BK162" s="1665">
        <v>19992.62</v>
      </c>
      <c r="BL162" s="1665">
        <v>19992.61</v>
      </c>
      <c r="BM162" s="1665">
        <v>0</v>
      </c>
      <c r="BN162" s="1665">
        <v>0</v>
      </c>
      <c r="BO162" s="1664">
        <v>43364</v>
      </c>
      <c r="BP162" s="1665">
        <v>266567.36</v>
      </c>
      <c r="BQ162" s="1665">
        <v>266567.36</v>
      </c>
      <c r="BR162" s="1665">
        <v>226582.13</v>
      </c>
      <c r="BS162" s="1667">
        <v>226582.13</v>
      </c>
      <c r="BT162" s="1665">
        <v>0</v>
      </c>
      <c r="BU162" s="1665">
        <v>39985.230000000003</v>
      </c>
      <c r="BV162" s="1665">
        <v>19992.62</v>
      </c>
      <c r="BW162" s="1665">
        <v>0</v>
      </c>
      <c r="BX162" s="1665">
        <v>0</v>
      </c>
      <c r="BY162" s="1665">
        <v>0</v>
      </c>
      <c r="BZ162" s="1665">
        <v>0</v>
      </c>
      <c r="CA162" s="1663"/>
      <c r="CB162" s="1668"/>
      <c r="CC162" s="1668"/>
      <c r="CD162" s="1663"/>
      <c r="CE162" s="1663"/>
      <c r="CF162" s="1665">
        <v>0</v>
      </c>
      <c r="CG162" s="1665">
        <v>0</v>
      </c>
      <c r="CH162" s="1665">
        <v>0</v>
      </c>
      <c r="CI162" s="1665">
        <v>0</v>
      </c>
      <c r="CJ162" s="1665">
        <v>0</v>
      </c>
      <c r="CK162" s="1665">
        <v>0</v>
      </c>
      <c r="CL162" s="1668"/>
      <c r="CM162" s="1665">
        <v>0</v>
      </c>
      <c r="CN162" s="1665">
        <v>0</v>
      </c>
      <c r="CO162" s="1665">
        <v>0</v>
      </c>
      <c r="CP162" s="1665">
        <v>0</v>
      </c>
      <c r="CQ162" s="1665">
        <v>0</v>
      </c>
      <c r="CR162" s="1665">
        <v>0</v>
      </c>
      <c r="CS162" s="1665">
        <v>0</v>
      </c>
      <c r="CT162" s="1665">
        <v>0</v>
      </c>
      <c r="CU162" s="1665">
        <v>0</v>
      </c>
      <c r="CV162" s="1665">
        <v>0</v>
      </c>
      <c r="CW162" s="1668"/>
      <c r="CX162" s="1663"/>
      <c r="CY162" s="1663"/>
      <c r="CZ162" s="1663"/>
      <c r="DA162" s="1663"/>
      <c r="DB162" s="1668"/>
      <c r="DC162" s="1662"/>
      <c r="DD162" s="1665">
        <v>0</v>
      </c>
      <c r="DE162" s="1663"/>
      <c r="DF162" s="1663"/>
      <c r="DG162" s="1665">
        <v>0</v>
      </c>
      <c r="DH162" s="1665">
        <v>0</v>
      </c>
    </row>
    <row r="163" spans="1:112" ht="56.25" x14ac:dyDescent="0.25">
      <c r="A163" s="1662" t="s">
        <v>2213</v>
      </c>
      <c r="B163" s="1662" t="s">
        <v>1722</v>
      </c>
      <c r="C163" s="1662" t="s">
        <v>2631</v>
      </c>
      <c r="D163" s="1662" t="s">
        <v>2632</v>
      </c>
      <c r="E163" s="1662" t="s">
        <v>141</v>
      </c>
      <c r="F163" s="1662" t="s">
        <v>2611</v>
      </c>
      <c r="G163" s="1662" t="s">
        <v>2612</v>
      </c>
      <c r="H163" s="1662" t="s">
        <v>2613</v>
      </c>
      <c r="I163" s="1662" t="s">
        <v>731</v>
      </c>
      <c r="J163" s="1662" t="s">
        <v>2209</v>
      </c>
      <c r="K163" s="1662" t="s">
        <v>2108</v>
      </c>
      <c r="L163" s="1662" t="s">
        <v>2109</v>
      </c>
      <c r="M163" s="1663"/>
      <c r="N163" s="1663"/>
      <c r="O163" s="1663"/>
      <c r="P163" s="1663"/>
      <c r="Q163" s="1663"/>
      <c r="R163" s="1663"/>
      <c r="S163" s="1663"/>
      <c r="T163" s="1663"/>
      <c r="U163" s="1663"/>
      <c r="V163" s="1663"/>
      <c r="W163" s="1663"/>
      <c r="X163" s="1663"/>
      <c r="Y163" s="1664">
        <v>43174</v>
      </c>
      <c r="Z163" s="1662" t="s">
        <v>2110</v>
      </c>
      <c r="AA163" s="1665">
        <v>0</v>
      </c>
      <c r="AB163" s="1665">
        <v>0</v>
      </c>
      <c r="AC163" s="1680">
        <v>0</v>
      </c>
      <c r="AD163" s="1682">
        <v>43208</v>
      </c>
      <c r="AE163" s="1679" t="s">
        <v>2114</v>
      </c>
      <c r="AF163" s="1662" t="s">
        <v>2112</v>
      </c>
      <c r="AG163" s="1666"/>
      <c r="AH163" s="1667">
        <v>4999.99</v>
      </c>
      <c r="AI163" s="1665">
        <v>4999.99</v>
      </c>
      <c r="AJ163" s="1665">
        <v>4249.99</v>
      </c>
      <c r="AK163" s="1698">
        <v>4249.99</v>
      </c>
      <c r="AL163" s="1665">
        <v>0</v>
      </c>
      <c r="AM163" s="1664">
        <v>43208</v>
      </c>
      <c r="AN163" s="1665">
        <v>4999.99</v>
      </c>
      <c r="AO163" s="1665">
        <v>4999.99</v>
      </c>
      <c r="AP163" s="1665">
        <v>4249.99</v>
      </c>
      <c r="AQ163" s="1665">
        <v>4249.99</v>
      </c>
      <c r="AR163" s="1665">
        <v>0</v>
      </c>
      <c r="AS163" s="1665">
        <v>750</v>
      </c>
      <c r="AT163" s="1665">
        <v>375</v>
      </c>
      <c r="AU163" s="1665">
        <v>375</v>
      </c>
      <c r="AV163" s="1665">
        <v>0</v>
      </c>
      <c r="AW163" s="1665">
        <v>0</v>
      </c>
      <c r="AX163" s="1663"/>
      <c r="AY163" s="1663"/>
      <c r="AZ163" s="1663"/>
      <c r="BA163" s="1668"/>
      <c r="BB163" s="1668"/>
      <c r="BC163" s="1663"/>
      <c r="BD163" s="1663"/>
      <c r="BE163" s="1665">
        <v>4999.99</v>
      </c>
      <c r="BF163" s="1665">
        <v>4999.99</v>
      </c>
      <c r="BG163" s="1665">
        <v>4249.99</v>
      </c>
      <c r="BH163" s="1665">
        <v>4249.99</v>
      </c>
      <c r="BI163" s="1665">
        <v>0</v>
      </c>
      <c r="BJ163" s="1665">
        <v>750</v>
      </c>
      <c r="BK163" s="1665">
        <v>375</v>
      </c>
      <c r="BL163" s="1665">
        <v>375</v>
      </c>
      <c r="BM163" s="1665">
        <v>0</v>
      </c>
      <c r="BN163" s="1665">
        <v>0</v>
      </c>
      <c r="BO163" s="1664">
        <v>43364</v>
      </c>
      <c r="BP163" s="1665">
        <v>4999.99</v>
      </c>
      <c r="BQ163" s="1665">
        <v>4999.99</v>
      </c>
      <c r="BR163" s="1665">
        <v>4249.99</v>
      </c>
      <c r="BS163" s="1667">
        <v>4249.99</v>
      </c>
      <c r="BT163" s="1665">
        <v>0</v>
      </c>
      <c r="BU163" s="1665">
        <v>750</v>
      </c>
      <c r="BV163" s="1665">
        <v>375</v>
      </c>
      <c r="BW163" s="1665">
        <v>0</v>
      </c>
      <c r="BX163" s="1665">
        <v>0</v>
      </c>
      <c r="BY163" s="1665">
        <v>0</v>
      </c>
      <c r="BZ163" s="1665">
        <v>0</v>
      </c>
      <c r="CA163" s="1663"/>
      <c r="CB163" s="1668"/>
      <c r="CC163" s="1668"/>
      <c r="CD163" s="1663"/>
      <c r="CE163" s="1663"/>
      <c r="CF163" s="1665">
        <v>0</v>
      </c>
      <c r="CG163" s="1665">
        <v>0</v>
      </c>
      <c r="CH163" s="1665">
        <v>0</v>
      </c>
      <c r="CI163" s="1665">
        <v>0</v>
      </c>
      <c r="CJ163" s="1665">
        <v>0</v>
      </c>
      <c r="CK163" s="1665">
        <v>0</v>
      </c>
      <c r="CL163" s="1668"/>
      <c r="CM163" s="1665">
        <v>0</v>
      </c>
      <c r="CN163" s="1665">
        <v>0</v>
      </c>
      <c r="CO163" s="1665">
        <v>0</v>
      </c>
      <c r="CP163" s="1665">
        <v>0</v>
      </c>
      <c r="CQ163" s="1665">
        <v>0</v>
      </c>
      <c r="CR163" s="1665">
        <v>0</v>
      </c>
      <c r="CS163" s="1665">
        <v>0</v>
      </c>
      <c r="CT163" s="1665">
        <v>0</v>
      </c>
      <c r="CU163" s="1665">
        <v>0</v>
      </c>
      <c r="CV163" s="1665">
        <v>0</v>
      </c>
      <c r="CW163" s="1668"/>
      <c r="CX163" s="1663"/>
      <c r="CY163" s="1663"/>
      <c r="CZ163" s="1663"/>
      <c r="DA163" s="1663"/>
      <c r="DB163" s="1668"/>
      <c r="DC163" s="1662"/>
      <c r="DD163" s="1665">
        <v>0</v>
      </c>
      <c r="DE163" s="1663"/>
      <c r="DF163" s="1663"/>
      <c r="DG163" s="1665">
        <v>0</v>
      </c>
      <c r="DH163" s="1665">
        <v>0</v>
      </c>
    </row>
    <row r="164" spans="1:112" ht="56.25" x14ac:dyDescent="0.25">
      <c r="A164" s="1662" t="s">
        <v>2214</v>
      </c>
      <c r="B164" s="1662" t="s">
        <v>1722</v>
      </c>
      <c r="C164" s="1662" t="s">
        <v>2631</v>
      </c>
      <c r="D164" s="1662" t="s">
        <v>2632</v>
      </c>
      <c r="E164" s="1662" t="s">
        <v>141</v>
      </c>
      <c r="F164" s="1662" t="s">
        <v>2611</v>
      </c>
      <c r="G164" s="1662" t="s">
        <v>2612</v>
      </c>
      <c r="H164" s="1662" t="s">
        <v>2613</v>
      </c>
      <c r="I164" s="1662" t="s">
        <v>731</v>
      </c>
      <c r="J164" s="1662" t="s">
        <v>2209</v>
      </c>
      <c r="K164" s="1662" t="s">
        <v>2108</v>
      </c>
      <c r="L164" s="1662" t="s">
        <v>2109</v>
      </c>
      <c r="M164" s="1663"/>
      <c r="N164" s="1663"/>
      <c r="O164" s="1663"/>
      <c r="P164" s="1663"/>
      <c r="Q164" s="1663"/>
      <c r="R164" s="1663"/>
      <c r="S164" s="1663"/>
      <c r="T164" s="1663"/>
      <c r="U164" s="1663"/>
      <c r="V164" s="1663"/>
      <c r="W164" s="1663"/>
      <c r="X164" s="1663"/>
      <c r="Y164" s="1664">
        <v>43269</v>
      </c>
      <c r="Z164" s="1662" t="s">
        <v>2110</v>
      </c>
      <c r="AA164" s="1665">
        <v>0</v>
      </c>
      <c r="AB164" s="1665">
        <v>0</v>
      </c>
      <c r="AC164" s="1680">
        <v>0</v>
      </c>
      <c r="AD164" s="1682">
        <v>43335</v>
      </c>
      <c r="AE164" s="1679" t="s">
        <v>2128</v>
      </c>
      <c r="AF164" s="1662" t="s">
        <v>2115</v>
      </c>
      <c r="AG164" s="1666"/>
      <c r="AH164" s="1667">
        <v>144672.89000000001</v>
      </c>
      <c r="AI164" s="1665">
        <v>144672.89000000001</v>
      </c>
      <c r="AJ164" s="1665">
        <v>122971.89</v>
      </c>
      <c r="AK164" s="1698">
        <v>122971.89</v>
      </c>
      <c r="AL164" s="1665">
        <v>0</v>
      </c>
      <c r="AM164" s="1664">
        <v>43341</v>
      </c>
      <c r="AN164" s="1665">
        <v>144672.89000000001</v>
      </c>
      <c r="AO164" s="1665">
        <v>144672.89000000001</v>
      </c>
      <c r="AP164" s="1665">
        <v>122971.89</v>
      </c>
      <c r="AQ164" s="1665">
        <v>122971.89</v>
      </c>
      <c r="AR164" s="1665">
        <v>0</v>
      </c>
      <c r="AS164" s="1665">
        <v>21701</v>
      </c>
      <c r="AT164" s="1665">
        <v>10850.5</v>
      </c>
      <c r="AU164" s="1665">
        <v>10850.5</v>
      </c>
      <c r="AV164" s="1665">
        <v>0</v>
      </c>
      <c r="AW164" s="1665">
        <v>0</v>
      </c>
      <c r="AX164" s="1663"/>
      <c r="AY164" s="1663"/>
      <c r="AZ164" s="1663"/>
      <c r="BA164" s="1668"/>
      <c r="BB164" s="1668"/>
      <c r="BC164" s="1663"/>
      <c r="BD164" s="1663"/>
      <c r="BE164" s="1665">
        <v>144672.89000000001</v>
      </c>
      <c r="BF164" s="1665">
        <v>144672.89000000001</v>
      </c>
      <c r="BG164" s="1665">
        <v>122971.89</v>
      </c>
      <c r="BH164" s="1665">
        <v>122971.89</v>
      </c>
      <c r="BI164" s="1665">
        <v>0</v>
      </c>
      <c r="BJ164" s="1665">
        <v>21701</v>
      </c>
      <c r="BK164" s="1665">
        <v>10850.5</v>
      </c>
      <c r="BL164" s="1665">
        <v>10850.5</v>
      </c>
      <c r="BM164" s="1665">
        <v>0</v>
      </c>
      <c r="BN164" s="1665">
        <v>0</v>
      </c>
      <c r="BO164" s="1668"/>
      <c r="BP164" s="1665">
        <v>0</v>
      </c>
      <c r="BQ164" s="1665">
        <v>0</v>
      </c>
      <c r="BR164" s="1665">
        <v>0</v>
      </c>
      <c r="BS164" s="1667">
        <v>0</v>
      </c>
      <c r="BT164" s="1665">
        <v>0</v>
      </c>
      <c r="BU164" s="1665">
        <v>0</v>
      </c>
      <c r="BV164" s="1665">
        <v>10850.5</v>
      </c>
      <c r="BW164" s="1665">
        <v>0</v>
      </c>
      <c r="BX164" s="1665">
        <v>0</v>
      </c>
      <c r="BY164" s="1665">
        <v>0</v>
      </c>
      <c r="BZ164" s="1665">
        <v>0</v>
      </c>
      <c r="CA164" s="1663"/>
      <c r="CB164" s="1668"/>
      <c r="CC164" s="1668"/>
      <c r="CD164" s="1663"/>
      <c r="CE164" s="1663"/>
      <c r="CF164" s="1665">
        <v>0</v>
      </c>
      <c r="CG164" s="1665">
        <v>0</v>
      </c>
      <c r="CH164" s="1665">
        <v>0</v>
      </c>
      <c r="CI164" s="1665">
        <v>0</v>
      </c>
      <c r="CJ164" s="1665">
        <v>0</v>
      </c>
      <c r="CK164" s="1665">
        <v>0</v>
      </c>
      <c r="CL164" s="1668"/>
      <c r="CM164" s="1665">
        <v>0</v>
      </c>
      <c r="CN164" s="1665">
        <v>0</v>
      </c>
      <c r="CO164" s="1665">
        <v>0</v>
      </c>
      <c r="CP164" s="1665">
        <v>0</v>
      </c>
      <c r="CQ164" s="1665">
        <v>0</v>
      </c>
      <c r="CR164" s="1665">
        <v>0</v>
      </c>
      <c r="CS164" s="1665">
        <v>0</v>
      </c>
      <c r="CT164" s="1665">
        <v>0</v>
      </c>
      <c r="CU164" s="1665">
        <v>0</v>
      </c>
      <c r="CV164" s="1665">
        <v>0</v>
      </c>
      <c r="CW164" s="1668"/>
      <c r="CX164" s="1663"/>
      <c r="CY164" s="1663"/>
      <c r="CZ164" s="1663"/>
      <c r="DA164" s="1663"/>
      <c r="DB164" s="1668"/>
      <c r="DC164" s="1662"/>
      <c r="DD164" s="1665">
        <v>0</v>
      </c>
      <c r="DE164" s="1663"/>
      <c r="DF164" s="1663"/>
      <c r="DG164" s="1665">
        <v>0</v>
      </c>
      <c r="DH164" s="1665">
        <v>0</v>
      </c>
    </row>
    <row r="165" spans="1:112" hidden="1" x14ac:dyDescent="0.25">
      <c r="A165" s="1662" t="s">
        <v>2215</v>
      </c>
      <c r="B165" s="1662" t="s">
        <v>1725</v>
      </c>
      <c r="C165" s="1662"/>
      <c r="D165" s="1662"/>
      <c r="E165" s="1662"/>
      <c r="F165" s="1662"/>
      <c r="G165" s="1662"/>
      <c r="H165" s="1662"/>
      <c r="I165" s="1662"/>
      <c r="J165" s="1662"/>
      <c r="K165" s="1662"/>
      <c r="L165" s="1662"/>
      <c r="M165" s="1665">
        <v>6060520.6399999997</v>
      </c>
      <c r="N165" s="1665">
        <v>0</v>
      </c>
      <c r="O165" s="1665">
        <v>6060520.6399999997</v>
      </c>
      <c r="P165" s="1665">
        <v>6060520.6399999997</v>
      </c>
      <c r="Q165" s="1665">
        <v>4744943.3</v>
      </c>
      <c r="R165" s="1665">
        <v>4422518.13</v>
      </c>
      <c r="S165" s="1665">
        <v>322425.17</v>
      </c>
      <c r="T165" s="1665">
        <v>1315577.3400000001</v>
      </c>
      <c r="U165" s="1665">
        <v>352400.82</v>
      </c>
      <c r="V165" s="1665">
        <v>963176.52</v>
      </c>
      <c r="W165" s="1665">
        <v>0</v>
      </c>
      <c r="X165" s="1665">
        <v>0</v>
      </c>
      <c r="Y165" s="1668"/>
      <c r="Z165" s="1662"/>
      <c r="AA165" s="1665">
        <v>408916.46</v>
      </c>
      <c r="AB165" s="1665">
        <v>372831.94</v>
      </c>
      <c r="AC165" s="1680">
        <v>36084.519999999997</v>
      </c>
      <c r="AD165" s="1681"/>
      <c r="AE165" s="1679"/>
      <c r="AF165" s="1662"/>
      <c r="AG165" s="1666"/>
      <c r="AH165" s="1667">
        <v>4134134.68</v>
      </c>
      <c r="AI165" s="1665">
        <v>4134134.68</v>
      </c>
      <c r="AJ165" s="1665">
        <v>3089192.16</v>
      </c>
      <c r="AK165" s="1698">
        <v>2860159.56</v>
      </c>
      <c r="AL165" s="1665">
        <v>229032.6</v>
      </c>
      <c r="AM165" s="1668"/>
      <c r="AN165" s="1665">
        <v>3010221.53</v>
      </c>
      <c r="AO165" s="1665">
        <v>3010221.53</v>
      </c>
      <c r="AP165" s="1665">
        <v>2374195.4700000002</v>
      </c>
      <c r="AQ165" s="1665">
        <v>2192863.42</v>
      </c>
      <c r="AR165" s="1665">
        <v>181332.05</v>
      </c>
      <c r="AS165" s="1665">
        <v>636026.06000000006</v>
      </c>
      <c r="AT165" s="1665">
        <v>284116.38</v>
      </c>
      <c r="AU165" s="1665">
        <v>351909.68</v>
      </c>
      <c r="AV165" s="1665">
        <v>0</v>
      </c>
      <c r="AW165" s="1665">
        <v>0</v>
      </c>
      <c r="AX165" s="1665">
        <v>0</v>
      </c>
      <c r="AY165" s="1665">
        <v>0</v>
      </c>
      <c r="AZ165" s="1665">
        <v>0</v>
      </c>
      <c r="BA165" s="1668"/>
      <c r="BB165" s="1668"/>
      <c r="BC165" s="1665">
        <v>0</v>
      </c>
      <c r="BD165" s="1665">
        <v>0</v>
      </c>
      <c r="BE165" s="1665">
        <v>3010221.53</v>
      </c>
      <c r="BF165" s="1665">
        <v>3010221.53</v>
      </c>
      <c r="BG165" s="1665">
        <v>2374195.4700000002</v>
      </c>
      <c r="BH165" s="1665">
        <v>2192863.42</v>
      </c>
      <c r="BI165" s="1665">
        <v>181332.05</v>
      </c>
      <c r="BJ165" s="1665">
        <v>636026.06000000006</v>
      </c>
      <c r="BK165" s="1665">
        <v>284116.38</v>
      </c>
      <c r="BL165" s="1665">
        <v>351909.68</v>
      </c>
      <c r="BM165" s="1665">
        <v>0</v>
      </c>
      <c r="BN165" s="1665">
        <v>0</v>
      </c>
      <c r="BO165" s="1668"/>
      <c r="BP165" s="1665">
        <v>2111553.7200000002</v>
      </c>
      <c r="BQ165" s="1665">
        <v>2111553.7200000002</v>
      </c>
      <c r="BR165" s="1665">
        <v>1609457.42</v>
      </c>
      <c r="BS165" s="1667">
        <v>1488375.68</v>
      </c>
      <c r="BT165" s="1665">
        <v>121081.74</v>
      </c>
      <c r="BU165" s="1665">
        <v>502096.3</v>
      </c>
      <c r="BV165" s="1665">
        <v>284116.38</v>
      </c>
      <c r="BW165" s="1665">
        <v>362.04</v>
      </c>
      <c r="BX165" s="1665">
        <v>0</v>
      </c>
      <c r="BY165" s="1665">
        <v>0</v>
      </c>
      <c r="BZ165" s="1665">
        <v>0</v>
      </c>
      <c r="CA165" s="1665">
        <v>0</v>
      </c>
      <c r="CB165" s="1668"/>
      <c r="CC165" s="1668"/>
      <c r="CD165" s="1665">
        <v>4827.1099999999997</v>
      </c>
      <c r="CE165" s="1665">
        <v>4827.1099999999997</v>
      </c>
      <c r="CF165" s="1665">
        <v>0</v>
      </c>
      <c r="CG165" s="1665">
        <v>0</v>
      </c>
      <c r="CH165" s="1665">
        <v>0</v>
      </c>
      <c r="CI165" s="1665">
        <v>0</v>
      </c>
      <c r="CJ165" s="1665">
        <v>17600.310000000001</v>
      </c>
      <c r="CK165" s="1665">
        <v>17600.310000000001</v>
      </c>
      <c r="CL165" s="1668"/>
      <c r="CM165" s="1665">
        <v>4827.1099999999997</v>
      </c>
      <c r="CN165" s="1665">
        <v>4827.1099999999997</v>
      </c>
      <c r="CO165" s="1665">
        <v>4465.07</v>
      </c>
      <c r="CP165" s="1665">
        <v>4103.04</v>
      </c>
      <c r="CQ165" s="1665">
        <v>362.03</v>
      </c>
      <c r="CR165" s="1665">
        <v>362.04</v>
      </c>
      <c r="CS165" s="1665">
        <v>0</v>
      </c>
      <c r="CT165" s="1665">
        <v>362.04</v>
      </c>
      <c r="CU165" s="1665">
        <v>0</v>
      </c>
      <c r="CV165" s="1665">
        <v>0</v>
      </c>
      <c r="CW165" s="1668"/>
      <c r="CX165" s="1665">
        <v>-4827.1099999999997</v>
      </c>
      <c r="CY165" s="1665">
        <v>-4827.1099999999997</v>
      </c>
      <c r="CZ165" s="1665">
        <v>0</v>
      </c>
      <c r="DA165" s="1665">
        <v>0</v>
      </c>
      <c r="DB165" s="1668"/>
      <c r="DC165" s="1662"/>
      <c r="DD165" s="1665">
        <v>0</v>
      </c>
      <c r="DE165" s="1665">
        <v>0</v>
      </c>
      <c r="DF165" s="1665">
        <v>0</v>
      </c>
      <c r="DG165" s="1665">
        <v>0</v>
      </c>
      <c r="DH165" s="1665">
        <v>0</v>
      </c>
    </row>
    <row r="166" spans="1:112" hidden="1" x14ac:dyDescent="0.25">
      <c r="A166" s="1662" t="s">
        <v>2216</v>
      </c>
      <c r="B166" s="1662" t="s">
        <v>1725</v>
      </c>
      <c r="C166" s="1662" t="s">
        <v>2633</v>
      </c>
      <c r="D166" s="1662"/>
      <c r="E166" s="1662"/>
      <c r="F166" s="1662"/>
      <c r="G166" s="1662"/>
      <c r="H166" s="1662"/>
      <c r="I166" s="1662"/>
      <c r="J166" s="1662"/>
      <c r="K166" s="1662"/>
      <c r="L166" s="1662"/>
      <c r="M166" s="1665">
        <v>6060520.6399999997</v>
      </c>
      <c r="N166" s="1665">
        <v>0</v>
      </c>
      <c r="O166" s="1665">
        <v>6060520.6399999997</v>
      </c>
      <c r="P166" s="1665">
        <v>6060520.6399999997</v>
      </c>
      <c r="Q166" s="1665">
        <v>4744943.3</v>
      </c>
      <c r="R166" s="1665">
        <v>4422518.13</v>
      </c>
      <c r="S166" s="1665">
        <v>322425.17</v>
      </c>
      <c r="T166" s="1665">
        <v>1315577.3400000001</v>
      </c>
      <c r="U166" s="1665">
        <v>352400.82</v>
      </c>
      <c r="V166" s="1665">
        <v>963176.52</v>
      </c>
      <c r="W166" s="1665">
        <v>0</v>
      </c>
      <c r="X166" s="1665">
        <v>0</v>
      </c>
      <c r="Y166" s="1668"/>
      <c r="Z166" s="1662"/>
      <c r="AA166" s="1665">
        <v>408916.46</v>
      </c>
      <c r="AB166" s="1665">
        <v>372831.94</v>
      </c>
      <c r="AC166" s="1680">
        <v>36084.519999999997</v>
      </c>
      <c r="AD166" s="1681"/>
      <c r="AE166" s="1679"/>
      <c r="AF166" s="1662"/>
      <c r="AG166" s="1666"/>
      <c r="AH166" s="1667">
        <v>4134134.68</v>
      </c>
      <c r="AI166" s="1665">
        <v>4134134.68</v>
      </c>
      <c r="AJ166" s="1665">
        <v>3089192.16</v>
      </c>
      <c r="AK166" s="1698">
        <v>2860159.56</v>
      </c>
      <c r="AL166" s="1665">
        <v>229032.6</v>
      </c>
      <c r="AM166" s="1668"/>
      <c r="AN166" s="1665">
        <v>3010221.53</v>
      </c>
      <c r="AO166" s="1665">
        <v>3010221.53</v>
      </c>
      <c r="AP166" s="1665">
        <v>2374195.4700000002</v>
      </c>
      <c r="AQ166" s="1665">
        <v>2192863.42</v>
      </c>
      <c r="AR166" s="1665">
        <v>181332.05</v>
      </c>
      <c r="AS166" s="1665">
        <v>636026.06000000006</v>
      </c>
      <c r="AT166" s="1665">
        <v>284116.38</v>
      </c>
      <c r="AU166" s="1665">
        <v>351909.68</v>
      </c>
      <c r="AV166" s="1665">
        <v>0</v>
      </c>
      <c r="AW166" s="1665">
        <v>0</v>
      </c>
      <c r="AX166" s="1665">
        <v>0</v>
      </c>
      <c r="AY166" s="1665">
        <v>0</v>
      </c>
      <c r="AZ166" s="1665">
        <v>0</v>
      </c>
      <c r="BA166" s="1668"/>
      <c r="BB166" s="1668"/>
      <c r="BC166" s="1665">
        <v>0</v>
      </c>
      <c r="BD166" s="1665">
        <v>0</v>
      </c>
      <c r="BE166" s="1665">
        <v>3010221.53</v>
      </c>
      <c r="BF166" s="1665">
        <v>3010221.53</v>
      </c>
      <c r="BG166" s="1665">
        <v>2374195.4700000002</v>
      </c>
      <c r="BH166" s="1665">
        <v>2192863.42</v>
      </c>
      <c r="BI166" s="1665">
        <v>181332.05</v>
      </c>
      <c r="BJ166" s="1665">
        <v>636026.06000000006</v>
      </c>
      <c r="BK166" s="1665">
        <v>284116.38</v>
      </c>
      <c r="BL166" s="1665">
        <v>351909.68</v>
      </c>
      <c r="BM166" s="1665">
        <v>0</v>
      </c>
      <c r="BN166" s="1665">
        <v>0</v>
      </c>
      <c r="BO166" s="1668"/>
      <c r="BP166" s="1665">
        <v>2111553.7200000002</v>
      </c>
      <c r="BQ166" s="1665">
        <v>2111553.7200000002</v>
      </c>
      <c r="BR166" s="1665">
        <v>1609457.42</v>
      </c>
      <c r="BS166" s="1667">
        <v>1488375.68</v>
      </c>
      <c r="BT166" s="1665">
        <v>121081.74</v>
      </c>
      <c r="BU166" s="1665">
        <v>502096.3</v>
      </c>
      <c r="BV166" s="1665">
        <v>284116.38</v>
      </c>
      <c r="BW166" s="1665">
        <v>362.04</v>
      </c>
      <c r="BX166" s="1665">
        <v>0</v>
      </c>
      <c r="BY166" s="1665">
        <v>0</v>
      </c>
      <c r="BZ166" s="1665">
        <v>0</v>
      </c>
      <c r="CA166" s="1665">
        <v>0</v>
      </c>
      <c r="CB166" s="1668"/>
      <c r="CC166" s="1668"/>
      <c r="CD166" s="1665">
        <v>4827.1099999999997</v>
      </c>
      <c r="CE166" s="1665">
        <v>4827.1099999999997</v>
      </c>
      <c r="CF166" s="1665">
        <v>0</v>
      </c>
      <c r="CG166" s="1665">
        <v>0</v>
      </c>
      <c r="CH166" s="1665">
        <v>0</v>
      </c>
      <c r="CI166" s="1665">
        <v>0</v>
      </c>
      <c r="CJ166" s="1665">
        <v>17600.310000000001</v>
      </c>
      <c r="CK166" s="1665">
        <v>17600.310000000001</v>
      </c>
      <c r="CL166" s="1668"/>
      <c r="CM166" s="1665">
        <v>4827.1099999999997</v>
      </c>
      <c r="CN166" s="1665">
        <v>4827.1099999999997</v>
      </c>
      <c r="CO166" s="1665">
        <v>4465.07</v>
      </c>
      <c r="CP166" s="1665">
        <v>4103.04</v>
      </c>
      <c r="CQ166" s="1665">
        <v>362.03</v>
      </c>
      <c r="CR166" s="1665">
        <v>362.04</v>
      </c>
      <c r="CS166" s="1665">
        <v>0</v>
      </c>
      <c r="CT166" s="1665">
        <v>362.04</v>
      </c>
      <c r="CU166" s="1665">
        <v>0</v>
      </c>
      <c r="CV166" s="1665">
        <v>0</v>
      </c>
      <c r="CW166" s="1668"/>
      <c r="CX166" s="1665">
        <v>-4827.1099999999997</v>
      </c>
      <c r="CY166" s="1665">
        <v>-4827.1099999999997</v>
      </c>
      <c r="CZ166" s="1665">
        <v>0</v>
      </c>
      <c r="DA166" s="1665">
        <v>0</v>
      </c>
      <c r="DB166" s="1668"/>
      <c r="DC166" s="1662"/>
      <c r="DD166" s="1665">
        <v>0</v>
      </c>
      <c r="DE166" s="1665">
        <v>0</v>
      </c>
      <c r="DF166" s="1665">
        <v>0</v>
      </c>
      <c r="DG166" s="1665">
        <v>0</v>
      </c>
      <c r="DH166" s="1665">
        <v>0</v>
      </c>
    </row>
    <row r="167" spans="1:112" hidden="1" x14ac:dyDescent="0.25">
      <c r="A167" s="1662" t="s">
        <v>2217</v>
      </c>
      <c r="B167" s="1662" t="s">
        <v>1725</v>
      </c>
      <c r="C167" s="1662" t="s">
        <v>2633</v>
      </c>
      <c r="D167" s="1662" t="s">
        <v>2634</v>
      </c>
      <c r="E167" s="1662"/>
      <c r="F167" s="1662"/>
      <c r="G167" s="1662"/>
      <c r="H167" s="1662"/>
      <c r="I167" s="1662"/>
      <c r="J167" s="1662"/>
      <c r="K167" s="1662"/>
      <c r="L167" s="1662"/>
      <c r="M167" s="1665">
        <v>6060520.6399999997</v>
      </c>
      <c r="N167" s="1665">
        <v>0</v>
      </c>
      <c r="O167" s="1665">
        <v>6060520.6399999997</v>
      </c>
      <c r="P167" s="1665">
        <v>6060520.6399999997</v>
      </c>
      <c r="Q167" s="1665">
        <v>4744943.3</v>
      </c>
      <c r="R167" s="1665">
        <v>4422518.13</v>
      </c>
      <c r="S167" s="1665">
        <v>322425.17</v>
      </c>
      <c r="T167" s="1665">
        <v>1315577.3400000001</v>
      </c>
      <c r="U167" s="1665">
        <v>352400.82</v>
      </c>
      <c r="V167" s="1665">
        <v>963176.52</v>
      </c>
      <c r="W167" s="1665">
        <v>0</v>
      </c>
      <c r="X167" s="1665">
        <v>0</v>
      </c>
      <c r="Y167" s="1668"/>
      <c r="Z167" s="1662"/>
      <c r="AA167" s="1665">
        <v>408916.46</v>
      </c>
      <c r="AB167" s="1665">
        <v>372831.94</v>
      </c>
      <c r="AC167" s="1680">
        <v>36084.519999999997</v>
      </c>
      <c r="AD167" s="1681"/>
      <c r="AE167" s="1679"/>
      <c r="AF167" s="1662"/>
      <c r="AG167" s="1666"/>
      <c r="AH167" s="1667">
        <v>4134134.68</v>
      </c>
      <c r="AI167" s="1665">
        <v>4134134.68</v>
      </c>
      <c r="AJ167" s="1665">
        <v>3089192.16</v>
      </c>
      <c r="AK167" s="1698">
        <v>2860159.56</v>
      </c>
      <c r="AL167" s="1665">
        <v>229032.6</v>
      </c>
      <c r="AM167" s="1668"/>
      <c r="AN167" s="1665">
        <v>3010221.53</v>
      </c>
      <c r="AO167" s="1665">
        <v>3010221.53</v>
      </c>
      <c r="AP167" s="1665">
        <v>2374195.4700000002</v>
      </c>
      <c r="AQ167" s="1665">
        <v>2192863.42</v>
      </c>
      <c r="AR167" s="1665">
        <v>181332.05</v>
      </c>
      <c r="AS167" s="1665">
        <v>636026.06000000006</v>
      </c>
      <c r="AT167" s="1665">
        <v>284116.38</v>
      </c>
      <c r="AU167" s="1665">
        <v>351909.68</v>
      </c>
      <c r="AV167" s="1665">
        <v>0</v>
      </c>
      <c r="AW167" s="1665">
        <v>0</v>
      </c>
      <c r="AX167" s="1665">
        <v>0</v>
      </c>
      <c r="AY167" s="1665">
        <v>0</v>
      </c>
      <c r="AZ167" s="1665">
        <v>0</v>
      </c>
      <c r="BA167" s="1668"/>
      <c r="BB167" s="1668"/>
      <c r="BC167" s="1665">
        <v>0</v>
      </c>
      <c r="BD167" s="1665">
        <v>0</v>
      </c>
      <c r="BE167" s="1665">
        <v>3010221.53</v>
      </c>
      <c r="BF167" s="1665">
        <v>3010221.53</v>
      </c>
      <c r="BG167" s="1665">
        <v>2374195.4700000002</v>
      </c>
      <c r="BH167" s="1665">
        <v>2192863.42</v>
      </c>
      <c r="BI167" s="1665">
        <v>181332.05</v>
      </c>
      <c r="BJ167" s="1665">
        <v>636026.06000000006</v>
      </c>
      <c r="BK167" s="1665">
        <v>284116.38</v>
      </c>
      <c r="BL167" s="1665">
        <v>351909.68</v>
      </c>
      <c r="BM167" s="1665">
        <v>0</v>
      </c>
      <c r="BN167" s="1665">
        <v>0</v>
      </c>
      <c r="BO167" s="1668"/>
      <c r="BP167" s="1665">
        <v>2111553.7200000002</v>
      </c>
      <c r="BQ167" s="1665">
        <v>2111553.7200000002</v>
      </c>
      <c r="BR167" s="1665">
        <v>1609457.42</v>
      </c>
      <c r="BS167" s="1667">
        <v>1488375.68</v>
      </c>
      <c r="BT167" s="1665">
        <v>121081.74</v>
      </c>
      <c r="BU167" s="1665">
        <v>502096.3</v>
      </c>
      <c r="BV167" s="1665">
        <v>284116.38</v>
      </c>
      <c r="BW167" s="1665">
        <v>362.04</v>
      </c>
      <c r="BX167" s="1665">
        <v>0</v>
      </c>
      <c r="BY167" s="1665">
        <v>0</v>
      </c>
      <c r="BZ167" s="1665">
        <v>0</v>
      </c>
      <c r="CA167" s="1665">
        <v>0</v>
      </c>
      <c r="CB167" s="1668"/>
      <c r="CC167" s="1668"/>
      <c r="CD167" s="1665">
        <v>4827.1099999999997</v>
      </c>
      <c r="CE167" s="1665">
        <v>4827.1099999999997</v>
      </c>
      <c r="CF167" s="1665">
        <v>0</v>
      </c>
      <c r="CG167" s="1665">
        <v>0</v>
      </c>
      <c r="CH167" s="1665">
        <v>0</v>
      </c>
      <c r="CI167" s="1665">
        <v>0</v>
      </c>
      <c r="CJ167" s="1665">
        <v>17600.310000000001</v>
      </c>
      <c r="CK167" s="1665">
        <v>17600.310000000001</v>
      </c>
      <c r="CL167" s="1668"/>
      <c r="CM167" s="1665">
        <v>4827.1099999999997</v>
      </c>
      <c r="CN167" s="1665">
        <v>4827.1099999999997</v>
      </c>
      <c r="CO167" s="1665">
        <v>4465.07</v>
      </c>
      <c r="CP167" s="1665">
        <v>4103.04</v>
      </c>
      <c r="CQ167" s="1665">
        <v>362.03</v>
      </c>
      <c r="CR167" s="1665">
        <v>362.04</v>
      </c>
      <c r="CS167" s="1665">
        <v>0</v>
      </c>
      <c r="CT167" s="1665">
        <v>362.04</v>
      </c>
      <c r="CU167" s="1665">
        <v>0</v>
      </c>
      <c r="CV167" s="1665">
        <v>0</v>
      </c>
      <c r="CW167" s="1668"/>
      <c r="CX167" s="1665">
        <v>-4827.1099999999997</v>
      </c>
      <c r="CY167" s="1665">
        <v>-4827.1099999999997</v>
      </c>
      <c r="CZ167" s="1665">
        <v>0</v>
      </c>
      <c r="DA167" s="1665">
        <v>0</v>
      </c>
      <c r="DB167" s="1668"/>
      <c r="DC167" s="1662"/>
      <c r="DD167" s="1665">
        <v>0</v>
      </c>
      <c r="DE167" s="1665">
        <v>0</v>
      </c>
      <c r="DF167" s="1665">
        <v>0</v>
      </c>
      <c r="DG167" s="1665">
        <v>0</v>
      </c>
      <c r="DH167" s="1665">
        <v>0</v>
      </c>
    </row>
    <row r="168" spans="1:112" ht="22.5" hidden="1" x14ac:dyDescent="0.25">
      <c r="A168" s="1662" t="s">
        <v>2218</v>
      </c>
      <c r="B168" s="1662" t="s">
        <v>1725</v>
      </c>
      <c r="C168" s="1662" t="s">
        <v>2633</v>
      </c>
      <c r="D168" s="1662" t="s">
        <v>2634</v>
      </c>
      <c r="E168" s="1662" t="s">
        <v>145</v>
      </c>
      <c r="F168" s="1662"/>
      <c r="G168" s="1662"/>
      <c r="H168" s="1662"/>
      <c r="I168" s="1662"/>
      <c r="J168" s="1662"/>
      <c r="K168" s="1662"/>
      <c r="L168" s="1662"/>
      <c r="M168" s="1665">
        <v>3269394.13</v>
      </c>
      <c r="N168" s="1665">
        <v>0</v>
      </c>
      <c r="O168" s="1665">
        <v>3269394.13</v>
      </c>
      <c r="P168" s="1665">
        <v>3269394.13</v>
      </c>
      <c r="Q168" s="1665">
        <v>2920516.63</v>
      </c>
      <c r="R168" s="1665">
        <v>2648869.54</v>
      </c>
      <c r="S168" s="1665">
        <v>271647.09000000003</v>
      </c>
      <c r="T168" s="1665">
        <v>348877.5</v>
      </c>
      <c r="U168" s="1665">
        <v>0</v>
      </c>
      <c r="V168" s="1665">
        <v>348877.5</v>
      </c>
      <c r="W168" s="1665">
        <v>0</v>
      </c>
      <c r="X168" s="1665">
        <v>0</v>
      </c>
      <c r="Y168" s="1668"/>
      <c r="Z168" s="1662"/>
      <c r="AA168" s="1665">
        <v>382916.46</v>
      </c>
      <c r="AB168" s="1665">
        <v>346831.94</v>
      </c>
      <c r="AC168" s="1680">
        <v>36084.519999999997</v>
      </c>
      <c r="AD168" s="1681"/>
      <c r="AE168" s="1679"/>
      <c r="AF168" s="1662"/>
      <c r="AG168" s="1666"/>
      <c r="AH168" s="1667">
        <v>2444756.75</v>
      </c>
      <c r="AI168" s="1665">
        <v>2444756.75</v>
      </c>
      <c r="AJ168" s="1665">
        <v>1960913.18</v>
      </c>
      <c r="AK168" s="1698">
        <v>1767427.96</v>
      </c>
      <c r="AL168" s="1665">
        <v>193485.22</v>
      </c>
      <c r="AM168" s="1668"/>
      <c r="AN168" s="1665">
        <v>1718584.75</v>
      </c>
      <c r="AO168" s="1665">
        <v>1718584.75</v>
      </c>
      <c r="AP168" s="1665">
        <v>1617657.64</v>
      </c>
      <c r="AQ168" s="1665">
        <v>1456639.54</v>
      </c>
      <c r="AR168" s="1665">
        <v>161018.1</v>
      </c>
      <c r="AS168" s="1665">
        <v>100927.11</v>
      </c>
      <c r="AT168" s="1665">
        <v>0</v>
      </c>
      <c r="AU168" s="1665">
        <v>100927.11</v>
      </c>
      <c r="AV168" s="1665">
        <v>0</v>
      </c>
      <c r="AW168" s="1665">
        <v>0</v>
      </c>
      <c r="AX168" s="1665">
        <v>0</v>
      </c>
      <c r="AY168" s="1665">
        <v>0</v>
      </c>
      <c r="AZ168" s="1665">
        <v>0</v>
      </c>
      <c r="BA168" s="1668"/>
      <c r="BB168" s="1668"/>
      <c r="BC168" s="1665">
        <v>0</v>
      </c>
      <c r="BD168" s="1665">
        <v>0</v>
      </c>
      <c r="BE168" s="1665">
        <v>1718584.75</v>
      </c>
      <c r="BF168" s="1665">
        <v>1718584.75</v>
      </c>
      <c r="BG168" s="1665">
        <v>1617657.64</v>
      </c>
      <c r="BH168" s="1665">
        <v>1456639.54</v>
      </c>
      <c r="BI168" s="1665">
        <v>161018.1</v>
      </c>
      <c r="BJ168" s="1665">
        <v>100927.11</v>
      </c>
      <c r="BK168" s="1665">
        <v>0</v>
      </c>
      <c r="BL168" s="1665">
        <v>100927.11</v>
      </c>
      <c r="BM168" s="1665">
        <v>0</v>
      </c>
      <c r="BN168" s="1665">
        <v>0</v>
      </c>
      <c r="BO168" s="1668"/>
      <c r="BP168" s="1665">
        <v>1105577.82</v>
      </c>
      <c r="BQ168" s="1665">
        <v>1105577.82</v>
      </c>
      <c r="BR168" s="1665">
        <v>1045289.7</v>
      </c>
      <c r="BS168" s="1667">
        <v>938862.96</v>
      </c>
      <c r="BT168" s="1665">
        <v>106426.74</v>
      </c>
      <c r="BU168" s="1665">
        <v>60288.12</v>
      </c>
      <c r="BV168" s="1665">
        <v>0</v>
      </c>
      <c r="BW168" s="1665">
        <v>0</v>
      </c>
      <c r="BX168" s="1665">
        <v>0</v>
      </c>
      <c r="BY168" s="1665">
        <v>0</v>
      </c>
      <c r="BZ168" s="1665">
        <v>0</v>
      </c>
      <c r="CA168" s="1665">
        <v>0</v>
      </c>
      <c r="CB168" s="1668"/>
      <c r="CC168" s="1668"/>
      <c r="CD168" s="1665">
        <v>0</v>
      </c>
      <c r="CE168" s="1665">
        <v>0</v>
      </c>
      <c r="CF168" s="1665">
        <v>0</v>
      </c>
      <c r="CG168" s="1665">
        <v>0</v>
      </c>
      <c r="CH168" s="1665">
        <v>0</v>
      </c>
      <c r="CI168" s="1665">
        <v>0</v>
      </c>
      <c r="CJ168" s="1665">
        <v>9850.31</v>
      </c>
      <c r="CK168" s="1665">
        <v>9850.31</v>
      </c>
      <c r="CL168" s="1668"/>
      <c r="CM168" s="1665">
        <v>0</v>
      </c>
      <c r="CN168" s="1665">
        <v>0</v>
      </c>
      <c r="CO168" s="1665">
        <v>0</v>
      </c>
      <c r="CP168" s="1665">
        <v>0</v>
      </c>
      <c r="CQ168" s="1665">
        <v>0</v>
      </c>
      <c r="CR168" s="1665">
        <v>0</v>
      </c>
      <c r="CS168" s="1665">
        <v>0</v>
      </c>
      <c r="CT168" s="1665">
        <v>0</v>
      </c>
      <c r="CU168" s="1665">
        <v>0</v>
      </c>
      <c r="CV168" s="1665">
        <v>0</v>
      </c>
      <c r="CW168" s="1668"/>
      <c r="CX168" s="1665">
        <v>0</v>
      </c>
      <c r="CY168" s="1665">
        <v>0</v>
      </c>
      <c r="CZ168" s="1665">
        <v>0</v>
      </c>
      <c r="DA168" s="1665">
        <v>0</v>
      </c>
      <c r="DB168" s="1668"/>
      <c r="DC168" s="1662"/>
      <c r="DD168" s="1665">
        <v>0</v>
      </c>
      <c r="DE168" s="1665">
        <v>0</v>
      </c>
      <c r="DF168" s="1665">
        <v>0</v>
      </c>
      <c r="DG168" s="1665">
        <v>0</v>
      </c>
      <c r="DH168" s="1665">
        <v>0</v>
      </c>
    </row>
    <row r="169" spans="1:112" ht="67.5" hidden="1" x14ac:dyDescent="0.25">
      <c r="A169" s="1662" t="s">
        <v>2219</v>
      </c>
      <c r="B169" s="1662" t="s">
        <v>1725</v>
      </c>
      <c r="C169" s="1662" t="s">
        <v>2633</v>
      </c>
      <c r="D169" s="1662" t="s">
        <v>2634</v>
      </c>
      <c r="E169" s="1662" t="s">
        <v>145</v>
      </c>
      <c r="F169" s="1662" t="s">
        <v>2635</v>
      </c>
      <c r="G169" s="1662" t="s">
        <v>2628</v>
      </c>
      <c r="H169" s="1662" t="s">
        <v>2613</v>
      </c>
      <c r="I169" s="1662" t="s">
        <v>720</v>
      </c>
      <c r="J169" s="1662" t="s">
        <v>303</v>
      </c>
      <c r="K169" s="1662" t="s">
        <v>2108</v>
      </c>
      <c r="L169" s="1662" t="s">
        <v>2109</v>
      </c>
      <c r="M169" s="1665">
        <v>1516932.01</v>
      </c>
      <c r="N169" s="1665">
        <v>0</v>
      </c>
      <c r="O169" s="1665">
        <v>1516932.01</v>
      </c>
      <c r="P169" s="1665">
        <v>1516932.01</v>
      </c>
      <c r="Q169" s="1665">
        <v>1441085.4</v>
      </c>
      <c r="R169" s="1665">
        <v>1289392.2</v>
      </c>
      <c r="S169" s="1665">
        <v>151693.20000000001</v>
      </c>
      <c r="T169" s="1665">
        <v>75846.61</v>
      </c>
      <c r="U169" s="1665">
        <v>0</v>
      </c>
      <c r="V169" s="1665">
        <v>75846.61</v>
      </c>
      <c r="W169" s="1665">
        <v>0</v>
      </c>
      <c r="X169" s="1665">
        <v>0</v>
      </c>
      <c r="Y169" s="1668"/>
      <c r="Z169" s="1662"/>
      <c r="AA169" s="1665">
        <v>332916.46000000002</v>
      </c>
      <c r="AB169" s="1665">
        <v>300885.99</v>
      </c>
      <c r="AC169" s="1680">
        <v>32030.47</v>
      </c>
      <c r="AD169" s="1681"/>
      <c r="AE169" s="1679"/>
      <c r="AF169" s="1662"/>
      <c r="AG169" s="1666"/>
      <c r="AH169" s="1667">
        <v>1699643.92</v>
      </c>
      <c r="AI169" s="1665">
        <v>1699643.92</v>
      </c>
      <c r="AJ169" s="1665">
        <v>1301745.26</v>
      </c>
      <c r="AK169" s="1698">
        <v>1161706.0900000001</v>
      </c>
      <c r="AL169" s="1665">
        <v>140039.17000000001</v>
      </c>
      <c r="AM169" s="1668"/>
      <c r="AN169" s="1665">
        <v>1299643.92</v>
      </c>
      <c r="AO169" s="1665">
        <v>1299643.92</v>
      </c>
      <c r="AP169" s="1665">
        <v>1234661.72</v>
      </c>
      <c r="AQ169" s="1665">
        <v>1104697.3400000001</v>
      </c>
      <c r="AR169" s="1665">
        <v>129964.38</v>
      </c>
      <c r="AS169" s="1665">
        <v>64982.2</v>
      </c>
      <c r="AT169" s="1665">
        <v>0</v>
      </c>
      <c r="AU169" s="1665">
        <v>64982.2</v>
      </c>
      <c r="AV169" s="1665">
        <v>0</v>
      </c>
      <c r="AW169" s="1665">
        <v>0</v>
      </c>
      <c r="AX169" s="1665">
        <v>0</v>
      </c>
      <c r="AY169" s="1665">
        <v>0</v>
      </c>
      <c r="AZ169" s="1665">
        <v>0</v>
      </c>
      <c r="BA169" s="1668"/>
      <c r="BB169" s="1668"/>
      <c r="BC169" s="1665">
        <v>0</v>
      </c>
      <c r="BD169" s="1665">
        <v>0</v>
      </c>
      <c r="BE169" s="1665">
        <v>1299643.92</v>
      </c>
      <c r="BF169" s="1665">
        <v>1299643.92</v>
      </c>
      <c r="BG169" s="1665">
        <v>1234661.72</v>
      </c>
      <c r="BH169" s="1665">
        <v>1104697.3400000001</v>
      </c>
      <c r="BI169" s="1665">
        <v>129964.38</v>
      </c>
      <c r="BJ169" s="1665">
        <v>64982.2</v>
      </c>
      <c r="BK169" s="1665">
        <v>0</v>
      </c>
      <c r="BL169" s="1665">
        <v>64982.2</v>
      </c>
      <c r="BM169" s="1665">
        <v>0</v>
      </c>
      <c r="BN169" s="1665">
        <v>0</v>
      </c>
      <c r="BO169" s="1668"/>
      <c r="BP169" s="1665">
        <v>943435.5</v>
      </c>
      <c r="BQ169" s="1665">
        <v>943435.5</v>
      </c>
      <c r="BR169" s="1665">
        <v>896263.72</v>
      </c>
      <c r="BS169" s="1667">
        <v>801920.17</v>
      </c>
      <c r="BT169" s="1665">
        <v>94343.55</v>
      </c>
      <c r="BU169" s="1665">
        <v>47171.78</v>
      </c>
      <c r="BV169" s="1665">
        <v>0</v>
      </c>
      <c r="BW169" s="1665">
        <v>0</v>
      </c>
      <c r="BX169" s="1665">
        <v>0</v>
      </c>
      <c r="BY169" s="1665">
        <v>0</v>
      </c>
      <c r="BZ169" s="1665">
        <v>0</v>
      </c>
      <c r="CA169" s="1665">
        <v>0</v>
      </c>
      <c r="CB169" s="1668"/>
      <c r="CC169" s="1668"/>
      <c r="CD169" s="1665">
        <v>0</v>
      </c>
      <c r="CE169" s="1665">
        <v>0</v>
      </c>
      <c r="CF169" s="1665">
        <v>0</v>
      </c>
      <c r="CG169" s="1665">
        <v>0</v>
      </c>
      <c r="CH169" s="1665">
        <v>0</v>
      </c>
      <c r="CI169" s="1665">
        <v>0</v>
      </c>
      <c r="CJ169" s="1665">
        <v>8413.9599999999991</v>
      </c>
      <c r="CK169" s="1665">
        <v>8413.9599999999991</v>
      </c>
      <c r="CL169" s="1668"/>
      <c r="CM169" s="1665">
        <v>0</v>
      </c>
      <c r="CN169" s="1665">
        <v>0</v>
      </c>
      <c r="CO169" s="1665">
        <v>0</v>
      </c>
      <c r="CP169" s="1665">
        <v>0</v>
      </c>
      <c r="CQ169" s="1665">
        <v>0</v>
      </c>
      <c r="CR169" s="1665">
        <v>0</v>
      </c>
      <c r="CS169" s="1665">
        <v>0</v>
      </c>
      <c r="CT169" s="1665">
        <v>0</v>
      </c>
      <c r="CU169" s="1665">
        <v>0</v>
      </c>
      <c r="CV169" s="1665">
        <v>0</v>
      </c>
      <c r="CW169" s="1668"/>
      <c r="CX169" s="1665">
        <v>0</v>
      </c>
      <c r="CY169" s="1665">
        <v>0</v>
      </c>
      <c r="CZ169" s="1665">
        <v>0</v>
      </c>
      <c r="DA169" s="1665">
        <v>0</v>
      </c>
      <c r="DB169" s="1668"/>
      <c r="DC169" s="1662"/>
      <c r="DD169" s="1665">
        <v>0</v>
      </c>
      <c r="DE169" s="1665">
        <v>0</v>
      </c>
      <c r="DF169" s="1665">
        <v>0</v>
      </c>
      <c r="DG169" s="1665">
        <v>0</v>
      </c>
      <c r="DH169" s="1665">
        <v>0</v>
      </c>
    </row>
    <row r="170" spans="1:112" ht="67.5" hidden="1" x14ac:dyDescent="0.25">
      <c r="A170" s="1662" t="s">
        <v>2222</v>
      </c>
      <c r="B170" s="1662" t="s">
        <v>1725</v>
      </c>
      <c r="C170" s="1662" t="s">
        <v>2633</v>
      </c>
      <c r="D170" s="1662" t="s">
        <v>2634</v>
      </c>
      <c r="E170" s="1662" t="s">
        <v>145</v>
      </c>
      <c r="F170" s="1662" t="s">
        <v>2635</v>
      </c>
      <c r="G170" s="1662" t="s">
        <v>2628</v>
      </c>
      <c r="H170" s="1662" t="s">
        <v>2613</v>
      </c>
      <c r="I170" s="1662" t="s">
        <v>720</v>
      </c>
      <c r="J170" s="1662" t="s">
        <v>303</v>
      </c>
      <c r="K170" s="1662" t="s">
        <v>2108</v>
      </c>
      <c r="L170" s="1662" t="s">
        <v>2109</v>
      </c>
      <c r="M170" s="1663"/>
      <c r="N170" s="1663"/>
      <c r="O170" s="1663"/>
      <c r="P170" s="1663"/>
      <c r="Q170" s="1663"/>
      <c r="R170" s="1663"/>
      <c r="S170" s="1663"/>
      <c r="T170" s="1663"/>
      <c r="U170" s="1663"/>
      <c r="V170" s="1663"/>
      <c r="W170" s="1663"/>
      <c r="X170" s="1663"/>
      <c r="Y170" s="1668"/>
      <c r="Z170" s="1662"/>
      <c r="AA170" s="1665">
        <v>0</v>
      </c>
      <c r="AB170" s="1665">
        <v>0</v>
      </c>
      <c r="AC170" s="1680">
        <v>0</v>
      </c>
      <c r="AD170" s="1681"/>
      <c r="AE170" s="1679" t="s">
        <v>2220</v>
      </c>
      <c r="AF170" s="1662"/>
      <c r="AG170" s="1666" t="s">
        <v>2221</v>
      </c>
      <c r="AH170" s="1667">
        <v>0</v>
      </c>
      <c r="AI170" s="1665">
        <v>0</v>
      </c>
      <c r="AJ170" s="1665">
        <v>0</v>
      </c>
      <c r="AK170" s="1698">
        <v>0</v>
      </c>
      <c r="AL170" s="1665">
        <v>0</v>
      </c>
      <c r="AM170" s="1664">
        <v>43080</v>
      </c>
      <c r="AN170" s="1665">
        <v>-10275.49</v>
      </c>
      <c r="AO170" s="1665">
        <v>-10275.49</v>
      </c>
      <c r="AP170" s="1665">
        <v>-9761.7199999999993</v>
      </c>
      <c r="AQ170" s="1665">
        <v>-8734.17</v>
      </c>
      <c r="AR170" s="1665">
        <v>-1027.55</v>
      </c>
      <c r="AS170" s="1665">
        <v>-513.77</v>
      </c>
      <c r="AT170" s="1665">
        <v>0</v>
      </c>
      <c r="AU170" s="1665">
        <v>-513.77</v>
      </c>
      <c r="AV170" s="1665">
        <v>0</v>
      </c>
      <c r="AW170" s="1665">
        <v>0</v>
      </c>
      <c r="AX170" s="1663"/>
      <c r="AY170" s="1663"/>
      <c r="AZ170" s="1663"/>
      <c r="BA170" s="1668"/>
      <c r="BB170" s="1668"/>
      <c r="BC170" s="1663"/>
      <c r="BD170" s="1663"/>
      <c r="BE170" s="1665">
        <v>-10275.49</v>
      </c>
      <c r="BF170" s="1665">
        <v>-10275.49</v>
      </c>
      <c r="BG170" s="1665">
        <v>-9761.7199999999993</v>
      </c>
      <c r="BH170" s="1665">
        <v>-8734.17</v>
      </c>
      <c r="BI170" s="1665">
        <v>-1027.55</v>
      </c>
      <c r="BJ170" s="1665">
        <v>-513.77</v>
      </c>
      <c r="BK170" s="1665">
        <v>0</v>
      </c>
      <c r="BL170" s="1665">
        <v>-513.77</v>
      </c>
      <c r="BM170" s="1665">
        <v>0</v>
      </c>
      <c r="BN170" s="1665">
        <v>0</v>
      </c>
      <c r="BO170" s="1664">
        <v>43364</v>
      </c>
      <c r="BP170" s="1665">
        <v>-10275.49</v>
      </c>
      <c r="BQ170" s="1665">
        <v>-10275.49</v>
      </c>
      <c r="BR170" s="1665">
        <v>-9761.7199999999993</v>
      </c>
      <c r="BS170" s="1667">
        <v>-8734.17</v>
      </c>
      <c r="BT170" s="1665">
        <v>-1027.55</v>
      </c>
      <c r="BU170" s="1665">
        <v>-513.77</v>
      </c>
      <c r="BV170" s="1665">
        <v>0</v>
      </c>
      <c r="BW170" s="1665">
        <v>0</v>
      </c>
      <c r="BX170" s="1665">
        <v>0</v>
      </c>
      <c r="BY170" s="1665">
        <v>0</v>
      </c>
      <c r="BZ170" s="1665">
        <v>0</v>
      </c>
      <c r="CA170" s="1663"/>
      <c r="CB170" s="1668"/>
      <c r="CC170" s="1668"/>
      <c r="CD170" s="1663"/>
      <c r="CE170" s="1663"/>
      <c r="CF170" s="1665">
        <v>0</v>
      </c>
      <c r="CG170" s="1665">
        <v>0</v>
      </c>
      <c r="CH170" s="1665">
        <v>0</v>
      </c>
      <c r="CI170" s="1665">
        <v>0</v>
      </c>
      <c r="CJ170" s="1665">
        <v>0</v>
      </c>
      <c r="CK170" s="1665">
        <v>0</v>
      </c>
      <c r="CL170" s="1668"/>
      <c r="CM170" s="1665">
        <v>0</v>
      </c>
      <c r="CN170" s="1665">
        <v>0</v>
      </c>
      <c r="CO170" s="1665">
        <v>0</v>
      </c>
      <c r="CP170" s="1665">
        <v>0</v>
      </c>
      <c r="CQ170" s="1665">
        <v>0</v>
      </c>
      <c r="CR170" s="1665">
        <v>0</v>
      </c>
      <c r="CS170" s="1665">
        <v>0</v>
      </c>
      <c r="CT170" s="1665">
        <v>0</v>
      </c>
      <c r="CU170" s="1665">
        <v>0</v>
      </c>
      <c r="CV170" s="1665">
        <v>0</v>
      </c>
      <c r="CW170" s="1668"/>
      <c r="CX170" s="1663"/>
      <c r="CY170" s="1663"/>
      <c r="CZ170" s="1663"/>
      <c r="DA170" s="1663"/>
      <c r="DB170" s="1668"/>
      <c r="DC170" s="1662"/>
      <c r="DD170" s="1665">
        <v>0</v>
      </c>
      <c r="DE170" s="1663"/>
      <c r="DF170" s="1663"/>
      <c r="DG170" s="1665">
        <v>0</v>
      </c>
      <c r="DH170" s="1665">
        <v>0</v>
      </c>
    </row>
    <row r="171" spans="1:112" ht="67.5" hidden="1" x14ac:dyDescent="0.25">
      <c r="A171" s="1662" t="s">
        <v>2224</v>
      </c>
      <c r="B171" s="1662" t="s">
        <v>1725</v>
      </c>
      <c r="C171" s="1662" t="s">
        <v>2633</v>
      </c>
      <c r="D171" s="1662" t="s">
        <v>2634</v>
      </c>
      <c r="E171" s="1662" t="s">
        <v>145</v>
      </c>
      <c r="F171" s="1662" t="s">
        <v>2635</v>
      </c>
      <c r="G171" s="1662" t="s">
        <v>2628</v>
      </c>
      <c r="H171" s="1662" t="s">
        <v>2613</v>
      </c>
      <c r="I171" s="1662" t="s">
        <v>720</v>
      </c>
      <c r="J171" s="1662" t="s">
        <v>303</v>
      </c>
      <c r="K171" s="1662" t="s">
        <v>2108</v>
      </c>
      <c r="L171" s="1662" t="s">
        <v>2109</v>
      </c>
      <c r="M171" s="1663"/>
      <c r="N171" s="1663"/>
      <c r="O171" s="1663"/>
      <c r="P171" s="1663"/>
      <c r="Q171" s="1663"/>
      <c r="R171" s="1663"/>
      <c r="S171" s="1663"/>
      <c r="T171" s="1663"/>
      <c r="U171" s="1663"/>
      <c r="V171" s="1663"/>
      <c r="W171" s="1663"/>
      <c r="X171" s="1663"/>
      <c r="Y171" s="1668"/>
      <c r="Z171" s="1662"/>
      <c r="AA171" s="1665">
        <v>0</v>
      </c>
      <c r="AB171" s="1665">
        <v>0</v>
      </c>
      <c r="AC171" s="1680">
        <v>0</v>
      </c>
      <c r="AD171" s="1681"/>
      <c r="AE171" s="1679" t="s">
        <v>2220</v>
      </c>
      <c r="AF171" s="1662" t="s">
        <v>2223</v>
      </c>
      <c r="AG171" s="1666" t="s">
        <v>2221</v>
      </c>
      <c r="AH171" s="1667">
        <v>-10275.49</v>
      </c>
      <c r="AI171" s="1665">
        <v>-10275.49</v>
      </c>
      <c r="AJ171" s="1665">
        <v>0</v>
      </c>
      <c r="AK171" s="1698">
        <v>0</v>
      </c>
      <c r="AL171" s="1665">
        <v>0</v>
      </c>
      <c r="AM171" s="1668"/>
      <c r="AN171" s="1665">
        <v>0</v>
      </c>
      <c r="AO171" s="1665">
        <v>0</v>
      </c>
      <c r="AP171" s="1665">
        <v>0</v>
      </c>
      <c r="AQ171" s="1665">
        <v>0</v>
      </c>
      <c r="AR171" s="1665">
        <v>0</v>
      </c>
      <c r="AS171" s="1665">
        <v>0</v>
      </c>
      <c r="AT171" s="1665">
        <v>0</v>
      </c>
      <c r="AU171" s="1665">
        <v>0</v>
      </c>
      <c r="AV171" s="1665">
        <v>0</v>
      </c>
      <c r="AW171" s="1665">
        <v>0</v>
      </c>
      <c r="AX171" s="1663"/>
      <c r="AY171" s="1663"/>
      <c r="AZ171" s="1663"/>
      <c r="BA171" s="1668"/>
      <c r="BB171" s="1668"/>
      <c r="BC171" s="1663"/>
      <c r="BD171" s="1663"/>
      <c r="BE171" s="1665">
        <v>0</v>
      </c>
      <c r="BF171" s="1665">
        <v>0</v>
      </c>
      <c r="BG171" s="1665">
        <v>0</v>
      </c>
      <c r="BH171" s="1665">
        <v>0</v>
      </c>
      <c r="BI171" s="1665">
        <v>0</v>
      </c>
      <c r="BJ171" s="1665">
        <v>0</v>
      </c>
      <c r="BK171" s="1665">
        <v>0</v>
      </c>
      <c r="BL171" s="1665">
        <v>0</v>
      </c>
      <c r="BM171" s="1665">
        <v>0</v>
      </c>
      <c r="BN171" s="1665">
        <v>0</v>
      </c>
      <c r="BO171" s="1668"/>
      <c r="BP171" s="1665">
        <v>0</v>
      </c>
      <c r="BQ171" s="1665">
        <v>0</v>
      </c>
      <c r="BR171" s="1665">
        <v>0</v>
      </c>
      <c r="BS171" s="1667">
        <v>0</v>
      </c>
      <c r="BT171" s="1665">
        <v>0</v>
      </c>
      <c r="BU171" s="1665">
        <v>0</v>
      </c>
      <c r="BV171" s="1665">
        <v>0</v>
      </c>
      <c r="BW171" s="1665">
        <v>0</v>
      </c>
      <c r="BX171" s="1665">
        <v>0</v>
      </c>
      <c r="BY171" s="1665">
        <v>0</v>
      </c>
      <c r="BZ171" s="1665">
        <v>0</v>
      </c>
      <c r="CA171" s="1663"/>
      <c r="CB171" s="1668"/>
      <c r="CC171" s="1668"/>
      <c r="CD171" s="1663"/>
      <c r="CE171" s="1663"/>
      <c r="CF171" s="1665">
        <v>0</v>
      </c>
      <c r="CG171" s="1665">
        <v>0</v>
      </c>
      <c r="CH171" s="1665">
        <v>0</v>
      </c>
      <c r="CI171" s="1665">
        <v>0</v>
      </c>
      <c r="CJ171" s="1665">
        <v>0</v>
      </c>
      <c r="CK171" s="1665">
        <v>0</v>
      </c>
      <c r="CL171" s="1668"/>
      <c r="CM171" s="1665">
        <v>0</v>
      </c>
      <c r="CN171" s="1665">
        <v>0</v>
      </c>
      <c r="CO171" s="1665">
        <v>0</v>
      </c>
      <c r="CP171" s="1665">
        <v>0</v>
      </c>
      <c r="CQ171" s="1665">
        <v>0</v>
      </c>
      <c r="CR171" s="1665">
        <v>0</v>
      </c>
      <c r="CS171" s="1665">
        <v>0</v>
      </c>
      <c r="CT171" s="1665">
        <v>0</v>
      </c>
      <c r="CU171" s="1665">
        <v>0</v>
      </c>
      <c r="CV171" s="1665">
        <v>0</v>
      </c>
      <c r="CW171" s="1668"/>
      <c r="CX171" s="1663"/>
      <c r="CY171" s="1663"/>
      <c r="CZ171" s="1663"/>
      <c r="DA171" s="1663"/>
      <c r="DB171" s="1668"/>
      <c r="DC171" s="1662"/>
      <c r="DD171" s="1665">
        <v>0</v>
      </c>
      <c r="DE171" s="1663"/>
      <c r="DF171" s="1663"/>
      <c r="DG171" s="1665">
        <v>0</v>
      </c>
      <c r="DH171" s="1665">
        <v>0</v>
      </c>
    </row>
    <row r="172" spans="1:112" ht="67.5" hidden="1" x14ac:dyDescent="0.25">
      <c r="A172" s="1662" t="s">
        <v>2226</v>
      </c>
      <c r="B172" s="1662" t="s">
        <v>1725</v>
      </c>
      <c r="C172" s="1662" t="s">
        <v>2633</v>
      </c>
      <c r="D172" s="1662" t="s">
        <v>2634</v>
      </c>
      <c r="E172" s="1662" t="s">
        <v>145</v>
      </c>
      <c r="F172" s="1662" t="s">
        <v>2635</v>
      </c>
      <c r="G172" s="1662" t="s">
        <v>2628</v>
      </c>
      <c r="H172" s="1662" t="s">
        <v>2613</v>
      </c>
      <c r="I172" s="1662" t="s">
        <v>720</v>
      </c>
      <c r="J172" s="1662" t="s">
        <v>303</v>
      </c>
      <c r="K172" s="1662" t="s">
        <v>2108</v>
      </c>
      <c r="L172" s="1662" t="s">
        <v>2109</v>
      </c>
      <c r="M172" s="1663"/>
      <c r="N172" s="1663"/>
      <c r="O172" s="1663"/>
      <c r="P172" s="1663"/>
      <c r="Q172" s="1663"/>
      <c r="R172" s="1663"/>
      <c r="S172" s="1663"/>
      <c r="T172" s="1663"/>
      <c r="U172" s="1663"/>
      <c r="V172" s="1663"/>
      <c r="W172" s="1663"/>
      <c r="X172" s="1663"/>
      <c r="Y172" s="1668"/>
      <c r="Z172" s="1662"/>
      <c r="AA172" s="1665">
        <v>0</v>
      </c>
      <c r="AB172" s="1665">
        <v>0</v>
      </c>
      <c r="AC172" s="1680">
        <v>0</v>
      </c>
      <c r="AD172" s="1681"/>
      <c r="AE172" s="1679" t="s">
        <v>2225</v>
      </c>
      <c r="AF172" s="1662"/>
      <c r="AG172" s="1666" t="s">
        <v>2221</v>
      </c>
      <c r="AH172" s="1667">
        <v>0</v>
      </c>
      <c r="AI172" s="1665">
        <v>0</v>
      </c>
      <c r="AJ172" s="1665">
        <v>0</v>
      </c>
      <c r="AK172" s="1698">
        <v>0</v>
      </c>
      <c r="AL172" s="1665">
        <v>0</v>
      </c>
      <c r="AM172" s="1664">
        <v>43080</v>
      </c>
      <c r="AN172" s="1665">
        <v>-91.45</v>
      </c>
      <c r="AO172" s="1665">
        <v>-91.45</v>
      </c>
      <c r="AP172" s="1665">
        <v>-86.88</v>
      </c>
      <c r="AQ172" s="1665">
        <v>-77.73</v>
      </c>
      <c r="AR172" s="1665">
        <v>-9.15</v>
      </c>
      <c r="AS172" s="1665">
        <v>-4.57</v>
      </c>
      <c r="AT172" s="1665">
        <v>0</v>
      </c>
      <c r="AU172" s="1665">
        <v>-4.57</v>
      </c>
      <c r="AV172" s="1665">
        <v>0</v>
      </c>
      <c r="AW172" s="1665">
        <v>0</v>
      </c>
      <c r="AX172" s="1663"/>
      <c r="AY172" s="1663"/>
      <c r="AZ172" s="1663"/>
      <c r="BA172" s="1668"/>
      <c r="BB172" s="1668"/>
      <c r="BC172" s="1663"/>
      <c r="BD172" s="1663"/>
      <c r="BE172" s="1665">
        <v>-91.45</v>
      </c>
      <c r="BF172" s="1665">
        <v>-91.45</v>
      </c>
      <c r="BG172" s="1665">
        <v>-86.88</v>
      </c>
      <c r="BH172" s="1665">
        <v>-77.73</v>
      </c>
      <c r="BI172" s="1665">
        <v>-9.15</v>
      </c>
      <c r="BJ172" s="1665">
        <v>-4.57</v>
      </c>
      <c r="BK172" s="1665">
        <v>0</v>
      </c>
      <c r="BL172" s="1665">
        <v>-4.57</v>
      </c>
      <c r="BM172" s="1665">
        <v>0</v>
      </c>
      <c r="BN172" s="1665">
        <v>0</v>
      </c>
      <c r="BO172" s="1664">
        <v>43364</v>
      </c>
      <c r="BP172" s="1665">
        <v>-91.45</v>
      </c>
      <c r="BQ172" s="1665">
        <v>-91.45</v>
      </c>
      <c r="BR172" s="1665">
        <v>-86.88</v>
      </c>
      <c r="BS172" s="1667">
        <v>-77.73</v>
      </c>
      <c r="BT172" s="1665">
        <v>-9.15</v>
      </c>
      <c r="BU172" s="1665">
        <v>-4.57</v>
      </c>
      <c r="BV172" s="1665">
        <v>0</v>
      </c>
      <c r="BW172" s="1665">
        <v>0</v>
      </c>
      <c r="BX172" s="1665">
        <v>0</v>
      </c>
      <c r="BY172" s="1665">
        <v>0</v>
      </c>
      <c r="BZ172" s="1665">
        <v>0</v>
      </c>
      <c r="CA172" s="1663"/>
      <c r="CB172" s="1668"/>
      <c r="CC172" s="1668"/>
      <c r="CD172" s="1663"/>
      <c r="CE172" s="1663"/>
      <c r="CF172" s="1665">
        <v>0</v>
      </c>
      <c r="CG172" s="1665">
        <v>0</v>
      </c>
      <c r="CH172" s="1665">
        <v>0</v>
      </c>
      <c r="CI172" s="1665">
        <v>0</v>
      </c>
      <c r="CJ172" s="1665">
        <v>0</v>
      </c>
      <c r="CK172" s="1665">
        <v>0</v>
      </c>
      <c r="CL172" s="1668"/>
      <c r="CM172" s="1665">
        <v>0</v>
      </c>
      <c r="CN172" s="1665">
        <v>0</v>
      </c>
      <c r="CO172" s="1665">
        <v>0</v>
      </c>
      <c r="CP172" s="1665">
        <v>0</v>
      </c>
      <c r="CQ172" s="1665">
        <v>0</v>
      </c>
      <c r="CR172" s="1665">
        <v>0</v>
      </c>
      <c r="CS172" s="1665">
        <v>0</v>
      </c>
      <c r="CT172" s="1665">
        <v>0</v>
      </c>
      <c r="CU172" s="1665">
        <v>0</v>
      </c>
      <c r="CV172" s="1665">
        <v>0</v>
      </c>
      <c r="CW172" s="1668"/>
      <c r="CX172" s="1663"/>
      <c r="CY172" s="1663"/>
      <c r="CZ172" s="1663"/>
      <c r="DA172" s="1663"/>
      <c r="DB172" s="1668"/>
      <c r="DC172" s="1662"/>
      <c r="DD172" s="1665">
        <v>0</v>
      </c>
      <c r="DE172" s="1663"/>
      <c r="DF172" s="1663"/>
      <c r="DG172" s="1665">
        <v>0</v>
      </c>
      <c r="DH172" s="1665">
        <v>0</v>
      </c>
    </row>
    <row r="173" spans="1:112" ht="67.5" hidden="1" x14ac:dyDescent="0.25">
      <c r="A173" s="1662" t="s">
        <v>2227</v>
      </c>
      <c r="B173" s="1662" t="s">
        <v>1725</v>
      </c>
      <c r="C173" s="1662" t="s">
        <v>2633</v>
      </c>
      <c r="D173" s="1662" t="s">
        <v>2634</v>
      </c>
      <c r="E173" s="1662" t="s">
        <v>145</v>
      </c>
      <c r="F173" s="1662" t="s">
        <v>2635</v>
      </c>
      <c r="G173" s="1662" t="s">
        <v>2628</v>
      </c>
      <c r="H173" s="1662" t="s">
        <v>2613</v>
      </c>
      <c r="I173" s="1662" t="s">
        <v>720</v>
      </c>
      <c r="J173" s="1662" t="s">
        <v>303</v>
      </c>
      <c r="K173" s="1662" t="s">
        <v>2108</v>
      </c>
      <c r="L173" s="1662" t="s">
        <v>2109</v>
      </c>
      <c r="M173" s="1663"/>
      <c r="N173" s="1663"/>
      <c r="O173" s="1663"/>
      <c r="P173" s="1663"/>
      <c r="Q173" s="1663"/>
      <c r="R173" s="1663"/>
      <c r="S173" s="1663"/>
      <c r="T173" s="1663"/>
      <c r="U173" s="1663"/>
      <c r="V173" s="1663"/>
      <c r="W173" s="1663"/>
      <c r="X173" s="1663"/>
      <c r="Y173" s="1668"/>
      <c r="Z173" s="1662"/>
      <c r="AA173" s="1665">
        <v>0</v>
      </c>
      <c r="AB173" s="1665">
        <v>0</v>
      </c>
      <c r="AC173" s="1680">
        <v>0</v>
      </c>
      <c r="AD173" s="1681"/>
      <c r="AE173" s="1679" t="s">
        <v>2225</v>
      </c>
      <c r="AF173" s="1662" t="s">
        <v>2223</v>
      </c>
      <c r="AG173" s="1666" t="s">
        <v>2221</v>
      </c>
      <c r="AH173" s="1667">
        <v>-91.45</v>
      </c>
      <c r="AI173" s="1665">
        <v>-91.45</v>
      </c>
      <c r="AJ173" s="1665">
        <v>0</v>
      </c>
      <c r="AK173" s="1698">
        <v>0</v>
      </c>
      <c r="AL173" s="1665">
        <v>0</v>
      </c>
      <c r="AM173" s="1668"/>
      <c r="AN173" s="1665">
        <v>0</v>
      </c>
      <c r="AO173" s="1665">
        <v>0</v>
      </c>
      <c r="AP173" s="1665">
        <v>0</v>
      </c>
      <c r="AQ173" s="1665">
        <v>0</v>
      </c>
      <c r="AR173" s="1665">
        <v>0</v>
      </c>
      <c r="AS173" s="1665">
        <v>0</v>
      </c>
      <c r="AT173" s="1665">
        <v>0</v>
      </c>
      <c r="AU173" s="1665">
        <v>0</v>
      </c>
      <c r="AV173" s="1665">
        <v>0</v>
      </c>
      <c r="AW173" s="1665">
        <v>0</v>
      </c>
      <c r="AX173" s="1663"/>
      <c r="AY173" s="1663"/>
      <c r="AZ173" s="1663"/>
      <c r="BA173" s="1668"/>
      <c r="BB173" s="1668"/>
      <c r="BC173" s="1663"/>
      <c r="BD173" s="1663"/>
      <c r="BE173" s="1665">
        <v>0</v>
      </c>
      <c r="BF173" s="1665">
        <v>0</v>
      </c>
      <c r="BG173" s="1665">
        <v>0</v>
      </c>
      <c r="BH173" s="1665">
        <v>0</v>
      </c>
      <c r="BI173" s="1665">
        <v>0</v>
      </c>
      <c r="BJ173" s="1665">
        <v>0</v>
      </c>
      <c r="BK173" s="1665">
        <v>0</v>
      </c>
      <c r="BL173" s="1665">
        <v>0</v>
      </c>
      <c r="BM173" s="1665">
        <v>0</v>
      </c>
      <c r="BN173" s="1665">
        <v>0</v>
      </c>
      <c r="BO173" s="1668"/>
      <c r="BP173" s="1665">
        <v>0</v>
      </c>
      <c r="BQ173" s="1665">
        <v>0</v>
      </c>
      <c r="BR173" s="1665">
        <v>0</v>
      </c>
      <c r="BS173" s="1667">
        <v>0</v>
      </c>
      <c r="BT173" s="1665">
        <v>0</v>
      </c>
      <c r="BU173" s="1665">
        <v>0</v>
      </c>
      <c r="BV173" s="1665">
        <v>0</v>
      </c>
      <c r="BW173" s="1665">
        <v>0</v>
      </c>
      <c r="BX173" s="1665">
        <v>0</v>
      </c>
      <c r="BY173" s="1665">
        <v>0</v>
      </c>
      <c r="BZ173" s="1665">
        <v>0</v>
      </c>
      <c r="CA173" s="1663"/>
      <c r="CB173" s="1668"/>
      <c r="CC173" s="1668"/>
      <c r="CD173" s="1663"/>
      <c r="CE173" s="1663"/>
      <c r="CF173" s="1665">
        <v>0</v>
      </c>
      <c r="CG173" s="1665">
        <v>0</v>
      </c>
      <c r="CH173" s="1665">
        <v>0</v>
      </c>
      <c r="CI173" s="1665">
        <v>0</v>
      </c>
      <c r="CJ173" s="1665">
        <v>0</v>
      </c>
      <c r="CK173" s="1665">
        <v>0</v>
      </c>
      <c r="CL173" s="1668"/>
      <c r="CM173" s="1665">
        <v>0</v>
      </c>
      <c r="CN173" s="1665">
        <v>0</v>
      </c>
      <c r="CO173" s="1665">
        <v>0</v>
      </c>
      <c r="CP173" s="1665">
        <v>0</v>
      </c>
      <c r="CQ173" s="1665">
        <v>0</v>
      </c>
      <c r="CR173" s="1665">
        <v>0</v>
      </c>
      <c r="CS173" s="1665">
        <v>0</v>
      </c>
      <c r="CT173" s="1665">
        <v>0</v>
      </c>
      <c r="CU173" s="1665">
        <v>0</v>
      </c>
      <c r="CV173" s="1665">
        <v>0</v>
      </c>
      <c r="CW173" s="1668"/>
      <c r="CX173" s="1663"/>
      <c r="CY173" s="1663"/>
      <c r="CZ173" s="1663"/>
      <c r="DA173" s="1663"/>
      <c r="DB173" s="1668"/>
      <c r="DC173" s="1662"/>
      <c r="DD173" s="1665">
        <v>0</v>
      </c>
      <c r="DE173" s="1663"/>
      <c r="DF173" s="1663"/>
      <c r="DG173" s="1665">
        <v>0</v>
      </c>
      <c r="DH173" s="1665">
        <v>0</v>
      </c>
    </row>
    <row r="174" spans="1:112" ht="67.5" hidden="1" x14ac:dyDescent="0.25">
      <c r="A174" s="1662" t="s">
        <v>2228</v>
      </c>
      <c r="B174" s="1662" t="s">
        <v>1725</v>
      </c>
      <c r="C174" s="1662" t="s">
        <v>2633</v>
      </c>
      <c r="D174" s="1662" t="s">
        <v>2634</v>
      </c>
      <c r="E174" s="1662" t="s">
        <v>145</v>
      </c>
      <c r="F174" s="1662" t="s">
        <v>2635</v>
      </c>
      <c r="G174" s="1662" t="s">
        <v>2628</v>
      </c>
      <c r="H174" s="1662" t="s">
        <v>2613</v>
      </c>
      <c r="I174" s="1662" t="s">
        <v>720</v>
      </c>
      <c r="J174" s="1662" t="s">
        <v>303</v>
      </c>
      <c r="K174" s="1662" t="s">
        <v>2108</v>
      </c>
      <c r="L174" s="1662" t="s">
        <v>2109</v>
      </c>
      <c r="M174" s="1663"/>
      <c r="N174" s="1663"/>
      <c r="O174" s="1663"/>
      <c r="P174" s="1663"/>
      <c r="Q174" s="1663"/>
      <c r="R174" s="1663"/>
      <c r="S174" s="1663"/>
      <c r="T174" s="1663"/>
      <c r="U174" s="1663"/>
      <c r="V174" s="1663"/>
      <c r="W174" s="1663"/>
      <c r="X174" s="1663"/>
      <c r="Y174" s="1664">
        <v>42790</v>
      </c>
      <c r="Z174" s="1662" t="s">
        <v>2145</v>
      </c>
      <c r="AA174" s="1665">
        <v>0</v>
      </c>
      <c r="AB174" s="1665">
        <v>0</v>
      </c>
      <c r="AC174" s="1680">
        <v>0</v>
      </c>
      <c r="AD174" s="1682">
        <v>42803</v>
      </c>
      <c r="AE174" s="1679" t="s">
        <v>2122</v>
      </c>
      <c r="AF174" s="1662" t="s">
        <v>2112</v>
      </c>
      <c r="AG174" s="1666"/>
      <c r="AH174" s="1667">
        <v>200000</v>
      </c>
      <c r="AI174" s="1665">
        <v>200000</v>
      </c>
      <c r="AJ174" s="1665">
        <v>200000</v>
      </c>
      <c r="AK174" s="1698">
        <v>178947.37</v>
      </c>
      <c r="AL174" s="1665">
        <v>21052.63</v>
      </c>
      <c r="AM174" s="1668"/>
      <c r="AN174" s="1665">
        <v>0</v>
      </c>
      <c r="AO174" s="1665">
        <v>0</v>
      </c>
      <c r="AP174" s="1665">
        <v>0</v>
      </c>
      <c r="AQ174" s="1665">
        <v>0</v>
      </c>
      <c r="AR174" s="1665">
        <v>0</v>
      </c>
      <c r="AS174" s="1665">
        <v>0</v>
      </c>
      <c r="AT174" s="1665">
        <v>0</v>
      </c>
      <c r="AU174" s="1665">
        <v>0</v>
      </c>
      <c r="AV174" s="1665">
        <v>0</v>
      </c>
      <c r="AW174" s="1665">
        <v>0</v>
      </c>
      <c r="AX174" s="1663"/>
      <c r="AY174" s="1663"/>
      <c r="AZ174" s="1663"/>
      <c r="BA174" s="1668"/>
      <c r="BB174" s="1668"/>
      <c r="BC174" s="1663"/>
      <c r="BD174" s="1663"/>
      <c r="BE174" s="1665">
        <v>0</v>
      </c>
      <c r="BF174" s="1665">
        <v>0</v>
      </c>
      <c r="BG174" s="1665">
        <v>0</v>
      </c>
      <c r="BH174" s="1665">
        <v>0</v>
      </c>
      <c r="BI174" s="1665">
        <v>0</v>
      </c>
      <c r="BJ174" s="1665">
        <v>0</v>
      </c>
      <c r="BK174" s="1665">
        <v>0</v>
      </c>
      <c r="BL174" s="1665">
        <v>0</v>
      </c>
      <c r="BM174" s="1665">
        <v>0</v>
      </c>
      <c r="BN174" s="1665">
        <v>0</v>
      </c>
      <c r="BO174" s="1668"/>
      <c r="BP174" s="1665">
        <v>0</v>
      </c>
      <c r="BQ174" s="1665">
        <v>0</v>
      </c>
      <c r="BR174" s="1665">
        <v>0</v>
      </c>
      <c r="BS174" s="1667">
        <v>0</v>
      </c>
      <c r="BT174" s="1665">
        <v>0</v>
      </c>
      <c r="BU174" s="1665">
        <v>0</v>
      </c>
      <c r="BV174" s="1665">
        <v>0</v>
      </c>
      <c r="BW174" s="1665">
        <v>0</v>
      </c>
      <c r="BX174" s="1665">
        <v>0</v>
      </c>
      <c r="BY174" s="1665">
        <v>0</v>
      </c>
      <c r="BZ174" s="1663"/>
      <c r="CA174" s="1663"/>
      <c r="CB174" s="1668"/>
      <c r="CC174" s="1668"/>
      <c r="CD174" s="1663"/>
      <c r="CE174" s="1663"/>
      <c r="CF174" s="1665">
        <v>0</v>
      </c>
      <c r="CG174" s="1665">
        <v>0</v>
      </c>
      <c r="CH174" s="1665">
        <v>0</v>
      </c>
      <c r="CI174" s="1665">
        <v>0</v>
      </c>
      <c r="CJ174" s="1665">
        <v>0</v>
      </c>
      <c r="CK174" s="1665">
        <v>0</v>
      </c>
      <c r="CL174" s="1668"/>
      <c r="CM174" s="1665">
        <v>0</v>
      </c>
      <c r="CN174" s="1665">
        <v>0</v>
      </c>
      <c r="CO174" s="1665">
        <v>0</v>
      </c>
      <c r="CP174" s="1665">
        <v>0</v>
      </c>
      <c r="CQ174" s="1665">
        <v>0</v>
      </c>
      <c r="CR174" s="1665">
        <v>0</v>
      </c>
      <c r="CS174" s="1665">
        <v>0</v>
      </c>
      <c r="CT174" s="1665">
        <v>0</v>
      </c>
      <c r="CU174" s="1665">
        <v>0</v>
      </c>
      <c r="CV174" s="1665">
        <v>0</v>
      </c>
      <c r="CW174" s="1668"/>
      <c r="CX174" s="1663"/>
      <c r="CY174" s="1663"/>
      <c r="CZ174" s="1663"/>
      <c r="DA174" s="1663"/>
      <c r="DB174" s="1668"/>
      <c r="DC174" s="1662"/>
      <c r="DD174" s="1665">
        <v>0</v>
      </c>
      <c r="DE174" s="1663"/>
      <c r="DF174" s="1663"/>
      <c r="DG174" s="1665">
        <v>0</v>
      </c>
      <c r="DH174" s="1665">
        <v>0</v>
      </c>
    </row>
    <row r="175" spans="1:112" ht="67.5" hidden="1" x14ac:dyDescent="0.25">
      <c r="A175" s="1662" t="s">
        <v>2229</v>
      </c>
      <c r="B175" s="1662" t="s">
        <v>1725</v>
      </c>
      <c r="C175" s="1662" t="s">
        <v>2633</v>
      </c>
      <c r="D175" s="1662" t="s">
        <v>2634</v>
      </c>
      <c r="E175" s="1662" t="s">
        <v>145</v>
      </c>
      <c r="F175" s="1662" t="s">
        <v>2635</v>
      </c>
      <c r="G175" s="1662" t="s">
        <v>2628</v>
      </c>
      <c r="H175" s="1662" t="s">
        <v>2613</v>
      </c>
      <c r="I175" s="1662" t="s">
        <v>720</v>
      </c>
      <c r="J175" s="1662" t="s">
        <v>303</v>
      </c>
      <c r="K175" s="1662" t="s">
        <v>2108</v>
      </c>
      <c r="L175" s="1662" t="s">
        <v>2109</v>
      </c>
      <c r="M175" s="1663"/>
      <c r="N175" s="1663"/>
      <c r="O175" s="1663"/>
      <c r="P175" s="1663"/>
      <c r="Q175" s="1663"/>
      <c r="R175" s="1663"/>
      <c r="S175" s="1663"/>
      <c r="T175" s="1663"/>
      <c r="U175" s="1663"/>
      <c r="V175" s="1663"/>
      <c r="W175" s="1663"/>
      <c r="X175" s="1663"/>
      <c r="Y175" s="1664">
        <v>42830</v>
      </c>
      <c r="Z175" s="1662" t="s">
        <v>2110</v>
      </c>
      <c r="AA175" s="1665">
        <v>0</v>
      </c>
      <c r="AB175" s="1665">
        <v>0</v>
      </c>
      <c r="AC175" s="1680">
        <v>0</v>
      </c>
      <c r="AD175" s="1682">
        <v>42857</v>
      </c>
      <c r="AE175" s="1679" t="s">
        <v>2111</v>
      </c>
      <c r="AF175" s="1662" t="s">
        <v>2112</v>
      </c>
      <c r="AG175" s="1666"/>
      <c r="AH175" s="1667">
        <v>125696.28</v>
      </c>
      <c r="AI175" s="1665">
        <v>125696.28</v>
      </c>
      <c r="AJ175" s="1665">
        <v>119411.47</v>
      </c>
      <c r="AK175" s="1698">
        <v>106841.84</v>
      </c>
      <c r="AL175" s="1665">
        <v>12569.63</v>
      </c>
      <c r="AM175" s="1664">
        <v>42857</v>
      </c>
      <c r="AN175" s="1665">
        <v>125696.28</v>
      </c>
      <c r="AO175" s="1665">
        <v>125696.28</v>
      </c>
      <c r="AP175" s="1665">
        <v>119411.47</v>
      </c>
      <c r="AQ175" s="1665">
        <v>106841.84</v>
      </c>
      <c r="AR175" s="1665">
        <v>12569.63</v>
      </c>
      <c r="AS175" s="1665">
        <v>6284.81</v>
      </c>
      <c r="AT175" s="1665">
        <v>0</v>
      </c>
      <c r="AU175" s="1665">
        <v>6284.81</v>
      </c>
      <c r="AV175" s="1665">
        <v>0</v>
      </c>
      <c r="AW175" s="1665">
        <v>0</v>
      </c>
      <c r="AX175" s="1663"/>
      <c r="AY175" s="1663"/>
      <c r="AZ175" s="1663"/>
      <c r="BA175" s="1668"/>
      <c r="BB175" s="1668"/>
      <c r="BC175" s="1663"/>
      <c r="BD175" s="1663"/>
      <c r="BE175" s="1665">
        <v>125696.28</v>
      </c>
      <c r="BF175" s="1665">
        <v>125696.28</v>
      </c>
      <c r="BG175" s="1665">
        <v>119411.47</v>
      </c>
      <c r="BH175" s="1665">
        <v>106841.84</v>
      </c>
      <c r="BI175" s="1665">
        <v>12569.63</v>
      </c>
      <c r="BJ175" s="1665">
        <v>6284.81</v>
      </c>
      <c r="BK175" s="1665">
        <v>0</v>
      </c>
      <c r="BL175" s="1665">
        <v>6284.81</v>
      </c>
      <c r="BM175" s="1665">
        <v>0</v>
      </c>
      <c r="BN175" s="1665">
        <v>0</v>
      </c>
      <c r="BO175" s="1664">
        <v>42993</v>
      </c>
      <c r="BP175" s="1665">
        <v>125696.28</v>
      </c>
      <c r="BQ175" s="1665">
        <v>125696.28</v>
      </c>
      <c r="BR175" s="1665">
        <v>119411.47</v>
      </c>
      <c r="BS175" s="1667">
        <v>106841.84</v>
      </c>
      <c r="BT175" s="1665">
        <v>12569.63</v>
      </c>
      <c r="BU175" s="1665">
        <v>6284.81</v>
      </c>
      <c r="BV175" s="1665">
        <v>0</v>
      </c>
      <c r="BW175" s="1665">
        <v>0</v>
      </c>
      <c r="BX175" s="1665">
        <v>0</v>
      </c>
      <c r="BY175" s="1665">
        <v>0</v>
      </c>
      <c r="BZ175" s="1665">
        <v>0</v>
      </c>
      <c r="CA175" s="1663"/>
      <c r="CB175" s="1668"/>
      <c r="CC175" s="1668"/>
      <c r="CD175" s="1663"/>
      <c r="CE175" s="1663"/>
      <c r="CF175" s="1665">
        <v>0</v>
      </c>
      <c r="CG175" s="1665">
        <v>0</v>
      </c>
      <c r="CH175" s="1665">
        <v>0</v>
      </c>
      <c r="CI175" s="1665">
        <v>0</v>
      </c>
      <c r="CJ175" s="1665">
        <v>1108.83</v>
      </c>
      <c r="CK175" s="1665">
        <v>1108.83</v>
      </c>
      <c r="CL175" s="1668"/>
      <c r="CM175" s="1665">
        <v>0</v>
      </c>
      <c r="CN175" s="1665">
        <v>0</v>
      </c>
      <c r="CO175" s="1665">
        <v>0</v>
      </c>
      <c r="CP175" s="1665">
        <v>0</v>
      </c>
      <c r="CQ175" s="1665">
        <v>0</v>
      </c>
      <c r="CR175" s="1665">
        <v>0</v>
      </c>
      <c r="CS175" s="1665">
        <v>0</v>
      </c>
      <c r="CT175" s="1665">
        <v>0</v>
      </c>
      <c r="CU175" s="1665">
        <v>0</v>
      </c>
      <c r="CV175" s="1665">
        <v>0</v>
      </c>
      <c r="CW175" s="1668"/>
      <c r="CX175" s="1663"/>
      <c r="CY175" s="1663"/>
      <c r="CZ175" s="1663"/>
      <c r="DA175" s="1663"/>
      <c r="DB175" s="1668"/>
      <c r="DC175" s="1662"/>
      <c r="DD175" s="1665">
        <v>0</v>
      </c>
      <c r="DE175" s="1663"/>
      <c r="DF175" s="1663"/>
      <c r="DG175" s="1665">
        <v>0</v>
      </c>
      <c r="DH175" s="1665">
        <v>0</v>
      </c>
    </row>
    <row r="176" spans="1:112" ht="67.5" hidden="1" x14ac:dyDescent="0.25">
      <c r="A176" s="1662" t="s">
        <v>2230</v>
      </c>
      <c r="B176" s="1662" t="s">
        <v>1725</v>
      </c>
      <c r="C176" s="1662" t="s">
        <v>2633</v>
      </c>
      <c r="D176" s="1662" t="s">
        <v>2634</v>
      </c>
      <c r="E176" s="1662" t="s">
        <v>145</v>
      </c>
      <c r="F176" s="1662" t="s">
        <v>2635</v>
      </c>
      <c r="G176" s="1662" t="s">
        <v>2628</v>
      </c>
      <c r="H176" s="1662" t="s">
        <v>2613</v>
      </c>
      <c r="I176" s="1662" t="s">
        <v>720</v>
      </c>
      <c r="J176" s="1662" t="s">
        <v>303</v>
      </c>
      <c r="K176" s="1662" t="s">
        <v>2108</v>
      </c>
      <c r="L176" s="1662" t="s">
        <v>2109</v>
      </c>
      <c r="M176" s="1663"/>
      <c r="N176" s="1663"/>
      <c r="O176" s="1663"/>
      <c r="P176" s="1663"/>
      <c r="Q176" s="1663"/>
      <c r="R176" s="1663"/>
      <c r="S176" s="1663"/>
      <c r="T176" s="1663"/>
      <c r="U176" s="1663"/>
      <c r="V176" s="1663"/>
      <c r="W176" s="1663"/>
      <c r="X176" s="1663"/>
      <c r="Y176" s="1664">
        <v>42909</v>
      </c>
      <c r="Z176" s="1662" t="s">
        <v>2110</v>
      </c>
      <c r="AA176" s="1665">
        <v>0</v>
      </c>
      <c r="AB176" s="1665">
        <v>0</v>
      </c>
      <c r="AC176" s="1680">
        <v>0</v>
      </c>
      <c r="AD176" s="1682">
        <v>42930</v>
      </c>
      <c r="AE176" s="1679" t="s">
        <v>2114</v>
      </c>
      <c r="AF176" s="1662" t="s">
        <v>2112</v>
      </c>
      <c r="AG176" s="1666"/>
      <c r="AH176" s="1667">
        <v>276509.15000000002</v>
      </c>
      <c r="AI176" s="1665">
        <v>276509.15000000002</v>
      </c>
      <c r="AJ176" s="1665">
        <v>262683.68</v>
      </c>
      <c r="AK176" s="1698">
        <v>235032.77</v>
      </c>
      <c r="AL176" s="1665">
        <v>27650.91</v>
      </c>
      <c r="AM176" s="1664">
        <v>42930</v>
      </c>
      <c r="AN176" s="1665">
        <v>276509.15000000002</v>
      </c>
      <c r="AO176" s="1665">
        <v>276509.15000000002</v>
      </c>
      <c r="AP176" s="1665">
        <v>262683.68</v>
      </c>
      <c r="AQ176" s="1665">
        <v>235032.77</v>
      </c>
      <c r="AR176" s="1665">
        <v>27650.91</v>
      </c>
      <c r="AS176" s="1665">
        <v>13825.47</v>
      </c>
      <c r="AT176" s="1665">
        <v>0</v>
      </c>
      <c r="AU176" s="1665">
        <v>13825.47</v>
      </c>
      <c r="AV176" s="1665">
        <v>0</v>
      </c>
      <c r="AW176" s="1665">
        <v>0</v>
      </c>
      <c r="AX176" s="1663"/>
      <c r="AY176" s="1663"/>
      <c r="AZ176" s="1663"/>
      <c r="BA176" s="1668"/>
      <c r="BB176" s="1668"/>
      <c r="BC176" s="1663"/>
      <c r="BD176" s="1663"/>
      <c r="BE176" s="1665">
        <v>276509.15000000002</v>
      </c>
      <c r="BF176" s="1665">
        <v>276509.15000000002</v>
      </c>
      <c r="BG176" s="1665">
        <v>262683.68</v>
      </c>
      <c r="BH176" s="1665">
        <v>235032.77</v>
      </c>
      <c r="BI176" s="1665">
        <v>27650.91</v>
      </c>
      <c r="BJ176" s="1665">
        <v>13825.47</v>
      </c>
      <c r="BK176" s="1665">
        <v>0</v>
      </c>
      <c r="BL176" s="1665">
        <v>13825.47</v>
      </c>
      <c r="BM176" s="1665">
        <v>0</v>
      </c>
      <c r="BN176" s="1665">
        <v>0</v>
      </c>
      <c r="BO176" s="1664">
        <v>42993</v>
      </c>
      <c r="BP176" s="1665">
        <v>276509.15000000002</v>
      </c>
      <c r="BQ176" s="1665">
        <v>276509.15000000002</v>
      </c>
      <c r="BR176" s="1665">
        <v>262683.68</v>
      </c>
      <c r="BS176" s="1667">
        <v>235032.77</v>
      </c>
      <c r="BT176" s="1665">
        <v>27650.91</v>
      </c>
      <c r="BU176" s="1665">
        <v>13825.47</v>
      </c>
      <c r="BV176" s="1665">
        <v>0</v>
      </c>
      <c r="BW176" s="1665">
        <v>0</v>
      </c>
      <c r="BX176" s="1665">
        <v>0</v>
      </c>
      <c r="BY176" s="1665">
        <v>0</v>
      </c>
      <c r="BZ176" s="1665">
        <v>0</v>
      </c>
      <c r="CA176" s="1663"/>
      <c r="CB176" s="1668"/>
      <c r="CC176" s="1668"/>
      <c r="CD176" s="1663"/>
      <c r="CE176" s="1663"/>
      <c r="CF176" s="1665">
        <v>0</v>
      </c>
      <c r="CG176" s="1665">
        <v>0</v>
      </c>
      <c r="CH176" s="1665">
        <v>0</v>
      </c>
      <c r="CI176" s="1665">
        <v>0</v>
      </c>
      <c r="CJ176" s="1665">
        <v>2439.2199999999998</v>
      </c>
      <c r="CK176" s="1665">
        <v>2439.2199999999998</v>
      </c>
      <c r="CL176" s="1668"/>
      <c r="CM176" s="1665">
        <v>0</v>
      </c>
      <c r="CN176" s="1665">
        <v>0</v>
      </c>
      <c r="CO176" s="1665">
        <v>0</v>
      </c>
      <c r="CP176" s="1665">
        <v>0</v>
      </c>
      <c r="CQ176" s="1665">
        <v>0</v>
      </c>
      <c r="CR176" s="1665">
        <v>0</v>
      </c>
      <c r="CS176" s="1665">
        <v>0</v>
      </c>
      <c r="CT176" s="1665">
        <v>0</v>
      </c>
      <c r="CU176" s="1665">
        <v>0</v>
      </c>
      <c r="CV176" s="1665">
        <v>0</v>
      </c>
      <c r="CW176" s="1668"/>
      <c r="CX176" s="1663"/>
      <c r="CY176" s="1663"/>
      <c r="CZ176" s="1663"/>
      <c r="DA176" s="1663"/>
      <c r="DB176" s="1668"/>
      <c r="DC176" s="1662"/>
      <c r="DD176" s="1665">
        <v>0</v>
      </c>
      <c r="DE176" s="1663"/>
      <c r="DF176" s="1663"/>
      <c r="DG176" s="1665">
        <v>0</v>
      </c>
      <c r="DH176" s="1665">
        <v>0</v>
      </c>
    </row>
    <row r="177" spans="1:112" ht="67.5" hidden="1" x14ac:dyDescent="0.25">
      <c r="A177" s="1662" t="s">
        <v>2231</v>
      </c>
      <c r="B177" s="1662" t="s">
        <v>1725</v>
      </c>
      <c r="C177" s="1662" t="s">
        <v>2633</v>
      </c>
      <c r="D177" s="1662" t="s">
        <v>2634</v>
      </c>
      <c r="E177" s="1662" t="s">
        <v>145</v>
      </c>
      <c r="F177" s="1662" t="s">
        <v>2635</v>
      </c>
      <c r="G177" s="1662" t="s">
        <v>2628</v>
      </c>
      <c r="H177" s="1662" t="s">
        <v>2613</v>
      </c>
      <c r="I177" s="1662" t="s">
        <v>720</v>
      </c>
      <c r="J177" s="1662" t="s">
        <v>303</v>
      </c>
      <c r="K177" s="1662" t="s">
        <v>2108</v>
      </c>
      <c r="L177" s="1662" t="s">
        <v>2109</v>
      </c>
      <c r="M177" s="1663"/>
      <c r="N177" s="1663"/>
      <c r="O177" s="1663"/>
      <c r="P177" s="1663"/>
      <c r="Q177" s="1663"/>
      <c r="R177" s="1663"/>
      <c r="S177" s="1663"/>
      <c r="T177" s="1663"/>
      <c r="U177" s="1663"/>
      <c r="V177" s="1663"/>
      <c r="W177" s="1663"/>
      <c r="X177" s="1663"/>
      <c r="Y177" s="1664">
        <v>42936</v>
      </c>
      <c r="Z177" s="1662" t="s">
        <v>2145</v>
      </c>
      <c r="AA177" s="1665">
        <v>0</v>
      </c>
      <c r="AB177" s="1665">
        <v>0</v>
      </c>
      <c r="AC177" s="1680">
        <v>0</v>
      </c>
      <c r="AD177" s="1682">
        <v>42978</v>
      </c>
      <c r="AE177" s="1679" t="s">
        <v>2128</v>
      </c>
      <c r="AF177" s="1662" t="s">
        <v>2112</v>
      </c>
      <c r="AG177" s="1666"/>
      <c r="AH177" s="1667">
        <v>200000</v>
      </c>
      <c r="AI177" s="1665">
        <v>200000</v>
      </c>
      <c r="AJ177" s="1665">
        <v>200000</v>
      </c>
      <c r="AK177" s="1698">
        <v>178947.37</v>
      </c>
      <c r="AL177" s="1665">
        <v>21052.63</v>
      </c>
      <c r="AM177" s="1668"/>
      <c r="AN177" s="1665">
        <v>0</v>
      </c>
      <c r="AO177" s="1665">
        <v>0</v>
      </c>
      <c r="AP177" s="1665">
        <v>0</v>
      </c>
      <c r="AQ177" s="1665">
        <v>0</v>
      </c>
      <c r="AR177" s="1665">
        <v>0</v>
      </c>
      <c r="AS177" s="1665">
        <v>0</v>
      </c>
      <c r="AT177" s="1665">
        <v>0</v>
      </c>
      <c r="AU177" s="1665">
        <v>0</v>
      </c>
      <c r="AV177" s="1665">
        <v>0</v>
      </c>
      <c r="AW177" s="1665">
        <v>0</v>
      </c>
      <c r="AX177" s="1663"/>
      <c r="AY177" s="1663"/>
      <c r="AZ177" s="1663"/>
      <c r="BA177" s="1668"/>
      <c r="BB177" s="1668"/>
      <c r="BC177" s="1663"/>
      <c r="BD177" s="1663"/>
      <c r="BE177" s="1665">
        <v>0</v>
      </c>
      <c r="BF177" s="1665">
        <v>0</v>
      </c>
      <c r="BG177" s="1665">
        <v>0</v>
      </c>
      <c r="BH177" s="1665">
        <v>0</v>
      </c>
      <c r="BI177" s="1665">
        <v>0</v>
      </c>
      <c r="BJ177" s="1665">
        <v>0</v>
      </c>
      <c r="BK177" s="1665">
        <v>0</v>
      </c>
      <c r="BL177" s="1665">
        <v>0</v>
      </c>
      <c r="BM177" s="1665">
        <v>0</v>
      </c>
      <c r="BN177" s="1665">
        <v>0</v>
      </c>
      <c r="BO177" s="1668"/>
      <c r="BP177" s="1665">
        <v>0</v>
      </c>
      <c r="BQ177" s="1665">
        <v>0</v>
      </c>
      <c r="BR177" s="1665">
        <v>0</v>
      </c>
      <c r="BS177" s="1667">
        <v>0</v>
      </c>
      <c r="BT177" s="1665">
        <v>0</v>
      </c>
      <c r="BU177" s="1665">
        <v>0</v>
      </c>
      <c r="BV177" s="1665">
        <v>0</v>
      </c>
      <c r="BW177" s="1665">
        <v>0</v>
      </c>
      <c r="BX177" s="1665">
        <v>0</v>
      </c>
      <c r="BY177" s="1665">
        <v>0</v>
      </c>
      <c r="BZ177" s="1663"/>
      <c r="CA177" s="1663"/>
      <c r="CB177" s="1668"/>
      <c r="CC177" s="1668"/>
      <c r="CD177" s="1663"/>
      <c r="CE177" s="1663"/>
      <c r="CF177" s="1665">
        <v>0</v>
      </c>
      <c r="CG177" s="1665">
        <v>0</v>
      </c>
      <c r="CH177" s="1665">
        <v>0</v>
      </c>
      <c r="CI177" s="1665">
        <v>0</v>
      </c>
      <c r="CJ177" s="1665">
        <v>0</v>
      </c>
      <c r="CK177" s="1665">
        <v>0</v>
      </c>
      <c r="CL177" s="1668"/>
      <c r="CM177" s="1665">
        <v>0</v>
      </c>
      <c r="CN177" s="1665">
        <v>0</v>
      </c>
      <c r="CO177" s="1665">
        <v>0</v>
      </c>
      <c r="CP177" s="1665">
        <v>0</v>
      </c>
      <c r="CQ177" s="1665">
        <v>0</v>
      </c>
      <c r="CR177" s="1665">
        <v>0</v>
      </c>
      <c r="CS177" s="1665">
        <v>0</v>
      </c>
      <c r="CT177" s="1665">
        <v>0</v>
      </c>
      <c r="CU177" s="1665">
        <v>0</v>
      </c>
      <c r="CV177" s="1665">
        <v>0</v>
      </c>
      <c r="CW177" s="1668"/>
      <c r="CX177" s="1663"/>
      <c r="CY177" s="1663"/>
      <c r="CZ177" s="1663"/>
      <c r="DA177" s="1663"/>
      <c r="DB177" s="1668"/>
      <c r="DC177" s="1662"/>
      <c r="DD177" s="1665">
        <v>0</v>
      </c>
      <c r="DE177" s="1663"/>
      <c r="DF177" s="1663"/>
      <c r="DG177" s="1665">
        <v>0</v>
      </c>
      <c r="DH177" s="1665">
        <v>0</v>
      </c>
    </row>
    <row r="178" spans="1:112" ht="67.5" hidden="1" x14ac:dyDescent="0.25">
      <c r="A178" s="1662" t="s">
        <v>2232</v>
      </c>
      <c r="B178" s="1662" t="s">
        <v>1725</v>
      </c>
      <c r="C178" s="1662" t="s">
        <v>2633</v>
      </c>
      <c r="D178" s="1662" t="s">
        <v>2634</v>
      </c>
      <c r="E178" s="1662" t="s">
        <v>145</v>
      </c>
      <c r="F178" s="1662" t="s">
        <v>2635</v>
      </c>
      <c r="G178" s="1662" t="s">
        <v>2628</v>
      </c>
      <c r="H178" s="1662" t="s">
        <v>2613</v>
      </c>
      <c r="I178" s="1662" t="s">
        <v>720</v>
      </c>
      <c r="J178" s="1662" t="s">
        <v>303</v>
      </c>
      <c r="K178" s="1662" t="s">
        <v>2108</v>
      </c>
      <c r="L178" s="1662" t="s">
        <v>2109</v>
      </c>
      <c r="M178" s="1663"/>
      <c r="N178" s="1663"/>
      <c r="O178" s="1663"/>
      <c r="P178" s="1663"/>
      <c r="Q178" s="1663"/>
      <c r="R178" s="1663"/>
      <c r="S178" s="1663"/>
      <c r="T178" s="1663"/>
      <c r="U178" s="1663"/>
      <c r="V178" s="1663"/>
      <c r="W178" s="1663"/>
      <c r="X178" s="1663"/>
      <c r="Y178" s="1664">
        <v>42998</v>
      </c>
      <c r="Z178" s="1662" t="s">
        <v>2110</v>
      </c>
      <c r="AA178" s="1665">
        <v>0</v>
      </c>
      <c r="AB178" s="1665">
        <v>0</v>
      </c>
      <c r="AC178" s="1680">
        <v>0</v>
      </c>
      <c r="AD178" s="1682">
        <v>43012</v>
      </c>
      <c r="AE178" s="1679" t="s">
        <v>2129</v>
      </c>
      <c r="AF178" s="1662" t="s">
        <v>2112</v>
      </c>
      <c r="AG178" s="1666"/>
      <c r="AH178" s="1667">
        <v>247223.2</v>
      </c>
      <c r="AI178" s="1665">
        <v>247223.2</v>
      </c>
      <c r="AJ178" s="1665">
        <v>234862.04</v>
      </c>
      <c r="AK178" s="1698">
        <v>210139.72</v>
      </c>
      <c r="AL178" s="1665">
        <v>24722.32</v>
      </c>
      <c r="AM178" s="1664">
        <v>43012</v>
      </c>
      <c r="AN178" s="1665">
        <v>247223.2</v>
      </c>
      <c r="AO178" s="1665">
        <v>247223.2</v>
      </c>
      <c r="AP178" s="1665">
        <v>234862.04</v>
      </c>
      <c r="AQ178" s="1665">
        <v>210139.72</v>
      </c>
      <c r="AR178" s="1665">
        <v>24722.32</v>
      </c>
      <c r="AS178" s="1665">
        <v>12361.16</v>
      </c>
      <c r="AT178" s="1665">
        <v>0</v>
      </c>
      <c r="AU178" s="1665">
        <v>12361.16</v>
      </c>
      <c r="AV178" s="1665">
        <v>0</v>
      </c>
      <c r="AW178" s="1665">
        <v>0</v>
      </c>
      <c r="AX178" s="1663"/>
      <c r="AY178" s="1663"/>
      <c r="AZ178" s="1663"/>
      <c r="BA178" s="1668"/>
      <c r="BB178" s="1668"/>
      <c r="BC178" s="1663"/>
      <c r="BD178" s="1663"/>
      <c r="BE178" s="1665">
        <v>247223.2</v>
      </c>
      <c r="BF178" s="1665">
        <v>247223.2</v>
      </c>
      <c r="BG178" s="1665">
        <v>234862.04</v>
      </c>
      <c r="BH178" s="1665">
        <v>210139.72</v>
      </c>
      <c r="BI178" s="1665">
        <v>24722.32</v>
      </c>
      <c r="BJ178" s="1665">
        <v>12361.16</v>
      </c>
      <c r="BK178" s="1665">
        <v>0</v>
      </c>
      <c r="BL178" s="1665">
        <v>12361.16</v>
      </c>
      <c r="BM178" s="1665">
        <v>0</v>
      </c>
      <c r="BN178" s="1665">
        <v>0</v>
      </c>
      <c r="BO178" s="1664">
        <v>43364</v>
      </c>
      <c r="BP178" s="1665">
        <v>247223.2</v>
      </c>
      <c r="BQ178" s="1665">
        <v>247223.2</v>
      </c>
      <c r="BR178" s="1665">
        <v>234862.04</v>
      </c>
      <c r="BS178" s="1667">
        <v>210139.72</v>
      </c>
      <c r="BT178" s="1665">
        <v>24722.32</v>
      </c>
      <c r="BU178" s="1665">
        <v>12361.16</v>
      </c>
      <c r="BV178" s="1665">
        <v>0</v>
      </c>
      <c r="BW178" s="1665">
        <v>0</v>
      </c>
      <c r="BX178" s="1665">
        <v>0</v>
      </c>
      <c r="BY178" s="1665">
        <v>0</v>
      </c>
      <c r="BZ178" s="1665">
        <v>0</v>
      </c>
      <c r="CA178" s="1663"/>
      <c r="CB178" s="1668"/>
      <c r="CC178" s="1668"/>
      <c r="CD178" s="1663"/>
      <c r="CE178" s="1663"/>
      <c r="CF178" s="1665">
        <v>0</v>
      </c>
      <c r="CG178" s="1665">
        <v>0</v>
      </c>
      <c r="CH178" s="1665">
        <v>0</v>
      </c>
      <c r="CI178" s="1665">
        <v>0</v>
      </c>
      <c r="CJ178" s="1665">
        <v>2180.88</v>
      </c>
      <c r="CK178" s="1665">
        <v>2180.88</v>
      </c>
      <c r="CL178" s="1668"/>
      <c r="CM178" s="1665">
        <v>0</v>
      </c>
      <c r="CN178" s="1665">
        <v>0</v>
      </c>
      <c r="CO178" s="1665">
        <v>0</v>
      </c>
      <c r="CP178" s="1665">
        <v>0</v>
      </c>
      <c r="CQ178" s="1665">
        <v>0</v>
      </c>
      <c r="CR178" s="1665">
        <v>0</v>
      </c>
      <c r="CS178" s="1665">
        <v>0</v>
      </c>
      <c r="CT178" s="1665">
        <v>0</v>
      </c>
      <c r="CU178" s="1665">
        <v>0</v>
      </c>
      <c r="CV178" s="1665">
        <v>0</v>
      </c>
      <c r="CW178" s="1668"/>
      <c r="CX178" s="1663"/>
      <c r="CY178" s="1663"/>
      <c r="CZ178" s="1663"/>
      <c r="DA178" s="1663"/>
      <c r="DB178" s="1668"/>
      <c r="DC178" s="1662"/>
      <c r="DD178" s="1665">
        <v>0</v>
      </c>
      <c r="DE178" s="1663"/>
      <c r="DF178" s="1663"/>
      <c r="DG178" s="1665">
        <v>0</v>
      </c>
      <c r="DH178" s="1665">
        <v>0</v>
      </c>
    </row>
    <row r="179" spans="1:112" ht="67.5" hidden="1" x14ac:dyDescent="0.25">
      <c r="A179" s="1662" t="s">
        <v>2233</v>
      </c>
      <c r="B179" s="1662" t="s">
        <v>1725</v>
      </c>
      <c r="C179" s="1662" t="s">
        <v>2633</v>
      </c>
      <c r="D179" s="1662" t="s">
        <v>2634</v>
      </c>
      <c r="E179" s="1662" t="s">
        <v>145</v>
      </c>
      <c r="F179" s="1662" t="s">
        <v>2635</v>
      </c>
      <c r="G179" s="1662" t="s">
        <v>2628</v>
      </c>
      <c r="H179" s="1662" t="s">
        <v>2613</v>
      </c>
      <c r="I179" s="1662" t="s">
        <v>720</v>
      </c>
      <c r="J179" s="1662" t="s">
        <v>303</v>
      </c>
      <c r="K179" s="1662" t="s">
        <v>2108</v>
      </c>
      <c r="L179" s="1662" t="s">
        <v>2109</v>
      </c>
      <c r="M179" s="1663"/>
      <c r="N179" s="1663"/>
      <c r="O179" s="1663"/>
      <c r="P179" s="1663"/>
      <c r="Q179" s="1663"/>
      <c r="R179" s="1663"/>
      <c r="S179" s="1663"/>
      <c r="T179" s="1663"/>
      <c r="U179" s="1663"/>
      <c r="V179" s="1663"/>
      <c r="W179" s="1663"/>
      <c r="X179" s="1663"/>
      <c r="Y179" s="1664">
        <v>43076</v>
      </c>
      <c r="Z179" s="1662" t="s">
        <v>2110</v>
      </c>
      <c r="AA179" s="1665">
        <v>152916.46</v>
      </c>
      <c r="AB179" s="1665">
        <v>136819.99</v>
      </c>
      <c r="AC179" s="1680">
        <v>16096.47</v>
      </c>
      <c r="AD179" s="1682">
        <v>43081</v>
      </c>
      <c r="AE179" s="1679" t="s">
        <v>2130</v>
      </c>
      <c r="AF179" s="1662" t="s">
        <v>2112</v>
      </c>
      <c r="AG179" s="1666"/>
      <c r="AH179" s="1667">
        <v>171331.64</v>
      </c>
      <c r="AI179" s="1665">
        <v>171331.64</v>
      </c>
      <c r="AJ179" s="1665">
        <v>0</v>
      </c>
      <c r="AK179" s="1698">
        <v>0</v>
      </c>
      <c r="AL179" s="1665">
        <v>0</v>
      </c>
      <c r="AM179" s="1664">
        <v>43081</v>
      </c>
      <c r="AN179" s="1665">
        <v>171331.64</v>
      </c>
      <c r="AO179" s="1665">
        <v>171331.64</v>
      </c>
      <c r="AP179" s="1665">
        <v>162765.06</v>
      </c>
      <c r="AQ179" s="1665">
        <v>145631.89000000001</v>
      </c>
      <c r="AR179" s="1665">
        <v>17133.169999999998</v>
      </c>
      <c r="AS179" s="1665">
        <v>8566.58</v>
      </c>
      <c r="AT179" s="1665">
        <v>0</v>
      </c>
      <c r="AU179" s="1665">
        <v>8566.58</v>
      </c>
      <c r="AV179" s="1665">
        <v>0</v>
      </c>
      <c r="AW179" s="1665">
        <v>0</v>
      </c>
      <c r="AX179" s="1663"/>
      <c r="AY179" s="1663"/>
      <c r="AZ179" s="1663"/>
      <c r="BA179" s="1668"/>
      <c r="BB179" s="1668"/>
      <c r="BC179" s="1663"/>
      <c r="BD179" s="1663"/>
      <c r="BE179" s="1665">
        <v>171331.64</v>
      </c>
      <c r="BF179" s="1665">
        <v>171331.64</v>
      </c>
      <c r="BG179" s="1665">
        <v>162765.06</v>
      </c>
      <c r="BH179" s="1665">
        <v>145631.89000000001</v>
      </c>
      <c r="BI179" s="1665">
        <v>17133.169999999998</v>
      </c>
      <c r="BJ179" s="1665">
        <v>8566.58</v>
      </c>
      <c r="BK179" s="1665">
        <v>0</v>
      </c>
      <c r="BL179" s="1665">
        <v>8566.58</v>
      </c>
      <c r="BM179" s="1665">
        <v>0</v>
      </c>
      <c r="BN179" s="1665">
        <v>0</v>
      </c>
      <c r="BO179" s="1664">
        <v>43364</v>
      </c>
      <c r="BP179" s="1665">
        <v>171331.64</v>
      </c>
      <c r="BQ179" s="1665">
        <v>171331.64</v>
      </c>
      <c r="BR179" s="1665">
        <v>162765.06</v>
      </c>
      <c r="BS179" s="1667">
        <v>145631.89000000001</v>
      </c>
      <c r="BT179" s="1665">
        <v>17133.169999999998</v>
      </c>
      <c r="BU179" s="1665">
        <v>8566.58</v>
      </c>
      <c r="BV179" s="1665">
        <v>0</v>
      </c>
      <c r="BW179" s="1665">
        <v>0</v>
      </c>
      <c r="BX179" s="1665">
        <v>0</v>
      </c>
      <c r="BY179" s="1665">
        <v>0</v>
      </c>
      <c r="BZ179" s="1665">
        <v>0</v>
      </c>
      <c r="CA179" s="1663"/>
      <c r="CB179" s="1668"/>
      <c r="CC179" s="1668"/>
      <c r="CD179" s="1663"/>
      <c r="CE179" s="1663"/>
      <c r="CF179" s="1665">
        <v>0</v>
      </c>
      <c r="CG179" s="1665">
        <v>0</v>
      </c>
      <c r="CH179" s="1665">
        <v>0</v>
      </c>
      <c r="CI179" s="1665">
        <v>0</v>
      </c>
      <c r="CJ179" s="1665">
        <v>1511.4</v>
      </c>
      <c r="CK179" s="1665">
        <v>1511.4</v>
      </c>
      <c r="CL179" s="1668"/>
      <c r="CM179" s="1665">
        <v>0</v>
      </c>
      <c r="CN179" s="1665">
        <v>0</v>
      </c>
      <c r="CO179" s="1665">
        <v>0</v>
      </c>
      <c r="CP179" s="1665">
        <v>0</v>
      </c>
      <c r="CQ179" s="1665">
        <v>0</v>
      </c>
      <c r="CR179" s="1665">
        <v>0</v>
      </c>
      <c r="CS179" s="1665">
        <v>0</v>
      </c>
      <c r="CT179" s="1665">
        <v>0</v>
      </c>
      <c r="CU179" s="1665">
        <v>0</v>
      </c>
      <c r="CV179" s="1665">
        <v>0</v>
      </c>
      <c r="CW179" s="1668"/>
      <c r="CX179" s="1663"/>
      <c r="CY179" s="1663"/>
      <c r="CZ179" s="1663"/>
      <c r="DA179" s="1663"/>
      <c r="DB179" s="1668"/>
      <c r="DC179" s="1662"/>
      <c r="DD179" s="1665">
        <v>0</v>
      </c>
      <c r="DE179" s="1663"/>
      <c r="DF179" s="1663"/>
      <c r="DG179" s="1665">
        <v>0</v>
      </c>
      <c r="DH179" s="1665">
        <v>0</v>
      </c>
    </row>
    <row r="180" spans="1:112" ht="67.5" hidden="1" x14ac:dyDescent="0.25">
      <c r="A180" s="1662" t="s">
        <v>2234</v>
      </c>
      <c r="B180" s="1662" t="s">
        <v>1725</v>
      </c>
      <c r="C180" s="1662" t="s">
        <v>2633</v>
      </c>
      <c r="D180" s="1662" t="s">
        <v>2634</v>
      </c>
      <c r="E180" s="1662" t="s">
        <v>145</v>
      </c>
      <c r="F180" s="1662" t="s">
        <v>2635</v>
      </c>
      <c r="G180" s="1662" t="s">
        <v>2628</v>
      </c>
      <c r="H180" s="1662" t="s">
        <v>2613</v>
      </c>
      <c r="I180" s="1662" t="s">
        <v>720</v>
      </c>
      <c r="J180" s="1662" t="s">
        <v>303</v>
      </c>
      <c r="K180" s="1662" t="s">
        <v>2108</v>
      </c>
      <c r="L180" s="1662" t="s">
        <v>2109</v>
      </c>
      <c r="M180" s="1663"/>
      <c r="N180" s="1663"/>
      <c r="O180" s="1663"/>
      <c r="P180" s="1663"/>
      <c r="Q180" s="1663"/>
      <c r="R180" s="1663"/>
      <c r="S180" s="1663"/>
      <c r="T180" s="1663"/>
      <c r="U180" s="1663"/>
      <c r="V180" s="1663"/>
      <c r="W180" s="1663"/>
      <c r="X180" s="1663"/>
      <c r="Y180" s="1664">
        <v>43164</v>
      </c>
      <c r="Z180" s="1662" t="s">
        <v>2110</v>
      </c>
      <c r="AA180" s="1665">
        <v>0</v>
      </c>
      <c r="AB180" s="1665">
        <v>0</v>
      </c>
      <c r="AC180" s="1680">
        <v>0</v>
      </c>
      <c r="AD180" s="1682">
        <v>43179</v>
      </c>
      <c r="AE180" s="1679" t="s">
        <v>2137</v>
      </c>
      <c r="AF180" s="1662" t="s">
        <v>2112</v>
      </c>
      <c r="AG180" s="1666"/>
      <c r="AH180" s="1667">
        <v>68578.7</v>
      </c>
      <c r="AI180" s="1665">
        <v>68578.7</v>
      </c>
      <c r="AJ180" s="1665">
        <v>65149.77</v>
      </c>
      <c r="AK180" s="1698">
        <v>58291.9</v>
      </c>
      <c r="AL180" s="1665">
        <v>6857.87</v>
      </c>
      <c r="AM180" s="1664">
        <v>43179</v>
      </c>
      <c r="AN180" s="1665">
        <v>68578.7</v>
      </c>
      <c r="AO180" s="1665">
        <v>68578.7</v>
      </c>
      <c r="AP180" s="1665">
        <v>65149.77</v>
      </c>
      <c r="AQ180" s="1665">
        <v>58291.9</v>
      </c>
      <c r="AR180" s="1665">
        <v>6857.87</v>
      </c>
      <c r="AS180" s="1665">
        <v>3428.93</v>
      </c>
      <c r="AT180" s="1665">
        <v>0</v>
      </c>
      <c r="AU180" s="1665">
        <v>3428.93</v>
      </c>
      <c r="AV180" s="1665">
        <v>0</v>
      </c>
      <c r="AW180" s="1665">
        <v>0</v>
      </c>
      <c r="AX180" s="1663"/>
      <c r="AY180" s="1663"/>
      <c r="AZ180" s="1663"/>
      <c r="BA180" s="1668"/>
      <c r="BB180" s="1668"/>
      <c r="BC180" s="1663"/>
      <c r="BD180" s="1663"/>
      <c r="BE180" s="1665">
        <v>68578.7</v>
      </c>
      <c r="BF180" s="1665">
        <v>68578.7</v>
      </c>
      <c r="BG180" s="1665">
        <v>65149.77</v>
      </c>
      <c r="BH180" s="1665">
        <v>58291.9</v>
      </c>
      <c r="BI180" s="1665">
        <v>6857.87</v>
      </c>
      <c r="BJ180" s="1665">
        <v>3428.93</v>
      </c>
      <c r="BK180" s="1665">
        <v>0</v>
      </c>
      <c r="BL180" s="1665">
        <v>3428.93</v>
      </c>
      <c r="BM180" s="1665">
        <v>0</v>
      </c>
      <c r="BN180" s="1665">
        <v>0</v>
      </c>
      <c r="BO180" s="1664">
        <v>43364</v>
      </c>
      <c r="BP180" s="1665">
        <v>68578.7</v>
      </c>
      <c r="BQ180" s="1665">
        <v>68578.7</v>
      </c>
      <c r="BR180" s="1665">
        <v>65149.77</v>
      </c>
      <c r="BS180" s="1667">
        <v>58291.9</v>
      </c>
      <c r="BT180" s="1665">
        <v>6857.87</v>
      </c>
      <c r="BU180" s="1665">
        <v>3428.93</v>
      </c>
      <c r="BV180" s="1665">
        <v>0</v>
      </c>
      <c r="BW180" s="1665">
        <v>0</v>
      </c>
      <c r="BX180" s="1665">
        <v>0</v>
      </c>
      <c r="BY180" s="1665">
        <v>0</v>
      </c>
      <c r="BZ180" s="1665">
        <v>0</v>
      </c>
      <c r="CA180" s="1663"/>
      <c r="CB180" s="1668"/>
      <c r="CC180" s="1668"/>
      <c r="CD180" s="1663"/>
      <c r="CE180" s="1663"/>
      <c r="CF180" s="1665">
        <v>0</v>
      </c>
      <c r="CG180" s="1665">
        <v>0</v>
      </c>
      <c r="CH180" s="1665">
        <v>0</v>
      </c>
      <c r="CI180" s="1665">
        <v>0</v>
      </c>
      <c r="CJ180" s="1665">
        <v>604.97</v>
      </c>
      <c r="CK180" s="1665">
        <v>604.97</v>
      </c>
      <c r="CL180" s="1668"/>
      <c r="CM180" s="1665">
        <v>0</v>
      </c>
      <c r="CN180" s="1665">
        <v>0</v>
      </c>
      <c r="CO180" s="1665">
        <v>0</v>
      </c>
      <c r="CP180" s="1665">
        <v>0</v>
      </c>
      <c r="CQ180" s="1665">
        <v>0</v>
      </c>
      <c r="CR180" s="1665">
        <v>0</v>
      </c>
      <c r="CS180" s="1665">
        <v>0</v>
      </c>
      <c r="CT180" s="1665">
        <v>0</v>
      </c>
      <c r="CU180" s="1665">
        <v>0</v>
      </c>
      <c r="CV180" s="1665">
        <v>0</v>
      </c>
      <c r="CW180" s="1668"/>
      <c r="CX180" s="1663"/>
      <c r="CY180" s="1663"/>
      <c r="CZ180" s="1663"/>
      <c r="DA180" s="1663"/>
      <c r="DB180" s="1668"/>
      <c r="DC180" s="1662"/>
      <c r="DD180" s="1665">
        <v>0</v>
      </c>
      <c r="DE180" s="1663"/>
      <c r="DF180" s="1663"/>
      <c r="DG180" s="1665">
        <v>0</v>
      </c>
      <c r="DH180" s="1665">
        <v>0</v>
      </c>
    </row>
    <row r="181" spans="1:112" ht="67.5" hidden="1" x14ac:dyDescent="0.25">
      <c r="A181" s="1662" t="s">
        <v>2235</v>
      </c>
      <c r="B181" s="1662" t="s">
        <v>1725</v>
      </c>
      <c r="C181" s="1662" t="s">
        <v>2633</v>
      </c>
      <c r="D181" s="1662" t="s">
        <v>2634</v>
      </c>
      <c r="E181" s="1662" t="s">
        <v>145</v>
      </c>
      <c r="F181" s="1662" t="s">
        <v>2635</v>
      </c>
      <c r="G181" s="1662" t="s">
        <v>2628</v>
      </c>
      <c r="H181" s="1662" t="s">
        <v>2613</v>
      </c>
      <c r="I181" s="1662" t="s">
        <v>720</v>
      </c>
      <c r="J181" s="1662" t="s">
        <v>303</v>
      </c>
      <c r="K181" s="1662" t="s">
        <v>2108</v>
      </c>
      <c r="L181" s="1662" t="s">
        <v>2109</v>
      </c>
      <c r="M181" s="1663"/>
      <c r="N181" s="1663"/>
      <c r="O181" s="1663"/>
      <c r="P181" s="1663"/>
      <c r="Q181" s="1663"/>
      <c r="R181" s="1663"/>
      <c r="S181" s="1663"/>
      <c r="T181" s="1663"/>
      <c r="U181" s="1663"/>
      <c r="V181" s="1663"/>
      <c r="W181" s="1663"/>
      <c r="X181" s="1663"/>
      <c r="Y181" s="1664">
        <v>43257</v>
      </c>
      <c r="Z181" s="1662" t="s">
        <v>2110</v>
      </c>
      <c r="AA181" s="1665">
        <v>50000</v>
      </c>
      <c r="AB181" s="1665">
        <v>50000</v>
      </c>
      <c r="AC181" s="1680">
        <v>0</v>
      </c>
      <c r="AD181" s="1682">
        <v>43291</v>
      </c>
      <c r="AE181" s="1679" t="s">
        <v>2131</v>
      </c>
      <c r="AF181" s="1662" t="s">
        <v>2112</v>
      </c>
      <c r="AG181" s="1666"/>
      <c r="AH181" s="1667">
        <v>64463.47</v>
      </c>
      <c r="AI181" s="1665">
        <v>64463.47</v>
      </c>
      <c r="AJ181" s="1665">
        <v>11240.3</v>
      </c>
      <c r="AK181" s="1698">
        <v>4793.95</v>
      </c>
      <c r="AL181" s="1665">
        <v>6446.35</v>
      </c>
      <c r="AM181" s="1664">
        <v>43291</v>
      </c>
      <c r="AN181" s="1665">
        <v>64463.47</v>
      </c>
      <c r="AO181" s="1665">
        <v>64463.47</v>
      </c>
      <c r="AP181" s="1665">
        <v>61240.3</v>
      </c>
      <c r="AQ181" s="1665">
        <v>54793.95</v>
      </c>
      <c r="AR181" s="1665">
        <v>6446.35</v>
      </c>
      <c r="AS181" s="1665">
        <v>3223.17</v>
      </c>
      <c r="AT181" s="1665">
        <v>0</v>
      </c>
      <c r="AU181" s="1665">
        <v>3223.17</v>
      </c>
      <c r="AV181" s="1665">
        <v>0</v>
      </c>
      <c r="AW181" s="1665">
        <v>0</v>
      </c>
      <c r="AX181" s="1663"/>
      <c r="AY181" s="1663"/>
      <c r="AZ181" s="1663"/>
      <c r="BA181" s="1668"/>
      <c r="BB181" s="1668"/>
      <c r="BC181" s="1663"/>
      <c r="BD181" s="1663"/>
      <c r="BE181" s="1665">
        <v>64463.47</v>
      </c>
      <c r="BF181" s="1665">
        <v>64463.47</v>
      </c>
      <c r="BG181" s="1665">
        <v>61240.3</v>
      </c>
      <c r="BH181" s="1665">
        <v>54793.95</v>
      </c>
      <c r="BI181" s="1665">
        <v>6446.35</v>
      </c>
      <c r="BJ181" s="1665">
        <v>3223.17</v>
      </c>
      <c r="BK181" s="1665">
        <v>0</v>
      </c>
      <c r="BL181" s="1665">
        <v>3223.17</v>
      </c>
      <c r="BM181" s="1665">
        <v>0</v>
      </c>
      <c r="BN181" s="1665">
        <v>0</v>
      </c>
      <c r="BO181" s="1664">
        <v>43364</v>
      </c>
      <c r="BP181" s="1665">
        <v>64463.47</v>
      </c>
      <c r="BQ181" s="1665">
        <v>64463.47</v>
      </c>
      <c r="BR181" s="1665">
        <v>61240.3</v>
      </c>
      <c r="BS181" s="1667">
        <v>54793.95</v>
      </c>
      <c r="BT181" s="1665">
        <v>6446.35</v>
      </c>
      <c r="BU181" s="1665">
        <v>3223.17</v>
      </c>
      <c r="BV181" s="1665">
        <v>0</v>
      </c>
      <c r="BW181" s="1665">
        <v>0</v>
      </c>
      <c r="BX181" s="1665">
        <v>0</v>
      </c>
      <c r="BY181" s="1665">
        <v>0</v>
      </c>
      <c r="BZ181" s="1665">
        <v>0</v>
      </c>
      <c r="CA181" s="1663"/>
      <c r="CB181" s="1668"/>
      <c r="CC181" s="1668"/>
      <c r="CD181" s="1663"/>
      <c r="CE181" s="1663"/>
      <c r="CF181" s="1665">
        <v>0</v>
      </c>
      <c r="CG181" s="1665">
        <v>0</v>
      </c>
      <c r="CH181" s="1665">
        <v>0</v>
      </c>
      <c r="CI181" s="1665">
        <v>0</v>
      </c>
      <c r="CJ181" s="1665">
        <v>568.66</v>
      </c>
      <c r="CK181" s="1665">
        <v>568.66</v>
      </c>
      <c r="CL181" s="1668"/>
      <c r="CM181" s="1665">
        <v>0</v>
      </c>
      <c r="CN181" s="1665">
        <v>0</v>
      </c>
      <c r="CO181" s="1665">
        <v>0</v>
      </c>
      <c r="CP181" s="1665">
        <v>0</v>
      </c>
      <c r="CQ181" s="1665">
        <v>0</v>
      </c>
      <c r="CR181" s="1665">
        <v>0</v>
      </c>
      <c r="CS181" s="1665">
        <v>0</v>
      </c>
      <c r="CT181" s="1665">
        <v>0</v>
      </c>
      <c r="CU181" s="1665">
        <v>0</v>
      </c>
      <c r="CV181" s="1665">
        <v>0</v>
      </c>
      <c r="CW181" s="1668"/>
      <c r="CX181" s="1663"/>
      <c r="CY181" s="1663"/>
      <c r="CZ181" s="1663"/>
      <c r="DA181" s="1663"/>
      <c r="DB181" s="1668"/>
      <c r="DC181" s="1662"/>
      <c r="DD181" s="1665">
        <v>0</v>
      </c>
      <c r="DE181" s="1663"/>
      <c r="DF181" s="1663"/>
      <c r="DG181" s="1665">
        <v>0</v>
      </c>
      <c r="DH181" s="1665">
        <v>0</v>
      </c>
    </row>
    <row r="182" spans="1:112" ht="67.5" hidden="1" x14ac:dyDescent="0.25">
      <c r="A182" s="1662" t="s">
        <v>2236</v>
      </c>
      <c r="B182" s="1662" t="s">
        <v>1725</v>
      </c>
      <c r="C182" s="1662" t="s">
        <v>2633</v>
      </c>
      <c r="D182" s="1662" t="s">
        <v>2634</v>
      </c>
      <c r="E182" s="1662" t="s">
        <v>145</v>
      </c>
      <c r="F182" s="1662" t="s">
        <v>2635</v>
      </c>
      <c r="G182" s="1662" t="s">
        <v>2628</v>
      </c>
      <c r="H182" s="1662" t="s">
        <v>2613</v>
      </c>
      <c r="I182" s="1662" t="s">
        <v>720</v>
      </c>
      <c r="J182" s="1662" t="s">
        <v>303</v>
      </c>
      <c r="K182" s="1662" t="s">
        <v>2108</v>
      </c>
      <c r="L182" s="1662" t="s">
        <v>2109</v>
      </c>
      <c r="M182" s="1663"/>
      <c r="N182" s="1663"/>
      <c r="O182" s="1663"/>
      <c r="P182" s="1663"/>
      <c r="Q182" s="1663"/>
      <c r="R182" s="1663"/>
      <c r="S182" s="1663"/>
      <c r="T182" s="1663"/>
      <c r="U182" s="1663"/>
      <c r="V182" s="1663"/>
      <c r="W182" s="1663"/>
      <c r="X182" s="1663"/>
      <c r="Y182" s="1664">
        <v>43298</v>
      </c>
      <c r="Z182" s="1662" t="s">
        <v>2110</v>
      </c>
      <c r="AA182" s="1665">
        <v>80000</v>
      </c>
      <c r="AB182" s="1665">
        <v>71576</v>
      </c>
      <c r="AC182" s="1680">
        <v>8424</v>
      </c>
      <c r="AD182" s="1682">
        <v>43319</v>
      </c>
      <c r="AE182" s="1679" t="s">
        <v>2132</v>
      </c>
      <c r="AF182" s="1662" t="s">
        <v>2112</v>
      </c>
      <c r="AG182" s="1666"/>
      <c r="AH182" s="1667">
        <v>150738.23999999999</v>
      </c>
      <c r="AI182" s="1665">
        <v>150738.23999999999</v>
      </c>
      <c r="AJ182" s="1665">
        <v>63201.33</v>
      </c>
      <c r="AK182" s="1698">
        <v>56551.51</v>
      </c>
      <c r="AL182" s="1665">
        <v>6649.82</v>
      </c>
      <c r="AM182" s="1664">
        <v>43319</v>
      </c>
      <c r="AN182" s="1665">
        <v>150738.23999999999</v>
      </c>
      <c r="AO182" s="1665">
        <v>150738.23999999999</v>
      </c>
      <c r="AP182" s="1665">
        <v>143201.32999999999</v>
      </c>
      <c r="AQ182" s="1665">
        <v>128127.51</v>
      </c>
      <c r="AR182" s="1665">
        <v>15073.82</v>
      </c>
      <c r="AS182" s="1665">
        <v>7536.91</v>
      </c>
      <c r="AT182" s="1665">
        <v>0</v>
      </c>
      <c r="AU182" s="1665">
        <v>7536.91</v>
      </c>
      <c r="AV182" s="1665">
        <v>0</v>
      </c>
      <c r="AW182" s="1665">
        <v>0</v>
      </c>
      <c r="AX182" s="1663"/>
      <c r="AY182" s="1663"/>
      <c r="AZ182" s="1663"/>
      <c r="BA182" s="1668"/>
      <c r="BB182" s="1668"/>
      <c r="BC182" s="1663"/>
      <c r="BD182" s="1663"/>
      <c r="BE182" s="1665">
        <v>150738.23999999999</v>
      </c>
      <c r="BF182" s="1665">
        <v>150738.23999999999</v>
      </c>
      <c r="BG182" s="1665">
        <v>143201.32999999999</v>
      </c>
      <c r="BH182" s="1665">
        <v>128127.51</v>
      </c>
      <c r="BI182" s="1665">
        <v>15073.82</v>
      </c>
      <c r="BJ182" s="1665">
        <v>7536.91</v>
      </c>
      <c r="BK182" s="1665">
        <v>0</v>
      </c>
      <c r="BL182" s="1665">
        <v>7536.91</v>
      </c>
      <c r="BM182" s="1665">
        <v>0</v>
      </c>
      <c r="BN182" s="1665">
        <v>0</v>
      </c>
      <c r="BO182" s="1668"/>
      <c r="BP182" s="1665">
        <v>0</v>
      </c>
      <c r="BQ182" s="1665">
        <v>0</v>
      </c>
      <c r="BR182" s="1665">
        <v>0</v>
      </c>
      <c r="BS182" s="1667">
        <v>0</v>
      </c>
      <c r="BT182" s="1665">
        <v>0</v>
      </c>
      <c r="BU182" s="1665">
        <v>0</v>
      </c>
      <c r="BV182" s="1665">
        <v>0</v>
      </c>
      <c r="BW182" s="1665">
        <v>0</v>
      </c>
      <c r="BX182" s="1665">
        <v>0</v>
      </c>
      <c r="BY182" s="1665">
        <v>0</v>
      </c>
      <c r="BZ182" s="1665">
        <v>0</v>
      </c>
      <c r="CA182" s="1663"/>
      <c r="CB182" s="1668"/>
      <c r="CC182" s="1668"/>
      <c r="CD182" s="1663"/>
      <c r="CE182" s="1663"/>
      <c r="CF182" s="1665">
        <v>0</v>
      </c>
      <c r="CG182" s="1665">
        <v>0</v>
      </c>
      <c r="CH182" s="1665">
        <v>0</v>
      </c>
      <c r="CI182" s="1665">
        <v>0</v>
      </c>
      <c r="CJ182" s="1665">
        <v>0</v>
      </c>
      <c r="CK182" s="1665">
        <v>0</v>
      </c>
      <c r="CL182" s="1668"/>
      <c r="CM182" s="1665">
        <v>0</v>
      </c>
      <c r="CN182" s="1665">
        <v>0</v>
      </c>
      <c r="CO182" s="1665">
        <v>0</v>
      </c>
      <c r="CP182" s="1665">
        <v>0</v>
      </c>
      <c r="CQ182" s="1665">
        <v>0</v>
      </c>
      <c r="CR182" s="1665">
        <v>0</v>
      </c>
      <c r="CS182" s="1665">
        <v>0</v>
      </c>
      <c r="CT182" s="1665">
        <v>0</v>
      </c>
      <c r="CU182" s="1665">
        <v>0</v>
      </c>
      <c r="CV182" s="1665">
        <v>0</v>
      </c>
      <c r="CW182" s="1668"/>
      <c r="CX182" s="1663"/>
      <c r="CY182" s="1663"/>
      <c r="CZ182" s="1663"/>
      <c r="DA182" s="1663"/>
      <c r="DB182" s="1668"/>
      <c r="DC182" s="1662"/>
      <c r="DD182" s="1665">
        <v>0</v>
      </c>
      <c r="DE182" s="1663"/>
      <c r="DF182" s="1663"/>
      <c r="DG182" s="1665">
        <v>0</v>
      </c>
      <c r="DH182" s="1665">
        <v>0</v>
      </c>
    </row>
    <row r="183" spans="1:112" ht="67.5" hidden="1" x14ac:dyDescent="0.25">
      <c r="A183" s="1662" t="s">
        <v>2237</v>
      </c>
      <c r="B183" s="1662" t="s">
        <v>1725</v>
      </c>
      <c r="C183" s="1662" t="s">
        <v>2633</v>
      </c>
      <c r="D183" s="1662" t="s">
        <v>2634</v>
      </c>
      <c r="E183" s="1662" t="s">
        <v>145</v>
      </c>
      <c r="F183" s="1662" t="s">
        <v>2635</v>
      </c>
      <c r="G183" s="1662" t="s">
        <v>2628</v>
      </c>
      <c r="H183" s="1662" t="s">
        <v>2613</v>
      </c>
      <c r="I183" s="1662" t="s">
        <v>720</v>
      </c>
      <c r="J183" s="1662" t="s">
        <v>303</v>
      </c>
      <c r="K183" s="1662" t="s">
        <v>2108</v>
      </c>
      <c r="L183" s="1662" t="s">
        <v>2109</v>
      </c>
      <c r="M183" s="1663"/>
      <c r="N183" s="1663"/>
      <c r="O183" s="1663"/>
      <c r="P183" s="1663"/>
      <c r="Q183" s="1663"/>
      <c r="R183" s="1663"/>
      <c r="S183" s="1663"/>
      <c r="T183" s="1663"/>
      <c r="U183" s="1663"/>
      <c r="V183" s="1663"/>
      <c r="W183" s="1663"/>
      <c r="X183" s="1663"/>
      <c r="Y183" s="1664">
        <v>43342</v>
      </c>
      <c r="Z183" s="1662" t="s">
        <v>2110</v>
      </c>
      <c r="AA183" s="1665">
        <v>50000</v>
      </c>
      <c r="AB183" s="1665">
        <v>42490</v>
      </c>
      <c r="AC183" s="1680">
        <v>7510</v>
      </c>
      <c r="AD183" s="1682">
        <v>43384</v>
      </c>
      <c r="AE183" s="1679" t="s">
        <v>2133</v>
      </c>
      <c r="AF183" s="1662" t="s">
        <v>2115</v>
      </c>
      <c r="AG183" s="1666"/>
      <c r="AH183" s="1667">
        <v>205470.18</v>
      </c>
      <c r="AI183" s="1665">
        <v>205470.18</v>
      </c>
      <c r="AJ183" s="1665">
        <v>145196.67000000001</v>
      </c>
      <c r="AK183" s="1698">
        <v>132159.66</v>
      </c>
      <c r="AL183" s="1665">
        <v>13037.01</v>
      </c>
      <c r="AM183" s="1664">
        <v>43385</v>
      </c>
      <c r="AN183" s="1665">
        <v>205470.18</v>
      </c>
      <c r="AO183" s="1665">
        <v>205470.18</v>
      </c>
      <c r="AP183" s="1665">
        <v>195196.67</v>
      </c>
      <c r="AQ183" s="1665">
        <v>174649.66</v>
      </c>
      <c r="AR183" s="1665">
        <v>20547.009999999998</v>
      </c>
      <c r="AS183" s="1665">
        <v>10273.51</v>
      </c>
      <c r="AT183" s="1665">
        <v>0</v>
      </c>
      <c r="AU183" s="1665">
        <v>10273.51</v>
      </c>
      <c r="AV183" s="1665">
        <v>0</v>
      </c>
      <c r="AW183" s="1665">
        <v>0</v>
      </c>
      <c r="AX183" s="1663"/>
      <c r="AY183" s="1663"/>
      <c r="AZ183" s="1663"/>
      <c r="BA183" s="1668"/>
      <c r="BB183" s="1668"/>
      <c r="BC183" s="1663"/>
      <c r="BD183" s="1663"/>
      <c r="BE183" s="1665">
        <v>205470.18</v>
      </c>
      <c r="BF183" s="1665">
        <v>205470.18</v>
      </c>
      <c r="BG183" s="1665">
        <v>195196.67</v>
      </c>
      <c r="BH183" s="1665">
        <v>174649.66</v>
      </c>
      <c r="BI183" s="1665">
        <v>20547.009999999998</v>
      </c>
      <c r="BJ183" s="1665">
        <v>10273.51</v>
      </c>
      <c r="BK183" s="1665">
        <v>0</v>
      </c>
      <c r="BL183" s="1665">
        <v>10273.51</v>
      </c>
      <c r="BM183" s="1665">
        <v>0</v>
      </c>
      <c r="BN183" s="1665">
        <v>0</v>
      </c>
      <c r="BO183" s="1668"/>
      <c r="BP183" s="1665">
        <v>0</v>
      </c>
      <c r="BQ183" s="1665">
        <v>0</v>
      </c>
      <c r="BR183" s="1665">
        <v>0</v>
      </c>
      <c r="BS183" s="1667">
        <v>0</v>
      </c>
      <c r="BT183" s="1665">
        <v>0</v>
      </c>
      <c r="BU183" s="1665">
        <v>0</v>
      </c>
      <c r="BV183" s="1665">
        <v>0</v>
      </c>
      <c r="BW183" s="1665">
        <v>0</v>
      </c>
      <c r="BX183" s="1665">
        <v>0</v>
      </c>
      <c r="BY183" s="1665">
        <v>0</v>
      </c>
      <c r="BZ183" s="1663"/>
      <c r="CA183" s="1663"/>
      <c r="CB183" s="1668"/>
      <c r="CC183" s="1668"/>
      <c r="CD183" s="1663"/>
      <c r="CE183" s="1663"/>
      <c r="CF183" s="1665">
        <v>0</v>
      </c>
      <c r="CG183" s="1665">
        <v>0</v>
      </c>
      <c r="CH183" s="1665">
        <v>0</v>
      </c>
      <c r="CI183" s="1665">
        <v>0</v>
      </c>
      <c r="CJ183" s="1665">
        <v>0</v>
      </c>
      <c r="CK183" s="1665">
        <v>0</v>
      </c>
      <c r="CL183" s="1668"/>
      <c r="CM183" s="1665">
        <v>0</v>
      </c>
      <c r="CN183" s="1665">
        <v>0</v>
      </c>
      <c r="CO183" s="1665">
        <v>0</v>
      </c>
      <c r="CP183" s="1665">
        <v>0</v>
      </c>
      <c r="CQ183" s="1665">
        <v>0</v>
      </c>
      <c r="CR183" s="1665">
        <v>0</v>
      </c>
      <c r="CS183" s="1665">
        <v>0</v>
      </c>
      <c r="CT183" s="1665">
        <v>0</v>
      </c>
      <c r="CU183" s="1665">
        <v>0</v>
      </c>
      <c r="CV183" s="1665">
        <v>0</v>
      </c>
      <c r="CW183" s="1668"/>
      <c r="CX183" s="1663"/>
      <c r="CY183" s="1663"/>
      <c r="CZ183" s="1663"/>
      <c r="DA183" s="1663"/>
      <c r="DB183" s="1668"/>
      <c r="DC183" s="1662"/>
      <c r="DD183" s="1665">
        <v>0</v>
      </c>
      <c r="DE183" s="1663"/>
      <c r="DF183" s="1663"/>
      <c r="DG183" s="1665">
        <v>0</v>
      </c>
      <c r="DH183" s="1665">
        <v>0</v>
      </c>
    </row>
    <row r="184" spans="1:112" ht="67.5" hidden="1" x14ac:dyDescent="0.25">
      <c r="A184" s="1662" t="s">
        <v>2238</v>
      </c>
      <c r="B184" s="1662" t="s">
        <v>1725</v>
      </c>
      <c r="C184" s="1662" t="s">
        <v>2633</v>
      </c>
      <c r="D184" s="1662" t="s">
        <v>2634</v>
      </c>
      <c r="E184" s="1662" t="s">
        <v>145</v>
      </c>
      <c r="F184" s="1662" t="s">
        <v>2635</v>
      </c>
      <c r="G184" s="1662" t="s">
        <v>2628</v>
      </c>
      <c r="H184" s="1662" t="s">
        <v>2613</v>
      </c>
      <c r="I184" s="1662" t="s">
        <v>721</v>
      </c>
      <c r="J184" s="1662" t="s">
        <v>305</v>
      </c>
      <c r="K184" s="1662" t="s">
        <v>2108</v>
      </c>
      <c r="L184" s="1662" t="s">
        <v>2109</v>
      </c>
      <c r="M184" s="1665">
        <v>995216.11</v>
      </c>
      <c r="N184" s="1665">
        <v>0</v>
      </c>
      <c r="O184" s="1665">
        <v>995216.11</v>
      </c>
      <c r="P184" s="1665">
        <v>995216.11</v>
      </c>
      <c r="Q184" s="1665">
        <v>920574.9</v>
      </c>
      <c r="R184" s="1665">
        <v>845933.69</v>
      </c>
      <c r="S184" s="1665">
        <v>74641.210000000006</v>
      </c>
      <c r="T184" s="1665">
        <v>74641.210000000006</v>
      </c>
      <c r="U184" s="1665">
        <v>0</v>
      </c>
      <c r="V184" s="1665">
        <v>74641.210000000006</v>
      </c>
      <c r="W184" s="1665">
        <v>0</v>
      </c>
      <c r="X184" s="1665">
        <v>0</v>
      </c>
      <c r="Y184" s="1668"/>
      <c r="Z184" s="1662"/>
      <c r="AA184" s="1665">
        <v>50000</v>
      </c>
      <c r="AB184" s="1665">
        <v>45945.95</v>
      </c>
      <c r="AC184" s="1680">
        <v>4054.05</v>
      </c>
      <c r="AD184" s="1681"/>
      <c r="AE184" s="1679"/>
      <c r="AF184" s="1662"/>
      <c r="AG184" s="1666"/>
      <c r="AH184" s="1667">
        <v>720916.98</v>
      </c>
      <c r="AI184" s="1665">
        <v>720916.98</v>
      </c>
      <c r="AJ184" s="1665">
        <v>641311.1</v>
      </c>
      <c r="AK184" s="1698">
        <v>589312.9</v>
      </c>
      <c r="AL184" s="1665">
        <v>51998.2</v>
      </c>
      <c r="AM184" s="1668"/>
      <c r="AN184" s="1665">
        <v>394744.98</v>
      </c>
      <c r="AO184" s="1665">
        <v>394744.98</v>
      </c>
      <c r="AP184" s="1665">
        <v>365139.1</v>
      </c>
      <c r="AQ184" s="1665">
        <v>335533.23</v>
      </c>
      <c r="AR184" s="1665">
        <v>29605.87</v>
      </c>
      <c r="AS184" s="1665">
        <v>29605.88</v>
      </c>
      <c r="AT184" s="1665">
        <v>0</v>
      </c>
      <c r="AU184" s="1665">
        <v>29605.88</v>
      </c>
      <c r="AV184" s="1665">
        <v>0</v>
      </c>
      <c r="AW184" s="1665">
        <v>0</v>
      </c>
      <c r="AX184" s="1665">
        <v>0</v>
      </c>
      <c r="AY184" s="1665">
        <v>0</v>
      </c>
      <c r="AZ184" s="1665">
        <v>0</v>
      </c>
      <c r="BA184" s="1668"/>
      <c r="BB184" s="1668"/>
      <c r="BC184" s="1665">
        <v>0</v>
      </c>
      <c r="BD184" s="1665">
        <v>0</v>
      </c>
      <c r="BE184" s="1665">
        <v>394744.98</v>
      </c>
      <c r="BF184" s="1665">
        <v>394744.98</v>
      </c>
      <c r="BG184" s="1665">
        <v>365139.1</v>
      </c>
      <c r="BH184" s="1665">
        <v>335533.23</v>
      </c>
      <c r="BI184" s="1665">
        <v>29605.87</v>
      </c>
      <c r="BJ184" s="1665">
        <v>29605.88</v>
      </c>
      <c r="BK184" s="1665">
        <v>0</v>
      </c>
      <c r="BL184" s="1665">
        <v>29605.88</v>
      </c>
      <c r="BM184" s="1665">
        <v>0</v>
      </c>
      <c r="BN184" s="1665">
        <v>0</v>
      </c>
      <c r="BO184" s="1668"/>
      <c r="BP184" s="1665">
        <v>157031.46</v>
      </c>
      <c r="BQ184" s="1665">
        <v>157031.46</v>
      </c>
      <c r="BR184" s="1665">
        <v>145254.1</v>
      </c>
      <c r="BS184" s="1667">
        <v>133476.74</v>
      </c>
      <c r="BT184" s="1665">
        <v>11777.36</v>
      </c>
      <c r="BU184" s="1665">
        <v>11777.36</v>
      </c>
      <c r="BV184" s="1665">
        <v>0</v>
      </c>
      <c r="BW184" s="1665">
        <v>0</v>
      </c>
      <c r="BX184" s="1665">
        <v>0</v>
      </c>
      <c r="BY184" s="1665">
        <v>0</v>
      </c>
      <c r="BZ184" s="1665">
        <v>0</v>
      </c>
      <c r="CA184" s="1665">
        <v>0</v>
      </c>
      <c r="CB184" s="1668"/>
      <c r="CC184" s="1668"/>
      <c r="CD184" s="1665">
        <v>0</v>
      </c>
      <c r="CE184" s="1665">
        <v>0</v>
      </c>
      <c r="CF184" s="1665">
        <v>0</v>
      </c>
      <c r="CG184" s="1665">
        <v>0</v>
      </c>
      <c r="CH184" s="1665">
        <v>0</v>
      </c>
      <c r="CI184" s="1665">
        <v>0</v>
      </c>
      <c r="CJ184" s="1665">
        <v>1385.25</v>
      </c>
      <c r="CK184" s="1665">
        <v>1385.25</v>
      </c>
      <c r="CL184" s="1668"/>
      <c r="CM184" s="1665">
        <v>0</v>
      </c>
      <c r="CN184" s="1665">
        <v>0</v>
      </c>
      <c r="CO184" s="1665">
        <v>0</v>
      </c>
      <c r="CP184" s="1665">
        <v>0</v>
      </c>
      <c r="CQ184" s="1665">
        <v>0</v>
      </c>
      <c r="CR184" s="1665">
        <v>0</v>
      </c>
      <c r="CS184" s="1665">
        <v>0</v>
      </c>
      <c r="CT184" s="1665">
        <v>0</v>
      </c>
      <c r="CU184" s="1665">
        <v>0</v>
      </c>
      <c r="CV184" s="1665">
        <v>0</v>
      </c>
      <c r="CW184" s="1668"/>
      <c r="CX184" s="1665">
        <v>0</v>
      </c>
      <c r="CY184" s="1665">
        <v>0</v>
      </c>
      <c r="CZ184" s="1665">
        <v>0</v>
      </c>
      <c r="DA184" s="1665">
        <v>0</v>
      </c>
      <c r="DB184" s="1668"/>
      <c r="DC184" s="1662"/>
      <c r="DD184" s="1665">
        <v>0</v>
      </c>
      <c r="DE184" s="1665">
        <v>0</v>
      </c>
      <c r="DF184" s="1665">
        <v>0</v>
      </c>
      <c r="DG184" s="1665">
        <v>0</v>
      </c>
      <c r="DH184" s="1665">
        <v>0</v>
      </c>
    </row>
    <row r="185" spans="1:112" ht="67.5" hidden="1" x14ac:dyDescent="0.25">
      <c r="A185" s="1662" t="s">
        <v>2239</v>
      </c>
      <c r="B185" s="1662" t="s">
        <v>1725</v>
      </c>
      <c r="C185" s="1662" t="s">
        <v>2633</v>
      </c>
      <c r="D185" s="1662" t="s">
        <v>2634</v>
      </c>
      <c r="E185" s="1662" t="s">
        <v>145</v>
      </c>
      <c r="F185" s="1662" t="s">
        <v>2635</v>
      </c>
      <c r="G185" s="1662" t="s">
        <v>2628</v>
      </c>
      <c r="H185" s="1662" t="s">
        <v>2613</v>
      </c>
      <c r="I185" s="1662" t="s">
        <v>721</v>
      </c>
      <c r="J185" s="1662" t="s">
        <v>305</v>
      </c>
      <c r="K185" s="1662" t="s">
        <v>2108</v>
      </c>
      <c r="L185" s="1662" t="s">
        <v>2109</v>
      </c>
      <c r="M185" s="1663"/>
      <c r="N185" s="1663"/>
      <c r="O185" s="1663"/>
      <c r="P185" s="1663"/>
      <c r="Q185" s="1663"/>
      <c r="R185" s="1663"/>
      <c r="S185" s="1663"/>
      <c r="T185" s="1663"/>
      <c r="U185" s="1663"/>
      <c r="V185" s="1663"/>
      <c r="W185" s="1663"/>
      <c r="X185" s="1663"/>
      <c r="Y185" s="1664">
        <v>43019</v>
      </c>
      <c r="Z185" s="1662" t="s">
        <v>2145</v>
      </c>
      <c r="AA185" s="1665">
        <v>0</v>
      </c>
      <c r="AB185" s="1665">
        <v>0</v>
      </c>
      <c r="AC185" s="1680">
        <v>0</v>
      </c>
      <c r="AD185" s="1682">
        <v>43031</v>
      </c>
      <c r="AE185" s="1679" t="s">
        <v>2122</v>
      </c>
      <c r="AF185" s="1662" t="s">
        <v>2112</v>
      </c>
      <c r="AG185" s="1666"/>
      <c r="AH185" s="1667">
        <v>100000</v>
      </c>
      <c r="AI185" s="1665">
        <v>100000</v>
      </c>
      <c r="AJ185" s="1665">
        <v>100000</v>
      </c>
      <c r="AK185" s="1698">
        <v>91891.89</v>
      </c>
      <c r="AL185" s="1665">
        <v>8108.11</v>
      </c>
      <c r="AM185" s="1668"/>
      <c r="AN185" s="1665">
        <v>0</v>
      </c>
      <c r="AO185" s="1665">
        <v>0</v>
      </c>
      <c r="AP185" s="1665">
        <v>0</v>
      </c>
      <c r="AQ185" s="1665">
        <v>0</v>
      </c>
      <c r="AR185" s="1665">
        <v>0</v>
      </c>
      <c r="AS185" s="1665">
        <v>0</v>
      </c>
      <c r="AT185" s="1665">
        <v>0</v>
      </c>
      <c r="AU185" s="1665">
        <v>0</v>
      </c>
      <c r="AV185" s="1665">
        <v>0</v>
      </c>
      <c r="AW185" s="1665">
        <v>0</v>
      </c>
      <c r="AX185" s="1663"/>
      <c r="AY185" s="1663"/>
      <c r="AZ185" s="1663"/>
      <c r="BA185" s="1668"/>
      <c r="BB185" s="1668"/>
      <c r="BC185" s="1663"/>
      <c r="BD185" s="1663"/>
      <c r="BE185" s="1665">
        <v>0</v>
      </c>
      <c r="BF185" s="1665">
        <v>0</v>
      </c>
      <c r="BG185" s="1665">
        <v>0</v>
      </c>
      <c r="BH185" s="1665">
        <v>0</v>
      </c>
      <c r="BI185" s="1665">
        <v>0</v>
      </c>
      <c r="BJ185" s="1665">
        <v>0</v>
      </c>
      <c r="BK185" s="1665">
        <v>0</v>
      </c>
      <c r="BL185" s="1665">
        <v>0</v>
      </c>
      <c r="BM185" s="1665">
        <v>0</v>
      </c>
      <c r="BN185" s="1665">
        <v>0</v>
      </c>
      <c r="BO185" s="1668"/>
      <c r="BP185" s="1665">
        <v>0</v>
      </c>
      <c r="BQ185" s="1665">
        <v>0</v>
      </c>
      <c r="BR185" s="1665">
        <v>0</v>
      </c>
      <c r="BS185" s="1667">
        <v>0</v>
      </c>
      <c r="BT185" s="1665">
        <v>0</v>
      </c>
      <c r="BU185" s="1665">
        <v>0</v>
      </c>
      <c r="BV185" s="1665">
        <v>0</v>
      </c>
      <c r="BW185" s="1665">
        <v>0</v>
      </c>
      <c r="BX185" s="1665">
        <v>0</v>
      </c>
      <c r="BY185" s="1665">
        <v>0</v>
      </c>
      <c r="BZ185" s="1663"/>
      <c r="CA185" s="1663"/>
      <c r="CB185" s="1668"/>
      <c r="CC185" s="1668"/>
      <c r="CD185" s="1663"/>
      <c r="CE185" s="1663"/>
      <c r="CF185" s="1665">
        <v>0</v>
      </c>
      <c r="CG185" s="1665">
        <v>0</v>
      </c>
      <c r="CH185" s="1665">
        <v>0</v>
      </c>
      <c r="CI185" s="1665">
        <v>0</v>
      </c>
      <c r="CJ185" s="1665">
        <v>0</v>
      </c>
      <c r="CK185" s="1665">
        <v>0</v>
      </c>
      <c r="CL185" s="1668"/>
      <c r="CM185" s="1665">
        <v>0</v>
      </c>
      <c r="CN185" s="1665">
        <v>0</v>
      </c>
      <c r="CO185" s="1665">
        <v>0</v>
      </c>
      <c r="CP185" s="1665">
        <v>0</v>
      </c>
      <c r="CQ185" s="1665">
        <v>0</v>
      </c>
      <c r="CR185" s="1665">
        <v>0</v>
      </c>
      <c r="CS185" s="1665">
        <v>0</v>
      </c>
      <c r="CT185" s="1665">
        <v>0</v>
      </c>
      <c r="CU185" s="1665">
        <v>0</v>
      </c>
      <c r="CV185" s="1665">
        <v>0</v>
      </c>
      <c r="CW185" s="1668"/>
      <c r="CX185" s="1663"/>
      <c r="CY185" s="1663"/>
      <c r="CZ185" s="1663"/>
      <c r="DA185" s="1663"/>
      <c r="DB185" s="1668"/>
      <c r="DC185" s="1662"/>
      <c r="DD185" s="1665">
        <v>0</v>
      </c>
      <c r="DE185" s="1663"/>
      <c r="DF185" s="1663"/>
      <c r="DG185" s="1665">
        <v>0</v>
      </c>
      <c r="DH185" s="1665">
        <v>0</v>
      </c>
    </row>
    <row r="186" spans="1:112" ht="67.5" hidden="1" x14ac:dyDescent="0.25">
      <c r="A186" s="1662" t="s">
        <v>2240</v>
      </c>
      <c r="B186" s="1662" t="s">
        <v>1725</v>
      </c>
      <c r="C186" s="1662" t="s">
        <v>2633</v>
      </c>
      <c r="D186" s="1662" t="s">
        <v>2634</v>
      </c>
      <c r="E186" s="1662" t="s">
        <v>145</v>
      </c>
      <c r="F186" s="1662" t="s">
        <v>2635</v>
      </c>
      <c r="G186" s="1662" t="s">
        <v>2628</v>
      </c>
      <c r="H186" s="1662" t="s">
        <v>2613</v>
      </c>
      <c r="I186" s="1662" t="s">
        <v>721</v>
      </c>
      <c r="J186" s="1662" t="s">
        <v>305</v>
      </c>
      <c r="K186" s="1662" t="s">
        <v>2108</v>
      </c>
      <c r="L186" s="1662" t="s">
        <v>2109</v>
      </c>
      <c r="M186" s="1663"/>
      <c r="N186" s="1663"/>
      <c r="O186" s="1663"/>
      <c r="P186" s="1663"/>
      <c r="Q186" s="1663"/>
      <c r="R186" s="1663"/>
      <c r="S186" s="1663"/>
      <c r="T186" s="1663"/>
      <c r="U186" s="1663"/>
      <c r="V186" s="1663"/>
      <c r="W186" s="1663"/>
      <c r="X186" s="1663"/>
      <c r="Y186" s="1664">
        <v>43075</v>
      </c>
      <c r="Z186" s="1662" t="s">
        <v>2110</v>
      </c>
      <c r="AA186" s="1665">
        <v>50000</v>
      </c>
      <c r="AB186" s="1665">
        <v>45945.95</v>
      </c>
      <c r="AC186" s="1680">
        <v>4054.05</v>
      </c>
      <c r="AD186" s="1682">
        <v>43116</v>
      </c>
      <c r="AE186" s="1679" t="s">
        <v>2111</v>
      </c>
      <c r="AF186" s="1662" t="s">
        <v>2112</v>
      </c>
      <c r="AG186" s="1666"/>
      <c r="AH186" s="1667">
        <v>86852.23</v>
      </c>
      <c r="AI186" s="1665">
        <v>86852.23</v>
      </c>
      <c r="AJ186" s="1665">
        <v>30338.32</v>
      </c>
      <c r="AK186" s="1698">
        <v>27878.45</v>
      </c>
      <c r="AL186" s="1665">
        <v>2459.87</v>
      </c>
      <c r="AM186" s="1664">
        <v>43116</v>
      </c>
      <c r="AN186" s="1665">
        <v>86852.23</v>
      </c>
      <c r="AO186" s="1665">
        <v>86852.23</v>
      </c>
      <c r="AP186" s="1665">
        <v>80338.320000000007</v>
      </c>
      <c r="AQ186" s="1665">
        <v>73824.399999999994</v>
      </c>
      <c r="AR186" s="1665">
        <v>6513.92</v>
      </c>
      <c r="AS186" s="1665">
        <v>6513.91</v>
      </c>
      <c r="AT186" s="1665">
        <v>0</v>
      </c>
      <c r="AU186" s="1665">
        <v>6513.91</v>
      </c>
      <c r="AV186" s="1665">
        <v>0</v>
      </c>
      <c r="AW186" s="1665">
        <v>0</v>
      </c>
      <c r="AX186" s="1663"/>
      <c r="AY186" s="1663"/>
      <c r="AZ186" s="1663"/>
      <c r="BA186" s="1668"/>
      <c r="BB186" s="1668"/>
      <c r="BC186" s="1663"/>
      <c r="BD186" s="1663"/>
      <c r="BE186" s="1665">
        <v>86852.23</v>
      </c>
      <c r="BF186" s="1665">
        <v>86852.23</v>
      </c>
      <c r="BG186" s="1665">
        <v>80338.320000000007</v>
      </c>
      <c r="BH186" s="1665">
        <v>73824.399999999994</v>
      </c>
      <c r="BI186" s="1665">
        <v>6513.92</v>
      </c>
      <c r="BJ186" s="1665">
        <v>6513.91</v>
      </c>
      <c r="BK186" s="1665">
        <v>0</v>
      </c>
      <c r="BL186" s="1665">
        <v>6513.91</v>
      </c>
      <c r="BM186" s="1665">
        <v>0</v>
      </c>
      <c r="BN186" s="1665">
        <v>0</v>
      </c>
      <c r="BO186" s="1664">
        <v>43364</v>
      </c>
      <c r="BP186" s="1665">
        <v>86852.23</v>
      </c>
      <c r="BQ186" s="1665">
        <v>86852.23</v>
      </c>
      <c r="BR186" s="1665">
        <v>80338.320000000007</v>
      </c>
      <c r="BS186" s="1667">
        <v>73824.399999999994</v>
      </c>
      <c r="BT186" s="1665">
        <v>6513.92</v>
      </c>
      <c r="BU186" s="1665">
        <v>6513.91</v>
      </c>
      <c r="BV186" s="1665">
        <v>0</v>
      </c>
      <c r="BW186" s="1665">
        <v>0</v>
      </c>
      <c r="BX186" s="1665">
        <v>0</v>
      </c>
      <c r="BY186" s="1665">
        <v>0</v>
      </c>
      <c r="BZ186" s="1665">
        <v>0</v>
      </c>
      <c r="CA186" s="1663"/>
      <c r="CB186" s="1668"/>
      <c r="CC186" s="1668"/>
      <c r="CD186" s="1663"/>
      <c r="CE186" s="1663"/>
      <c r="CF186" s="1665">
        <v>0</v>
      </c>
      <c r="CG186" s="1665">
        <v>0</v>
      </c>
      <c r="CH186" s="1665">
        <v>0</v>
      </c>
      <c r="CI186" s="1665">
        <v>0</v>
      </c>
      <c r="CJ186" s="1665">
        <v>766.17</v>
      </c>
      <c r="CK186" s="1665">
        <v>766.17</v>
      </c>
      <c r="CL186" s="1668"/>
      <c r="CM186" s="1665">
        <v>0</v>
      </c>
      <c r="CN186" s="1665">
        <v>0</v>
      </c>
      <c r="CO186" s="1665">
        <v>0</v>
      </c>
      <c r="CP186" s="1665">
        <v>0</v>
      </c>
      <c r="CQ186" s="1665">
        <v>0</v>
      </c>
      <c r="CR186" s="1665">
        <v>0</v>
      </c>
      <c r="CS186" s="1665">
        <v>0</v>
      </c>
      <c r="CT186" s="1665">
        <v>0</v>
      </c>
      <c r="CU186" s="1665">
        <v>0</v>
      </c>
      <c r="CV186" s="1665">
        <v>0</v>
      </c>
      <c r="CW186" s="1668"/>
      <c r="CX186" s="1663"/>
      <c r="CY186" s="1663"/>
      <c r="CZ186" s="1663"/>
      <c r="DA186" s="1663"/>
      <c r="DB186" s="1668"/>
      <c r="DC186" s="1662"/>
      <c r="DD186" s="1665">
        <v>0</v>
      </c>
      <c r="DE186" s="1663"/>
      <c r="DF186" s="1663"/>
      <c r="DG186" s="1665">
        <v>0</v>
      </c>
      <c r="DH186" s="1665">
        <v>0</v>
      </c>
    </row>
    <row r="187" spans="1:112" ht="67.5" hidden="1" x14ac:dyDescent="0.25">
      <c r="A187" s="1662" t="s">
        <v>2241</v>
      </c>
      <c r="B187" s="1662" t="s">
        <v>1725</v>
      </c>
      <c r="C187" s="1662" t="s">
        <v>2633</v>
      </c>
      <c r="D187" s="1662" t="s">
        <v>2634</v>
      </c>
      <c r="E187" s="1662" t="s">
        <v>145</v>
      </c>
      <c r="F187" s="1662" t="s">
        <v>2635</v>
      </c>
      <c r="G187" s="1662" t="s">
        <v>2628</v>
      </c>
      <c r="H187" s="1662" t="s">
        <v>2613</v>
      </c>
      <c r="I187" s="1662" t="s">
        <v>721</v>
      </c>
      <c r="J187" s="1662" t="s">
        <v>305</v>
      </c>
      <c r="K187" s="1662" t="s">
        <v>2108</v>
      </c>
      <c r="L187" s="1662" t="s">
        <v>2109</v>
      </c>
      <c r="M187" s="1663"/>
      <c r="N187" s="1663"/>
      <c r="O187" s="1663"/>
      <c r="P187" s="1663"/>
      <c r="Q187" s="1663"/>
      <c r="R187" s="1663"/>
      <c r="S187" s="1663"/>
      <c r="T187" s="1663"/>
      <c r="U187" s="1663"/>
      <c r="V187" s="1663"/>
      <c r="W187" s="1663"/>
      <c r="X187" s="1663"/>
      <c r="Y187" s="1664">
        <v>43132</v>
      </c>
      <c r="Z187" s="1662" t="s">
        <v>2110</v>
      </c>
      <c r="AA187" s="1665">
        <v>0</v>
      </c>
      <c r="AB187" s="1665">
        <v>0</v>
      </c>
      <c r="AC187" s="1680">
        <v>0</v>
      </c>
      <c r="AD187" s="1682">
        <v>43160</v>
      </c>
      <c r="AE187" s="1679" t="s">
        <v>2114</v>
      </c>
      <c r="AF187" s="1662" t="s">
        <v>2112</v>
      </c>
      <c r="AG187" s="1666"/>
      <c r="AH187" s="1667">
        <v>17815.8</v>
      </c>
      <c r="AI187" s="1665">
        <v>17815.8</v>
      </c>
      <c r="AJ187" s="1665">
        <v>16479.61</v>
      </c>
      <c r="AK187" s="1698">
        <v>15143.42</v>
      </c>
      <c r="AL187" s="1665">
        <v>1336.19</v>
      </c>
      <c r="AM187" s="1664">
        <v>43160</v>
      </c>
      <c r="AN187" s="1665">
        <v>17815.8</v>
      </c>
      <c r="AO187" s="1665">
        <v>17815.8</v>
      </c>
      <c r="AP187" s="1665">
        <v>16479.61</v>
      </c>
      <c r="AQ187" s="1665">
        <v>15143.42</v>
      </c>
      <c r="AR187" s="1665">
        <v>1336.19</v>
      </c>
      <c r="AS187" s="1665">
        <v>1336.19</v>
      </c>
      <c r="AT187" s="1665">
        <v>0</v>
      </c>
      <c r="AU187" s="1665">
        <v>1336.19</v>
      </c>
      <c r="AV187" s="1665">
        <v>0</v>
      </c>
      <c r="AW187" s="1665">
        <v>0</v>
      </c>
      <c r="AX187" s="1663"/>
      <c r="AY187" s="1663"/>
      <c r="AZ187" s="1663"/>
      <c r="BA187" s="1668"/>
      <c r="BB187" s="1668"/>
      <c r="BC187" s="1663"/>
      <c r="BD187" s="1663"/>
      <c r="BE187" s="1665">
        <v>17815.8</v>
      </c>
      <c r="BF187" s="1665">
        <v>17815.8</v>
      </c>
      <c r="BG187" s="1665">
        <v>16479.61</v>
      </c>
      <c r="BH187" s="1665">
        <v>15143.42</v>
      </c>
      <c r="BI187" s="1665">
        <v>1336.19</v>
      </c>
      <c r="BJ187" s="1665">
        <v>1336.19</v>
      </c>
      <c r="BK187" s="1665">
        <v>0</v>
      </c>
      <c r="BL187" s="1665">
        <v>1336.19</v>
      </c>
      <c r="BM187" s="1665">
        <v>0</v>
      </c>
      <c r="BN187" s="1665">
        <v>0</v>
      </c>
      <c r="BO187" s="1664">
        <v>43364</v>
      </c>
      <c r="BP187" s="1665">
        <v>17815.8</v>
      </c>
      <c r="BQ187" s="1665">
        <v>17815.8</v>
      </c>
      <c r="BR187" s="1665">
        <v>16479.61</v>
      </c>
      <c r="BS187" s="1667">
        <v>15143.42</v>
      </c>
      <c r="BT187" s="1665">
        <v>1336.19</v>
      </c>
      <c r="BU187" s="1665">
        <v>1336.19</v>
      </c>
      <c r="BV187" s="1665">
        <v>0</v>
      </c>
      <c r="BW187" s="1665">
        <v>0</v>
      </c>
      <c r="BX187" s="1665">
        <v>0</v>
      </c>
      <c r="BY187" s="1665">
        <v>0</v>
      </c>
      <c r="BZ187" s="1665">
        <v>0</v>
      </c>
      <c r="CA187" s="1663"/>
      <c r="CB187" s="1668"/>
      <c r="CC187" s="1668"/>
      <c r="CD187" s="1663"/>
      <c r="CE187" s="1663"/>
      <c r="CF187" s="1665">
        <v>0</v>
      </c>
      <c r="CG187" s="1665">
        <v>0</v>
      </c>
      <c r="CH187" s="1665">
        <v>0</v>
      </c>
      <c r="CI187" s="1665">
        <v>0</v>
      </c>
      <c r="CJ187" s="1665">
        <v>157.16</v>
      </c>
      <c r="CK187" s="1665">
        <v>157.16</v>
      </c>
      <c r="CL187" s="1668"/>
      <c r="CM187" s="1665">
        <v>0</v>
      </c>
      <c r="CN187" s="1665">
        <v>0</v>
      </c>
      <c r="CO187" s="1665">
        <v>0</v>
      </c>
      <c r="CP187" s="1665">
        <v>0</v>
      </c>
      <c r="CQ187" s="1665">
        <v>0</v>
      </c>
      <c r="CR187" s="1665">
        <v>0</v>
      </c>
      <c r="CS187" s="1665">
        <v>0</v>
      </c>
      <c r="CT187" s="1665">
        <v>0</v>
      </c>
      <c r="CU187" s="1665">
        <v>0</v>
      </c>
      <c r="CV187" s="1665">
        <v>0</v>
      </c>
      <c r="CW187" s="1668"/>
      <c r="CX187" s="1663"/>
      <c r="CY187" s="1663"/>
      <c r="CZ187" s="1663"/>
      <c r="DA187" s="1663"/>
      <c r="DB187" s="1668"/>
      <c r="DC187" s="1662"/>
      <c r="DD187" s="1665">
        <v>0</v>
      </c>
      <c r="DE187" s="1663"/>
      <c r="DF187" s="1663"/>
      <c r="DG187" s="1665">
        <v>0</v>
      </c>
      <c r="DH187" s="1665">
        <v>0</v>
      </c>
    </row>
    <row r="188" spans="1:112" ht="67.5" hidden="1" x14ac:dyDescent="0.25">
      <c r="A188" s="1662" t="s">
        <v>2242</v>
      </c>
      <c r="B188" s="1662" t="s">
        <v>1725</v>
      </c>
      <c r="C188" s="1662" t="s">
        <v>2633</v>
      </c>
      <c r="D188" s="1662" t="s">
        <v>2634</v>
      </c>
      <c r="E188" s="1662" t="s">
        <v>145</v>
      </c>
      <c r="F188" s="1662" t="s">
        <v>2635</v>
      </c>
      <c r="G188" s="1662" t="s">
        <v>2628</v>
      </c>
      <c r="H188" s="1662" t="s">
        <v>2613</v>
      </c>
      <c r="I188" s="1662" t="s">
        <v>721</v>
      </c>
      <c r="J188" s="1662" t="s">
        <v>305</v>
      </c>
      <c r="K188" s="1662" t="s">
        <v>2108</v>
      </c>
      <c r="L188" s="1662" t="s">
        <v>2109</v>
      </c>
      <c r="M188" s="1663"/>
      <c r="N188" s="1663"/>
      <c r="O188" s="1663"/>
      <c r="P188" s="1663"/>
      <c r="Q188" s="1663"/>
      <c r="R188" s="1663"/>
      <c r="S188" s="1663"/>
      <c r="T188" s="1663"/>
      <c r="U188" s="1663"/>
      <c r="V188" s="1663"/>
      <c r="W188" s="1663"/>
      <c r="X188" s="1663"/>
      <c r="Y188" s="1664">
        <v>43189</v>
      </c>
      <c r="Z188" s="1662" t="s">
        <v>2145</v>
      </c>
      <c r="AA188" s="1665">
        <v>0</v>
      </c>
      <c r="AB188" s="1665">
        <v>0</v>
      </c>
      <c r="AC188" s="1680">
        <v>0</v>
      </c>
      <c r="AD188" s="1682">
        <v>43201</v>
      </c>
      <c r="AE188" s="1679" t="s">
        <v>2128</v>
      </c>
      <c r="AF188" s="1662" t="s">
        <v>2112</v>
      </c>
      <c r="AG188" s="1666"/>
      <c r="AH188" s="1667">
        <v>100000</v>
      </c>
      <c r="AI188" s="1665">
        <v>100000</v>
      </c>
      <c r="AJ188" s="1665">
        <v>100000</v>
      </c>
      <c r="AK188" s="1698">
        <v>91891.89</v>
      </c>
      <c r="AL188" s="1665">
        <v>8108.11</v>
      </c>
      <c r="AM188" s="1668"/>
      <c r="AN188" s="1665">
        <v>0</v>
      </c>
      <c r="AO188" s="1665">
        <v>0</v>
      </c>
      <c r="AP188" s="1665">
        <v>0</v>
      </c>
      <c r="AQ188" s="1665">
        <v>0</v>
      </c>
      <c r="AR188" s="1665">
        <v>0</v>
      </c>
      <c r="AS188" s="1665">
        <v>0</v>
      </c>
      <c r="AT188" s="1665">
        <v>0</v>
      </c>
      <c r="AU188" s="1665">
        <v>0</v>
      </c>
      <c r="AV188" s="1665">
        <v>0</v>
      </c>
      <c r="AW188" s="1665">
        <v>0</v>
      </c>
      <c r="AX188" s="1663"/>
      <c r="AY188" s="1663"/>
      <c r="AZ188" s="1663"/>
      <c r="BA188" s="1668"/>
      <c r="BB188" s="1668"/>
      <c r="BC188" s="1663"/>
      <c r="BD188" s="1663"/>
      <c r="BE188" s="1665">
        <v>0</v>
      </c>
      <c r="BF188" s="1665">
        <v>0</v>
      </c>
      <c r="BG188" s="1665">
        <v>0</v>
      </c>
      <c r="BH188" s="1665">
        <v>0</v>
      </c>
      <c r="BI188" s="1665">
        <v>0</v>
      </c>
      <c r="BJ188" s="1665">
        <v>0</v>
      </c>
      <c r="BK188" s="1665">
        <v>0</v>
      </c>
      <c r="BL188" s="1665">
        <v>0</v>
      </c>
      <c r="BM188" s="1665">
        <v>0</v>
      </c>
      <c r="BN188" s="1665">
        <v>0</v>
      </c>
      <c r="BO188" s="1668"/>
      <c r="BP188" s="1665">
        <v>0</v>
      </c>
      <c r="BQ188" s="1665">
        <v>0</v>
      </c>
      <c r="BR188" s="1665">
        <v>0</v>
      </c>
      <c r="BS188" s="1667">
        <v>0</v>
      </c>
      <c r="BT188" s="1665">
        <v>0</v>
      </c>
      <c r="BU188" s="1665">
        <v>0</v>
      </c>
      <c r="BV188" s="1665">
        <v>0</v>
      </c>
      <c r="BW188" s="1665">
        <v>0</v>
      </c>
      <c r="BX188" s="1665">
        <v>0</v>
      </c>
      <c r="BY188" s="1665">
        <v>0</v>
      </c>
      <c r="BZ188" s="1663"/>
      <c r="CA188" s="1663"/>
      <c r="CB188" s="1668"/>
      <c r="CC188" s="1668"/>
      <c r="CD188" s="1663"/>
      <c r="CE188" s="1663"/>
      <c r="CF188" s="1665">
        <v>0</v>
      </c>
      <c r="CG188" s="1665">
        <v>0</v>
      </c>
      <c r="CH188" s="1665">
        <v>0</v>
      </c>
      <c r="CI188" s="1665">
        <v>0</v>
      </c>
      <c r="CJ188" s="1665">
        <v>0</v>
      </c>
      <c r="CK188" s="1665">
        <v>0</v>
      </c>
      <c r="CL188" s="1668"/>
      <c r="CM188" s="1665">
        <v>0</v>
      </c>
      <c r="CN188" s="1665">
        <v>0</v>
      </c>
      <c r="CO188" s="1665">
        <v>0</v>
      </c>
      <c r="CP188" s="1665">
        <v>0</v>
      </c>
      <c r="CQ188" s="1665">
        <v>0</v>
      </c>
      <c r="CR188" s="1665">
        <v>0</v>
      </c>
      <c r="CS188" s="1665">
        <v>0</v>
      </c>
      <c r="CT188" s="1665">
        <v>0</v>
      </c>
      <c r="CU188" s="1665">
        <v>0</v>
      </c>
      <c r="CV188" s="1665">
        <v>0</v>
      </c>
      <c r="CW188" s="1668"/>
      <c r="CX188" s="1663"/>
      <c r="CY188" s="1663"/>
      <c r="CZ188" s="1663"/>
      <c r="DA188" s="1663"/>
      <c r="DB188" s="1668"/>
      <c r="DC188" s="1662"/>
      <c r="DD188" s="1665">
        <v>0</v>
      </c>
      <c r="DE188" s="1663"/>
      <c r="DF188" s="1663"/>
      <c r="DG188" s="1665">
        <v>0</v>
      </c>
      <c r="DH188" s="1665">
        <v>0</v>
      </c>
    </row>
    <row r="189" spans="1:112" ht="67.5" hidden="1" x14ac:dyDescent="0.25">
      <c r="A189" s="1662" t="s">
        <v>2243</v>
      </c>
      <c r="B189" s="1662" t="s">
        <v>1725</v>
      </c>
      <c r="C189" s="1662" t="s">
        <v>2633</v>
      </c>
      <c r="D189" s="1662" t="s">
        <v>2634</v>
      </c>
      <c r="E189" s="1662" t="s">
        <v>145</v>
      </c>
      <c r="F189" s="1662" t="s">
        <v>2635</v>
      </c>
      <c r="G189" s="1662" t="s">
        <v>2628</v>
      </c>
      <c r="H189" s="1662" t="s">
        <v>2613</v>
      </c>
      <c r="I189" s="1662" t="s">
        <v>721</v>
      </c>
      <c r="J189" s="1662" t="s">
        <v>305</v>
      </c>
      <c r="K189" s="1662" t="s">
        <v>2108</v>
      </c>
      <c r="L189" s="1662" t="s">
        <v>2109</v>
      </c>
      <c r="M189" s="1663"/>
      <c r="N189" s="1663"/>
      <c r="O189" s="1663"/>
      <c r="P189" s="1663"/>
      <c r="Q189" s="1663"/>
      <c r="R189" s="1663"/>
      <c r="S189" s="1663"/>
      <c r="T189" s="1663"/>
      <c r="U189" s="1663"/>
      <c r="V189" s="1663"/>
      <c r="W189" s="1663"/>
      <c r="X189" s="1663"/>
      <c r="Y189" s="1664">
        <v>43220</v>
      </c>
      <c r="Z189" s="1662" t="s">
        <v>2110</v>
      </c>
      <c r="AA189" s="1665">
        <v>0</v>
      </c>
      <c r="AB189" s="1665">
        <v>0</v>
      </c>
      <c r="AC189" s="1680">
        <v>0</v>
      </c>
      <c r="AD189" s="1682">
        <v>43250</v>
      </c>
      <c r="AE189" s="1679" t="s">
        <v>2129</v>
      </c>
      <c r="AF189" s="1662" t="s">
        <v>2112</v>
      </c>
      <c r="AG189" s="1666"/>
      <c r="AH189" s="1667">
        <v>52363.43</v>
      </c>
      <c r="AI189" s="1665">
        <v>52363.43</v>
      </c>
      <c r="AJ189" s="1665">
        <v>48436.17</v>
      </c>
      <c r="AK189" s="1698">
        <v>44508.92</v>
      </c>
      <c r="AL189" s="1665">
        <v>3927.25</v>
      </c>
      <c r="AM189" s="1664">
        <v>43250</v>
      </c>
      <c r="AN189" s="1665">
        <v>52363.43</v>
      </c>
      <c r="AO189" s="1665">
        <v>52363.43</v>
      </c>
      <c r="AP189" s="1665">
        <v>48436.17</v>
      </c>
      <c r="AQ189" s="1665">
        <v>44508.92</v>
      </c>
      <c r="AR189" s="1665">
        <v>3927.25</v>
      </c>
      <c r="AS189" s="1665">
        <v>3927.26</v>
      </c>
      <c r="AT189" s="1665">
        <v>0</v>
      </c>
      <c r="AU189" s="1665">
        <v>3927.26</v>
      </c>
      <c r="AV189" s="1665">
        <v>0</v>
      </c>
      <c r="AW189" s="1665">
        <v>0</v>
      </c>
      <c r="AX189" s="1663"/>
      <c r="AY189" s="1663"/>
      <c r="AZ189" s="1663"/>
      <c r="BA189" s="1668"/>
      <c r="BB189" s="1668"/>
      <c r="BC189" s="1663"/>
      <c r="BD189" s="1663"/>
      <c r="BE189" s="1665">
        <v>52363.43</v>
      </c>
      <c r="BF189" s="1665">
        <v>52363.43</v>
      </c>
      <c r="BG189" s="1665">
        <v>48436.17</v>
      </c>
      <c r="BH189" s="1665">
        <v>44508.92</v>
      </c>
      <c r="BI189" s="1665">
        <v>3927.25</v>
      </c>
      <c r="BJ189" s="1665">
        <v>3927.26</v>
      </c>
      <c r="BK189" s="1665">
        <v>0</v>
      </c>
      <c r="BL189" s="1665">
        <v>3927.26</v>
      </c>
      <c r="BM189" s="1665">
        <v>0</v>
      </c>
      <c r="BN189" s="1665">
        <v>0</v>
      </c>
      <c r="BO189" s="1664">
        <v>43364</v>
      </c>
      <c r="BP189" s="1665">
        <v>52363.43</v>
      </c>
      <c r="BQ189" s="1665">
        <v>52363.43</v>
      </c>
      <c r="BR189" s="1665">
        <v>48436.17</v>
      </c>
      <c r="BS189" s="1667">
        <v>44508.92</v>
      </c>
      <c r="BT189" s="1665">
        <v>3927.25</v>
      </c>
      <c r="BU189" s="1665">
        <v>3927.26</v>
      </c>
      <c r="BV189" s="1665">
        <v>0</v>
      </c>
      <c r="BW189" s="1665">
        <v>0</v>
      </c>
      <c r="BX189" s="1665">
        <v>0</v>
      </c>
      <c r="BY189" s="1665">
        <v>0</v>
      </c>
      <c r="BZ189" s="1665">
        <v>0</v>
      </c>
      <c r="CA189" s="1663"/>
      <c r="CB189" s="1668"/>
      <c r="CC189" s="1668"/>
      <c r="CD189" s="1663"/>
      <c r="CE189" s="1663"/>
      <c r="CF189" s="1665">
        <v>0</v>
      </c>
      <c r="CG189" s="1665">
        <v>0</v>
      </c>
      <c r="CH189" s="1665">
        <v>0</v>
      </c>
      <c r="CI189" s="1665">
        <v>0</v>
      </c>
      <c r="CJ189" s="1665">
        <v>461.92</v>
      </c>
      <c r="CK189" s="1665">
        <v>461.92</v>
      </c>
      <c r="CL189" s="1668"/>
      <c r="CM189" s="1665">
        <v>0</v>
      </c>
      <c r="CN189" s="1665">
        <v>0</v>
      </c>
      <c r="CO189" s="1665">
        <v>0</v>
      </c>
      <c r="CP189" s="1665">
        <v>0</v>
      </c>
      <c r="CQ189" s="1665">
        <v>0</v>
      </c>
      <c r="CR189" s="1665">
        <v>0</v>
      </c>
      <c r="CS189" s="1665">
        <v>0</v>
      </c>
      <c r="CT189" s="1665">
        <v>0</v>
      </c>
      <c r="CU189" s="1665">
        <v>0</v>
      </c>
      <c r="CV189" s="1665">
        <v>0</v>
      </c>
      <c r="CW189" s="1668"/>
      <c r="CX189" s="1663"/>
      <c r="CY189" s="1663"/>
      <c r="CZ189" s="1663"/>
      <c r="DA189" s="1663"/>
      <c r="DB189" s="1668"/>
      <c r="DC189" s="1662"/>
      <c r="DD189" s="1665">
        <v>0</v>
      </c>
      <c r="DE189" s="1663"/>
      <c r="DF189" s="1663"/>
      <c r="DG189" s="1665">
        <v>0</v>
      </c>
      <c r="DH189" s="1665">
        <v>0</v>
      </c>
    </row>
    <row r="190" spans="1:112" ht="67.5" hidden="1" x14ac:dyDescent="0.25">
      <c r="A190" s="1662" t="s">
        <v>2244</v>
      </c>
      <c r="B190" s="1662" t="s">
        <v>1725</v>
      </c>
      <c r="C190" s="1662" t="s">
        <v>2633</v>
      </c>
      <c r="D190" s="1662" t="s">
        <v>2634</v>
      </c>
      <c r="E190" s="1662" t="s">
        <v>145</v>
      </c>
      <c r="F190" s="1662" t="s">
        <v>2635</v>
      </c>
      <c r="G190" s="1662" t="s">
        <v>2628</v>
      </c>
      <c r="H190" s="1662" t="s">
        <v>2613</v>
      </c>
      <c r="I190" s="1662" t="s">
        <v>721</v>
      </c>
      <c r="J190" s="1662" t="s">
        <v>305</v>
      </c>
      <c r="K190" s="1662" t="s">
        <v>2108</v>
      </c>
      <c r="L190" s="1662" t="s">
        <v>2109</v>
      </c>
      <c r="M190" s="1663"/>
      <c r="N190" s="1663"/>
      <c r="O190" s="1663"/>
      <c r="P190" s="1663"/>
      <c r="Q190" s="1663"/>
      <c r="R190" s="1663"/>
      <c r="S190" s="1663"/>
      <c r="T190" s="1663"/>
      <c r="U190" s="1663"/>
      <c r="V190" s="1663"/>
      <c r="W190" s="1663"/>
      <c r="X190" s="1663"/>
      <c r="Y190" s="1664">
        <v>43280</v>
      </c>
      <c r="Z190" s="1662" t="s">
        <v>2145</v>
      </c>
      <c r="AA190" s="1665">
        <v>0</v>
      </c>
      <c r="AB190" s="1665">
        <v>0</v>
      </c>
      <c r="AC190" s="1680">
        <v>0</v>
      </c>
      <c r="AD190" s="1682">
        <v>43291</v>
      </c>
      <c r="AE190" s="1679" t="s">
        <v>2130</v>
      </c>
      <c r="AF190" s="1662" t="s">
        <v>2112</v>
      </c>
      <c r="AG190" s="1666"/>
      <c r="AH190" s="1667">
        <v>126172</v>
      </c>
      <c r="AI190" s="1665">
        <v>126172</v>
      </c>
      <c r="AJ190" s="1665">
        <v>126172</v>
      </c>
      <c r="AK190" s="1698">
        <v>115941.84</v>
      </c>
      <c r="AL190" s="1665">
        <v>10230.16</v>
      </c>
      <c r="AM190" s="1668"/>
      <c r="AN190" s="1665">
        <v>0</v>
      </c>
      <c r="AO190" s="1665">
        <v>0</v>
      </c>
      <c r="AP190" s="1665">
        <v>0</v>
      </c>
      <c r="AQ190" s="1665">
        <v>0</v>
      </c>
      <c r="AR190" s="1665">
        <v>0</v>
      </c>
      <c r="AS190" s="1665">
        <v>0</v>
      </c>
      <c r="AT190" s="1665">
        <v>0</v>
      </c>
      <c r="AU190" s="1665">
        <v>0</v>
      </c>
      <c r="AV190" s="1665">
        <v>0</v>
      </c>
      <c r="AW190" s="1665">
        <v>0</v>
      </c>
      <c r="AX190" s="1663"/>
      <c r="AY190" s="1663"/>
      <c r="AZ190" s="1663"/>
      <c r="BA190" s="1668"/>
      <c r="BB190" s="1668"/>
      <c r="BC190" s="1663"/>
      <c r="BD190" s="1663"/>
      <c r="BE190" s="1665">
        <v>0</v>
      </c>
      <c r="BF190" s="1665">
        <v>0</v>
      </c>
      <c r="BG190" s="1665">
        <v>0</v>
      </c>
      <c r="BH190" s="1665">
        <v>0</v>
      </c>
      <c r="BI190" s="1665">
        <v>0</v>
      </c>
      <c r="BJ190" s="1665">
        <v>0</v>
      </c>
      <c r="BK190" s="1665">
        <v>0</v>
      </c>
      <c r="BL190" s="1665">
        <v>0</v>
      </c>
      <c r="BM190" s="1665">
        <v>0</v>
      </c>
      <c r="BN190" s="1665">
        <v>0</v>
      </c>
      <c r="BO190" s="1668"/>
      <c r="BP190" s="1665">
        <v>0</v>
      </c>
      <c r="BQ190" s="1665">
        <v>0</v>
      </c>
      <c r="BR190" s="1665">
        <v>0</v>
      </c>
      <c r="BS190" s="1667">
        <v>0</v>
      </c>
      <c r="BT190" s="1665">
        <v>0</v>
      </c>
      <c r="BU190" s="1665">
        <v>0</v>
      </c>
      <c r="BV190" s="1665">
        <v>0</v>
      </c>
      <c r="BW190" s="1665">
        <v>0</v>
      </c>
      <c r="BX190" s="1665">
        <v>0</v>
      </c>
      <c r="BY190" s="1665">
        <v>0</v>
      </c>
      <c r="BZ190" s="1663"/>
      <c r="CA190" s="1663"/>
      <c r="CB190" s="1668"/>
      <c r="CC190" s="1668"/>
      <c r="CD190" s="1663"/>
      <c r="CE190" s="1663"/>
      <c r="CF190" s="1665">
        <v>0</v>
      </c>
      <c r="CG190" s="1665">
        <v>0</v>
      </c>
      <c r="CH190" s="1665">
        <v>0</v>
      </c>
      <c r="CI190" s="1665">
        <v>0</v>
      </c>
      <c r="CJ190" s="1665">
        <v>0</v>
      </c>
      <c r="CK190" s="1665">
        <v>0</v>
      </c>
      <c r="CL190" s="1668"/>
      <c r="CM190" s="1665">
        <v>0</v>
      </c>
      <c r="CN190" s="1665">
        <v>0</v>
      </c>
      <c r="CO190" s="1665">
        <v>0</v>
      </c>
      <c r="CP190" s="1665">
        <v>0</v>
      </c>
      <c r="CQ190" s="1665">
        <v>0</v>
      </c>
      <c r="CR190" s="1665">
        <v>0</v>
      </c>
      <c r="CS190" s="1665">
        <v>0</v>
      </c>
      <c r="CT190" s="1665">
        <v>0</v>
      </c>
      <c r="CU190" s="1665">
        <v>0</v>
      </c>
      <c r="CV190" s="1665">
        <v>0</v>
      </c>
      <c r="CW190" s="1668"/>
      <c r="CX190" s="1663"/>
      <c r="CY190" s="1663"/>
      <c r="CZ190" s="1663"/>
      <c r="DA190" s="1663"/>
      <c r="DB190" s="1668"/>
      <c r="DC190" s="1662"/>
      <c r="DD190" s="1665">
        <v>0</v>
      </c>
      <c r="DE190" s="1663"/>
      <c r="DF190" s="1663"/>
      <c r="DG190" s="1665">
        <v>0</v>
      </c>
      <c r="DH190" s="1665">
        <v>0</v>
      </c>
    </row>
    <row r="191" spans="1:112" ht="67.5" hidden="1" x14ac:dyDescent="0.25">
      <c r="A191" s="1662" t="s">
        <v>2245</v>
      </c>
      <c r="B191" s="1662" t="s">
        <v>1725</v>
      </c>
      <c r="C191" s="1662" t="s">
        <v>2633</v>
      </c>
      <c r="D191" s="1662" t="s">
        <v>2634</v>
      </c>
      <c r="E191" s="1662" t="s">
        <v>145</v>
      </c>
      <c r="F191" s="1662" t="s">
        <v>2635</v>
      </c>
      <c r="G191" s="1662" t="s">
        <v>2628</v>
      </c>
      <c r="H191" s="1662" t="s">
        <v>2613</v>
      </c>
      <c r="I191" s="1662" t="s">
        <v>721</v>
      </c>
      <c r="J191" s="1662" t="s">
        <v>305</v>
      </c>
      <c r="K191" s="1662" t="s">
        <v>2108</v>
      </c>
      <c r="L191" s="1662" t="s">
        <v>2109</v>
      </c>
      <c r="M191" s="1663"/>
      <c r="N191" s="1663"/>
      <c r="O191" s="1663"/>
      <c r="P191" s="1663"/>
      <c r="Q191" s="1663"/>
      <c r="R191" s="1663"/>
      <c r="S191" s="1663"/>
      <c r="T191" s="1663"/>
      <c r="U191" s="1663"/>
      <c r="V191" s="1663"/>
      <c r="W191" s="1663"/>
      <c r="X191" s="1663"/>
      <c r="Y191" s="1664">
        <v>43300</v>
      </c>
      <c r="Z191" s="1662" t="s">
        <v>2110</v>
      </c>
      <c r="AA191" s="1665">
        <v>0</v>
      </c>
      <c r="AB191" s="1665">
        <v>0</v>
      </c>
      <c r="AC191" s="1680">
        <v>0</v>
      </c>
      <c r="AD191" s="1682">
        <v>43334</v>
      </c>
      <c r="AE191" s="1679" t="s">
        <v>2137</v>
      </c>
      <c r="AF191" s="1662" t="s">
        <v>2112</v>
      </c>
      <c r="AG191" s="1666"/>
      <c r="AH191" s="1667">
        <v>237713.52</v>
      </c>
      <c r="AI191" s="1665">
        <v>237713.52</v>
      </c>
      <c r="AJ191" s="1665">
        <v>219885</v>
      </c>
      <c r="AK191" s="1698">
        <v>202056.49</v>
      </c>
      <c r="AL191" s="1665">
        <v>17828.509999999998</v>
      </c>
      <c r="AM191" s="1664">
        <v>43334</v>
      </c>
      <c r="AN191" s="1665">
        <v>237713.52</v>
      </c>
      <c r="AO191" s="1665">
        <v>237713.52</v>
      </c>
      <c r="AP191" s="1665">
        <v>219885</v>
      </c>
      <c r="AQ191" s="1665">
        <v>202056.49</v>
      </c>
      <c r="AR191" s="1665">
        <v>17828.509999999998</v>
      </c>
      <c r="AS191" s="1665">
        <v>17828.52</v>
      </c>
      <c r="AT191" s="1665">
        <v>0</v>
      </c>
      <c r="AU191" s="1665">
        <v>17828.52</v>
      </c>
      <c r="AV191" s="1665">
        <v>0</v>
      </c>
      <c r="AW191" s="1665">
        <v>0</v>
      </c>
      <c r="AX191" s="1663"/>
      <c r="AY191" s="1663"/>
      <c r="AZ191" s="1663"/>
      <c r="BA191" s="1668"/>
      <c r="BB191" s="1668"/>
      <c r="BC191" s="1663"/>
      <c r="BD191" s="1663"/>
      <c r="BE191" s="1665">
        <v>237713.52</v>
      </c>
      <c r="BF191" s="1665">
        <v>237713.52</v>
      </c>
      <c r="BG191" s="1665">
        <v>219885</v>
      </c>
      <c r="BH191" s="1665">
        <v>202056.49</v>
      </c>
      <c r="BI191" s="1665">
        <v>17828.509999999998</v>
      </c>
      <c r="BJ191" s="1665">
        <v>17828.52</v>
      </c>
      <c r="BK191" s="1665">
        <v>0</v>
      </c>
      <c r="BL191" s="1665">
        <v>17828.52</v>
      </c>
      <c r="BM191" s="1665">
        <v>0</v>
      </c>
      <c r="BN191" s="1665">
        <v>0</v>
      </c>
      <c r="BO191" s="1668"/>
      <c r="BP191" s="1665">
        <v>0</v>
      </c>
      <c r="BQ191" s="1665">
        <v>0</v>
      </c>
      <c r="BR191" s="1665">
        <v>0</v>
      </c>
      <c r="BS191" s="1667">
        <v>0</v>
      </c>
      <c r="BT191" s="1665">
        <v>0</v>
      </c>
      <c r="BU191" s="1665">
        <v>0</v>
      </c>
      <c r="BV191" s="1665">
        <v>0</v>
      </c>
      <c r="BW191" s="1665">
        <v>0</v>
      </c>
      <c r="BX191" s="1665">
        <v>0</v>
      </c>
      <c r="BY191" s="1665">
        <v>0</v>
      </c>
      <c r="BZ191" s="1665">
        <v>0</v>
      </c>
      <c r="CA191" s="1663"/>
      <c r="CB191" s="1668"/>
      <c r="CC191" s="1668"/>
      <c r="CD191" s="1663"/>
      <c r="CE191" s="1663"/>
      <c r="CF191" s="1665">
        <v>0</v>
      </c>
      <c r="CG191" s="1665">
        <v>0</v>
      </c>
      <c r="CH191" s="1665">
        <v>0</v>
      </c>
      <c r="CI191" s="1665">
        <v>0</v>
      </c>
      <c r="CJ191" s="1665">
        <v>0</v>
      </c>
      <c r="CK191" s="1665">
        <v>0</v>
      </c>
      <c r="CL191" s="1668"/>
      <c r="CM191" s="1665">
        <v>0</v>
      </c>
      <c r="CN191" s="1665">
        <v>0</v>
      </c>
      <c r="CO191" s="1665">
        <v>0</v>
      </c>
      <c r="CP191" s="1665">
        <v>0</v>
      </c>
      <c r="CQ191" s="1665">
        <v>0</v>
      </c>
      <c r="CR191" s="1665">
        <v>0</v>
      </c>
      <c r="CS191" s="1665">
        <v>0</v>
      </c>
      <c r="CT191" s="1665">
        <v>0</v>
      </c>
      <c r="CU191" s="1665">
        <v>0</v>
      </c>
      <c r="CV191" s="1665">
        <v>0</v>
      </c>
      <c r="CW191" s="1668"/>
      <c r="CX191" s="1663"/>
      <c r="CY191" s="1663"/>
      <c r="CZ191" s="1663"/>
      <c r="DA191" s="1663"/>
      <c r="DB191" s="1668"/>
      <c r="DC191" s="1662"/>
      <c r="DD191" s="1665">
        <v>0</v>
      </c>
      <c r="DE191" s="1663"/>
      <c r="DF191" s="1663"/>
      <c r="DG191" s="1665">
        <v>0</v>
      </c>
      <c r="DH191" s="1665">
        <v>0</v>
      </c>
    </row>
    <row r="192" spans="1:112" ht="56.25" hidden="1" x14ac:dyDescent="0.25">
      <c r="A192" s="1662" t="s">
        <v>2246</v>
      </c>
      <c r="B192" s="1662" t="s">
        <v>1725</v>
      </c>
      <c r="C192" s="1662" t="s">
        <v>2633</v>
      </c>
      <c r="D192" s="1662" t="s">
        <v>2634</v>
      </c>
      <c r="E192" s="1662" t="s">
        <v>145</v>
      </c>
      <c r="F192" s="1662" t="s">
        <v>2635</v>
      </c>
      <c r="G192" s="1662" t="s">
        <v>2628</v>
      </c>
      <c r="H192" s="1662" t="s">
        <v>2613</v>
      </c>
      <c r="I192" s="1662" t="s">
        <v>822</v>
      </c>
      <c r="J192" s="1662" t="s">
        <v>651</v>
      </c>
      <c r="K192" s="1662" t="s">
        <v>2108</v>
      </c>
      <c r="L192" s="1662" t="s">
        <v>2109</v>
      </c>
      <c r="M192" s="1665">
        <v>757246.01</v>
      </c>
      <c r="N192" s="1665">
        <v>0</v>
      </c>
      <c r="O192" s="1665">
        <v>757246.01</v>
      </c>
      <c r="P192" s="1665">
        <v>757246.01</v>
      </c>
      <c r="Q192" s="1665">
        <v>558856.32999999996</v>
      </c>
      <c r="R192" s="1665">
        <v>513543.65</v>
      </c>
      <c r="S192" s="1665">
        <v>45312.68</v>
      </c>
      <c r="T192" s="1665">
        <v>198389.68</v>
      </c>
      <c r="U192" s="1665">
        <v>0</v>
      </c>
      <c r="V192" s="1665">
        <v>198389.68</v>
      </c>
      <c r="W192" s="1665">
        <v>0</v>
      </c>
      <c r="X192" s="1665">
        <v>0</v>
      </c>
      <c r="Y192" s="1668"/>
      <c r="Z192" s="1662"/>
      <c r="AA192" s="1665">
        <v>0</v>
      </c>
      <c r="AB192" s="1665">
        <v>0</v>
      </c>
      <c r="AC192" s="1680">
        <v>0</v>
      </c>
      <c r="AD192" s="1681"/>
      <c r="AE192" s="1679"/>
      <c r="AF192" s="1662"/>
      <c r="AG192" s="1666"/>
      <c r="AH192" s="1667">
        <v>24195.85</v>
      </c>
      <c r="AI192" s="1665">
        <v>24195.85</v>
      </c>
      <c r="AJ192" s="1665">
        <v>17856.82</v>
      </c>
      <c r="AK192" s="1698">
        <v>16408.97</v>
      </c>
      <c r="AL192" s="1665">
        <v>1447.85</v>
      </c>
      <c r="AM192" s="1668"/>
      <c r="AN192" s="1665">
        <v>24195.85</v>
      </c>
      <c r="AO192" s="1665">
        <v>24195.85</v>
      </c>
      <c r="AP192" s="1665">
        <v>17856.82</v>
      </c>
      <c r="AQ192" s="1665">
        <v>16408.97</v>
      </c>
      <c r="AR192" s="1665">
        <v>1447.85</v>
      </c>
      <c r="AS192" s="1665">
        <v>6339.03</v>
      </c>
      <c r="AT192" s="1665">
        <v>0</v>
      </c>
      <c r="AU192" s="1665">
        <v>6339.03</v>
      </c>
      <c r="AV192" s="1665">
        <v>0</v>
      </c>
      <c r="AW192" s="1665">
        <v>0</v>
      </c>
      <c r="AX192" s="1665">
        <v>0</v>
      </c>
      <c r="AY192" s="1665">
        <v>0</v>
      </c>
      <c r="AZ192" s="1665">
        <v>0</v>
      </c>
      <c r="BA192" s="1668"/>
      <c r="BB192" s="1668"/>
      <c r="BC192" s="1665">
        <v>0</v>
      </c>
      <c r="BD192" s="1665">
        <v>0</v>
      </c>
      <c r="BE192" s="1665">
        <v>24195.85</v>
      </c>
      <c r="BF192" s="1665">
        <v>24195.85</v>
      </c>
      <c r="BG192" s="1665">
        <v>17856.82</v>
      </c>
      <c r="BH192" s="1665">
        <v>16408.97</v>
      </c>
      <c r="BI192" s="1665">
        <v>1447.85</v>
      </c>
      <c r="BJ192" s="1665">
        <v>6339.03</v>
      </c>
      <c r="BK192" s="1665">
        <v>0</v>
      </c>
      <c r="BL192" s="1665">
        <v>6339.03</v>
      </c>
      <c r="BM192" s="1665">
        <v>0</v>
      </c>
      <c r="BN192" s="1665">
        <v>0</v>
      </c>
      <c r="BO192" s="1668"/>
      <c r="BP192" s="1665">
        <v>5110.8599999999997</v>
      </c>
      <c r="BQ192" s="1665">
        <v>5110.8599999999997</v>
      </c>
      <c r="BR192" s="1665">
        <v>3771.88</v>
      </c>
      <c r="BS192" s="1667">
        <v>3466.05</v>
      </c>
      <c r="BT192" s="1665">
        <v>305.83</v>
      </c>
      <c r="BU192" s="1665">
        <v>1338.98</v>
      </c>
      <c r="BV192" s="1665">
        <v>0</v>
      </c>
      <c r="BW192" s="1665">
        <v>0</v>
      </c>
      <c r="BX192" s="1665">
        <v>0</v>
      </c>
      <c r="BY192" s="1665">
        <v>0</v>
      </c>
      <c r="BZ192" s="1665">
        <v>0</v>
      </c>
      <c r="CA192" s="1665">
        <v>0</v>
      </c>
      <c r="CB192" s="1668"/>
      <c r="CC192" s="1668"/>
      <c r="CD192" s="1665">
        <v>0</v>
      </c>
      <c r="CE192" s="1665">
        <v>0</v>
      </c>
      <c r="CF192" s="1665">
        <v>0</v>
      </c>
      <c r="CG192" s="1665">
        <v>0</v>
      </c>
      <c r="CH192" s="1665">
        <v>0</v>
      </c>
      <c r="CI192" s="1665">
        <v>0</v>
      </c>
      <c r="CJ192" s="1665">
        <v>51.1</v>
      </c>
      <c r="CK192" s="1665">
        <v>51.1</v>
      </c>
      <c r="CL192" s="1668"/>
      <c r="CM192" s="1665">
        <v>0</v>
      </c>
      <c r="CN192" s="1665">
        <v>0</v>
      </c>
      <c r="CO192" s="1665">
        <v>0</v>
      </c>
      <c r="CP192" s="1665">
        <v>0</v>
      </c>
      <c r="CQ192" s="1665">
        <v>0</v>
      </c>
      <c r="CR192" s="1665">
        <v>0</v>
      </c>
      <c r="CS192" s="1665">
        <v>0</v>
      </c>
      <c r="CT192" s="1665">
        <v>0</v>
      </c>
      <c r="CU192" s="1665">
        <v>0</v>
      </c>
      <c r="CV192" s="1665">
        <v>0</v>
      </c>
      <c r="CW192" s="1668"/>
      <c r="CX192" s="1665">
        <v>0</v>
      </c>
      <c r="CY192" s="1665">
        <v>0</v>
      </c>
      <c r="CZ192" s="1665">
        <v>0</v>
      </c>
      <c r="DA192" s="1665">
        <v>0</v>
      </c>
      <c r="DB192" s="1668"/>
      <c r="DC192" s="1662"/>
      <c r="DD192" s="1665">
        <v>0</v>
      </c>
      <c r="DE192" s="1665">
        <v>0</v>
      </c>
      <c r="DF192" s="1665">
        <v>0</v>
      </c>
      <c r="DG192" s="1665">
        <v>0</v>
      </c>
      <c r="DH192" s="1665">
        <v>0</v>
      </c>
    </row>
    <row r="193" spans="1:112" ht="56.25" hidden="1" x14ac:dyDescent="0.25">
      <c r="A193" s="1662" t="s">
        <v>2247</v>
      </c>
      <c r="B193" s="1662" t="s">
        <v>1725</v>
      </c>
      <c r="C193" s="1662" t="s">
        <v>2633</v>
      </c>
      <c r="D193" s="1662" t="s">
        <v>2634</v>
      </c>
      <c r="E193" s="1662" t="s">
        <v>145</v>
      </c>
      <c r="F193" s="1662" t="s">
        <v>2635</v>
      </c>
      <c r="G193" s="1662" t="s">
        <v>2628</v>
      </c>
      <c r="H193" s="1662" t="s">
        <v>2613</v>
      </c>
      <c r="I193" s="1662" t="s">
        <v>822</v>
      </c>
      <c r="J193" s="1662" t="s">
        <v>651</v>
      </c>
      <c r="K193" s="1662" t="s">
        <v>2108</v>
      </c>
      <c r="L193" s="1662" t="s">
        <v>2109</v>
      </c>
      <c r="M193" s="1663"/>
      <c r="N193" s="1663"/>
      <c r="O193" s="1663"/>
      <c r="P193" s="1663"/>
      <c r="Q193" s="1663"/>
      <c r="R193" s="1663"/>
      <c r="S193" s="1663"/>
      <c r="T193" s="1663"/>
      <c r="U193" s="1663"/>
      <c r="V193" s="1663"/>
      <c r="W193" s="1663"/>
      <c r="X193" s="1663"/>
      <c r="Y193" s="1664">
        <v>43185</v>
      </c>
      <c r="Z193" s="1662" t="s">
        <v>2110</v>
      </c>
      <c r="AA193" s="1665">
        <v>0</v>
      </c>
      <c r="AB193" s="1665">
        <v>0</v>
      </c>
      <c r="AC193" s="1680">
        <v>0</v>
      </c>
      <c r="AD193" s="1682">
        <v>43228</v>
      </c>
      <c r="AE193" s="1679" t="s">
        <v>2122</v>
      </c>
      <c r="AF193" s="1662" t="s">
        <v>2112</v>
      </c>
      <c r="AG193" s="1666"/>
      <c r="AH193" s="1667">
        <v>5110.8599999999997</v>
      </c>
      <c r="AI193" s="1665">
        <v>5110.8599999999997</v>
      </c>
      <c r="AJ193" s="1665">
        <v>3771.88</v>
      </c>
      <c r="AK193" s="1698">
        <v>3466.05</v>
      </c>
      <c r="AL193" s="1665">
        <v>305.83</v>
      </c>
      <c r="AM193" s="1664">
        <v>43228</v>
      </c>
      <c r="AN193" s="1665">
        <v>5110.8599999999997</v>
      </c>
      <c r="AO193" s="1665">
        <v>5110.8599999999997</v>
      </c>
      <c r="AP193" s="1665">
        <v>3771.88</v>
      </c>
      <c r="AQ193" s="1665">
        <v>3466.05</v>
      </c>
      <c r="AR193" s="1665">
        <v>305.83</v>
      </c>
      <c r="AS193" s="1665">
        <v>1338.98</v>
      </c>
      <c r="AT193" s="1665">
        <v>0</v>
      </c>
      <c r="AU193" s="1665">
        <v>1338.98</v>
      </c>
      <c r="AV193" s="1665">
        <v>0</v>
      </c>
      <c r="AW193" s="1665">
        <v>0</v>
      </c>
      <c r="AX193" s="1663"/>
      <c r="AY193" s="1663"/>
      <c r="AZ193" s="1663"/>
      <c r="BA193" s="1668"/>
      <c r="BB193" s="1668"/>
      <c r="BC193" s="1663"/>
      <c r="BD193" s="1663"/>
      <c r="BE193" s="1665">
        <v>5110.8599999999997</v>
      </c>
      <c r="BF193" s="1665">
        <v>5110.8599999999997</v>
      </c>
      <c r="BG193" s="1665">
        <v>3771.88</v>
      </c>
      <c r="BH193" s="1665">
        <v>3466.05</v>
      </c>
      <c r="BI193" s="1665">
        <v>305.83</v>
      </c>
      <c r="BJ193" s="1665">
        <v>1338.98</v>
      </c>
      <c r="BK193" s="1665">
        <v>0</v>
      </c>
      <c r="BL193" s="1665">
        <v>1338.98</v>
      </c>
      <c r="BM193" s="1665">
        <v>0</v>
      </c>
      <c r="BN193" s="1665">
        <v>0</v>
      </c>
      <c r="BO193" s="1664">
        <v>43364</v>
      </c>
      <c r="BP193" s="1665">
        <v>5110.8599999999997</v>
      </c>
      <c r="BQ193" s="1665">
        <v>5110.8599999999997</v>
      </c>
      <c r="BR193" s="1665">
        <v>3771.88</v>
      </c>
      <c r="BS193" s="1667">
        <v>3466.05</v>
      </c>
      <c r="BT193" s="1665">
        <v>305.83</v>
      </c>
      <c r="BU193" s="1665">
        <v>1338.98</v>
      </c>
      <c r="BV193" s="1665">
        <v>0</v>
      </c>
      <c r="BW193" s="1665">
        <v>0</v>
      </c>
      <c r="BX193" s="1665">
        <v>0</v>
      </c>
      <c r="BY193" s="1665">
        <v>0</v>
      </c>
      <c r="BZ193" s="1665">
        <v>0</v>
      </c>
      <c r="CA193" s="1663"/>
      <c r="CB193" s="1668"/>
      <c r="CC193" s="1668"/>
      <c r="CD193" s="1663"/>
      <c r="CE193" s="1663"/>
      <c r="CF193" s="1665">
        <v>0</v>
      </c>
      <c r="CG193" s="1665">
        <v>0</v>
      </c>
      <c r="CH193" s="1665">
        <v>0</v>
      </c>
      <c r="CI193" s="1665">
        <v>0</v>
      </c>
      <c r="CJ193" s="1665">
        <v>51.1</v>
      </c>
      <c r="CK193" s="1665">
        <v>51.1</v>
      </c>
      <c r="CL193" s="1668"/>
      <c r="CM193" s="1665">
        <v>0</v>
      </c>
      <c r="CN193" s="1665">
        <v>0</v>
      </c>
      <c r="CO193" s="1665">
        <v>0</v>
      </c>
      <c r="CP193" s="1665">
        <v>0</v>
      </c>
      <c r="CQ193" s="1665">
        <v>0</v>
      </c>
      <c r="CR193" s="1665">
        <v>0</v>
      </c>
      <c r="CS193" s="1665">
        <v>0</v>
      </c>
      <c r="CT193" s="1665">
        <v>0</v>
      </c>
      <c r="CU193" s="1665">
        <v>0</v>
      </c>
      <c r="CV193" s="1665">
        <v>0</v>
      </c>
      <c r="CW193" s="1668"/>
      <c r="CX193" s="1663"/>
      <c r="CY193" s="1663"/>
      <c r="CZ193" s="1663"/>
      <c r="DA193" s="1663"/>
      <c r="DB193" s="1668"/>
      <c r="DC193" s="1662"/>
      <c r="DD193" s="1665">
        <v>0</v>
      </c>
      <c r="DE193" s="1663"/>
      <c r="DF193" s="1663"/>
      <c r="DG193" s="1665">
        <v>0</v>
      </c>
      <c r="DH193" s="1665">
        <v>0</v>
      </c>
    </row>
    <row r="194" spans="1:112" ht="56.25" hidden="1" x14ac:dyDescent="0.25">
      <c r="A194" s="1662" t="s">
        <v>2248</v>
      </c>
      <c r="B194" s="1662" t="s">
        <v>1725</v>
      </c>
      <c r="C194" s="1662" t="s">
        <v>2633</v>
      </c>
      <c r="D194" s="1662" t="s">
        <v>2634</v>
      </c>
      <c r="E194" s="1662" t="s">
        <v>145</v>
      </c>
      <c r="F194" s="1662" t="s">
        <v>2635</v>
      </c>
      <c r="G194" s="1662" t="s">
        <v>2628</v>
      </c>
      <c r="H194" s="1662" t="s">
        <v>2613</v>
      </c>
      <c r="I194" s="1662" t="s">
        <v>822</v>
      </c>
      <c r="J194" s="1662" t="s">
        <v>651</v>
      </c>
      <c r="K194" s="1662" t="s">
        <v>2108</v>
      </c>
      <c r="L194" s="1662" t="s">
        <v>2109</v>
      </c>
      <c r="M194" s="1663"/>
      <c r="N194" s="1663"/>
      <c r="O194" s="1663"/>
      <c r="P194" s="1663"/>
      <c r="Q194" s="1663"/>
      <c r="R194" s="1663"/>
      <c r="S194" s="1663"/>
      <c r="T194" s="1663"/>
      <c r="U194" s="1663"/>
      <c r="V194" s="1663"/>
      <c r="W194" s="1663"/>
      <c r="X194" s="1663"/>
      <c r="Y194" s="1664">
        <v>43363</v>
      </c>
      <c r="Z194" s="1662" t="s">
        <v>2110</v>
      </c>
      <c r="AA194" s="1665">
        <v>0</v>
      </c>
      <c r="AB194" s="1665">
        <v>0</v>
      </c>
      <c r="AC194" s="1680">
        <v>0</v>
      </c>
      <c r="AD194" s="1682">
        <v>43388</v>
      </c>
      <c r="AE194" s="1679" t="s">
        <v>2114</v>
      </c>
      <c r="AF194" s="1662" t="s">
        <v>2112</v>
      </c>
      <c r="AG194" s="1666"/>
      <c r="AH194" s="1667">
        <v>19084.990000000002</v>
      </c>
      <c r="AI194" s="1665">
        <v>19084.990000000002</v>
      </c>
      <c r="AJ194" s="1665">
        <v>14084.94</v>
      </c>
      <c r="AK194" s="1698">
        <v>12942.92</v>
      </c>
      <c r="AL194" s="1665">
        <v>1142.02</v>
      </c>
      <c r="AM194" s="1664">
        <v>43388</v>
      </c>
      <c r="AN194" s="1665">
        <v>19084.990000000002</v>
      </c>
      <c r="AO194" s="1665">
        <v>19084.990000000002</v>
      </c>
      <c r="AP194" s="1665">
        <v>14084.94</v>
      </c>
      <c r="AQ194" s="1665">
        <v>12942.92</v>
      </c>
      <c r="AR194" s="1665">
        <v>1142.02</v>
      </c>
      <c r="AS194" s="1665">
        <v>5000.05</v>
      </c>
      <c r="AT194" s="1665">
        <v>0</v>
      </c>
      <c r="AU194" s="1665">
        <v>5000.05</v>
      </c>
      <c r="AV194" s="1665">
        <v>0</v>
      </c>
      <c r="AW194" s="1665">
        <v>0</v>
      </c>
      <c r="AX194" s="1663"/>
      <c r="AY194" s="1663"/>
      <c r="AZ194" s="1663"/>
      <c r="BA194" s="1668"/>
      <c r="BB194" s="1668"/>
      <c r="BC194" s="1663"/>
      <c r="BD194" s="1663"/>
      <c r="BE194" s="1665">
        <v>19084.990000000002</v>
      </c>
      <c r="BF194" s="1665">
        <v>19084.990000000002</v>
      </c>
      <c r="BG194" s="1665">
        <v>14084.94</v>
      </c>
      <c r="BH194" s="1665">
        <v>12942.92</v>
      </c>
      <c r="BI194" s="1665">
        <v>1142.02</v>
      </c>
      <c r="BJ194" s="1665">
        <v>5000.05</v>
      </c>
      <c r="BK194" s="1665">
        <v>0</v>
      </c>
      <c r="BL194" s="1665">
        <v>5000.05</v>
      </c>
      <c r="BM194" s="1665">
        <v>0</v>
      </c>
      <c r="BN194" s="1665">
        <v>0</v>
      </c>
      <c r="BO194" s="1668"/>
      <c r="BP194" s="1665">
        <v>0</v>
      </c>
      <c r="BQ194" s="1665">
        <v>0</v>
      </c>
      <c r="BR194" s="1665">
        <v>0</v>
      </c>
      <c r="BS194" s="1667">
        <v>0</v>
      </c>
      <c r="BT194" s="1665">
        <v>0</v>
      </c>
      <c r="BU194" s="1665">
        <v>0</v>
      </c>
      <c r="BV194" s="1665">
        <v>0</v>
      </c>
      <c r="BW194" s="1665">
        <v>0</v>
      </c>
      <c r="BX194" s="1665">
        <v>0</v>
      </c>
      <c r="BY194" s="1665">
        <v>0</v>
      </c>
      <c r="BZ194" s="1663"/>
      <c r="CA194" s="1663"/>
      <c r="CB194" s="1668"/>
      <c r="CC194" s="1668"/>
      <c r="CD194" s="1663"/>
      <c r="CE194" s="1663"/>
      <c r="CF194" s="1665">
        <v>0</v>
      </c>
      <c r="CG194" s="1665">
        <v>0</v>
      </c>
      <c r="CH194" s="1665">
        <v>0</v>
      </c>
      <c r="CI194" s="1665">
        <v>0</v>
      </c>
      <c r="CJ194" s="1665">
        <v>0</v>
      </c>
      <c r="CK194" s="1665">
        <v>0</v>
      </c>
      <c r="CL194" s="1668"/>
      <c r="CM194" s="1665">
        <v>0</v>
      </c>
      <c r="CN194" s="1665">
        <v>0</v>
      </c>
      <c r="CO194" s="1665">
        <v>0</v>
      </c>
      <c r="CP194" s="1665">
        <v>0</v>
      </c>
      <c r="CQ194" s="1665">
        <v>0</v>
      </c>
      <c r="CR194" s="1665">
        <v>0</v>
      </c>
      <c r="CS194" s="1665">
        <v>0</v>
      </c>
      <c r="CT194" s="1665">
        <v>0</v>
      </c>
      <c r="CU194" s="1665">
        <v>0</v>
      </c>
      <c r="CV194" s="1665">
        <v>0</v>
      </c>
      <c r="CW194" s="1668"/>
      <c r="CX194" s="1663"/>
      <c r="CY194" s="1663"/>
      <c r="CZ194" s="1663"/>
      <c r="DA194" s="1663"/>
      <c r="DB194" s="1668"/>
      <c r="DC194" s="1662"/>
      <c r="DD194" s="1665">
        <v>0</v>
      </c>
      <c r="DE194" s="1663"/>
      <c r="DF194" s="1663"/>
      <c r="DG194" s="1665">
        <v>0</v>
      </c>
      <c r="DH194" s="1665">
        <v>0</v>
      </c>
    </row>
    <row r="195" spans="1:112" ht="22.5" hidden="1" x14ac:dyDescent="0.25">
      <c r="A195" s="1662" t="s">
        <v>2249</v>
      </c>
      <c r="B195" s="1662" t="s">
        <v>1725</v>
      </c>
      <c r="C195" s="1662" t="s">
        <v>2633</v>
      </c>
      <c r="D195" s="1662" t="s">
        <v>2634</v>
      </c>
      <c r="E195" s="1662" t="s">
        <v>268</v>
      </c>
      <c r="F195" s="1662"/>
      <c r="G195" s="1662"/>
      <c r="H195" s="1662"/>
      <c r="I195" s="1662"/>
      <c r="J195" s="1662"/>
      <c r="K195" s="1662"/>
      <c r="L195" s="1662"/>
      <c r="M195" s="1665">
        <v>818291</v>
      </c>
      <c r="N195" s="1665">
        <v>0</v>
      </c>
      <c r="O195" s="1665">
        <v>818291</v>
      </c>
      <c r="P195" s="1665">
        <v>818291</v>
      </c>
      <c r="Q195" s="1665">
        <v>626262.97</v>
      </c>
      <c r="R195" s="1665">
        <v>575484.89</v>
      </c>
      <c r="S195" s="1665">
        <v>50778.080000000002</v>
      </c>
      <c r="T195" s="1665">
        <v>192028.03</v>
      </c>
      <c r="U195" s="1665">
        <v>0</v>
      </c>
      <c r="V195" s="1665">
        <v>192028.03</v>
      </c>
      <c r="W195" s="1665">
        <v>0</v>
      </c>
      <c r="X195" s="1665">
        <v>0</v>
      </c>
      <c r="Y195" s="1668"/>
      <c r="Z195" s="1662"/>
      <c r="AA195" s="1665">
        <v>0</v>
      </c>
      <c r="AB195" s="1665">
        <v>0</v>
      </c>
      <c r="AC195" s="1680">
        <v>0</v>
      </c>
      <c r="AD195" s="1681"/>
      <c r="AE195" s="1679"/>
      <c r="AF195" s="1662"/>
      <c r="AG195" s="1666"/>
      <c r="AH195" s="1667">
        <v>530665.38</v>
      </c>
      <c r="AI195" s="1665">
        <v>530665.38</v>
      </c>
      <c r="AJ195" s="1665">
        <v>438417.75</v>
      </c>
      <c r="AK195" s="1698">
        <v>402870.37</v>
      </c>
      <c r="AL195" s="1665">
        <v>35547.379999999997</v>
      </c>
      <c r="AM195" s="1668"/>
      <c r="AN195" s="1665">
        <v>342786.49</v>
      </c>
      <c r="AO195" s="1665">
        <v>342786.49</v>
      </c>
      <c r="AP195" s="1665">
        <v>250538.86</v>
      </c>
      <c r="AQ195" s="1665">
        <v>230224.91</v>
      </c>
      <c r="AR195" s="1665">
        <v>20313.95</v>
      </c>
      <c r="AS195" s="1665">
        <v>92247.63</v>
      </c>
      <c r="AT195" s="1665">
        <v>0</v>
      </c>
      <c r="AU195" s="1665">
        <v>92247.63</v>
      </c>
      <c r="AV195" s="1665">
        <v>0</v>
      </c>
      <c r="AW195" s="1665">
        <v>0</v>
      </c>
      <c r="AX195" s="1665">
        <v>0</v>
      </c>
      <c r="AY195" s="1665">
        <v>0</v>
      </c>
      <c r="AZ195" s="1665">
        <v>0</v>
      </c>
      <c r="BA195" s="1668"/>
      <c r="BB195" s="1668"/>
      <c r="BC195" s="1665">
        <v>0</v>
      </c>
      <c r="BD195" s="1665">
        <v>0</v>
      </c>
      <c r="BE195" s="1665">
        <v>342786.49</v>
      </c>
      <c r="BF195" s="1665">
        <v>342786.49</v>
      </c>
      <c r="BG195" s="1665">
        <v>250538.86</v>
      </c>
      <c r="BH195" s="1665">
        <v>230224.91</v>
      </c>
      <c r="BI195" s="1665">
        <v>20313.95</v>
      </c>
      <c r="BJ195" s="1665">
        <v>92247.63</v>
      </c>
      <c r="BK195" s="1665">
        <v>0</v>
      </c>
      <c r="BL195" s="1665">
        <v>92247.63</v>
      </c>
      <c r="BM195" s="1665">
        <v>0</v>
      </c>
      <c r="BN195" s="1665">
        <v>0</v>
      </c>
      <c r="BO195" s="1668"/>
      <c r="BP195" s="1665">
        <v>235380</v>
      </c>
      <c r="BQ195" s="1665">
        <v>235380</v>
      </c>
      <c r="BR195" s="1665">
        <v>180745.14</v>
      </c>
      <c r="BS195" s="1667">
        <v>166090.14000000001</v>
      </c>
      <c r="BT195" s="1665">
        <v>14655</v>
      </c>
      <c r="BU195" s="1665">
        <v>54634.86</v>
      </c>
      <c r="BV195" s="1665">
        <v>0</v>
      </c>
      <c r="BW195" s="1665">
        <v>362.04</v>
      </c>
      <c r="BX195" s="1665">
        <v>0</v>
      </c>
      <c r="BY195" s="1665">
        <v>0</v>
      </c>
      <c r="BZ195" s="1665">
        <v>0</v>
      </c>
      <c r="CA195" s="1665">
        <v>0</v>
      </c>
      <c r="CB195" s="1668"/>
      <c r="CC195" s="1668"/>
      <c r="CD195" s="1665">
        <v>4827.1099999999997</v>
      </c>
      <c r="CE195" s="1665">
        <v>4827.1099999999997</v>
      </c>
      <c r="CF195" s="1665">
        <v>0</v>
      </c>
      <c r="CG195" s="1665">
        <v>0</v>
      </c>
      <c r="CH195" s="1665">
        <v>0</v>
      </c>
      <c r="CI195" s="1665">
        <v>0</v>
      </c>
      <c r="CJ195" s="1665">
        <v>1084.54</v>
      </c>
      <c r="CK195" s="1665">
        <v>1084.54</v>
      </c>
      <c r="CL195" s="1668"/>
      <c r="CM195" s="1665">
        <v>4827.1099999999997</v>
      </c>
      <c r="CN195" s="1665">
        <v>4827.1099999999997</v>
      </c>
      <c r="CO195" s="1665">
        <v>4465.07</v>
      </c>
      <c r="CP195" s="1665">
        <v>4103.04</v>
      </c>
      <c r="CQ195" s="1665">
        <v>362.03</v>
      </c>
      <c r="CR195" s="1665">
        <v>362.04</v>
      </c>
      <c r="CS195" s="1665">
        <v>0</v>
      </c>
      <c r="CT195" s="1665">
        <v>362.04</v>
      </c>
      <c r="CU195" s="1665">
        <v>0</v>
      </c>
      <c r="CV195" s="1665">
        <v>0</v>
      </c>
      <c r="CW195" s="1668"/>
      <c r="CX195" s="1665">
        <v>-4827.1099999999997</v>
      </c>
      <c r="CY195" s="1665">
        <v>-4827.1099999999997</v>
      </c>
      <c r="CZ195" s="1665">
        <v>0</v>
      </c>
      <c r="DA195" s="1665">
        <v>0</v>
      </c>
      <c r="DB195" s="1668"/>
      <c r="DC195" s="1662"/>
      <c r="DD195" s="1665">
        <v>0</v>
      </c>
      <c r="DE195" s="1665">
        <v>0</v>
      </c>
      <c r="DF195" s="1665">
        <v>0</v>
      </c>
      <c r="DG195" s="1665">
        <v>0</v>
      </c>
      <c r="DH195" s="1665">
        <v>0</v>
      </c>
    </row>
    <row r="196" spans="1:112" ht="45" hidden="1" x14ac:dyDescent="0.25">
      <c r="A196" s="1662" t="s">
        <v>2250</v>
      </c>
      <c r="B196" s="1662" t="s">
        <v>1725</v>
      </c>
      <c r="C196" s="1662" t="s">
        <v>2633</v>
      </c>
      <c r="D196" s="1662" t="s">
        <v>2634</v>
      </c>
      <c r="E196" s="1662" t="s">
        <v>268</v>
      </c>
      <c r="F196" s="1662" t="s">
        <v>2635</v>
      </c>
      <c r="G196" s="1662" t="s">
        <v>2628</v>
      </c>
      <c r="H196" s="1662" t="s">
        <v>2613</v>
      </c>
      <c r="I196" s="1662" t="s">
        <v>722</v>
      </c>
      <c r="J196" s="1662" t="s">
        <v>160</v>
      </c>
      <c r="K196" s="1662" t="s">
        <v>2159</v>
      </c>
      <c r="L196" s="1662" t="s">
        <v>2109</v>
      </c>
      <c r="M196" s="1665">
        <v>474784</v>
      </c>
      <c r="N196" s="1665">
        <v>0</v>
      </c>
      <c r="O196" s="1665">
        <v>474784</v>
      </c>
      <c r="P196" s="1665">
        <v>474784</v>
      </c>
      <c r="Q196" s="1665">
        <v>308519</v>
      </c>
      <c r="R196" s="1665">
        <v>283503.94</v>
      </c>
      <c r="S196" s="1665">
        <v>25015.06</v>
      </c>
      <c r="T196" s="1665">
        <v>166265</v>
      </c>
      <c r="U196" s="1665">
        <v>0</v>
      </c>
      <c r="V196" s="1665">
        <v>166265</v>
      </c>
      <c r="W196" s="1665">
        <v>0</v>
      </c>
      <c r="X196" s="1665">
        <v>0</v>
      </c>
      <c r="Y196" s="1668"/>
      <c r="Z196" s="1662"/>
      <c r="AA196" s="1665">
        <v>0</v>
      </c>
      <c r="AB196" s="1665">
        <v>0</v>
      </c>
      <c r="AC196" s="1680">
        <v>0</v>
      </c>
      <c r="AD196" s="1681"/>
      <c r="AE196" s="1679"/>
      <c r="AF196" s="1662"/>
      <c r="AG196" s="1666"/>
      <c r="AH196" s="1667">
        <v>334346.58</v>
      </c>
      <c r="AI196" s="1665">
        <v>334346.58</v>
      </c>
      <c r="AJ196" s="1665">
        <v>249673.63</v>
      </c>
      <c r="AK196" s="1698">
        <v>229429.82</v>
      </c>
      <c r="AL196" s="1665">
        <v>20243.810000000001</v>
      </c>
      <c r="AM196" s="1668"/>
      <c r="AN196" s="1665">
        <v>241790.88</v>
      </c>
      <c r="AO196" s="1665">
        <v>241790.88</v>
      </c>
      <c r="AP196" s="1665">
        <v>157117.93</v>
      </c>
      <c r="AQ196" s="1665">
        <v>144378.64000000001</v>
      </c>
      <c r="AR196" s="1665">
        <v>12739.29</v>
      </c>
      <c r="AS196" s="1665">
        <v>84672.95</v>
      </c>
      <c r="AT196" s="1665">
        <v>0</v>
      </c>
      <c r="AU196" s="1665">
        <v>84672.95</v>
      </c>
      <c r="AV196" s="1665">
        <v>0</v>
      </c>
      <c r="AW196" s="1665">
        <v>0</v>
      </c>
      <c r="AX196" s="1665">
        <v>0</v>
      </c>
      <c r="AY196" s="1665">
        <v>0</v>
      </c>
      <c r="AZ196" s="1665">
        <v>0</v>
      </c>
      <c r="BA196" s="1668"/>
      <c r="BB196" s="1668"/>
      <c r="BC196" s="1665">
        <v>0</v>
      </c>
      <c r="BD196" s="1665">
        <v>0</v>
      </c>
      <c r="BE196" s="1665">
        <v>241790.88</v>
      </c>
      <c r="BF196" s="1665">
        <v>241790.88</v>
      </c>
      <c r="BG196" s="1665">
        <v>157117.93</v>
      </c>
      <c r="BH196" s="1665">
        <v>144378.64000000001</v>
      </c>
      <c r="BI196" s="1665">
        <v>12739.29</v>
      </c>
      <c r="BJ196" s="1665">
        <v>84672.95</v>
      </c>
      <c r="BK196" s="1665">
        <v>0</v>
      </c>
      <c r="BL196" s="1665">
        <v>84672.95</v>
      </c>
      <c r="BM196" s="1665">
        <v>0</v>
      </c>
      <c r="BN196" s="1665">
        <v>0</v>
      </c>
      <c r="BO196" s="1668"/>
      <c r="BP196" s="1665">
        <v>134384.39000000001</v>
      </c>
      <c r="BQ196" s="1665">
        <v>134384.39000000001</v>
      </c>
      <c r="BR196" s="1665">
        <v>87324.21</v>
      </c>
      <c r="BS196" s="1667">
        <v>80243.87</v>
      </c>
      <c r="BT196" s="1665">
        <v>7080.34</v>
      </c>
      <c r="BU196" s="1665">
        <v>47060.18</v>
      </c>
      <c r="BV196" s="1665">
        <v>0</v>
      </c>
      <c r="BW196" s="1665">
        <v>0</v>
      </c>
      <c r="BX196" s="1665">
        <v>0</v>
      </c>
      <c r="BY196" s="1665">
        <v>0</v>
      </c>
      <c r="BZ196" s="1665">
        <v>0</v>
      </c>
      <c r="CA196" s="1665">
        <v>0</v>
      </c>
      <c r="CB196" s="1668"/>
      <c r="CC196" s="1668"/>
      <c r="CD196" s="1665">
        <v>0</v>
      </c>
      <c r="CE196" s="1665">
        <v>0</v>
      </c>
      <c r="CF196" s="1665">
        <v>0</v>
      </c>
      <c r="CG196" s="1665">
        <v>0</v>
      </c>
      <c r="CH196" s="1665">
        <v>0</v>
      </c>
      <c r="CI196" s="1665">
        <v>0</v>
      </c>
      <c r="CJ196" s="1665">
        <v>0</v>
      </c>
      <c r="CK196" s="1665">
        <v>0</v>
      </c>
      <c r="CL196" s="1668"/>
      <c r="CM196" s="1665">
        <v>0</v>
      </c>
      <c r="CN196" s="1665">
        <v>0</v>
      </c>
      <c r="CO196" s="1665">
        <v>0</v>
      </c>
      <c r="CP196" s="1665">
        <v>0</v>
      </c>
      <c r="CQ196" s="1665">
        <v>0</v>
      </c>
      <c r="CR196" s="1665">
        <v>0</v>
      </c>
      <c r="CS196" s="1665">
        <v>0</v>
      </c>
      <c r="CT196" s="1665">
        <v>0</v>
      </c>
      <c r="CU196" s="1665">
        <v>0</v>
      </c>
      <c r="CV196" s="1665">
        <v>0</v>
      </c>
      <c r="CW196" s="1668"/>
      <c r="CX196" s="1665">
        <v>0</v>
      </c>
      <c r="CY196" s="1665">
        <v>0</v>
      </c>
      <c r="CZ196" s="1665">
        <v>0</v>
      </c>
      <c r="DA196" s="1665">
        <v>0</v>
      </c>
      <c r="DB196" s="1668"/>
      <c r="DC196" s="1662"/>
      <c r="DD196" s="1665">
        <v>0</v>
      </c>
      <c r="DE196" s="1665">
        <v>0</v>
      </c>
      <c r="DF196" s="1665">
        <v>0</v>
      </c>
      <c r="DG196" s="1665">
        <v>0</v>
      </c>
      <c r="DH196" s="1665">
        <v>0</v>
      </c>
    </row>
    <row r="197" spans="1:112" ht="45" hidden="1" x14ac:dyDescent="0.25">
      <c r="A197" s="1662" t="s">
        <v>2251</v>
      </c>
      <c r="B197" s="1662" t="s">
        <v>1725</v>
      </c>
      <c r="C197" s="1662" t="s">
        <v>2633</v>
      </c>
      <c r="D197" s="1662" t="s">
        <v>2634</v>
      </c>
      <c r="E197" s="1662" t="s">
        <v>268</v>
      </c>
      <c r="F197" s="1662" t="s">
        <v>2635</v>
      </c>
      <c r="G197" s="1662" t="s">
        <v>2628</v>
      </c>
      <c r="H197" s="1662" t="s">
        <v>2613</v>
      </c>
      <c r="I197" s="1662" t="s">
        <v>722</v>
      </c>
      <c r="J197" s="1662" t="s">
        <v>160</v>
      </c>
      <c r="K197" s="1662" t="s">
        <v>2159</v>
      </c>
      <c r="L197" s="1662" t="s">
        <v>2109</v>
      </c>
      <c r="M197" s="1663"/>
      <c r="N197" s="1663"/>
      <c r="O197" s="1663"/>
      <c r="P197" s="1663"/>
      <c r="Q197" s="1663"/>
      <c r="R197" s="1663"/>
      <c r="S197" s="1663"/>
      <c r="T197" s="1663"/>
      <c r="U197" s="1663"/>
      <c r="V197" s="1663"/>
      <c r="W197" s="1663"/>
      <c r="X197" s="1663"/>
      <c r="Y197" s="1664">
        <v>43074</v>
      </c>
      <c r="Z197" s="1662" t="s">
        <v>2110</v>
      </c>
      <c r="AA197" s="1665">
        <v>0</v>
      </c>
      <c r="AB197" s="1665">
        <v>0</v>
      </c>
      <c r="AC197" s="1680">
        <v>0</v>
      </c>
      <c r="AD197" s="1682">
        <v>43116</v>
      </c>
      <c r="AE197" s="1679" t="s">
        <v>2130</v>
      </c>
      <c r="AF197" s="1662" t="s">
        <v>2112</v>
      </c>
      <c r="AG197" s="1666"/>
      <c r="AH197" s="1667">
        <v>62.48</v>
      </c>
      <c r="AI197" s="1665">
        <v>62.48</v>
      </c>
      <c r="AJ197" s="1665">
        <v>40.6</v>
      </c>
      <c r="AK197" s="1698">
        <v>37.31</v>
      </c>
      <c r="AL197" s="1665">
        <v>3.29</v>
      </c>
      <c r="AM197" s="1664">
        <v>43116</v>
      </c>
      <c r="AN197" s="1665">
        <v>62.48</v>
      </c>
      <c r="AO197" s="1665">
        <v>62.48</v>
      </c>
      <c r="AP197" s="1665">
        <v>40.6</v>
      </c>
      <c r="AQ197" s="1665">
        <v>37.31</v>
      </c>
      <c r="AR197" s="1665">
        <v>3.29</v>
      </c>
      <c r="AS197" s="1665">
        <v>21.88</v>
      </c>
      <c r="AT197" s="1665">
        <v>0</v>
      </c>
      <c r="AU197" s="1665">
        <v>21.88</v>
      </c>
      <c r="AV197" s="1665">
        <v>0</v>
      </c>
      <c r="AW197" s="1665">
        <v>0</v>
      </c>
      <c r="AX197" s="1663"/>
      <c r="AY197" s="1663"/>
      <c r="AZ197" s="1663"/>
      <c r="BA197" s="1668"/>
      <c r="BB197" s="1668"/>
      <c r="BC197" s="1663"/>
      <c r="BD197" s="1663"/>
      <c r="BE197" s="1665">
        <v>62.48</v>
      </c>
      <c r="BF197" s="1665">
        <v>62.48</v>
      </c>
      <c r="BG197" s="1665">
        <v>40.6</v>
      </c>
      <c r="BH197" s="1665">
        <v>37.31</v>
      </c>
      <c r="BI197" s="1665">
        <v>3.29</v>
      </c>
      <c r="BJ197" s="1665">
        <v>21.88</v>
      </c>
      <c r="BK197" s="1665">
        <v>0</v>
      </c>
      <c r="BL197" s="1665">
        <v>21.88</v>
      </c>
      <c r="BM197" s="1665">
        <v>0</v>
      </c>
      <c r="BN197" s="1665">
        <v>0</v>
      </c>
      <c r="BO197" s="1664">
        <v>43364</v>
      </c>
      <c r="BP197" s="1665">
        <v>62.48</v>
      </c>
      <c r="BQ197" s="1665">
        <v>62.48</v>
      </c>
      <c r="BR197" s="1665">
        <v>40.6</v>
      </c>
      <c r="BS197" s="1667">
        <v>37.31</v>
      </c>
      <c r="BT197" s="1665">
        <v>3.29</v>
      </c>
      <c r="BU197" s="1665">
        <v>21.88</v>
      </c>
      <c r="BV197" s="1665">
        <v>0</v>
      </c>
      <c r="BW197" s="1665">
        <v>0</v>
      </c>
      <c r="BX197" s="1665">
        <v>0</v>
      </c>
      <c r="BY197" s="1665">
        <v>0</v>
      </c>
      <c r="BZ197" s="1665">
        <v>0</v>
      </c>
      <c r="CA197" s="1663"/>
      <c r="CB197" s="1668"/>
      <c r="CC197" s="1668"/>
      <c r="CD197" s="1663"/>
      <c r="CE197" s="1663"/>
      <c r="CF197" s="1665">
        <v>0</v>
      </c>
      <c r="CG197" s="1665">
        <v>0</v>
      </c>
      <c r="CH197" s="1665">
        <v>0</v>
      </c>
      <c r="CI197" s="1665">
        <v>0</v>
      </c>
      <c r="CJ197" s="1665">
        <v>0</v>
      </c>
      <c r="CK197" s="1665">
        <v>0</v>
      </c>
      <c r="CL197" s="1668"/>
      <c r="CM197" s="1665">
        <v>0</v>
      </c>
      <c r="CN197" s="1665">
        <v>0</v>
      </c>
      <c r="CO197" s="1665">
        <v>0</v>
      </c>
      <c r="CP197" s="1665">
        <v>0</v>
      </c>
      <c r="CQ197" s="1665">
        <v>0</v>
      </c>
      <c r="CR197" s="1665">
        <v>0</v>
      </c>
      <c r="CS197" s="1665">
        <v>0</v>
      </c>
      <c r="CT197" s="1665">
        <v>0</v>
      </c>
      <c r="CU197" s="1665">
        <v>0</v>
      </c>
      <c r="CV197" s="1665">
        <v>0</v>
      </c>
      <c r="CW197" s="1668"/>
      <c r="CX197" s="1663"/>
      <c r="CY197" s="1663"/>
      <c r="CZ197" s="1663"/>
      <c r="DA197" s="1663"/>
      <c r="DB197" s="1668"/>
      <c r="DC197" s="1662"/>
      <c r="DD197" s="1665">
        <v>0</v>
      </c>
      <c r="DE197" s="1663"/>
      <c r="DF197" s="1663"/>
      <c r="DG197" s="1665">
        <v>0</v>
      </c>
      <c r="DH197" s="1665">
        <v>0</v>
      </c>
    </row>
    <row r="198" spans="1:112" ht="45" hidden="1" x14ac:dyDescent="0.25">
      <c r="A198" s="1662" t="s">
        <v>2252</v>
      </c>
      <c r="B198" s="1662" t="s">
        <v>1725</v>
      </c>
      <c r="C198" s="1662" t="s">
        <v>2633</v>
      </c>
      <c r="D198" s="1662" t="s">
        <v>2634</v>
      </c>
      <c r="E198" s="1662" t="s">
        <v>268</v>
      </c>
      <c r="F198" s="1662" t="s">
        <v>2635</v>
      </c>
      <c r="G198" s="1662" t="s">
        <v>2628</v>
      </c>
      <c r="H198" s="1662" t="s">
        <v>2613</v>
      </c>
      <c r="I198" s="1662" t="s">
        <v>722</v>
      </c>
      <c r="J198" s="1662" t="s">
        <v>160</v>
      </c>
      <c r="K198" s="1662" t="s">
        <v>2159</v>
      </c>
      <c r="L198" s="1662" t="s">
        <v>2109</v>
      </c>
      <c r="M198" s="1663"/>
      <c r="N198" s="1663"/>
      <c r="O198" s="1663"/>
      <c r="P198" s="1663"/>
      <c r="Q198" s="1663"/>
      <c r="R198" s="1663"/>
      <c r="S198" s="1663"/>
      <c r="T198" s="1663"/>
      <c r="U198" s="1663"/>
      <c r="V198" s="1663"/>
      <c r="W198" s="1663"/>
      <c r="X198" s="1663"/>
      <c r="Y198" s="1664">
        <v>43146</v>
      </c>
      <c r="Z198" s="1662" t="s">
        <v>2110</v>
      </c>
      <c r="AA198" s="1665">
        <v>0</v>
      </c>
      <c r="AB198" s="1665">
        <v>0</v>
      </c>
      <c r="AC198" s="1680">
        <v>0</v>
      </c>
      <c r="AD198" s="1682">
        <v>43175</v>
      </c>
      <c r="AE198" s="1679" t="s">
        <v>2137</v>
      </c>
      <c r="AF198" s="1662" t="s">
        <v>2115</v>
      </c>
      <c r="AG198" s="1666"/>
      <c r="AH198" s="1667">
        <v>29844.15</v>
      </c>
      <c r="AI198" s="1665">
        <v>29844.15</v>
      </c>
      <c r="AJ198" s="1665">
        <v>19393</v>
      </c>
      <c r="AK198" s="1698">
        <v>17820.59</v>
      </c>
      <c r="AL198" s="1665">
        <v>1572.41</v>
      </c>
      <c r="AM198" s="1664">
        <v>43179</v>
      </c>
      <c r="AN198" s="1665">
        <v>29844.15</v>
      </c>
      <c r="AO198" s="1665">
        <v>29844.15</v>
      </c>
      <c r="AP198" s="1665">
        <v>19393</v>
      </c>
      <c r="AQ198" s="1665">
        <v>17820.59</v>
      </c>
      <c r="AR198" s="1665">
        <v>1572.41</v>
      </c>
      <c r="AS198" s="1665">
        <v>10451.15</v>
      </c>
      <c r="AT198" s="1665">
        <v>0</v>
      </c>
      <c r="AU198" s="1665">
        <v>10451.15</v>
      </c>
      <c r="AV198" s="1665">
        <v>0</v>
      </c>
      <c r="AW198" s="1665">
        <v>0</v>
      </c>
      <c r="AX198" s="1663"/>
      <c r="AY198" s="1663"/>
      <c r="AZ198" s="1663"/>
      <c r="BA198" s="1668"/>
      <c r="BB198" s="1668"/>
      <c r="BC198" s="1663"/>
      <c r="BD198" s="1663"/>
      <c r="BE198" s="1665">
        <v>29844.15</v>
      </c>
      <c r="BF198" s="1665">
        <v>29844.15</v>
      </c>
      <c r="BG198" s="1665">
        <v>19393</v>
      </c>
      <c r="BH198" s="1665">
        <v>17820.59</v>
      </c>
      <c r="BI198" s="1665">
        <v>1572.41</v>
      </c>
      <c r="BJ198" s="1665">
        <v>10451.15</v>
      </c>
      <c r="BK198" s="1665">
        <v>0</v>
      </c>
      <c r="BL198" s="1665">
        <v>10451.15</v>
      </c>
      <c r="BM198" s="1665">
        <v>0</v>
      </c>
      <c r="BN198" s="1665">
        <v>0</v>
      </c>
      <c r="BO198" s="1664">
        <v>43364</v>
      </c>
      <c r="BP198" s="1665">
        <v>29844.15</v>
      </c>
      <c r="BQ198" s="1665">
        <v>29844.15</v>
      </c>
      <c r="BR198" s="1665">
        <v>19393</v>
      </c>
      <c r="BS198" s="1667">
        <v>17820.59</v>
      </c>
      <c r="BT198" s="1665">
        <v>1572.41</v>
      </c>
      <c r="BU198" s="1665">
        <v>10451.15</v>
      </c>
      <c r="BV198" s="1665">
        <v>0</v>
      </c>
      <c r="BW198" s="1665">
        <v>0</v>
      </c>
      <c r="BX198" s="1665">
        <v>0</v>
      </c>
      <c r="BY198" s="1665">
        <v>0</v>
      </c>
      <c r="BZ198" s="1665">
        <v>0</v>
      </c>
      <c r="CA198" s="1663"/>
      <c r="CB198" s="1668"/>
      <c r="CC198" s="1668"/>
      <c r="CD198" s="1663"/>
      <c r="CE198" s="1663"/>
      <c r="CF198" s="1665">
        <v>0</v>
      </c>
      <c r="CG198" s="1665">
        <v>0</v>
      </c>
      <c r="CH198" s="1665">
        <v>0</v>
      </c>
      <c r="CI198" s="1665">
        <v>0</v>
      </c>
      <c r="CJ198" s="1665">
        <v>0</v>
      </c>
      <c r="CK198" s="1665">
        <v>0</v>
      </c>
      <c r="CL198" s="1668"/>
      <c r="CM198" s="1665">
        <v>0</v>
      </c>
      <c r="CN198" s="1665">
        <v>0</v>
      </c>
      <c r="CO198" s="1665">
        <v>0</v>
      </c>
      <c r="CP198" s="1665">
        <v>0</v>
      </c>
      <c r="CQ198" s="1665">
        <v>0</v>
      </c>
      <c r="CR198" s="1665">
        <v>0</v>
      </c>
      <c r="CS198" s="1665">
        <v>0</v>
      </c>
      <c r="CT198" s="1665">
        <v>0</v>
      </c>
      <c r="CU198" s="1665">
        <v>0</v>
      </c>
      <c r="CV198" s="1665">
        <v>0</v>
      </c>
      <c r="CW198" s="1668"/>
      <c r="CX198" s="1663"/>
      <c r="CY198" s="1663"/>
      <c r="CZ198" s="1663"/>
      <c r="DA198" s="1663"/>
      <c r="DB198" s="1668"/>
      <c r="DC198" s="1662"/>
      <c r="DD198" s="1665">
        <v>0</v>
      </c>
      <c r="DE198" s="1663"/>
      <c r="DF198" s="1663"/>
      <c r="DG198" s="1665">
        <v>0</v>
      </c>
      <c r="DH198" s="1665">
        <v>0</v>
      </c>
    </row>
    <row r="199" spans="1:112" ht="45" hidden="1" x14ac:dyDescent="0.25">
      <c r="A199" s="1662" t="s">
        <v>2253</v>
      </c>
      <c r="B199" s="1662" t="s">
        <v>1725</v>
      </c>
      <c r="C199" s="1662" t="s">
        <v>2633</v>
      </c>
      <c r="D199" s="1662" t="s">
        <v>2634</v>
      </c>
      <c r="E199" s="1662" t="s">
        <v>268</v>
      </c>
      <c r="F199" s="1662" t="s">
        <v>2635</v>
      </c>
      <c r="G199" s="1662" t="s">
        <v>2628</v>
      </c>
      <c r="H199" s="1662" t="s">
        <v>2613</v>
      </c>
      <c r="I199" s="1662" t="s">
        <v>722</v>
      </c>
      <c r="J199" s="1662" t="s">
        <v>160</v>
      </c>
      <c r="K199" s="1662" t="s">
        <v>2159</v>
      </c>
      <c r="L199" s="1662" t="s">
        <v>2109</v>
      </c>
      <c r="M199" s="1663"/>
      <c r="N199" s="1663"/>
      <c r="O199" s="1663"/>
      <c r="P199" s="1663"/>
      <c r="Q199" s="1663"/>
      <c r="R199" s="1663"/>
      <c r="S199" s="1663"/>
      <c r="T199" s="1663"/>
      <c r="U199" s="1663"/>
      <c r="V199" s="1663"/>
      <c r="W199" s="1663"/>
      <c r="X199" s="1663"/>
      <c r="Y199" s="1664">
        <v>43200</v>
      </c>
      <c r="Z199" s="1662" t="s">
        <v>2145</v>
      </c>
      <c r="AA199" s="1665">
        <v>0</v>
      </c>
      <c r="AB199" s="1665">
        <v>0</v>
      </c>
      <c r="AC199" s="1680">
        <v>0</v>
      </c>
      <c r="AD199" s="1682">
        <v>43208</v>
      </c>
      <c r="AE199" s="1679" t="s">
        <v>2131</v>
      </c>
      <c r="AF199" s="1662" t="s">
        <v>2112</v>
      </c>
      <c r="AG199" s="1666"/>
      <c r="AH199" s="1667">
        <v>92555.7</v>
      </c>
      <c r="AI199" s="1665">
        <v>92555.7</v>
      </c>
      <c r="AJ199" s="1665">
        <v>92555.7</v>
      </c>
      <c r="AK199" s="1698">
        <v>85051.18</v>
      </c>
      <c r="AL199" s="1665">
        <v>7504.52</v>
      </c>
      <c r="AM199" s="1668"/>
      <c r="AN199" s="1665">
        <v>0</v>
      </c>
      <c r="AO199" s="1665">
        <v>0</v>
      </c>
      <c r="AP199" s="1665">
        <v>0</v>
      </c>
      <c r="AQ199" s="1665">
        <v>0</v>
      </c>
      <c r="AR199" s="1665">
        <v>0</v>
      </c>
      <c r="AS199" s="1665">
        <v>0</v>
      </c>
      <c r="AT199" s="1665">
        <v>0</v>
      </c>
      <c r="AU199" s="1665">
        <v>0</v>
      </c>
      <c r="AV199" s="1665">
        <v>0</v>
      </c>
      <c r="AW199" s="1665">
        <v>0</v>
      </c>
      <c r="AX199" s="1663"/>
      <c r="AY199" s="1663"/>
      <c r="AZ199" s="1663"/>
      <c r="BA199" s="1668"/>
      <c r="BB199" s="1668"/>
      <c r="BC199" s="1663"/>
      <c r="BD199" s="1663"/>
      <c r="BE199" s="1665">
        <v>0</v>
      </c>
      <c r="BF199" s="1665">
        <v>0</v>
      </c>
      <c r="BG199" s="1665">
        <v>0</v>
      </c>
      <c r="BH199" s="1665">
        <v>0</v>
      </c>
      <c r="BI199" s="1665">
        <v>0</v>
      </c>
      <c r="BJ199" s="1665">
        <v>0</v>
      </c>
      <c r="BK199" s="1665">
        <v>0</v>
      </c>
      <c r="BL199" s="1665">
        <v>0</v>
      </c>
      <c r="BM199" s="1665">
        <v>0</v>
      </c>
      <c r="BN199" s="1665">
        <v>0</v>
      </c>
      <c r="BO199" s="1668"/>
      <c r="BP199" s="1665">
        <v>0</v>
      </c>
      <c r="BQ199" s="1665">
        <v>0</v>
      </c>
      <c r="BR199" s="1665">
        <v>0</v>
      </c>
      <c r="BS199" s="1667">
        <v>0</v>
      </c>
      <c r="BT199" s="1665">
        <v>0</v>
      </c>
      <c r="BU199" s="1665">
        <v>0</v>
      </c>
      <c r="BV199" s="1665">
        <v>0</v>
      </c>
      <c r="BW199" s="1665">
        <v>0</v>
      </c>
      <c r="BX199" s="1665">
        <v>0</v>
      </c>
      <c r="BY199" s="1665">
        <v>0</v>
      </c>
      <c r="BZ199" s="1663"/>
      <c r="CA199" s="1663"/>
      <c r="CB199" s="1668"/>
      <c r="CC199" s="1668"/>
      <c r="CD199" s="1663"/>
      <c r="CE199" s="1663"/>
      <c r="CF199" s="1665">
        <v>0</v>
      </c>
      <c r="CG199" s="1665">
        <v>0</v>
      </c>
      <c r="CH199" s="1665">
        <v>0</v>
      </c>
      <c r="CI199" s="1665">
        <v>0</v>
      </c>
      <c r="CJ199" s="1665">
        <v>0</v>
      </c>
      <c r="CK199" s="1665">
        <v>0</v>
      </c>
      <c r="CL199" s="1668"/>
      <c r="CM199" s="1665">
        <v>0</v>
      </c>
      <c r="CN199" s="1665">
        <v>0</v>
      </c>
      <c r="CO199" s="1665">
        <v>0</v>
      </c>
      <c r="CP199" s="1665">
        <v>0</v>
      </c>
      <c r="CQ199" s="1665">
        <v>0</v>
      </c>
      <c r="CR199" s="1665">
        <v>0</v>
      </c>
      <c r="CS199" s="1665">
        <v>0</v>
      </c>
      <c r="CT199" s="1665">
        <v>0</v>
      </c>
      <c r="CU199" s="1665">
        <v>0</v>
      </c>
      <c r="CV199" s="1665">
        <v>0</v>
      </c>
      <c r="CW199" s="1668"/>
      <c r="CX199" s="1663"/>
      <c r="CY199" s="1663"/>
      <c r="CZ199" s="1663"/>
      <c r="DA199" s="1663"/>
      <c r="DB199" s="1668"/>
      <c r="DC199" s="1662"/>
      <c r="DD199" s="1665">
        <v>0</v>
      </c>
      <c r="DE199" s="1663"/>
      <c r="DF199" s="1663"/>
      <c r="DG199" s="1665">
        <v>0</v>
      </c>
      <c r="DH199" s="1665">
        <v>0</v>
      </c>
    </row>
    <row r="200" spans="1:112" ht="45" hidden="1" x14ac:dyDescent="0.25">
      <c r="A200" s="1662" t="s">
        <v>2254</v>
      </c>
      <c r="B200" s="1662" t="s">
        <v>1725</v>
      </c>
      <c r="C200" s="1662" t="s">
        <v>2633</v>
      </c>
      <c r="D200" s="1662" t="s">
        <v>2634</v>
      </c>
      <c r="E200" s="1662" t="s">
        <v>268</v>
      </c>
      <c r="F200" s="1662" t="s">
        <v>2635</v>
      </c>
      <c r="G200" s="1662" t="s">
        <v>2628</v>
      </c>
      <c r="H200" s="1662" t="s">
        <v>2613</v>
      </c>
      <c r="I200" s="1662" t="s">
        <v>722</v>
      </c>
      <c r="J200" s="1662" t="s">
        <v>160</v>
      </c>
      <c r="K200" s="1662" t="s">
        <v>2159</v>
      </c>
      <c r="L200" s="1662" t="s">
        <v>2109</v>
      </c>
      <c r="M200" s="1663"/>
      <c r="N200" s="1663"/>
      <c r="O200" s="1663"/>
      <c r="P200" s="1663"/>
      <c r="Q200" s="1663"/>
      <c r="R200" s="1663"/>
      <c r="S200" s="1663"/>
      <c r="T200" s="1663"/>
      <c r="U200" s="1663"/>
      <c r="V200" s="1663"/>
      <c r="W200" s="1663"/>
      <c r="X200" s="1663"/>
      <c r="Y200" s="1664">
        <v>43237</v>
      </c>
      <c r="Z200" s="1662" t="s">
        <v>2110</v>
      </c>
      <c r="AA200" s="1665">
        <v>0</v>
      </c>
      <c r="AB200" s="1665">
        <v>0</v>
      </c>
      <c r="AC200" s="1680">
        <v>0</v>
      </c>
      <c r="AD200" s="1682">
        <v>43263</v>
      </c>
      <c r="AE200" s="1679" t="s">
        <v>2132</v>
      </c>
      <c r="AF200" s="1662" t="s">
        <v>2115</v>
      </c>
      <c r="AG200" s="1666"/>
      <c r="AH200" s="1667">
        <v>53394.03</v>
      </c>
      <c r="AI200" s="1665">
        <v>53394.03</v>
      </c>
      <c r="AJ200" s="1665">
        <v>34695.93</v>
      </c>
      <c r="AK200" s="1698">
        <v>31882.75</v>
      </c>
      <c r="AL200" s="1665">
        <v>2813.18</v>
      </c>
      <c r="AM200" s="1664">
        <v>43266</v>
      </c>
      <c r="AN200" s="1665">
        <v>53394.03</v>
      </c>
      <c r="AO200" s="1665">
        <v>53394.03</v>
      </c>
      <c r="AP200" s="1665">
        <v>34695.93</v>
      </c>
      <c r="AQ200" s="1665">
        <v>31882.75</v>
      </c>
      <c r="AR200" s="1665">
        <v>2813.18</v>
      </c>
      <c r="AS200" s="1665">
        <v>18698.099999999999</v>
      </c>
      <c r="AT200" s="1665">
        <v>0</v>
      </c>
      <c r="AU200" s="1665">
        <v>18698.099999999999</v>
      </c>
      <c r="AV200" s="1665">
        <v>0</v>
      </c>
      <c r="AW200" s="1665">
        <v>0</v>
      </c>
      <c r="AX200" s="1663"/>
      <c r="AY200" s="1663"/>
      <c r="AZ200" s="1663"/>
      <c r="BA200" s="1668"/>
      <c r="BB200" s="1668"/>
      <c r="BC200" s="1663"/>
      <c r="BD200" s="1663"/>
      <c r="BE200" s="1665">
        <v>53394.03</v>
      </c>
      <c r="BF200" s="1665">
        <v>53394.03</v>
      </c>
      <c r="BG200" s="1665">
        <v>34695.93</v>
      </c>
      <c r="BH200" s="1665">
        <v>31882.75</v>
      </c>
      <c r="BI200" s="1665">
        <v>2813.18</v>
      </c>
      <c r="BJ200" s="1665">
        <v>18698.099999999999</v>
      </c>
      <c r="BK200" s="1665">
        <v>0</v>
      </c>
      <c r="BL200" s="1665">
        <v>18698.099999999999</v>
      </c>
      <c r="BM200" s="1665">
        <v>0</v>
      </c>
      <c r="BN200" s="1665">
        <v>0</v>
      </c>
      <c r="BO200" s="1664">
        <v>43364</v>
      </c>
      <c r="BP200" s="1665">
        <v>53394.03</v>
      </c>
      <c r="BQ200" s="1665">
        <v>53394.03</v>
      </c>
      <c r="BR200" s="1665">
        <v>34695.93</v>
      </c>
      <c r="BS200" s="1667">
        <v>31882.75</v>
      </c>
      <c r="BT200" s="1665">
        <v>2813.18</v>
      </c>
      <c r="BU200" s="1665">
        <v>18698.099999999999</v>
      </c>
      <c r="BV200" s="1665">
        <v>0</v>
      </c>
      <c r="BW200" s="1665">
        <v>0</v>
      </c>
      <c r="BX200" s="1665">
        <v>0</v>
      </c>
      <c r="BY200" s="1665">
        <v>0</v>
      </c>
      <c r="BZ200" s="1665">
        <v>0</v>
      </c>
      <c r="CA200" s="1663"/>
      <c r="CB200" s="1668"/>
      <c r="CC200" s="1668"/>
      <c r="CD200" s="1663"/>
      <c r="CE200" s="1663"/>
      <c r="CF200" s="1665">
        <v>0</v>
      </c>
      <c r="CG200" s="1665">
        <v>0</v>
      </c>
      <c r="CH200" s="1665">
        <v>0</v>
      </c>
      <c r="CI200" s="1665">
        <v>0</v>
      </c>
      <c r="CJ200" s="1665">
        <v>0</v>
      </c>
      <c r="CK200" s="1665">
        <v>0</v>
      </c>
      <c r="CL200" s="1668"/>
      <c r="CM200" s="1665">
        <v>0</v>
      </c>
      <c r="CN200" s="1665">
        <v>0</v>
      </c>
      <c r="CO200" s="1665">
        <v>0</v>
      </c>
      <c r="CP200" s="1665">
        <v>0</v>
      </c>
      <c r="CQ200" s="1665">
        <v>0</v>
      </c>
      <c r="CR200" s="1665">
        <v>0</v>
      </c>
      <c r="CS200" s="1665">
        <v>0</v>
      </c>
      <c r="CT200" s="1665">
        <v>0</v>
      </c>
      <c r="CU200" s="1665">
        <v>0</v>
      </c>
      <c r="CV200" s="1665">
        <v>0</v>
      </c>
      <c r="CW200" s="1668"/>
      <c r="CX200" s="1663"/>
      <c r="CY200" s="1663"/>
      <c r="CZ200" s="1663"/>
      <c r="DA200" s="1663"/>
      <c r="DB200" s="1668"/>
      <c r="DC200" s="1662"/>
      <c r="DD200" s="1665">
        <v>0</v>
      </c>
      <c r="DE200" s="1663"/>
      <c r="DF200" s="1663"/>
      <c r="DG200" s="1665">
        <v>0</v>
      </c>
      <c r="DH200" s="1665">
        <v>0</v>
      </c>
    </row>
    <row r="201" spans="1:112" ht="45" hidden="1" x14ac:dyDescent="0.25">
      <c r="A201" s="1662" t="s">
        <v>2255</v>
      </c>
      <c r="B201" s="1662" t="s">
        <v>1725</v>
      </c>
      <c r="C201" s="1662" t="s">
        <v>2633</v>
      </c>
      <c r="D201" s="1662" t="s">
        <v>2634</v>
      </c>
      <c r="E201" s="1662" t="s">
        <v>268</v>
      </c>
      <c r="F201" s="1662" t="s">
        <v>2635</v>
      </c>
      <c r="G201" s="1662" t="s">
        <v>2628</v>
      </c>
      <c r="H201" s="1662" t="s">
        <v>2613</v>
      </c>
      <c r="I201" s="1662" t="s">
        <v>722</v>
      </c>
      <c r="J201" s="1662" t="s">
        <v>160</v>
      </c>
      <c r="K201" s="1662" t="s">
        <v>2159</v>
      </c>
      <c r="L201" s="1662" t="s">
        <v>2109</v>
      </c>
      <c r="M201" s="1663"/>
      <c r="N201" s="1663"/>
      <c r="O201" s="1663"/>
      <c r="P201" s="1663"/>
      <c r="Q201" s="1663"/>
      <c r="R201" s="1663"/>
      <c r="S201" s="1663"/>
      <c r="T201" s="1663"/>
      <c r="U201" s="1663"/>
      <c r="V201" s="1663"/>
      <c r="W201" s="1663"/>
      <c r="X201" s="1663"/>
      <c r="Y201" s="1664">
        <v>43237</v>
      </c>
      <c r="Z201" s="1662" t="s">
        <v>2110</v>
      </c>
      <c r="AA201" s="1665">
        <v>0</v>
      </c>
      <c r="AB201" s="1665">
        <v>0</v>
      </c>
      <c r="AC201" s="1680">
        <v>0</v>
      </c>
      <c r="AD201" s="1682">
        <v>43263</v>
      </c>
      <c r="AE201" s="1679" t="s">
        <v>2132</v>
      </c>
      <c r="AF201" s="1662" t="s">
        <v>2112</v>
      </c>
      <c r="AG201" s="1666"/>
      <c r="AH201" s="1667">
        <v>51083.73</v>
      </c>
      <c r="AI201" s="1665">
        <v>51083.73</v>
      </c>
      <c r="AJ201" s="1665">
        <v>33194.68</v>
      </c>
      <c r="AK201" s="1698">
        <v>30503.22</v>
      </c>
      <c r="AL201" s="1665">
        <v>2691.46</v>
      </c>
      <c r="AM201" s="1664">
        <v>43263</v>
      </c>
      <c r="AN201" s="1665">
        <v>51083.73</v>
      </c>
      <c r="AO201" s="1665">
        <v>51083.73</v>
      </c>
      <c r="AP201" s="1665">
        <v>33194.68</v>
      </c>
      <c r="AQ201" s="1665">
        <v>30503.22</v>
      </c>
      <c r="AR201" s="1665">
        <v>2691.46</v>
      </c>
      <c r="AS201" s="1665">
        <v>17889.05</v>
      </c>
      <c r="AT201" s="1665">
        <v>0</v>
      </c>
      <c r="AU201" s="1665">
        <v>17889.05</v>
      </c>
      <c r="AV201" s="1665">
        <v>0</v>
      </c>
      <c r="AW201" s="1665">
        <v>0</v>
      </c>
      <c r="AX201" s="1663"/>
      <c r="AY201" s="1663"/>
      <c r="AZ201" s="1663"/>
      <c r="BA201" s="1668"/>
      <c r="BB201" s="1668"/>
      <c r="BC201" s="1663"/>
      <c r="BD201" s="1663"/>
      <c r="BE201" s="1665">
        <v>51083.73</v>
      </c>
      <c r="BF201" s="1665">
        <v>51083.73</v>
      </c>
      <c r="BG201" s="1665">
        <v>33194.68</v>
      </c>
      <c r="BH201" s="1665">
        <v>30503.22</v>
      </c>
      <c r="BI201" s="1665">
        <v>2691.46</v>
      </c>
      <c r="BJ201" s="1665">
        <v>17889.05</v>
      </c>
      <c r="BK201" s="1665">
        <v>0</v>
      </c>
      <c r="BL201" s="1665">
        <v>17889.05</v>
      </c>
      <c r="BM201" s="1665">
        <v>0</v>
      </c>
      <c r="BN201" s="1665">
        <v>0</v>
      </c>
      <c r="BO201" s="1664">
        <v>43364</v>
      </c>
      <c r="BP201" s="1665">
        <v>51083.73</v>
      </c>
      <c r="BQ201" s="1665">
        <v>51083.73</v>
      </c>
      <c r="BR201" s="1665">
        <v>33194.68</v>
      </c>
      <c r="BS201" s="1667">
        <v>30503.22</v>
      </c>
      <c r="BT201" s="1665">
        <v>2691.46</v>
      </c>
      <c r="BU201" s="1665">
        <v>17889.05</v>
      </c>
      <c r="BV201" s="1665">
        <v>0</v>
      </c>
      <c r="BW201" s="1665">
        <v>0</v>
      </c>
      <c r="BX201" s="1665">
        <v>0</v>
      </c>
      <c r="BY201" s="1665">
        <v>0</v>
      </c>
      <c r="BZ201" s="1665">
        <v>0</v>
      </c>
      <c r="CA201" s="1663"/>
      <c r="CB201" s="1668"/>
      <c r="CC201" s="1668"/>
      <c r="CD201" s="1663"/>
      <c r="CE201" s="1663"/>
      <c r="CF201" s="1665">
        <v>0</v>
      </c>
      <c r="CG201" s="1665">
        <v>0</v>
      </c>
      <c r="CH201" s="1665">
        <v>0</v>
      </c>
      <c r="CI201" s="1665">
        <v>0</v>
      </c>
      <c r="CJ201" s="1665">
        <v>0</v>
      </c>
      <c r="CK201" s="1665">
        <v>0</v>
      </c>
      <c r="CL201" s="1668"/>
      <c r="CM201" s="1665">
        <v>0</v>
      </c>
      <c r="CN201" s="1665">
        <v>0</v>
      </c>
      <c r="CO201" s="1665">
        <v>0</v>
      </c>
      <c r="CP201" s="1665">
        <v>0</v>
      </c>
      <c r="CQ201" s="1665">
        <v>0</v>
      </c>
      <c r="CR201" s="1665">
        <v>0</v>
      </c>
      <c r="CS201" s="1665">
        <v>0</v>
      </c>
      <c r="CT201" s="1665">
        <v>0</v>
      </c>
      <c r="CU201" s="1665">
        <v>0</v>
      </c>
      <c r="CV201" s="1665">
        <v>0</v>
      </c>
      <c r="CW201" s="1668"/>
      <c r="CX201" s="1663"/>
      <c r="CY201" s="1663"/>
      <c r="CZ201" s="1663"/>
      <c r="DA201" s="1663"/>
      <c r="DB201" s="1668"/>
      <c r="DC201" s="1662"/>
      <c r="DD201" s="1665">
        <v>0</v>
      </c>
      <c r="DE201" s="1663"/>
      <c r="DF201" s="1663"/>
      <c r="DG201" s="1665">
        <v>0</v>
      </c>
      <c r="DH201" s="1665">
        <v>0</v>
      </c>
    </row>
    <row r="202" spans="1:112" ht="45" hidden="1" x14ac:dyDescent="0.25">
      <c r="A202" s="1662" t="s">
        <v>2256</v>
      </c>
      <c r="B202" s="1662" t="s">
        <v>1725</v>
      </c>
      <c r="C202" s="1662" t="s">
        <v>2633</v>
      </c>
      <c r="D202" s="1662" t="s">
        <v>2634</v>
      </c>
      <c r="E202" s="1662" t="s">
        <v>268</v>
      </c>
      <c r="F202" s="1662" t="s">
        <v>2635</v>
      </c>
      <c r="G202" s="1662" t="s">
        <v>2628</v>
      </c>
      <c r="H202" s="1662" t="s">
        <v>2613</v>
      </c>
      <c r="I202" s="1662" t="s">
        <v>722</v>
      </c>
      <c r="J202" s="1662" t="s">
        <v>160</v>
      </c>
      <c r="K202" s="1662" t="s">
        <v>2159</v>
      </c>
      <c r="L202" s="1662" t="s">
        <v>2109</v>
      </c>
      <c r="M202" s="1663"/>
      <c r="N202" s="1663"/>
      <c r="O202" s="1663"/>
      <c r="P202" s="1663"/>
      <c r="Q202" s="1663"/>
      <c r="R202" s="1663"/>
      <c r="S202" s="1663"/>
      <c r="T202" s="1663"/>
      <c r="U202" s="1663"/>
      <c r="V202" s="1663"/>
      <c r="W202" s="1663"/>
      <c r="X202" s="1663"/>
      <c r="Y202" s="1664">
        <v>43319</v>
      </c>
      <c r="Z202" s="1662" t="s">
        <v>2110</v>
      </c>
      <c r="AA202" s="1665">
        <v>0</v>
      </c>
      <c r="AB202" s="1665">
        <v>0</v>
      </c>
      <c r="AC202" s="1680">
        <v>0</v>
      </c>
      <c r="AD202" s="1682">
        <v>43346</v>
      </c>
      <c r="AE202" s="1679" t="s">
        <v>2133</v>
      </c>
      <c r="AF202" s="1662" t="s">
        <v>2115</v>
      </c>
      <c r="AG202" s="1666"/>
      <c r="AH202" s="1667">
        <v>36461.57</v>
      </c>
      <c r="AI202" s="1665">
        <v>36461.57</v>
      </c>
      <c r="AJ202" s="1665">
        <v>23693.06</v>
      </c>
      <c r="AK202" s="1698">
        <v>21772</v>
      </c>
      <c r="AL202" s="1665">
        <v>1921.06</v>
      </c>
      <c r="AM202" s="1664">
        <v>43348</v>
      </c>
      <c r="AN202" s="1665">
        <v>36461.57</v>
      </c>
      <c r="AO202" s="1665">
        <v>36461.57</v>
      </c>
      <c r="AP202" s="1665">
        <v>23693.06</v>
      </c>
      <c r="AQ202" s="1665">
        <v>21772</v>
      </c>
      <c r="AR202" s="1665">
        <v>1921.06</v>
      </c>
      <c r="AS202" s="1665">
        <v>12768.51</v>
      </c>
      <c r="AT202" s="1665">
        <v>0</v>
      </c>
      <c r="AU202" s="1665">
        <v>12768.51</v>
      </c>
      <c r="AV202" s="1665">
        <v>0</v>
      </c>
      <c r="AW202" s="1665">
        <v>0</v>
      </c>
      <c r="AX202" s="1663"/>
      <c r="AY202" s="1663"/>
      <c r="AZ202" s="1663"/>
      <c r="BA202" s="1668"/>
      <c r="BB202" s="1668"/>
      <c r="BC202" s="1663"/>
      <c r="BD202" s="1663"/>
      <c r="BE202" s="1665">
        <v>36461.57</v>
      </c>
      <c r="BF202" s="1665">
        <v>36461.57</v>
      </c>
      <c r="BG202" s="1665">
        <v>23693.06</v>
      </c>
      <c r="BH202" s="1665">
        <v>21772</v>
      </c>
      <c r="BI202" s="1665">
        <v>1921.06</v>
      </c>
      <c r="BJ202" s="1665">
        <v>12768.51</v>
      </c>
      <c r="BK202" s="1665">
        <v>0</v>
      </c>
      <c r="BL202" s="1665">
        <v>12768.51</v>
      </c>
      <c r="BM202" s="1665">
        <v>0</v>
      </c>
      <c r="BN202" s="1665">
        <v>0</v>
      </c>
      <c r="BO202" s="1668"/>
      <c r="BP202" s="1665">
        <v>0</v>
      </c>
      <c r="BQ202" s="1665">
        <v>0</v>
      </c>
      <c r="BR202" s="1665">
        <v>0</v>
      </c>
      <c r="BS202" s="1667">
        <v>0</v>
      </c>
      <c r="BT202" s="1665">
        <v>0</v>
      </c>
      <c r="BU202" s="1665">
        <v>0</v>
      </c>
      <c r="BV202" s="1665">
        <v>0</v>
      </c>
      <c r="BW202" s="1665">
        <v>0</v>
      </c>
      <c r="BX202" s="1665">
        <v>0</v>
      </c>
      <c r="BY202" s="1665">
        <v>0</v>
      </c>
      <c r="BZ202" s="1665">
        <v>0</v>
      </c>
      <c r="CA202" s="1663"/>
      <c r="CB202" s="1668"/>
      <c r="CC202" s="1668"/>
      <c r="CD202" s="1663"/>
      <c r="CE202" s="1663"/>
      <c r="CF202" s="1665">
        <v>0</v>
      </c>
      <c r="CG202" s="1665">
        <v>0</v>
      </c>
      <c r="CH202" s="1665">
        <v>0</v>
      </c>
      <c r="CI202" s="1665">
        <v>0</v>
      </c>
      <c r="CJ202" s="1665">
        <v>0</v>
      </c>
      <c r="CK202" s="1665">
        <v>0</v>
      </c>
      <c r="CL202" s="1668"/>
      <c r="CM202" s="1665">
        <v>0</v>
      </c>
      <c r="CN202" s="1665">
        <v>0</v>
      </c>
      <c r="CO202" s="1665">
        <v>0</v>
      </c>
      <c r="CP202" s="1665">
        <v>0</v>
      </c>
      <c r="CQ202" s="1665">
        <v>0</v>
      </c>
      <c r="CR202" s="1665">
        <v>0</v>
      </c>
      <c r="CS202" s="1665">
        <v>0</v>
      </c>
      <c r="CT202" s="1665">
        <v>0</v>
      </c>
      <c r="CU202" s="1665">
        <v>0</v>
      </c>
      <c r="CV202" s="1665">
        <v>0</v>
      </c>
      <c r="CW202" s="1668"/>
      <c r="CX202" s="1663"/>
      <c r="CY202" s="1663"/>
      <c r="CZ202" s="1663"/>
      <c r="DA202" s="1663"/>
      <c r="DB202" s="1668"/>
      <c r="DC202" s="1662"/>
      <c r="DD202" s="1665">
        <v>0</v>
      </c>
      <c r="DE202" s="1663"/>
      <c r="DF202" s="1663"/>
      <c r="DG202" s="1665">
        <v>0</v>
      </c>
      <c r="DH202" s="1665">
        <v>0</v>
      </c>
    </row>
    <row r="203" spans="1:112" ht="45" hidden="1" x14ac:dyDescent="0.25">
      <c r="A203" s="1662" t="s">
        <v>2257</v>
      </c>
      <c r="B203" s="1662" t="s">
        <v>1725</v>
      </c>
      <c r="C203" s="1662" t="s">
        <v>2633</v>
      </c>
      <c r="D203" s="1662" t="s">
        <v>2634</v>
      </c>
      <c r="E203" s="1662" t="s">
        <v>268</v>
      </c>
      <c r="F203" s="1662" t="s">
        <v>2635</v>
      </c>
      <c r="G203" s="1662" t="s">
        <v>2628</v>
      </c>
      <c r="H203" s="1662" t="s">
        <v>2613</v>
      </c>
      <c r="I203" s="1662" t="s">
        <v>722</v>
      </c>
      <c r="J203" s="1662" t="s">
        <v>160</v>
      </c>
      <c r="K203" s="1662" t="s">
        <v>2159</v>
      </c>
      <c r="L203" s="1662" t="s">
        <v>2109</v>
      </c>
      <c r="M203" s="1663"/>
      <c r="N203" s="1663"/>
      <c r="O203" s="1663"/>
      <c r="P203" s="1663"/>
      <c r="Q203" s="1663"/>
      <c r="R203" s="1663"/>
      <c r="S203" s="1663"/>
      <c r="T203" s="1663"/>
      <c r="U203" s="1663"/>
      <c r="V203" s="1663"/>
      <c r="W203" s="1663"/>
      <c r="X203" s="1663"/>
      <c r="Y203" s="1664">
        <v>43319</v>
      </c>
      <c r="Z203" s="1662" t="s">
        <v>2110</v>
      </c>
      <c r="AA203" s="1665">
        <v>0</v>
      </c>
      <c r="AB203" s="1665">
        <v>0</v>
      </c>
      <c r="AC203" s="1680">
        <v>0</v>
      </c>
      <c r="AD203" s="1682">
        <v>43346</v>
      </c>
      <c r="AE203" s="1679" t="s">
        <v>2133</v>
      </c>
      <c r="AF203" s="1662" t="s">
        <v>2112</v>
      </c>
      <c r="AG203" s="1666"/>
      <c r="AH203" s="1667">
        <v>70944.92</v>
      </c>
      <c r="AI203" s="1665">
        <v>70944.92</v>
      </c>
      <c r="AJ203" s="1665">
        <v>46100.66</v>
      </c>
      <c r="AK203" s="1698">
        <v>42362.77</v>
      </c>
      <c r="AL203" s="1665">
        <v>3737.89</v>
      </c>
      <c r="AM203" s="1664">
        <v>43346</v>
      </c>
      <c r="AN203" s="1665">
        <v>70944.92</v>
      </c>
      <c r="AO203" s="1665">
        <v>70944.92</v>
      </c>
      <c r="AP203" s="1665">
        <v>46100.66</v>
      </c>
      <c r="AQ203" s="1665">
        <v>42362.77</v>
      </c>
      <c r="AR203" s="1665">
        <v>3737.89</v>
      </c>
      <c r="AS203" s="1665">
        <v>24844.26</v>
      </c>
      <c r="AT203" s="1665">
        <v>0</v>
      </c>
      <c r="AU203" s="1665">
        <v>24844.26</v>
      </c>
      <c r="AV203" s="1665">
        <v>0</v>
      </c>
      <c r="AW203" s="1665">
        <v>0</v>
      </c>
      <c r="AX203" s="1663"/>
      <c r="AY203" s="1663"/>
      <c r="AZ203" s="1663"/>
      <c r="BA203" s="1668"/>
      <c r="BB203" s="1668"/>
      <c r="BC203" s="1663"/>
      <c r="BD203" s="1663"/>
      <c r="BE203" s="1665">
        <v>70944.92</v>
      </c>
      <c r="BF203" s="1665">
        <v>70944.92</v>
      </c>
      <c r="BG203" s="1665">
        <v>46100.66</v>
      </c>
      <c r="BH203" s="1665">
        <v>42362.77</v>
      </c>
      <c r="BI203" s="1665">
        <v>3737.89</v>
      </c>
      <c r="BJ203" s="1665">
        <v>24844.26</v>
      </c>
      <c r="BK203" s="1665">
        <v>0</v>
      </c>
      <c r="BL203" s="1665">
        <v>24844.26</v>
      </c>
      <c r="BM203" s="1665">
        <v>0</v>
      </c>
      <c r="BN203" s="1665">
        <v>0</v>
      </c>
      <c r="BO203" s="1668"/>
      <c r="BP203" s="1665">
        <v>0</v>
      </c>
      <c r="BQ203" s="1665">
        <v>0</v>
      </c>
      <c r="BR203" s="1665">
        <v>0</v>
      </c>
      <c r="BS203" s="1667">
        <v>0</v>
      </c>
      <c r="BT203" s="1665">
        <v>0</v>
      </c>
      <c r="BU203" s="1665">
        <v>0</v>
      </c>
      <c r="BV203" s="1665">
        <v>0</v>
      </c>
      <c r="BW203" s="1665">
        <v>0</v>
      </c>
      <c r="BX203" s="1665">
        <v>0</v>
      </c>
      <c r="BY203" s="1665">
        <v>0</v>
      </c>
      <c r="BZ203" s="1665">
        <v>0</v>
      </c>
      <c r="CA203" s="1663"/>
      <c r="CB203" s="1668"/>
      <c r="CC203" s="1668"/>
      <c r="CD203" s="1663"/>
      <c r="CE203" s="1663"/>
      <c r="CF203" s="1665">
        <v>0</v>
      </c>
      <c r="CG203" s="1665">
        <v>0</v>
      </c>
      <c r="CH203" s="1665">
        <v>0</v>
      </c>
      <c r="CI203" s="1665">
        <v>0</v>
      </c>
      <c r="CJ203" s="1665">
        <v>0</v>
      </c>
      <c r="CK203" s="1665">
        <v>0</v>
      </c>
      <c r="CL203" s="1668"/>
      <c r="CM203" s="1665">
        <v>0</v>
      </c>
      <c r="CN203" s="1665">
        <v>0</v>
      </c>
      <c r="CO203" s="1665">
        <v>0</v>
      </c>
      <c r="CP203" s="1665">
        <v>0</v>
      </c>
      <c r="CQ203" s="1665">
        <v>0</v>
      </c>
      <c r="CR203" s="1665">
        <v>0</v>
      </c>
      <c r="CS203" s="1665">
        <v>0</v>
      </c>
      <c r="CT203" s="1665">
        <v>0</v>
      </c>
      <c r="CU203" s="1665">
        <v>0</v>
      </c>
      <c r="CV203" s="1665">
        <v>0</v>
      </c>
      <c r="CW203" s="1668"/>
      <c r="CX203" s="1663"/>
      <c r="CY203" s="1663"/>
      <c r="CZ203" s="1663"/>
      <c r="DA203" s="1663"/>
      <c r="DB203" s="1668"/>
      <c r="DC203" s="1662"/>
      <c r="DD203" s="1665">
        <v>0</v>
      </c>
      <c r="DE203" s="1663"/>
      <c r="DF203" s="1663"/>
      <c r="DG203" s="1665">
        <v>0</v>
      </c>
      <c r="DH203" s="1665">
        <v>0</v>
      </c>
    </row>
    <row r="204" spans="1:112" ht="45" hidden="1" x14ac:dyDescent="0.25">
      <c r="A204" s="1662" t="s">
        <v>2258</v>
      </c>
      <c r="B204" s="1662" t="s">
        <v>1725</v>
      </c>
      <c r="C204" s="1662" t="s">
        <v>2633</v>
      </c>
      <c r="D204" s="1662" t="s">
        <v>2634</v>
      </c>
      <c r="E204" s="1662" t="s">
        <v>268</v>
      </c>
      <c r="F204" s="1662" t="s">
        <v>2635</v>
      </c>
      <c r="G204" s="1662" t="s">
        <v>2628</v>
      </c>
      <c r="H204" s="1662" t="s">
        <v>2613</v>
      </c>
      <c r="I204" s="1662" t="s">
        <v>723</v>
      </c>
      <c r="J204" s="1662" t="s">
        <v>301</v>
      </c>
      <c r="K204" s="1662" t="s">
        <v>2117</v>
      </c>
      <c r="L204" s="1662" t="s">
        <v>2109</v>
      </c>
      <c r="M204" s="1665">
        <v>343507</v>
      </c>
      <c r="N204" s="1665">
        <v>0</v>
      </c>
      <c r="O204" s="1665">
        <v>343507</v>
      </c>
      <c r="P204" s="1665">
        <v>343507</v>
      </c>
      <c r="Q204" s="1665">
        <v>317743.96999999997</v>
      </c>
      <c r="R204" s="1665">
        <v>291980.95</v>
      </c>
      <c r="S204" s="1665">
        <v>25763.02</v>
      </c>
      <c r="T204" s="1665">
        <v>25763.03</v>
      </c>
      <c r="U204" s="1665">
        <v>0</v>
      </c>
      <c r="V204" s="1665">
        <v>25763.03</v>
      </c>
      <c r="W204" s="1665">
        <v>0</v>
      </c>
      <c r="X204" s="1665">
        <v>0</v>
      </c>
      <c r="Y204" s="1668"/>
      <c r="Z204" s="1662"/>
      <c r="AA204" s="1665">
        <v>0</v>
      </c>
      <c r="AB204" s="1665">
        <v>0</v>
      </c>
      <c r="AC204" s="1680">
        <v>0</v>
      </c>
      <c r="AD204" s="1681"/>
      <c r="AE204" s="1679"/>
      <c r="AF204" s="1662"/>
      <c r="AG204" s="1666"/>
      <c r="AH204" s="1667">
        <v>196318.8</v>
      </c>
      <c r="AI204" s="1665">
        <v>196318.8</v>
      </c>
      <c r="AJ204" s="1665">
        <v>188744.12</v>
      </c>
      <c r="AK204" s="1698">
        <v>173440.55</v>
      </c>
      <c r="AL204" s="1665">
        <v>15303.57</v>
      </c>
      <c r="AM204" s="1668"/>
      <c r="AN204" s="1665">
        <v>100995.61</v>
      </c>
      <c r="AO204" s="1665">
        <v>100995.61</v>
      </c>
      <c r="AP204" s="1665">
        <v>93420.93</v>
      </c>
      <c r="AQ204" s="1665">
        <v>85846.27</v>
      </c>
      <c r="AR204" s="1665">
        <v>7574.66</v>
      </c>
      <c r="AS204" s="1665">
        <v>7574.68</v>
      </c>
      <c r="AT204" s="1665">
        <v>0</v>
      </c>
      <c r="AU204" s="1665">
        <v>7574.68</v>
      </c>
      <c r="AV204" s="1665">
        <v>0</v>
      </c>
      <c r="AW204" s="1665">
        <v>0</v>
      </c>
      <c r="AX204" s="1665">
        <v>0</v>
      </c>
      <c r="AY204" s="1665">
        <v>0</v>
      </c>
      <c r="AZ204" s="1665">
        <v>0</v>
      </c>
      <c r="BA204" s="1668"/>
      <c r="BB204" s="1668"/>
      <c r="BC204" s="1665">
        <v>0</v>
      </c>
      <c r="BD204" s="1665">
        <v>0</v>
      </c>
      <c r="BE204" s="1665">
        <v>100995.61</v>
      </c>
      <c r="BF204" s="1665">
        <v>100995.61</v>
      </c>
      <c r="BG204" s="1665">
        <v>93420.93</v>
      </c>
      <c r="BH204" s="1665">
        <v>85846.27</v>
      </c>
      <c r="BI204" s="1665">
        <v>7574.66</v>
      </c>
      <c r="BJ204" s="1665">
        <v>7574.68</v>
      </c>
      <c r="BK204" s="1665">
        <v>0</v>
      </c>
      <c r="BL204" s="1665">
        <v>7574.68</v>
      </c>
      <c r="BM204" s="1665">
        <v>0</v>
      </c>
      <c r="BN204" s="1665">
        <v>0</v>
      </c>
      <c r="BO204" s="1668"/>
      <c r="BP204" s="1665">
        <v>100995.61</v>
      </c>
      <c r="BQ204" s="1665">
        <v>100995.61</v>
      </c>
      <c r="BR204" s="1665">
        <v>93420.93</v>
      </c>
      <c r="BS204" s="1667">
        <v>85846.27</v>
      </c>
      <c r="BT204" s="1665">
        <v>7574.66</v>
      </c>
      <c r="BU204" s="1665">
        <v>7574.68</v>
      </c>
      <c r="BV204" s="1665">
        <v>0</v>
      </c>
      <c r="BW204" s="1665">
        <v>362.04</v>
      </c>
      <c r="BX204" s="1665">
        <v>0</v>
      </c>
      <c r="BY204" s="1665">
        <v>0</v>
      </c>
      <c r="BZ204" s="1665">
        <v>0</v>
      </c>
      <c r="CA204" s="1665">
        <v>0</v>
      </c>
      <c r="CB204" s="1668"/>
      <c r="CC204" s="1668"/>
      <c r="CD204" s="1665">
        <v>4827.1099999999997</v>
      </c>
      <c r="CE204" s="1665">
        <v>4827.1099999999997</v>
      </c>
      <c r="CF204" s="1665">
        <v>0</v>
      </c>
      <c r="CG204" s="1665">
        <v>0</v>
      </c>
      <c r="CH204" s="1665">
        <v>0</v>
      </c>
      <c r="CI204" s="1665">
        <v>0</v>
      </c>
      <c r="CJ204" s="1665">
        <v>1084.54</v>
      </c>
      <c r="CK204" s="1665">
        <v>1084.54</v>
      </c>
      <c r="CL204" s="1668"/>
      <c r="CM204" s="1665">
        <v>4827.1099999999997</v>
      </c>
      <c r="CN204" s="1665">
        <v>4827.1099999999997</v>
      </c>
      <c r="CO204" s="1665">
        <v>4465.07</v>
      </c>
      <c r="CP204" s="1665">
        <v>4103.04</v>
      </c>
      <c r="CQ204" s="1665">
        <v>362.03</v>
      </c>
      <c r="CR204" s="1665">
        <v>362.04</v>
      </c>
      <c r="CS204" s="1665">
        <v>0</v>
      </c>
      <c r="CT204" s="1665">
        <v>362.04</v>
      </c>
      <c r="CU204" s="1665">
        <v>0</v>
      </c>
      <c r="CV204" s="1665">
        <v>0</v>
      </c>
      <c r="CW204" s="1664">
        <v>43144</v>
      </c>
      <c r="CX204" s="1665">
        <v>-4827.1099999999997</v>
      </c>
      <c r="CY204" s="1665">
        <v>-4827.1099999999997</v>
      </c>
      <c r="CZ204" s="1665">
        <v>0</v>
      </c>
      <c r="DA204" s="1665">
        <v>0</v>
      </c>
      <c r="DB204" s="1668"/>
      <c r="DC204" s="1662"/>
      <c r="DD204" s="1665">
        <v>0</v>
      </c>
      <c r="DE204" s="1665">
        <v>0</v>
      </c>
      <c r="DF204" s="1665">
        <v>0</v>
      </c>
      <c r="DG204" s="1665">
        <v>0</v>
      </c>
      <c r="DH204" s="1665">
        <v>0</v>
      </c>
    </row>
    <row r="205" spans="1:112" ht="45" hidden="1" x14ac:dyDescent="0.25">
      <c r="A205" s="1662" t="s">
        <v>2259</v>
      </c>
      <c r="B205" s="1662" t="s">
        <v>1725</v>
      </c>
      <c r="C205" s="1662" t="s">
        <v>2633</v>
      </c>
      <c r="D205" s="1662" t="s">
        <v>2634</v>
      </c>
      <c r="E205" s="1662" t="s">
        <v>268</v>
      </c>
      <c r="F205" s="1662" t="s">
        <v>2635</v>
      </c>
      <c r="G205" s="1662" t="s">
        <v>2628</v>
      </c>
      <c r="H205" s="1662" t="s">
        <v>2613</v>
      </c>
      <c r="I205" s="1662" t="s">
        <v>723</v>
      </c>
      <c r="J205" s="1662" t="s">
        <v>301</v>
      </c>
      <c r="K205" s="1662" t="s">
        <v>2117</v>
      </c>
      <c r="L205" s="1662" t="s">
        <v>2109</v>
      </c>
      <c r="M205" s="1663"/>
      <c r="N205" s="1663"/>
      <c r="O205" s="1663"/>
      <c r="P205" s="1663"/>
      <c r="Q205" s="1663"/>
      <c r="R205" s="1663"/>
      <c r="S205" s="1663"/>
      <c r="T205" s="1663"/>
      <c r="U205" s="1663"/>
      <c r="V205" s="1663"/>
      <c r="W205" s="1663"/>
      <c r="X205" s="1663"/>
      <c r="Y205" s="1664">
        <v>42802</v>
      </c>
      <c r="Z205" s="1662" t="s">
        <v>2110</v>
      </c>
      <c r="AA205" s="1665">
        <v>0</v>
      </c>
      <c r="AB205" s="1665">
        <v>0</v>
      </c>
      <c r="AC205" s="1680">
        <v>0</v>
      </c>
      <c r="AD205" s="1682">
        <v>42821</v>
      </c>
      <c r="AE205" s="1679" t="s">
        <v>2122</v>
      </c>
      <c r="AF205" s="1662" t="s">
        <v>2112</v>
      </c>
      <c r="AG205" s="1666"/>
      <c r="AH205" s="1667">
        <v>4827.1099999999997</v>
      </c>
      <c r="AI205" s="1665">
        <v>4827.1099999999997</v>
      </c>
      <c r="AJ205" s="1665">
        <v>4465.07</v>
      </c>
      <c r="AK205" s="1698">
        <v>4103.04</v>
      </c>
      <c r="AL205" s="1665">
        <v>362.03</v>
      </c>
      <c r="AM205" s="1664">
        <v>42821</v>
      </c>
      <c r="AN205" s="1665">
        <v>4827.1099999999997</v>
      </c>
      <c r="AO205" s="1665">
        <v>4827.1099999999997</v>
      </c>
      <c r="AP205" s="1665">
        <v>4465.07</v>
      </c>
      <c r="AQ205" s="1665">
        <v>4103.04</v>
      </c>
      <c r="AR205" s="1665">
        <v>362.03</v>
      </c>
      <c r="AS205" s="1665">
        <v>362.04</v>
      </c>
      <c r="AT205" s="1665">
        <v>0</v>
      </c>
      <c r="AU205" s="1665">
        <v>362.04</v>
      </c>
      <c r="AV205" s="1665">
        <v>0</v>
      </c>
      <c r="AW205" s="1665">
        <v>0</v>
      </c>
      <c r="AX205" s="1663"/>
      <c r="AY205" s="1663"/>
      <c r="AZ205" s="1663"/>
      <c r="BA205" s="1668"/>
      <c r="BB205" s="1668"/>
      <c r="BC205" s="1663"/>
      <c r="BD205" s="1663"/>
      <c r="BE205" s="1665">
        <v>4827.1099999999997</v>
      </c>
      <c r="BF205" s="1665">
        <v>4827.1099999999997</v>
      </c>
      <c r="BG205" s="1665">
        <v>4465.07</v>
      </c>
      <c r="BH205" s="1665">
        <v>4103.04</v>
      </c>
      <c r="BI205" s="1665">
        <v>362.03</v>
      </c>
      <c r="BJ205" s="1665">
        <v>362.04</v>
      </c>
      <c r="BK205" s="1665">
        <v>0</v>
      </c>
      <c r="BL205" s="1665">
        <v>362.04</v>
      </c>
      <c r="BM205" s="1665">
        <v>0</v>
      </c>
      <c r="BN205" s="1665">
        <v>0</v>
      </c>
      <c r="BO205" s="1664">
        <v>42866</v>
      </c>
      <c r="BP205" s="1665">
        <v>4827.1099999999997</v>
      </c>
      <c r="BQ205" s="1665">
        <v>4827.1099999999997</v>
      </c>
      <c r="BR205" s="1665">
        <v>4465.07</v>
      </c>
      <c r="BS205" s="1667">
        <v>4103.04</v>
      </c>
      <c r="BT205" s="1665">
        <v>362.03</v>
      </c>
      <c r="BU205" s="1665">
        <v>362.04</v>
      </c>
      <c r="BV205" s="1665">
        <v>0</v>
      </c>
      <c r="BW205" s="1665">
        <v>362.04</v>
      </c>
      <c r="BX205" s="1665">
        <v>0</v>
      </c>
      <c r="BY205" s="1665">
        <v>0</v>
      </c>
      <c r="BZ205" s="1665">
        <v>0</v>
      </c>
      <c r="CA205" s="1663"/>
      <c r="CB205" s="1668"/>
      <c r="CC205" s="1668"/>
      <c r="CD205" s="1663"/>
      <c r="CE205" s="1663"/>
      <c r="CF205" s="1665">
        <v>0</v>
      </c>
      <c r="CG205" s="1665">
        <v>0</v>
      </c>
      <c r="CH205" s="1665">
        <v>0</v>
      </c>
      <c r="CI205" s="1665">
        <v>0</v>
      </c>
      <c r="CJ205" s="1665">
        <v>47.61</v>
      </c>
      <c r="CK205" s="1665">
        <v>47.61</v>
      </c>
      <c r="CL205" s="1664">
        <v>43144</v>
      </c>
      <c r="CM205" s="1665">
        <v>4827.1099999999997</v>
      </c>
      <c r="CN205" s="1665">
        <v>4827.1099999999997</v>
      </c>
      <c r="CO205" s="1665">
        <v>4465.07</v>
      </c>
      <c r="CP205" s="1665">
        <v>4103.04</v>
      </c>
      <c r="CQ205" s="1665">
        <v>362.03</v>
      </c>
      <c r="CR205" s="1665">
        <v>362.04</v>
      </c>
      <c r="CS205" s="1665">
        <v>0</v>
      </c>
      <c r="CT205" s="1665">
        <v>362.04</v>
      </c>
      <c r="CU205" s="1665">
        <v>0</v>
      </c>
      <c r="CV205" s="1665">
        <v>0</v>
      </c>
      <c r="CW205" s="1668"/>
      <c r="CX205" s="1663"/>
      <c r="CY205" s="1663"/>
      <c r="CZ205" s="1663"/>
      <c r="DA205" s="1663"/>
      <c r="DB205" s="1668"/>
      <c r="DC205" s="1662"/>
      <c r="DD205" s="1665">
        <v>0</v>
      </c>
      <c r="DE205" s="1663"/>
      <c r="DF205" s="1663"/>
      <c r="DG205" s="1665">
        <v>0</v>
      </c>
      <c r="DH205" s="1665">
        <v>0</v>
      </c>
    </row>
    <row r="206" spans="1:112" ht="45" hidden="1" x14ac:dyDescent="0.25">
      <c r="A206" s="1662" t="s">
        <v>2260</v>
      </c>
      <c r="B206" s="1662" t="s">
        <v>1725</v>
      </c>
      <c r="C206" s="1662" t="s">
        <v>2633</v>
      </c>
      <c r="D206" s="1662" t="s">
        <v>2634</v>
      </c>
      <c r="E206" s="1662" t="s">
        <v>268</v>
      </c>
      <c r="F206" s="1662" t="s">
        <v>2635</v>
      </c>
      <c r="G206" s="1662" t="s">
        <v>2628</v>
      </c>
      <c r="H206" s="1662" t="s">
        <v>2613</v>
      </c>
      <c r="I206" s="1662" t="s">
        <v>723</v>
      </c>
      <c r="J206" s="1662" t="s">
        <v>301</v>
      </c>
      <c r="K206" s="1662" t="s">
        <v>2117</v>
      </c>
      <c r="L206" s="1662" t="s">
        <v>2109</v>
      </c>
      <c r="M206" s="1663"/>
      <c r="N206" s="1663"/>
      <c r="O206" s="1663"/>
      <c r="P206" s="1663"/>
      <c r="Q206" s="1663"/>
      <c r="R206" s="1663"/>
      <c r="S206" s="1663"/>
      <c r="T206" s="1663"/>
      <c r="U206" s="1663"/>
      <c r="V206" s="1663"/>
      <c r="W206" s="1663"/>
      <c r="X206" s="1663"/>
      <c r="Y206" s="1664">
        <v>42887</v>
      </c>
      <c r="Z206" s="1662" t="s">
        <v>2110</v>
      </c>
      <c r="AA206" s="1665">
        <v>0</v>
      </c>
      <c r="AB206" s="1665">
        <v>0</v>
      </c>
      <c r="AC206" s="1680">
        <v>0</v>
      </c>
      <c r="AD206" s="1682">
        <v>42923</v>
      </c>
      <c r="AE206" s="1679" t="s">
        <v>2111</v>
      </c>
      <c r="AF206" s="1662" t="s">
        <v>2115</v>
      </c>
      <c r="AG206" s="1666"/>
      <c r="AH206" s="1667">
        <v>6636.15</v>
      </c>
      <c r="AI206" s="1665">
        <v>6636.15</v>
      </c>
      <c r="AJ206" s="1665">
        <v>6138.44</v>
      </c>
      <c r="AK206" s="1698">
        <v>5640.73</v>
      </c>
      <c r="AL206" s="1665">
        <v>497.71</v>
      </c>
      <c r="AM206" s="1664">
        <v>42930</v>
      </c>
      <c r="AN206" s="1665">
        <v>6636.15</v>
      </c>
      <c r="AO206" s="1665">
        <v>6636.15</v>
      </c>
      <c r="AP206" s="1665">
        <v>6138.44</v>
      </c>
      <c r="AQ206" s="1665">
        <v>5640.73</v>
      </c>
      <c r="AR206" s="1665">
        <v>497.71</v>
      </c>
      <c r="AS206" s="1665">
        <v>497.71</v>
      </c>
      <c r="AT206" s="1665">
        <v>0</v>
      </c>
      <c r="AU206" s="1665">
        <v>497.71</v>
      </c>
      <c r="AV206" s="1665">
        <v>0</v>
      </c>
      <c r="AW206" s="1665">
        <v>0</v>
      </c>
      <c r="AX206" s="1663"/>
      <c r="AY206" s="1663"/>
      <c r="AZ206" s="1663"/>
      <c r="BA206" s="1668"/>
      <c r="BB206" s="1668"/>
      <c r="BC206" s="1663"/>
      <c r="BD206" s="1663"/>
      <c r="BE206" s="1665">
        <v>6636.15</v>
      </c>
      <c r="BF206" s="1665">
        <v>6636.15</v>
      </c>
      <c r="BG206" s="1665">
        <v>6138.44</v>
      </c>
      <c r="BH206" s="1665">
        <v>5640.73</v>
      </c>
      <c r="BI206" s="1665">
        <v>497.71</v>
      </c>
      <c r="BJ206" s="1665">
        <v>497.71</v>
      </c>
      <c r="BK206" s="1665">
        <v>0</v>
      </c>
      <c r="BL206" s="1665">
        <v>497.71</v>
      </c>
      <c r="BM206" s="1665">
        <v>0</v>
      </c>
      <c r="BN206" s="1665">
        <v>0</v>
      </c>
      <c r="BO206" s="1664">
        <v>42993</v>
      </c>
      <c r="BP206" s="1665">
        <v>6636.15</v>
      </c>
      <c r="BQ206" s="1665">
        <v>6636.15</v>
      </c>
      <c r="BR206" s="1665">
        <v>6138.44</v>
      </c>
      <c r="BS206" s="1667">
        <v>5640.73</v>
      </c>
      <c r="BT206" s="1665">
        <v>497.71</v>
      </c>
      <c r="BU206" s="1665">
        <v>497.71</v>
      </c>
      <c r="BV206" s="1665">
        <v>0</v>
      </c>
      <c r="BW206" s="1665">
        <v>0</v>
      </c>
      <c r="BX206" s="1665">
        <v>0</v>
      </c>
      <c r="BY206" s="1665">
        <v>0</v>
      </c>
      <c r="BZ206" s="1665">
        <v>0</v>
      </c>
      <c r="CA206" s="1663"/>
      <c r="CB206" s="1668"/>
      <c r="CC206" s="1668"/>
      <c r="CD206" s="1663"/>
      <c r="CE206" s="1663"/>
      <c r="CF206" s="1665">
        <v>0</v>
      </c>
      <c r="CG206" s="1665">
        <v>0</v>
      </c>
      <c r="CH206" s="1665">
        <v>0</v>
      </c>
      <c r="CI206" s="1665">
        <v>0</v>
      </c>
      <c r="CJ206" s="1665">
        <v>0</v>
      </c>
      <c r="CK206" s="1665">
        <v>0</v>
      </c>
      <c r="CL206" s="1668"/>
      <c r="CM206" s="1665">
        <v>0</v>
      </c>
      <c r="CN206" s="1665">
        <v>0</v>
      </c>
      <c r="CO206" s="1665">
        <v>0</v>
      </c>
      <c r="CP206" s="1665">
        <v>0</v>
      </c>
      <c r="CQ206" s="1665">
        <v>0</v>
      </c>
      <c r="CR206" s="1665">
        <v>0</v>
      </c>
      <c r="CS206" s="1665">
        <v>0</v>
      </c>
      <c r="CT206" s="1665">
        <v>0</v>
      </c>
      <c r="CU206" s="1665">
        <v>0</v>
      </c>
      <c r="CV206" s="1665">
        <v>0</v>
      </c>
      <c r="CW206" s="1668"/>
      <c r="CX206" s="1663"/>
      <c r="CY206" s="1663"/>
      <c r="CZ206" s="1663"/>
      <c r="DA206" s="1663"/>
      <c r="DB206" s="1668"/>
      <c r="DC206" s="1662"/>
      <c r="DD206" s="1665">
        <v>0</v>
      </c>
      <c r="DE206" s="1663"/>
      <c r="DF206" s="1663"/>
      <c r="DG206" s="1665">
        <v>0</v>
      </c>
      <c r="DH206" s="1665">
        <v>0</v>
      </c>
    </row>
    <row r="207" spans="1:112" ht="45" hidden="1" x14ac:dyDescent="0.25">
      <c r="A207" s="1662" t="s">
        <v>2261</v>
      </c>
      <c r="B207" s="1662" t="s">
        <v>1725</v>
      </c>
      <c r="C207" s="1662" t="s">
        <v>2633</v>
      </c>
      <c r="D207" s="1662" t="s">
        <v>2634</v>
      </c>
      <c r="E207" s="1662" t="s">
        <v>268</v>
      </c>
      <c r="F207" s="1662" t="s">
        <v>2635</v>
      </c>
      <c r="G207" s="1662" t="s">
        <v>2628</v>
      </c>
      <c r="H207" s="1662" t="s">
        <v>2613</v>
      </c>
      <c r="I207" s="1662" t="s">
        <v>723</v>
      </c>
      <c r="J207" s="1662" t="s">
        <v>301</v>
      </c>
      <c r="K207" s="1662" t="s">
        <v>2117</v>
      </c>
      <c r="L207" s="1662" t="s">
        <v>2109</v>
      </c>
      <c r="M207" s="1663"/>
      <c r="N207" s="1663"/>
      <c r="O207" s="1663"/>
      <c r="P207" s="1663"/>
      <c r="Q207" s="1663"/>
      <c r="R207" s="1663"/>
      <c r="S207" s="1663"/>
      <c r="T207" s="1663"/>
      <c r="U207" s="1663"/>
      <c r="V207" s="1663"/>
      <c r="W207" s="1663"/>
      <c r="X207" s="1663"/>
      <c r="Y207" s="1664">
        <v>42887</v>
      </c>
      <c r="Z207" s="1662" t="s">
        <v>2110</v>
      </c>
      <c r="AA207" s="1665">
        <v>0</v>
      </c>
      <c r="AB207" s="1665">
        <v>0</v>
      </c>
      <c r="AC207" s="1680">
        <v>0</v>
      </c>
      <c r="AD207" s="1682">
        <v>42923</v>
      </c>
      <c r="AE207" s="1679" t="s">
        <v>2111</v>
      </c>
      <c r="AF207" s="1662" t="s">
        <v>2112</v>
      </c>
      <c r="AG207" s="1666"/>
      <c r="AH207" s="1667">
        <v>72.33</v>
      </c>
      <c r="AI207" s="1665">
        <v>72.33</v>
      </c>
      <c r="AJ207" s="1665">
        <v>66.91</v>
      </c>
      <c r="AK207" s="1698">
        <v>61.48</v>
      </c>
      <c r="AL207" s="1665">
        <v>5.43</v>
      </c>
      <c r="AM207" s="1664">
        <v>42923</v>
      </c>
      <c r="AN207" s="1665">
        <v>72.33</v>
      </c>
      <c r="AO207" s="1665">
        <v>72.33</v>
      </c>
      <c r="AP207" s="1665">
        <v>66.91</v>
      </c>
      <c r="AQ207" s="1665">
        <v>61.48</v>
      </c>
      <c r="AR207" s="1665">
        <v>5.43</v>
      </c>
      <c r="AS207" s="1665">
        <v>5.42</v>
      </c>
      <c r="AT207" s="1665">
        <v>0</v>
      </c>
      <c r="AU207" s="1665">
        <v>5.42</v>
      </c>
      <c r="AV207" s="1665">
        <v>0</v>
      </c>
      <c r="AW207" s="1665">
        <v>0</v>
      </c>
      <c r="AX207" s="1663"/>
      <c r="AY207" s="1663"/>
      <c r="AZ207" s="1663"/>
      <c r="BA207" s="1668"/>
      <c r="BB207" s="1668"/>
      <c r="BC207" s="1663"/>
      <c r="BD207" s="1663"/>
      <c r="BE207" s="1665">
        <v>72.33</v>
      </c>
      <c r="BF207" s="1665">
        <v>72.33</v>
      </c>
      <c r="BG207" s="1665">
        <v>66.91</v>
      </c>
      <c r="BH207" s="1665">
        <v>61.48</v>
      </c>
      <c r="BI207" s="1665">
        <v>5.43</v>
      </c>
      <c r="BJ207" s="1665">
        <v>5.42</v>
      </c>
      <c r="BK207" s="1665">
        <v>0</v>
      </c>
      <c r="BL207" s="1665">
        <v>5.42</v>
      </c>
      <c r="BM207" s="1665">
        <v>0</v>
      </c>
      <c r="BN207" s="1665">
        <v>0</v>
      </c>
      <c r="BO207" s="1664">
        <v>43039</v>
      </c>
      <c r="BP207" s="1665">
        <v>72.33</v>
      </c>
      <c r="BQ207" s="1665">
        <v>72.33</v>
      </c>
      <c r="BR207" s="1665">
        <v>66.91</v>
      </c>
      <c r="BS207" s="1667">
        <v>61.48</v>
      </c>
      <c r="BT207" s="1665">
        <v>5.43</v>
      </c>
      <c r="BU207" s="1665">
        <v>5.42</v>
      </c>
      <c r="BV207" s="1665">
        <v>0</v>
      </c>
      <c r="BW207" s="1665">
        <v>0</v>
      </c>
      <c r="BX207" s="1665">
        <v>0</v>
      </c>
      <c r="BY207" s="1665">
        <v>0</v>
      </c>
      <c r="BZ207" s="1665">
        <v>0</v>
      </c>
      <c r="CA207" s="1663"/>
      <c r="CB207" s="1668"/>
      <c r="CC207" s="1668"/>
      <c r="CD207" s="1663"/>
      <c r="CE207" s="1663"/>
      <c r="CF207" s="1665">
        <v>0</v>
      </c>
      <c r="CG207" s="1665">
        <v>0</v>
      </c>
      <c r="CH207" s="1665">
        <v>0</v>
      </c>
      <c r="CI207" s="1665">
        <v>0</v>
      </c>
      <c r="CJ207" s="1665">
        <v>72.33</v>
      </c>
      <c r="CK207" s="1665">
        <v>72.33</v>
      </c>
      <c r="CL207" s="1668"/>
      <c r="CM207" s="1665">
        <v>0</v>
      </c>
      <c r="CN207" s="1665">
        <v>0</v>
      </c>
      <c r="CO207" s="1665">
        <v>0</v>
      </c>
      <c r="CP207" s="1665">
        <v>0</v>
      </c>
      <c r="CQ207" s="1665">
        <v>0</v>
      </c>
      <c r="CR207" s="1665">
        <v>0</v>
      </c>
      <c r="CS207" s="1665">
        <v>0</v>
      </c>
      <c r="CT207" s="1665">
        <v>0</v>
      </c>
      <c r="CU207" s="1665">
        <v>0</v>
      </c>
      <c r="CV207" s="1665">
        <v>0</v>
      </c>
      <c r="CW207" s="1668"/>
      <c r="CX207" s="1663"/>
      <c r="CY207" s="1663"/>
      <c r="CZ207" s="1663"/>
      <c r="DA207" s="1663"/>
      <c r="DB207" s="1668"/>
      <c r="DC207" s="1662"/>
      <c r="DD207" s="1665">
        <v>0</v>
      </c>
      <c r="DE207" s="1663"/>
      <c r="DF207" s="1663"/>
      <c r="DG207" s="1665">
        <v>0</v>
      </c>
      <c r="DH207" s="1665">
        <v>0</v>
      </c>
    </row>
    <row r="208" spans="1:112" ht="45" hidden="1" x14ac:dyDescent="0.25">
      <c r="A208" s="1662" t="s">
        <v>2262</v>
      </c>
      <c r="B208" s="1662" t="s">
        <v>1725</v>
      </c>
      <c r="C208" s="1662" t="s">
        <v>2633</v>
      </c>
      <c r="D208" s="1662" t="s">
        <v>2634</v>
      </c>
      <c r="E208" s="1662" t="s">
        <v>268</v>
      </c>
      <c r="F208" s="1662" t="s">
        <v>2635</v>
      </c>
      <c r="G208" s="1662" t="s">
        <v>2628</v>
      </c>
      <c r="H208" s="1662" t="s">
        <v>2613</v>
      </c>
      <c r="I208" s="1662" t="s">
        <v>723</v>
      </c>
      <c r="J208" s="1662" t="s">
        <v>301</v>
      </c>
      <c r="K208" s="1662" t="s">
        <v>2117</v>
      </c>
      <c r="L208" s="1662" t="s">
        <v>2109</v>
      </c>
      <c r="M208" s="1663"/>
      <c r="N208" s="1663"/>
      <c r="O208" s="1663"/>
      <c r="P208" s="1663"/>
      <c r="Q208" s="1663"/>
      <c r="R208" s="1663"/>
      <c r="S208" s="1663"/>
      <c r="T208" s="1663"/>
      <c r="U208" s="1663"/>
      <c r="V208" s="1663"/>
      <c r="W208" s="1663"/>
      <c r="X208" s="1663"/>
      <c r="Y208" s="1664">
        <v>43157</v>
      </c>
      <c r="Z208" s="1662" t="s">
        <v>2110</v>
      </c>
      <c r="AA208" s="1665">
        <v>0</v>
      </c>
      <c r="AB208" s="1665">
        <v>0</v>
      </c>
      <c r="AC208" s="1680">
        <v>0</v>
      </c>
      <c r="AD208" s="1682">
        <v>43167</v>
      </c>
      <c r="AE208" s="1679" t="s">
        <v>2129</v>
      </c>
      <c r="AF208" s="1662" t="s">
        <v>2115</v>
      </c>
      <c r="AG208" s="1666"/>
      <c r="AH208" s="1667">
        <v>0</v>
      </c>
      <c r="AI208" s="1665">
        <v>0</v>
      </c>
      <c r="AJ208" s="1665">
        <v>0</v>
      </c>
      <c r="AK208" s="1698">
        <v>0</v>
      </c>
      <c r="AL208" s="1665">
        <v>0</v>
      </c>
      <c r="AM208" s="1668"/>
      <c r="AN208" s="1665">
        <v>0</v>
      </c>
      <c r="AO208" s="1665">
        <v>0</v>
      </c>
      <c r="AP208" s="1665">
        <v>0</v>
      </c>
      <c r="AQ208" s="1665">
        <v>0</v>
      </c>
      <c r="AR208" s="1665">
        <v>0</v>
      </c>
      <c r="AS208" s="1665">
        <v>0</v>
      </c>
      <c r="AT208" s="1665">
        <v>0</v>
      </c>
      <c r="AU208" s="1665">
        <v>0</v>
      </c>
      <c r="AV208" s="1665">
        <v>0</v>
      </c>
      <c r="AW208" s="1665">
        <v>0</v>
      </c>
      <c r="AX208" s="1663"/>
      <c r="AY208" s="1663"/>
      <c r="AZ208" s="1663"/>
      <c r="BA208" s="1668"/>
      <c r="BB208" s="1668"/>
      <c r="BC208" s="1663"/>
      <c r="BD208" s="1663"/>
      <c r="BE208" s="1665">
        <v>0</v>
      </c>
      <c r="BF208" s="1665">
        <v>0</v>
      </c>
      <c r="BG208" s="1665">
        <v>0</v>
      </c>
      <c r="BH208" s="1665">
        <v>0</v>
      </c>
      <c r="BI208" s="1665">
        <v>0</v>
      </c>
      <c r="BJ208" s="1665">
        <v>0</v>
      </c>
      <c r="BK208" s="1665">
        <v>0</v>
      </c>
      <c r="BL208" s="1665">
        <v>0</v>
      </c>
      <c r="BM208" s="1665">
        <v>0</v>
      </c>
      <c r="BN208" s="1665">
        <v>0</v>
      </c>
      <c r="BO208" s="1668"/>
      <c r="BP208" s="1665">
        <v>0</v>
      </c>
      <c r="BQ208" s="1665">
        <v>0</v>
      </c>
      <c r="BR208" s="1665">
        <v>0</v>
      </c>
      <c r="BS208" s="1667">
        <v>0</v>
      </c>
      <c r="BT208" s="1665">
        <v>0</v>
      </c>
      <c r="BU208" s="1665">
        <v>0</v>
      </c>
      <c r="BV208" s="1665">
        <v>0</v>
      </c>
      <c r="BW208" s="1665">
        <v>0</v>
      </c>
      <c r="BX208" s="1665">
        <v>0</v>
      </c>
      <c r="BY208" s="1665">
        <v>0</v>
      </c>
      <c r="BZ208" s="1663"/>
      <c r="CA208" s="1663"/>
      <c r="CB208" s="1668"/>
      <c r="CC208" s="1668"/>
      <c r="CD208" s="1663"/>
      <c r="CE208" s="1663"/>
      <c r="CF208" s="1665">
        <v>0</v>
      </c>
      <c r="CG208" s="1665">
        <v>0</v>
      </c>
      <c r="CH208" s="1665">
        <v>0</v>
      </c>
      <c r="CI208" s="1665">
        <v>0</v>
      </c>
      <c r="CJ208" s="1665">
        <v>0</v>
      </c>
      <c r="CK208" s="1665">
        <v>0</v>
      </c>
      <c r="CL208" s="1668"/>
      <c r="CM208" s="1665">
        <v>0</v>
      </c>
      <c r="CN208" s="1665">
        <v>0</v>
      </c>
      <c r="CO208" s="1665">
        <v>0</v>
      </c>
      <c r="CP208" s="1665">
        <v>0</v>
      </c>
      <c r="CQ208" s="1665">
        <v>0</v>
      </c>
      <c r="CR208" s="1665">
        <v>0</v>
      </c>
      <c r="CS208" s="1665">
        <v>0</v>
      </c>
      <c r="CT208" s="1665">
        <v>0</v>
      </c>
      <c r="CU208" s="1665">
        <v>0</v>
      </c>
      <c r="CV208" s="1665">
        <v>0</v>
      </c>
      <c r="CW208" s="1668"/>
      <c r="CX208" s="1663"/>
      <c r="CY208" s="1663"/>
      <c r="CZ208" s="1663"/>
      <c r="DA208" s="1663"/>
      <c r="DB208" s="1668"/>
      <c r="DC208" s="1662"/>
      <c r="DD208" s="1665">
        <v>0</v>
      </c>
      <c r="DE208" s="1663"/>
      <c r="DF208" s="1663"/>
      <c r="DG208" s="1665">
        <v>0</v>
      </c>
      <c r="DH208" s="1665">
        <v>0</v>
      </c>
    </row>
    <row r="209" spans="1:112" ht="45" hidden="1" x14ac:dyDescent="0.25">
      <c r="A209" s="1662" t="s">
        <v>2263</v>
      </c>
      <c r="B209" s="1662" t="s">
        <v>1725</v>
      </c>
      <c r="C209" s="1662" t="s">
        <v>2633</v>
      </c>
      <c r="D209" s="1662" t="s">
        <v>2634</v>
      </c>
      <c r="E209" s="1662" t="s">
        <v>268</v>
      </c>
      <c r="F209" s="1662" t="s">
        <v>2635</v>
      </c>
      <c r="G209" s="1662" t="s">
        <v>2628</v>
      </c>
      <c r="H209" s="1662" t="s">
        <v>2613</v>
      </c>
      <c r="I209" s="1662" t="s">
        <v>723</v>
      </c>
      <c r="J209" s="1662" t="s">
        <v>301</v>
      </c>
      <c r="K209" s="1662" t="s">
        <v>2117</v>
      </c>
      <c r="L209" s="1662" t="s">
        <v>2109</v>
      </c>
      <c r="M209" s="1663"/>
      <c r="N209" s="1663"/>
      <c r="O209" s="1663"/>
      <c r="P209" s="1663"/>
      <c r="Q209" s="1663"/>
      <c r="R209" s="1663"/>
      <c r="S209" s="1663"/>
      <c r="T209" s="1663"/>
      <c r="U209" s="1663"/>
      <c r="V209" s="1663"/>
      <c r="W209" s="1663"/>
      <c r="X209" s="1663"/>
      <c r="Y209" s="1664">
        <v>43157</v>
      </c>
      <c r="Z209" s="1662" t="s">
        <v>2110</v>
      </c>
      <c r="AA209" s="1665">
        <v>0</v>
      </c>
      <c r="AB209" s="1665">
        <v>0</v>
      </c>
      <c r="AC209" s="1680">
        <v>0</v>
      </c>
      <c r="AD209" s="1682">
        <v>43167</v>
      </c>
      <c r="AE209" s="1679" t="s">
        <v>2129</v>
      </c>
      <c r="AF209" s="1662" t="s">
        <v>2112</v>
      </c>
      <c r="AG209" s="1666"/>
      <c r="AH209" s="1667">
        <v>0</v>
      </c>
      <c r="AI209" s="1665">
        <v>0</v>
      </c>
      <c r="AJ209" s="1665">
        <v>0</v>
      </c>
      <c r="AK209" s="1698">
        <v>0</v>
      </c>
      <c r="AL209" s="1665">
        <v>0</v>
      </c>
      <c r="AM209" s="1668"/>
      <c r="AN209" s="1665">
        <v>0</v>
      </c>
      <c r="AO209" s="1665">
        <v>0</v>
      </c>
      <c r="AP209" s="1665">
        <v>0</v>
      </c>
      <c r="AQ209" s="1665">
        <v>0</v>
      </c>
      <c r="AR209" s="1665">
        <v>0</v>
      </c>
      <c r="AS209" s="1665">
        <v>0</v>
      </c>
      <c r="AT209" s="1665">
        <v>0</v>
      </c>
      <c r="AU209" s="1665">
        <v>0</v>
      </c>
      <c r="AV209" s="1665">
        <v>0</v>
      </c>
      <c r="AW209" s="1665">
        <v>0</v>
      </c>
      <c r="AX209" s="1663"/>
      <c r="AY209" s="1663"/>
      <c r="AZ209" s="1663"/>
      <c r="BA209" s="1668"/>
      <c r="BB209" s="1668"/>
      <c r="BC209" s="1663"/>
      <c r="BD209" s="1663"/>
      <c r="BE209" s="1665">
        <v>0</v>
      </c>
      <c r="BF209" s="1665">
        <v>0</v>
      </c>
      <c r="BG209" s="1665">
        <v>0</v>
      </c>
      <c r="BH209" s="1665">
        <v>0</v>
      </c>
      <c r="BI209" s="1665">
        <v>0</v>
      </c>
      <c r="BJ209" s="1665">
        <v>0</v>
      </c>
      <c r="BK209" s="1665">
        <v>0</v>
      </c>
      <c r="BL209" s="1665">
        <v>0</v>
      </c>
      <c r="BM209" s="1665">
        <v>0</v>
      </c>
      <c r="BN209" s="1665">
        <v>0</v>
      </c>
      <c r="BO209" s="1668"/>
      <c r="BP209" s="1665">
        <v>0</v>
      </c>
      <c r="BQ209" s="1665">
        <v>0</v>
      </c>
      <c r="BR209" s="1665">
        <v>0</v>
      </c>
      <c r="BS209" s="1667">
        <v>0</v>
      </c>
      <c r="BT209" s="1665">
        <v>0</v>
      </c>
      <c r="BU209" s="1665">
        <v>0</v>
      </c>
      <c r="BV209" s="1665">
        <v>0</v>
      </c>
      <c r="BW209" s="1665">
        <v>0</v>
      </c>
      <c r="BX209" s="1665">
        <v>0</v>
      </c>
      <c r="BY209" s="1665">
        <v>0</v>
      </c>
      <c r="BZ209" s="1663"/>
      <c r="CA209" s="1663"/>
      <c r="CB209" s="1668"/>
      <c r="CC209" s="1668"/>
      <c r="CD209" s="1663"/>
      <c r="CE209" s="1663"/>
      <c r="CF209" s="1665">
        <v>0</v>
      </c>
      <c r="CG209" s="1665">
        <v>0</v>
      </c>
      <c r="CH209" s="1665">
        <v>0</v>
      </c>
      <c r="CI209" s="1665">
        <v>0</v>
      </c>
      <c r="CJ209" s="1665">
        <v>0</v>
      </c>
      <c r="CK209" s="1665">
        <v>0</v>
      </c>
      <c r="CL209" s="1668"/>
      <c r="CM209" s="1665">
        <v>0</v>
      </c>
      <c r="CN209" s="1665">
        <v>0</v>
      </c>
      <c r="CO209" s="1665">
        <v>0</v>
      </c>
      <c r="CP209" s="1665">
        <v>0</v>
      </c>
      <c r="CQ209" s="1665">
        <v>0</v>
      </c>
      <c r="CR209" s="1665">
        <v>0</v>
      </c>
      <c r="CS209" s="1665">
        <v>0</v>
      </c>
      <c r="CT209" s="1665">
        <v>0</v>
      </c>
      <c r="CU209" s="1665">
        <v>0</v>
      </c>
      <c r="CV209" s="1665">
        <v>0</v>
      </c>
      <c r="CW209" s="1668"/>
      <c r="CX209" s="1663"/>
      <c r="CY209" s="1663"/>
      <c r="CZ209" s="1663"/>
      <c r="DA209" s="1663"/>
      <c r="DB209" s="1668"/>
      <c r="DC209" s="1662"/>
      <c r="DD209" s="1665">
        <v>0</v>
      </c>
      <c r="DE209" s="1663"/>
      <c r="DF209" s="1663"/>
      <c r="DG209" s="1665">
        <v>0</v>
      </c>
      <c r="DH209" s="1665">
        <v>0</v>
      </c>
    </row>
    <row r="210" spans="1:112" ht="45" hidden="1" x14ac:dyDescent="0.25">
      <c r="A210" s="1662" t="s">
        <v>2264</v>
      </c>
      <c r="B210" s="1662" t="s">
        <v>1725</v>
      </c>
      <c r="C210" s="1662" t="s">
        <v>2633</v>
      </c>
      <c r="D210" s="1662" t="s">
        <v>2634</v>
      </c>
      <c r="E210" s="1662" t="s">
        <v>268</v>
      </c>
      <c r="F210" s="1662" t="s">
        <v>2635</v>
      </c>
      <c r="G210" s="1662" t="s">
        <v>2628</v>
      </c>
      <c r="H210" s="1662" t="s">
        <v>2613</v>
      </c>
      <c r="I210" s="1662" t="s">
        <v>723</v>
      </c>
      <c r="J210" s="1662" t="s">
        <v>301</v>
      </c>
      <c r="K210" s="1662" t="s">
        <v>2117</v>
      </c>
      <c r="L210" s="1662" t="s">
        <v>2109</v>
      </c>
      <c r="M210" s="1663"/>
      <c r="N210" s="1663"/>
      <c r="O210" s="1663"/>
      <c r="P210" s="1663"/>
      <c r="Q210" s="1663"/>
      <c r="R210" s="1663"/>
      <c r="S210" s="1663"/>
      <c r="T210" s="1663"/>
      <c r="U210" s="1663"/>
      <c r="V210" s="1663"/>
      <c r="W210" s="1663"/>
      <c r="X210" s="1663"/>
      <c r="Y210" s="1664">
        <v>43223</v>
      </c>
      <c r="Z210" s="1662" t="s">
        <v>2145</v>
      </c>
      <c r="AA210" s="1665">
        <v>0</v>
      </c>
      <c r="AB210" s="1665">
        <v>0</v>
      </c>
      <c r="AC210" s="1680">
        <v>0</v>
      </c>
      <c r="AD210" s="1682">
        <v>43235</v>
      </c>
      <c r="AE210" s="1679" t="s">
        <v>2130</v>
      </c>
      <c r="AF210" s="1662" t="s">
        <v>2112</v>
      </c>
      <c r="AG210" s="1666"/>
      <c r="AH210" s="1667">
        <v>95323.19</v>
      </c>
      <c r="AI210" s="1665">
        <v>95323.19</v>
      </c>
      <c r="AJ210" s="1665">
        <v>95323.19</v>
      </c>
      <c r="AK210" s="1698">
        <v>87594.28</v>
      </c>
      <c r="AL210" s="1665">
        <v>7728.91</v>
      </c>
      <c r="AM210" s="1668"/>
      <c r="AN210" s="1665">
        <v>0</v>
      </c>
      <c r="AO210" s="1665">
        <v>0</v>
      </c>
      <c r="AP210" s="1665">
        <v>0</v>
      </c>
      <c r="AQ210" s="1665">
        <v>0</v>
      </c>
      <c r="AR210" s="1665">
        <v>0</v>
      </c>
      <c r="AS210" s="1665">
        <v>0</v>
      </c>
      <c r="AT210" s="1665">
        <v>0</v>
      </c>
      <c r="AU210" s="1665">
        <v>0</v>
      </c>
      <c r="AV210" s="1665">
        <v>0</v>
      </c>
      <c r="AW210" s="1665">
        <v>0</v>
      </c>
      <c r="AX210" s="1663"/>
      <c r="AY210" s="1663"/>
      <c r="AZ210" s="1663"/>
      <c r="BA210" s="1668"/>
      <c r="BB210" s="1668"/>
      <c r="BC210" s="1663"/>
      <c r="BD210" s="1663"/>
      <c r="BE210" s="1665">
        <v>0</v>
      </c>
      <c r="BF210" s="1665">
        <v>0</v>
      </c>
      <c r="BG210" s="1665">
        <v>0</v>
      </c>
      <c r="BH210" s="1665">
        <v>0</v>
      </c>
      <c r="BI210" s="1665">
        <v>0</v>
      </c>
      <c r="BJ210" s="1665">
        <v>0</v>
      </c>
      <c r="BK210" s="1665">
        <v>0</v>
      </c>
      <c r="BL210" s="1665">
        <v>0</v>
      </c>
      <c r="BM210" s="1665">
        <v>0</v>
      </c>
      <c r="BN210" s="1665">
        <v>0</v>
      </c>
      <c r="BO210" s="1668"/>
      <c r="BP210" s="1665">
        <v>0</v>
      </c>
      <c r="BQ210" s="1665">
        <v>0</v>
      </c>
      <c r="BR210" s="1665">
        <v>0</v>
      </c>
      <c r="BS210" s="1667">
        <v>0</v>
      </c>
      <c r="BT210" s="1665">
        <v>0</v>
      </c>
      <c r="BU210" s="1665">
        <v>0</v>
      </c>
      <c r="BV210" s="1665">
        <v>0</v>
      </c>
      <c r="BW210" s="1665">
        <v>0</v>
      </c>
      <c r="BX210" s="1665">
        <v>0</v>
      </c>
      <c r="BY210" s="1665">
        <v>0</v>
      </c>
      <c r="BZ210" s="1663"/>
      <c r="CA210" s="1663"/>
      <c r="CB210" s="1668"/>
      <c r="CC210" s="1668"/>
      <c r="CD210" s="1663"/>
      <c r="CE210" s="1663"/>
      <c r="CF210" s="1665">
        <v>0</v>
      </c>
      <c r="CG210" s="1665">
        <v>0</v>
      </c>
      <c r="CH210" s="1665">
        <v>0</v>
      </c>
      <c r="CI210" s="1665">
        <v>0</v>
      </c>
      <c r="CJ210" s="1665">
        <v>0</v>
      </c>
      <c r="CK210" s="1665">
        <v>0</v>
      </c>
      <c r="CL210" s="1668"/>
      <c r="CM210" s="1665">
        <v>0</v>
      </c>
      <c r="CN210" s="1665">
        <v>0</v>
      </c>
      <c r="CO210" s="1665">
        <v>0</v>
      </c>
      <c r="CP210" s="1665">
        <v>0</v>
      </c>
      <c r="CQ210" s="1665">
        <v>0</v>
      </c>
      <c r="CR210" s="1665">
        <v>0</v>
      </c>
      <c r="CS210" s="1665">
        <v>0</v>
      </c>
      <c r="CT210" s="1665">
        <v>0</v>
      </c>
      <c r="CU210" s="1665">
        <v>0</v>
      </c>
      <c r="CV210" s="1665">
        <v>0</v>
      </c>
      <c r="CW210" s="1668"/>
      <c r="CX210" s="1663"/>
      <c r="CY210" s="1663"/>
      <c r="CZ210" s="1663"/>
      <c r="DA210" s="1663"/>
      <c r="DB210" s="1668"/>
      <c r="DC210" s="1662"/>
      <c r="DD210" s="1665">
        <v>0</v>
      </c>
      <c r="DE210" s="1663"/>
      <c r="DF210" s="1663"/>
      <c r="DG210" s="1665">
        <v>0</v>
      </c>
      <c r="DH210" s="1665">
        <v>0</v>
      </c>
    </row>
    <row r="211" spans="1:112" ht="45" hidden="1" x14ac:dyDescent="0.25">
      <c r="A211" s="1662" t="s">
        <v>2265</v>
      </c>
      <c r="B211" s="1662" t="s">
        <v>1725</v>
      </c>
      <c r="C211" s="1662" t="s">
        <v>2633</v>
      </c>
      <c r="D211" s="1662" t="s">
        <v>2634</v>
      </c>
      <c r="E211" s="1662" t="s">
        <v>268</v>
      </c>
      <c r="F211" s="1662" t="s">
        <v>2635</v>
      </c>
      <c r="G211" s="1662" t="s">
        <v>2628</v>
      </c>
      <c r="H211" s="1662" t="s">
        <v>2613</v>
      </c>
      <c r="I211" s="1662" t="s">
        <v>723</v>
      </c>
      <c r="J211" s="1662" t="s">
        <v>301</v>
      </c>
      <c r="K211" s="1662" t="s">
        <v>2117</v>
      </c>
      <c r="L211" s="1662" t="s">
        <v>2109</v>
      </c>
      <c r="M211" s="1663"/>
      <c r="N211" s="1663"/>
      <c r="O211" s="1663"/>
      <c r="P211" s="1663"/>
      <c r="Q211" s="1663"/>
      <c r="R211" s="1663"/>
      <c r="S211" s="1663"/>
      <c r="T211" s="1663"/>
      <c r="U211" s="1663"/>
      <c r="V211" s="1663"/>
      <c r="W211" s="1663"/>
      <c r="X211" s="1663"/>
      <c r="Y211" s="1664">
        <v>43248</v>
      </c>
      <c r="Z211" s="1662" t="s">
        <v>2110</v>
      </c>
      <c r="AA211" s="1665">
        <v>0</v>
      </c>
      <c r="AB211" s="1665">
        <v>0</v>
      </c>
      <c r="AC211" s="1680">
        <v>0</v>
      </c>
      <c r="AD211" s="1682">
        <v>43269</v>
      </c>
      <c r="AE211" s="1679" t="s">
        <v>2137</v>
      </c>
      <c r="AF211" s="1662" t="s">
        <v>2115</v>
      </c>
      <c r="AG211" s="1666"/>
      <c r="AH211" s="1667">
        <v>88495.42</v>
      </c>
      <c r="AI211" s="1665">
        <v>88495.42</v>
      </c>
      <c r="AJ211" s="1665">
        <v>81858.259999999995</v>
      </c>
      <c r="AK211" s="1698">
        <v>75221.11</v>
      </c>
      <c r="AL211" s="1665">
        <v>6637.15</v>
      </c>
      <c r="AM211" s="1664">
        <v>43270</v>
      </c>
      <c r="AN211" s="1665">
        <v>88495.42</v>
      </c>
      <c r="AO211" s="1665">
        <v>88495.42</v>
      </c>
      <c r="AP211" s="1665">
        <v>81858.259999999995</v>
      </c>
      <c r="AQ211" s="1665">
        <v>75221.11</v>
      </c>
      <c r="AR211" s="1665">
        <v>6637.15</v>
      </c>
      <c r="AS211" s="1665">
        <v>6637.16</v>
      </c>
      <c r="AT211" s="1665">
        <v>0</v>
      </c>
      <c r="AU211" s="1665">
        <v>6637.16</v>
      </c>
      <c r="AV211" s="1665">
        <v>0</v>
      </c>
      <c r="AW211" s="1665">
        <v>0</v>
      </c>
      <c r="AX211" s="1663"/>
      <c r="AY211" s="1663"/>
      <c r="AZ211" s="1663"/>
      <c r="BA211" s="1668"/>
      <c r="BB211" s="1668"/>
      <c r="BC211" s="1663"/>
      <c r="BD211" s="1663"/>
      <c r="BE211" s="1665">
        <v>88495.42</v>
      </c>
      <c r="BF211" s="1665">
        <v>88495.42</v>
      </c>
      <c r="BG211" s="1665">
        <v>81858.259999999995</v>
      </c>
      <c r="BH211" s="1665">
        <v>75221.11</v>
      </c>
      <c r="BI211" s="1665">
        <v>6637.15</v>
      </c>
      <c r="BJ211" s="1665">
        <v>6637.16</v>
      </c>
      <c r="BK211" s="1665">
        <v>0</v>
      </c>
      <c r="BL211" s="1665">
        <v>6637.16</v>
      </c>
      <c r="BM211" s="1665">
        <v>0</v>
      </c>
      <c r="BN211" s="1665">
        <v>0</v>
      </c>
      <c r="BO211" s="1664">
        <v>43364</v>
      </c>
      <c r="BP211" s="1665">
        <v>88495.42</v>
      </c>
      <c r="BQ211" s="1665">
        <v>88495.42</v>
      </c>
      <c r="BR211" s="1665">
        <v>81858.259999999995</v>
      </c>
      <c r="BS211" s="1667">
        <v>75221.11</v>
      </c>
      <c r="BT211" s="1665">
        <v>6637.15</v>
      </c>
      <c r="BU211" s="1665">
        <v>6637.16</v>
      </c>
      <c r="BV211" s="1665">
        <v>0</v>
      </c>
      <c r="BW211" s="1665">
        <v>0</v>
      </c>
      <c r="BX211" s="1665">
        <v>0</v>
      </c>
      <c r="BY211" s="1665">
        <v>0</v>
      </c>
      <c r="BZ211" s="1665">
        <v>0</v>
      </c>
      <c r="CA211" s="1663"/>
      <c r="CB211" s="1668"/>
      <c r="CC211" s="1668"/>
      <c r="CD211" s="1663"/>
      <c r="CE211" s="1663"/>
      <c r="CF211" s="1665">
        <v>0</v>
      </c>
      <c r="CG211" s="1665">
        <v>0</v>
      </c>
      <c r="CH211" s="1665">
        <v>0</v>
      </c>
      <c r="CI211" s="1665">
        <v>0</v>
      </c>
      <c r="CJ211" s="1665">
        <v>0</v>
      </c>
      <c r="CK211" s="1665">
        <v>0</v>
      </c>
      <c r="CL211" s="1668"/>
      <c r="CM211" s="1665">
        <v>0</v>
      </c>
      <c r="CN211" s="1665">
        <v>0</v>
      </c>
      <c r="CO211" s="1665">
        <v>0</v>
      </c>
      <c r="CP211" s="1665">
        <v>0</v>
      </c>
      <c r="CQ211" s="1665">
        <v>0</v>
      </c>
      <c r="CR211" s="1665">
        <v>0</v>
      </c>
      <c r="CS211" s="1665">
        <v>0</v>
      </c>
      <c r="CT211" s="1665">
        <v>0</v>
      </c>
      <c r="CU211" s="1665">
        <v>0</v>
      </c>
      <c r="CV211" s="1665">
        <v>0</v>
      </c>
      <c r="CW211" s="1668"/>
      <c r="CX211" s="1663"/>
      <c r="CY211" s="1663"/>
      <c r="CZ211" s="1663"/>
      <c r="DA211" s="1663"/>
      <c r="DB211" s="1668"/>
      <c r="DC211" s="1662"/>
      <c r="DD211" s="1665">
        <v>0</v>
      </c>
      <c r="DE211" s="1663"/>
      <c r="DF211" s="1663"/>
      <c r="DG211" s="1665">
        <v>0</v>
      </c>
      <c r="DH211" s="1665">
        <v>0</v>
      </c>
    </row>
    <row r="212" spans="1:112" ht="45" hidden="1" x14ac:dyDescent="0.25">
      <c r="A212" s="1662" t="s">
        <v>2266</v>
      </c>
      <c r="B212" s="1662" t="s">
        <v>1725</v>
      </c>
      <c r="C212" s="1662" t="s">
        <v>2633</v>
      </c>
      <c r="D212" s="1662" t="s">
        <v>2634</v>
      </c>
      <c r="E212" s="1662" t="s">
        <v>268</v>
      </c>
      <c r="F212" s="1662" t="s">
        <v>2635</v>
      </c>
      <c r="G212" s="1662" t="s">
        <v>2628</v>
      </c>
      <c r="H212" s="1662" t="s">
        <v>2613</v>
      </c>
      <c r="I212" s="1662" t="s">
        <v>723</v>
      </c>
      <c r="J212" s="1662" t="s">
        <v>301</v>
      </c>
      <c r="K212" s="1662" t="s">
        <v>2117</v>
      </c>
      <c r="L212" s="1662" t="s">
        <v>2109</v>
      </c>
      <c r="M212" s="1663"/>
      <c r="N212" s="1663"/>
      <c r="O212" s="1663"/>
      <c r="P212" s="1663"/>
      <c r="Q212" s="1663"/>
      <c r="R212" s="1663"/>
      <c r="S212" s="1663"/>
      <c r="T212" s="1663"/>
      <c r="U212" s="1663"/>
      <c r="V212" s="1663"/>
      <c r="W212" s="1663"/>
      <c r="X212" s="1663"/>
      <c r="Y212" s="1664">
        <v>43248</v>
      </c>
      <c r="Z212" s="1662" t="s">
        <v>2110</v>
      </c>
      <c r="AA212" s="1665">
        <v>0</v>
      </c>
      <c r="AB212" s="1665">
        <v>0</v>
      </c>
      <c r="AC212" s="1680">
        <v>0</v>
      </c>
      <c r="AD212" s="1682">
        <v>43269</v>
      </c>
      <c r="AE212" s="1679" t="s">
        <v>2137</v>
      </c>
      <c r="AF212" s="1662" t="s">
        <v>2112</v>
      </c>
      <c r="AG212" s="1666"/>
      <c r="AH212" s="1667">
        <v>964.6</v>
      </c>
      <c r="AI212" s="1665">
        <v>964.6</v>
      </c>
      <c r="AJ212" s="1665">
        <v>892.25</v>
      </c>
      <c r="AK212" s="1698">
        <v>819.91</v>
      </c>
      <c r="AL212" s="1665">
        <v>72.34</v>
      </c>
      <c r="AM212" s="1664">
        <v>43269</v>
      </c>
      <c r="AN212" s="1665">
        <v>964.6</v>
      </c>
      <c r="AO212" s="1665">
        <v>964.6</v>
      </c>
      <c r="AP212" s="1665">
        <v>892.25</v>
      </c>
      <c r="AQ212" s="1665">
        <v>819.91</v>
      </c>
      <c r="AR212" s="1665">
        <v>72.34</v>
      </c>
      <c r="AS212" s="1665">
        <v>72.349999999999994</v>
      </c>
      <c r="AT212" s="1665">
        <v>0</v>
      </c>
      <c r="AU212" s="1665">
        <v>72.349999999999994</v>
      </c>
      <c r="AV212" s="1665">
        <v>0</v>
      </c>
      <c r="AW212" s="1665">
        <v>0</v>
      </c>
      <c r="AX212" s="1663"/>
      <c r="AY212" s="1663"/>
      <c r="AZ212" s="1663"/>
      <c r="BA212" s="1668"/>
      <c r="BB212" s="1668"/>
      <c r="BC212" s="1663"/>
      <c r="BD212" s="1663"/>
      <c r="BE212" s="1665">
        <v>964.6</v>
      </c>
      <c r="BF212" s="1665">
        <v>964.6</v>
      </c>
      <c r="BG212" s="1665">
        <v>892.25</v>
      </c>
      <c r="BH212" s="1665">
        <v>819.91</v>
      </c>
      <c r="BI212" s="1665">
        <v>72.34</v>
      </c>
      <c r="BJ212" s="1665">
        <v>72.349999999999994</v>
      </c>
      <c r="BK212" s="1665">
        <v>0</v>
      </c>
      <c r="BL212" s="1665">
        <v>72.349999999999994</v>
      </c>
      <c r="BM212" s="1665">
        <v>0</v>
      </c>
      <c r="BN212" s="1665">
        <v>0</v>
      </c>
      <c r="BO212" s="1664">
        <v>43364</v>
      </c>
      <c r="BP212" s="1665">
        <v>964.6</v>
      </c>
      <c r="BQ212" s="1665">
        <v>964.6</v>
      </c>
      <c r="BR212" s="1665">
        <v>892.25</v>
      </c>
      <c r="BS212" s="1667">
        <v>819.91</v>
      </c>
      <c r="BT212" s="1665">
        <v>72.34</v>
      </c>
      <c r="BU212" s="1665">
        <v>72.349999999999994</v>
      </c>
      <c r="BV212" s="1665">
        <v>0</v>
      </c>
      <c r="BW212" s="1665">
        <v>0</v>
      </c>
      <c r="BX212" s="1665">
        <v>0</v>
      </c>
      <c r="BY212" s="1665">
        <v>0</v>
      </c>
      <c r="BZ212" s="1665">
        <v>0</v>
      </c>
      <c r="CA212" s="1663"/>
      <c r="CB212" s="1668"/>
      <c r="CC212" s="1668"/>
      <c r="CD212" s="1663"/>
      <c r="CE212" s="1663"/>
      <c r="CF212" s="1665">
        <v>0</v>
      </c>
      <c r="CG212" s="1665">
        <v>0</v>
      </c>
      <c r="CH212" s="1665">
        <v>0</v>
      </c>
      <c r="CI212" s="1665">
        <v>0</v>
      </c>
      <c r="CJ212" s="1665">
        <v>964.6</v>
      </c>
      <c r="CK212" s="1665">
        <v>964.6</v>
      </c>
      <c r="CL212" s="1668"/>
      <c r="CM212" s="1665">
        <v>0</v>
      </c>
      <c r="CN212" s="1665">
        <v>0</v>
      </c>
      <c r="CO212" s="1665">
        <v>0</v>
      </c>
      <c r="CP212" s="1665">
        <v>0</v>
      </c>
      <c r="CQ212" s="1665">
        <v>0</v>
      </c>
      <c r="CR212" s="1665">
        <v>0</v>
      </c>
      <c r="CS212" s="1665">
        <v>0</v>
      </c>
      <c r="CT212" s="1665">
        <v>0</v>
      </c>
      <c r="CU212" s="1665">
        <v>0</v>
      </c>
      <c r="CV212" s="1665">
        <v>0</v>
      </c>
      <c r="CW212" s="1668"/>
      <c r="CX212" s="1663"/>
      <c r="CY212" s="1663"/>
      <c r="CZ212" s="1663"/>
      <c r="DA212" s="1663"/>
      <c r="DB212" s="1668"/>
      <c r="DC212" s="1662"/>
      <c r="DD212" s="1665">
        <v>0</v>
      </c>
      <c r="DE212" s="1663"/>
      <c r="DF212" s="1663"/>
      <c r="DG212" s="1665">
        <v>0</v>
      </c>
      <c r="DH212" s="1665">
        <v>0</v>
      </c>
    </row>
    <row r="213" spans="1:112" ht="22.5" hidden="1" x14ac:dyDescent="0.25">
      <c r="A213" s="1662" t="s">
        <v>2267</v>
      </c>
      <c r="B213" s="1662" t="s">
        <v>1725</v>
      </c>
      <c r="C213" s="1662" t="s">
        <v>2633</v>
      </c>
      <c r="D213" s="1662" t="s">
        <v>2634</v>
      </c>
      <c r="E213" s="1662" t="s">
        <v>143</v>
      </c>
      <c r="F213" s="1662"/>
      <c r="G213" s="1662"/>
      <c r="H213" s="1662"/>
      <c r="I213" s="1662"/>
      <c r="J213" s="1662"/>
      <c r="K213" s="1662"/>
      <c r="L213" s="1662"/>
      <c r="M213" s="1665">
        <v>1972835.51</v>
      </c>
      <c r="N213" s="1665">
        <v>0</v>
      </c>
      <c r="O213" s="1665">
        <v>1972835.51</v>
      </c>
      <c r="P213" s="1665">
        <v>1972835.51</v>
      </c>
      <c r="Q213" s="1665">
        <v>1198163.7</v>
      </c>
      <c r="R213" s="1665">
        <v>1198163.7</v>
      </c>
      <c r="S213" s="1665">
        <v>0</v>
      </c>
      <c r="T213" s="1665">
        <v>774671.81</v>
      </c>
      <c r="U213" s="1665">
        <v>352400.82</v>
      </c>
      <c r="V213" s="1665">
        <v>422270.99</v>
      </c>
      <c r="W213" s="1665">
        <v>0</v>
      </c>
      <c r="X213" s="1665">
        <v>0</v>
      </c>
      <c r="Y213" s="1668"/>
      <c r="Z213" s="1662"/>
      <c r="AA213" s="1665">
        <v>26000</v>
      </c>
      <c r="AB213" s="1665">
        <v>26000</v>
      </c>
      <c r="AC213" s="1680">
        <v>0</v>
      </c>
      <c r="AD213" s="1681"/>
      <c r="AE213" s="1679"/>
      <c r="AF213" s="1662"/>
      <c r="AG213" s="1666"/>
      <c r="AH213" s="1667">
        <v>1158712.55</v>
      </c>
      <c r="AI213" s="1665">
        <v>1158712.55</v>
      </c>
      <c r="AJ213" s="1665">
        <v>689861.23</v>
      </c>
      <c r="AK213" s="1698">
        <v>689861.23</v>
      </c>
      <c r="AL213" s="1665">
        <v>0</v>
      </c>
      <c r="AM213" s="1668"/>
      <c r="AN213" s="1665">
        <v>948850.29</v>
      </c>
      <c r="AO213" s="1665">
        <v>948850.29</v>
      </c>
      <c r="AP213" s="1665">
        <v>505998.97</v>
      </c>
      <c r="AQ213" s="1665">
        <v>505998.97</v>
      </c>
      <c r="AR213" s="1665">
        <v>0</v>
      </c>
      <c r="AS213" s="1665">
        <v>442851.32</v>
      </c>
      <c r="AT213" s="1665">
        <v>284116.38</v>
      </c>
      <c r="AU213" s="1665">
        <v>158734.94</v>
      </c>
      <c r="AV213" s="1665">
        <v>0</v>
      </c>
      <c r="AW213" s="1665">
        <v>0</v>
      </c>
      <c r="AX213" s="1665">
        <v>0</v>
      </c>
      <c r="AY213" s="1665">
        <v>0</v>
      </c>
      <c r="AZ213" s="1665">
        <v>0</v>
      </c>
      <c r="BA213" s="1668"/>
      <c r="BB213" s="1668"/>
      <c r="BC213" s="1665">
        <v>0</v>
      </c>
      <c r="BD213" s="1665">
        <v>0</v>
      </c>
      <c r="BE213" s="1665">
        <v>948850.29</v>
      </c>
      <c r="BF213" s="1665">
        <v>948850.29</v>
      </c>
      <c r="BG213" s="1665">
        <v>505998.97</v>
      </c>
      <c r="BH213" s="1665">
        <v>505998.97</v>
      </c>
      <c r="BI213" s="1665">
        <v>0</v>
      </c>
      <c r="BJ213" s="1665">
        <v>442851.32</v>
      </c>
      <c r="BK213" s="1665">
        <v>284116.38</v>
      </c>
      <c r="BL213" s="1665">
        <v>158734.94</v>
      </c>
      <c r="BM213" s="1665">
        <v>0</v>
      </c>
      <c r="BN213" s="1665">
        <v>0</v>
      </c>
      <c r="BO213" s="1668"/>
      <c r="BP213" s="1665">
        <v>770595.9</v>
      </c>
      <c r="BQ213" s="1665">
        <v>770595.9</v>
      </c>
      <c r="BR213" s="1665">
        <v>383422.58</v>
      </c>
      <c r="BS213" s="1667">
        <v>383422.58</v>
      </c>
      <c r="BT213" s="1665">
        <v>0</v>
      </c>
      <c r="BU213" s="1665">
        <v>387173.32</v>
      </c>
      <c r="BV213" s="1665">
        <v>284116.38</v>
      </c>
      <c r="BW213" s="1665">
        <v>0</v>
      </c>
      <c r="BX213" s="1665">
        <v>0</v>
      </c>
      <c r="BY213" s="1665">
        <v>0</v>
      </c>
      <c r="BZ213" s="1665">
        <v>0</v>
      </c>
      <c r="CA213" s="1665">
        <v>0</v>
      </c>
      <c r="CB213" s="1668"/>
      <c r="CC213" s="1668"/>
      <c r="CD213" s="1665">
        <v>0</v>
      </c>
      <c r="CE213" s="1665">
        <v>0</v>
      </c>
      <c r="CF213" s="1665">
        <v>0</v>
      </c>
      <c r="CG213" s="1665">
        <v>0</v>
      </c>
      <c r="CH213" s="1665">
        <v>0</v>
      </c>
      <c r="CI213" s="1665">
        <v>0</v>
      </c>
      <c r="CJ213" s="1665">
        <v>6665.46</v>
      </c>
      <c r="CK213" s="1665">
        <v>6665.46</v>
      </c>
      <c r="CL213" s="1668"/>
      <c r="CM213" s="1665">
        <v>0</v>
      </c>
      <c r="CN213" s="1665">
        <v>0</v>
      </c>
      <c r="CO213" s="1665">
        <v>0</v>
      </c>
      <c r="CP213" s="1665">
        <v>0</v>
      </c>
      <c r="CQ213" s="1665">
        <v>0</v>
      </c>
      <c r="CR213" s="1665">
        <v>0</v>
      </c>
      <c r="CS213" s="1665">
        <v>0</v>
      </c>
      <c r="CT213" s="1665">
        <v>0</v>
      </c>
      <c r="CU213" s="1665">
        <v>0</v>
      </c>
      <c r="CV213" s="1665">
        <v>0</v>
      </c>
      <c r="CW213" s="1668"/>
      <c r="CX213" s="1665">
        <v>0</v>
      </c>
      <c r="CY213" s="1665">
        <v>0</v>
      </c>
      <c r="CZ213" s="1665">
        <v>0</v>
      </c>
      <c r="DA213" s="1665">
        <v>0</v>
      </c>
      <c r="DB213" s="1668"/>
      <c r="DC213" s="1662"/>
      <c r="DD213" s="1665">
        <v>0</v>
      </c>
      <c r="DE213" s="1665">
        <v>0</v>
      </c>
      <c r="DF213" s="1665">
        <v>0</v>
      </c>
      <c r="DG213" s="1665">
        <v>0</v>
      </c>
      <c r="DH213" s="1665">
        <v>0</v>
      </c>
    </row>
    <row r="214" spans="1:112" ht="45" hidden="1" x14ac:dyDescent="0.25">
      <c r="A214" s="1662" t="s">
        <v>2268</v>
      </c>
      <c r="B214" s="1662" t="s">
        <v>1725</v>
      </c>
      <c r="C214" s="1662" t="s">
        <v>2633</v>
      </c>
      <c r="D214" s="1662" t="s">
        <v>2634</v>
      </c>
      <c r="E214" s="1662" t="s">
        <v>143</v>
      </c>
      <c r="F214" s="1662" t="s">
        <v>2627</v>
      </c>
      <c r="G214" s="1662" t="s">
        <v>2628</v>
      </c>
      <c r="H214" s="1662" t="s">
        <v>2613</v>
      </c>
      <c r="I214" s="1662" t="s">
        <v>724</v>
      </c>
      <c r="J214" s="1662" t="s">
        <v>134</v>
      </c>
      <c r="K214" s="1662" t="s">
        <v>2108</v>
      </c>
      <c r="L214" s="1662" t="s">
        <v>2109</v>
      </c>
      <c r="M214" s="1665">
        <v>352401</v>
      </c>
      <c r="N214" s="1665">
        <v>0</v>
      </c>
      <c r="O214" s="1665">
        <v>352401</v>
      </c>
      <c r="P214" s="1665">
        <v>352401</v>
      </c>
      <c r="Q214" s="1665">
        <v>299540.84999999998</v>
      </c>
      <c r="R214" s="1665">
        <v>299540.84999999998</v>
      </c>
      <c r="S214" s="1665">
        <v>0</v>
      </c>
      <c r="T214" s="1665">
        <v>52860.15</v>
      </c>
      <c r="U214" s="1665">
        <v>0</v>
      </c>
      <c r="V214" s="1665">
        <v>52860.15</v>
      </c>
      <c r="W214" s="1665">
        <v>0</v>
      </c>
      <c r="X214" s="1665">
        <v>0</v>
      </c>
      <c r="Y214" s="1668"/>
      <c r="Z214" s="1662"/>
      <c r="AA214" s="1665">
        <v>0</v>
      </c>
      <c r="AB214" s="1665">
        <v>0</v>
      </c>
      <c r="AC214" s="1680">
        <v>0</v>
      </c>
      <c r="AD214" s="1681"/>
      <c r="AE214" s="1679"/>
      <c r="AF214" s="1662"/>
      <c r="AG214" s="1666"/>
      <c r="AH214" s="1667">
        <v>307672.8</v>
      </c>
      <c r="AI214" s="1665">
        <v>307672.8</v>
      </c>
      <c r="AJ214" s="1665">
        <v>275001.21999999997</v>
      </c>
      <c r="AK214" s="1698">
        <v>275001.21999999997</v>
      </c>
      <c r="AL214" s="1665">
        <v>0</v>
      </c>
      <c r="AM214" s="1668"/>
      <c r="AN214" s="1665">
        <v>217810.54</v>
      </c>
      <c r="AO214" s="1665">
        <v>217810.54</v>
      </c>
      <c r="AP214" s="1665">
        <v>185138.96</v>
      </c>
      <c r="AQ214" s="1665">
        <v>185138.96</v>
      </c>
      <c r="AR214" s="1665">
        <v>0</v>
      </c>
      <c r="AS214" s="1665">
        <v>32671.58</v>
      </c>
      <c r="AT214" s="1665">
        <v>0</v>
      </c>
      <c r="AU214" s="1665">
        <v>32671.58</v>
      </c>
      <c r="AV214" s="1665">
        <v>0</v>
      </c>
      <c r="AW214" s="1665">
        <v>0</v>
      </c>
      <c r="AX214" s="1665">
        <v>0</v>
      </c>
      <c r="AY214" s="1665">
        <v>0</v>
      </c>
      <c r="AZ214" s="1665">
        <v>0</v>
      </c>
      <c r="BA214" s="1668"/>
      <c r="BB214" s="1668"/>
      <c r="BC214" s="1665">
        <v>0</v>
      </c>
      <c r="BD214" s="1665">
        <v>0</v>
      </c>
      <c r="BE214" s="1665">
        <v>217810.54</v>
      </c>
      <c r="BF214" s="1665">
        <v>217810.54</v>
      </c>
      <c r="BG214" s="1665">
        <v>185138.96</v>
      </c>
      <c r="BH214" s="1665">
        <v>185138.96</v>
      </c>
      <c r="BI214" s="1665">
        <v>0</v>
      </c>
      <c r="BJ214" s="1665">
        <v>32671.58</v>
      </c>
      <c r="BK214" s="1665">
        <v>0</v>
      </c>
      <c r="BL214" s="1665">
        <v>32671.58</v>
      </c>
      <c r="BM214" s="1665">
        <v>0</v>
      </c>
      <c r="BN214" s="1665">
        <v>0</v>
      </c>
      <c r="BO214" s="1668"/>
      <c r="BP214" s="1665">
        <v>141689.04999999999</v>
      </c>
      <c r="BQ214" s="1665">
        <v>141689.04999999999</v>
      </c>
      <c r="BR214" s="1665">
        <v>120435.69</v>
      </c>
      <c r="BS214" s="1667">
        <v>120435.69</v>
      </c>
      <c r="BT214" s="1665">
        <v>0</v>
      </c>
      <c r="BU214" s="1665">
        <v>21253.360000000001</v>
      </c>
      <c r="BV214" s="1665">
        <v>0</v>
      </c>
      <c r="BW214" s="1665">
        <v>0</v>
      </c>
      <c r="BX214" s="1665">
        <v>0</v>
      </c>
      <c r="BY214" s="1665">
        <v>0</v>
      </c>
      <c r="BZ214" s="1665">
        <v>0</v>
      </c>
      <c r="CA214" s="1665">
        <v>0</v>
      </c>
      <c r="CB214" s="1668"/>
      <c r="CC214" s="1668"/>
      <c r="CD214" s="1665">
        <v>0</v>
      </c>
      <c r="CE214" s="1665">
        <v>0</v>
      </c>
      <c r="CF214" s="1665">
        <v>0</v>
      </c>
      <c r="CG214" s="1665">
        <v>0</v>
      </c>
      <c r="CH214" s="1665">
        <v>0</v>
      </c>
      <c r="CI214" s="1665">
        <v>0</v>
      </c>
      <c r="CJ214" s="1665">
        <v>1541.61</v>
      </c>
      <c r="CK214" s="1665">
        <v>1541.61</v>
      </c>
      <c r="CL214" s="1668"/>
      <c r="CM214" s="1665">
        <v>0</v>
      </c>
      <c r="CN214" s="1665">
        <v>0</v>
      </c>
      <c r="CO214" s="1665">
        <v>0</v>
      </c>
      <c r="CP214" s="1665">
        <v>0</v>
      </c>
      <c r="CQ214" s="1665">
        <v>0</v>
      </c>
      <c r="CR214" s="1665">
        <v>0</v>
      </c>
      <c r="CS214" s="1665">
        <v>0</v>
      </c>
      <c r="CT214" s="1665">
        <v>0</v>
      </c>
      <c r="CU214" s="1665">
        <v>0</v>
      </c>
      <c r="CV214" s="1665">
        <v>0</v>
      </c>
      <c r="CW214" s="1668"/>
      <c r="CX214" s="1665">
        <v>0</v>
      </c>
      <c r="CY214" s="1665">
        <v>0</v>
      </c>
      <c r="CZ214" s="1665">
        <v>0</v>
      </c>
      <c r="DA214" s="1665">
        <v>0</v>
      </c>
      <c r="DB214" s="1668"/>
      <c r="DC214" s="1662"/>
      <c r="DD214" s="1665">
        <v>0</v>
      </c>
      <c r="DE214" s="1665">
        <v>0</v>
      </c>
      <c r="DF214" s="1665">
        <v>0</v>
      </c>
      <c r="DG214" s="1665">
        <v>0</v>
      </c>
      <c r="DH214" s="1665">
        <v>0</v>
      </c>
    </row>
    <row r="215" spans="1:112" ht="45" hidden="1" x14ac:dyDescent="0.25">
      <c r="A215" s="1662" t="s">
        <v>2269</v>
      </c>
      <c r="B215" s="1662" t="s">
        <v>1725</v>
      </c>
      <c r="C215" s="1662" t="s">
        <v>2633</v>
      </c>
      <c r="D215" s="1662" t="s">
        <v>2634</v>
      </c>
      <c r="E215" s="1662" t="s">
        <v>143</v>
      </c>
      <c r="F215" s="1662" t="s">
        <v>2627</v>
      </c>
      <c r="G215" s="1662" t="s">
        <v>2628</v>
      </c>
      <c r="H215" s="1662" t="s">
        <v>2613</v>
      </c>
      <c r="I215" s="1662" t="s">
        <v>724</v>
      </c>
      <c r="J215" s="1662" t="s">
        <v>134</v>
      </c>
      <c r="K215" s="1662" t="s">
        <v>2108</v>
      </c>
      <c r="L215" s="1662" t="s">
        <v>2109</v>
      </c>
      <c r="M215" s="1663"/>
      <c r="N215" s="1663"/>
      <c r="O215" s="1663"/>
      <c r="P215" s="1663"/>
      <c r="Q215" s="1663"/>
      <c r="R215" s="1663"/>
      <c r="S215" s="1663"/>
      <c r="T215" s="1663"/>
      <c r="U215" s="1663"/>
      <c r="V215" s="1663"/>
      <c r="W215" s="1663"/>
      <c r="X215" s="1663"/>
      <c r="Y215" s="1664">
        <v>42900</v>
      </c>
      <c r="Z215" s="1662" t="s">
        <v>2145</v>
      </c>
      <c r="AA215" s="1665">
        <v>0</v>
      </c>
      <c r="AB215" s="1665">
        <v>0</v>
      </c>
      <c r="AC215" s="1680">
        <v>0</v>
      </c>
      <c r="AD215" s="1682">
        <v>42909</v>
      </c>
      <c r="AE215" s="1679" t="s">
        <v>2122</v>
      </c>
      <c r="AF215" s="1662" t="s">
        <v>2112</v>
      </c>
      <c r="AG215" s="1666"/>
      <c r="AH215" s="1667">
        <v>30000</v>
      </c>
      <c r="AI215" s="1665">
        <v>30000</v>
      </c>
      <c r="AJ215" s="1665">
        <v>30000</v>
      </c>
      <c r="AK215" s="1698">
        <v>30000</v>
      </c>
      <c r="AL215" s="1665">
        <v>0</v>
      </c>
      <c r="AM215" s="1668"/>
      <c r="AN215" s="1665">
        <v>0</v>
      </c>
      <c r="AO215" s="1665">
        <v>0</v>
      </c>
      <c r="AP215" s="1665">
        <v>0</v>
      </c>
      <c r="AQ215" s="1665">
        <v>0</v>
      </c>
      <c r="AR215" s="1665">
        <v>0</v>
      </c>
      <c r="AS215" s="1665">
        <v>0</v>
      </c>
      <c r="AT215" s="1665">
        <v>0</v>
      </c>
      <c r="AU215" s="1665">
        <v>0</v>
      </c>
      <c r="AV215" s="1665">
        <v>0</v>
      </c>
      <c r="AW215" s="1665">
        <v>0</v>
      </c>
      <c r="AX215" s="1663"/>
      <c r="AY215" s="1663"/>
      <c r="AZ215" s="1663"/>
      <c r="BA215" s="1668"/>
      <c r="BB215" s="1668"/>
      <c r="BC215" s="1663"/>
      <c r="BD215" s="1663"/>
      <c r="BE215" s="1665">
        <v>0</v>
      </c>
      <c r="BF215" s="1665">
        <v>0</v>
      </c>
      <c r="BG215" s="1665">
        <v>0</v>
      </c>
      <c r="BH215" s="1665">
        <v>0</v>
      </c>
      <c r="BI215" s="1665">
        <v>0</v>
      </c>
      <c r="BJ215" s="1665">
        <v>0</v>
      </c>
      <c r="BK215" s="1665">
        <v>0</v>
      </c>
      <c r="BL215" s="1665">
        <v>0</v>
      </c>
      <c r="BM215" s="1665">
        <v>0</v>
      </c>
      <c r="BN215" s="1665">
        <v>0</v>
      </c>
      <c r="BO215" s="1668"/>
      <c r="BP215" s="1665">
        <v>0</v>
      </c>
      <c r="BQ215" s="1665">
        <v>0</v>
      </c>
      <c r="BR215" s="1665">
        <v>0</v>
      </c>
      <c r="BS215" s="1667">
        <v>0</v>
      </c>
      <c r="BT215" s="1665">
        <v>0</v>
      </c>
      <c r="BU215" s="1665">
        <v>0</v>
      </c>
      <c r="BV215" s="1665">
        <v>0</v>
      </c>
      <c r="BW215" s="1665">
        <v>0</v>
      </c>
      <c r="BX215" s="1665">
        <v>0</v>
      </c>
      <c r="BY215" s="1665">
        <v>0</v>
      </c>
      <c r="BZ215" s="1663"/>
      <c r="CA215" s="1663"/>
      <c r="CB215" s="1668"/>
      <c r="CC215" s="1668"/>
      <c r="CD215" s="1663"/>
      <c r="CE215" s="1663"/>
      <c r="CF215" s="1665">
        <v>0</v>
      </c>
      <c r="CG215" s="1665">
        <v>0</v>
      </c>
      <c r="CH215" s="1665">
        <v>0</v>
      </c>
      <c r="CI215" s="1665">
        <v>0</v>
      </c>
      <c r="CJ215" s="1665">
        <v>0</v>
      </c>
      <c r="CK215" s="1665">
        <v>0</v>
      </c>
      <c r="CL215" s="1668"/>
      <c r="CM215" s="1665">
        <v>0</v>
      </c>
      <c r="CN215" s="1665">
        <v>0</v>
      </c>
      <c r="CO215" s="1665">
        <v>0</v>
      </c>
      <c r="CP215" s="1665">
        <v>0</v>
      </c>
      <c r="CQ215" s="1665">
        <v>0</v>
      </c>
      <c r="CR215" s="1665">
        <v>0</v>
      </c>
      <c r="CS215" s="1665">
        <v>0</v>
      </c>
      <c r="CT215" s="1665">
        <v>0</v>
      </c>
      <c r="CU215" s="1665">
        <v>0</v>
      </c>
      <c r="CV215" s="1665">
        <v>0</v>
      </c>
      <c r="CW215" s="1668"/>
      <c r="CX215" s="1663"/>
      <c r="CY215" s="1663"/>
      <c r="CZ215" s="1663"/>
      <c r="DA215" s="1663"/>
      <c r="DB215" s="1668"/>
      <c r="DC215" s="1662"/>
      <c r="DD215" s="1665">
        <v>0</v>
      </c>
      <c r="DE215" s="1663"/>
      <c r="DF215" s="1663"/>
      <c r="DG215" s="1665">
        <v>0</v>
      </c>
      <c r="DH215" s="1665">
        <v>0</v>
      </c>
    </row>
    <row r="216" spans="1:112" ht="45" hidden="1" x14ac:dyDescent="0.25">
      <c r="A216" s="1662" t="s">
        <v>2270</v>
      </c>
      <c r="B216" s="1662" t="s">
        <v>1725</v>
      </c>
      <c r="C216" s="1662" t="s">
        <v>2633</v>
      </c>
      <c r="D216" s="1662" t="s">
        <v>2634</v>
      </c>
      <c r="E216" s="1662" t="s">
        <v>143</v>
      </c>
      <c r="F216" s="1662" t="s">
        <v>2627</v>
      </c>
      <c r="G216" s="1662" t="s">
        <v>2628</v>
      </c>
      <c r="H216" s="1662" t="s">
        <v>2613</v>
      </c>
      <c r="I216" s="1662" t="s">
        <v>724</v>
      </c>
      <c r="J216" s="1662" t="s">
        <v>134</v>
      </c>
      <c r="K216" s="1662" t="s">
        <v>2108</v>
      </c>
      <c r="L216" s="1662" t="s">
        <v>2109</v>
      </c>
      <c r="M216" s="1663"/>
      <c r="N216" s="1663"/>
      <c r="O216" s="1663"/>
      <c r="P216" s="1663"/>
      <c r="Q216" s="1663"/>
      <c r="R216" s="1663"/>
      <c r="S216" s="1663"/>
      <c r="T216" s="1663"/>
      <c r="U216" s="1663"/>
      <c r="V216" s="1663"/>
      <c r="W216" s="1663"/>
      <c r="X216" s="1663"/>
      <c r="Y216" s="1664">
        <v>42906</v>
      </c>
      <c r="Z216" s="1662" t="s">
        <v>2110</v>
      </c>
      <c r="AA216" s="1665">
        <v>0</v>
      </c>
      <c r="AB216" s="1665">
        <v>0</v>
      </c>
      <c r="AC216" s="1680">
        <v>0</v>
      </c>
      <c r="AD216" s="1682">
        <v>42926</v>
      </c>
      <c r="AE216" s="1679" t="s">
        <v>2111</v>
      </c>
      <c r="AF216" s="1662" t="s">
        <v>2112</v>
      </c>
      <c r="AG216" s="1666"/>
      <c r="AH216" s="1667">
        <v>11026.18</v>
      </c>
      <c r="AI216" s="1665">
        <v>11026.18</v>
      </c>
      <c r="AJ216" s="1665">
        <v>9372.25</v>
      </c>
      <c r="AK216" s="1698">
        <v>9372.25</v>
      </c>
      <c r="AL216" s="1665">
        <v>0</v>
      </c>
      <c r="AM216" s="1664">
        <v>42926</v>
      </c>
      <c r="AN216" s="1665">
        <v>11026.18</v>
      </c>
      <c r="AO216" s="1665">
        <v>11026.18</v>
      </c>
      <c r="AP216" s="1665">
        <v>9372.25</v>
      </c>
      <c r="AQ216" s="1665">
        <v>9372.25</v>
      </c>
      <c r="AR216" s="1665">
        <v>0</v>
      </c>
      <c r="AS216" s="1665">
        <v>1653.93</v>
      </c>
      <c r="AT216" s="1665">
        <v>0</v>
      </c>
      <c r="AU216" s="1665">
        <v>1653.93</v>
      </c>
      <c r="AV216" s="1665">
        <v>0</v>
      </c>
      <c r="AW216" s="1665">
        <v>0</v>
      </c>
      <c r="AX216" s="1663"/>
      <c r="AY216" s="1663"/>
      <c r="AZ216" s="1663"/>
      <c r="BA216" s="1668"/>
      <c r="BB216" s="1668"/>
      <c r="BC216" s="1663"/>
      <c r="BD216" s="1663"/>
      <c r="BE216" s="1665">
        <v>11026.18</v>
      </c>
      <c r="BF216" s="1665">
        <v>11026.18</v>
      </c>
      <c r="BG216" s="1665">
        <v>9372.25</v>
      </c>
      <c r="BH216" s="1665">
        <v>9372.25</v>
      </c>
      <c r="BI216" s="1665">
        <v>0</v>
      </c>
      <c r="BJ216" s="1665">
        <v>1653.93</v>
      </c>
      <c r="BK216" s="1665">
        <v>0</v>
      </c>
      <c r="BL216" s="1665">
        <v>1653.93</v>
      </c>
      <c r="BM216" s="1665">
        <v>0</v>
      </c>
      <c r="BN216" s="1665">
        <v>0</v>
      </c>
      <c r="BO216" s="1664">
        <v>42993</v>
      </c>
      <c r="BP216" s="1665">
        <v>11026.18</v>
      </c>
      <c r="BQ216" s="1665">
        <v>11026.18</v>
      </c>
      <c r="BR216" s="1665">
        <v>9372.25</v>
      </c>
      <c r="BS216" s="1667">
        <v>9372.25</v>
      </c>
      <c r="BT216" s="1665">
        <v>0</v>
      </c>
      <c r="BU216" s="1665">
        <v>1653.93</v>
      </c>
      <c r="BV216" s="1665">
        <v>0</v>
      </c>
      <c r="BW216" s="1665">
        <v>0</v>
      </c>
      <c r="BX216" s="1665">
        <v>0</v>
      </c>
      <c r="BY216" s="1665">
        <v>0</v>
      </c>
      <c r="BZ216" s="1665">
        <v>0</v>
      </c>
      <c r="CA216" s="1663"/>
      <c r="CB216" s="1668"/>
      <c r="CC216" s="1668"/>
      <c r="CD216" s="1663"/>
      <c r="CE216" s="1663"/>
      <c r="CF216" s="1665">
        <v>0</v>
      </c>
      <c r="CG216" s="1665">
        <v>0</v>
      </c>
      <c r="CH216" s="1665">
        <v>0</v>
      </c>
      <c r="CI216" s="1665">
        <v>0</v>
      </c>
      <c r="CJ216" s="1665">
        <v>119.97</v>
      </c>
      <c r="CK216" s="1665">
        <v>119.97</v>
      </c>
      <c r="CL216" s="1668"/>
      <c r="CM216" s="1665">
        <v>0</v>
      </c>
      <c r="CN216" s="1665">
        <v>0</v>
      </c>
      <c r="CO216" s="1665">
        <v>0</v>
      </c>
      <c r="CP216" s="1665">
        <v>0</v>
      </c>
      <c r="CQ216" s="1665">
        <v>0</v>
      </c>
      <c r="CR216" s="1665">
        <v>0</v>
      </c>
      <c r="CS216" s="1665">
        <v>0</v>
      </c>
      <c r="CT216" s="1665">
        <v>0</v>
      </c>
      <c r="CU216" s="1665">
        <v>0</v>
      </c>
      <c r="CV216" s="1665">
        <v>0</v>
      </c>
      <c r="CW216" s="1668"/>
      <c r="CX216" s="1663"/>
      <c r="CY216" s="1663"/>
      <c r="CZ216" s="1663"/>
      <c r="DA216" s="1663"/>
      <c r="DB216" s="1668"/>
      <c r="DC216" s="1662"/>
      <c r="DD216" s="1665">
        <v>0</v>
      </c>
      <c r="DE216" s="1663"/>
      <c r="DF216" s="1663"/>
      <c r="DG216" s="1665">
        <v>0</v>
      </c>
      <c r="DH216" s="1665">
        <v>0</v>
      </c>
    </row>
    <row r="217" spans="1:112" ht="45" hidden="1" x14ac:dyDescent="0.25">
      <c r="A217" s="1662" t="s">
        <v>2271</v>
      </c>
      <c r="B217" s="1662" t="s">
        <v>1725</v>
      </c>
      <c r="C217" s="1662" t="s">
        <v>2633</v>
      </c>
      <c r="D217" s="1662" t="s">
        <v>2634</v>
      </c>
      <c r="E217" s="1662" t="s">
        <v>143</v>
      </c>
      <c r="F217" s="1662" t="s">
        <v>2627</v>
      </c>
      <c r="G217" s="1662" t="s">
        <v>2628</v>
      </c>
      <c r="H217" s="1662" t="s">
        <v>2613</v>
      </c>
      <c r="I217" s="1662" t="s">
        <v>724</v>
      </c>
      <c r="J217" s="1662" t="s">
        <v>134</v>
      </c>
      <c r="K217" s="1662" t="s">
        <v>2108</v>
      </c>
      <c r="L217" s="1662" t="s">
        <v>2109</v>
      </c>
      <c r="M217" s="1663"/>
      <c r="N217" s="1663"/>
      <c r="O217" s="1663"/>
      <c r="P217" s="1663"/>
      <c r="Q217" s="1663"/>
      <c r="R217" s="1663"/>
      <c r="S217" s="1663"/>
      <c r="T217" s="1663"/>
      <c r="U217" s="1663"/>
      <c r="V217" s="1663"/>
      <c r="W217" s="1663"/>
      <c r="X217" s="1663"/>
      <c r="Y217" s="1664">
        <v>42972</v>
      </c>
      <c r="Z217" s="1662" t="s">
        <v>2145</v>
      </c>
      <c r="AA217" s="1665">
        <v>0</v>
      </c>
      <c r="AB217" s="1665">
        <v>0</v>
      </c>
      <c r="AC217" s="1680">
        <v>0</v>
      </c>
      <c r="AD217" s="1682">
        <v>42978</v>
      </c>
      <c r="AE217" s="1679" t="s">
        <v>2114</v>
      </c>
      <c r="AF217" s="1662" t="s">
        <v>2112</v>
      </c>
      <c r="AG217" s="1666"/>
      <c r="AH217" s="1667">
        <v>0</v>
      </c>
      <c r="AI217" s="1665">
        <v>0</v>
      </c>
      <c r="AJ217" s="1665">
        <v>0</v>
      </c>
      <c r="AK217" s="1698">
        <v>0</v>
      </c>
      <c r="AL217" s="1665">
        <v>0</v>
      </c>
      <c r="AM217" s="1668"/>
      <c r="AN217" s="1665">
        <v>0</v>
      </c>
      <c r="AO217" s="1665">
        <v>0</v>
      </c>
      <c r="AP217" s="1665">
        <v>0</v>
      </c>
      <c r="AQ217" s="1665">
        <v>0</v>
      </c>
      <c r="AR217" s="1665">
        <v>0</v>
      </c>
      <c r="AS217" s="1665">
        <v>0</v>
      </c>
      <c r="AT217" s="1665">
        <v>0</v>
      </c>
      <c r="AU217" s="1665">
        <v>0</v>
      </c>
      <c r="AV217" s="1665">
        <v>0</v>
      </c>
      <c r="AW217" s="1665">
        <v>0</v>
      </c>
      <c r="AX217" s="1663"/>
      <c r="AY217" s="1663"/>
      <c r="AZ217" s="1663"/>
      <c r="BA217" s="1668"/>
      <c r="BB217" s="1668"/>
      <c r="BC217" s="1663"/>
      <c r="BD217" s="1663"/>
      <c r="BE217" s="1665">
        <v>0</v>
      </c>
      <c r="BF217" s="1665">
        <v>0</v>
      </c>
      <c r="BG217" s="1665">
        <v>0</v>
      </c>
      <c r="BH217" s="1665">
        <v>0</v>
      </c>
      <c r="BI217" s="1665">
        <v>0</v>
      </c>
      <c r="BJ217" s="1665">
        <v>0</v>
      </c>
      <c r="BK217" s="1665">
        <v>0</v>
      </c>
      <c r="BL217" s="1665">
        <v>0</v>
      </c>
      <c r="BM217" s="1665">
        <v>0</v>
      </c>
      <c r="BN217" s="1665">
        <v>0</v>
      </c>
      <c r="BO217" s="1668"/>
      <c r="BP217" s="1665">
        <v>0</v>
      </c>
      <c r="BQ217" s="1665">
        <v>0</v>
      </c>
      <c r="BR217" s="1665">
        <v>0</v>
      </c>
      <c r="BS217" s="1667">
        <v>0</v>
      </c>
      <c r="BT217" s="1665">
        <v>0</v>
      </c>
      <c r="BU217" s="1665">
        <v>0</v>
      </c>
      <c r="BV217" s="1665">
        <v>0</v>
      </c>
      <c r="BW217" s="1665">
        <v>0</v>
      </c>
      <c r="BX217" s="1665">
        <v>0</v>
      </c>
      <c r="BY217" s="1665">
        <v>0</v>
      </c>
      <c r="BZ217" s="1663"/>
      <c r="CA217" s="1663"/>
      <c r="CB217" s="1668"/>
      <c r="CC217" s="1668"/>
      <c r="CD217" s="1663"/>
      <c r="CE217" s="1663"/>
      <c r="CF217" s="1665">
        <v>0</v>
      </c>
      <c r="CG217" s="1665">
        <v>0</v>
      </c>
      <c r="CH217" s="1665">
        <v>0</v>
      </c>
      <c r="CI217" s="1665">
        <v>0</v>
      </c>
      <c r="CJ217" s="1665">
        <v>0</v>
      </c>
      <c r="CK217" s="1665">
        <v>0</v>
      </c>
      <c r="CL217" s="1668"/>
      <c r="CM217" s="1665">
        <v>0</v>
      </c>
      <c r="CN217" s="1665">
        <v>0</v>
      </c>
      <c r="CO217" s="1665">
        <v>0</v>
      </c>
      <c r="CP217" s="1665">
        <v>0</v>
      </c>
      <c r="CQ217" s="1665">
        <v>0</v>
      </c>
      <c r="CR217" s="1665">
        <v>0</v>
      </c>
      <c r="CS217" s="1665">
        <v>0</v>
      </c>
      <c r="CT217" s="1665">
        <v>0</v>
      </c>
      <c r="CU217" s="1665">
        <v>0</v>
      </c>
      <c r="CV217" s="1665">
        <v>0</v>
      </c>
      <c r="CW217" s="1668"/>
      <c r="CX217" s="1663"/>
      <c r="CY217" s="1663"/>
      <c r="CZ217" s="1663"/>
      <c r="DA217" s="1663"/>
      <c r="DB217" s="1668"/>
      <c r="DC217" s="1662"/>
      <c r="DD217" s="1665">
        <v>0</v>
      </c>
      <c r="DE217" s="1663"/>
      <c r="DF217" s="1663"/>
      <c r="DG217" s="1665">
        <v>0</v>
      </c>
      <c r="DH217" s="1665">
        <v>0</v>
      </c>
    </row>
    <row r="218" spans="1:112" ht="45" hidden="1" x14ac:dyDescent="0.25">
      <c r="A218" s="1662" t="s">
        <v>2272</v>
      </c>
      <c r="B218" s="1662" t="s">
        <v>1725</v>
      </c>
      <c r="C218" s="1662" t="s">
        <v>2633</v>
      </c>
      <c r="D218" s="1662" t="s">
        <v>2634</v>
      </c>
      <c r="E218" s="1662" t="s">
        <v>143</v>
      </c>
      <c r="F218" s="1662" t="s">
        <v>2627</v>
      </c>
      <c r="G218" s="1662" t="s">
        <v>2628</v>
      </c>
      <c r="H218" s="1662" t="s">
        <v>2613</v>
      </c>
      <c r="I218" s="1662" t="s">
        <v>724</v>
      </c>
      <c r="J218" s="1662" t="s">
        <v>134</v>
      </c>
      <c r="K218" s="1662" t="s">
        <v>2108</v>
      </c>
      <c r="L218" s="1662" t="s">
        <v>2109</v>
      </c>
      <c r="M218" s="1663"/>
      <c r="N218" s="1663"/>
      <c r="O218" s="1663"/>
      <c r="P218" s="1663"/>
      <c r="Q218" s="1663"/>
      <c r="R218" s="1663"/>
      <c r="S218" s="1663"/>
      <c r="T218" s="1663"/>
      <c r="U218" s="1663"/>
      <c r="V218" s="1663"/>
      <c r="W218" s="1663"/>
      <c r="X218" s="1663"/>
      <c r="Y218" s="1664">
        <v>42986</v>
      </c>
      <c r="Z218" s="1662" t="s">
        <v>2110</v>
      </c>
      <c r="AA218" s="1665">
        <v>0</v>
      </c>
      <c r="AB218" s="1665">
        <v>0</v>
      </c>
      <c r="AC218" s="1680">
        <v>0</v>
      </c>
      <c r="AD218" s="1682">
        <v>42999</v>
      </c>
      <c r="AE218" s="1679" t="s">
        <v>2128</v>
      </c>
      <c r="AF218" s="1662" t="s">
        <v>2115</v>
      </c>
      <c r="AG218" s="1666"/>
      <c r="AH218" s="1667">
        <v>8547.5499999999993</v>
      </c>
      <c r="AI218" s="1665">
        <v>8547.5499999999993</v>
      </c>
      <c r="AJ218" s="1665">
        <v>7265.42</v>
      </c>
      <c r="AK218" s="1698">
        <v>7265.42</v>
      </c>
      <c r="AL218" s="1665">
        <v>0</v>
      </c>
      <c r="AM218" s="1664">
        <v>43006</v>
      </c>
      <c r="AN218" s="1665">
        <v>8547.5499999999993</v>
      </c>
      <c r="AO218" s="1665">
        <v>8547.5499999999993</v>
      </c>
      <c r="AP218" s="1665">
        <v>7265.42</v>
      </c>
      <c r="AQ218" s="1665">
        <v>7265.42</v>
      </c>
      <c r="AR218" s="1665">
        <v>0</v>
      </c>
      <c r="AS218" s="1665">
        <v>1282.1300000000001</v>
      </c>
      <c r="AT218" s="1665">
        <v>0</v>
      </c>
      <c r="AU218" s="1665">
        <v>1282.1300000000001</v>
      </c>
      <c r="AV218" s="1665">
        <v>0</v>
      </c>
      <c r="AW218" s="1665">
        <v>0</v>
      </c>
      <c r="AX218" s="1663"/>
      <c r="AY218" s="1663"/>
      <c r="AZ218" s="1663"/>
      <c r="BA218" s="1668"/>
      <c r="BB218" s="1668"/>
      <c r="BC218" s="1663"/>
      <c r="BD218" s="1663"/>
      <c r="BE218" s="1665">
        <v>8547.5499999999993</v>
      </c>
      <c r="BF218" s="1665">
        <v>8547.5499999999993</v>
      </c>
      <c r="BG218" s="1665">
        <v>7265.42</v>
      </c>
      <c r="BH218" s="1665">
        <v>7265.42</v>
      </c>
      <c r="BI218" s="1665">
        <v>0</v>
      </c>
      <c r="BJ218" s="1665">
        <v>1282.1300000000001</v>
      </c>
      <c r="BK218" s="1665">
        <v>0</v>
      </c>
      <c r="BL218" s="1665">
        <v>1282.1300000000001</v>
      </c>
      <c r="BM218" s="1665">
        <v>0</v>
      </c>
      <c r="BN218" s="1665">
        <v>0</v>
      </c>
      <c r="BO218" s="1664">
        <v>43039</v>
      </c>
      <c r="BP218" s="1665">
        <v>8547.5499999999993</v>
      </c>
      <c r="BQ218" s="1665">
        <v>8547.5499999999993</v>
      </c>
      <c r="BR218" s="1665">
        <v>7265.42</v>
      </c>
      <c r="BS218" s="1667">
        <v>7265.42</v>
      </c>
      <c r="BT218" s="1665">
        <v>0</v>
      </c>
      <c r="BU218" s="1665">
        <v>1282.1300000000001</v>
      </c>
      <c r="BV218" s="1665">
        <v>0</v>
      </c>
      <c r="BW218" s="1665">
        <v>0</v>
      </c>
      <c r="BX218" s="1665">
        <v>0</v>
      </c>
      <c r="BY218" s="1665">
        <v>0</v>
      </c>
      <c r="BZ218" s="1665">
        <v>0</v>
      </c>
      <c r="CA218" s="1663"/>
      <c r="CB218" s="1668"/>
      <c r="CC218" s="1668"/>
      <c r="CD218" s="1663"/>
      <c r="CE218" s="1663"/>
      <c r="CF218" s="1665">
        <v>0</v>
      </c>
      <c r="CG218" s="1665">
        <v>0</v>
      </c>
      <c r="CH218" s="1665">
        <v>0</v>
      </c>
      <c r="CI218" s="1665">
        <v>0</v>
      </c>
      <c r="CJ218" s="1665">
        <v>93</v>
      </c>
      <c r="CK218" s="1665">
        <v>93</v>
      </c>
      <c r="CL218" s="1668"/>
      <c r="CM218" s="1665">
        <v>0</v>
      </c>
      <c r="CN218" s="1665">
        <v>0</v>
      </c>
      <c r="CO218" s="1665">
        <v>0</v>
      </c>
      <c r="CP218" s="1665">
        <v>0</v>
      </c>
      <c r="CQ218" s="1665">
        <v>0</v>
      </c>
      <c r="CR218" s="1665">
        <v>0</v>
      </c>
      <c r="CS218" s="1665">
        <v>0</v>
      </c>
      <c r="CT218" s="1665">
        <v>0</v>
      </c>
      <c r="CU218" s="1665">
        <v>0</v>
      </c>
      <c r="CV218" s="1665">
        <v>0</v>
      </c>
      <c r="CW218" s="1668"/>
      <c r="CX218" s="1663"/>
      <c r="CY218" s="1663"/>
      <c r="CZ218" s="1663"/>
      <c r="DA218" s="1663"/>
      <c r="DB218" s="1668"/>
      <c r="DC218" s="1662"/>
      <c r="DD218" s="1665">
        <v>0</v>
      </c>
      <c r="DE218" s="1663"/>
      <c r="DF218" s="1663"/>
      <c r="DG218" s="1665">
        <v>0</v>
      </c>
      <c r="DH218" s="1665">
        <v>0</v>
      </c>
    </row>
    <row r="219" spans="1:112" ht="45" hidden="1" x14ac:dyDescent="0.25">
      <c r="A219" s="1662" t="s">
        <v>2273</v>
      </c>
      <c r="B219" s="1662" t="s">
        <v>1725</v>
      </c>
      <c r="C219" s="1662" t="s">
        <v>2633</v>
      </c>
      <c r="D219" s="1662" t="s">
        <v>2634</v>
      </c>
      <c r="E219" s="1662" t="s">
        <v>143</v>
      </c>
      <c r="F219" s="1662" t="s">
        <v>2627</v>
      </c>
      <c r="G219" s="1662" t="s">
        <v>2628</v>
      </c>
      <c r="H219" s="1662" t="s">
        <v>2613</v>
      </c>
      <c r="I219" s="1662" t="s">
        <v>724</v>
      </c>
      <c r="J219" s="1662" t="s">
        <v>134</v>
      </c>
      <c r="K219" s="1662" t="s">
        <v>2108</v>
      </c>
      <c r="L219" s="1662" t="s">
        <v>2109</v>
      </c>
      <c r="M219" s="1663"/>
      <c r="N219" s="1663"/>
      <c r="O219" s="1663"/>
      <c r="P219" s="1663"/>
      <c r="Q219" s="1663"/>
      <c r="R219" s="1663"/>
      <c r="S219" s="1663"/>
      <c r="T219" s="1663"/>
      <c r="U219" s="1663"/>
      <c r="V219" s="1663"/>
      <c r="W219" s="1663"/>
      <c r="X219" s="1663"/>
      <c r="Y219" s="1664">
        <v>42986</v>
      </c>
      <c r="Z219" s="1662" t="s">
        <v>2110</v>
      </c>
      <c r="AA219" s="1665">
        <v>0</v>
      </c>
      <c r="AB219" s="1665">
        <v>0</v>
      </c>
      <c r="AC219" s="1680">
        <v>0</v>
      </c>
      <c r="AD219" s="1682">
        <v>42999</v>
      </c>
      <c r="AE219" s="1679" t="s">
        <v>2128</v>
      </c>
      <c r="AF219" s="1662" t="s">
        <v>2112</v>
      </c>
      <c r="AG219" s="1666"/>
      <c r="AH219" s="1667">
        <v>31530.14</v>
      </c>
      <c r="AI219" s="1665">
        <v>31530.14</v>
      </c>
      <c r="AJ219" s="1665">
        <v>26800.62</v>
      </c>
      <c r="AK219" s="1698">
        <v>26800.62</v>
      </c>
      <c r="AL219" s="1665">
        <v>0</v>
      </c>
      <c r="AM219" s="1664">
        <v>42999</v>
      </c>
      <c r="AN219" s="1665">
        <v>31530.14</v>
      </c>
      <c r="AO219" s="1665">
        <v>31530.14</v>
      </c>
      <c r="AP219" s="1665">
        <v>26800.62</v>
      </c>
      <c r="AQ219" s="1665">
        <v>26800.62</v>
      </c>
      <c r="AR219" s="1665">
        <v>0</v>
      </c>
      <c r="AS219" s="1665">
        <v>4729.5200000000004</v>
      </c>
      <c r="AT219" s="1665">
        <v>0</v>
      </c>
      <c r="AU219" s="1665">
        <v>4729.5200000000004</v>
      </c>
      <c r="AV219" s="1665">
        <v>0</v>
      </c>
      <c r="AW219" s="1665">
        <v>0</v>
      </c>
      <c r="AX219" s="1663"/>
      <c r="AY219" s="1663"/>
      <c r="AZ219" s="1663"/>
      <c r="BA219" s="1668"/>
      <c r="BB219" s="1668"/>
      <c r="BC219" s="1663"/>
      <c r="BD219" s="1663"/>
      <c r="BE219" s="1665">
        <v>31530.14</v>
      </c>
      <c r="BF219" s="1665">
        <v>31530.14</v>
      </c>
      <c r="BG219" s="1665">
        <v>26800.62</v>
      </c>
      <c r="BH219" s="1665">
        <v>26800.62</v>
      </c>
      <c r="BI219" s="1665">
        <v>0</v>
      </c>
      <c r="BJ219" s="1665">
        <v>4729.5200000000004</v>
      </c>
      <c r="BK219" s="1665">
        <v>0</v>
      </c>
      <c r="BL219" s="1665">
        <v>4729.5200000000004</v>
      </c>
      <c r="BM219" s="1665">
        <v>0</v>
      </c>
      <c r="BN219" s="1665">
        <v>0</v>
      </c>
      <c r="BO219" s="1664">
        <v>43039</v>
      </c>
      <c r="BP219" s="1665">
        <v>31530.14</v>
      </c>
      <c r="BQ219" s="1665">
        <v>31530.14</v>
      </c>
      <c r="BR219" s="1665">
        <v>26800.62</v>
      </c>
      <c r="BS219" s="1667">
        <v>26800.62</v>
      </c>
      <c r="BT219" s="1665">
        <v>0</v>
      </c>
      <c r="BU219" s="1665">
        <v>4729.5200000000004</v>
      </c>
      <c r="BV219" s="1665">
        <v>0</v>
      </c>
      <c r="BW219" s="1665">
        <v>0</v>
      </c>
      <c r="BX219" s="1665">
        <v>0</v>
      </c>
      <c r="BY219" s="1665">
        <v>0</v>
      </c>
      <c r="BZ219" s="1665">
        <v>0</v>
      </c>
      <c r="CA219" s="1663"/>
      <c r="CB219" s="1668"/>
      <c r="CC219" s="1668"/>
      <c r="CD219" s="1663"/>
      <c r="CE219" s="1663"/>
      <c r="CF219" s="1665">
        <v>0</v>
      </c>
      <c r="CG219" s="1665">
        <v>0</v>
      </c>
      <c r="CH219" s="1665">
        <v>0</v>
      </c>
      <c r="CI219" s="1665">
        <v>0</v>
      </c>
      <c r="CJ219" s="1665">
        <v>343.06</v>
      </c>
      <c r="CK219" s="1665">
        <v>343.06</v>
      </c>
      <c r="CL219" s="1668"/>
      <c r="CM219" s="1665">
        <v>0</v>
      </c>
      <c r="CN219" s="1665">
        <v>0</v>
      </c>
      <c r="CO219" s="1665">
        <v>0</v>
      </c>
      <c r="CP219" s="1665">
        <v>0</v>
      </c>
      <c r="CQ219" s="1665">
        <v>0</v>
      </c>
      <c r="CR219" s="1665">
        <v>0</v>
      </c>
      <c r="CS219" s="1665">
        <v>0</v>
      </c>
      <c r="CT219" s="1665">
        <v>0</v>
      </c>
      <c r="CU219" s="1665">
        <v>0</v>
      </c>
      <c r="CV219" s="1665">
        <v>0</v>
      </c>
      <c r="CW219" s="1668"/>
      <c r="CX219" s="1663"/>
      <c r="CY219" s="1663"/>
      <c r="CZ219" s="1663"/>
      <c r="DA219" s="1663"/>
      <c r="DB219" s="1668"/>
      <c r="DC219" s="1662"/>
      <c r="DD219" s="1665">
        <v>0</v>
      </c>
      <c r="DE219" s="1663"/>
      <c r="DF219" s="1663"/>
      <c r="DG219" s="1665">
        <v>0</v>
      </c>
      <c r="DH219" s="1665">
        <v>0</v>
      </c>
    </row>
    <row r="220" spans="1:112" ht="45" hidden="1" x14ac:dyDescent="0.25">
      <c r="A220" s="1662" t="s">
        <v>2274</v>
      </c>
      <c r="B220" s="1662" t="s">
        <v>1725</v>
      </c>
      <c r="C220" s="1662" t="s">
        <v>2633</v>
      </c>
      <c r="D220" s="1662" t="s">
        <v>2634</v>
      </c>
      <c r="E220" s="1662" t="s">
        <v>143</v>
      </c>
      <c r="F220" s="1662" t="s">
        <v>2627</v>
      </c>
      <c r="G220" s="1662" t="s">
        <v>2628</v>
      </c>
      <c r="H220" s="1662" t="s">
        <v>2613</v>
      </c>
      <c r="I220" s="1662" t="s">
        <v>724</v>
      </c>
      <c r="J220" s="1662" t="s">
        <v>134</v>
      </c>
      <c r="K220" s="1662" t="s">
        <v>2108</v>
      </c>
      <c r="L220" s="1662" t="s">
        <v>2109</v>
      </c>
      <c r="M220" s="1663"/>
      <c r="N220" s="1663"/>
      <c r="O220" s="1663"/>
      <c r="P220" s="1663"/>
      <c r="Q220" s="1663"/>
      <c r="R220" s="1663"/>
      <c r="S220" s="1663"/>
      <c r="T220" s="1663"/>
      <c r="U220" s="1663"/>
      <c r="V220" s="1663"/>
      <c r="W220" s="1663"/>
      <c r="X220" s="1663"/>
      <c r="Y220" s="1664">
        <v>43067</v>
      </c>
      <c r="Z220" s="1662" t="s">
        <v>2110</v>
      </c>
      <c r="AA220" s="1665">
        <v>0</v>
      </c>
      <c r="AB220" s="1665">
        <v>0</v>
      </c>
      <c r="AC220" s="1680">
        <v>0</v>
      </c>
      <c r="AD220" s="1682">
        <v>43089</v>
      </c>
      <c r="AE220" s="1679" t="s">
        <v>2129</v>
      </c>
      <c r="AF220" s="1662" t="s">
        <v>2112</v>
      </c>
      <c r="AG220" s="1666"/>
      <c r="AH220" s="1667">
        <v>30552.46</v>
      </c>
      <c r="AI220" s="1665">
        <v>30552.46</v>
      </c>
      <c r="AJ220" s="1665">
        <v>25969.59</v>
      </c>
      <c r="AK220" s="1698">
        <v>25969.59</v>
      </c>
      <c r="AL220" s="1665">
        <v>0</v>
      </c>
      <c r="AM220" s="1664">
        <v>43089</v>
      </c>
      <c r="AN220" s="1665">
        <v>30552.46</v>
      </c>
      <c r="AO220" s="1665">
        <v>30552.46</v>
      </c>
      <c r="AP220" s="1665">
        <v>25969.59</v>
      </c>
      <c r="AQ220" s="1665">
        <v>25969.59</v>
      </c>
      <c r="AR220" s="1665">
        <v>0</v>
      </c>
      <c r="AS220" s="1665">
        <v>4582.87</v>
      </c>
      <c r="AT220" s="1665">
        <v>0</v>
      </c>
      <c r="AU220" s="1665">
        <v>4582.87</v>
      </c>
      <c r="AV220" s="1665">
        <v>0</v>
      </c>
      <c r="AW220" s="1665">
        <v>0</v>
      </c>
      <c r="AX220" s="1663"/>
      <c r="AY220" s="1663"/>
      <c r="AZ220" s="1663"/>
      <c r="BA220" s="1668"/>
      <c r="BB220" s="1668"/>
      <c r="BC220" s="1663"/>
      <c r="BD220" s="1663"/>
      <c r="BE220" s="1665">
        <v>30552.46</v>
      </c>
      <c r="BF220" s="1665">
        <v>30552.46</v>
      </c>
      <c r="BG220" s="1665">
        <v>25969.59</v>
      </c>
      <c r="BH220" s="1665">
        <v>25969.59</v>
      </c>
      <c r="BI220" s="1665">
        <v>0</v>
      </c>
      <c r="BJ220" s="1665">
        <v>4582.87</v>
      </c>
      <c r="BK220" s="1665">
        <v>0</v>
      </c>
      <c r="BL220" s="1665">
        <v>4582.87</v>
      </c>
      <c r="BM220" s="1665">
        <v>0</v>
      </c>
      <c r="BN220" s="1665">
        <v>0</v>
      </c>
      <c r="BO220" s="1664">
        <v>43364</v>
      </c>
      <c r="BP220" s="1665">
        <v>30552.46</v>
      </c>
      <c r="BQ220" s="1665">
        <v>30552.46</v>
      </c>
      <c r="BR220" s="1665">
        <v>25969.59</v>
      </c>
      <c r="BS220" s="1667">
        <v>25969.59</v>
      </c>
      <c r="BT220" s="1665">
        <v>0</v>
      </c>
      <c r="BU220" s="1665">
        <v>4582.87</v>
      </c>
      <c r="BV220" s="1665">
        <v>0</v>
      </c>
      <c r="BW220" s="1665">
        <v>0</v>
      </c>
      <c r="BX220" s="1665">
        <v>0</v>
      </c>
      <c r="BY220" s="1665">
        <v>0</v>
      </c>
      <c r="BZ220" s="1665">
        <v>0</v>
      </c>
      <c r="CA220" s="1663"/>
      <c r="CB220" s="1668"/>
      <c r="CC220" s="1668"/>
      <c r="CD220" s="1663"/>
      <c r="CE220" s="1663"/>
      <c r="CF220" s="1665">
        <v>0</v>
      </c>
      <c r="CG220" s="1665">
        <v>0</v>
      </c>
      <c r="CH220" s="1665">
        <v>0</v>
      </c>
      <c r="CI220" s="1665">
        <v>0</v>
      </c>
      <c r="CJ220" s="1665">
        <v>332.42</v>
      </c>
      <c r="CK220" s="1665">
        <v>332.42</v>
      </c>
      <c r="CL220" s="1668"/>
      <c r="CM220" s="1665">
        <v>0</v>
      </c>
      <c r="CN220" s="1665">
        <v>0</v>
      </c>
      <c r="CO220" s="1665">
        <v>0</v>
      </c>
      <c r="CP220" s="1665">
        <v>0</v>
      </c>
      <c r="CQ220" s="1665">
        <v>0</v>
      </c>
      <c r="CR220" s="1665">
        <v>0</v>
      </c>
      <c r="CS220" s="1665">
        <v>0</v>
      </c>
      <c r="CT220" s="1665">
        <v>0</v>
      </c>
      <c r="CU220" s="1665">
        <v>0</v>
      </c>
      <c r="CV220" s="1665">
        <v>0</v>
      </c>
      <c r="CW220" s="1668"/>
      <c r="CX220" s="1663"/>
      <c r="CY220" s="1663"/>
      <c r="CZ220" s="1663"/>
      <c r="DA220" s="1663"/>
      <c r="DB220" s="1668"/>
      <c r="DC220" s="1662"/>
      <c r="DD220" s="1665">
        <v>0</v>
      </c>
      <c r="DE220" s="1663"/>
      <c r="DF220" s="1663"/>
      <c r="DG220" s="1665">
        <v>0</v>
      </c>
      <c r="DH220" s="1665">
        <v>0</v>
      </c>
    </row>
    <row r="221" spans="1:112" ht="45" hidden="1" x14ac:dyDescent="0.25">
      <c r="A221" s="1662" t="s">
        <v>2275</v>
      </c>
      <c r="B221" s="1662" t="s">
        <v>1725</v>
      </c>
      <c r="C221" s="1662" t="s">
        <v>2633</v>
      </c>
      <c r="D221" s="1662" t="s">
        <v>2634</v>
      </c>
      <c r="E221" s="1662" t="s">
        <v>143</v>
      </c>
      <c r="F221" s="1662" t="s">
        <v>2627</v>
      </c>
      <c r="G221" s="1662" t="s">
        <v>2628</v>
      </c>
      <c r="H221" s="1662" t="s">
        <v>2613</v>
      </c>
      <c r="I221" s="1662" t="s">
        <v>724</v>
      </c>
      <c r="J221" s="1662" t="s">
        <v>134</v>
      </c>
      <c r="K221" s="1662" t="s">
        <v>2108</v>
      </c>
      <c r="L221" s="1662" t="s">
        <v>2109</v>
      </c>
      <c r="M221" s="1663"/>
      <c r="N221" s="1663"/>
      <c r="O221" s="1663"/>
      <c r="P221" s="1663"/>
      <c r="Q221" s="1663"/>
      <c r="R221" s="1663"/>
      <c r="S221" s="1663"/>
      <c r="T221" s="1663"/>
      <c r="U221" s="1663"/>
      <c r="V221" s="1663"/>
      <c r="W221" s="1663"/>
      <c r="X221" s="1663"/>
      <c r="Y221" s="1664">
        <v>43084</v>
      </c>
      <c r="Z221" s="1662" t="s">
        <v>2145</v>
      </c>
      <c r="AA221" s="1665">
        <v>0</v>
      </c>
      <c r="AB221" s="1665">
        <v>0</v>
      </c>
      <c r="AC221" s="1680">
        <v>0</v>
      </c>
      <c r="AD221" s="1682">
        <v>43096</v>
      </c>
      <c r="AE221" s="1679" t="s">
        <v>2130</v>
      </c>
      <c r="AF221" s="1662" t="s">
        <v>2112</v>
      </c>
      <c r="AG221" s="1666"/>
      <c r="AH221" s="1667">
        <v>59862.26</v>
      </c>
      <c r="AI221" s="1665">
        <v>59862.26</v>
      </c>
      <c r="AJ221" s="1665">
        <v>59862.26</v>
      </c>
      <c r="AK221" s="1698">
        <v>59862.26</v>
      </c>
      <c r="AL221" s="1665">
        <v>0</v>
      </c>
      <c r="AM221" s="1668"/>
      <c r="AN221" s="1665">
        <v>0</v>
      </c>
      <c r="AO221" s="1665">
        <v>0</v>
      </c>
      <c r="AP221" s="1665">
        <v>0</v>
      </c>
      <c r="AQ221" s="1665">
        <v>0</v>
      </c>
      <c r="AR221" s="1665">
        <v>0</v>
      </c>
      <c r="AS221" s="1665">
        <v>0</v>
      </c>
      <c r="AT221" s="1665">
        <v>0</v>
      </c>
      <c r="AU221" s="1665">
        <v>0</v>
      </c>
      <c r="AV221" s="1665">
        <v>0</v>
      </c>
      <c r="AW221" s="1665">
        <v>0</v>
      </c>
      <c r="AX221" s="1663"/>
      <c r="AY221" s="1663"/>
      <c r="AZ221" s="1663"/>
      <c r="BA221" s="1668"/>
      <c r="BB221" s="1668"/>
      <c r="BC221" s="1663"/>
      <c r="BD221" s="1663"/>
      <c r="BE221" s="1665">
        <v>0</v>
      </c>
      <c r="BF221" s="1665">
        <v>0</v>
      </c>
      <c r="BG221" s="1665">
        <v>0</v>
      </c>
      <c r="BH221" s="1665">
        <v>0</v>
      </c>
      <c r="BI221" s="1665">
        <v>0</v>
      </c>
      <c r="BJ221" s="1665">
        <v>0</v>
      </c>
      <c r="BK221" s="1665">
        <v>0</v>
      </c>
      <c r="BL221" s="1665">
        <v>0</v>
      </c>
      <c r="BM221" s="1665">
        <v>0</v>
      </c>
      <c r="BN221" s="1665">
        <v>0</v>
      </c>
      <c r="BO221" s="1668"/>
      <c r="BP221" s="1665">
        <v>0</v>
      </c>
      <c r="BQ221" s="1665">
        <v>0</v>
      </c>
      <c r="BR221" s="1665">
        <v>0</v>
      </c>
      <c r="BS221" s="1667">
        <v>0</v>
      </c>
      <c r="BT221" s="1665">
        <v>0</v>
      </c>
      <c r="BU221" s="1665">
        <v>0</v>
      </c>
      <c r="BV221" s="1665">
        <v>0</v>
      </c>
      <c r="BW221" s="1665">
        <v>0</v>
      </c>
      <c r="BX221" s="1665">
        <v>0</v>
      </c>
      <c r="BY221" s="1665">
        <v>0</v>
      </c>
      <c r="BZ221" s="1663"/>
      <c r="CA221" s="1663"/>
      <c r="CB221" s="1668"/>
      <c r="CC221" s="1668"/>
      <c r="CD221" s="1663"/>
      <c r="CE221" s="1663"/>
      <c r="CF221" s="1665">
        <v>0</v>
      </c>
      <c r="CG221" s="1665">
        <v>0</v>
      </c>
      <c r="CH221" s="1665">
        <v>0</v>
      </c>
      <c r="CI221" s="1665">
        <v>0</v>
      </c>
      <c r="CJ221" s="1665">
        <v>0</v>
      </c>
      <c r="CK221" s="1665">
        <v>0</v>
      </c>
      <c r="CL221" s="1668"/>
      <c r="CM221" s="1665">
        <v>0</v>
      </c>
      <c r="CN221" s="1665">
        <v>0</v>
      </c>
      <c r="CO221" s="1665">
        <v>0</v>
      </c>
      <c r="CP221" s="1665">
        <v>0</v>
      </c>
      <c r="CQ221" s="1665">
        <v>0</v>
      </c>
      <c r="CR221" s="1665">
        <v>0</v>
      </c>
      <c r="CS221" s="1665">
        <v>0</v>
      </c>
      <c r="CT221" s="1665">
        <v>0</v>
      </c>
      <c r="CU221" s="1665">
        <v>0</v>
      </c>
      <c r="CV221" s="1665">
        <v>0</v>
      </c>
      <c r="CW221" s="1668"/>
      <c r="CX221" s="1663"/>
      <c r="CY221" s="1663"/>
      <c r="CZ221" s="1663"/>
      <c r="DA221" s="1663"/>
      <c r="DB221" s="1668"/>
      <c r="DC221" s="1662"/>
      <c r="DD221" s="1665">
        <v>0</v>
      </c>
      <c r="DE221" s="1663"/>
      <c r="DF221" s="1663"/>
      <c r="DG221" s="1665">
        <v>0</v>
      </c>
      <c r="DH221" s="1665">
        <v>0</v>
      </c>
    </row>
    <row r="222" spans="1:112" ht="45" hidden="1" x14ac:dyDescent="0.25">
      <c r="A222" s="1662" t="s">
        <v>2276</v>
      </c>
      <c r="B222" s="1662" t="s">
        <v>1725</v>
      </c>
      <c r="C222" s="1662" t="s">
        <v>2633</v>
      </c>
      <c r="D222" s="1662" t="s">
        <v>2634</v>
      </c>
      <c r="E222" s="1662" t="s">
        <v>143</v>
      </c>
      <c r="F222" s="1662" t="s">
        <v>2627</v>
      </c>
      <c r="G222" s="1662" t="s">
        <v>2628</v>
      </c>
      <c r="H222" s="1662" t="s">
        <v>2613</v>
      </c>
      <c r="I222" s="1662" t="s">
        <v>724</v>
      </c>
      <c r="J222" s="1662" t="s">
        <v>134</v>
      </c>
      <c r="K222" s="1662" t="s">
        <v>2108</v>
      </c>
      <c r="L222" s="1662" t="s">
        <v>2109</v>
      </c>
      <c r="M222" s="1663"/>
      <c r="N222" s="1663"/>
      <c r="O222" s="1663"/>
      <c r="P222" s="1663"/>
      <c r="Q222" s="1663"/>
      <c r="R222" s="1663"/>
      <c r="S222" s="1663"/>
      <c r="T222" s="1663"/>
      <c r="U222" s="1663"/>
      <c r="V222" s="1663"/>
      <c r="W222" s="1663"/>
      <c r="X222" s="1663"/>
      <c r="Y222" s="1664">
        <v>43248</v>
      </c>
      <c r="Z222" s="1662" t="s">
        <v>2110</v>
      </c>
      <c r="AA222" s="1665">
        <v>0</v>
      </c>
      <c r="AB222" s="1665">
        <v>0</v>
      </c>
      <c r="AC222" s="1680">
        <v>0</v>
      </c>
      <c r="AD222" s="1682">
        <v>43273</v>
      </c>
      <c r="AE222" s="1679" t="s">
        <v>2131</v>
      </c>
      <c r="AF222" s="1662" t="s">
        <v>2115</v>
      </c>
      <c r="AG222" s="1666"/>
      <c r="AH222" s="1667">
        <v>57937.49</v>
      </c>
      <c r="AI222" s="1665">
        <v>57937.49</v>
      </c>
      <c r="AJ222" s="1665">
        <v>49246.87</v>
      </c>
      <c r="AK222" s="1698">
        <v>49246.87</v>
      </c>
      <c r="AL222" s="1665">
        <v>0</v>
      </c>
      <c r="AM222" s="1664">
        <v>43277</v>
      </c>
      <c r="AN222" s="1665">
        <v>57937.49</v>
      </c>
      <c r="AO222" s="1665">
        <v>57937.49</v>
      </c>
      <c r="AP222" s="1665">
        <v>49246.87</v>
      </c>
      <c r="AQ222" s="1665">
        <v>49246.87</v>
      </c>
      <c r="AR222" s="1665">
        <v>0</v>
      </c>
      <c r="AS222" s="1665">
        <v>8690.6200000000008</v>
      </c>
      <c r="AT222" s="1665">
        <v>0</v>
      </c>
      <c r="AU222" s="1665">
        <v>8690.6200000000008</v>
      </c>
      <c r="AV222" s="1665">
        <v>0</v>
      </c>
      <c r="AW222" s="1665">
        <v>0</v>
      </c>
      <c r="AX222" s="1663"/>
      <c r="AY222" s="1663"/>
      <c r="AZ222" s="1663"/>
      <c r="BA222" s="1668"/>
      <c r="BB222" s="1668"/>
      <c r="BC222" s="1663"/>
      <c r="BD222" s="1663"/>
      <c r="BE222" s="1665">
        <v>57937.49</v>
      </c>
      <c r="BF222" s="1665">
        <v>57937.49</v>
      </c>
      <c r="BG222" s="1665">
        <v>49246.87</v>
      </c>
      <c r="BH222" s="1665">
        <v>49246.87</v>
      </c>
      <c r="BI222" s="1665">
        <v>0</v>
      </c>
      <c r="BJ222" s="1665">
        <v>8690.6200000000008</v>
      </c>
      <c r="BK222" s="1665">
        <v>0</v>
      </c>
      <c r="BL222" s="1665">
        <v>8690.6200000000008</v>
      </c>
      <c r="BM222" s="1665">
        <v>0</v>
      </c>
      <c r="BN222" s="1665">
        <v>0</v>
      </c>
      <c r="BO222" s="1664">
        <v>43364</v>
      </c>
      <c r="BP222" s="1665">
        <v>57937.49</v>
      </c>
      <c r="BQ222" s="1665">
        <v>57937.49</v>
      </c>
      <c r="BR222" s="1665">
        <v>49246.87</v>
      </c>
      <c r="BS222" s="1667">
        <v>49246.87</v>
      </c>
      <c r="BT222" s="1665">
        <v>0</v>
      </c>
      <c r="BU222" s="1665">
        <v>8690.6200000000008</v>
      </c>
      <c r="BV222" s="1665">
        <v>0</v>
      </c>
      <c r="BW222" s="1665">
        <v>0</v>
      </c>
      <c r="BX222" s="1665">
        <v>0</v>
      </c>
      <c r="BY222" s="1665">
        <v>0</v>
      </c>
      <c r="BZ222" s="1665">
        <v>0</v>
      </c>
      <c r="CA222" s="1663"/>
      <c r="CB222" s="1668"/>
      <c r="CC222" s="1668"/>
      <c r="CD222" s="1663"/>
      <c r="CE222" s="1663"/>
      <c r="CF222" s="1665">
        <v>0</v>
      </c>
      <c r="CG222" s="1665">
        <v>0</v>
      </c>
      <c r="CH222" s="1665">
        <v>0</v>
      </c>
      <c r="CI222" s="1665">
        <v>0</v>
      </c>
      <c r="CJ222" s="1665">
        <v>630.37</v>
      </c>
      <c r="CK222" s="1665">
        <v>630.37</v>
      </c>
      <c r="CL222" s="1668"/>
      <c r="CM222" s="1665">
        <v>0</v>
      </c>
      <c r="CN222" s="1665">
        <v>0</v>
      </c>
      <c r="CO222" s="1665">
        <v>0</v>
      </c>
      <c r="CP222" s="1665">
        <v>0</v>
      </c>
      <c r="CQ222" s="1665">
        <v>0</v>
      </c>
      <c r="CR222" s="1665">
        <v>0</v>
      </c>
      <c r="CS222" s="1665">
        <v>0</v>
      </c>
      <c r="CT222" s="1665">
        <v>0</v>
      </c>
      <c r="CU222" s="1665">
        <v>0</v>
      </c>
      <c r="CV222" s="1665">
        <v>0</v>
      </c>
      <c r="CW222" s="1668"/>
      <c r="CX222" s="1663"/>
      <c r="CY222" s="1663"/>
      <c r="CZ222" s="1663"/>
      <c r="DA222" s="1663"/>
      <c r="DB222" s="1668"/>
      <c r="DC222" s="1662"/>
      <c r="DD222" s="1665">
        <v>0</v>
      </c>
      <c r="DE222" s="1663"/>
      <c r="DF222" s="1663"/>
      <c r="DG222" s="1665">
        <v>0</v>
      </c>
      <c r="DH222" s="1665">
        <v>0</v>
      </c>
    </row>
    <row r="223" spans="1:112" ht="45" hidden="1" x14ac:dyDescent="0.25">
      <c r="A223" s="1662" t="s">
        <v>2277</v>
      </c>
      <c r="B223" s="1662" t="s">
        <v>1725</v>
      </c>
      <c r="C223" s="1662" t="s">
        <v>2633</v>
      </c>
      <c r="D223" s="1662" t="s">
        <v>2634</v>
      </c>
      <c r="E223" s="1662" t="s">
        <v>143</v>
      </c>
      <c r="F223" s="1662" t="s">
        <v>2627</v>
      </c>
      <c r="G223" s="1662" t="s">
        <v>2628</v>
      </c>
      <c r="H223" s="1662" t="s">
        <v>2613</v>
      </c>
      <c r="I223" s="1662" t="s">
        <v>724</v>
      </c>
      <c r="J223" s="1662" t="s">
        <v>134</v>
      </c>
      <c r="K223" s="1662" t="s">
        <v>2108</v>
      </c>
      <c r="L223" s="1662" t="s">
        <v>2109</v>
      </c>
      <c r="M223" s="1663"/>
      <c r="N223" s="1663"/>
      <c r="O223" s="1663"/>
      <c r="P223" s="1663"/>
      <c r="Q223" s="1663"/>
      <c r="R223" s="1663"/>
      <c r="S223" s="1663"/>
      <c r="T223" s="1663"/>
      <c r="U223" s="1663"/>
      <c r="V223" s="1663"/>
      <c r="W223" s="1663"/>
      <c r="X223" s="1663"/>
      <c r="Y223" s="1664">
        <v>43248</v>
      </c>
      <c r="Z223" s="1662" t="s">
        <v>2110</v>
      </c>
      <c r="AA223" s="1665">
        <v>0</v>
      </c>
      <c r="AB223" s="1665">
        <v>0</v>
      </c>
      <c r="AC223" s="1680">
        <v>0</v>
      </c>
      <c r="AD223" s="1682">
        <v>43273</v>
      </c>
      <c r="AE223" s="1679" t="s">
        <v>2131</v>
      </c>
      <c r="AF223" s="1662" t="s">
        <v>2112</v>
      </c>
      <c r="AG223" s="1666"/>
      <c r="AH223" s="1667">
        <v>2095.23</v>
      </c>
      <c r="AI223" s="1665">
        <v>2095.23</v>
      </c>
      <c r="AJ223" s="1665">
        <v>1780.94</v>
      </c>
      <c r="AK223" s="1698">
        <v>1780.94</v>
      </c>
      <c r="AL223" s="1665">
        <v>0</v>
      </c>
      <c r="AM223" s="1664">
        <v>43273</v>
      </c>
      <c r="AN223" s="1665">
        <v>2095.23</v>
      </c>
      <c r="AO223" s="1665">
        <v>2095.23</v>
      </c>
      <c r="AP223" s="1665">
        <v>1780.94</v>
      </c>
      <c r="AQ223" s="1665">
        <v>1780.94</v>
      </c>
      <c r="AR223" s="1665">
        <v>0</v>
      </c>
      <c r="AS223" s="1665">
        <v>314.29000000000002</v>
      </c>
      <c r="AT223" s="1665">
        <v>0</v>
      </c>
      <c r="AU223" s="1665">
        <v>314.29000000000002</v>
      </c>
      <c r="AV223" s="1665">
        <v>0</v>
      </c>
      <c r="AW223" s="1665">
        <v>0</v>
      </c>
      <c r="AX223" s="1663"/>
      <c r="AY223" s="1663"/>
      <c r="AZ223" s="1663"/>
      <c r="BA223" s="1668"/>
      <c r="BB223" s="1668"/>
      <c r="BC223" s="1663"/>
      <c r="BD223" s="1663"/>
      <c r="BE223" s="1665">
        <v>2095.23</v>
      </c>
      <c r="BF223" s="1665">
        <v>2095.23</v>
      </c>
      <c r="BG223" s="1665">
        <v>1780.94</v>
      </c>
      <c r="BH223" s="1665">
        <v>1780.94</v>
      </c>
      <c r="BI223" s="1665">
        <v>0</v>
      </c>
      <c r="BJ223" s="1665">
        <v>314.29000000000002</v>
      </c>
      <c r="BK223" s="1665">
        <v>0</v>
      </c>
      <c r="BL223" s="1665">
        <v>314.29000000000002</v>
      </c>
      <c r="BM223" s="1665">
        <v>0</v>
      </c>
      <c r="BN223" s="1665">
        <v>0</v>
      </c>
      <c r="BO223" s="1664">
        <v>43364</v>
      </c>
      <c r="BP223" s="1665">
        <v>2095.23</v>
      </c>
      <c r="BQ223" s="1665">
        <v>2095.23</v>
      </c>
      <c r="BR223" s="1665">
        <v>1780.94</v>
      </c>
      <c r="BS223" s="1667">
        <v>1780.94</v>
      </c>
      <c r="BT223" s="1665">
        <v>0</v>
      </c>
      <c r="BU223" s="1665">
        <v>314.29000000000002</v>
      </c>
      <c r="BV223" s="1665">
        <v>0</v>
      </c>
      <c r="BW223" s="1665">
        <v>0</v>
      </c>
      <c r="BX223" s="1665">
        <v>0</v>
      </c>
      <c r="BY223" s="1665">
        <v>0</v>
      </c>
      <c r="BZ223" s="1665">
        <v>0</v>
      </c>
      <c r="CA223" s="1663"/>
      <c r="CB223" s="1668"/>
      <c r="CC223" s="1668"/>
      <c r="CD223" s="1663"/>
      <c r="CE223" s="1663"/>
      <c r="CF223" s="1665">
        <v>0</v>
      </c>
      <c r="CG223" s="1665">
        <v>0</v>
      </c>
      <c r="CH223" s="1665">
        <v>0</v>
      </c>
      <c r="CI223" s="1665">
        <v>0</v>
      </c>
      <c r="CJ223" s="1665">
        <v>22.79</v>
      </c>
      <c r="CK223" s="1665">
        <v>22.79</v>
      </c>
      <c r="CL223" s="1668"/>
      <c r="CM223" s="1665">
        <v>0</v>
      </c>
      <c r="CN223" s="1665">
        <v>0</v>
      </c>
      <c r="CO223" s="1665">
        <v>0</v>
      </c>
      <c r="CP223" s="1665">
        <v>0</v>
      </c>
      <c r="CQ223" s="1665">
        <v>0</v>
      </c>
      <c r="CR223" s="1665">
        <v>0</v>
      </c>
      <c r="CS223" s="1665">
        <v>0</v>
      </c>
      <c r="CT223" s="1665">
        <v>0</v>
      </c>
      <c r="CU223" s="1665">
        <v>0</v>
      </c>
      <c r="CV223" s="1665">
        <v>0</v>
      </c>
      <c r="CW223" s="1668"/>
      <c r="CX223" s="1663"/>
      <c r="CY223" s="1663"/>
      <c r="CZ223" s="1663"/>
      <c r="DA223" s="1663"/>
      <c r="DB223" s="1668"/>
      <c r="DC223" s="1662"/>
      <c r="DD223" s="1665">
        <v>0</v>
      </c>
      <c r="DE223" s="1663"/>
      <c r="DF223" s="1663"/>
      <c r="DG223" s="1665">
        <v>0</v>
      </c>
      <c r="DH223" s="1665">
        <v>0</v>
      </c>
    </row>
    <row r="224" spans="1:112" ht="45" hidden="1" x14ac:dyDescent="0.25">
      <c r="A224" s="1662" t="s">
        <v>2278</v>
      </c>
      <c r="B224" s="1662" t="s">
        <v>1725</v>
      </c>
      <c r="C224" s="1662" t="s">
        <v>2633</v>
      </c>
      <c r="D224" s="1662" t="s">
        <v>2634</v>
      </c>
      <c r="E224" s="1662" t="s">
        <v>143</v>
      </c>
      <c r="F224" s="1662" t="s">
        <v>2627</v>
      </c>
      <c r="G224" s="1662" t="s">
        <v>2628</v>
      </c>
      <c r="H224" s="1662" t="s">
        <v>2613</v>
      </c>
      <c r="I224" s="1662" t="s">
        <v>724</v>
      </c>
      <c r="J224" s="1662" t="s">
        <v>134</v>
      </c>
      <c r="K224" s="1662" t="s">
        <v>2108</v>
      </c>
      <c r="L224" s="1662" t="s">
        <v>2109</v>
      </c>
      <c r="M224" s="1663"/>
      <c r="N224" s="1663"/>
      <c r="O224" s="1663"/>
      <c r="P224" s="1663"/>
      <c r="Q224" s="1663"/>
      <c r="R224" s="1663"/>
      <c r="S224" s="1663"/>
      <c r="T224" s="1663"/>
      <c r="U224" s="1663"/>
      <c r="V224" s="1663"/>
      <c r="W224" s="1663"/>
      <c r="X224" s="1663"/>
      <c r="Y224" s="1664">
        <v>43335</v>
      </c>
      <c r="Z224" s="1662" t="s">
        <v>2110</v>
      </c>
      <c r="AA224" s="1665">
        <v>0</v>
      </c>
      <c r="AB224" s="1665">
        <v>0</v>
      </c>
      <c r="AC224" s="1680">
        <v>0</v>
      </c>
      <c r="AD224" s="1682">
        <v>43350</v>
      </c>
      <c r="AE224" s="1679" t="s">
        <v>2132</v>
      </c>
      <c r="AF224" s="1662" t="s">
        <v>2112</v>
      </c>
      <c r="AG224" s="1666"/>
      <c r="AH224" s="1667">
        <v>76121.490000000005</v>
      </c>
      <c r="AI224" s="1665">
        <v>76121.490000000005</v>
      </c>
      <c r="AJ224" s="1665">
        <v>64703.27</v>
      </c>
      <c r="AK224" s="1698">
        <v>64703.27</v>
      </c>
      <c r="AL224" s="1665">
        <v>0</v>
      </c>
      <c r="AM224" s="1664">
        <v>43350</v>
      </c>
      <c r="AN224" s="1665">
        <v>76121.490000000005</v>
      </c>
      <c r="AO224" s="1665">
        <v>76121.490000000005</v>
      </c>
      <c r="AP224" s="1665">
        <v>64703.27</v>
      </c>
      <c r="AQ224" s="1665">
        <v>64703.27</v>
      </c>
      <c r="AR224" s="1665">
        <v>0</v>
      </c>
      <c r="AS224" s="1665">
        <v>11418.22</v>
      </c>
      <c r="AT224" s="1665">
        <v>0</v>
      </c>
      <c r="AU224" s="1665">
        <v>11418.22</v>
      </c>
      <c r="AV224" s="1665">
        <v>0</v>
      </c>
      <c r="AW224" s="1665">
        <v>0</v>
      </c>
      <c r="AX224" s="1663"/>
      <c r="AY224" s="1663"/>
      <c r="AZ224" s="1663"/>
      <c r="BA224" s="1668"/>
      <c r="BB224" s="1668"/>
      <c r="BC224" s="1663"/>
      <c r="BD224" s="1663"/>
      <c r="BE224" s="1665">
        <v>76121.490000000005</v>
      </c>
      <c r="BF224" s="1665">
        <v>76121.490000000005</v>
      </c>
      <c r="BG224" s="1665">
        <v>64703.27</v>
      </c>
      <c r="BH224" s="1665">
        <v>64703.27</v>
      </c>
      <c r="BI224" s="1665">
        <v>0</v>
      </c>
      <c r="BJ224" s="1665">
        <v>11418.22</v>
      </c>
      <c r="BK224" s="1665">
        <v>0</v>
      </c>
      <c r="BL224" s="1665">
        <v>11418.22</v>
      </c>
      <c r="BM224" s="1665">
        <v>0</v>
      </c>
      <c r="BN224" s="1665">
        <v>0</v>
      </c>
      <c r="BO224" s="1668"/>
      <c r="BP224" s="1665">
        <v>0</v>
      </c>
      <c r="BQ224" s="1665">
        <v>0</v>
      </c>
      <c r="BR224" s="1665">
        <v>0</v>
      </c>
      <c r="BS224" s="1667">
        <v>0</v>
      </c>
      <c r="BT224" s="1665">
        <v>0</v>
      </c>
      <c r="BU224" s="1665">
        <v>0</v>
      </c>
      <c r="BV224" s="1665">
        <v>0</v>
      </c>
      <c r="BW224" s="1665">
        <v>0</v>
      </c>
      <c r="BX224" s="1665">
        <v>0</v>
      </c>
      <c r="BY224" s="1665">
        <v>0</v>
      </c>
      <c r="BZ224" s="1665">
        <v>0</v>
      </c>
      <c r="CA224" s="1663"/>
      <c r="CB224" s="1668"/>
      <c r="CC224" s="1668"/>
      <c r="CD224" s="1663"/>
      <c r="CE224" s="1663"/>
      <c r="CF224" s="1665">
        <v>0</v>
      </c>
      <c r="CG224" s="1665">
        <v>0</v>
      </c>
      <c r="CH224" s="1665">
        <v>0</v>
      </c>
      <c r="CI224" s="1665">
        <v>0</v>
      </c>
      <c r="CJ224" s="1665">
        <v>0</v>
      </c>
      <c r="CK224" s="1665">
        <v>0</v>
      </c>
      <c r="CL224" s="1668"/>
      <c r="CM224" s="1665">
        <v>0</v>
      </c>
      <c r="CN224" s="1665">
        <v>0</v>
      </c>
      <c r="CO224" s="1665">
        <v>0</v>
      </c>
      <c r="CP224" s="1665">
        <v>0</v>
      </c>
      <c r="CQ224" s="1665">
        <v>0</v>
      </c>
      <c r="CR224" s="1665">
        <v>0</v>
      </c>
      <c r="CS224" s="1665">
        <v>0</v>
      </c>
      <c r="CT224" s="1665">
        <v>0</v>
      </c>
      <c r="CU224" s="1665">
        <v>0</v>
      </c>
      <c r="CV224" s="1665">
        <v>0</v>
      </c>
      <c r="CW224" s="1668"/>
      <c r="CX224" s="1663"/>
      <c r="CY224" s="1663"/>
      <c r="CZ224" s="1663"/>
      <c r="DA224" s="1663"/>
      <c r="DB224" s="1668"/>
      <c r="DC224" s="1662"/>
      <c r="DD224" s="1665">
        <v>0</v>
      </c>
      <c r="DE224" s="1663"/>
      <c r="DF224" s="1663"/>
      <c r="DG224" s="1665">
        <v>0</v>
      </c>
      <c r="DH224" s="1665">
        <v>0</v>
      </c>
    </row>
    <row r="225" spans="1:112" ht="56.25" hidden="1" x14ac:dyDescent="0.25">
      <c r="A225" s="1662" t="s">
        <v>2280</v>
      </c>
      <c r="B225" s="1662" t="s">
        <v>1725</v>
      </c>
      <c r="C225" s="1662" t="s">
        <v>2633</v>
      </c>
      <c r="D225" s="1662" t="s">
        <v>2634</v>
      </c>
      <c r="E225" s="1662" t="s">
        <v>143</v>
      </c>
      <c r="F225" s="1662" t="s">
        <v>2627</v>
      </c>
      <c r="G225" s="1662" t="s">
        <v>2628</v>
      </c>
      <c r="H225" s="1662" t="s">
        <v>2613</v>
      </c>
      <c r="I225" s="1662" t="s">
        <v>725</v>
      </c>
      <c r="J225" s="1662" t="s">
        <v>2279</v>
      </c>
      <c r="K225" s="1662" t="s">
        <v>2120</v>
      </c>
      <c r="L225" s="1662" t="s">
        <v>2109</v>
      </c>
      <c r="M225" s="1665">
        <v>783264.16</v>
      </c>
      <c r="N225" s="1665">
        <v>0</v>
      </c>
      <c r="O225" s="1665">
        <v>783264.16</v>
      </c>
      <c r="P225" s="1665">
        <v>783264.16</v>
      </c>
      <c r="Q225" s="1665">
        <v>299541</v>
      </c>
      <c r="R225" s="1665">
        <v>299541</v>
      </c>
      <c r="S225" s="1665">
        <v>0</v>
      </c>
      <c r="T225" s="1665">
        <v>483723.16</v>
      </c>
      <c r="U225" s="1665">
        <v>352400.82</v>
      </c>
      <c r="V225" s="1665">
        <v>131322.34</v>
      </c>
      <c r="W225" s="1665">
        <v>0</v>
      </c>
      <c r="X225" s="1665">
        <v>0</v>
      </c>
      <c r="Y225" s="1668"/>
      <c r="Z225" s="1662"/>
      <c r="AA225" s="1665">
        <v>26000</v>
      </c>
      <c r="AB225" s="1665">
        <v>26000</v>
      </c>
      <c r="AC225" s="1680">
        <v>0</v>
      </c>
      <c r="AD225" s="1681"/>
      <c r="AE225" s="1679"/>
      <c r="AF225" s="1662"/>
      <c r="AG225" s="1666"/>
      <c r="AH225" s="1667">
        <v>711491.67</v>
      </c>
      <c r="AI225" s="1665">
        <v>711491.67</v>
      </c>
      <c r="AJ225" s="1665">
        <v>295499.18</v>
      </c>
      <c r="AK225" s="1698">
        <v>295499.18</v>
      </c>
      <c r="AL225" s="1665">
        <v>0</v>
      </c>
      <c r="AM225" s="1668"/>
      <c r="AN225" s="1665">
        <v>631491.67000000004</v>
      </c>
      <c r="AO225" s="1665">
        <v>631491.67000000004</v>
      </c>
      <c r="AP225" s="1665">
        <v>241499.18</v>
      </c>
      <c r="AQ225" s="1665">
        <v>241499.18</v>
      </c>
      <c r="AR225" s="1665">
        <v>0</v>
      </c>
      <c r="AS225" s="1665">
        <v>389992.49</v>
      </c>
      <c r="AT225" s="1665">
        <v>284116.38</v>
      </c>
      <c r="AU225" s="1665">
        <v>105876.11</v>
      </c>
      <c r="AV225" s="1665">
        <v>0</v>
      </c>
      <c r="AW225" s="1665">
        <v>0</v>
      </c>
      <c r="AX225" s="1665">
        <v>0</v>
      </c>
      <c r="AY225" s="1665">
        <v>0</v>
      </c>
      <c r="AZ225" s="1665">
        <v>0</v>
      </c>
      <c r="BA225" s="1668"/>
      <c r="BB225" s="1668"/>
      <c r="BC225" s="1665">
        <v>0</v>
      </c>
      <c r="BD225" s="1665">
        <v>0</v>
      </c>
      <c r="BE225" s="1665">
        <v>631491.67000000004</v>
      </c>
      <c r="BF225" s="1665">
        <v>631491.67000000004</v>
      </c>
      <c r="BG225" s="1665">
        <v>241499.18</v>
      </c>
      <c r="BH225" s="1665">
        <v>241499.18</v>
      </c>
      <c r="BI225" s="1665">
        <v>0</v>
      </c>
      <c r="BJ225" s="1665">
        <v>389992.49</v>
      </c>
      <c r="BK225" s="1665">
        <v>284116.38</v>
      </c>
      <c r="BL225" s="1665">
        <v>105876.11</v>
      </c>
      <c r="BM225" s="1665">
        <v>0</v>
      </c>
      <c r="BN225" s="1665">
        <v>0</v>
      </c>
      <c r="BO225" s="1668"/>
      <c r="BP225" s="1665">
        <v>580836.93000000005</v>
      </c>
      <c r="BQ225" s="1665">
        <v>580836.93000000005</v>
      </c>
      <c r="BR225" s="1665">
        <v>222127.46</v>
      </c>
      <c r="BS225" s="1667">
        <v>222127.46</v>
      </c>
      <c r="BT225" s="1665">
        <v>0</v>
      </c>
      <c r="BU225" s="1665">
        <v>358709.47</v>
      </c>
      <c r="BV225" s="1665">
        <v>284116.38</v>
      </c>
      <c r="BW225" s="1665">
        <v>0</v>
      </c>
      <c r="BX225" s="1665">
        <v>0</v>
      </c>
      <c r="BY225" s="1665">
        <v>0</v>
      </c>
      <c r="BZ225" s="1665">
        <v>0</v>
      </c>
      <c r="CA225" s="1665">
        <v>0</v>
      </c>
      <c r="CB225" s="1668"/>
      <c r="CC225" s="1668"/>
      <c r="CD225" s="1665">
        <v>0</v>
      </c>
      <c r="CE225" s="1665">
        <v>0</v>
      </c>
      <c r="CF225" s="1665">
        <v>0</v>
      </c>
      <c r="CG225" s="1665">
        <v>0</v>
      </c>
      <c r="CH225" s="1665">
        <v>0</v>
      </c>
      <c r="CI225" s="1665">
        <v>0</v>
      </c>
      <c r="CJ225" s="1665">
        <v>5123.8500000000004</v>
      </c>
      <c r="CK225" s="1665">
        <v>5123.8500000000004</v>
      </c>
      <c r="CL225" s="1668"/>
      <c r="CM225" s="1665">
        <v>0</v>
      </c>
      <c r="CN225" s="1665">
        <v>0</v>
      </c>
      <c r="CO225" s="1665">
        <v>0</v>
      </c>
      <c r="CP225" s="1665">
        <v>0</v>
      </c>
      <c r="CQ225" s="1665">
        <v>0</v>
      </c>
      <c r="CR225" s="1665">
        <v>0</v>
      </c>
      <c r="CS225" s="1665">
        <v>0</v>
      </c>
      <c r="CT225" s="1665">
        <v>0</v>
      </c>
      <c r="CU225" s="1665">
        <v>0</v>
      </c>
      <c r="CV225" s="1665">
        <v>0</v>
      </c>
      <c r="CW225" s="1668"/>
      <c r="CX225" s="1665">
        <v>0</v>
      </c>
      <c r="CY225" s="1665">
        <v>0</v>
      </c>
      <c r="CZ225" s="1665">
        <v>0</v>
      </c>
      <c r="DA225" s="1665">
        <v>0</v>
      </c>
      <c r="DB225" s="1668"/>
      <c r="DC225" s="1662"/>
      <c r="DD225" s="1665">
        <v>0</v>
      </c>
      <c r="DE225" s="1665">
        <v>0</v>
      </c>
      <c r="DF225" s="1665">
        <v>0</v>
      </c>
      <c r="DG225" s="1665">
        <v>0</v>
      </c>
      <c r="DH225" s="1665">
        <v>0</v>
      </c>
    </row>
    <row r="226" spans="1:112" ht="56.25" hidden="1" x14ac:dyDescent="0.25">
      <c r="A226" s="1662" t="s">
        <v>2281</v>
      </c>
      <c r="B226" s="1662" t="s">
        <v>1725</v>
      </c>
      <c r="C226" s="1662" t="s">
        <v>2633</v>
      </c>
      <c r="D226" s="1662" t="s">
        <v>2634</v>
      </c>
      <c r="E226" s="1662" t="s">
        <v>143</v>
      </c>
      <c r="F226" s="1662" t="s">
        <v>2627</v>
      </c>
      <c r="G226" s="1662" t="s">
        <v>2628</v>
      </c>
      <c r="H226" s="1662" t="s">
        <v>2613</v>
      </c>
      <c r="I226" s="1662" t="s">
        <v>725</v>
      </c>
      <c r="J226" s="1662" t="s">
        <v>2279</v>
      </c>
      <c r="K226" s="1662" t="s">
        <v>2120</v>
      </c>
      <c r="L226" s="1662" t="s">
        <v>2109</v>
      </c>
      <c r="M226" s="1663"/>
      <c r="N226" s="1663"/>
      <c r="O226" s="1663"/>
      <c r="P226" s="1663"/>
      <c r="Q226" s="1663"/>
      <c r="R226" s="1663"/>
      <c r="S226" s="1663"/>
      <c r="T226" s="1663"/>
      <c r="U226" s="1663"/>
      <c r="V226" s="1663"/>
      <c r="W226" s="1663"/>
      <c r="X226" s="1663"/>
      <c r="Y226" s="1664">
        <v>42965</v>
      </c>
      <c r="Z226" s="1662" t="s">
        <v>2145</v>
      </c>
      <c r="AA226" s="1665">
        <v>0</v>
      </c>
      <c r="AB226" s="1665">
        <v>0</v>
      </c>
      <c r="AC226" s="1680">
        <v>0</v>
      </c>
      <c r="AD226" s="1682">
        <v>42970</v>
      </c>
      <c r="AE226" s="1679" t="s">
        <v>2122</v>
      </c>
      <c r="AF226" s="1662" t="s">
        <v>2112</v>
      </c>
      <c r="AG226" s="1666"/>
      <c r="AH226" s="1667">
        <v>0</v>
      </c>
      <c r="AI226" s="1665">
        <v>0</v>
      </c>
      <c r="AJ226" s="1665">
        <v>0</v>
      </c>
      <c r="AK226" s="1698">
        <v>0</v>
      </c>
      <c r="AL226" s="1665">
        <v>0</v>
      </c>
      <c r="AM226" s="1668"/>
      <c r="AN226" s="1665">
        <v>0</v>
      </c>
      <c r="AO226" s="1665">
        <v>0</v>
      </c>
      <c r="AP226" s="1665">
        <v>0</v>
      </c>
      <c r="AQ226" s="1665">
        <v>0</v>
      </c>
      <c r="AR226" s="1665">
        <v>0</v>
      </c>
      <c r="AS226" s="1665">
        <v>0</v>
      </c>
      <c r="AT226" s="1665">
        <v>0</v>
      </c>
      <c r="AU226" s="1665">
        <v>0</v>
      </c>
      <c r="AV226" s="1665">
        <v>0</v>
      </c>
      <c r="AW226" s="1665">
        <v>0</v>
      </c>
      <c r="AX226" s="1663"/>
      <c r="AY226" s="1663"/>
      <c r="AZ226" s="1663"/>
      <c r="BA226" s="1668"/>
      <c r="BB226" s="1668"/>
      <c r="BC226" s="1663"/>
      <c r="BD226" s="1663"/>
      <c r="BE226" s="1665">
        <v>0</v>
      </c>
      <c r="BF226" s="1665">
        <v>0</v>
      </c>
      <c r="BG226" s="1665">
        <v>0</v>
      </c>
      <c r="BH226" s="1665">
        <v>0</v>
      </c>
      <c r="BI226" s="1665">
        <v>0</v>
      </c>
      <c r="BJ226" s="1665">
        <v>0</v>
      </c>
      <c r="BK226" s="1665">
        <v>0</v>
      </c>
      <c r="BL226" s="1665">
        <v>0</v>
      </c>
      <c r="BM226" s="1665">
        <v>0</v>
      </c>
      <c r="BN226" s="1665">
        <v>0</v>
      </c>
      <c r="BO226" s="1668"/>
      <c r="BP226" s="1665">
        <v>0</v>
      </c>
      <c r="BQ226" s="1665">
        <v>0</v>
      </c>
      <c r="BR226" s="1665">
        <v>0</v>
      </c>
      <c r="BS226" s="1667">
        <v>0</v>
      </c>
      <c r="BT226" s="1665">
        <v>0</v>
      </c>
      <c r="BU226" s="1665">
        <v>0</v>
      </c>
      <c r="BV226" s="1665">
        <v>0</v>
      </c>
      <c r="BW226" s="1665">
        <v>0</v>
      </c>
      <c r="BX226" s="1665">
        <v>0</v>
      </c>
      <c r="BY226" s="1665">
        <v>0</v>
      </c>
      <c r="BZ226" s="1663"/>
      <c r="CA226" s="1663"/>
      <c r="CB226" s="1668"/>
      <c r="CC226" s="1668"/>
      <c r="CD226" s="1663"/>
      <c r="CE226" s="1663"/>
      <c r="CF226" s="1665">
        <v>0</v>
      </c>
      <c r="CG226" s="1665">
        <v>0</v>
      </c>
      <c r="CH226" s="1665">
        <v>0</v>
      </c>
      <c r="CI226" s="1665">
        <v>0</v>
      </c>
      <c r="CJ226" s="1665">
        <v>0</v>
      </c>
      <c r="CK226" s="1665">
        <v>0</v>
      </c>
      <c r="CL226" s="1668"/>
      <c r="CM226" s="1665">
        <v>0</v>
      </c>
      <c r="CN226" s="1665">
        <v>0</v>
      </c>
      <c r="CO226" s="1665">
        <v>0</v>
      </c>
      <c r="CP226" s="1665">
        <v>0</v>
      </c>
      <c r="CQ226" s="1665">
        <v>0</v>
      </c>
      <c r="CR226" s="1665">
        <v>0</v>
      </c>
      <c r="CS226" s="1665">
        <v>0</v>
      </c>
      <c r="CT226" s="1665">
        <v>0</v>
      </c>
      <c r="CU226" s="1665">
        <v>0</v>
      </c>
      <c r="CV226" s="1665">
        <v>0</v>
      </c>
      <c r="CW226" s="1668"/>
      <c r="CX226" s="1663"/>
      <c r="CY226" s="1663"/>
      <c r="CZ226" s="1663"/>
      <c r="DA226" s="1663"/>
      <c r="DB226" s="1668"/>
      <c r="DC226" s="1662"/>
      <c r="DD226" s="1665">
        <v>0</v>
      </c>
      <c r="DE226" s="1663"/>
      <c r="DF226" s="1663"/>
      <c r="DG226" s="1665">
        <v>0</v>
      </c>
      <c r="DH226" s="1665">
        <v>0</v>
      </c>
    </row>
    <row r="227" spans="1:112" ht="56.25" hidden="1" x14ac:dyDescent="0.25">
      <c r="A227" s="1662" t="s">
        <v>2282</v>
      </c>
      <c r="B227" s="1662" t="s">
        <v>1725</v>
      </c>
      <c r="C227" s="1662" t="s">
        <v>2633</v>
      </c>
      <c r="D227" s="1662" t="s">
        <v>2634</v>
      </c>
      <c r="E227" s="1662" t="s">
        <v>143</v>
      </c>
      <c r="F227" s="1662" t="s">
        <v>2627</v>
      </c>
      <c r="G227" s="1662" t="s">
        <v>2628</v>
      </c>
      <c r="H227" s="1662" t="s">
        <v>2613</v>
      </c>
      <c r="I227" s="1662" t="s">
        <v>725</v>
      </c>
      <c r="J227" s="1662" t="s">
        <v>2279</v>
      </c>
      <c r="K227" s="1662" t="s">
        <v>2120</v>
      </c>
      <c r="L227" s="1662" t="s">
        <v>2109</v>
      </c>
      <c r="M227" s="1663"/>
      <c r="N227" s="1663"/>
      <c r="O227" s="1663"/>
      <c r="P227" s="1663"/>
      <c r="Q227" s="1663"/>
      <c r="R227" s="1663"/>
      <c r="S227" s="1663"/>
      <c r="T227" s="1663"/>
      <c r="U227" s="1663"/>
      <c r="V227" s="1663"/>
      <c r="W227" s="1663"/>
      <c r="X227" s="1663"/>
      <c r="Y227" s="1664">
        <v>42965</v>
      </c>
      <c r="Z227" s="1662" t="s">
        <v>2110</v>
      </c>
      <c r="AA227" s="1665">
        <v>0</v>
      </c>
      <c r="AB227" s="1665">
        <v>0</v>
      </c>
      <c r="AC227" s="1680">
        <v>0</v>
      </c>
      <c r="AD227" s="1682">
        <v>42992</v>
      </c>
      <c r="AE227" s="1679" t="s">
        <v>2111</v>
      </c>
      <c r="AF227" s="1662" t="s">
        <v>2112</v>
      </c>
      <c r="AG227" s="1666"/>
      <c r="AH227" s="1667">
        <v>6836.31</v>
      </c>
      <c r="AI227" s="1665">
        <v>6836.31</v>
      </c>
      <c r="AJ227" s="1665">
        <v>2614.39</v>
      </c>
      <c r="AK227" s="1698">
        <v>2614.39</v>
      </c>
      <c r="AL227" s="1665">
        <v>0</v>
      </c>
      <c r="AM227" s="1664">
        <v>42992</v>
      </c>
      <c r="AN227" s="1665">
        <v>6836.31</v>
      </c>
      <c r="AO227" s="1665">
        <v>6836.31</v>
      </c>
      <c r="AP227" s="1665">
        <v>2614.39</v>
      </c>
      <c r="AQ227" s="1665">
        <v>2614.39</v>
      </c>
      <c r="AR227" s="1665">
        <v>0</v>
      </c>
      <c r="AS227" s="1665">
        <v>4221.92</v>
      </c>
      <c r="AT227" s="1665">
        <v>3075.74</v>
      </c>
      <c r="AU227" s="1665">
        <v>1146.18</v>
      </c>
      <c r="AV227" s="1665">
        <v>0</v>
      </c>
      <c r="AW227" s="1665">
        <v>0</v>
      </c>
      <c r="AX227" s="1663"/>
      <c r="AY227" s="1663"/>
      <c r="AZ227" s="1663"/>
      <c r="BA227" s="1668"/>
      <c r="BB227" s="1668"/>
      <c r="BC227" s="1663"/>
      <c r="BD227" s="1663"/>
      <c r="BE227" s="1665">
        <v>6836.31</v>
      </c>
      <c r="BF227" s="1665">
        <v>6836.31</v>
      </c>
      <c r="BG227" s="1665">
        <v>2614.39</v>
      </c>
      <c r="BH227" s="1665">
        <v>2614.39</v>
      </c>
      <c r="BI227" s="1665">
        <v>0</v>
      </c>
      <c r="BJ227" s="1665">
        <v>4221.92</v>
      </c>
      <c r="BK227" s="1665">
        <v>3075.74</v>
      </c>
      <c r="BL227" s="1665">
        <v>1146.18</v>
      </c>
      <c r="BM227" s="1665">
        <v>0</v>
      </c>
      <c r="BN227" s="1665">
        <v>0</v>
      </c>
      <c r="BO227" s="1664">
        <v>43039</v>
      </c>
      <c r="BP227" s="1665">
        <v>6836.31</v>
      </c>
      <c r="BQ227" s="1665">
        <v>6836.31</v>
      </c>
      <c r="BR227" s="1665">
        <v>2614.39</v>
      </c>
      <c r="BS227" s="1667">
        <v>2614.39</v>
      </c>
      <c r="BT227" s="1665">
        <v>0</v>
      </c>
      <c r="BU227" s="1665">
        <v>4221.92</v>
      </c>
      <c r="BV227" s="1665">
        <v>3075.74</v>
      </c>
      <c r="BW227" s="1665">
        <v>0</v>
      </c>
      <c r="BX227" s="1665">
        <v>0</v>
      </c>
      <c r="BY227" s="1665">
        <v>0</v>
      </c>
      <c r="BZ227" s="1665">
        <v>0</v>
      </c>
      <c r="CA227" s="1663"/>
      <c r="CB227" s="1668"/>
      <c r="CC227" s="1668"/>
      <c r="CD227" s="1663"/>
      <c r="CE227" s="1663"/>
      <c r="CF227" s="1665">
        <v>0</v>
      </c>
      <c r="CG227" s="1665">
        <v>0</v>
      </c>
      <c r="CH227" s="1665">
        <v>0</v>
      </c>
      <c r="CI227" s="1665">
        <v>0</v>
      </c>
      <c r="CJ227" s="1665">
        <v>60.31</v>
      </c>
      <c r="CK227" s="1665">
        <v>60.31</v>
      </c>
      <c r="CL227" s="1668"/>
      <c r="CM227" s="1665">
        <v>0</v>
      </c>
      <c r="CN227" s="1665">
        <v>0</v>
      </c>
      <c r="CO227" s="1665">
        <v>0</v>
      </c>
      <c r="CP227" s="1665">
        <v>0</v>
      </c>
      <c r="CQ227" s="1665">
        <v>0</v>
      </c>
      <c r="CR227" s="1665">
        <v>0</v>
      </c>
      <c r="CS227" s="1665">
        <v>0</v>
      </c>
      <c r="CT227" s="1665">
        <v>0</v>
      </c>
      <c r="CU227" s="1665">
        <v>0</v>
      </c>
      <c r="CV227" s="1665">
        <v>0</v>
      </c>
      <c r="CW227" s="1668"/>
      <c r="CX227" s="1663"/>
      <c r="CY227" s="1663"/>
      <c r="CZ227" s="1663"/>
      <c r="DA227" s="1663"/>
      <c r="DB227" s="1668"/>
      <c r="DC227" s="1662"/>
      <c r="DD227" s="1665">
        <v>0</v>
      </c>
      <c r="DE227" s="1663"/>
      <c r="DF227" s="1663"/>
      <c r="DG227" s="1665">
        <v>0</v>
      </c>
      <c r="DH227" s="1665">
        <v>0</v>
      </c>
    </row>
    <row r="228" spans="1:112" ht="56.25" hidden="1" x14ac:dyDescent="0.25">
      <c r="A228" s="1662" t="s">
        <v>2283</v>
      </c>
      <c r="B228" s="1662" t="s">
        <v>1725</v>
      </c>
      <c r="C228" s="1662" t="s">
        <v>2633</v>
      </c>
      <c r="D228" s="1662" t="s">
        <v>2634</v>
      </c>
      <c r="E228" s="1662" t="s">
        <v>143</v>
      </c>
      <c r="F228" s="1662" t="s">
        <v>2627</v>
      </c>
      <c r="G228" s="1662" t="s">
        <v>2628</v>
      </c>
      <c r="H228" s="1662" t="s">
        <v>2613</v>
      </c>
      <c r="I228" s="1662" t="s">
        <v>725</v>
      </c>
      <c r="J228" s="1662" t="s">
        <v>2279</v>
      </c>
      <c r="K228" s="1662" t="s">
        <v>2120</v>
      </c>
      <c r="L228" s="1662" t="s">
        <v>2109</v>
      </c>
      <c r="M228" s="1663"/>
      <c r="N228" s="1663"/>
      <c r="O228" s="1663"/>
      <c r="P228" s="1663"/>
      <c r="Q228" s="1663"/>
      <c r="R228" s="1663"/>
      <c r="S228" s="1663"/>
      <c r="T228" s="1663"/>
      <c r="U228" s="1663"/>
      <c r="V228" s="1663"/>
      <c r="W228" s="1663"/>
      <c r="X228" s="1663"/>
      <c r="Y228" s="1664">
        <v>43019</v>
      </c>
      <c r="Z228" s="1662" t="s">
        <v>2145</v>
      </c>
      <c r="AA228" s="1665">
        <v>0</v>
      </c>
      <c r="AB228" s="1665">
        <v>0</v>
      </c>
      <c r="AC228" s="1680">
        <v>0</v>
      </c>
      <c r="AD228" s="1682">
        <v>43032</v>
      </c>
      <c r="AE228" s="1679" t="s">
        <v>2114</v>
      </c>
      <c r="AF228" s="1662" t="s">
        <v>2112</v>
      </c>
      <c r="AG228" s="1666"/>
      <c r="AH228" s="1667">
        <v>80000</v>
      </c>
      <c r="AI228" s="1665">
        <v>80000</v>
      </c>
      <c r="AJ228" s="1665">
        <v>80000</v>
      </c>
      <c r="AK228" s="1698">
        <v>80000</v>
      </c>
      <c r="AL228" s="1665">
        <v>0</v>
      </c>
      <c r="AM228" s="1668"/>
      <c r="AN228" s="1665">
        <v>0</v>
      </c>
      <c r="AO228" s="1665">
        <v>0</v>
      </c>
      <c r="AP228" s="1665">
        <v>0</v>
      </c>
      <c r="AQ228" s="1665">
        <v>0</v>
      </c>
      <c r="AR228" s="1665">
        <v>0</v>
      </c>
      <c r="AS228" s="1665">
        <v>0</v>
      </c>
      <c r="AT228" s="1665">
        <v>0</v>
      </c>
      <c r="AU228" s="1665">
        <v>0</v>
      </c>
      <c r="AV228" s="1665">
        <v>0</v>
      </c>
      <c r="AW228" s="1665">
        <v>0</v>
      </c>
      <c r="AX228" s="1663"/>
      <c r="AY228" s="1663"/>
      <c r="AZ228" s="1663"/>
      <c r="BA228" s="1668"/>
      <c r="BB228" s="1668"/>
      <c r="BC228" s="1663"/>
      <c r="BD228" s="1663"/>
      <c r="BE228" s="1665">
        <v>0</v>
      </c>
      <c r="BF228" s="1665">
        <v>0</v>
      </c>
      <c r="BG228" s="1665">
        <v>0</v>
      </c>
      <c r="BH228" s="1665">
        <v>0</v>
      </c>
      <c r="BI228" s="1665">
        <v>0</v>
      </c>
      <c r="BJ228" s="1665">
        <v>0</v>
      </c>
      <c r="BK228" s="1665">
        <v>0</v>
      </c>
      <c r="BL228" s="1665">
        <v>0</v>
      </c>
      <c r="BM228" s="1665">
        <v>0</v>
      </c>
      <c r="BN228" s="1665">
        <v>0</v>
      </c>
      <c r="BO228" s="1668"/>
      <c r="BP228" s="1665">
        <v>0</v>
      </c>
      <c r="BQ228" s="1665">
        <v>0</v>
      </c>
      <c r="BR228" s="1665">
        <v>0</v>
      </c>
      <c r="BS228" s="1667">
        <v>0</v>
      </c>
      <c r="BT228" s="1665">
        <v>0</v>
      </c>
      <c r="BU228" s="1665">
        <v>0</v>
      </c>
      <c r="BV228" s="1665">
        <v>0</v>
      </c>
      <c r="BW228" s="1665">
        <v>0</v>
      </c>
      <c r="BX228" s="1665">
        <v>0</v>
      </c>
      <c r="BY228" s="1665">
        <v>0</v>
      </c>
      <c r="BZ228" s="1663"/>
      <c r="CA228" s="1663"/>
      <c r="CB228" s="1668"/>
      <c r="CC228" s="1668"/>
      <c r="CD228" s="1663"/>
      <c r="CE228" s="1663"/>
      <c r="CF228" s="1665">
        <v>0</v>
      </c>
      <c r="CG228" s="1665">
        <v>0</v>
      </c>
      <c r="CH228" s="1665">
        <v>0</v>
      </c>
      <c r="CI228" s="1665">
        <v>0</v>
      </c>
      <c r="CJ228" s="1665">
        <v>0</v>
      </c>
      <c r="CK228" s="1665">
        <v>0</v>
      </c>
      <c r="CL228" s="1668"/>
      <c r="CM228" s="1665">
        <v>0</v>
      </c>
      <c r="CN228" s="1665">
        <v>0</v>
      </c>
      <c r="CO228" s="1665">
        <v>0</v>
      </c>
      <c r="CP228" s="1665">
        <v>0</v>
      </c>
      <c r="CQ228" s="1665">
        <v>0</v>
      </c>
      <c r="CR228" s="1665">
        <v>0</v>
      </c>
      <c r="CS228" s="1665">
        <v>0</v>
      </c>
      <c r="CT228" s="1665">
        <v>0</v>
      </c>
      <c r="CU228" s="1665">
        <v>0</v>
      </c>
      <c r="CV228" s="1665">
        <v>0</v>
      </c>
      <c r="CW228" s="1668"/>
      <c r="CX228" s="1663"/>
      <c r="CY228" s="1663"/>
      <c r="CZ228" s="1663"/>
      <c r="DA228" s="1663"/>
      <c r="DB228" s="1668"/>
      <c r="DC228" s="1662"/>
      <c r="DD228" s="1665">
        <v>0</v>
      </c>
      <c r="DE228" s="1663"/>
      <c r="DF228" s="1663"/>
      <c r="DG228" s="1665">
        <v>0</v>
      </c>
      <c r="DH228" s="1665">
        <v>0</v>
      </c>
    </row>
    <row r="229" spans="1:112" ht="56.25" hidden="1" x14ac:dyDescent="0.25">
      <c r="A229" s="1662" t="s">
        <v>2284</v>
      </c>
      <c r="B229" s="1662" t="s">
        <v>1725</v>
      </c>
      <c r="C229" s="1662" t="s">
        <v>2633</v>
      </c>
      <c r="D229" s="1662" t="s">
        <v>2634</v>
      </c>
      <c r="E229" s="1662" t="s">
        <v>143</v>
      </c>
      <c r="F229" s="1662" t="s">
        <v>2627</v>
      </c>
      <c r="G229" s="1662" t="s">
        <v>2628</v>
      </c>
      <c r="H229" s="1662" t="s">
        <v>2613</v>
      </c>
      <c r="I229" s="1662" t="s">
        <v>725</v>
      </c>
      <c r="J229" s="1662" t="s">
        <v>2279</v>
      </c>
      <c r="K229" s="1662" t="s">
        <v>2120</v>
      </c>
      <c r="L229" s="1662" t="s">
        <v>2109</v>
      </c>
      <c r="M229" s="1663"/>
      <c r="N229" s="1663"/>
      <c r="O229" s="1663"/>
      <c r="P229" s="1663"/>
      <c r="Q229" s="1663"/>
      <c r="R229" s="1663"/>
      <c r="S229" s="1663"/>
      <c r="T229" s="1663"/>
      <c r="U229" s="1663"/>
      <c r="V229" s="1663"/>
      <c r="W229" s="1663"/>
      <c r="X229" s="1663"/>
      <c r="Y229" s="1664">
        <v>43054</v>
      </c>
      <c r="Z229" s="1662" t="s">
        <v>2110</v>
      </c>
      <c r="AA229" s="1665">
        <v>0</v>
      </c>
      <c r="AB229" s="1665">
        <v>0</v>
      </c>
      <c r="AC229" s="1680">
        <v>0</v>
      </c>
      <c r="AD229" s="1682">
        <v>43089</v>
      </c>
      <c r="AE229" s="1679" t="s">
        <v>2128</v>
      </c>
      <c r="AF229" s="1662" t="s">
        <v>2112</v>
      </c>
      <c r="AG229" s="1666"/>
      <c r="AH229" s="1667">
        <v>5725.86</v>
      </c>
      <c r="AI229" s="1665">
        <v>5725.86</v>
      </c>
      <c r="AJ229" s="1665">
        <v>2189.7199999999998</v>
      </c>
      <c r="AK229" s="1698">
        <v>2189.7199999999998</v>
      </c>
      <c r="AL229" s="1665">
        <v>0</v>
      </c>
      <c r="AM229" s="1664">
        <v>43089</v>
      </c>
      <c r="AN229" s="1665">
        <v>5725.86</v>
      </c>
      <c r="AO229" s="1665">
        <v>5725.86</v>
      </c>
      <c r="AP229" s="1665">
        <v>2189.7199999999998</v>
      </c>
      <c r="AQ229" s="1665">
        <v>2189.7199999999998</v>
      </c>
      <c r="AR229" s="1665">
        <v>0</v>
      </c>
      <c r="AS229" s="1665">
        <v>3536.14</v>
      </c>
      <c r="AT229" s="1665">
        <v>2576.14</v>
      </c>
      <c r="AU229" s="1665">
        <v>960</v>
      </c>
      <c r="AV229" s="1665">
        <v>0</v>
      </c>
      <c r="AW229" s="1665">
        <v>0</v>
      </c>
      <c r="AX229" s="1663"/>
      <c r="AY229" s="1663"/>
      <c r="AZ229" s="1663"/>
      <c r="BA229" s="1668"/>
      <c r="BB229" s="1668"/>
      <c r="BC229" s="1663"/>
      <c r="BD229" s="1663"/>
      <c r="BE229" s="1665">
        <v>5725.86</v>
      </c>
      <c r="BF229" s="1665">
        <v>5725.86</v>
      </c>
      <c r="BG229" s="1665">
        <v>2189.7199999999998</v>
      </c>
      <c r="BH229" s="1665">
        <v>2189.7199999999998</v>
      </c>
      <c r="BI229" s="1665">
        <v>0</v>
      </c>
      <c r="BJ229" s="1665">
        <v>3536.14</v>
      </c>
      <c r="BK229" s="1665">
        <v>2576.14</v>
      </c>
      <c r="BL229" s="1665">
        <v>960</v>
      </c>
      <c r="BM229" s="1665">
        <v>0</v>
      </c>
      <c r="BN229" s="1665">
        <v>0</v>
      </c>
      <c r="BO229" s="1664">
        <v>43364</v>
      </c>
      <c r="BP229" s="1665">
        <v>5725.86</v>
      </c>
      <c r="BQ229" s="1665">
        <v>5725.86</v>
      </c>
      <c r="BR229" s="1665">
        <v>2189.7199999999998</v>
      </c>
      <c r="BS229" s="1667">
        <v>2189.7199999999998</v>
      </c>
      <c r="BT229" s="1665">
        <v>0</v>
      </c>
      <c r="BU229" s="1665">
        <v>3536.14</v>
      </c>
      <c r="BV229" s="1665">
        <v>2576.14</v>
      </c>
      <c r="BW229" s="1665">
        <v>0</v>
      </c>
      <c r="BX229" s="1665">
        <v>0</v>
      </c>
      <c r="BY229" s="1665">
        <v>0</v>
      </c>
      <c r="BZ229" s="1665">
        <v>0</v>
      </c>
      <c r="CA229" s="1663"/>
      <c r="CB229" s="1668"/>
      <c r="CC229" s="1668"/>
      <c r="CD229" s="1663"/>
      <c r="CE229" s="1663"/>
      <c r="CF229" s="1665">
        <v>0</v>
      </c>
      <c r="CG229" s="1665">
        <v>0</v>
      </c>
      <c r="CH229" s="1665">
        <v>0</v>
      </c>
      <c r="CI229" s="1665">
        <v>0</v>
      </c>
      <c r="CJ229" s="1665">
        <v>50.51</v>
      </c>
      <c r="CK229" s="1665">
        <v>50.51</v>
      </c>
      <c r="CL229" s="1668"/>
      <c r="CM229" s="1665">
        <v>0</v>
      </c>
      <c r="CN229" s="1665">
        <v>0</v>
      </c>
      <c r="CO229" s="1665">
        <v>0</v>
      </c>
      <c r="CP229" s="1665">
        <v>0</v>
      </c>
      <c r="CQ229" s="1665">
        <v>0</v>
      </c>
      <c r="CR229" s="1665">
        <v>0</v>
      </c>
      <c r="CS229" s="1665">
        <v>0</v>
      </c>
      <c r="CT229" s="1665">
        <v>0</v>
      </c>
      <c r="CU229" s="1665">
        <v>0</v>
      </c>
      <c r="CV229" s="1665">
        <v>0</v>
      </c>
      <c r="CW229" s="1668"/>
      <c r="CX229" s="1663"/>
      <c r="CY229" s="1663"/>
      <c r="CZ229" s="1663"/>
      <c r="DA229" s="1663"/>
      <c r="DB229" s="1668"/>
      <c r="DC229" s="1662"/>
      <c r="DD229" s="1665">
        <v>0</v>
      </c>
      <c r="DE229" s="1663"/>
      <c r="DF229" s="1663"/>
      <c r="DG229" s="1665">
        <v>0</v>
      </c>
      <c r="DH229" s="1665">
        <v>0</v>
      </c>
    </row>
    <row r="230" spans="1:112" ht="56.25" hidden="1" x14ac:dyDescent="0.25">
      <c r="A230" s="1662" t="s">
        <v>2285</v>
      </c>
      <c r="B230" s="1662" t="s">
        <v>1725</v>
      </c>
      <c r="C230" s="1662" t="s">
        <v>2633</v>
      </c>
      <c r="D230" s="1662" t="s">
        <v>2634</v>
      </c>
      <c r="E230" s="1662" t="s">
        <v>143</v>
      </c>
      <c r="F230" s="1662" t="s">
        <v>2627</v>
      </c>
      <c r="G230" s="1662" t="s">
        <v>2628</v>
      </c>
      <c r="H230" s="1662" t="s">
        <v>2613</v>
      </c>
      <c r="I230" s="1662" t="s">
        <v>725</v>
      </c>
      <c r="J230" s="1662" t="s">
        <v>2279</v>
      </c>
      <c r="K230" s="1662" t="s">
        <v>2120</v>
      </c>
      <c r="L230" s="1662" t="s">
        <v>2109</v>
      </c>
      <c r="M230" s="1663"/>
      <c r="N230" s="1663"/>
      <c r="O230" s="1663"/>
      <c r="P230" s="1663"/>
      <c r="Q230" s="1663"/>
      <c r="R230" s="1663"/>
      <c r="S230" s="1663"/>
      <c r="T230" s="1663"/>
      <c r="U230" s="1663"/>
      <c r="V230" s="1663"/>
      <c r="W230" s="1663"/>
      <c r="X230" s="1663"/>
      <c r="Y230" s="1664">
        <v>43119</v>
      </c>
      <c r="Z230" s="1662" t="s">
        <v>2110</v>
      </c>
      <c r="AA230" s="1665">
        <v>0</v>
      </c>
      <c r="AB230" s="1665">
        <v>0</v>
      </c>
      <c r="AC230" s="1680">
        <v>0</v>
      </c>
      <c r="AD230" s="1682">
        <v>43144</v>
      </c>
      <c r="AE230" s="1679" t="s">
        <v>2129</v>
      </c>
      <c r="AF230" s="1662" t="s">
        <v>2112</v>
      </c>
      <c r="AG230" s="1666"/>
      <c r="AH230" s="1667">
        <v>98684.39</v>
      </c>
      <c r="AI230" s="1665">
        <v>98684.39</v>
      </c>
      <c r="AJ230" s="1665">
        <v>37739.53</v>
      </c>
      <c r="AK230" s="1698">
        <v>37739.53</v>
      </c>
      <c r="AL230" s="1665">
        <v>0</v>
      </c>
      <c r="AM230" s="1664">
        <v>43144</v>
      </c>
      <c r="AN230" s="1665">
        <v>98684.39</v>
      </c>
      <c r="AO230" s="1665">
        <v>98684.39</v>
      </c>
      <c r="AP230" s="1665">
        <v>37739.53</v>
      </c>
      <c r="AQ230" s="1665">
        <v>37739.53</v>
      </c>
      <c r="AR230" s="1665">
        <v>0</v>
      </c>
      <c r="AS230" s="1665">
        <v>60944.86</v>
      </c>
      <c r="AT230" s="1665">
        <v>44399.4</v>
      </c>
      <c r="AU230" s="1665">
        <v>16545.46</v>
      </c>
      <c r="AV230" s="1665">
        <v>0</v>
      </c>
      <c r="AW230" s="1665">
        <v>0</v>
      </c>
      <c r="AX230" s="1663"/>
      <c r="AY230" s="1663"/>
      <c r="AZ230" s="1663"/>
      <c r="BA230" s="1668"/>
      <c r="BB230" s="1668"/>
      <c r="BC230" s="1663"/>
      <c r="BD230" s="1663"/>
      <c r="BE230" s="1665">
        <v>98684.39</v>
      </c>
      <c r="BF230" s="1665">
        <v>98684.39</v>
      </c>
      <c r="BG230" s="1665">
        <v>37739.53</v>
      </c>
      <c r="BH230" s="1665">
        <v>37739.53</v>
      </c>
      <c r="BI230" s="1665">
        <v>0</v>
      </c>
      <c r="BJ230" s="1665">
        <v>60944.86</v>
      </c>
      <c r="BK230" s="1665">
        <v>44399.4</v>
      </c>
      <c r="BL230" s="1665">
        <v>16545.46</v>
      </c>
      <c r="BM230" s="1665">
        <v>0</v>
      </c>
      <c r="BN230" s="1665">
        <v>0</v>
      </c>
      <c r="BO230" s="1664">
        <v>43364</v>
      </c>
      <c r="BP230" s="1665">
        <v>98684.39</v>
      </c>
      <c r="BQ230" s="1665">
        <v>98684.39</v>
      </c>
      <c r="BR230" s="1665">
        <v>37739.53</v>
      </c>
      <c r="BS230" s="1667">
        <v>37739.53</v>
      </c>
      <c r="BT230" s="1665">
        <v>0</v>
      </c>
      <c r="BU230" s="1665">
        <v>60944.86</v>
      </c>
      <c r="BV230" s="1665">
        <v>44399.4</v>
      </c>
      <c r="BW230" s="1665">
        <v>0</v>
      </c>
      <c r="BX230" s="1665">
        <v>0</v>
      </c>
      <c r="BY230" s="1665">
        <v>0</v>
      </c>
      <c r="BZ230" s="1665">
        <v>0</v>
      </c>
      <c r="CA230" s="1663"/>
      <c r="CB230" s="1668"/>
      <c r="CC230" s="1668"/>
      <c r="CD230" s="1663"/>
      <c r="CE230" s="1663"/>
      <c r="CF230" s="1665">
        <v>0</v>
      </c>
      <c r="CG230" s="1665">
        <v>0</v>
      </c>
      <c r="CH230" s="1665">
        <v>0</v>
      </c>
      <c r="CI230" s="1665">
        <v>0</v>
      </c>
      <c r="CJ230" s="1665">
        <v>870.54</v>
      </c>
      <c r="CK230" s="1665">
        <v>870.54</v>
      </c>
      <c r="CL230" s="1668"/>
      <c r="CM230" s="1665">
        <v>0</v>
      </c>
      <c r="CN230" s="1665">
        <v>0</v>
      </c>
      <c r="CO230" s="1665">
        <v>0</v>
      </c>
      <c r="CP230" s="1665">
        <v>0</v>
      </c>
      <c r="CQ230" s="1665">
        <v>0</v>
      </c>
      <c r="CR230" s="1665">
        <v>0</v>
      </c>
      <c r="CS230" s="1665">
        <v>0</v>
      </c>
      <c r="CT230" s="1665">
        <v>0</v>
      </c>
      <c r="CU230" s="1665">
        <v>0</v>
      </c>
      <c r="CV230" s="1665">
        <v>0</v>
      </c>
      <c r="CW230" s="1668"/>
      <c r="CX230" s="1663"/>
      <c r="CY230" s="1663"/>
      <c r="CZ230" s="1663"/>
      <c r="DA230" s="1663"/>
      <c r="DB230" s="1668"/>
      <c r="DC230" s="1662"/>
      <c r="DD230" s="1665">
        <v>0</v>
      </c>
      <c r="DE230" s="1663"/>
      <c r="DF230" s="1663"/>
      <c r="DG230" s="1665">
        <v>0</v>
      </c>
      <c r="DH230" s="1665">
        <v>0</v>
      </c>
    </row>
    <row r="231" spans="1:112" ht="56.25" hidden="1" x14ac:dyDescent="0.25">
      <c r="A231" s="1662" t="s">
        <v>2286</v>
      </c>
      <c r="B231" s="1662" t="s">
        <v>1725</v>
      </c>
      <c r="C231" s="1662" t="s">
        <v>2633</v>
      </c>
      <c r="D231" s="1662" t="s">
        <v>2634</v>
      </c>
      <c r="E231" s="1662" t="s">
        <v>143</v>
      </c>
      <c r="F231" s="1662" t="s">
        <v>2627</v>
      </c>
      <c r="G231" s="1662" t="s">
        <v>2628</v>
      </c>
      <c r="H231" s="1662" t="s">
        <v>2613</v>
      </c>
      <c r="I231" s="1662" t="s">
        <v>725</v>
      </c>
      <c r="J231" s="1662" t="s">
        <v>2279</v>
      </c>
      <c r="K231" s="1662" t="s">
        <v>2120</v>
      </c>
      <c r="L231" s="1662" t="s">
        <v>2109</v>
      </c>
      <c r="M231" s="1663"/>
      <c r="N231" s="1663"/>
      <c r="O231" s="1663"/>
      <c r="P231" s="1663"/>
      <c r="Q231" s="1663"/>
      <c r="R231" s="1663"/>
      <c r="S231" s="1663"/>
      <c r="T231" s="1663"/>
      <c r="U231" s="1663"/>
      <c r="V231" s="1663"/>
      <c r="W231" s="1663"/>
      <c r="X231" s="1663"/>
      <c r="Y231" s="1664">
        <v>43152</v>
      </c>
      <c r="Z231" s="1662" t="s">
        <v>2110</v>
      </c>
      <c r="AA231" s="1665">
        <v>0</v>
      </c>
      <c r="AB231" s="1665">
        <v>0</v>
      </c>
      <c r="AC231" s="1680">
        <v>0</v>
      </c>
      <c r="AD231" s="1682">
        <v>43175</v>
      </c>
      <c r="AE231" s="1679" t="s">
        <v>2130</v>
      </c>
      <c r="AF231" s="1662" t="s">
        <v>2115</v>
      </c>
      <c r="AG231" s="1666"/>
      <c r="AH231" s="1667">
        <v>51227.74</v>
      </c>
      <c r="AI231" s="1665">
        <v>51227.74</v>
      </c>
      <c r="AJ231" s="1665">
        <v>19590.84</v>
      </c>
      <c r="AK231" s="1698">
        <v>19590.84</v>
      </c>
      <c r="AL231" s="1665">
        <v>0</v>
      </c>
      <c r="AM231" s="1664">
        <v>43178</v>
      </c>
      <c r="AN231" s="1665">
        <v>51227.74</v>
      </c>
      <c r="AO231" s="1665">
        <v>51227.74</v>
      </c>
      <c r="AP231" s="1665">
        <v>19590.84</v>
      </c>
      <c r="AQ231" s="1665">
        <v>19590.84</v>
      </c>
      <c r="AR231" s="1665">
        <v>0</v>
      </c>
      <c r="AS231" s="1665">
        <v>31636.9</v>
      </c>
      <c r="AT231" s="1665">
        <v>23048.04</v>
      </c>
      <c r="AU231" s="1665">
        <v>8588.86</v>
      </c>
      <c r="AV231" s="1665">
        <v>0</v>
      </c>
      <c r="AW231" s="1665">
        <v>0</v>
      </c>
      <c r="AX231" s="1663"/>
      <c r="AY231" s="1663"/>
      <c r="AZ231" s="1663"/>
      <c r="BA231" s="1668"/>
      <c r="BB231" s="1668"/>
      <c r="BC231" s="1663"/>
      <c r="BD231" s="1663"/>
      <c r="BE231" s="1665">
        <v>51227.74</v>
      </c>
      <c r="BF231" s="1665">
        <v>51227.74</v>
      </c>
      <c r="BG231" s="1665">
        <v>19590.84</v>
      </c>
      <c r="BH231" s="1665">
        <v>19590.84</v>
      </c>
      <c r="BI231" s="1665">
        <v>0</v>
      </c>
      <c r="BJ231" s="1665">
        <v>31636.9</v>
      </c>
      <c r="BK231" s="1665">
        <v>23048.04</v>
      </c>
      <c r="BL231" s="1665">
        <v>8588.86</v>
      </c>
      <c r="BM231" s="1665">
        <v>0</v>
      </c>
      <c r="BN231" s="1665">
        <v>0</v>
      </c>
      <c r="BO231" s="1664">
        <v>43364</v>
      </c>
      <c r="BP231" s="1665">
        <v>51227.74</v>
      </c>
      <c r="BQ231" s="1665">
        <v>51227.74</v>
      </c>
      <c r="BR231" s="1665">
        <v>19590.84</v>
      </c>
      <c r="BS231" s="1667">
        <v>19590.84</v>
      </c>
      <c r="BT231" s="1665">
        <v>0</v>
      </c>
      <c r="BU231" s="1665">
        <v>31636.9</v>
      </c>
      <c r="BV231" s="1665">
        <v>23048.04</v>
      </c>
      <c r="BW231" s="1665">
        <v>0</v>
      </c>
      <c r="BX231" s="1665">
        <v>0</v>
      </c>
      <c r="BY231" s="1665">
        <v>0</v>
      </c>
      <c r="BZ231" s="1665">
        <v>0</v>
      </c>
      <c r="CA231" s="1663"/>
      <c r="CB231" s="1668"/>
      <c r="CC231" s="1668"/>
      <c r="CD231" s="1663"/>
      <c r="CE231" s="1663"/>
      <c r="CF231" s="1665">
        <v>0</v>
      </c>
      <c r="CG231" s="1665">
        <v>0</v>
      </c>
      <c r="CH231" s="1665">
        <v>0</v>
      </c>
      <c r="CI231" s="1665">
        <v>0</v>
      </c>
      <c r="CJ231" s="1665">
        <v>0</v>
      </c>
      <c r="CK231" s="1665">
        <v>0</v>
      </c>
      <c r="CL231" s="1668"/>
      <c r="CM231" s="1665">
        <v>0</v>
      </c>
      <c r="CN231" s="1665">
        <v>0</v>
      </c>
      <c r="CO231" s="1665">
        <v>0</v>
      </c>
      <c r="CP231" s="1665">
        <v>0</v>
      </c>
      <c r="CQ231" s="1665">
        <v>0</v>
      </c>
      <c r="CR231" s="1665">
        <v>0</v>
      </c>
      <c r="CS231" s="1665">
        <v>0</v>
      </c>
      <c r="CT231" s="1665">
        <v>0</v>
      </c>
      <c r="CU231" s="1665">
        <v>0</v>
      </c>
      <c r="CV231" s="1665">
        <v>0</v>
      </c>
      <c r="CW231" s="1668"/>
      <c r="CX231" s="1663"/>
      <c r="CY231" s="1663"/>
      <c r="CZ231" s="1663"/>
      <c r="DA231" s="1663"/>
      <c r="DB231" s="1668"/>
      <c r="DC231" s="1662"/>
      <c r="DD231" s="1665">
        <v>0</v>
      </c>
      <c r="DE231" s="1663"/>
      <c r="DF231" s="1663"/>
      <c r="DG231" s="1665">
        <v>0</v>
      </c>
      <c r="DH231" s="1665">
        <v>0</v>
      </c>
    </row>
    <row r="232" spans="1:112" ht="56.25" hidden="1" x14ac:dyDescent="0.25">
      <c r="A232" s="1662" t="s">
        <v>2287</v>
      </c>
      <c r="B232" s="1662" t="s">
        <v>1725</v>
      </c>
      <c r="C232" s="1662" t="s">
        <v>2633</v>
      </c>
      <c r="D232" s="1662" t="s">
        <v>2634</v>
      </c>
      <c r="E232" s="1662" t="s">
        <v>143</v>
      </c>
      <c r="F232" s="1662" t="s">
        <v>2627</v>
      </c>
      <c r="G232" s="1662" t="s">
        <v>2628</v>
      </c>
      <c r="H232" s="1662" t="s">
        <v>2613</v>
      </c>
      <c r="I232" s="1662" t="s">
        <v>725</v>
      </c>
      <c r="J232" s="1662" t="s">
        <v>2279</v>
      </c>
      <c r="K232" s="1662" t="s">
        <v>2120</v>
      </c>
      <c r="L232" s="1662" t="s">
        <v>2109</v>
      </c>
      <c r="M232" s="1663"/>
      <c r="N232" s="1663"/>
      <c r="O232" s="1663"/>
      <c r="P232" s="1663"/>
      <c r="Q232" s="1663"/>
      <c r="R232" s="1663"/>
      <c r="S232" s="1663"/>
      <c r="T232" s="1663"/>
      <c r="U232" s="1663"/>
      <c r="V232" s="1663"/>
      <c r="W232" s="1663"/>
      <c r="X232" s="1663"/>
      <c r="Y232" s="1664">
        <v>43152</v>
      </c>
      <c r="Z232" s="1662" t="s">
        <v>2110</v>
      </c>
      <c r="AA232" s="1665">
        <v>0</v>
      </c>
      <c r="AB232" s="1665">
        <v>0</v>
      </c>
      <c r="AC232" s="1680">
        <v>0</v>
      </c>
      <c r="AD232" s="1682">
        <v>43175</v>
      </c>
      <c r="AE232" s="1679" t="s">
        <v>2130</v>
      </c>
      <c r="AF232" s="1662" t="s">
        <v>2112</v>
      </c>
      <c r="AG232" s="1666"/>
      <c r="AH232" s="1667">
        <v>92239.81</v>
      </c>
      <c r="AI232" s="1665">
        <v>92239.81</v>
      </c>
      <c r="AJ232" s="1665">
        <v>35274.94</v>
      </c>
      <c r="AK232" s="1698">
        <v>35274.94</v>
      </c>
      <c r="AL232" s="1665">
        <v>0</v>
      </c>
      <c r="AM232" s="1664">
        <v>43175</v>
      </c>
      <c r="AN232" s="1665">
        <v>92239.81</v>
      </c>
      <c r="AO232" s="1665">
        <v>92239.81</v>
      </c>
      <c r="AP232" s="1665">
        <v>35274.94</v>
      </c>
      <c r="AQ232" s="1665">
        <v>35274.94</v>
      </c>
      <c r="AR232" s="1665">
        <v>0</v>
      </c>
      <c r="AS232" s="1665">
        <v>56964.87</v>
      </c>
      <c r="AT232" s="1665">
        <v>41499.910000000003</v>
      </c>
      <c r="AU232" s="1665">
        <v>15464.96</v>
      </c>
      <c r="AV232" s="1665">
        <v>0</v>
      </c>
      <c r="AW232" s="1665">
        <v>0</v>
      </c>
      <c r="AX232" s="1663"/>
      <c r="AY232" s="1663"/>
      <c r="AZ232" s="1663"/>
      <c r="BA232" s="1668"/>
      <c r="BB232" s="1668"/>
      <c r="BC232" s="1663"/>
      <c r="BD232" s="1663"/>
      <c r="BE232" s="1665">
        <v>92239.81</v>
      </c>
      <c r="BF232" s="1665">
        <v>92239.81</v>
      </c>
      <c r="BG232" s="1665">
        <v>35274.94</v>
      </c>
      <c r="BH232" s="1665">
        <v>35274.94</v>
      </c>
      <c r="BI232" s="1665">
        <v>0</v>
      </c>
      <c r="BJ232" s="1665">
        <v>56964.87</v>
      </c>
      <c r="BK232" s="1665">
        <v>41499.910000000003</v>
      </c>
      <c r="BL232" s="1665">
        <v>15464.96</v>
      </c>
      <c r="BM232" s="1665">
        <v>0</v>
      </c>
      <c r="BN232" s="1665">
        <v>0</v>
      </c>
      <c r="BO232" s="1664">
        <v>43364</v>
      </c>
      <c r="BP232" s="1665">
        <v>92239.81</v>
      </c>
      <c r="BQ232" s="1665">
        <v>92239.81</v>
      </c>
      <c r="BR232" s="1665">
        <v>35274.94</v>
      </c>
      <c r="BS232" s="1667">
        <v>35274.94</v>
      </c>
      <c r="BT232" s="1665">
        <v>0</v>
      </c>
      <c r="BU232" s="1665">
        <v>56964.87</v>
      </c>
      <c r="BV232" s="1665">
        <v>41499.910000000003</v>
      </c>
      <c r="BW232" s="1665">
        <v>0</v>
      </c>
      <c r="BX232" s="1665">
        <v>0</v>
      </c>
      <c r="BY232" s="1665">
        <v>0</v>
      </c>
      <c r="BZ232" s="1665">
        <v>0</v>
      </c>
      <c r="CA232" s="1663"/>
      <c r="CB232" s="1668"/>
      <c r="CC232" s="1668"/>
      <c r="CD232" s="1663"/>
      <c r="CE232" s="1663"/>
      <c r="CF232" s="1665">
        <v>0</v>
      </c>
      <c r="CG232" s="1665">
        <v>0</v>
      </c>
      <c r="CH232" s="1665">
        <v>0</v>
      </c>
      <c r="CI232" s="1665">
        <v>0</v>
      </c>
      <c r="CJ232" s="1665">
        <v>1265.5999999999999</v>
      </c>
      <c r="CK232" s="1665">
        <v>1265.5999999999999</v>
      </c>
      <c r="CL232" s="1668"/>
      <c r="CM232" s="1665">
        <v>0</v>
      </c>
      <c r="CN232" s="1665">
        <v>0</v>
      </c>
      <c r="CO232" s="1665">
        <v>0</v>
      </c>
      <c r="CP232" s="1665">
        <v>0</v>
      </c>
      <c r="CQ232" s="1665">
        <v>0</v>
      </c>
      <c r="CR232" s="1665">
        <v>0</v>
      </c>
      <c r="CS232" s="1665">
        <v>0</v>
      </c>
      <c r="CT232" s="1665">
        <v>0</v>
      </c>
      <c r="CU232" s="1665">
        <v>0</v>
      </c>
      <c r="CV232" s="1665">
        <v>0</v>
      </c>
      <c r="CW232" s="1668"/>
      <c r="CX232" s="1663"/>
      <c r="CY232" s="1663"/>
      <c r="CZ232" s="1663"/>
      <c r="DA232" s="1663"/>
      <c r="DB232" s="1668"/>
      <c r="DC232" s="1662"/>
      <c r="DD232" s="1665">
        <v>0</v>
      </c>
      <c r="DE232" s="1663"/>
      <c r="DF232" s="1663"/>
      <c r="DG232" s="1665">
        <v>0</v>
      </c>
      <c r="DH232" s="1665">
        <v>0</v>
      </c>
    </row>
    <row r="233" spans="1:112" ht="56.25" hidden="1" x14ac:dyDescent="0.25">
      <c r="A233" s="1662" t="s">
        <v>2288</v>
      </c>
      <c r="B233" s="1662" t="s">
        <v>1725</v>
      </c>
      <c r="C233" s="1662" t="s">
        <v>2633</v>
      </c>
      <c r="D233" s="1662" t="s">
        <v>2634</v>
      </c>
      <c r="E233" s="1662" t="s">
        <v>143</v>
      </c>
      <c r="F233" s="1662" t="s">
        <v>2627</v>
      </c>
      <c r="G233" s="1662" t="s">
        <v>2628</v>
      </c>
      <c r="H233" s="1662" t="s">
        <v>2613</v>
      </c>
      <c r="I233" s="1662" t="s">
        <v>725</v>
      </c>
      <c r="J233" s="1662" t="s">
        <v>2279</v>
      </c>
      <c r="K233" s="1662" t="s">
        <v>2120</v>
      </c>
      <c r="L233" s="1662" t="s">
        <v>2109</v>
      </c>
      <c r="M233" s="1663"/>
      <c r="N233" s="1663"/>
      <c r="O233" s="1663"/>
      <c r="P233" s="1663"/>
      <c r="Q233" s="1663"/>
      <c r="R233" s="1663"/>
      <c r="S233" s="1663"/>
      <c r="T233" s="1663"/>
      <c r="U233" s="1663"/>
      <c r="V233" s="1663"/>
      <c r="W233" s="1663"/>
      <c r="X233" s="1663"/>
      <c r="Y233" s="1664">
        <v>43180</v>
      </c>
      <c r="Z233" s="1662" t="s">
        <v>2110</v>
      </c>
      <c r="AA233" s="1665">
        <v>0</v>
      </c>
      <c r="AB233" s="1665">
        <v>0</v>
      </c>
      <c r="AC233" s="1680">
        <v>0</v>
      </c>
      <c r="AD233" s="1682">
        <v>43199</v>
      </c>
      <c r="AE233" s="1679" t="s">
        <v>2137</v>
      </c>
      <c r="AF233" s="1662" t="s">
        <v>2115</v>
      </c>
      <c r="AG233" s="1666"/>
      <c r="AH233" s="1667">
        <v>82358.720000000001</v>
      </c>
      <c r="AI233" s="1665">
        <v>82358.720000000001</v>
      </c>
      <c r="AJ233" s="1665">
        <v>31496.17</v>
      </c>
      <c r="AK233" s="1698">
        <v>31496.17</v>
      </c>
      <c r="AL233" s="1665">
        <v>0</v>
      </c>
      <c r="AM233" s="1664">
        <v>43200</v>
      </c>
      <c r="AN233" s="1665">
        <v>82358.720000000001</v>
      </c>
      <c r="AO233" s="1665">
        <v>82358.720000000001</v>
      </c>
      <c r="AP233" s="1665">
        <v>31496.17</v>
      </c>
      <c r="AQ233" s="1665">
        <v>31496.17</v>
      </c>
      <c r="AR233" s="1665">
        <v>0</v>
      </c>
      <c r="AS233" s="1665">
        <v>50862.55</v>
      </c>
      <c r="AT233" s="1665">
        <v>37054.26</v>
      </c>
      <c r="AU233" s="1665">
        <v>13808.29</v>
      </c>
      <c r="AV233" s="1665">
        <v>0</v>
      </c>
      <c r="AW233" s="1665">
        <v>0</v>
      </c>
      <c r="AX233" s="1663"/>
      <c r="AY233" s="1663"/>
      <c r="AZ233" s="1663"/>
      <c r="BA233" s="1668"/>
      <c r="BB233" s="1668"/>
      <c r="BC233" s="1663"/>
      <c r="BD233" s="1663"/>
      <c r="BE233" s="1665">
        <v>82358.720000000001</v>
      </c>
      <c r="BF233" s="1665">
        <v>82358.720000000001</v>
      </c>
      <c r="BG233" s="1665">
        <v>31496.17</v>
      </c>
      <c r="BH233" s="1665">
        <v>31496.17</v>
      </c>
      <c r="BI233" s="1665">
        <v>0</v>
      </c>
      <c r="BJ233" s="1665">
        <v>50862.55</v>
      </c>
      <c r="BK233" s="1665">
        <v>37054.26</v>
      </c>
      <c r="BL233" s="1665">
        <v>13808.29</v>
      </c>
      <c r="BM233" s="1665">
        <v>0</v>
      </c>
      <c r="BN233" s="1665">
        <v>0</v>
      </c>
      <c r="BO233" s="1664">
        <v>43364</v>
      </c>
      <c r="BP233" s="1665">
        <v>82358.720000000001</v>
      </c>
      <c r="BQ233" s="1665">
        <v>82358.720000000001</v>
      </c>
      <c r="BR233" s="1665">
        <v>31496.17</v>
      </c>
      <c r="BS233" s="1667">
        <v>31496.17</v>
      </c>
      <c r="BT233" s="1665">
        <v>0</v>
      </c>
      <c r="BU233" s="1665">
        <v>50862.55</v>
      </c>
      <c r="BV233" s="1665">
        <v>37054.26</v>
      </c>
      <c r="BW233" s="1665">
        <v>0</v>
      </c>
      <c r="BX233" s="1665">
        <v>0</v>
      </c>
      <c r="BY233" s="1665">
        <v>0</v>
      </c>
      <c r="BZ233" s="1665">
        <v>0</v>
      </c>
      <c r="CA233" s="1663"/>
      <c r="CB233" s="1668"/>
      <c r="CC233" s="1668"/>
      <c r="CD233" s="1663"/>
      <c r="CE233" s="1663"/>
      <c r="CF233" s="1665">
        <v>0</v>
      </c>
      <c r="CG233" s="1665">
        <v>0</v>
      </c>
      <c r="CH233" s="1665">
        <v>0</v>
      </c>
      <c r="CI233" s="1665">
        <v>0</v>
      </c>
      <c r="CJ233" s="1665">
        <v>726.53</v>
      </c>
      <c r="CK233" s="1665">
        <v>726.53</v>
      </c>
      <c r="CL233" s="1668"/>
      <c r="CM233" s="1665">
        <v>0</v>
      </c>
      <c r="CN233" s="1665">
        <v>0</v>
      </c>
      <c r="CO233" s="1665">
        <v>0</v>
      </c>
      <c r="CP233" s="1665">
        <v>0</v>
      </c>
      <c r="CQ233" s="1665">
        <v>0</v>
      </c>
      <c r="CR233" s="1665">
        <v>0</v>
      </c>
      <c r="CS233" s="1665">
        <v>0</v>
      </c>
      <c r="CT233" s="1665">
        <v>0</v>
      </c>
      <c r="CU233" s="1665">
        <v>0</v>
      </c>
      <c r="CV233" s="1665">
        <v>0</v>
      </c>
      <c r="CW233" s="1668"/>
      <c r="CX233" s="1663"/>
      <c r="CY233" s="1663"/>
      <c r="CZ233" s="1663"/>
      <c r="DA233" s="1663"/>
      <c r="DB233" s="1668"/>
      <c r="DC233" s="1662"/>
      <c r="DD233" s="1665">
        <v>0</v>
      </c>
      <c r="DE233" s="1663"/>
      <c r="DF233" s="1663"/>
      <c r="DG233" s="1665">
        <v>0</v>
      </c>
      <c r="DH233" s="1665">
        <v>0</v>
      </c>
    </row>
    <row r="234" spans="1:112" ht="56.25" hidden="1" x14ac:dyDescent="0.25">
      <c r="A234" s="1662" t="s">
        <v>2289</v>
      </c>
      <c r="B234" s="1662" t="s">
        <v>1725</v>
      </c>
      <c r="C234" s="1662" t="s">
        <v>2633</v>
      </c>
      <c r="D234" s="1662" t="s">
        <v>2634</v>
      </c>
      <c r="E234" s="1662" t="s">
        <v>143</v>
      </c>
      <c r="F234" s="1662" t="s">
        <v>2627</v>
      </c>
      <c r="G234" s="1662" t="s">
        <v>2628</v>
      </c>
      <c r="H234" s="1662" t="s">
        <v>2613</v>
      </c>
      <c r="I234" s="1662" t="s">
        <v>725</v>
      </c>
      <c r="J234" s="1662" t="s">
        <v>2279</v>
      </c>
      <c r="K234" s="1662" t="s">
        <v>2120</v>
      </c>
      <c r="L234" s="1662" t="s">
        <v>2109</v>
      </c>
      <c r="M234" s="1663"/>
      <c r="N234" s="1663"/>
      <c r="O234" s="1663"/>
      <c r="P234" s="1663"/>
      <c r="Q234" s="1663"/>
      <c r="R234" s="1663"/>
      <c r="S234" s="1663"/>
      <c r="T234" s="1663"/>
      <c r="U234" s="1663"/>
      <c r="V234" s="1663"/>
      <c r="W234" s="1663"/>
      <c r="X234" s="1663"/>
      <c r="Y234" s="1664">
        <v>43217</v>
      </c>
      <c r="Z234" s="1662" t="s">
        <v>2110</v>
      </c>
      <c r="AA234" s="1665">
        <v>10000</v>
      </c>
      <c r="AB234" s="1665">
        <v>10000</v>
      </c>
      <c r="AC234" s="1680">
        <v>0</v>
      </c>
      <c r="AD234" s="1682">
        <v>43248</v>
      </c>
      <c r="AE234" s="1679" t="s">
        <v>2131</v>
      </c>
      <c r="AF234" s="1662" t="s">
        <v>2112</v>
      </c>
      <c r="AG234" s="1666"/>
      <c r="AH234" s="1667">
        <v>89923.520000000004</v>
      </c>
      <c r="AI234" s="1665">
        <v>89923.520000000004</v>
      </c>
      <c r="AJ234" s="1665">
        <v>24389.14</v>
      </c>
      <c r="AK234" s="1698">
        <v>24389.14</v>
      </c>
      <c r="AL234" s="1665">
        <v>0</v>
      </c>
      <c r="AM234" s="1664">
        <v>43248</v>
      </c>
      <c r="AN234" s="1665">
        <v>89923.520000000004</v>
      </c>
      <c r="AO234" s="1665">
        <v>89923.520000000004</v>
      </c>
      <c r="AP234" s="1665">
        <v>34389.14</v>
      </c>
      <c r="AQ234" s="1665">
        <v>34389.14</v>
      </c>
      <c r="AR234" s="1665">
        <v>0</v>
      </c>
      <c r="AS234" s="1665">
        <v>55534.38</v>
      </c>
      <c r="AT234" s="1665">
        <v>40457.769999999997</v>
      </c>
      <c r="AU234" s="1665">
        <v>15076.61</v>
      </c>
      <c r="AV234" s="1665">
        <v>0</v>
      </c>
      <c r="AW234" s="1665">
        <v>0</v>
      </c>
      <c r="AX234" s="1663"/>
      <c r="AY234" s="1663"/>
      <c r="AZ234" s="1663"/>
      <c r="BA234" s="1668"/>
      <c r="BB234" s="1668"/>
      <c r="BC234" s="1663"/>
      <c r="BD234" s="1663"/>
      <c r="BE234" s="1665">
        <v>89923.520000000004</v>
      </c>
      <c r="BF234" s="1665">
        <v>89923.520000000004</v>
      </c>
      <c r="BG234" s="1665">
        <v>34389.14</v>
      </c>
      <c r="BH234" s="1665">
        <v>34389.14</v>
      </c>
      <c r="BI234" s="1665">
        <v>0</v>
      </c>
      <c r="BJ234" s="1665">
        <v>55534.38</v>
      </c>
      <c r="BK234" s="1665">
        <v>40457.769999999997</v>
      </c>
      <c r="BL234" s="1665">
        <v>15076.61</v>
      </c>
      <c r="BM234" s="1665">
        <v>0</v>
      </c>
      <c r="BN234" s="1665">
        <v>0</v>
      </c>
      <c r="BO234" s="1664">
        <v>43364</v>
      </c>
      <c r="BP234" s="1665">
        <v>89923.520000000004</v>
      </c>
      <c r="BQ234" s="1665">
        <v>89923.520000000004</v>
      </c>
      <c r="BR234" s="1665">
        <v>34389.14</v>
      </c>
      <c r="BS234" s="1667">
        <v>34389.14</v>
      </c>
      <c r="BT234" s="1665">
        <v>0</v>
      </c>
      <c r="BU234" s="1665">
        <v>55534.38</v>
      </c>
      <c r="BV234" s="1665">
        <v>40457.769999999997</v>
      </c>
      <c r="BW234" s="1665">
        <v>0</v>
      </c>
      <c r="BX234" s="1665">
        <v>0</v>
      </c>
      <c r="BY234" s="1665">
        <v>0</v>
      </c>
      <c r="BZ234" s="1665">
        <v>0</v>
      </c>
      <c r="CA234" s="1663"/>
      <c r="CB234" s="1668"/>
      <c r="CC234" s="1668"/>
      <c r="CD234" s="1663"/>
      <c r="CE234" s="1663"/>
      <c r="CF234" s="1665">
        <v>0</v>
      </c>
      <c r="CG234" s="1665">
        <v>0</v>
      </c>
      <c r="CH234" s="1665">
        <v>0</v>
      </c>
      <c r="CI234" s="1665">
        <v>0</v>
      </c>
      <c r="CJ234" s="1665">
        <v>793.26</v>
      </c>
      <c r="CK234" s="1665">
        <v>793.26</v>
      </c>
      <c r="CL234" s="1668"/>
      <c r="CM234" s="1665">
        <v>0</v>
      </c>
      <c r="CN234" s="1665">
        <v>0</v>
      </c>
      <c r="CO234" s="1665">
        <v>0</v>
      </c>
      <c r="CP234" s="1665">
        <v>0</v>
      </c>
      <c r="CQ234" s="1665">
        <v>0</v>
      </c>
      <c r="CR234" s="1665">
        <v>0</v>
      </c>
      <c r="CS234" s="1665">
        <v>0</v>
      </c>
      <c r="CT234" s="1665">
        <v>0</v>
      </c>
      <c r="CU234" s="1665">
        <v>0</v>
      </c>
      <c r="CV234" s="1665">
        <v>0</v>
      </c>
      <c r="CW234" s="1668"/>
      <c r="CX234" s="1663"/>
      <c r="CY234" s="1663"/>
      <c r="CZ234" s="1663"/>
      <c r="DA234" s="1663"/>
      <c r="DB234" s="1668"/>
      <c r="DC234" s="1662"/>
      <c r="DD234" s="1665">
        <v>0</v>
      </c>
      <c r="DE234" s="1663"/>
      <c r="DF234" s="1663"/>
      <c r="DG234" s="1665">
        <v>0</v>
      </c>
      <c r="DH234" s="1665">
        <v>0</v>
      </c>
    </row>
    <row r="235" spans="1:112" ht="56.25" hidden="1" x14ac:dyDescent="0.25">
      <c r="A235" s="1662" t="s">
        <v>2290</v>
      </c>
      <c r="B235" s="1662" t="s">
        <v>1725</v>
      </c>
      <c r="C235" s="1662" t="s">
        <v>2633</v>
      </c>
      <c r="D235" s="1662" t="s">
        <v>2634</v>
      </c>
      <c r="E235" s="1662" t="s">
        <v>143</v>
      </c>
      <c r="F235" s="1662" t="s">
        <v>2627</v>
      </c>
      <c r="G235" s="1662" t="s">
        <v>2628</v>
      </c>
      <c r="H235" s="1662" t="s">
        <v>2613</v>
      </c>
      <c r="I235" s="1662" t="s">
        <v>725</v>
      </c>
      <c r="J235" s="1662" t="s">
        <v>2279</v>
      </c>
      <c r="K235" s="1662" t="s">
        <v>2120</v>
      </c>
      <c r="L235" s="1662" t="s">
        <v>2109</v>
      </c>
      <c r="M235" s="1663"/>
      <c r="N235" s="1663"/>
      <c r="O235" s="1663"/>
      <c r="P235" s="1663"/>
      <c r="Q235" s="1663"/>
      <c r="R235" s="1663"/>
      <c r="S235" s="1663"/>
      <c r="T235" s="1663"/>
      <c r="U235" s="1663"/>
      <c r="V235" s="1663"/>
      <c r="W235" s="1663"/>
      <c r="X235" s="1663"/>
      <c r="Y235" s="1664">
        <v>43273</v>
      </c>
      <c r="Z235" s="1662" t="s">
        <v>2110</v>
      </c>
      <c r="AA235" s="1665">
        <v>0</v>
      </c>
      <c r="AB235" s="1665">
        <v>0</v>
      </c>
      <c r="AC235" s="1680">
        <v>0</v>
      </c>
      <c r="AD235" s="1682">
        <v>43307</v>
      </c>
      <c r="AE235" s="1679" t="s">
        <v>2132</v>
      </c>
      <c r="AF235" s="1662" t="s">
        <v>2112</v>
      </c>
      <c r="AG235" s="1666"/>
      <c r="AH235" s="1667">
        <v>153840.57999999999</v>
      </c>
      <c r="AI235" s="1665">
        <v>153840.57999999999</v>
      </c>
      <c r="AJ235" s="1665">
        <v>58832.73</v>
      </c>
      <c r="AK235" s="1698">
        <v>58832.73</v>
      </c>
      <c r="AL235" s="1665">
        <v>0</v>
      </c>
      <c r="AM235" s="1664">
        <v>43307</v>
      </c>
      <c r="AN235" s="1665">
        <v>153840.57999999999</v>
      </c>
      <c r="AO235" s="1665">
        <v>153840.57999999999</v>
      </c>
      <c r="AP235" s="1665">
        <v>58832.73</v>
      </c>
      <c r="AQ235" s="1665">
        <v>58832.73</v>
      </c>
      <c r="AR235" s="1665">
        <v>0</v>
      </c>
      <c r="AS235" s="1665">
        <v>95007.85</v>
      </c>
      <c r="AT235" s="1665">
        <v>69214.89</v>
      </c>
      <c r="AU235" s="1665">
        <v>25792.959999999999</v>
      </c>
      <c r="AV235" s="1665">
        <v>0</v>
      </c>
      <c r="AW235" s="1665">
        <v>0</v>
      </c>
      <c r="AX235" s="1663"/>
      <c r="AY235" s="1663"/>
      <c r="AZ235" s="1663"/>
      <c r="BA235" s="1668"/>
      <c r="BB235" s="1668"/>
      <c r="BC235" s="1663"/>
      <c r="BD235" s="1663"/>
      <c r="BE235" s="1665">
        <v>153840.57999999999</v>
      </c>
      <c r="BF235" s="1665">
        <v>153840.57999999999</v>
      </c>
      <c r="BG235" s="1665">
        <v>58832.73</v>
      </c>
      <c r="BH235" s="1665">
        <v>58832.73</v>
      </c>
      <c r="BI235" s="1665">
        <v>0</v>
      </c>
      <c r="BJ235" s="1665">
        <v>95007.85</v>
      </c>
      <c r="BK235" s="1665">
        <v>69214.89</v>
      </c>
      <c r="BL235" s="1665">
        <v>25792.959999999999</v>
      </c>
      <c r="BM235" s="1665">
        <v>0</v>
      </c>
      <c r="BN235" s="1665">
        <v>0</v>
      </c>
      <c r="BO235" s="1664">
        <v>43364</v>
      </c>
      <c r="BP235" s="1665">
        <v>153840.57999999999</v>
      </c>
      <c r="BQ235" s="1665">
        <v>153840.57999999999</v>
      </c>
      <c r="BR235" s="1665">
        <v>58832.73</v>
      </c>
      <c r="BS235" s="1667">
        <v>58832.73</v>
      </c>
      <c r="BT235" s="1665">
        <v>0</v>
      </c>
      <c r="BU235" s="1665">
        <v>95007.85</v>
      </c>
      <c r="BV235" s="1665">
        <v>69214.89</v>
      </c>
      <c r="BW235" s="1665">
        <v>0</v>
      </c>
      <c r="BX235" s="1665">
        <v>0</v>
      </c>
      <c r="BY235" s="1665">
        <v>0</v>
      </c>
      <c r="BZ235" s="1665">
        <v>0</v>
      </c>
      <c r="CA235" s="1663"/>
      <c r="CB235" s="1668"/>
      <c r="CC235" s="1668"/>
      <c r="CD235" s="1663"/>
      <c r="CE235" s="1663"/>
      <c r="CF235" s="1665">
        <v>0</v>
      </c>
      <c r="CG235" s="1665">
        <v>0</v>
      </c>
      <c r="CH235" s="1665">
        <v>0</v>
      </c>
      <c r="CI235" s="1665">
        <v>0</v>
      </c>
      <c r="CJ235" s="1665">
        <v>1357.1</v>
      </c>
      <c r="CK235" s="1665">
        <v>1357.1</v>
      </c>
      <c r="CL235" s="1668"/>
      <c r="CM235" s="1665">
        <v>0</v>
      </c>
      <c r="CN235" s="1665">
        <v>0</v>
      </c>
      <c r="CO235" s="1665">
        <v>0</v>
      </c>
      <c r="CP235" s="1665">
        <v>0</v>
      </c>
      <c r="CQ235" s="1665">
        <v>0</v>
      </c>
      <c r="CR235" s="1665">
        <v>0</v>
      </c>
      <c r="CS235" s="1665">
        <v>0</v>
      </c>
      <c r="CT235" s="1665">
        <v>0</v>
      </c>
      <c r="CU235" s="1665">
        <v>0</v>
      </c>
      <c r="CV235" s="1665">
        <v>0</v>
      </c>
      <c r="CW235" s="1668"/>
      <c r="CX235" s="1663"/>
      <c r="CY235" s="1663"/>
      <c r="CZ235" s="1663"/>
      <c r="DA235" s="1663"/>
      <c r="DB235" s="1668"/>
      <c r="DC235" s="1662"/>
      <c r="DD235" s="1665">
        <v>0</v>
      </c>
      <c r="DE235" s="1663"/>
      <c r="DF235" s="1663"/>
      <c r="DG235" s="1665">
        <v>0</v>
      </c>
      <c r="DH235" s="1665">
        <v>0</v>
      </c>
    </row>
    <row r="236" spans="1:112" ht="56.25" hidden="1" x14ac:dyDescent="0.25">
      <c r="A236" s="1662" t="s">
        <v>2291</v>
      </c>
      <c r="B236" s="1662" t="s">
        <v>1725</v>
      </c>
      <c r="C236" s="1662" t="s">
        <v>2633</v>
      </c>
      <c r="D236" s="1662" t="s">
        <v>2634</v>
      </c>
      <c r="E236" s="1662" t="s">
        <v>143</v>
      </c>
      <c r="F236" s="1662" t="s">
        <v>2627</v>
      </c>
      <c r="G236" s="1662" t="s">
        <v>2628</v>
      </c>
      <c r="H236" s="1662" t="s">
        <v>2613</v>
      </c>
      <c r="I236" s="1662" t="s">
        <v>725</v>
      </c>
      <c r="J236" s="1662" t="s">
        <v>2279</v>
      </c>
      <c r="K236" s="1662" t="s">
        <v>2120</v>
      </c>
      <c r="L236" s="1662" t="s">
        <v>2109</v>
      </c>
      <c r="M236" s="1663"/>
      <c r="N236" s="1663"/>
      <c r="O236" s="1663"/>
      <c r="P236" s="1663"/>
      <c r="Q236" s="1663"/>
      <c r="R236" s="1663"/>
      <c r="S236" s="1663"/>
      <c r="T236" s="1663"/>
      <c r="U236" s="1663"/>
      <c r="V236" s="1663"/>
      <c r="W236" s="1663"/>
      <c r="X236" s="1663"/>
      <c r="Y236" s="1664">
        <v>43312</v>
      </c>
      <c r="Z236" s="1662" t="s">
        <v>2110</v>
      </c>
      <c r="AA236" s="1665">
        <v>16000</v>
      </c>
      <c r="AB236" s="1665">
        <v>16000</v>
      </c>
      <c r="AC236" s="1680">
        <v>0</v>
      </c>
      <c r="AD236" s="1682">
        <v>43350</v>
      </c>
      <c r="AE236" s="1679" t="s">
        <v>2133</v>
      </c>
      <c r="AF236" s="1662" t="s">
        <v>2112</v>
      </c>
      <c r="AG236" s="1666"/>
      <c r="AH236" s="1667">
        <v>50654.74</v>
      </c>
      <c r="AI236" s="1665">
        <v>50654.74</v>
      </c>
      <c r="AJ236" s="1665">
        <v>3371.72</v>
      </c>
      <c r="AK236" s="1698">
        <v>3371.72</v>
      </c>
      <c r="AL236" s="1665">
        <v>0</v>
      </c>
      <c r="AM236" s="1664">
        <v>43350</v>
      </c>
      <c r="AN236" s="1665">
        <v>50654.74</v>
      </c>
      <c r="AO236" s="1665">
        <v>50654.74</v>
      </c>
      <c r="AP236" s="1665">
        <v>19371.72</v>
      </c>
      <c r="AQ236" s="1665">
        <v>19371.72</v>
      </c>
      <c r="AR236" s="1665">
        <v>0</v>
      </c>
      <c r="AS236" s="1665">
        <v>31283.02</v>
      </c>
      <c r="AT236" s="1665">
        <v>22790.23</v>
      </c>
      <c r="AU236" s="1665">
        <v>8492.7900000000009</v>
      </c>
      <c r="AV236" s="1665">
        <v>0</v>
      </c>
      <c r="AW236" s="1665">
        <v>0</v>
      </c>
      <c r="AX236" s="1663"/>
      <c r="AY236" s="1663"/>
      <c r="AZ236" s="1663"/>
      <c r="BA236" s="1668"/>
      <c r="BB236" s="1668"/>
      <c r="BC236" s="1663"/>
      <c r="BD236" s="1663"/>
      <c r="BE236" s="1665">
        <v>50654.74</v>
      </c>
      <c r="BF236" s="1665">
        <v>50654.74</v>
      </c>
      <c r="BG236" s="1665">
        <v>19371.72</v>
      </c>
      <c r="BH236" s="1665">
        <v>19371.72</v>
      </c>
      <c r="BI236" s="1665">
        <v>0</v>
      </c>
      <c r="BJ236" s="1665">
        <v>31283.02</v>
      </c>
      <c r="BK236" s="1665">
        <v>22790.23</v>
      </c>
      <c r="BL236" s="1665">
        <v>8492.7900000000009</v>
      </c>
      <c r="BM236" s="1665">
        <v>0</v>
      </c>
      <c r="BN236" s="1665">
        <v>0</v>
      </c>
      <c r="BO236" s="1668"/>
      <c r="BP236" s="1665">
        <v>0</v>
      </c>
      <c r="BQ236" s="1665">
        <v>0</v>
      </c>
      <c r="BR236" s="1665">
        <v>0</v>
      </c>
      <c r="BS236" s="1667">
        <v>0</v>
      </c>
      <c r="BT236" s="1665">
        <v>0</v>
      </c>
      <c r="BU236" s="1665">
        <v>0</v>
      </c>
      <c r="BV236" s="1665">
        <v>22790.23</v>
      </c>
      <c r="BW236" s="1665">
        <v>0</v>
      </c>
      <c r="BX236" s="1665">
        <v>0</v>
      </c>
      <c r="BY236" s="1665">
        <v>0</v>
      </c>
      <c r="BZ236" s="1665">
        <v>0</v>
      </c>
      <c r="CA236" s="1663"/>
      <c r="CB236" s="1668"/>
      <c r="CC236" s="1668"/>
      <c r="CD236" s="1663"/>
      <c r="CE236" s="1663"/>
      <c r="CF236" s="1665">
        <v>0</v>
      </c>
      <c r="CG236" s="1665">
        <v>0</v>
      </c>
      <c r="CH236" s="1665">
        <v>0</v>
      </c>
      <c r="CI236" s="1665">
        <v>0</v>
      </c>
      <c r="CJ236" s="1665">
        <v>0</v>
      </c>
      <c r="CK236" s="1665">
        <v>0</v>
      </c>
      <c r="CL236" s="1668"/>
      <c r="CM236" s="1665">
        <v>0</v>
      </c>
      <c r="CN236" s="1665">
        <v>0</v>
      </c>
      <c r="CO236" s="1665">
        <v>0</v>
      </c>
      <c r="CP236" s="1665">
        <v>0</v>
      </c>
      <c r="CQ236" s="1665">
        <v>0</v>
      </c>
      <c r="CR236" s="1665">
        <v>0</v>
      </c>
      <c r="CS236" s="1665">
        <v>0</v>
      </c>
      <c r="CT236" s="1665">
        <v>0</v>
      </c>
      <c r="CU236" s="1665">
        <v>0</v>
      </c>
      <c r="CV236" s="1665">
        <v>0</v>
      </c>
      <c r="CW236" s="1668"/>
      <c r="CX236" s="1663"/>
      <c r="CY236" s="1663"/>
      <c r="CZ236" s="1663"/>
      <c r="DA236" s="1663"/>
      <c r="DB236" s="1668"/>
      <c r="DC236" s="1662"/>
      <c r="DD236" s="1665">
        <v>0</v>
      </c>
      <c r="DE236" s="1663"/>
      <c r="DF236" s="1663"/>
      <c r="DG236" s="1665">
        <v>0</v>
      </c>
      <c r="DH236" s="1665">
        <v>0</v>
      </c>
    </row>
    <row r="237" spans="1:112" ht="78.75" hidden="1" x14ac:dyDescent="0.25">
      <c r="A237" s="1662" t="s">
        <v>2293</v>
      </c>
      <c r="B237" s="1662" t="s">
        <v>1725</v>
      </c>
      <c r="C237" s="1662" t="s">
        <v>2633</v>
      </c>
      <c r="D237" s="1662" t="s">
        <v>2634</v>
      </c>
      <c r="E237" s="1662" t="s">
        <v>143</v>
      </c>
      <c r="F237" s="1662" t="s">
        <v>2627</v>
      </c>
      <c r="G237" s="1662" t="s">
        <v>2628</v>
      </c>
      <c r="H237" s="1662" t="s">
        <v>2613</v>
      </c>
      <c r="I237" s="1662" t="s">
        <v>726</v>
      </c>
      <c r="J237" s="1662" t="s">
        <v>2292</v>
      </c>
      <c r="K237" s="1662" t="s">
        <v>2159</v>
      </c>
      <c r="L237" s="1662" t="s">
        <v>2109</v>
      </c>
      <c r="M237" s="1665">
        <v>352401</v>
      </c>
      <c r="N237" s="1665">
        <v>0</v>
      </c>
      <c r="O237" s="1665">
        <v>352401</v>
      </c>
      <c r="P237" s="1665">
        <v>352401</v>
      </c>
      <c r="Q237" s="1665">
        <v>299540.84999999998</v>
      </c>
      <c r="R237" s="1665">
        <v>299540.84999999998</v>
      </c>
      <c r="S237" s="1665">
        <v>0</v>
      </c>
      <c r="T237" s="1665">
        <v>52860.15</v>
      </c>
      <c r="U237" s="1665">
        <v>0</v>
      </c>
      <c r="V237" s="1665">
        <v>52860.15</v>
      </c>
      <c r="W237" s="1665">
        <v>0</v>
      </c>
      <c r="X237" s="1665">
        <v>0</v>
      </c>
      <c r="Y237" s="1668"/>
      <c r="Z237" s="1662"/>
      <c r="AA237" s="1665">
        <v>0</v>
      </c>
      <c r="AB237" s="1665">
        <v>0</v>
      </c>
      <c r="AC237" s="1680">
        <v>0</v>
      </c>
      <c r="AD237" s="1681"/>
      <c r="AE237" s="1679"/>
      <c r="AF237" s="1662"/>
      <c r="AG237" s="1666"/>
      <c r="AH237" s="1667">
        <v>116906.44</v>
      </c>
      <c r="AI237" s="1665">
        <v>116906.44</v>
      </c>
      <c r="AJ237" s="1665">
        <v>105370.47</v>
      </c>
      <c r="AK237" s="1698">
        <v>105370.47</v>
      </c>
      <c r="AL237" s="1665">
        <v>0</v>
      </c>
      <c r="AM237" s="1668"/>
      <c r="AN237" s="1665">
        <v>76906.44</v>
      </c>
      <c r="AO237" s="1665">
        <v>76906.44</v>
      </c>
      <c r="AP237" s="1665">
        <v>65370.47</v>
      </c>
      <c r="AQ237" s="1665">
        <v>65370.47</v>
      </c>
      <c r="AR237" s="1665">
        <v>0</v>
      </c>
      <c r="AS237" s="1665">
        <v>11535.97</v>
      </c>
      <c r="AT237" s="1665">
        <v>0</v>
      </c>
      <c r="AU237" s="1665">
        <v>11535.97</v>
      </c>
      <c r="AV237" s="1665">
        <v>0</v>
      </c>
      <c r="AW237" s="1665">
        <v>0</v>
      </c>
      <c r="AX237" s="1665">
        <v>0</v>
      </c>
      <c r="AY237" s="1665">
        <v>0</v>
      </c>
      <c r="AZ237" s="1665">
        <v>0</v>
      </c>
      <c r="BA237" s="1668"/>
      <c r="BB237" s="1668"/>
      <c r="BC237" s="1665">
        <v>0</v>
      </c>
      <c r="BD237" s="1665">
        <v>0</v>
      </c>
      <c r="BE237" s="1665">
        <v>76906.44</v>
      </c>
      <c r="BF237" s="1665">
        <v>76906.44</v>
      </c>
      <c r="BG237" s="1665">
        <v>65370.47</v>
      </c>
      <c r="BH237" s="1665">
        <v>65370.47</v>
      </c>
      <c r="BI237" s="1665">
        <v>0</v>
      </c>
      <c r="BJ237" s="1665">
        <v>11535.97</v>
      </c>
      <c r="BK237" s="1665">
        <v>0</v>
      </c>
      <c r="BL237" s="1665">
        <v>11535.97</v>
      </c>
      <c r="BM237" s="1665">
        <v>0</v>
      </c>
      <c r="BN237" s="1665">
        <v>0</v>
      </c>
      <c r="BO237" s="1668"/>
      <c r="BP237" s="1665">
        <v>48069.919999999998</v>
      </c>
      <c r="BQ237" s="1665">
        <v>48069.919999999998</v>
      </c>
      <c r="BR237" s="1665">
        <v>40859.43</v>
      </c>
      <c r="BS237" s="1667">
        <v>40859.43</v>
      </c>
      <c r="BT237" s="1665">
        <v>0</v>
      </c>
      <c r="BU237" s="1665">
        <v>7210.49</v>
      </c>
      <c r="BV237" s="1665">
        <v>0</v>
      </c>
      <c r="BW237" s="1665">
        <v>0</v>
      </c>
      <c r="BX237" s="1665">
        <v>0</v>
      </c>
      <c r="BY237" s="1665">
        <v>0</v>
      </c>
      <c r="BZ237" s="1665">
        <v>0</v>
      </c>
      <c r="CA237" s="1665">
        <v>0</v>
      </c>
      <c r="CB237" s="1668"/>
      <c r="CC237" s="1668"/>
      <c r="CD237" s="1665">
        <v>0</v>
      </c>
      <c r="CE237" s="1665">
        <v>0</v>
      </c>
      <c r="CF237" s="1665">
        <v>0</v>
      </c>
      <c r="CG237" s="1665">
        <v>0</v>
      </c>
      <c r="CH237" s="1665">
        <v>0</v>
      </c>
      <c r="CI237" s="1665">
        <v>0</v>
      </c>
      <c r="CJ237" s="1665">
        <v>0</v>
      </c>
      <c r="CK237" s="1665">
        <v>0</v>
      </c>
      <c r="CL237" s="1668"/>
      <c r="CM237" s="1665">
        <v>0</v>
      </c>
      <c r="CN237" s="1665">
        <v>0</v>
      </c>
      <c r="CO237" s="1665">
        <v>0</v>
      </c>
      <c r="CP237" s="1665">
        <v>0</v>
      </c>
      <c r="CQ237" s="1665">
        <v>0</v>
      </c>
      <c r="CR237" s="1665">
        <v>0</v>
      </c>
      <c r="CS237" s="1665">
        <v>0</v>
      </c>
      <c r="CT237" s="1665">
        <v>0</v>
      </c>
      <c r="CU237" s="1665">
        <v>0</v>
      </c>
      <c r="CV237" s="1665">
        <v>0</v>
      </c>
      <c r="CW237" s="1668"/>
      <c r="CX237" s="1665">
        <v>0</v>
      </c>
      <c r="CY237" s="1665">
        <v>0</v>
      </c>
      <c r="CZ237" s="1665">
        <v>0</v>
      </c>
      <c r="DA237" s="1665">
        <v>0</v>
      </c>
      <c r="DB237" s="1668"/>
      <c r="DC237" s="1662"/>
      <c r="DD237" s="1665">
        <v>0</v>
      </c>
      <c r="DE237" s="1665">
        <v>0</v>
      </c>
      <c r="DF237" s="1665">
        <v>0</v>
      </c>
      <c r="DG237" s="1665">
        <v>0</v>
      </c>
      <c r="DH237" s="1665">
        <v>0</v>
      </c>
    </row>
    <row r="238" spans="1:112" ht="78.75" hidden="1" x14ac:dyDescent="0.25">
      <c r="A238" s="1662" t="s">
        <v>2294</v>
      </c>
      <c r="B238" s="1662" t="s">
        <v>1725</v>
      </c>
      <c r="C238" s="1662" t="s">
        <v>2633</v>
      </c>
      <c r="D238" s="1662" t="s">
        <v>2634</v>
      </c>
      <c r="E238" s="1662" t="s">
        <v>143</v>
      </c>
      <c r="F238" s="1662" t="s">
        <v>2627</v>
      </c>
      <c r="G238" s="1662" t="s">
        <v>2628</v>
      </c>
      <c r="H238" s="1662" t="s">
        <v>2613</v>
      </c>
      <c r="I238" s="1662" t="s">
        <v>726</v>
      </c>
      <c r="J238" s="1662" t="s">
        <v>2292</v>
      </c>
      <c r="K238" s="1662" t="s">
        <v>2159</v>
      </c>
      <c r="L238" s="1662" t="s">
        <v>2109</v>
      </c>
      <c r="M238" s="1663"/>
      <c r="N238" s="1663"/>
      <c r="O238" s="1663"/>
      <c r="P238" s="1663"/>
      <c r="Q238" s="1663"/>
      <c r="R238" s="1663"/>
      <c r="S238" s="1663"/>
      <c r="T238" s="1663"/>
      <c r="U238" s="1663"/>
      <c r="V238" s="1663"/>
      <c r="W238" s="1663"/>
      <c r="X238" s="1663"/>
      <c r="Y238" s="1668"/>
      <c r="Z238" s="1662"/>
      <c r="AA238" s="1665">
        <v>0</v>
      </c>
      <c r="AB238" s="1665">
        <v>0</v>
      </c>
      <c r="AC238" s="1680">
        <v>0</v>
      </c>
      <c r="AD238" s="1681"/>
      <c r="AE238" s="1679" t="s">
        <v>2220</v>
      </c>
      <c r="AF238" s="1662"/>
      <c r="AG238" s="1666" t="s">
        <v>2221</v>
      </c>
      <c r="AH238" s="1667">
        <v>0</v>
      </c>
      <c r="AI238" s="1665">
        <v>0</v>
      </c>
      <c r="AJ238" s="1665">
        <v>0</v>
      </c>
      <c r="AK238" s="1698">
        <v>0</v>
      </c>
      <c r="AL238" s="1665">
        <v>0</v>
      </c>
      <c r="AM238" s="1664">
        <v>43355</v>
      </c>
      <c r="AN238" s="1665">
        <v>-160.68</v>
      </c>
      <c r="AO238" s="1665">
        <v>-160.68</v>
      </c>
      <c r="AP238" s="1665">
        <v>-136.58000000000001</v>
      </c>
      <c r="AQ238" s="1665">
        <v>-136.58000000000001</v>
      </c>
      <c r="AR238" s="1665">
        <v>0</v>
      </c>
      <c r="AS238" s="1665">
        <v>-24.1</v>
      </c>
      <c r="AT238" s="1665">
        <v>0</v>
      </c>
      <c r="AU238" s="1665">
        <v>-24.1</v>
      </c>
      <c r="AV238" s="1665">
        <v>0</v>
      </c>
      <c r="AW238" s="1665">
        <v>0</v>
      </c>
      <c r="AX238" s="1663"/>
      <c r="AY238" s="1663"/>
      <c r="AZ238" s="1663"/>
      <c r="BA238" s="1668"/>
      <c r="BB238" s="1668"/>
      <c r="BC238" s="1663"/>
      <c r="BD238" s="1663"/>
      <c r="BE238" s="1665">
        <v>-160.68</v>
      </c>
      <c r="BF238" s="1665">
        <v>-160.68</v>
      </c>
      <c r="BG238" s="1665">
        <v>-136.58000000000001</v>
      </c>
      <c r="BH238" s="1665">
        <v>-136.58000000000001</v>
      </c>
      <c r="BI238" s="1665">
        <v>0</v>
      </c>
      <c r="BJ238" s="1665">
        <v>-24.1</v>
      </c>
      <c r="BK238" s="1665">
        <v>0</v>
      </c>
      <c r="BL238" s="1665">
        <v>-24.1</v>
      </c>
      <c r="BM238" s="1665">
        <v>0</v>
      </c>
      <c r="BN238" s="1665">
        <v>0</v>
      </c>
      <c r="BO238" s="1668"/>
      <c r="BP238" s="1665">
        <v>0</v>
      </c>
      <c r="BQ238" s="1665">
        <v>0</v>
      </c>
      <c r="BR238" s="1665">
        <v>0</v>
      </c>
      <c r="BS238" s="1667">
        <v>0</v>
      </c>
      <c r="BT238" s="1665">
        <v>0</v>
      </c>
      <c r="BU238" s="1665">
        <v>0</v>
      </c>
      <c r="BV238" s="1665">
        <v>0</v>
      </c>
      <c r="BW238" s="1665">
        <v>0</v>
      </c>
      <c r="BX238" s="1665">
        <v>0</v>
      </c>
      <c r="BY238" s="1665">
        <v>0</v>
      </c>
      <c r="BZ238" s="1665">
        <v>0</v>
      </c>
      <c r="CA238" s="1663"/>
      <c r="CB238" s="1668"/>
      <c r="CC238" s="1668"/>
      <c r="CD238" s="1663"/>
      <c r="CE238" s="1663"/>
      <c r="CF238" s="1665">
        <v>0</v>
      </c>
      <c r="CG238" s="1665">
        <v>0</v>
      </c>
      <c r="CH238" s="1665">
        <v>0</v>
      </c>
      <c r="CI238" s="1665">
        <v>0</v>
      </c>
      <c r="CJ238" s="1665">
        <v>0</v>
      </c>
      <c r="CK238" s="1665">
        <v>0</v>
      </c>
      <c r="CL238" s="1668"/>
      <c r="CM238" s="1665">
        <v>0</v>
      </c>
      <c r="CN238" s="1665">
        <v>0</v>
      </c>
      <c r="CO238" s="1665">
        <v>0</v>
      </c>
      <c r="CP238" s="1665">
        <v>0</v>
      </c>
      <c r="CQ238" s="1665">
        <v>0</v>
      </c>
      <c r="CR238" s="1665">
        <v>0</v>
      </c>
      <c r="CS238" s="1665">
        <v>0</v>
      </c>
      <c r="CT238" s="1665">
        <v>0</v>
      </c>
      <c r="CU238" s="1665">
        <v>0</v>
      </c>
      <c r="CV238" s="1665">
        <v>0</v>
      </c>
      <c r="CW238" s="1668"/>
      <c r="CX238" s="1663"/>
      <c r="CY238" s="1663"/>
      <c r="CZ238" s="1663"/>
      <c r="DA238" s="1663"/>
      <c r="DB238" s="1668"/>
      <c r="DC238" s="1662"/>
      <c r="DD238" s="1665">
        <v>0</v>
      </c>
      <c r="DE238" s="1663"/>
      <c r="DF238" s="1663"/>
      <c r="DG238" s="1665">
        <v>0</v>
      </c>
      <c r="DH238" s="1665">
        <v>0</v>
      </c>
    </row>
    <row r="239" spans="1:112" ht="78.75" hidden="1" x14ac:dyDescent="0.25">
      <c r="A239" s="1662" t="s">
        <v>2295</v>
      </c>
      <c r="B239" s="1662" t="s">
        <v>1725</v>
      </c>
      <c r="C239" s="1662" t="s">
        <v>2633</v>
      </c>
      <c r="D239" s="1662" t="s">
        <v>2634</v>
      </c>
      <c r="E239" s="1662" t="s">
        <v>143</v>
      </c>
      <c r="F239" s="1662" t="s">
        <v>2627</v>
      </c>
      <c r="G239" s="1662" t="s">
        <v>2628</v>
      </c>
      <c r="H239" s="1662" t="s">
        <v>2613</v>
      </c>
      <c r="I239" s="1662" t="s">
        <v>726</v>
      </c>
      <c r="J239" s="1662" t="s">
        <v>2292</v>
      </c>
      <c r="K239" s="1662" t="s">
        <v>2159</v>
      </c>
      <c r="L239" s="1662" t="s">
        <v>2109</v>
      </c>
      <c r="M239" s="1663"/>
      <c r="N239" s="1663"/>
      <c r="O239" s="1663"/>
      <c r="P239" s="1663"/>
      <c r="Q239" s="1663"/>
      <c r="R239" s="1663"/>
      <c r="S239" s="1663"/>
      <c r="T239" s="1663"/>
      <c r="U239" s="1663"/>
      <c r="V239" s="1663"/>
      <c r="W239" s="1663"/>
      <c r="X239" s="1663"/>
      <c r="Y239" s="1668"/>
      <c r="Z239" s="1662"/>
      <c r="AA239" s="1665">
        <v>0</v>
      </c>
      <c r="AB239" s="1665">
        <v>0</v>
      </c>
      <c r="AC239" s="1680">
        <v>0</v>
      </c>
      <c r="AD239" s="1681"/>
      <c r="AE239" s="1679" t="s">
        <v>2220</v>
      </c>
      <c r="AF239" s="1662" t="s">
        <v>2223</v>
      </c>
      <c r="AG239" s="1666" t="s">
        <v>2221</v>
      </c>
      <c r="AH239" s="1667">
        <v>-160.68</v>
      </c>
      <c r="AI239" s="1665">
        <v>-160.68</v>
      </c>
      <c r="AJ239" s="1665">
        <v>0</v>
      </c>
      <c r="AK239" s="1698">
        <v>0</v>
      </c>
      <c r="AL239" s="1665">
        <v>0</v>
      </c>
      <c r="AM239" s="1668"/>
      <c r="AN239" s="1665">
        <v>0</v>
      </c>
      <c r="AO239" s="1665">
        <v>0</v>
      </c>
      <c r="AP239" s="1665">
        <v>0</v>
      </c>
      <c r="AQ239" s="1665">
        <v>0</v>
      </c>
      <c r="AR239" s="1665">
        <v>0</v>
      </c>
      <c r="AS239" s="1665">
        <v>0</v>
      </c>
      <c r="AT239" s="1665">
        <v>0</v>
      </c>
      <c r="AU239" s="1665">
        <v>0</v>
      </c>
      <c r="AV239" s="1665">
        <v>0</v>
      </c>
      <c r="AW239" s="1665">
        <v>0</v>
      </c>
      <c r="AX239" s="1663"/>
      <c r="AY239" s="1663"/>
      <c r="AZ239" s="1663"/>
      <c r="BA239" s="1668"/>
      <c r="BB239" s="1668"/>
      <c r="BC239" s="1663"/>
      <c r="BD239" s="1663"/>
      <c r="BE239" s="1665">
        <v>0</v>
      </c>
      <c r="BF239" s="1665">
        <v>0</v>
      </c>
      <c r="BG239" s="1665">
        <v>0</v>
      </c>
      <c r="BH239" s="1665">
        <v>0</v>
      </c>
      <c r="BI239" s="1665">
        <v>0</v>
      </c>
      <c r="BJ239" s="1665">
        <v>0</v>
      </c>
      <c r="BK239" s="1665">
        <v>0</v>
      </c>
      <c r="BL239" s="1665">
        <v>0</v>
      </c>
      <c r="BM239" s="1665">
        <v>0</v>
      </c>
      <c r="BN239" s="1665">
        <v>0</v>
      </c>
      <c r="BO239" s="1668"/>
      <c r="BP239" s="1665">
        <v>0</v>
      </c>
      <c r="BQ239" s="1665">
        <v>0</v>
      </c>
      <c r="BR239" s="1665">
        <v>0</v>
      </c>
      <c r="BS239" s="1667">
        <v>0</v>
      </c>
      <c r="BT239" s="1665">
        <v>0</v>
      </c>
      <c r="BU239" s="1665">
        <v>0</v>
      </c>
      <c r="BV239" s="1665">
        <v>0</v>
      </c>
      <c r="BW239" s="1665">
        <v>0</v>
      </c>
      <c r="BX239" s="1665">
        <v>0</v>
      </c>
      <c r="BY239" s="1665">
        <v>0</v>
      </c>
      <c r="BZ239" s="1665">
        <v>0</v>
      </c>
      <c r="CA239" s="1663"/>
      <c r="CB239" s="1668"/>
      <c r="CC239" s="1668"/>
      <c r="CD239" s="1663"/>
      <c r="CE239" s="1663"/>
      <c r="CF239" s="1665">
        <v>0</v>
      </c>
      <c r="CG239" s="1665">
        <v>0</v>
      </c>
      <c r="CH239" s="1665">
        <v>0</v>
      </c>
      <c r="CI239" s="1665">
        <v>0</v>
      </c>
      <c r="CJ239" s="1665">
        <v>0</v>
      </c>
      <c r="CK239" s="1665">
        <v>0</v>
      </c>
      <c r="CL239" s="1668"/>
      <c r="CM239" s="1665">
        <v>0</v>
      </c>
      <c r="CN239" s="1665">
        <v>0</v>
      </c>
      <c r="CO239" s="1665">
        <v>0</v>
      </c>
      <c r="CP239" s="1665">
        <v>0</v>
      </c>
      <c r="CQ239" s="1665">
        <v>0</v>
      </c>
      <c r="CR239" s="1665">
        <v>0</v>
      </c>
      <c r="CS239" s="1665">
        <v>0</v>
      </c>
      <c r="CT239" s="1665">
        <v>0</v>
      </c>
      <c r="CU239" s="1665">
        <v>0</v>
      </c>
      <c r="CV239" s="1665">
        <v>0</v>
      </c>
      <c r="CW239" s="1668"/>
      <c r="CX239" s="1663"/>
      <c r="CY239" s="1663"/>
      <c r="CZ239" s="1663"/>
      <c r="DA239" s="1663"/>
      <c r="DB239" s="1668"/>
      <c r="DC239" s="1662"/>
      <c r="DD239" s="1665">
        <v>0</v>
      </c>
      <c r="DE239" s="1663"/>
      <c r="DF239" s="1663"/>
      <c r="DG239" s="1665">
        <v>0</v>
      </c>
      <c r="DH239" s="1665">
        <v>0</v>
      </c>
    </row>
    <row r="240" spans="1:112" ht="78.75" hidden="1" x14ac:dyDescent="0.25">
      <c r="A240" s="1662" t="s">
        <v>2296</v>
      </c>
      <c r="B240" s="1662" t="s">
        <v>1725</v>
      </c>
      <c r="C240" s="1662" t="s">
        <v>2633</v>
      </c>
      <c r="D240" s="1662" t="s">
        <v>2634</v>
      </c>
      <c r="E240" s="1662" t="s">
        <v>143</v>
      </c>
      <c r="F240" s="1662" t="s">
        <v>2627</v>
      </c>
      <c r="G240" s="1662" t="s">
        <v>2628</v>
      </c>
      <c r="H240" s="1662" t="s">
        <v>2613</v>
      </c>
      <c r="I240" s="1662" t="s">
        <v>726</v>
      </c>
      <c r="J240" s="1662" t="s">
        <v>2292</v>
      </c>
      <c r="K240" s="1662" t="s">
        <v>2159</v>
      </c>
      <c r="L240" s="1662" t="s">
        <v>2109</v>
      </c>
      <c r="M240" s="1663"/>
      <c r="N240" s="1663"/>
      <c r="O240" s="1663"/>
      <c r="P240" s="1663"/>
      <c r="Q240" s="1663"/>
      <c r="R240" s="1663"/>
      <c r="S240" s="1663"/>
      <c r="T240" s="1663"/>
      <c r="U240" s="1663"/>
      <c r="V240" s="1663"/>
      <c r="W240" s="1663"/>
      <c r="X240" s="1663"/>
      <c r="Y240" s="1664">
        <v>43083</v>
      </c>
      <c r="Z240" s="1662" t="s">
        <v>2145</v>
      </c>
      <c r="AA240" s="1665">
        <v>0</v>
      </c>
      <c r="AB240" s="1665">
        <v>0</v>
      </c>
      <c r="AC240" s="1680">
        <v>0</v>
      </c>
      <c r="AD240" s="1682">
        <v>43096</v>
      </c>
      <c r="AE240" s="1679" t="s">
        <v>2114</v>
      </c>
      <c r="AF240" s="1662" t="s">
        <v>2112</v>
      </c>
      <c r="AG240" s="1666"/>
      <c r="AH240" s="1667">
        <v>20000</v>
      </c>
      <c r="AI240" s="1665">
        <v>20000</v>
      </c>
      <c r="AJ240" s="1665">
        <v>20000</v>
      </c>
      <c r="AK240" s="1698">
        <v>20000</v>
      </c>
      <c r="AL240" s="1665">
        <v>0</v>
      </c>
      <c r="AM240" s="1668"/>
      <c r="AN240" s="1665">
        <v>0</v>
      </c>
      <c r="AO240" s="1665">
        <v>0</v>
      </c>
      <c r="AP240" s="1665">
        <v>0</v>
      </c>
      <c r="AQ240" s="1665">
        <v>0</v>
      </c>
      <c r="AR240" s="1665">
        <v>0</v>
      </c>
      <c r="AS240" s="1665">
        <v>0</v>
      </c>
      <c r="AT240" s="1665">
        <v>0</v>
      </c>
      <c r="AU240" s="1665">
        <v>0</v>
      </c>
      <c r="AV240" s="1665">
        <v>0</v>
      </c>
      <c r="AW240" s="1665">
        <v>0</v>
      </c>
      <c r="AX240" s="1663"/>
      <c r="AY240" s="1663"/>
      <c r="AZ240" s="1663"/>
      <c r="BA240" s="1668"/>
      <c r="BB240" s="1668"/>
      <c r="BC240" s="1663"/>
      <c r="BD240" s="1663"/>
      <c r="BE240" s="1665">
        <v>0</v>
      </c>
      <c r="BF240" s="1665">
        <v>0</v>
      </c>
      <c r="BG240" s="1665">
        <v>0</v>
      </c>
      <c r="BH240" s="1665">
        <v>0</v>
      </c>
      <c r="BI240" s="1665">
        <v>0</v>
      </c>
      <c r="BJ240" s="1665">
        <v>0</v>
      </c>
      <c r="BK240" s="1665">
        <v>0</v>
      </c>
      <c r="BL240" s="1665">
        <v>0</v>
      </c>
      <c r="BM240" s="1665">
        <v>0</v>
      </c>
      <c r="BN240" s="1665">
        <v>0</v>
      </c>
      <c r="BO240" s="1668"/>
      <c r="BP240" s="1665">
        <v>0</v>
      </c>
      <c r="BQ240" s="1665">
        <v>0</v>
      </c>
      <c r="BR240" s="1665">
        <v>0</v>
      </c>
      <c r="BS240" s="1667">
        <v>0</v>
      </c>
      <c r="BT240" s="1665">
        <v>0</v>
      </c>
      <c r="BU240" s="1665">
        <v>0</v>
      </c>
      <c r="BV240" s="1665">
        <v>0</v>
      </c>
      <c r="BW240" s="1665">
        <v>0</v>
      </c>
      <c r="BX240" s="1665">
        <v>0</v>
      </c>
      <c r="BY240" s="1665">
        <v>0</v>
      </c>
      <c r="BZ240" s="1663"/>
      <c r="CA240" s="1663"/>
      <c r="CB240" s="1668"/>
      <c r="CC240" s="1668"/>
      <c r="CD240" s="1663"/>
      <c r="CE240" s="1663"/>
      <c r="CF240" s="1665">
        <v>0</v>
      </c>
      <c r="CG240" s="1665">
        <v>0</v>
      </c>
      <c r="CH240" s="1665">
        <v>0</v>
      </c>
      <c r="CI240" s="1665">
        <v>0</v>
      </c>
      <c r="CJ240" s="1665">
        <v>0</v>
      </c>
      <c r="CK240" s="1665">
        <v>0</v>
      </c>
      <c r="CL240" s="1668"/>
      <c r="CM240" s="1665">
        <v>0</v>
      </c>
      <c r="CN240" s="1665">
        <v>0</v>
      </c>
      <c r="CO240" s="1665">
        <v>0</v>
      </c>
      <c r="CP240" s="1665">
        <v>0</v>
      </c>
      <c r="CQ240" s="1665">
        <v>0</v>
      </c>
      <c r="CR240" s="1665">
        <v>0</v>
      </c>
      <c r="CS240" s="1665">
        <v>0</v>
      </c>
      <c r="CT240" s="1665">
        <v>0</v>
      </c>
      <c r="CU240" s="1665">
        <v>0</v>
      </c>
      <c r="CV240" s="1665">
        <v>0</v>
      </c>
      <c r="CW240" s="1668"/>
      <c r="CX240" s="1663"/>
      <c r="CY240" s="1663"/>
      <c r="CZ240" s="1663"/>
      <c r="DA240" s="1663"/>
      <c r="DB240" s="1668"/>
      <c r="DC240" s="1662"/>
      <c r="DD240" s="1665">
        <v>0</v>
      </c>
      <c r="DE240" s="1663"/>
      <c r="DF240" s="1663"/>
      <c r="DG240" s="1665">
        <v>0</v>
      </c>
      <c r="DH240" s="1665">
        <v>0</v>
      </c>
    </row>
    <row r="241" spans="1:112" ht="78.75" hidden="1" x14ac:dyDescent="0.25">
      <c r="A241" s="1662" t="s">
        <v>2297</v>
      </c>
      <c r="B241" s="1662" t="s">
        <v>1725</v>
      </c>
      <c r="C241" s="1662" t="s">
        <v>2633</v>
      </c>
      <c r="D241" s="1662" t="s">
        <v>2634</v>
      </c>
      <c r="E241" s="1662" t="s">
        <v>143</v>
      </c>
      <c r="F241" s="1662" t="s">
        <v>2627</v>
      </c>
      <c r="G241" s="1662" t="s">
        <v>2628</v>
      </c>
      <c r="H241" s="1662" t="s">
        <v>2613</v>
      </c>
      <c r="I241" s="1662" t="s">
        <v>726</v>
      </c>
      <c r="J241" s="1662" t="s">
        <v>2292</v>
      </c>
      <c r="K241" s="1662" t="s">
        <v>2159</v>
      </c>
      <c r="L241" s="1662" t="s">
        <v>2109</v>
      </c>
      <c r="M241" s="1663"/>
      <c r="N241" s="1663"/>
      <c r="O241" s="1663"/>
      <c r="P241" s="1663"/>
      <c r="Q241" s="1663"/>
      <c r="R241" s="1663"/>
      <c r="S241" s="1663"/>
      <c r="T241" s="1663"/>
      <c r="U241" s="1663"/>
      <c r="V241" s="1663"/>
      <c r="W241" s="1663"/>
      <c r="X241" s="1663"/>
      <c r="Y241" s="1664">
        <v>43083</v>
      </c>
      <c r="Z241" s="1662" t="s">
        <v>2110</v>
      </c>
      <c r="AA241" s="1665">
        <v>0</v>
      </c>
      <c r="AB241" s="1665">
        <v>0</v>
      </c>
      <c r="AC241" s="1680">
        <v>0</v>
      </c>
      <c r="AD241" s="1682">
        <v>43130</v>
      </c>
      <c r="AE241" s="1679" t="s">
        <v>2128</v>
      </c>
      <c r="AF241" s="1662" t="s">
        <v>2115</v>
      </c>
      <c r="AG241" s="1666"/>
      <c r="AH241" s="1667">
        <v>7738.1</v>
      </c>
      <c r="AI241" s="1665">
        <v>7738.1</v>
      </c>
      <c r="AJ241" s="1665">
        <v>6577.38</v>
      </c>
      <c r="AK241" s="1698">
        <v>6577.38</v>
      </c>
      <c r="AL241" s="1665">
        <v>0</v>
      </c>
      <c r="AM241" s="1664">
        <v>43130</v>
      </c>
      <c r="AN241" s="1665">
        <v>7738.1</v>
      </c>
      <c r="AO241" s="1665">
        <v>7738.1</v>
      </c>
      <c r="AP241" s="1665">
        <v>6577.38</v>
      </c>
      <c r="AQ241" s="1665">
        <v>6577.38</v>
      </c>
      <c r="AR241" s="1665">
        <v>0</v>
      </c>
      <c r="AS241" s="1665">
        <v>1160.72</v>
      </c>
      <c r="AT241" s="1665">
        <v>0</v>
      </c>
      <c r="AU241" s="1665">
        <v>1160.72</v>
      </c>
      <c r="AV241" s="1665">
        <v>0</v>
      </c>
      <c r="AW241" s="1665">
        <v>0</v>
      </c>
      <c r="AX241" s="1663"/>
      <c r="AY241" s="1663"/>
      <c r="AZ241" s="1663"/>
      <c r="BA241" s="1668"/>
      <c r="BB241" s="1668"/>
      <c r="BC241" s="1663"/>
      <c r="BD241" s="1663"/>
      <c r="BE241" s="1665">
        <v>7738.1</v>
      </c>
      <c r="BF241" s="1665">
        <v>7738.1</v>
      </c>
      <c r="BG241" s="1665">
        <v>6577.38</v>
      </c>
      <c r="BH241" s="1665">
        <v>6577.38</v>
      </c>
      <c r="BI241" s="1665">
        <v>0</v>
      </c>
      <c r="BJ241" s="1665">
        <v>1160.72</v>
      </c>
      <c r="BK241" s="1665">
        <v>0</v>
      </c>
      <c r="BL241" s="1665">
        <v>1160.72</v>
      </c>
      <c r="BM241" s="1665">
        <v>0</v>
      </c>
      <c r="BN241" s="1665">
        <v>0</v>
      </c>
      <c r="BO241" s="1664">
        <v>43364</v>
      </c>
      <c r="BP241" s="1665">
        <v>7738.1</v>
      </c>
      <c r="BQ241" s="1665">
        <v>7738.1</v>
      </c>
      <c r="BR241" s="1665">
        <v>6577.38</v>
      </c>
      <c r="BS241" s="1667">
        <v>6577.38</v>
      </c>
      <c r="BT241" s="1665">
        <v>0</v>
      </c>
      <c r="BU241" s="1665">
        <v>1160.72</v>
      </c>
      <c r="BV241" s="1665">
        <v>0</v>
      </c>
      <c r="BW241" s="1665">
        <v>0</v>
      </c>
      <c r="BX241" s="1665">
        <v>0</v>
      </c>
      <c r="BY241" s="1665">
        <v>0</v>
      </c>
      <c r="BZ241" s="1665">
        <v>0</v>
      </c>
      <c r="CA241" s="1663"/>
      <c r="CB241" s="1668"/>
      <c r="CC241" s="1668"/>
      <c r="CD241" s="1663"/>
      <c r="CE241" s="1663"/>
      <c r="CF241" s="1665">
        <v>0</v>
      </c>
      <c r="CG241" s="1665">
        <v>0</v>
      </c>
      <c r="CH241" s="1665">
        <v>0</v>
      </c>
      <c r="CI241" s="1665">
        <v>0</v>
      </c>
      <c r="CJ241" s="1665">
        <v>0</v>
      </c>
      <c r="CK241" s="1665">
        <v>0</v>
      </c>
      <c r="CL241" s="1668"/>
      <c r="CM241" s="1665">
        <v>0</v>
      </c>
      <c r="CN241" s="1665">
        <v>0</v>
      </c>
      <c r="CO241" s="1665">
        <v>0</v>
      </c>
      <c r="CP241" s="1665">
        <v>0</v>
      </c>
      <c r="CQ241" s="1665">
        <v>0</v>
      </c>
      <c r="CR241" s="1665">
        <v>0</v>
      </c>
      <c r="CS241" s="1665">
        <v>0</v>
      </c>
      <c r="CT241" s="1665">
        <v>0</v>
      </c>
      <c r="CU241" s="1665">
        <v>0</v>
      </c>
      <c r="CV241" s="1665">
        <v>0</v>
      </c>
      <c r="CW241" s="1668"/>
      <c r="CX241" s="1663"/>
      <c r="CY241" s="1663"/>
      <c r="CZ241" s="1663"/>
      <c r="DA241" s="1663"/>
      <c r="DB241" s="1668"/>
      <c r="DC241" s="1662"/>
      <c r="DD241" s="1665">
        <v>0</v>
      </c>
      <c r="DE241" s="1663"/>
      <c r="DF241" s="1663"/>
      <c r="DG241" s="1665">
        <v>0</v>
      </c>
      <c r="DH241" s="1665">
        <v>0</v>
      </c>
    </row>
    <row r="242" spans="1:112" ht="78.75" hidden="1" x14ac:dyDescent="0.25">
      <c r="A242" s="1662" t="s">
        <v>2298</v>
      </c>
      <c r="B242" s="1662" t="s">
        <v>1725</v>
      </c>
      <c r="C242" s="1662" t="s">
        <v>2633</v>
      </c>
      <c r="D242" s="1662" t="s">
        <v>2634</v>
      </c>
      <c r="E242" s="1662" t="s">
        <v>143</v>
      </c>
      <c r="F242" s="1662" t="s">
        <v>2627</v>
      </c>
      <c r="G242" s="1662" t="s">
        <v>2628</v>
      </c>
      <c r="H242" s="1662" t="s">
        <v>2613</v>
      </c>
      <c r="I242" s="1662" t="s">
        <v>726</v>
      </c>
      <c r="J242" s="1662" t="s">
        <v>2292</v>
      </c>
      <c r="K242" s="1662" t="s">
        <v>2159</v>
      </c>
      <c r="L242" s="1662" t="s">
        <v>2109</v>
      </c>
      <c r="M242" s="1663"/>
      <c r="N242" s="1663"/>
      <c r="O242" s="1663"/>
      <c r="P242" s="1663"/>
      <c r="Q242" s="1663"/>
      <c r="R242" s="1663"/>
      <c r="S242" s="1663"/>
      <c r="T242" s="1663"/>
      <c r="U242" s="1663"/>
      <c r="V242" s="1663"/>
      <c r="W242" s="1663"/>
      <c r="X242" s="1663"/>
      <c r="Y242" s="1664">
        <v>43157</v>
      </c>
      <c r="Z242" s="1662" t="s">
        <v>2110</v>
      </c>
      <c r="AA242" s="1665">
        <v>0</v>
      </c>
      <c r="AB242" s="1665">
        <v>0</v>
      </c>
      <c r="AC242" s="1680">
        <v>0</v>
      </c>
      <c r="AD242" s="1682">
        <v>43173</v>
      </c>
      <c r="AE242" s="1679" t="s">
        <v>2129</v>
      </c>
      <c r="AF242" s="1662" t="s">
        <v>2112</v>
      </c>
      <c r="AG242" s="1666"/>
      <c r="AH242" s="1667">
        <v>12275.8</v>
      </c>
      <c r="AI242" s="1665">
        <v>12275.8</v>
      </c>
      <c r="AJ242" s="1665">
        <v>10434.43</v>
      </c>
      <c r="AK242" s="1698">
        <v>10434.43</v>
      </c>
      <c r="AL242" s="1665">
        <v>0</v>
      </c>
      <c r="AM242" s="1664">
        <v>43173</v>
      </c>
      <c r="AN242" s="1665">
        <v>12275.8</v>
      </c>
      <c r="AO242" s="1665">
        <v>12275.8</v>
      </c>
      <c r="AP242" s="1665">
        <v>10434.43</v>
      </c>
      <c r="AQ242" s="1665">
        <v>10434.43</v>
      </c>
      <c r="AR242" s="1665">
        <v>0</v>
      </c>
      <c r="AS242" s="1665">
        <v>1841.37</v>
      </c>
      <c r="AT242" s="1665">
        <v>0</v>
      </c>
      <c r="AU242" s="1665">
        <v>1841.37</v>
      </c>
      <c r="AV242" s="1665">
        <v>0</v>
      </c>
      <c r="AW242" s="1665">
        <v>0</v>
      </c>
      <c r="AX242" s="1663"/>
      <c r="AY242" s="1663"/>
      <c r="AZ242" s="1663"/>
      <c r="BA242" s="1668"/>
      <c r="BB242" s="1668"/>
      <c r="BC242" s="1663"/>
      <c r="BD242" s="1663"/>
      <c r="BE242" s="1665">
        <v>12275.8</v>
      </c>
      <c r="BF242" s="1665">
        <v>12275.8</v>
      </c>
      <c r="BG242" s="1665">
        <v>10434.43</v>
      </c>
      <c r="BH242" s="1665">
        <v>10434.43</v>
      </c>
      <c r="BI242" s="1665">
        <v>0</v>
      </c>
      <c r="BJ242" s="1665">
        <v>1841.37</v>
      </c>
      <c r="BK242" s="1665">
        <v>0</v>
      </c>
      <c r="BL242" s="1665">
        <v>1841.37</v>
      </c>
      <c r="BM242" s="1665">
        <v>0</v>
      </c>
      <c r="BN242" s="1665">
        <v>0</v>
      </c>
      <c r="BO242" s="1664">
        <v>43364</v>
      </c>
      <c r="BP242" s="1665">
        <v>12275.8</v>
      </c>
      <c r="BQ242" s="1665">
        <v>12275.8</v>
      </c>
      <c r="BR242" s="1665">
        <v>10434.43</v>
      </c>
      <c r="BS242" s="1667">
        <v>10434.43</v>
      </c>
      <c r="BT242" s="1665">
        <v>0</v>
      </c>
      <c r="BU242" s="1665">
        <v>1841.37</v>
      </c>
      <c r="BV242" s="1665">
        <v>0</v>
      </c>
      <c r="BW242" s="1665">
        <v>0</v>
      </c>
      <c r="BX242" s="1665">
        <v>0</v>
      </c>
      <c r="BY242" s="1665">
        <v>0</v>
      </c>
      <c r="BZ242" s="1665">
        <v>0</v>
      </c>
      <c r="CA242" s="1663"/>
      <c r="CB242" s="1668"/>
      <c r="CC242" s="1668"/>
      <c r="CD242" s="1663"/>
      <c r="CE242" s="1663"/>
      <c r="CF242" s="1665">
        <v>0</v>
      </c>
      <c r="CG242" s="1665">
        <v>0</v>
      </c>
      <c r="CH242" s="1665">
        <v>0</v>
      </c>
      <c r="CI242" s="1665">
        <v>0</v>
      </c>
      <c r="CJ242" s="1665">
        <v>0</v>
      </c>
      <c r="CK242" s="1665">
        <v>0</v>
      </c>
      <c r="CL242" s="1668"/>
      <c r="CM242" s="1665">
        <v>0</v>
      </c>
      <c r="CN242" s="1665">
        <v>0</v>
      </c>
      <c r="CO242" s="1665">
        <v>0</v>
      </c>
      <c r="CP242" s="1665">
        <v>0</v>
      </c>
      <c r="CQ242" s="1665">
        <v>0</v>
      </c>
      <c r="CR242" s="1665">
        <v>0</v>
      </c>
      <c r="CS242" s="1665">
        <v>0</v>
      </c>
      <c r="CT242" s="1665">
        <v>0</v>
      </c>
      <c r="CU242" s="1665">
        <v>0</v>
      </c>
      <c r="CV242" s="1665">
        <v>0</v>
      </c>
      <c r="CW242" s="1668"/>
      <c r="CX242" s="1663"/>
      <c r="CY242" s="1663"/>
      <c r="CZ242" s="1663"/>
      <c r="DA242" s="1663"/>
      <c r="DB242" s="1668"/>
      <c r="DC242" s="1662"/>
      <c r="DD242" s="1665">
        <v>0</v>
      </c>
      <c r="DE242" s="1663"/>
      <c r="DF242" s="1663"/>
      <c r="DG242" s="1665">
        <v>0</v>
      </c>
      <c r="DH242" s="1665">
        <v>0</v>
      </c>
    </row>
    <row r="243" spans="1:112" ht="78.75" hidden="1" x14ac:dyDescent="0.25">
      <c r="A243" s="1662" t="s">
        <v>2299</v>
      </c>
      <c r="B243" s="1662" t="s">
        <v>1725</v>
      </c>
      <c r="C243" s="1662" t="s">
        <v>2633</v>
      </c>
      <c r="D243" s="1662" t="s">
        <v>2634</v>
      </c>
      <c r="E243" s="1662" t="s">
        <v>143</v>
      </c>
      <c r="F243" s="1662" t="s">
        <v>2627</v>
      </c>
      <c r="G243" s="1662" t="s">
        <v>2628</v>
      </c>
      <c r="H243" s="1662" t="s">
        <v>2613</v>
      </c>
      <c r="I243" s="1662" t="s">
        <v>726</v>
      </c>
      <c r="J243" s="1662" t="s">
        <v>2292</v>
      </c>
      <c r="K243" s="1662" t="s">
        <v>2159</v>
      </c>
      <c r="L243" s="1662" t="s">
        <v>2109</v>
      </c>
      <c r="M243" s="1663"/>
      <c r="N243" s="1663"/>
      <c r="O243" s="1663"/>
      <c r="P243" s="1663"/>
      <c r="Q243" s="1663"/>
      <c r="R243" s="1663"/>
      <c r="S243" s="1663"/>
      <c r="T243" s="1663"/>
      <c r="U243" s="1663"/>
      <c r="V243" s="1663"/>
      <c r="W243" s="1663"/>
      <c r="X243" s="1663"/>
      <c r="Y243" s="1664">
        <v>43200</v>
      </c>
      <c r="Z243" s="1662" t="s">
        <v>2145</v>
      </c>
      <c r="AA243" s="1665">
        <v>0</v>
      </c>
      <c r="AB243" s="1665">
        <v>0</v>
      </c>
      <c r="AC243" s="1680">
        <v>0</v>
      </c>
      <c r="AD243" s="1682">
        <v>43213</v>
      </c>
      <c r="AE243" s="1679" t="s">
        <v>2130</v>
      </c>
      <c r="AF243" s="1662" t="s">
        <v>2112</v>
      </c>
      <c r="AG243" s="1666"/>
      <c r="AH243" s="1667">
        <v>20000</v>
      </c>
      <c r="AI243" s="1665">
        <v>20000</v>
      </c>
      <c r="AJ243" s="1665">
        <v>20000</v>
      </c>
      <c r="AK243" s="1698">
        <v>20000</v>
      </c>
      <c r="AL243" s="1665">
        <v>0</v>
      </c>
      <c r="AM243" s="1668"/>
      <c r="AN243" s="1665">
        <v>0</v>
      </c>
      <c r="AO243" s="1665">
        <v>0</v>
      </c>
      <c r="AP243" s="1665">
        <v>0</v>
      </c>
      <c r="AQ243" s="1665">
        <v>0</v>
      </c>
      <c r="AR243" s="1665">
        <v>0</v>
      </c>
      <c r="AS243" s="1665">
        <v>0</v>
      </c>
      <c r="AT243" s="1665">
        <v>0</v>
      </c>
      <c r="AU243" s="1665">
        <v>0</v>
      </c>
      <c r="AV243" s="1665">
        <v>0</v>
      </c>
      <c r="AW243" s="1665">
        <v>0</v>
      </c>
      <c r="AX243" s="1663"/>
      <c r="AY243" s="1663"/>
      <c r="AZ243" s="1663"/>
      <c r="BA243" s="1668"/>
      <c r="BB243" s="1668"/>
      <c r="BC243" s="1663"/>
      <c r="BD243" s="1663"/>
      <c r="BE243" s="1665">
        <v>0</v>
      </c>
      <c r="BF243" s="1665">
        <v>0</v>
      </c>
      <c r="BG243" s="1665">
        <v>0</v>
      </c>
      <c r="BH243" s="1665">
        <v>0</v>
      </c>
      <c r="BI243" s="1665">
        <v>0</v>
      </c>
      <c r="BJ243" s="1665">
        <v>0</v>
      </c>
      <c r="BK243" s="1665">
        <v>0</v>
      </c>
      <c r="BL243" s="1665">
        <v>0</v>
      </c>
      <c r="BM243" s="1665">
        <v>0</v>
      </c>
      <c r="BN243" s="1665">
        <v>0</v>
      </c>
      <c r="BO243" s="1668"/>
      <c r="BP243" s="1665">
        <v>0</v>
      </c>
      <c r="BQ243" s="1665">
        <v>0</v>
      </c>
      <c r="BR243" s="1665">
        <v>0</v>
      </c>
      <c r="BS243" s="1667">
        <v>0</v>
      </c>
      <c r="BT243" s="1665">
        <v>0</v>
      </c>
      <c r="BU243" s="1665">
        <v>0</v>
      </c>
      <c r="BV243" s="1665">
        <v>0</v>
      </c>
      <c r="BW243" s="1665">
        <v>0</v>
      </c>
      <c r="BX243" s="1665">
        <v>0</v>
      </c>
      <c r="BY243" s="1665">
        <v>0</v>
      </c>
      <c r="BZ243" s="1663"/>
      <c r="CA243" s="1663"/>
      <c r="CB243" s="1668"/>
      <c r="CC243" s="1668"/>
      <c r="CD243" s="1663"/>
      <c r="CE243" s="1663"/>
      <c r="CF243" s="1665">
        <v>0</v>
      </c>
      <c r="CG243" s="1665">
        <v>0</v>
      </c>
      <c r="CH243" s="1665">
        <v>0</v>
      </c>
      <c r="CI243" s="1665">
        <v>0</v>
      </c>
      <c r="CJ243" s="1665">
        <v>0</v>
      </c>
      <c r="CK243" s="1665">
        <v>0</v>
      </c>
      <c r="CL243" s="1668"/>
      <c r="CM243" s="1665">
        <v>0</v>
      </c>
      <c r="CN243" s="1665">
        <v>0</v>
      </c>
      <c r="CO243" s="1665">
        <v>0</v>
      </c>
      <c r="CP243" s="1665">
        <v>0</v>
      </c>
      <c r="CQ243" s="1665">
        <v>0</v>
      </c>
      <c r="CR243" s="1665">
        <v>0</v>
      </c>
      <c r="CS243" s="1665">
        <v>0</v>
      </c>
      <c r="CT243" s="1665">
        <v>0</v>
      </c>
      <c r="CU243" s="1665">
        <v>0</v>
      </c>
      <c r="CV243" s="1665">
        <v>0</v>
      </c>
      <c r="CW243" s="1668"/>
      <c r="CX243" s="1663"/>
      <c r="CY243" s="1663"/>
      <c r="CZ243" s="1663"/>
      <c r="DA243" s="1663"/>
      <c r="DB243" s="1668"/>
      <c r="DC243" s="1662"/>
      <c r="DD243" s="1665">
        <v>0</v>
      </c>
      <c r="DE243" s="1663"/>
      <c r="DF243" s="1663"/>
      <c r="DG243" s="1665">
        <v>0</v>
      </c>
      <c r="DH243" s="1665">
        <v>0</v>
      </c>
    </row>
    <row r="244" spans="1:112" ht="78.75" hidden="1" x14ac:dyDescent="0.25">
      <c r="A244" s="1662" t="s">
        <v>2300</v>
      </c>
      <c r="B244" s="1662" t="s">
        <v>1725</v>
      </c>
      <c r="C244" s="1662" t="s">
        <v>2633</v>
      </c>
      <c r="D244" s="1662" t="s">
        <v>2634</v>
      </c>
      <c r="E244" s="1662" t="s">
        <v>143</v>
      </c>
      <c r="F244" s="1662" t="s">
        <v>2627</v>
      </c>
      <c r="G244" s="1662" t="s">
        <v>2628</v>
      </c>
      <c r="H244" s="1662" t="s">
        <v>2613</v>
      </c>
      <c r="I244" s="1662" t="s">
        <v>726</v>
      </c>
      <c r="J244" s="1662" t="s">
        <v>2292</v>
      </c>
      <c r="K244" s="1662" t="s">
        <v>2159</v>
      </c>
      <c r="L244" s="1662" t="s">
        <v>2109</v>
      </c>
      <c r="M244" s="1663"/>
      <c r="N244" s="1663"/>
      <c r="O244" s="1663"/>
      <c r="P244" s="1663"/>
      <c r="Q244" s="1663"/>
      <c r="R244" s="1663"/>
      <c r="S244" s="1663"/>
      <c r="T244" s="1663"/>
      <c r="U244" s="1663"/>
      <c r="V244" s="1663"/>
      <c r="W244" s="1663"/>
      <c r="X244" s="1663"/>
      <c r="Y244" s="1664">
        <v>43242</v>
      </c>
      <c r="Z244" s="1662" t="s">
        <v>2110</v>
      </c>
      <c r="AA244" s="1665">
        <v>0</v>
      </c>
      <c r="AB244" s="1665">
        <v>0</v>
      </c>
      <c r="AC244" s="1680">
        <v>0</v>
      </c>
      <c r="AD244" s="1682">
        <v>43270</v>
      </c>
      <c r="AE244" s="1679" t="s">
        <v>2137</v>
      </c>
      <c r="AF244" s="1662" t="s">
        <v>2112</v>
      </c>
      <c r="AG244" s="1666"/>
      <c r="AH244" s="1667">
        <v>28056.02</v>
      </c>
      <c r="AI244" s="1665">
        <v>28056.02</v>
      </c>
      <c r="AJ244" s="1665">
        <v>23847.62</v>
      </c>
      <c r="AK244" s="1698">
        <v>23847.62</v>
      </c>
      <c r="AL244" s="1665">
        <v>0</v>
      </c>
      <c r="AM244" s="1664">
        <v>43270</v>
      </c>
      <c r="AN244" s="1665">
        <v>28056.02</v>
      </c>
      <c r="AO244" s="1665">
        <v>28056.02</v>
      </c>
      <c r="AP244" s="1665">
        <v>23847.62</v>
      </c>
      <c r="AQ244" s="1665">
        <v>23847.62</v>
      </c>
      <c r="AR244" s="1665">
        <v>0</v>
      </c>
      <c r="AS244" s="1665">
        <v>4208.3999999999996</v>
      </c>
      <c r="AT244" s="1665">
        <v>0</v>
      </c>
      <c r="AU244" s="1665">
        <v>4208.3999999999996</v>
      </c>
      <c r="AV244" s="1665">
        <v>0</v>
      </c>
      <c r="AW244" s="1665">
        <v>0</v>
      </c>
      <c r="AX244" s="1663"/>
      <c r="AY244" s="1663"/>
      <c r="AZ244" s="1663"/>
      <c r="BA244" s="1668"/>
      <c r="BB244" s="1668"/>
      <c r="BC244" s="1663"/>
      <c r="BD244" s="1663"/>
      <c r="BE244" s="1665">
        <v>28056.02</v>
      </c>
      <c r="BF244" s="1665">
        <v>28056.02</v>
      </c>
      <c r="BG244" s="1665">
        <v>23847.62</v>
      </c>
      <c r="BH244" s="1665">
        <v>23847.62</v>
      </c>
      <c r="BI244" s="1665">
        <v>0</v>
      </c>
      <c r="BJ244" s="1665">
        <v>4208.3999999999996</v>
      </c>
      <c r="BK244" s="1665">
        <v>0</v>
      </c>
      <c r="BL244" s="1665">
        <v>4208.3999999999996</v>
      </c>
      <c r="BM244" s="1665">
        <v>0</v>
      </c>
      <c r="BN244" s="1665">
        <v>0</v>
      </c>
      <c r="BO244" s="1664">
        <v>43364</v>
      </c>
      <c r="BP244" s="1665">
        <v>28056.02</v>
      </c>
      <c r="BQ244" s="1665">
        <v>28056.02</v>
      </c>
      <c r="BR244" s="1665">
        <v>23847.62</v>
      </c>
      <c r="BS244" s="1667">
        <v>23847.62</v>
      </c>
      <c r="BT244" s="1665">
        <v>0</v>
      </c>
      <c r="BU244" s="1665">
        <v>4208.3999999999996</v>
      </c>
      <c r="BV244" s="1665">
        <v>0</v>
      </c>
      <c r="BW244" s="1665">
        <v>0</v>
      </c>
      <c r="BX244" s="1665">
        <v>0</v>
      </c>
      <c r="BY244" s="1665">
        <v>0</v>
      </c>
      <c r="BZ244" s="1665">
        <v>0</v>
      </c>
      <c r="CA244" s="1663"/>
      <c r="CB244" s="1668"/>
      <c r="CC244" s="1668"/>
      <c r="CD244" s="1663"/>
      <c r="CE244" s="1663"/>
      <c r="CF244" s="1665">
        <v>0</v>
      </c>
      <c r="CG244" s="1665">
        <v>0</v>
      </c>
      <c r="CH244" s="1665">
        <v>0</v>
      </c>
      <c r="CI244" s="1665">
        <v>0</v>
      </c>
      <c r="CJ244" s="1665">
        <v>0</v>
      </c>
      <c r="CK244" s="1665">
        <v>0</v>
      </c>
      <c r="CL244" s="1668"/>
      <c r="CM244" s="1665">
        <v>0</v>
      </c>
      <c r="CN244" s="1665">
        <v>0</v>
      </c>
      <c r="CO244" s="1665">
        <v>0</v>
      </c>
      <c r="CP244" s="1665">
        <v>0</v>
      </c>
      <c r="CQ244" s="1665">
        <v>0</v>
      </c>
      <c r="CR244" s="1665">
        <v>0</v>
      </c>
      <c r="CS244" s="1665">
        <v>0</v>
      </c>
      <c r="CT244" s="1665">
        <v>0</v>
      </c>
      <c r="CU244" s="1665">
        <v>0</v>
      </c>
      <c r="CV244" s="1665">
        <v>0</v>
      </c>
      <c r="CW244" s="1668"/>
      <c r="CX244" s="1663"/>
      <c r="CY244" s="1663"/>
      <c r="CZ244" s="1663"/>
      <c r="DA244" s="1663"/>
      <c r="DB244" s="1668"/>
      <c r="DC244" s="1662"/>
      <c r="DD244" s="1665">
        <v>0</v>
      </c>
      <c r="DE244" s="1663"/>
      <c r="DF244" s="1663"/>
      <c r="DG244" s="1665">
        <v>0</v>
      </c>
      <c r="DH244" s="1665">
        <v>0</v>
      </c>
    </row>
    <row r="245" spans="1:112" ht="78.75" hidden="1" x14ac:dyDescent="0.25">
      <c r="A245" s="1662" t="s">
        <v>2301</v>
      </c>
      <c r="B245" s="1662" t="s">
        <v>1725</v>
      </c>
      <c r="C245" s="1662" t="s">
        <v>2633</v>
      </c>
      <c r="D245" s="1662" t="s">
        <v>2634</v>
      </c>
      <c r="E245" s="1662" t="s">
        <v>143</v>
      </c>
      <c r="F245" s="1662" t="s">
        <v>2627</v>
      </c>
      <c r="G245" s="1662" t="s">
        <v>2628</v>
      </c>
      <c r="H245" s="1662" t="s">
        <v>2613</v>
      </c>
      <c r="I245" s="1662" t="s">
        <v>726</v>
      </c>
      <c r="J245" s="1662" t="s">
        <v>2292</v>
      </c>
      <c r="K245" s="1662" t="s">
        <v>2159</v>
      </c>
      <c r="L245" s="1662" t="s">
        <v>2109</v>
      </c>
      <c r="M245" s="1663"/>
      <c r="N245" s="1663"/>
      <c r="O245" s="1663"/>
      <c r="P245" s="1663"/>
      <c r="Q245" s="1663"/>
      <c r="R245" s="1663"/>
      <c r="S245" s="1663"/>
      <c r="T245" s="1663"/>
      <c r="U245" s="1663"/>
      <c r="V245" s="1663"/>
      <c r="W245" s="1663"/>
      <c r="X245" s="1663"/>
      <c r="Y245" s="1664">
        <v>43308</v>
      </c>
      <c r="Z245" s="1662" t="s">
        <v>2110</v>
      </c>
      <c r="AA245" s="1665">
        <v>0</v>
      </c>
      <c r="AB245" s="1665">
        <v>0</v>
      </c>
      <c r="AC245" s="1680">
        <v>0</v>
      </c>
      <c r="AD245" s="1682">
        <v>43336</v>
      </c>
      <c r="AE245" s="1679" t="s">
        <v>2131</v>
      </c>
      <c r="AF245" s="1662" t="s">
        <v>2112</v>
      </c>
      <c r="AG245" s="1666"/>
      <c r="AH245" s="1667">
        <v>0</v>
      </c>
      <c r="AI245" s="1665">
        <v>0</v>
      </c>
      <c r="AJ245" s="1665">
        <v>0</v>
      </c>
      <c r="AK245" s="1698">
        <v>0</v>
      </c>
      <c r="AL245" s="1665">
        <v>0</v>
      </c>
      <c r="AM245" s="1668"/>
      <c r="AN245" s="1665">
        <v>0</v>
      </c>
      <c r="AO245" s="1665">
        <v>0</v>
      </c>
      <c r="AP245" s="1665">
        <v>0</v>
      </c>
      <c r="AQ245" s="1665">
        <v>0</v>
      </c>
      <c r="AR245" s="1665">
        <v>0</v>
      </c>
      <c r="AS245" s="1665">
        <v>0</v>
      </c>
      <c r="AT245" s="1665">
        <v>0</v>
      </c>
      <c r="AU245" s="1665">
        <v>0</v>
      </c>
      <c r="AV245" s="1665">
        <v>0</v>
      </c>
      <c r="AW245" s="1665">
        <v>0</v>
      </c>
      <c r="AX245" s="1663"/>
      <c r="AY245" s="1663"/>
      <c r="AZ245" s="1663"/>
      <c r="BA245" s="1668"/>
      <c r="BB245" s="1668"/>
      <c r="BC245" s="1663"/>
      <c r="BD245" s="1663"/>
      <c r="BE245" s="1665">
        <v>0</v>
      </c>
      <c r="BF245" s="1665">
        <v>0</v>
      </c>
      <c r="BG245" s="1665">
        <v>0</v>
      </c>
      <c r="BH245" s="1665">
        <v>0</v>
      </c>
      <c r="BI245" s="1665">
        <v>0</v>
      </c>
      <c r="BJ245" s="1665">
        <v>0</v>
      </c>
      <c r="BK245" s="1665">
        <v>0</v>
      </c>
      <c r="BL245" s="1665">
        <v>0</v>
      </c>
      <c r="BM245" s="1665">
        <v>0</v>
      </c>
      <c r="BN245" s="1665">
        <v>0</v>
      </c>
      <c r="BO245" s="1668"/>
      <c r="BP245" s="1665">
        <v>0</v>
      </c>
      <c r="BQ245" s="1665">
        <v>0</v>
      </c>
      <c r="BR245" s="1665">
        <v>0</v>
      </c>
      <c r="BS245" s="1667">
        <v>0</v>
      </c>
      <c r="BT245" s="1665">
        <v>0</v>
      </c>
      <c r="BU245" s="1665">
        <v>0</v>
      </c>
      <c r="BV245" s="1665">
        <v>0</v>
      </c>
      <c r="BW245" s="1665">
        <v>0</v>
      </c>
      <c r="BX245" s="1665">
        <v>0</v>
      </c>
      <c r="BY245" s="1665">
        <v>0</v>
      </c>
      <c r="BZ245" s="1663"/>
      <c r="CA245" s="1663"/>
      <c r="CB245" s="1668"/>
      <c r="CC245" s="1668"/>
      <c r="CD245" s="1663"/>
      <c r="CE245" s="1663"/>
      <c r="CF245" s="1665">
        <v>0</v>
      </c>
      <c r="CG245" s="1665">
        <v>0</v>
      </c>
      <c r="CH245" s="1665">
        <v>0</v>
      </c>
      <c r="CI245" s="1665">
        <v>0</v>
      </c>
      <c r="CJ245" s="1665">
        <v>0</v>
      </c>
      <c r="CK245" s="1665">
        <v>0</v>
      </c>
      <c r="CL245" s="1668"/>
      <c r="CM245" s="1665">
        <v>0</v>
      </c>
      <c r="CN245" s="1665">
        <v>0</v>
      </c>
      <c r="CO245" s="1665">
        <v>0</v>
      </c>
      <c r="CP245" s="1665">
        <v>0</v>
      </c>
      <c r="CQ245" s="1665">
        <v>0</v>
      </c>
      <c r="CR245" s="1665">
        <v>0</v>
      </c>
      <c r="CS245" s="1665">
        <v>0</v>
      </c>
      <c r="CT245" s="1665">
        <v>0</v>
      </c>
      <c r="CU245" s="1665">
        <v>0</v>
      </c>
      <c r="CV245" s="1665">
        <v>0</v>
      </c>
      <c r="CW245" s="1668"/>
      <c r="CX245" s="1663"/>
      <c r="CY245" s="1663"/>
      <c r="CZ245" s="1663"/>
      <c r="DA245" s="1663"/>
      <c r="DB245" s="1668"/>
      <c r="DC245" s="1662"/>
      <c r="DD245" s="1665">
        <v>0</v>
      </c>
      <c r="DE245" s="1663"/>
      <c r="DF245" s="1663"/>
      <c r="DG245" s="1665">
        <v>0</v>
      </c>
      <c r="DH245" s="1665">
        <v>0</v>
      </c>
    </row>
    <row r="246" spans="1:112" ht="78.75" hidden="1" x14ac:dyDescent="0.25">
      <c r="A246" s="1662" t="s">
        <v>2302</v>
      </c>
      <c r="B246" s="1662" t="s">
        <v>1725</v>
      </c>
      <c r="C246" s="1662" t="s">
        <v>2633</v>
      </c>
      <c r="D246" s="1662" t="s">
        <v>2634</v>
      </c>
      <c r="E246" s="1662" t="s">
        <v>143</v>
      </c>
      <c r="F246" s="1662" t="s">
        <v>2627</v>
      </c>
      <c r="G246" s="1662" t="s">
        <v>2628</v>
      </c>
      <c r="H246" s="1662" t="s">
        <v>2613</v>
      </c>
      <c r="I246" s="1662" t="s">
        <v>726</v>
      </c>
      <c r="J246" s="1662" t="s">
        <v>2292</v>
      </c>
      <c r="K246" s="1662" t="s">
        <v>2159</v>
      </c>
      <c r="L246" s="1662" t="s">
        <v>2109</v>
      </c>
      <c r="M246" s="1663"/>
      <c r="N246" s="1663"/>
      <c r="O246" s="1663"/>
      <c r="P246" s="1663"/>
      <c r="Q246" s="1663"/>
      <c r="R246" s="1663"/>
      <c r="S246" s="1663"/>
      <c r="T246" s="1663"/>
      <c r="U246" s="1663"/>
      <c r="V246" s="1663"/>
      <c r="W246" s="1663"/>
      <c r="X246" s="1663"/>
      <c r="Y246" s="1664">
        <v>43343</v>
      </c>
      <c r="Z246" s="1662" t="s">
        <v>2110</v>
      </c>
      <c r="AA246" s="1665">
        <v>0</v>
      </c>
      <c r="AB246" s="1665">
        <v>0</v>
      </c>
      <c r="AC246" s="1680">
        <v>0</v>
      </c>
      <c r="AD246" s="1682">
        <v>43364</v>
      </c>
      <c r="AE246" s="1679" t="s">
        <v>2132</v>
      </c>
      <c r="AF246" s="1662" t="s">
        <v>2112</v>
      </c>
      <c r="AG246" s="1666"/>
      <c r="AH246" s="1667">
        <v>28997.200000000001</v>
      </c>
      <c r="AI246" s="1665">
        <v>28997.200000000001</v>
      </c>
      <c r="AJ246" s="1665">
        <v>24511.040000000001</v>
      </c>
      <c r="AK246" s="1698">
        <v>24511.040000000001</v>
      </c>
      <c r="AL246" s="1665">
        <v>0</v>
      </c>
      <c r="AM246" s="1664">
        <v>43364</v>
      </c>
      <c r="AN246" s="1665">
        <v>28997.200000000001</v>
      </c>
      <c r="AO246" s="1665">
        <v>28997.200000000001</v>
      </c>
      <c r="AP246" s="1665">
        <v>24647.62</v>
      </c>
      <c r="AQ246" s="1665">
        <v>24647.62</v>
      </c>
      <c r="AR246" s="1665">
        <v>0</v>
      </c>
      <c r="AS246" s="1665">
        <v>4349.58</v>
      </c>
      <c r="AT246" s="1665">
        <v>0</v>
      </c>
      <c r="AU246" s="1665">
        <v>4349.58</v>
      </c>
      <c r="AV246" s="1665">
        <v>0</v>
      </c>
      <c r="AW246" s="1665">
        <v>0</v>
      </c>
      <c r="AX246" s="1663"/>
      <c r="AY246" s="1663"/>
      <c r="AZ246" s="1663"/>
      <c r="BA246" s="1668"/>
      <c r="BB246" s="1668"/>
      <c r="BC246" s="1663"/>
      <c r="BD246" s="1663"/>
      <c r="BE246" s="1665">
        <v>28997.200000000001</v>
      </c>
      <c r="BF246" s="1665">
        <v>28997.200000000001</v>
      </c>
      <c r="BG246" s="1665">
        <v>24647.62</v>
      </c>
      <c r="BH246" s="1665">
        <v>24647.62</v>
      </c>
      <c r="BI246" s="1665">
        <v>0</v>
      </c>
      <c r="BJ246" s="1665">
        <v>4349.58</v>
      </c>
      <c r="BK246" s="1665">
        <v>0</v>
      </c>
      <c r="BL246" s="1665">
        <v>4349.58</v>
      </c>
      <c r="BM246" s="1665">
        <v>0</v>
      </c>
      <c r="BN246" s="1665">
        <v>0</v>
      </c>
      <c r="BO246" s="1668"/>
      <c r="BP246" s="1665">
        <v>0</v>
      </c>
      <c r="BQ246" s="1665">
        <v>0</v>
      </c>
      <c r="BR246" s="1665">
        <v>0</v>
      </c>
      <c r="BS246" s="1667">
        <v>0</v>
      </c>
      <c r="BT246" s="1665">
        <v>0</v>
      </c>
      <c r="BU246" s="1665">
        <v>0</v>
      </c>
      <c r="BV246" s="1665">
        <v>0</v>
      </c>
      <c r="BW246" s="1665">
        <v>0</v>
      </c>
      <c r="BX246" s="1665">
        <v>0</v>
      </c>
      <c r="BY246" s="1665">
        <v>0</v>
      </c>
      <c r="BZ246" s="1665">
        <v>0</v>
      </c>
      <c r="CA246" s="1663"/>
      <c r="CB246" s="1668"/>
      <c r="CC246" s="1668"/>
      <c r="CD246" s="1663"/>
      <c r="CE246" s="1663"/>
      <c r="CF246" s="1665">
        <v>0</v>
      </c>
      <c r="CG246" s="1665">
        <v>0</v>
      </c>
      <c r="CH246" s="1665">
        <v>0</v>
      </c>
      <c r="CI246" s="1665">
        <v>0</v>
      </c>
      <c r="CJ246" s="1665">
        <v>0</v>
      </c>
      <c r="CK246" s="1665">
        <v>0</v>
      </c>
      <c r="CL246" s="1668"/>
      <c r="CM246" s="1665">
        <v>0</v>
      </c>
      <c r="CN246" s="1665">
        <v>0</v>
      </c>
      <c r="CO246" s="1665">
        <v>0</v>
      </c>
      <c r="CP246" s="1665">
        <v>0</v>
      </c>
      <c r="CQ246" s="1665">
        <v>0</v>
      </c>
      <c r="CR246" s="1665">
        <v>0</v>
      </c>
      <c r="CS246" s="1665">
        <v>0</v>
      </c>
      <c r="CT246" s="1665">
        <v>0</v>
      </c>
      <c r="CU246" s="1665">
        <v>0</v>
      </c>
      <c r="CV246" s="1665">
        <v>0</v>
      </c>
      <c r="CW246" s="1668"/>
      <c r="CX246" s="1663"/>
      <c r="CY246" s="1663"/>
      <c r="CZ246" s="1663"/>
      <c r="DA246" s="1663"/>
      <c r="DB246" s="1668"/>
      <c r="DC246" s="1662"/>
      <c r="DD246" s="1665">
        <v>0</v>
      </c>
      <c r="DE246" s="1663"/>
      <c r="DF246" s="1663"/>
      <c r="DG246" s="1665">
        <v>0</v>
      </c>
      <c r="DH246" s="1665">
        <v>0</v>
      </c>
    </row>
    <row r="247" spans="1:112" ht="78.75" hidden="1" x14ac:dyDescent="0.25">
      <c r="A247" s="1662" t="s">
        <v>2303</v>
      </c>
      <c r="B247" s="1662" t="s">
        <v>1725</v>
      </c>
      <c r="C247" s="1662" t="s">
        <v>2633</v>
      </c>
      <c r="D247" s="1662" t="s">
        <v>2634</v>
      </c>
      <c r="E247" s="1662" t="s">
        <v>143</v>
      </c>
      <c r="F247" s="1662" t="s">
        <v>2627</v>
      </c>
      <c r="G247" s="1662" t="s">
        <v>2628</v>
      </c>
      <c r="H247" s="1662" t="s">
        <v>2613</v>
      </c>
      <c r="I247" s="1662" t="s">
        <v>1255</v>
      </c>
      <c r="J247" s="1662" t="s">
        <v>320</v>
      </c>
      <c r="K247" s="1662" t="s">
        <v>2117</v>
      </c>
      <c r="L247" s="1662" t="s">
        <v>2109</v>
      </c>
      <c r="M247" s="1665">
        <v>484769.35</v>
      </c>
      <c r="N247" s="1665">
        <v>0</v>
      </c>
      <c r="O247" s="1665">
        <v>484769.35</v>
      </c>
      <c r="P247" s="1665">
        <v>484769.35</v>
      </c>
      <c r="Q247" s="1665">
        <v>299541</v>
      </c>
      <c r="R247" s="1665">
        <v>299541</v>
      </c>
      <c r="S247" s="1665">
        <v>0</v>
      </c>
      <c r="T247" s="1665">
        <v>185228.35</v>
      </c>
      <c r="U247" s="1665">
        <v>0</v>
      </c>
      <c r="V247" s="1665">
        <v>185228.35</v>
      </c>
      <c r="W247" s="1665">
        <v>0</v>
      </c>
      <c r="X247" s="1665">
        <v>0</v>
      </c>
      <c r="Y247" s="1668"/>
      <c r="Z247" s="1662"/>
      <c r="AA247" s="1665">
        <v>0</v>
      </c>
      <c r="AB247" s="1665">
        <v>0</v>
      </c>
      <c r="AC247" s="1680">
        <v>0</v>
      </c>
      <c r="AD247" s="1681"/>
      <c r="AE247" s="1679"/>
      <c r="AF247" s="1662"/>
      <c r="AG247" s="1666"/>
      <c r="AH247" s="1667">
        <v>22641.64</v>
      </c>
      <c r="AI247" s="1665">
        <v>22641.64</v>
      </c>
      <c r="AJ247" s="1665">
        <v>13990.36</v>
      </c>
      <c r="AK247" s="1698">
        <v>13990.36</v>
      </c>
      <c r="AL247" s="1665">
        <v>0</v>
      </c>
      <c r="AM247" s="1668"/>
      <c r="AN247" s="1665">
        <v>22641.64</v>
      </c>
      <c r="AO247" s="1665">
        <v>22641.64</v>
      </c>
      <c r="AP247" s="1665">
        <v>13990.36</v>
      </c>
      <c r="AQ247" s="1665">
        <v>13990.36</v>
      </c>
      <c r="AR247" s="1665">
        <v>0</v>
      </c>
      <c r="AS247" s="1665">
        <v>8651.2800000000007</v>
      </c>
      <c r="AT247" s="1665">
        <v>0</v>
      </c>
      <c r="AU247" s="1665">
        <v>8651.2800000000007</v>
      </c>
      <c r="AV247" s="1665">
        <v>0</v>
      </c>
      <c r="AW247" s="1665">
        <v>0</v>
      </c>
      <c r="AX247" s="1665">
        <v>0</v>
      </c>
      <c r="AY247" s="1665">
        <v>0</v>
      </c>
      <c r="AZ247" s="1665">
        <v>0</v>
      </c>
      <c r="BA247" s="1668"/>
      <c r="BB247" s="1668"/>
      <c r="BC247" s="1665">
        <v>0</v>
      </c>
      <c r="BD247" s="1665">
        <v>0</v>
      </c>
      <c r="BE247" s="1665">
        <v>22641.64</v>
      </c>
      <c r="BF247" s="1665">
        <v>22641.64</v>
      </c>
      <c r="BG247" s="1665">
        <v>13990.36</v>
      </c>
      <c r="BH247" s="1665">
        <v>13990.36</v>
      </c>
      <c r="BI247" s="1665">
        <v>0</v>
      </c>
      <c r="BJ247" s="1665">
        <v>8651.2800000000007</v>
      </c>
      <c r="BK247" s="1665">
        <v>0</v>
      </c>
      <c r="BL247" s="1665">
        <v>8651.2800000000007</v>
      </c>
      <c r="BM247" s="1665">
        <v>0</v>
      </c>
      <c r="BN247" s="1665">
        <v>0</v>
      </c>
      <c r="BO247" s="1668"/>
      <c r="BP247" s="1665">
        <v>0</v>
      </c>
      <c r="BQ247" s="1665">
        <v>0</v>
      </c>
      <c r="BR247" s="1665">
        <v>0</v>
      </c>
      <c r="BS247" s="1667">
        <v>0</v>
      </c>
      <c r="BT247" s="1665">
        <v>0</v>
      </c>
      <c r="BU247" s="1665">
        <v>0</v>
      </c>
      <c r="BV247" s="1665">
        <v>0</v>
      </c>
      <c r="BW247" s="1665">
        <v>0</v>
      </c>
      <c r="BX247" s="1665">
        <v>0</v>
      </c>
      <c r="BY247" s="1665">
        <v>0</v>
      </c>
      <c r="BZ247" s="1665">
        <v>0</v>
      </c>
      <c r="CA247" s="1665">
        <v>0</v>
      </c>
      <c r="CB247" s="1668"/>
      <c r="CC247" s="1668"/>
      <c r="CD247" s="1665">
        <v>0</v>
      </c>
      <c r="CE247" s="1665">
        <v>0</v>
      </c>
      <c r="CF247" s="1665">
        <v>0</v>
      </c>
      <c r="CG247" s="1665">
        <v>0</v>
      </c>
      <c r="CH247" s="1665">
        <v>0</v>
      </c>
      <c r="CI247" s="1665">
        <v>0</v>
      </c>
      <c r="CJ247" s="1665">
        <v>0</v>
      </c>
      <c r="CK247" s="1665">
        <v>0</v>
      </c>
      <c r="CL247" s="1668"/>
      <c r="CM247" s="1665">
        <v>0</v>
      </c>
      <c r="CN247" s="1665">
        <v>0</v>
      </c>
      <c r="CO247" s="1665">
        <v>0</v>
      </c>
      <c r="CP247" s="1665">
        <v>0</v>
      </c>
      <c r="CQ247" s="1665">
        <v>0</v>
      </c>
      <c r="CR247" s="1665">
        <v>0</v>
      </c>
      <c r="CS247" s="1665">
        <v>0</v>
      </c>
      <c r="CT247" s="1665">
        <v>0</v>
      </c>
      <c r="CU247" s="1665">
        <v>0</v>
      </c>
      <c r="CV247" s="1665">
        <v>0</v>
      </c>
      <c r="CW247" s="1668"/>
      <c r="CX247" s="1665">
        <v>0</v>
      </c>
      <c r="CY247" s="1665">
        <v>0</v>
      </c>
      <c r="CZ247" s="1665">
        <v>0</v>
      </c>
      <c r="DA247" s="1665">
        <v>0</v>
      </c>
      <c r="DB247" s="1668"/>
      <c r="DC247" s="1662"/>
      <c r="DD247" s="1665">
        <v>0</v>
      </c>
      <c r="DE247" s="1665">
        <v>0</v>
      </c>
      <c r="DF247" s="1665">
        <v>0</v>
      </c>
      <c r="DG247" s="1665">
        <v>0</v>
      </c>
      <c r="DH247" s="1665">
        <v>0</v>
      </c>
    </row>
    <row r="248" spans="1:112" ht="78.75" hidden="1" x14ac:dyDescent="0.25">
      <c r="A248" s="1662" t="s">
        <v>2304</v>
      </c>
      <c r="B248" s="1662" t="s">
        <v>1725</v>
      </c>
      <c r="C248" s="1662" t="s">
        <v>2633</v>
      </c>
      <c r="D248" s="1662" t="s">
        <v>2634</v>
      </c>
      <c r="E248" s="1662" t="s">
        <v>143</v>
      </c>
      <c r="F248" s="1662" t="s">
        <v>2627</v>
      </c>
      <c r="G248" s="1662" t="s">
        <v>2628</v>
      </c>
      <c r="H248" s="1662" t="s">
        <v>2613</v>
      </c>
      <c r="I248" s="1662" t="s">
        <v>1255</v>
      </c>
      <c r="J248" s="1662" t="s">
        <v>320</v>
      </c>
      <c r="K248" s="1662" t="s">
        <v>2117</v>
      </c>
      <c r="L248" s="1662" t="s">
        <v>2109</v>
      </c>
      <c r="M248" s="1663"/>
      <c r="N248" s="1663"/>
      <c r="O248" s="1663"/>
      <c r="P248" s="1663"/>
      <c r="Q248" s="1663"/>
      <c r="R248" s="1663"/>
      <c r="S248" s="1663"/>
      <c r="T248" s="1663"/>
      <c r="U248" s="1663"/>
      <c r="V248" s="1663"/>
      <c r="W248" s="1663"/>
      <c r="X248" s="1663"/>
      <c r="Y248" s="1664">
        <v>43300</v>
      </c>
      <c r="Z248" s="1662" t="s">
        <v>2110</v>
      </c>
      <c r="AA248" s="1665">
        <v>0</v>
      </c>
      <c r="AB248" s="1665">
        <v>0</v>
      </c>
      <c r="AC248" s="1680">
        <v>0</v>
      </c>
      <c r="AD248" s="1682">
        <v>43336</v>
      </c>
      <c r="AE248" s="1679" t="s">
        <v>2111</v>
      </c>
      <c r="AF248" s="1662" t="s">
        <v>2112</v>
      </c>
      <c r="AG248" s="1666"/>
      <c r="AH248" s="1667">
        <v>22641.64</v>
      </c>
      <c r="AI248" s="1665">
        <v>22641.64</v>
      </c>
      <c r="AJ248" s="1665">
        <v>13990.36</v>
      </c>
      <c r="AK248" s="1698">
        <v>13990.36</v>
      </c>
      <c r="AL248" s="1665">
        <v>0</v>
      </c>
      <c r="AM248" s="1664">
        <v>43336</v>
      </c>
      <c r="AN248" s="1665">
        <v>22641.64</v>
      </c>
      <c r="AO248" s="1665">
        <v>22641.64</v>
      </c>
      <c r="AP248" s="1665">
        <v>13990.36</v>
      </c>
      <c r="AQ248" s="1665">
        <v>13990.36</v>
      </c>
      <c r="AR248" s="1665">
        <v>0</v>
      </c>
      <c r="AS248" s="1665">
        <v>8651.2800000000007</v>
      </c>
      <c r="AT248" s="1665">
        <v>0</v>
      </c>
      <c r="AU248" s="1665">
        <v>8651.2800000000007</v>
      </c>
      <c r="AV248" s="1665">
        <v>0</v>
      </c>
      <c r="AW248" s="1665">
        <v>0</v>
      </c>
      <c r="AX248" s="1663"/>
      <c r="AY248" s="1663"/>
      <c r="AZ248" s="1663"/>
      <c r="BA248" s="1668"/>
      <c r="BB248" s="1668"/>
      <c r="BC248" s="1663"/>
      <c r="BD248" s="1663"/>
      <c r="BE248" s="1665">
        <v>22641.64</v>
      </c>
      <c r="BF248" s="1665">
        <v>22641.64</v>
      </c>
      <c r="BG248" s="1665">
        <v>13990.36</v>
      </c>
      <c r="BH248" s="1665">
        <v>13990.36</v>
      </c>
      <c r="BI248" s="1665">
        <v>0</v>
      </c>
      <c r="BJ248" s="1665">
        <v>8651.2800000000007</v>
      </c>
      <c r="BK248" s="1665">
        <v>0</v>
      </c>
      <c r="BL248" s="1665">
        <v>8651.2800000000007</v>
      </c>
      <c r="BM248" s="1665">
        <v>0</v>
      </c>
      <c r="BN248" s="1665">
        <v>0</v>
      </c>
      <c r="BO248" s="1668"/>
      <c r="BP248" s="1665">
        <v>0</v>
      </c>
      <c r="BQ248" s="1665">
        <v>0</v>
      </c>
      <c r="BR248" s="1665">
        <v>0</v>
      </c>
      <c r="BS248" s="1667">
        <v>0</v>
      </c>
      <c r="BT248" s="1665">
        <v>0</v>
      </c>
      <c r="BU248" s="1665">
        <v>0</v>
      </c>
      <c r="BV248" s="1665">
        <v>0</v>
      </c>
      <c r="BW248" s="1665">
        <v>0</v>
      </c>
      <c r="BX248" s="1665">
        <v>0</v>
      </c>
      <c r="BY248" s="1665">
        <v>0</v>
      </c>
      <c r="BZ248" s="1665">
        <v>0</v>
      </c>
      <c r="CA248" s="1663"/>
      <c r="CB248" s="1668"/>
      <c r="CC248" s="1668"/>
      <c r="CD248" s="1663"/>
      <c r="CE248" s="1663"/>
      <c r="CF248" s="1665">
        <v>0</v>
      </c>
      <c r="CG248" s="1665">
        <v>0</v>
      </c>
      <c r="CH248" s="1665">
        <v>0</v>
      </c>
      <c r="CI248" s="1665">
        <v>0</v>
      </c>
      <c r="CJ248" s="1665">
        <v>0</v>
      </c>
      <c r="CK248" s="1665">
        <v>0</v>
      </c>
      <c r="CL248" s="1668"/>
      <c r="CM248" s="1665">
        <v>0</v>
      </c>
      <c r="CN248" s="1665">
        <v>0</v>
      </c>
      <c r="CO248" s="1665">
        <v>0</v>
      </c>
      <c r="CP248" s="1665">
        <v>0</v>
      </c>
      <c r="CQ248" s="1665">
        <v>0</v>
      </c>
      <c r="CR248" s="1665">
        <v>0</v>
      </c>
      <c r="CS248" s="1665">
        <v>0</v>
      </c>
      <c r="CT248" s="1665">
        <v>0</v>
      </c>
      <c r="CU248" s="1665">
        <v>0</v>
      </c>
      <c r="CV248" s="1665">
        <v>0</v>
      </c>
      <c r="CW248" s="1668"/>
      <c r="CX248" s="1663"/>
      <c r="CY248" s="1663"/>
      <c r="CZ248" s="1663"/>
      <c r="DA248" s="1663"/>
      <c r="DB248" s="1668"/>
      <c r="DC248" s="1662"/>
      <c r="DD248" s="1665">
        <v>0</v>
      </c>
      <c r="DE248" s="1663"/>
      <c r="DF248" s="1663"/>
      <c r="DG248" s="1665">
        <v>0</v>
      </c>
      <c r="DH248" s="1665">
        <v>0</v>
      </c>
    </row>
    <row r="249" spans="1:112" hidden="1" x14ac:dyDescent="0.25">
      <c r="A249" s="1662" t="s">
        <v>2305</v>
      </c>
      <c r="B249" s="1662" t="s">
        <v>1727</v>
      </c>
      <c r="C249" s="1662"/>
      <c r="D249" s="1662"/>
      <c r="E249" s="1662"/>
      <c r="F249" s="1662"/>
      <c r="G249" s="1662"/>
      <c r="H249" s="1662"/>
      <c r="I249" s="1662"/>
      <c r="J249" s="1662"/>
      <c r="K249" s="1662"/>
      <c r="L249" s="1662"/>
      <c r="M249" s="1665">
        <v>7731940.4900000002</v>
      </c>
      <c r="N249" s="1665">
        <v>0</v>
      </c>
      <c r="O249" s="1665">
        <v>7731940.4900000002</v>
      </c>
      <c r="P249" s="1665">
        <v>7687106.79</v>
      </c>
      <c r="Q249" s="1665">
        <v>6772022.8700000001</v>
      </c>
      <c r="R249" s="1665">
        <v>6137189.5899999999</v>
      </c>
      <c r="S249" s="1665">
        <v>634833.28</v>
      </c>
      <c r="T249" s="1665">
        <v>959917.62</v>
      </c>
      <c r="U249" s="1665">
        <v>0</v>
      </c>
      <c r="V249" s="1665">
        <v>915083.92</v>
      </c>
      <c r="W249" s="1665">
        <v>0</v>
      </c>
      <c r="X249" s="1665">
        <v>44833.7</v>
      </c>
      <c r="Y249" s="1668"/>
      <c r="Z249" s="1662"/>
      <c r="AA249" s="1665">
        <v>46742.09</v>
      </c>
      <c r="AB249" s="1665">
        <v>46742.09</v>
      </c>
      <c r="AC249" s="1680">
        <v>0</v>
      </c>
      <c r="AD249" s="1681"/>
      <c r="AE249" s="1679"/>
      <c r="AF249" s="1662"/>
      <c r="AG249" s="1666"/>
      <c r="AH249" s="1667">
        <v>3516727.41</v>
      </c>
      <c r="AI249" s="1665">
        <v>3516727.41</v>
      </c>
      <c r="AJ249" s="1665">
        <v>2975204.65</v>
      </c>
      <c r="AK249" s="1698">
        <v>2801576.04</v>
      </c>
      <c r="AL249" s="1665">
        <v>173628.61</v>
      </c>
      <c r="AM249" s="1668"/>
      <c r="AN249" s="1665">
        <v>2517266.42</v>
      </c>
      <c r="AO249" s="1665">
        <v>2517266.42</v>
      </c>
      <c r="AP249" s="1665">
        <v>2023944.77</v>
      </c>
      <c r="AQ249" s="1665">
        <v>1929337.66</v>
      </c>
      <c r="AR249" s="1665">
        <v>94607.11</v>
      </c>
      <c r="AS249" s="1665">
        <v>493321.65</v>
      </c>
      <c r="AT249" s="1665">
        <v>0</v>
      </c>
      <c r="AU249" s="1665">
        <v>493321.65</v>
      </c>
      <c r="AV249" s="1665">
        <v>0</v>
      </c>
      <c r="AW249" s="1665">
        <v>0</v>
      </c>
      <c r="AX249" s="1665">
        <v>0</v>
      </c>
      <c r="AY249" s="1665">
        <v>0</v>
      </c>
      <c r="AZ249" s="1665">
        <v>0</v>
      </c>
      <c r="BA249" s="1668"/>
      <c r="BB249" s="1668"/>
      <c r="BC249" s="1665">
        <v>0</v>
      </c>
      <c r="BD249" s="1665">
        <v>0</v>
      </c>
      <c r="BE249" s="1665">
        <v>2517266.42</v>
      </c>
      <c r="BF249" s="1665">
        <v>2517266.42</v>
      </c>
      <c r="BG249" s="1665">
        <v>2023944.77</v>
      </c>
      <c r="BH249" s="1665">
        <v>1929337.66</v>
      </c>
      <c r="BI249" s="1665">
        <v>94607.11</v>
      </c>
      <c r="BJ249" s="1665">
        <v>493321.65</v>
      </c>
      <c r="BK249" s="1665">
        <v>0</v>
      </c>
      <c r="BL249" s="1665">
        <v>493321.65</v>
      </c>
      <c r="BM249" s="1665">
        <v>0</v>
      </c>
      <c r="BN249" s="1665">
        <v>0</v>
      </c>
      <c r="BO249" s="1668"/>
      <c r="BP249" s="1665">
        <v>2247616.31</v>
      </c>
      <c r="BQ249" s="1665">
        <v>2247616.31</v>
      </c>
      <c r="BR249" s="1665">
        <v>1792921.11</v>
      </c>
      <c r="BS249" s="1667">
        <v>1721322.27</v>
      </c>
      <c r="BT249" s="1665">
        <v>71598.84</v>
      </c>
      <c r="BU249" s="1665">
        <v>454695.2</v>
      </c>
      <c r="BV249" s="1665">
        <v>0</v>
      </c>
      <c r="BW249" s="1665">
        <v>23307.79</v>
      </c>
      <c r="BX249" s="1665">
        <v>0</v>
      </c>
      <c r="BY249" s="1665">
        <v>0</v>
      </c>
      <c r="BZ249" s="1665">
        <v>0</v>
      </c>
      <c r="CA249" s="1665">
        <v>0</v>
      </c>
      <c r="CB249" s="1668"/>
      <c r="CC249" s="1668"/>
      <c r="CD249" s="1665">
        <v>0</v>
      </c>
      <c r="CE249" s="1665">
        <v>0</v>
      </c>
      <c r="CF249" s="1665">
        <v>10485.23</v>
      </c>
      <c r="CG249" s="1665">
        <v>10485.23</v>
      </c>
      <c r="CH249" s="1665">
        <v>0</v>
      </c>
      <c r="CI249" s="1665">
        <v>0</v>
      </c>
      <c r="CJ249" s="1665">
        <v>81907.17</v>
      </c>
      <c r="CK249" s="1665">
        <v>81907.17</v>
      </c>
      <c r="CL249" s="1668"/>
      <c r="CM249" s="1665">
        <v>155359.06</v>
      </c>
      <c r="CN249" s="1665">
        <v>155359.06</v>
      </c>
      <c r="CO249" s="1665">
        <v>132051.26999999999</v>
      </c>
      <c r="CP249" s="1665">
        <v>132051.26999999999</v>
      </c>
      <c r="CQ249" s="1665">
        <v>0</v>
      </c>
      <c r="CR249" s="1665">
        <v>23307.79</v>
      </c>
      <c r="CS249" s="1665">
        <v>0</v>
      </c>
      <c r="CT249" s="1665">
        <v>23307.79</v>
      </c>
      <c r="CU249" s="1665">
        <v>0</v>
      </c>
      <c r="CV249" s="1665">
        <v>0</v>
      </c>
      <c r="CW249" s="1668"/>
      <c r="CX249" s="1665">
        <v>0</v>
      </c>
      <c r="CY249" s="1665">
        <v>0</v>
      </c>
      <c r="CZ249" s="1665">
        <v>155359.06</v>
      </c>
      <c r="DA249" s="1665">
        <v>155359.06</v>
      </c>
      <c r="DB249" s="1668"/>
      <c r="DC249" s="1662"/>
      <c r="DD249" s="1665">
        <v>0</v>
      </c>
      <c r="DE249" s="1665">
        <v>0</v>
      </c>
      <c r="DF249" s="1665">
        <v>0</v>
      </c>
      <c r="DG249" s="1665">
        <v>0</v>
      </c>
      <c r="DH249" s="1665">
        <v>0</v>
      </c>
    </row>
    <row r="250" spans="1:112" hidden="1" x14ac:dyDescent="0.25">
      <c r="A250" s="1662" t="s">
        <v>2306</v>
      </c>
      <c r="B250" s="1662" t="s">
        <v>1727</v>
      </c>
      <c r="C250" s="1662" t="s">
        <v>2636</v>
      </c>
      <c r="D250" s="1662"/>
      <c r="E250" s="1662"/>
      <c r="F250" s="1662"/>
      <c r="G250" s="1662"/>
      <c r="H250" s="1662"/>
      <c r="I250" s="1662"/>
      <c r="J250" s="1662"/>
      <c r="K250" s="1662"/>
      <c r="L250" s="1662"/>
      <c r="M250" s="1665">
        <v>4238690.67</v>
      </c>
      <c r="N250" s="1665">
        <v>0</v>
      </c>
      <c r="O250" s="1665">
        <v>4238690.67</v>
      </c>
      <c r="P250" s="1665">
        <v>4238690.67</v>
      </c>
      <c r="Q250" s="1665">
        <v>3428682.64</v>
      </c>
      <c r="R250" s="1665">
        <v>3406734.79</v>
      </c>
      <c r="S250" s="1665">
        <v>21947.85</v>
      </c>
      <c r="T250" s="1665">
        <v>810008.03</v>
      </c>
      <c r="U250" s="1665">
        <v>0</v>
      </c>
      <c r="V250" s="1665">
        <v>810008.03</v>
      </c>
      <c r="W250" s="1665">
        <v>0</v>
      </c>
      <c r="X250" s="1665">
        <v>0</v>
      </c>
      <c r="Y250" s="1668"/>
      <c r="Z250" s="1662"/>
      <c r="AA250" s="1665">
        <v>46742.09</v>
      </c>
      <c r="AB250" s="1665">
        <v>46742.09</v>
      </c>
      <c r="AC250" s="1680">
        <v>0</v>
      </c>
      <c r="AD250" s="1681"/>
      <c r="AE250" s="1679"/>
      <c r="AF250" s="1662"/>
      <c r="AG250" s="1666"/>
      <c r="AH250" s="1667">
        <v>2735709.19</v>
      </c>
      <c r="AI250" s="1665">
        <v>2735709.19</v>
      </c>
      <c r="AJ250" s="1665">
        <v>2198233.25</v>
      </c>
      <c r="AK250" s="1698">
        <v>2176441.67</v>
      </c>
      <c r="AL250" s="1665">
        <v>21791.58</v>
      </c>
      <c r="AM250" s="1668"/>
      <c r="AN250" s="1665">
        <v>2173816.14</v>
      </c>
      <c r="AO250" s="1665">
        <v>2173816.14</v>
      </c>
      <c r="AP250" s="1665">
        <v>1684541.31</v>
      </c>
      <c r="AQ250" s="1665">
        <v>1664002.08</v>
      </c>
      <c r="AR250" s="1665">
        <v>20539.23</v>
      </c>
      <c r="AS250" s="1665">
        <v>489274.83</v>
      </c>
      <c r="AT250" s="1665">
        <v>0</v>
      </c>
      <c r="AU250" s="1665">
        <v>489274.83</v>
      </c>
      <c r="AV250" s="1665">
        <v>0</v>
      </c>
      <c r="AW250" s="1665">
        <v>0</v>
      </c>
      <c r="AX250" s="1665">
        <v>0</v>
      </c>
      <c r="AY250" s="1665">
        <v>0</v>
      </c>
      <c r="AZ250" s="1665">
        <v>0</v>
      </c>
      <c r="BA250" s="1668"/>
      <c r="BB250" s="1668"/>
      <c r="BC250" s="1665">
        <v>0</v>
      </c>
      <c r="BD250" s="1665">
        <v>0</v>
      </c>
      <c r="BE250" s="1665">
        <v>2173816.14</v>
      </c>
      <c r="BF250" s="1665">
        <v>2173816.14</v>
      </c>
      <c r="BG250" s="1665">
        <v>1684541.31</v>
      </c>
      <c r="BH250" s="1665">
        <v>1664002.08</v>
      </c>
      <c r="BI250" s="1665">
        <v>20539.23</v>
      </c>
      <c r="BJ250" s="1665">
        <v>489274.83</v>
      </c>
      <c r="BK250" s="1665">
        <v>0</v>
      </c>
      <c r="BL250" s="1665">
        <v>489274.83</v>
      </c>
      <c r="BM250" s="1665">
        <v>0</v>
      </c>
      <c r="BN250" s="1665">
        <v>0</v>
      </c>
      <c r="BO250" s="1668"/>
      <c r="BP250" s="1665">
        <v>2012916.87</v>
      </c>
      <c r="BQ250" s="1665">
        <v>2012916.87</v>
      </c>
      <c r="BR250" s="1665">
        <v>1560712.87</v>
      </c>
      <c r="BS250" s="1667">
        <v>1540173.64</v>
      </c>
      <c r="BT250" s="1665">
        <v>20539.23</v>
      </c>
      <c r="BU250" s="1665">
        <v>452204</v>
      </c>
      <c r="BV250" s="1665">
        <v>0</v>
      </c>
      <c r="BW250" s="1665">
        <v>23307.79</v>
      </c>
      <c r="BX250" s="1665">
        <v>0</v>
      </c>
      <c r="BY250" s="1665">
        <v>0</v>
      </c>
      <c r="BZ250" s="1665">
        <v>0</v>
      </c>
      <c r="CA250" s="1665">
        <v>0</v>
      </c>
      <c r="CB250" s="1668"/>
      <c r="CC250" s="1668"/>
      <c r="CD250" s="1665">
        <v>0</v>
      </c>
      <c r="CE250" s="1665">
        <v>0</v>
      </c>
      <c r="CF250" s="1665">
        <v>0</v>
      </c>
      <c r="CG250" s="1665">
        <v>0</v>
      </c>
      <c r="CH250" s="1665">
        <v>0</v>
      </c>
      <c r="CI250" s="1665">
        <v>0</v>
      </c>
      <c r="CJ250" s="1665">
        <v>13417.65</v>
      </c>
      <c r="CK250" s="1665">
        <v>13417.65</v>
      </c>
      <c r="CL250" s="1668"/>
      <c r="CM250" s="1665">
        <v>155359.06</v>
      </c>
      <c r="CN250" s="1665">
        <v>155359.06</v>
      </c>
      <c r="CO250" s="1665">
        <v>132051.26999999999</v>
      </c>
      <c r="CP250" s="1665">
        <v>132051.26999999999</v>
      </c>
      <c r="CQ250" s="1665">
        <v>0</v>
      </c>
      <c r="CR250" s="1665">
        <v>23307.79</v>
      </c>
      <c r="CS250" s="1665">
        <v>0</v>
      </c>
      <c r="CT250" s="1665">
        <v>23307.79</v>
      </c>
      <c r="CU250" s="1665">
        <v>0</v>
      </c>
      <c r="CV250" s="1665">
        <v>0</v>
      </c>
      <c r="CW250" s="1668"/>
      <c r="CX250" s="1665">
        <v>0</v>
      </c>
      <c r="CY250" s="1665">
        <v>0</v>
      </c>
      <c r="CZ250" s="1665">
        <v>155359.06</v>
      </c>
      <c r="DA250" s="1665">
        <v>155359.06</v>
      </c>
      <c r="DB250" s="1668"/>
      <c r="DC250" s="1662"/>
      <c r="DD250" s="1665">
        <v>0</v>
      </c>
      <c r="DE250" s="1665">
        <v>0</v>
      </c>
      <c r="DF250" s="1665">
        <v>0</v>
      </c>
      <c r="DG250" s="1665">
        <v>0</v>
      </c>
      <c r="DH250" s="1665">
        <v>0</v>
      </c>
    </row>
    <row r="251" spans="1:112" hidden="1" x14ac:dyDescent="0.25">
      <c r="A251" s="1662" t="s">
        <v>2307</v>
      </c>
      <c r="B251" s="1662" t="s">
        <v>1727</v>
      </c>
      <c r="C251" s="1662" t="s">
        <v>2636</v>
      </c>
      <c r="D251" s="1662" t="s">
        <v>2637</v>
      </c>
      <c r="E251" s="1662"/>
      <c r="F251" s="1662"/>
      <c r="G251" s="1662"/>
      <c r="H251" s="1662"/>
      <c r="I251" s="1662"/>
      <c r="J251" s="1662"/>
      <c r="K251" s="1662"/>
      <c r="L251" s="1662"/>
      <c r="M251" s="1665">
        <v>1272489.55</v>
      </c>
      <c r="N251" s="1665">
        <v>0</v>
      </c>
      <c r="O251" s="1665">
        <v>1272489.55</v>
      </c>
      <c r="P251" s="1665">
        <v>1272489.55</v>
      </c>
      <c r="Q251" s="1665">
        <v>907709</v>
      </c>
      <c r="R251" s="1665">
        <v>885761.15</v>
      </c>
      <c r="S251" s="1665">
        <v>21947.85</v>
      </c>
      <c r="T251" s="1665">
        <v>364780.55</v>
      </c>
      <c r="U251" s="1665">
        <v>0</v>
      </c>
      <c r="V251" s="1665">
        <v>364780.55</v>
      </c>
      <c r="W251" s="1665">
        <v>0</v>
      </c>
      <c r="X251" s="1665">
        <v>0</v>
      </c>
      <c r="Y251" s="1668"/>
      <c r="Z251" s="1662"/>
      <c r="AA251" s="1665">
        <v>0</v>
      </c>
      <c r="AB251" s="1665">
        <v>0</v>
      </c>
      <c r="AC251" s="1680">
        <v>0</v>
      </c>
      <c r="AD251" s="1681"/>
      <c r="AE251" s="1679"/>
      <c r="AF251" s="1662"/>
      <c r="AG251" s="1666"/>
      <c r="AH251" s="1667">
        <v>776474.94</v>
      </c>
      <c r="AI251" s="1665">
        <v>776474.94</v>
      </c>
      <c r="AJ251" s="1665">
        <v>499634.96</v>
      </c>
      <c r="AK251" s="1698">
        <v>477843.38</v>
      </c>
      <c r="AL251" s="1665">
        <v>21791.58</v>
      </c>
      <c r="AM251" s="1668"/>
      <c r="AN251" s="1665">
        <v>748301.89</v>
      </c>
      <c r="AO251" s="1665">
        <v>748301.89</v>
      </c>
      <c r="AP251" s="1665">
        <v>472920.93</v>
      </c>
      <c r="AQ251" s="1665">
        <v>452381.7</v>
      </c>
      <c r="AR251" s="1665">
        <v>20539.23</v>
      </c>
      <c r="AS251" s="1665">
        <v>275380.96000000002</v>
      </c>
      <c r="AT251" s="1665">
        <v>0</v>
      </c>
      <c r="AU251" s="1665">
        <v>275380.96000000002</v>
      </c>
      <c r="AV251" s="1665">
        <v>0</v>
      </c>
      <c r="AW251" s="1665">
        <v>0</v>
      </c>
      <c r="AX251" s="1665">
        <v>0</v>
      </c>
      <c r="AY251" s="1665">
        <v>0</v>
      </c>
      <c r="AZ251" s="1665">
        <v>0</v>
      </c>
      <c r="BA251" s="1668"/>
      <c r="BB251" s="1668"/>
      <c r="BC251" s="1665">
        <v>0</v>
      </c>
      <c r="BD251" s="1665">
        <v>0</v>
      </c>
      <c r="BE251" s="1665">
        <v>748301.89</v>
      </c>
      <c r="BF251" s="1665">
        <v>748301.89</v>
      </c>
      <c r="BG251" s="1665">
        <v>472920.93</v>
      </c>
      <c r="BH251" s="1665">
        <v>452381.7</v>
      </c>
      <c r="BI251" s="1665">
        <v>20539.23</v>
      </c>
      <c r="BJ251" s="1665">
        <v>275380.96000000002</v>
      </c>
      <c r="BK251" s="1665">
        <v>0</v>
      </c>
      <c r="BL251" s="1665">
        <v>275380.96000000002</v>
      </c>
      <c r="BM251" s="1665">
        <v>0</v>
      </c>
      <c r="BN251" s="1665">
        <v>0</v>
      </c>
      <c r="BO251" s="1668"/>
      <c r="BP251" s="1665">
        <v>693031.65</v>
      </c>
      <c r="BQ251" s="1665">
        <v>693031.65</v>
      </c>
      <c r="BR251" s="1665">
        <v>438875.8</v>
      </c>
      <c r="BS251" s="1667">
        <v>418336.57</v>
      </c>
      <c r="BT251" s="1665">
        <v>20539.23</v>
      </c>
      <c r="BU251" s="1665">
        <v>254155.85</v>
      </c>
      <c r="BV251" s="1665">
        <v>0</v>
      </c>
      <c r="BW251" s="1665">
        <v>0</v>
      </c>
      <c r="BX251" s="1665">
        <v>0</v>
      </c>
      <c r="BY251" s="1665">
        <v>0</v>
      </c>
      <c r="BZ251" s="1665">
        <v>0</v>
      </c>
      <c r="CA251" s="1665">
        <v>0</v>
      </c>
      <c r="CB251" s="1668"/>
      <c r="CC251" s="1668"/>
      <c r="CD251" s="1665">
        <v>0</v>
      </c>
      <c r="CE251" s="1665">
        <v>0</v>
      </c>
      <c r="CF251" s="1665">
        <v>0</v>
      </c>
      <c r="CG251" s="1665">
        <v>0</v>
      </c>
      <c r="CH251" s="1665">
        <v>0</v>
      </c>
      <c r="CI251" s="1665">
        <v>0</v>
      </c>
      <c r="CJ251" s="1665">
        <v>3920.51</v>
      </c>
      <c r="CK251" s="1665">
        <v>3920.51</v>
      </c>
      <c r="CL251" s="1668"/>
      <c r="CM251" s="1665">
        <v>0</v>
      </c>
      <c r="CN251" s="1665">
        <v>0</v>
      </c>
      <c r="CO251" s="1665">
        <v>0</v>
      </c>
      <c r="CP251" s="1665">
        <v>0</v>
      </c>
      <c r="CQ251" s="1665">
        <v>0</v>
      </c>
      <c r="CR251" s="1665">
        <v>0</v>
      </c>
      <c r="CS251" s="1665">
        <v>0</v>
      </c>
      <c r="CT251" s="1665">
        <v>0</v>
      </c>
      <c r="CU251" s="1665">
        <v>0</v>
      </c>
      <c r="CV251" s="1665">
        <v>0</v>
      </c>
      <c r="CW251" s="1668"/>
      <c r="CX251" s="1665">
        <v>0</v>
      </c>
      <c r="CY251" s="1665">
        <v>0</v>
      </c>
      <c r="CZ251" s="1665">
        <v>0</v>
      </c>
      <c r="DA251" s="1665">
        <v>0</v>
      </c>
      <c r="DB251" s="1668"/>
      <c r="DC251" s="1662"/>
      <c r="DD251" s="1665">
        <v>0</v>
      </c>
      <c r="DE251" s="1665">
        <v>0</v>
      </c>
      <c r="DF251" s="1665">
        <v>0</v>
      </c>
      <c r="DG251" s="1665">
        <v>0</v>
      </c>
      <c r="DH251" s="1665">
        <v>0</v>
      </c>
    </row>
    <row r="252" spans="1:112" ht="22.5" hidden="1" x14ac:dyDescent="0.25">
      <c r="A252" s="1662" t="s">
        <v>2309</v>
      </c>
      <c r="B252" s="1662" t="s">
        <v>1727</v>
      </c>
      <c r="C252" s="1662" t="s">
        <v>2636</v>
      </c>
      <c r="D252" s="1662" t="s">
        <v>2637</v>
      </c>
      <c r="E252" s="1662" t="s">
        <v>2308</v>
      </c>
      <c r="F252" s="1662"/>
      <c r="G252" s="1662"/>
      <c r="H252" s="1662"/>
      <c r="I252" s="1662"/>
      <c r="J252" s="1662"/>
      <c r="K252" s="1662"/>
      <c r="L252" s="1662"/>
      <c r="M252" s="1665">
        <v>1272489.55</v>
      </c>
      <c r="N252" s="1665">
        <v>0</v>
      </c>
      <c r="O252" s="1665">
        <v>1272489.55</v>
      </c>
      <c r="P252" s="1665">
        <v>1272489.55</v>
      </c>
      <c r="Q252" s="1665">
        <v>907709</v>
      </c>
      <c r="R252" s="1665">
        <v>885761.15</v>
      </c>
      <c r="S252" s="1665">
        <v>21947.85</v>
      </c>
      <c r="T252" s="1665">
        <v>364780.55</v>
      </c>
      <c r="U252" s="1665">
        <v>0</v>
      </c>
      <c r="V252" s="1665">
        <v>364780.55</v>
      </c>
      <c r="W252" s="1665">
        <v>0</v>
      </c>
      <c r="X252" s="1665">
        <v>0</v>
      </c>
      <c r="Y252" s="1668"/>
      <c r="Z252" s="1662"/>
      <c r="AA252" s="1665">
        <v>0</v>
      </c>
      <c r="AB252" s="1665">
        <v>0</v>
      </c>
      <c r="AC252" s="1680">
        <v>0</v>
      </c>
      <c r="AD252" s="1681"/>
      <c r="AE252" s="1679"/>
      <c r="AF252" s="1662"/>
      <c r="AG252" s="1666"/>
      <c r="AH252" s="1667">
        <v>776474.94</v>
      </c>
      <c r="AI252" s="1665">
        <v>776474.94</v>
      </c>
      <c r="AJ252" s="1665">
        <v>499634.96</v>
      </c>
      <c r="AK252" s="1698">
        <v>477843.38</v>
      </c>
      <c r="AL252" s="1665">
        <v>21791.58</v>
      </c>
      <c r="AM252" s="1668"/>
      <c r="AN252" s="1665">
        <v>748301.89</v>
      </c>
      <c r="AO252" s="1665">
        <v>748301.89</v>
      </c>
      <c r="AP252" s="1665">
        <v>472920.93</v>
      </c>
      <c r="AQ252" s="1665">
        <v>452381.7</v>
      </c>
      <c r="AR252" s="1665">
        <v>20539.23</v>
      </c>
      <c r="AS252" s="1665">
        <v>275380.96000000002</v>
      </c>
      <c r="AT252" s="1665">
        <v>0</v>
      </c>
      <c r="AU252" s="1665">
        <v>275380.96000000002</v>
      </c>
      <c r="AV252" s="1665">
        <v>0</v>
      </c>
      <c r="AW252" s="1665">
        <v>0</v>
      </c>
      <c r="AX252" s="1665">
        <v>0</v>
      </c>
      <c r="AY252" s="1665">
        <v>0</v>
      </c>
      <c r="AZ252" s="1665">
        <v>0</v>
      </c>
      <c r="BA252" s="1668"/>
      <c r="BB252" s="1668"/>
      <c r="BC252" s="1665">
        <v>0</v>
      </c>
      <c r="BD252" s="1665">
        <v>0</v>
      </c>
      <c r="BE252" s="1665">
        <v>748301.89</v>
      </c>
      <c r="BF252" s="1665">
        <v>748301.89</v>
      </c>
      <c r="BG252" s="1665">
        <v>472920.93</v>
      </c>
      <c r="BH252" s="1665">
        <v>452381.7</v>
      </c>
      <c r="BI252" s="1665">
        <v>20539.23</v>
      </c>
      <c r="BJ252" s="1665">
        <v>275380.96000000002</v>
      </c>
      <c r="BK252" s="1665">
        <v>0</v>
      </c>
      <c r="BL252" s="1665">
        <v>275380.96000000002</v>
      </c>
      <c r="BM252" s="1665">
        <v>0</v>
      </c>
      <c r="BN252" s="1665">
        <v>0</v>
      </c>
      <c r="BO252" s="1668"/>
      <c r="BP252" s="1665">
        <v>693031.65</v>
      </c>
      <c r="BQ252" s="1665">
        <v>693031.65</v>
      </c>
      <c r="BR252" s="1665">
        <v>438875.8</v>
      </c>
      <c r="BS252" s="1667">
        <v>418336.57</v>
      </c>
      <c r="BT252" s="1665">
        <v>20539.23</v>
      </c>
      <c r="BU252" s="1665">
        <v>254155.85</v>
      </c>
      <c r="BV252" s="1665">
        <v>0</v>
      </c>
      <c r="BW252" s="1665">
        <v>0</v>
      </c>
      <c r="BX252" s="1665">
        <v>0</v>
      </c>
      <c r="BY252" s="1665">
        <v>0</v>
      </c>
      <c r="BZ252" s="1665">
        <v>0</v>
      </c>
      <c r="CA252" s="1665">
        <v>0</v>
      </c>
      <c r="CB252" s="1668"/>
      <c r="CC252" s="1668"/>
      <c r="CD252" s="1665">
        <v>0</v>
      </c>
      <c r="CE252" s="1665">
        <v>0</v>
      </c>
      <c r="CF252" s="1665">
        <v>0</v>
      </c>
      <c r="CG252" s="1665">
        <v>0</v>
      </c>
      <c r="CH252" s="1665">
        <v>0</v>
      </c>
      <c r="CI252" s="1665">
        <v>0</v>
      </c>
      <c r="CJ252" s="1665">
        <v>3920.51</v>
      </c>
      <c r="CK252" s="1665">
        <v>3920.51</v>
      </c>
      <c r="CL252" s="1668"/>
      <c r="CM252" s="1665">
        <v>0</v>
      </c>
      <c r="CN252" s="1665">
        <v>0</v>
      </c>
      <c r="CO252" s="1665">
        <v>0</v>
      </c>
      <c r="CP252" s="1665">
        <v>0</v>
      </c>
      <c r="CQ252" s="1665">
        <v>0</v>
      </c>
      <c r="CR252" s="1665">
        <v>0</v>
      </c>
      <c r="CS252" s="1665">
        <v>0</v>
      </c>
      <c r="CT252" s="1665">
        <v>0</v>
      </c>
      <c r="CU252" s="1665">
        <v>0</v>
      </c>
      <c r="CV252" s="1665">
        <v>0</v>
      </c>
      <c r="CW252" s="1668"/>
      <c r="CX252" s="1665">
        <v>0</v>
      </c>
      <c r="CY252" s="1665">
        <v>0</v>
      </c>
      <c r="CZ252" s="1665">
        <v>0</v>
      </c>
      <c r="DA252" s="1665">
        <v>0</v>
      </c>
      <c r="DB252" s="1668"/>
      <c r="DC252" s="1662"/>
      <c r="DD252" s="1665">
        <v>0</v>
      </c>
      <c r="DE252" s="1665">
        <v>0</v>
      </c>
      <c r="DF252" s="1665">
        <v>0</v>
      </c>
      <c r="DG252" s="1665">
        <v>0</v>
      </c>
      <c r="DH252" s="1665">
        <v>0</v>
      </c>
    </row>
    <row r="253" spans="1:112" ht="45" hidden="1" x14ac:dyDescent="0.25">
      <c r="A253" s="1662" t="s">
        <v>2310</v>
      </c>
      <c r="B253" s="1662" t="s">
        <v>1727</v>
      </c>
      <c r="C253" s="1662" t="s">
        <v>2636</v>
      </c>
      <c r="D253" s="1662" t="s">
        <v>2637</v>
      </c>
      <c r="E253" s="1662" t="s">
        <v>2308</v>
      </c>
      <c r="F253" s="1662" t="s">
        <v>2638</v>
      </c>
      <c r="G253" s="1662" t="s">
        <v>2628</v>
      </c>
      <c r="H253" s="1662" t="s">
        <v>2613</v>
      </c>
      <c r="I253" s="1662" t="s">
        <v>733</v>
      </c>
      <c r="J253" s="1662" t="s">
        <v>315</v>
      </c>
      <c r="K253" s="1662" t="s">
        <v>2159</v>
      </c>
      <c r="L253" s="1662" t="s">
        <v>2109</v>
      </c>
      <c r="M253" s="1665">
        <v>151437</v>
      </c>
      <c r="N253" s="1665">
        <v>0</v>
      </c>
      <c r="O253" s="1665">
        <v>151437</v>
      </c>
      <c r="P253" s="1665">
        <v>151437</v>
      </c>
      <c r="Q253" s="1665">
        <v>128721</v>
      </c>
      <c r="R253" s="1665">
        <v>128721</v>
      </c>
      <c r="S253" s="1665">
        <v>0</v>
      </c>
      <c r="T253" s="1665">
        <v>22716</v>
      </c>
      <c r="U253" s="1665">
        <v>0</v>
      </c>
      <c r="V253" s="1665">
        <v>22716</v>
      </c>
      <c r="W253" s="1665">
        <v>0</v>
      </c>
      <c r="X253" s="1665">
        <v>0</v>
      </c>
      <c r="Y253" s="1668"/>
      <c r="Z253" s="1662"/>
      <c r="AA253" s="1665">
        <v>0</v>
      </c>
      <c r="AB253" s="1665">
        <v>0</v>
      </c>
      <c r="AC253" s="1680">
        <v>0</v>
      </c>
      <c r="AD253" s="1681"/>
      <c r="AE253" s="1679"/>
      <c r="AF253" s="1662"/>
      <c r="AG253" s="1666"/>
      <c r="AH253" s="1667">
        <v>14514</v>
      </c>
      <c r="AI253" s="1665">
        <v>14514</v>
      </c>
      <c r="AJ253" s="1665">
        <v>13425.43</v>
      </c>
      <c r="AK253" s="1698">
        <v>13425.43</v>
      </c>
      <c r="AL253" s="1665">
        <v>0</v>
      </c>
      <c r="AM253" s="1668"/>
      <c r="AN253" s="1665">
        <v>7257</v>
      </c>
      <c r="AO253" s="1665">
        <v>7257</v>
      </c>
      <c r="AP253" s="1665">
        <v>6168.43</v>
      </c>
      <c r="AQ253" s="1665">
        <v>6168.43</v>
      </c>
      <c r="AR253" s="1665">
        <v>0</v>
      </c>
      <c r="AS253" s="1665">
        <v>1088.57</v>
      </c>
      <c r="AT253" s="1665">
        <v>0</v>
      </c>
      <c r="AU253" s="1665">
        <v>1088.57</v>
      </c>
      <c r="AV253" s="1665">
        <v>0</v>
      </c>
      <c r="AW253" s="1665">
        <v>0</v>
      </c>
      <c r="AX253" s="1665">
        <v>0</v>
      </c>
      <c r="AY253" s="1665">
        <v>0</v>
      </c>
      <c r="AZ253" s="1665">
        <v>0</v>
      </c>
      <c r="BA253" s="1668"/>
      <c r="BB253" s="1668"/>
      <c r="BC253" s="1665">
        <v>0</v>
      </c>
      <c r="BD253" s="1665">
        <v>0</v>
      </c>
      <c r="BE253" s="1665">
        <v>7257</v>
      </c>
      <c r="BF253" s="1665">
        <v>7257</v>
      </c>
      <c r="BG253" s="1665">
        <v>6168.43</v>
      </c>
      <c r="BH253" s="1665">
        <v>6168.43</v>
      </c>
      <c r="BI253" s="1665">
        <v>0</v>
      </c>
      <c r="BJ253" s="1665">
        <v>1088.57</v>
      </c>
      <c r="BK253" s="1665">
        <v>0</v>
      </c>
      <c r="BL253" s="1665">
        <v>1088.57</v>
      </c>
      <c r="BM253" s="1665">
        <v>0</v>
      </c>
      <c r="BN253" s="1665">
        <v>0</v>
      </c>
      <c r="BO253" s="1668"/>
      <c r="BP253" s="1665">
        <v>0</v>
      </c>
      <c r="BQ253" s="1665">
        <v>0</v>
      </c>
      <c r="BR253" s="1665">
        <v>0</v>
      </c>
      <c r="BS253" s="1667">
        <v>0</v>
      </c>
      <c r="BT253" s="1665">
        <v>0</v>
      </c>
      <c r="BU253" s="1665">
        <v>0</v>
      </c>
      <c r="BV253" s="1665">
        <v>0</v>
      </c>
      <c r="BW253" s="1665">
        <v>0</v>
      </c>
      <c r="BX253" s="1665">
        <v>0</v>
      </c>
      <c r="BY253" s="1665">
        <v>0</v>
      </c>
      <c r="BZ253" s="1665">
        <v>0</v>
      </c>
      <c r="CA253" s="1665">
        <v>0</v>
      </c>
      <c r="CB253" s="1668"/>
      <c r="CC253" s="1668"/>
      <c r="CD253" s="1665">
        <v>0</v>
      </c>
      <c r="CE253" s="1665">
        <v>0</v>
      </c>
      <c r="CF253" s="1665">
        <v>0</v>
      </c>
      <c r="CG253" s="1665">
        <v>0</v>
      </c>
      <c r="CH253" s="1665">
        <v>0</v>
      </c>
      <c r="CI253" s="1665">
        <v>0</v>
      </c>
      <c r="CJ253" s="1665">
        <v>0</v>
      </c>
      <c r="CK253" s="1665">
        <v>0</v>
      </c>
      <c r="CL253" s="1668"/>
      <c r="CM253" s="1665">
        <v>0</v>
      </c>
      <c r="CN253" s="1665">
        <v>0</v>
      </c>
      <c r="CO253" s="1665">
        <v>0</v>
      </c>
      <c r="CP253" s="1665">
        <v>0</v>
      </c>
      <c r="CQ253" s="1665">
        <v>0</v>
      </c>
      <c r="CR253" s="1665">
        <v>0</v>
      </c>
      <c r="CS253" s="1665">
        <v>0</v>
      </c>
      <c r="CT253" s="1665">
        <v>0</v>
      </c>
      <c r="CU253" s="1665">
        <v>0</v>
      </c>
      <c r="CV253" s="1665">
        <v>0</v>
      </c>
      <c r="CW253" s="1668"/>
      <c r="CX253" s="1665">
        <v>0</v>
      </c>
      <c r="CY253" s="1665">
        <v>0</v>
      </c>
      <c r="CZ253" s="1665">
        <v>0</v>
      </c>
      <c r="DA253" s="1665">
        <v>0</v>
      </c>
      <c r="DB253" s="1668"/>
      <c r="DC253" s="1662"/>
      <c r="DD253" s="1665">
        <v>0</v>
      </c>
      <c r="DE253" s="1665">
        <v>0</v>
      </c>
      <c r="DF253" s="1665">
        <v>0</v>
      </c>
      <c r="DG253" s="1665">
        <v>0</v>
      </c>
      <c r="DH253" s="1665">
        <v>0</v>
      </c>
    </row>
    <row r="254" spans="1:112" ht="45" hidden="1" x14ac:dyDescent="0.25">
      <c r="A254" s="1662" t="s">
        <v>2311</v>
      </c>
      <c r="B254" s="1662" t="s">
        <v>1727</v>
      </c>
      <c r="C254" s="1662" t="s">
        <v>2636</v>
      </c>
      <c r="D254" s="1662" t="s">
        <v>2637</v>
      </c>
      <c r="E254" s="1662" t="s">
        <v>2308</v>
      </c>
      <c r="F254" s="1662" t="s">
        <v>2638</v>
      </c>
      <c r="G254" s="1662" t="s">
        <v>2628</v>
      </c>
      <c r="H254" s="1662" t="s">
        <v>2613</v>
      </c>
      <c r="I254" s="1662" t="s">
        <v>733</v>
      </c>
      <c r="J254" s="1662" t="s">
        <v>315</v>
      </c>
      <c r="K254" s="1662" t="s">
        <v>2159</v>
      </c>
      <c r="L254" s="1662" t="s">
        <v>2109</v>
      </c>
      <c r="M254" s="1663"/>
      <c r="N254" s="1663"/>
      <c r="O254" s="1663"/>
      <c r="P254" s="1663"/>
      <c r="Q254" s="1663"/>
      <c r="R254" s="1663"/>
      <c r="S254" s="1663"/>
      <c r="T254" s="1663"/>
      <c r="U254" s="1663"/>
      <c r="V254" s="1663"/>
      <c r="W254" s="1663"/>
      <c r="X254" s="1663"/>
      <c r="Y254" s="1664">
        <v>42983</v>
      </c>
      <c r="Z254" s="1662" t="s">
        <v>2145</v>
      </c>
      <c r="AA254" s="1665">
        <v>0</v>
      </c>
      <c r="AB254" s="1665">
        <v>0</v>
      </c>
      <c r="AC254" s="1680">
        <v>0</v>
      </c>
      <c r="AD254" s="1682">
        <v>42993</v>
      </c>
      <c r="AE254" s="1679" t="s">
        <v>2111</v>
      </c>
      <c r="AF254" s="1662" t="s">
        <v>2112</v>
      </c>
      <c r="AG254" s="1666"/>
      <c r="AH254" s="1667">
        <v>7257</v>
      </c>
      <c r="AI254" s="1665">
        <v>7257</v>
      </c>
      <c r="AJ254" s="1665">
        <v>7257</v>
      </c>
      <c r="AK254" s="1698">
        <v>7257</v>
      </c>
      <c r="AL254" s="1665">
        <v>0</v>
      </c>
      <c r="AM254" s="1668"/>
      <c r="AN254" s="1665">
        <v>0</v>
      </c>
      <c r="AO254" s="1665">
        <v>0</v>
      </c>
      <c r="AP254" s="1665">
        <v>0</v>
      </c>
      <c r="AQ254" s="1665">
        <v>0</v>
      </c>
      <c r="AR254" s="1665">
        <v>0</v>
      </c>
      <c r="AS254" s="1665">
        <v>0</v>
      </c>
      <c r="AT254" s="1665">
        <v>0</v>
      </c>
      <c r="AU254" s="1665">
        <v>0</v>
      </c>
      <c r="AV254" s="1665">
        <v>0</v>
      </c>
      <c r="AW254" s="1665">
        <v>0</v>
      </c>
      <c r="AX254" s="1663"/>
      <c r="AY254" s="1663"/>
      <c r="AZ254" s="1663"/>
      <c r="BA254" s="1668"/>
      <c r="BB254" s="1668"/>
      <c r="BC254" s="1663"/>
      <c r="BD254" s="1663"/>
      <c r="BE254" s="1665">
        <v>0</v>
      </c>
      <c r="BF254" s="1665">
        <v>0</v>
      </c>
      <c r="BG254" s="1665">
        <v>0</v>
      </c>
      <c r="BH254" s="1665">
        <v>0</v>
      </c>
      <c r="BI254" s="1665">
        <v>0</v>
      </c>
      <c r="BJ254" s="1665">
        <v>0</v>
      </c>
      <c r="BK254" s="1665">
        <v>0</v>
      </c>
      <c r="BL254" s="1665">
        <v>0</v>
      </c>
      <c r="BM254" s="1665">
        <v>0</v>
      </c>
      <c r="BN254" s="1665">
        <v>0</v>
      </c>
      <c r="BO254" s="1668"/>
      <c r="BP254" s="1665">
        <v>0</v>
      </c>
      <c r="BQ254" s="1665">
        <v>0</v>
      </c>
      <c r="BR254" s="1665">
        <v>0</v>
      </c>
      <c r="BS254" s="1667">
        <v>0</v>
      </c>
      <c r="BT254" s="1665">
        <v>0</v>
      </c>
      <c r="BU254" s="1665">
        <v>0</v>
      </c>
      <c r="BV254" s="1665">
        <v>0</v>
      </c>
      <c r="BW254" s="1665">
        <v>0</v>
      </c>
      <c r="BX254" s="1665">
        <v>0</v>
      </c>
      <c r="BY254" s="1665">
        <v>0</v>
      </c>
      <c r="BZ254" s="1663"/>
      <c r="CA254" s="1663"/>
      <c r="CB254" s="1668"/>
      <c r="CC254" s="1668"/>
      <c r="CD254" s="1663"/>
      <c r="CE254" s="1663"/>
      <c r="CF254" s="1665">
        <v>0</v>
      </c>
      <c r="CG254" s="1665">
        <v>0</v>
      </c>
      <c r="CH254" s="1665">
        <v>0</v>
      </c>
      <c r="CI254" s="1665">
        <v>0</v>
      </c>
      <c r="CJ254" s="1665">
        <v>0</v>
      </c>
      <c r="CK254" s="1665">
        <v>0</v>
      </c>
      <c r="CL254" s="1668"/>
      <c r="CM254" s="1665">
        <v>0</v>
      </c>
      <c r="CN254" s="1665">
        <v>0</v>
      </c>
      <c r="CO254" s="1665">
        <v>0</v>
      </c>
      <c r="CP254" s="1665">
        <v>0</v>
      </c>
      <c r="CQ254" s="1665">
        <v>0</v>
      </c>
      <c r="CR254" s="1665">
        <v>0</v>
      </c>
      <c r="CS254" s="1665">
        <v>0</v>
      </c>
      <c r="CT254" s="1665">
        <v>0</v>
      </c>
      <c r="CU254" s="1665">
        <v>0</v>
      </c>
      <c r="CV254" s="1665">
        <v>0</v>
      </c>
      <c r="CW254" s="1668"/>
      <c r="CX254" s="1663"/>
      <c r="CY254" s="1663"/>
      <c r="CZ254" s="1663"/>
      <c r="DA254" s="1663"/>
      <c r="DB254" s="1668"/>
      <c r="DC254" s="1662"/>
      <c r="DD254" s="1665">
        <v>0</v>
      </c>
      <c r="DE254" s="1663"/>
      <c r="DF254" s="1663"/>
      <c r="DG254" s="1665">
        <v>0</v>
      </c>
      <c r="DH254" s="1665">
        <v>0</v>
      </c>
    </row>
    <row r="255" spans="1:112" ht="45" hidden="1" x14ac:dyDescent="0.25">
      <c r="A255" s="1662" t="s">
        <v>2312</v>
      </c>
      <c r="B255" s="1662" t="s">
        <v>1727</v>
      </c>
      <c r="C255" s="1662" t="s">
        <v>2636</v>
      </c>
      <c r="D255" s="1662" t="s">
        <v>2637</v>
      </c>
      <c r="E255" s="1662" t="s">
        <v>2308</v>
      </c>
      <c r="F255" s="1662" t="s">
        <v>2638</v>
      </c>
      <c r="G255" s="1662" t="s">
        <v>2628</v>
      </c>
      <c r="H255" s="1662" t="s">
        <v>2613</v>
      </c>
      <c r="I255" s="1662" t="s">
        <v>733</v>
      </c>
      <c r="J255" s="1662" t="s">
        <v>315</v>
      </c>
      <c r="K255" s="1662" t="s">
        <v>2159</v>
      </c>
      <c r="L255" s="1662" t="s">
        <v>2109</v>
      </c>
      <c r="M255" s="1663"/>
      <c r="N255" s="1663"/>
      <c r="O255" s="1663"/>
      <c r="P255" s="1663"/>
      <c r="Q255" s="1663"/>
      <c r="R255" s="1663"/>
      <c r="S255" s="1663"/>
      <c r="T255" s="1663"/>
      <c r="U255" s="1663"/>
      <c r="V255" s="1663"/>
      <c r="W255" s="1663"/>
      <c r="X255" s="1663"/>
      <c r="Y255" s="1664">
        <v>43293</v>
      </c>
      <c r="Z255" s="1662" t="s">
        <v>2110</v>
      </c>
      <c r="AA255" s="1665">
        <v>0</v>
      </c>
      <c r="AB255" s="1665">
        <v>0</v>
      </c>
      <c r="AC255" s="1680">
        <v>0</v>
      </c>
      <c r="AD255" s="1682">
        <v>43328</v>
      </c>
      <c r="AE255" s="1679" t="s">
        <v>2130</v>
      </c>
      <c r="AF255" s="1662" t="s">
        <v>2112</v>
      </c>
      <c r="AG255" s="1666"/>
      <c r="AH255" s="1667">
        <v>7257</v>
      </c>
      <c r="AI255" s="1665">
        <v>7257</v>
      </c>
      <c r="AJ255" s="1665">
        <v>6168.43</v>
      </c>
      <c r="AK255" s="1698">
        <v>6168.43</v>
      </c>
      <c r="AL255" s="1665">
        <v>0</v>
      </c>
      <c r="AM255" s="1664">
        <v>43328</v>
      </c>
      <c r="AN255" s="1665">
        <v>7257</v>
      </c>
      <c r="AO255" s="1665">
        <v>7257</v>
      </c>
      <c r="AP255" s="1665">
        <v>6168.43</v>
      </c>
      <c r="AQ255" s="1665">
        <v>6168.43</v>
      </c>
      <c r="AR255" s="1665">
        <v>0</v>
      </c>
      <c r="AS255" s="1665">
        <v>1088.57</v>
      </c>
      <c r="AT255" s="1665">
        <v>0</v>
      </c>
      <c r="AU255" s="1665">
        <v>1088.57</v>
      </c>
      <c r="AV255" s="1665">
        <v>0</v>
      </c>
      <c r="AW255" s="1665">
        <v>0</v>
      </c>
      <c r="AX255" s="1663"/>
      <c r="AY255" s="1663"/>
      <c r="AZ255" s="1663"/>
      <c r="BA255" s="1668"/>
      <c r="BB255" s="1668"/>
      <c r="BC255" s="1663"/>
      <c r="BD255" s="1663"/>
      <c r="BE255" s="1665">
        <v>7257</v>
      </c>
      <c r="BF255" s="1665">
        <v>7257</v>
      </c>
      <c r="BG255" s="1665">
        <v>6168.43</v>
      </c>
      <c r="BH255" s="1665">
        <v>6168.43</v>
      </c>
      <c r="BI255" s="1665">
        <v>0</v>
      </c>
      <c r="BJ255" s="1665">
        <v>1088.57</v>
      </c>
      <c r="BK255" s="1665">
        <v>0</v>
      </c>
      <c r="BL255" s="1665">
        <v>1088.57</v>
      </c>
      <c r="BM255" s="1665">
        <v>0</v>
      </c>
      <c r="BN255" s="1665">
        <v>0</v>
      </c>
      <c r="BO255" s="1668"/>
      <c r="BP255" s="1665">
        <v>0</v>
      </c>
      <c r="BQ255" s="1665">
        <v>0</v>
      </c>
      <c r="BR255" s="1665">
        <v>0</v>
      </c>
      <c r="BS255" s="1667">
        <v>0</v>
      </c>
      <c r="BT255" s="1665">
        <v>0</v>
      </c>
      <c r="BU255" s="1665">
        <v>0</v>
      </c>
      <c r="BV255" s="1665">
        <v>0</v>
      </c>
      <c r="BW255" s="1665">
        <v>0</v>
      </c>
      <c r="BX255" s="1665">
        <v>0</v>
      </c>
      <c r="BY255" s="1665">
        <v>0</v>
      </c>
      <c r="BZ255" s="1665">
        <v>0</v>
      </c>
      <c r="CA255" s="1663"/>
      <c r="CB255" s="1668"/>
      <c r="CC255" s="1668"/>
      <c r="CD255" s="1663"/>
      <c r="CE255" s="1663"/>
      <c r="CF255" s="1665">
        <v>0</v>
      </c>
      <c r="CG255" s="1665">
        <v>0</v>
      </c>
      <c r="CH255" s="1665">
        <v>0</v>
      </c>
      <c r="CI255" s="1665">
        <v>0</v>
      </c>
      <c r="CJ255" s="1665">
        <v>0</v>
      </c>
      <c r="CK255" s="1665">
        <v>0</v>
      </c>
      <c r="CL255" s="1668"/>
      <c r="CM255" s="1665">
        <v>0</v>
      </c>
      <c r="CN255" s="1665">
        <v>0</v>
      </c>
      <c r="CO255" s="1665">
        <v>0</v>
      </c>
      <c r="CP255" s="1665">
        <v>0</v>
      </c>
      <c r="CQ255" s="1665">
        <v>0</v>
      </c>
      <c r="CR255" s="1665">
        <v>0</v>
      </c>
      <c r="CS255" s="1665">
        <v>0</v>
      </c>
      <c r="CT255" s="1665">
        <v>0</v>
      </c>
      <c r="CU255" s="1665">
        <v>0</v>
      </c>
      <c r="CV255" s="1665">
        <v>0</v>
      </c>
      <c r="CW255" s="1668"/>
      <c r="CX255" s="1663"/>
      <c r="CY255" s="1663"/>
      <c r="CZ255" s="1663"/>
      <c r="DA255" s="1663"/>
      <c r="DB255" s="1668"/>
      <c r="DC255" s="1662"/>
      <c r="DD255" s="1665">
        <v>0</v>
      </c>
      <c r="DE255" s="1663"/>
      <c r="DF255" s="1663"/>
      <c r="DG255" s="1665">
        <v>0</v>
      </c>
      <c r="DH255" s="1665">
        <v>0</v>
      </c>
    </row>
    <row r="256" spans="1:112" ht="45" hidden="1" x14ac:dyDescent="0.25">
      <c r="A256" s="1662" t="s">
        <v>2313</v>
      </c>
      <c r="B256" s="1662" t="s">
        <v>1727</v>
      </c>
      <c r="C256" s="1662" t="s">
        <v>2636</v>
      </c>
      <c r="D256" s="1662" t="s">
        <v>2637</v>
      </c>
      <c r="E256" s="1662" t="s">
        <v>2308</v>
      </c>
      <c r="F256" s="1662" t="s">
        <v>2638</v>
      </c>
      <c r="G256" s="1662" t="s">
        <v>2628</v>
      </c>
      <c r="H256" s="1662" t="s">
        <v>2613</v>
      </c>
      <c r="I256" s="1662" t="s">
        <v>732</v>
      </c>
      <c r="J256" s="1662" t="s">
        <v>313</v>
      </c>
      <c r="K256" s="1662" t="s">
        <v>2108</v>
      </c>
      <c r="L256" s="1662" t="s">
        <v>2109</v>
      </c>
      <c r="M256" s="1665">
        <v>148480</v>
      </c>
      <c r="N256" s="1665">
        <v>0</v>
      </c>
      <c r="O256" s="1665">
        <v>148480</v>
      </c>
      <c r="P256" s="1665">
        <v>148480</v>
      </c>
      <c r="Q256" s="1665">
        <v>126208</v>
      </c>
      <c r="R256" s="1665">
        <v>126208</v>
      </c>
      <c r="S256" s="1665">
        <v>0</v>
      </c>
      <c r="T256" s="1665">
        <v>22272</v>
      </c>
      <c r="U256" s="1665">
        <v>0</v>
      </c>
      <c r="V256" s="1665">
        <v>22272</v>
      </c>
      <c r="W256" s="1665">
        <v>0</v>
      </c>
      <c r="X256" s="1665">
        <v>0</v>
      </c>
      <c r="Y256" s="1668"/>
      <c r="Z256" s="1662"/>
      <c r="AA256" s="1665">
        <v>0</v>
      </c>
      <c r="AB256" s="1665">
        <v>0</v>
      </c>
      <c r="AC256" s="1680">
        <v>0</v>
      </c>
      <c r="AD256" s="1681"/>
      <c r="AE256" s="1679"/>
      <c r="AF256" s="1662"/>
      <c r="AG256" s="1666"/>
      <c r="AH256" s="1667">
        <v>13639.25</v>
      </c>
      <c r="AI256" s="1665">
        <v>13639.25</v>
      </c>
      <c r="AJ256" s="1665">
        <v>12756.46</v>
      </c>
      <c r="AK256" s="1698">
        <v>12756.46</v>
      </c>
      <c r="AL256" s="1665">
        <v>0</v>
      </c>
      <c r="AM256" s="1668"/>
      <c r="AN256" s="1665">
        <v>5885.25</v>
      </c>
      <c r="AO256" s="1665">
        <v>5885.25</v>
      </c>
      <c r="AP256" s="1665">
        <v>5002.46</v>
      </c>
      <c r="AQ256" s="1665">
        <v>5002.46</v>
      </c>
      <c r="AR256" s="1665">
        <v>0</v>
      </c>
      <c r="AS256" s="1665">
        <v>882.79</v>
      </c>
      <c r="AT256" s="1665">
        <v>0</v>
      </c>
      <c r="AU256" s="1665">
        <v>882.79</v>
      </c>
      <c r="AV256" s="1665">
        <v>0</v>
      </c>
      <c r="AW256" s="1665">
        <v>0</v>
      </c>
      <c r="AX256" s="1665">
        <v>0</v>
      </c>
      <c r="AY256" s="1665">
        <v>0</v>
      </c>
      <c r="AZ256" s="1665">
        <v>0</v>
      </c>
      <c r="BA256" s="1668"/>
      <c r="BB256" s="1668"/>
      <c r="BC256" s="1665">
        <v>0</v>
      </c>
      <c r="BD256" s="1665">
        <v>0</v>
      </c>
      <c r="BE256" s="1665">
        <v>5885.25</v>
      </c>
      <c r="BF256" s="1665">
        <v>5885.25</v>
      </c>
      <c r="BG256" s="1665">
        <v>5002.46</v>
      </c>
      <c r="BH256" s="1665">
        <v>5002.46</v>
      </c>
      <c r="BI256" s="1665">
        <v>0</v>
      </c>
      <c r="BJ256" s="1665">
        <v>882.79</v>
      </c>
      <c r="BK256" s="1665">
        <v>0</v>
      </c>
      <c r="BL256" s="1665">
        <v>882.79</v>
      </c>
      <c r="BM256" s="1665">
        <v>0</v>
      </c>
      <c r="BN256" s="1665">
        <v>0</v>
      </c>
      <c r="BO256" s="1668"/>
      <c r="BP256" s="1665">
        <v>0</v>
      </c>
      <c r="BQ256" s="1665">
        <v>0</v>
      </c>
      <c r="BR256" s="1665">
        <v>0</v>
      </c>
      <c r="BS256" s="1667">
        <v>0</v>
      </c>
      <c r="BT256" s="1665">
        <v>0</v>
      </c>
      <c r="BU256" s="1665">
        <v>0</v>
      </c>
      <c r="BV256" s="1665">
        <v>0</v>
      </c>
      <c r="BW256" s="1665">
        <v>0</v>
      </c>
      <c r="BX256" s="1665">
        <v>0</v>
      </c>
      <c r="BY256" s="1665">
        <v>0</v>
      </c>
      <c r="BZ256" s="1665">
        <v>0</v>
      </c>
      <c r="CA256" s="1665">
        <v>0</v>
      </c>
      <c r="CB256" s="1668"/>
      <c r="CC256" s="1668"/>
      <c r="CD256" s="1665">
        <v>0</v>
      </c>
      <c r="CE256" s="1665">
        <v>0</v>
      </c>
      <c r="CF256" s="1665">
        <v>0</v>
      </c>
      <c r="CG256" s="1665">
        <v>0</v>
      </c>
      <c r="CH256" s="1665">
        <v>0</v>
      </c>
      <c r="CI256" s="1665">
        <v>0</v>
      </c>
      <c r="CJ256" s="1665">
        <v>0</v>
      </c>
      <c r="CK256" s="1665">
        <v>0</v>
      </c>
      <c r="CL256" s="1668"/>
      <c r="CM256" s="1665">
        <v>0</v>
      </c>
      <c r="CN256" s="1665">
        <v>0</v>
      </c>
      <c r="CO256" s="1665">
        <v>0</v>
      </c>
      <c r="CP256" s="1665">
        <v>0</v>
      </c>
      <c r="CQ256" s="1665">
        <v>0</v>
      </c>
      <c r="CR256" s="1665">
        <v>0</v>
      </c>
      <c r="CS256" s="1665">
        <v>0</v>
      </c>
      <c r="CT256" s="1665">
        <v>0</v>
      </c>
      <c r="CU256" s="1665">
        <v>0</v>
      </c>
      <c r="CV256" s="1665">
        <v>0</v>
      </c>
      <c r="CW256" s="1668"/>
      <c r="CX256" s="1665">
        <v>0</v>
      </c>
      <c r="CY256" s="1665">
        <v>0</v>
      </c>
      <c r="CZ256" s="1665">
        <v>0</v>
      </c>
      <c r="DA256" s="1665">
        <v>0</v>
      </c>
      <c r="DB256" s="1668"/>
      <c r="DC256" s="1662"/>
      <c r="DD256" s="1665">
        <v>0</v>
      </c>
      <c r="DE256" s="1665">
        <v>0</v>
      </c>
      <c r="DF256" s="1665">
        <v>0</v>
      </c>
      <c r="DG256" s="1665">
        <v>0</v>
      </c>
      <c r="DH256" s="1665">
        <v>0</v>
      </c>
    </row>
    <row r="257" spans="1:112" ht="45" hidden="1" x14ac:dyDescent="0.25">
      <c r="A257" s="1662" t="s">
        <v>2314</v>
      </c>
      <c r="B257" s="1662" t="s">
        <v>1727</v>
      </c>
      <c r="C257" s="1662" t="s">
        <v>2636</v>
      </c>
      <c r="D257" s="1662" t="s">
        <v>2637</v>
      </c>
      <c r="E257" s="1662" t="s">
        <v>2308</v>
      </c>
      <c r="F257" s="1662" t="s">
        <v>2638</v>
      </c>
      <c r="G257" s="1662" t="s">
        <v>2628</v>
      </c>
      <c r="H257" s="1662" t="s">
        <v>2613</v>
      </c>
      <c r="I257" s="1662" t="s">
        <v>732</v>
      </c>
      <c r="J257" s="1662" t="s">
        <v>313</v>
      </c>
      <c r="K257" s="1662" t="s">
        <v>2108</v>
      </c>
      <c r="L257" s="1662" t="s">
        <v>2109</v>
      </c>
      <c r="M257" s="1663"/>
      <c r="N257" s="1663"/>
      <c r="O257" s="1663"/>
      <c r="P257" s="1663"/>
      <c r="Q257" s="1663"/>
      <c r="R257" s="1663"/>
      <c r="S257" s="1663"/>
      <c r="T257" s="1663"/>
      <c r="U257" s="1663"/>
      <c r="V257" s="1663"/>
      <c r="W257" s="1663"/>
      <c r="X257" s="1663"/>
      <c r="Y257" s="1664">
        <v>42900</v>
      </c>
      <c r="Z257" s="1662" t="s">
        <v>2145</v>
      </c>
      <c r="AA257" s="1665">
        <v>0</v>
      </c>
      <c r="AB257" s="1665">
        <v>0</v>
      </c>
      <c r="AC257" s="1680">
        <v>0</v>
      </c>
      <c r="AD257" s="1682">
        <v>42900</v>
      </c>
      <c r="AE257" s="1679" t="s">
        <v>2122</v>
      </c>
      <c r="AF257" s="1662" t="s">
        <v>2112</v>
      </c>
      <c r="AG257" s="1666"/>
      <c r="AH257" s="1667">
        <v>0</v>
      </c>
      <c r="AI257" s="1665">
        <v>0</v>
      </c>
      <c r="AJ257" s="1665">
        <v>0</v>
      </c>
      <c r="AK257" s="1698">
        <v>0</v>
      </c>
      <c r="AL257" s="1665">
        <v>0</v>
      </c>
      <c r="AM257" s="1668"/>
      <c r="AN257" s="1665">
        <v>0</v>
      </c>
      <c r="AO257" s="1665">
        <v>0</v>
      </c>
      <c r="AP257" s="1665">
        <v>0</v>
      </c>
      <c r="AQ257" s="1665">
        <v>0</v>
      </c>
      <c r="AR257" s="1665">
        <v>0</v>
      </c>
      <c r="AS257" s="1665">
        <v>0</v>
      </c>
      <c r="AT257" s="1665">
        <v>0</v>
      </c>
      <c r="AU257" s="1665">
        <v>0</v>
      </c>
      <c r="AV257" s="1665">
        <v>0</v>
      </c>
      <c r="AW257" s="1665">
        <v>0</v>
      </c>
      <c r="AX257" s="1663"/>
      <c r="AY257" s="1663"/>
      <c r="AZ257" s="1663"/>
      <c r="BA257" s="1668"/>
      <c r="BB257" s="1668"/>
      <c r="BC257" s="1663"/>
      <c r="BD257" s="1663"/>
      <c r="BE257" s="1665">
        <v>0</v>
      </c>
      <c r="BF257" s="1665">
        <v>0</v>
      </c>
      <c r="BG257" s="1665">
        <v>0</v>
      </c>
      <c r="BH257" s="1665">
        <v>0</v>
      </c>
      <c r="BI257" s="1665">
        <v>0</v>
      </c>
      <c r="BJ257" s="1665">
        <v>0</v>
      </c>
      <c r="BK257" s="1665">
        <v>0</v>
      </c>
      <c r="BL257" s="1665">
        <v>0</v>
      </c>
      <c r="BM257" s="1665">
        <v>0</v>
      </c>
      <c r="BN257" s="1665">
        <v>0</v>
      </c>
      <c r="BO257" s="1668"/>
      <c r="BP257" s="1665">
        <v>0</v>
      </c>
      <c r="BQ257" s="1665">
        <v>0</v>
      </c>
      <c r="BR257" s="1665">
        <v>0</v>
      </c>
      <c r="BS257" s="1667">
        <v>0</v>
      </c>
      <c r="BT257" s="1665">
        <v>0</v>
      </c>
      <c r="BU257" s="1665">
        <v>0</v>
      </c>
      <c r="BV257" s="1665">
        <v>0</v>
      </c>
      <c r="BW257" s="1665">
        <v>0</v>
      </c>
      <c r="BX257" s="1665">
        <v>0</v>
      </c>
      <c r="BY257" s="1665">
        <v>0</v>
      </c>
      <c r="BZ257" s="1663"/>
      <c r="CA257" s="1663"/>
      <c r="CB257" s="1668"/>
      <c r="CC257" s="1668"/>
      <c r="CD257" s="1663"/>
      <c r="CE257" s="1663"/>
      <c r="CF257" s="1665">
        <v>0</v>
      </c>
      <c r="CG257" s="1665">
        <v>0</v>
      </c>
      <c r="CH257" s="1665">
        <v>0</v>
      </c>
      <c r="CI257" s="1665">
        <v>0</v>
      </c>
      <c r="CJ257" s="1665">
        <v>0</v>
      </c>
      <c r="CK257" s="1665">
        <v>0</v>
      </c>
      <c r="CL257" s="1668"/>
      <c r="CM257" s="1665">
        <v>0</v>
      </c>
      <c r="CN257" s="1665">
        <v>0</v>
      </c>
      <c r="CO257" s="1665">
        <v>0</v>
      </c>
      <c r="CP257" s="1665">
        <v>0</v>
      </c>
      <c r="CQ257" s="1665">
        <v>0</v>
      </c>
      <c r="CR257" s="1665">
        <v>0</v>
      </c>
      <c r="CS257" s="1665">
        <v>0</v>
      </c>
      <c r="CT257" s="1665">
        <v>0</v>
      </c>
      <c r="CU257" s="1665">
        <v>0</v>
      </c>
      <c r="CV257" s="1665">
        <v>0</v>
      </c>
      <c r="CW257" s="1668"/>
      <c r="CX257" s="1663"/>
      <c r="CY257" s="1663"/>
      <c r="CZ257" s="1663"/>
      <c r="DA257" s="1663"/>
      <c r="DB257" s="1668"/>
      <c r="DC257" s="1662"/>
      <c r="DD257" s="1665">
        <v>0</v>
      </c>
      <c r="DE257" s="1663"/>
      <c r="DF257" s="1663"/>
      <c r="DG257" s="1665">
        <v>0</v>
      </c>
      <c r="DH257" s="1665">
        <v>0</v>
      </c>
    </row>
    <row r="258" spans="1:112" ht="45" hidden="1" x14ac:dyDescent="0.25">
      <c r="A258" s="1662" t="s">
        <v>2315</v>
      </c>
      <c r="B258" s="1662" t="s">
        <v>1727</v>
      </c>
      <c r="C258" s="1662" t="s">
        <v>2636</v>
      </c>
      <c r="D258" s="1662" t="s">
        <v>2637</v>
      </c>
      <c r="E258" s="1662" t="s">
        <v>2308</v>
      </c>
      <c r="F258" s="1662" t="s">
        <v>2638</v>
      </c>
      <c r="G258" s="1662" t="s">
        <v>2628</v>
      </c>
      <c r="H258" s="1662" t="s">
        <v>2613</v>
      </c>
      <c r="I258" s="1662" t="s">
        <v>732</v>
      </c>
      <c r="J258" s="1662" t="s">
        <v>313</v>
      </c>
      <c r="K258" s="1662" t="s">
        <v>2108</v>
      </c>
      <c r="L258" s="1662" t="s">
        <v>2109</v>
      </c>
      <c r="M258" s="1663"/>
      <c r="N258" s="1663"/>
      <c r="O258" s="1663"/>
      <c r="P258" s="1663"/>
      <c r="Q258" s="1663"/>
      <c r="R258" s="1663"/>
      <c r="S258" s="1663"/>
      <c r="T258" s="1663"/>
      <c r="U258" s="1663"/>
      <c r="V258" s="1663"/>
      <c r="W258" s="1663"/>
      <c r="X258" s="1663"/>
      <c r="Y258" s="1664">
        <v>43165</v>
      </c>
      <c r="Z258" s="1662" t="s">
        <v>2145</v>
      </c>
      <c r="AA258" s="1665">
        <v>0</v>
      </c>
      <c r="AB258" s="1665">
        <v>0</v>
      </c>
      <c r="AC258" s="1680">
        <v>0</v>
      </c>
      <c r="AD258" s="1682">
        <v>43172</v>
      </c>
      <c r="AE258" s="1679" t="s">
        <v>2129</v>
      </c>
      <c r="AF258" s="1662" t="s">
        <v>2112</v>
      </c>
      <c r="AG258" s="1666"/>
      <c r="AH258" s="1667">
        <v>7754</v>
      </c>
      <c r="AI258" s="1665">
        <v>7754</v>
      </c>
      <c r="AJ258" s="1665">
        <v>7754</v>
      </c>
      <c r="AK258" s="1698">
        <v>7754</v>
      </c>
      <c r="AL258" s="1665">
        <v>0</v>
      </c>
      <c r="AM258" s="1668"/>
      <c r="AN258" s="1665">
        <v>0</v>
      </c>
      <c r="AO258" s="1665">
        <v>0</v>
      </c>
      <c r="AP258" s="1665">
        <v>0</v>
      </c>
      <c r="AQ258" s="1665">
        <v>0</v>
      </c>
      <c r="AR258" s="1665">
        <v>0</v>
      </c>
      <c r="AS258" s="1665">
        <v>0</v>
      </c>
      <c r="AT258" s="1665">
        <v>0</v>
      </c>
      <c r="AU258" s="1665">
        <v>0</v>
      </c>
      <c r="AV258" s="1665">
        <v>0</v>
      </c>
      <c r="AW258" s="1665">
        <v>0</v>
      </c>
      <c r="AX258" s="1663"/>
      <c r="AY258" s="1663"/>
      <c r="AZ258" s="1663"/>
      <c r="BA258" s="1668"/>
      <c r="BB258" s="1668"/>
      <c r="BC258" s="1663"/>
      <c r="BD258" s="1663"/>
      <c r="BE258" s="1665">
        <v>0</v>
      </c>
      <c r="BF258" s="1665">
        <v>0</v>
      </c>
      <c r="BG258" s="1665">
        <v>0</v>
      </c>
      <c r="BH258" s="1665">
        <v>0</v>
      </c>
      <c r="BI258" s="1665">
        <v>0</v>
      </c>
      <c r="BJ258" s="1665">
        <v>0</v>
      </c>
      <c r="BK258" s="1665">
        <v>0</v>
      </c>
      <c r="BL258" s="1665">
        <v>0</v>
      </c>
      <c r="BM258" s="1665">
        <v>0</v>
      </c>
      <c r="BN258" s="1665">
        <v>0</v>
      </c>
      <c r="BO258" s="1668"/>
      <c r="BP258" s="1665">
        <v>0</v>
      </c>
      <c r="BQ258" s="1665">
        <v>0</v>
      </c>
      <c r="BR258" s="1665">
        <v>0</v>
      </c>
      <c r="BS258" s="1667">
        <v>0</v>
      </c>
      <c r="BT258" s="1665">
        <v>0</v>
      </c>
      <c r="BU258" s="1665">
        <v>0</v>
      </c>
      <c r="BV258" s="1665">
        <v>0</v>
      </c>
      <c r="BW258" s="1665">
        <v>0</v>
      </c>
      <c r="BX258" s="1665">
        <v>0</v>
      </c>
      <c r="BY258" s="1665">
        <v>0</v>
      </c>
      <c r="BZ258" s="1663"/>
      <c r="CA258" s="1663"/>
      <c r="CB258" s="1668"/>
      <c r="CC258" s="1668"/>
      <c r="CD258" s="1663"/>
      <c r="CE258" s="1663"/>
      <c r="CF258" s="1665">
        <v>0</v>
      </c>
      <c r="CG258" s="1665">
        <v>0</v>
      </c>
      <c r="CH258" s="1665">
        <v>0</v>
      </c>
      <c r="CI258" s="1665">
        <v>0</v>
      </c>
      <c r="CJ258" s="1665">
        <v>0</v>
      </c>
      <c r="CK258" s="1665">
        <v>0</v>
      </c>
      <c r="CL258" s="1668"/>
      <c r="CM258" s="1665">
        <v>0</v>
      </c>
      <c r="CN258" s="1665">
        <v>0</v>
      </c>
      <c r="CO258" s="1665">
        <v>0</v>
      </c>
      <c r="CP258" s="1665">
        <v>0</v>
      </c>
      <c r="CQ258" s="1665">
        <v>0</v>
      </c>
      <c r="CR258" s="1665">
        <v>0</v>
      </c>
      <c r="CS258" s="1665">
        <v>0</v>
      </c>
      <c r="CT258" s="1665">
        <v>0</v>
      </c>
      <c r="CU258" s="1665">
        <v>0</v>
      </c>
      <c r="CV258" s="1665">
        <v>0</v>
      </c>
      <c r="CW258" s="1668"/>
      <c r="CX258" s="1663"/>
      <c r="CY258" s="1663"/>
      <c r="CZ258" s="1663"/>
      <c r="DA258" s="1663"/>
      <c r="DB258" s="1668"/>
      <c r="DC258" s="1662"/>
      <c r="DD258" s="1665">
        <v>0</v>
      </c>
      <c r="DE258" s="1663"/>
      <c r="DF258" s="1663"/>
      <c r="DG258" s="1665">
        <v>0</v>
      </c>
      <c r="DH258" s="1665">
        <v>0</v>
      </c>
    </row>
    <row r="259" spans="1:112" ht="45" hidden="1" x14ac:dyDescent="0.25">
      <c r="A259" s="1662" t="s">
        <v>2316</v>
      </c>
      <c r="B259" s="1662" t="s">
        <v>1727</v>
      </c>
      <c r="C259" s="1662" t="s">
        <v>2636</v>
      </c>
      <c r="D259" s="1662" t="s">
        <v>2637</v>
      </c>
      <c r="E259" s="1662" t="s">
        <v>2308</v>
      </c>
      <c r="F259" s="1662" t="s">
        <v>2638</v>
      </c>
      <c r="G259" s="1662" t="s">
        <v>2628</v>
      </c>
      <c r="H259" s="1662" t="s">
        <v>2613</v>
      </c>
      <c r="I259" s="1662" t="s">
        <v>732</v>
      </c>
      <c r="J259" s="1662" t="s">
        <v>313</v>
      </c>
      <c r="K259" s="1662" t="s">
        <v>2108</v>
      </c>
      <c r="L259" s="1662" t="s">
        <v>2109</v>
      </c>
      <c r="M259" s="1663"/>
      <c r="N259" s="1663"/>
      <c r="O259" s="1663"/>
      <c r="P259" s="1663"/>
      <c r="Q259" s="1663"/>
      <c r="R259" s="1663"/>
      <c r="S259" s="1663"/>
      <c r="T259" s="1663"/>
      <c r="U259" s="1663"/>
      <c r="V259" s="1663"/>
      <c r="W259" s="1663"/>
      <c r="X259" s="1663"/>
      <c r="Y259" s="1664">
        <v>43279</v>
      </c>
      <c r="Z259" s="1662" t="s">
        <v>2110</v>
      </c>
      <c r="AA259" s="1665">
        <v>0</v>
      </c>
      <c r="AB259" s="1665">
        <v>0</v>
      </c>
      <c r="AC259" s="1680">
        <v>0</v>
      </c>
      <c r="AD259" s="1682">
        <v>43319</v>
      </c>
      <c r="AE259" s="1679" t="s">
        <v>2137</v>
      </c>
      <c r="AF259" s="1662" t="s">
        <v>2112</v>
      </c>
      <c r="AG259" s="1666"/>
      <c r="AH259" s="1667">
        <v>5885.25</v>
      </c>
      <c r="AI259" s="1665">
        <v>5885.25</v>
      </c>
      <c r="AJ259" s="1665">
        <v>5002.46</v>
      </c>
      <c r="AK259" s="1698">
        <v>5002.46</v>
      </c>
      <c r="AL259" s="1665">
        <v>0</v>
      </c>
      <c r="AM259" s="1664">
        <v>43319</v>
      </c>
      <c r="AN259" s="1665">
        <v>5885.25</v>
      </c>
      <c r="AO259" s="1665">
        <v>5885.25</v>
      </c>
      <c r="AP259" s="1665">
        <v>5002.46</v>
      </c>
      <c r="AQ259" s="1665">
        <v>5002.46</v>
      </c>
      <c r="AR259" s="1665">
        <v>0</v>
      </c>
      <c r="AS259" s="1665">
        <v>882.79</v>
      </c>
      <c r="AT259" s="1665">
        <v>0</v>
      </c>
      <c r="AU259" s="1665">
        <v>882.79</v>
      </c>
      <c r="AV259" s="1665">
        <v>0</v>
      </c>
      <c r="AW259" s="1665">
        <v>0</v>
      </c>
      <c r="AX259" s="1663"/>
      <c r="AY259" s="1663"/>
      <c r="AZ259" s="1663"/>
      <c r="BA259" s="1668"/>
      <c r="BB259" s="1668"/>
      <c r="BC259" s="1663"/>
      <c r="BD259" s="1663"/>
      <c r="BE259" s="1665">
        <v>5885.25</v>
      </c>
      <c r="BF259" s="1665">
        <v>5885.25</v>
      </c>
      <c r="BG259" s="1665">
        <v>5002.46</v>
      </c>
      <c r="BH259" s="1665">
        <v>5002.46</v>
      </c>
      <c r="BI259" s="1665">
        <v>0</v>
      </c>
      <c r="BJ259" s="1665">
        <v>882.79</v>
      </c>
      <c r="BK259" s="1665">
        <v>0</v>
      </c>
      <c r="BL259" s="1665">
        <v>882.79</v>
      </c>
      <c r="BM259" s="1665">
        <v>0</v>
      </c>
      <c r="BN259" s="1665">
        <v>0</v>
      </c>
      <c r="BO259" s="1668"/>
      <c r="BP259" s="1665">
        <v>0</v>
      </c>
      <c r="BQ259" s="1665">
        <v>0</v>
      </c>
      <c r="BR259" s="1665">
        <v>0</v>
      </c>
      <c r="BS259" s="1667">
        <v>0</v>
      </c>
      <c r="BT259" s="1665">
        <v>0</v>
      </c>
      <c r="BU259" s="1665">
        <v>0</v>
      </c>
      <c r="BV259" s="1665">
        <v>0</v>
      </c>
      <c r="BW259" s="1665">
        <v>0</v>
      </c>
      <c r="BX259" s="1665">
        <v>0</v>
      </c>
      <c r="BY259" s="1665">
        <v>0</v>
      </c>
      <c r="BZ259" s="1665">
        <v>0</v>
      </c>
      <c r="CA259" s="1663"/>
      <c r="CB259" s="1668"/>
      <c r="CC259" s="1668"/>
      <c r="CD259" s="1663"/>
      <c r="CE259" s="1663"/>
      <c r="CF259" s="1665">
        <v>0</v>
      </c>
      <c r="CG259" s="1665">
        <v>0</v>
      </c>
      <c r="CH259" s="1665">
        <v>0</v>
      </c>
      <c r="CI259" s="1665">
        <v>0</v>
      </c>
      <c r="CJ259" s="1665">
        <v>0</v>
      </c>
      <c r="CK259" s="1665">
        <v>0</v>
      </c>
      <c r="CL259" s="1668"/>
      <c r="CM259" s="1665">
        <v>0</v>
      </c>
      <c r="CN259" s="1665">
        <v>0</v>
      </c>
      <c r="CO259" s="1665">
        <v>0</v>
      </c>
      <c r="CP259" s="1665">
        <v>0</v>
      </c>
      <c r="CQ259" s="1665">
        <v>0</v>
      </c>
      <c r="CR259" s="1665">
        <v>0</v>
      </c>
      <c r="CS259" s="1665">
        <v>0</v>
      </c>
      <c r="CT259" s="1665">
        <v>0</v>
      </c>
      <c r="CU259" s="1665">
        <v>0</v>
      </c>
      <c r="CV259" s="1665">
        <v>0</v>
      </c>
      <c r="CW259" s="1668"/>
      <c r="CX259" s="1663"/>
      <c r="CY259" s="1663"/>
      <c r="CZ259" s="1663"/>
      <c r="DA259" s="1663"/>
      <c r="DB259" s="1668"/>
      <c r="DC259" s="1662"/>
      <c r="DD259" s="1665">
        <v>0</v>
      </c>
      <c r="DE259" s="1663"/>
      <c r="DF259" s="1663"/>
      <c r="DG259" s="1665">
        <v>0</v>
      </c>
      <c r="DH259" s="1665">
        <v>0</v>
      </c>
    </row>
    <row r="260" spans="1:112" ht="67.5" hidden="1" x14ac:dyDescent="0.25">
      <c r="A260" s="1662" t="s">
        <v>2318</v>
      </c>
      <c r="B260" s="1662" t="s">
        <v>1727</v>
      </c>
      <c r="C260" s="1662" t="s">
        <v>2636</v>
      </c>
      <c r="D260" s="1662" t="s">
        <v>2637</v>
      </c>
      <c r="E260" s="1662" t="s">
        <v>2308</v>
      </c>
      <c r="F260" s="1662" t="s">
        <v>2638</v>
      </c>
      <c r="G260" s="1662" t="s">
        <v>2628</v>
      </c>
      <c r="H260" s="1662" t="s">
        <v>2613</v>
      </c>
      <c r="I260" s="1662" t="s">
        <v>734</v>
      </c>
      <c r="J260" s="1662" t="s">
        <v>316</v>
      </c>
      <c r="K260" s="1662" t="s">
        <v>2317</v>
      </c>
      <c r="L260" s="1662" t="s">
        <v>2109</v>
      </c>
      <c r="M260" s="1665">
        <v>146319</v>
      </c>
      <c r="N260" s="1665">
        <v>0</v>
      </c>
      <c r="O260" s="1665">
        <v>146319</v>
      </c>
      <c r="P260" s="1665">
        <v>146319</v>
      </c>
      <c r="Q260" s="1665">
        <v>146319</v>
      </c>
      <c r="R260" s="1665">
        <v>124371.15</v>
      </c>
      <c r="S260" s="1665">
        <v>21947.85</v>
      </c>
      <c r="T260" s="1665">
        <v>0</v>
      </c>
      <c r="U260" s="1665">
        <v>0</v>
      </c>
      <c r="V260" s="1665">
        <v>0</v>
      </c>
      <c r="W260" s="1665">
        <v>0</v>
      </c>
      <c r="X260" s="1665">
        <v>0</v>
      </c>
      <c r="Y260" s="1668"/>
      <c r="Z260" s="1662"/>
      <c r="AA260" s="1665">
        <v>0</v>
      </c>
      <c r="AB260" s="1665">
        <v>0</v>
      </c>
      <c r="AC260" s="1680">
        <v>0</v>
      </c>
      <c r="AD260" s="1681"/>
      <c r="AE260" s="1679"/>
      <c r="AF260" s="1662"/>
      <c r="AG260" s="1666"/>
      <c r="AH260" s="1667">
        <v>145277.17000000001</v>
      </c>
      <c r="AI260" s="1665">
        <v>145277.17000000001</v>
      </c>
      <c r="AJ260" s="1665">
        <v>145277.17000000001</v>
      </c>
      <c r="AK260" s="1698">
        <v>123485.59</v>
      </c>
      <c r="AL260" s="1665">
        <v>21791.58</v>
      </c>
      <c r="AM260" s="1668"/>
      <c r="AN260" s="1665">
        <v>136928.17000000001</v>
      </c>
      <c r="AO260" s="1665">
        <v>136928.17000000001</v>
      </c>
      <c r="AP260" s="1665">
        <v>136928.17000000001</v>
      </c>
      <c r="AQ260" s="1665">
        <v>116388.94</v>
      </c>
      <c r="AR260" s="1665">
        <v>20539.23</v>
      </c>
      <c r="AS260" s="1665">
        <v>0</v>
      </c>
      <c r="AT260" s="1665">
        <v>0</v>
      </c>
      <c r="AU260" s="1665">
        <v>0</v>
      </c>
      <c r="AV260" s="1665">
        <v>0</v>
      </c>
      <c r="AW260" s="1665">
        <v>0</v>
      </c>
      <c r="AX260" s="1665">
        <v>0</v>
      </c>
      <c r="AY260" s="1665">
        <v>0</v>
      </c>
      <c r="AZ260" s="1665">
        <v>0</v>
      </c>
      <c r="BA260" s="1668"/>
      <c r="BB260" s="1668"/>
      <c r="BC260" s="1665">
        <v>0</v>
      </c>
      <c r="BD260" s="1665">
        <v>0</v>
      </c>
      <c r="BE260" s="1665">
        <v>136928.17000000001</v>
      </c>
      <c r="BF260" s="1665">
        <v>136928.17000000001</v>
      </c>
      <c r="BG260" s="1665">
        <v>136928.17000000001</v>
      </c>
      <c r="BH260" s="1665">
        <v>116388.94</v>
      </c>
      <c r="BI260" s="1665">
        <v>20539.23</v>
      </c>
      <c r="BJ260" s="1665">
        <v>0</v>
      </c>
      <c r="BK260" s="1665">
        <v>0</v>
      </c>
      <c r="BL260" s="1665">
        <v>0</v>
      </c>
      <c r="BM260" s="1665">
        <v>0</v>
      </c>
      <c r="BN260" s="1665">
        <v>0</v>
      </c>
      <c r="BO260" s="1668"/>
      <c r="BP260" s="1665">
        <v>136928.17000000001</v>
      </c>
      <c r="BQ260" s="1665">
        <v>136928.17000000001</v>
      </c>
      <c r="BR260" s="1665">
        <v>136928.17000000001</v>
      </c>
      <c r="BS260" s="1667">
        <v>116388.94</v>
      </c>
      <c r="BT260" s="1665">
        <v>20539.23</v>
      </c>
      <c r="BU260" s="1665">
        <v>0</v>
      </c>
      <c r="BV260" s="1665">
        <v>0</v>
      </c>
      <c r="BW260" s="1665">
        <v>0</v>
      </c>
      <c r="BX260" s="1665">
        <v>0</v>
      </c>
      <c r="BY260" s="1665">
        <v>0</v>
      </c>
      <c r="BZ260" s="1665">
        <v>0</v>
      </c>
      <c r="CA260" s="1665">
        <v>0</v>
      </c>
      <c r="CB260" s="1668"/>
      <c r="CC260" s="1668"/>
      <c r="CD260" s="1665">
        <v>0</v>
      </c>
      <c r="CE260" s="1665">
        <v>0</v>
      </c>
      <c r="CF260" s="1665">
        <v>0</v>
      </c>
      <c r="CG260" s="1665">
        <v>0</v>
      </c>
      <c r="CH260" s="1665">
        <v>0</v>
      </c>
      <c r="CI260" s="1665">
        <v>0</v>
      </c>
      <c r="CJ260" s="1665">
        <v>0</v>
      </c>
      <c r="CK260" s="1665">
        <v>0</v>
      </c>
      <c r="CL260" s="1668"/>
      <c r="CM260" s="1665">
        <v>0</v>
      </c>
      <c r="CN260" s="1665">
        <v>0</v>
      </c>
      <c r="CO260" s="1665">
        <v>0</v>
      </c>
      <c r="CP260" s="1665">
        <v>0</v>
      </c>
      <c r="CQ260" s="1665">
        <v>0</v>
      </c>
      <c r="CR260" s="1665">
        <v>0</v>
      </c>
      <c r="CS260" s="1665">
        <v>0</v>
      </c>
      <c r="CT260" s="1665">
        <v>0</v>
      </c>
      <c r="CU260" s="1665">
        <v>0</v>
      </c>
      <c r="CV260" s="1665">
        <v>0</v>
      </c>
      <c r="CW260" s="1668"/>
      <c r="CX260" s="1665">
        <v>0</v>
      </c>
      <c r="CY260" s="1665">
        <v>0</v>
      </c>
      <c r="CZ260" s="1665">
        <v>0</v>
      </c>
      <c r="DA260" s="1665">
        <v>0</v>
      </c>
      <c r="DB260" s="1668"/>
      <c r="DC260" s="1662"/>
      <c r="DD260" s="1665">
        <v>0</v>
      </c>
      <c r="DE260" s="1665">
        <v>0</v>
      </c>
      <c r="DF260" s="1665">
        <v>0</v>
      </c>
      <c r="DG260" s="1665">
        <v>0</v>
      </c>
      <c r="DH260" s="1665">
        <v>0</v>
      </c>
    </row>
    <row r="261" spans="1:112" ht="67.5" hidden="1" x14ac:dyDescent="0.25">
      <c r="A261" s="1662" t="s">
        <v>2319</v>
      </c>
      <c r="B261" s="1662" t="s">
        <v>1727</v>
      </c>
      <c r="C261" s="1662" t="s">
        <v>2636</v>
      </c>
      <c r="D261" s="1662" t="s">
        <v>2637</v>
      </c>
      <c r="E261" s="1662" t="s">
        <v>2308</v>
      </c>
      <c r="F261" s="1662" t="s">
        <v>2638</v>
      </c>
      <c r="G261" s="1662" t="s">
        <v>2628</v>
      </c>
      <c r="H261" s="1662" t="s">
        <v>2613</v>
      </c>
      <c r="I261" s="1662" t="s">
        <v>734</v>
      </c>
      <c r="J261" s="1662" t="s">
        <v>316</v>
      </c>
      <c r="K261" s="1662" t="s">
        <v>2317</v>
      </c>
      <c r="L261" s="1662" t="s">
        <v>2109</v>
      </c>
      <c r="M261" s="1663"/>
      <c r="N261" s="1663"/>
      <c r="O261" s="1663"/>
      <c r="P261" s="1663"/>
      <c r="Q261" s="1663"/>
      <c r="R261" s="1663"/>
      <c r="S261" s="1663"/>
      <c r="T261" s="1663"/>
      <c r="U261" s="1663"/>
      <c r="V261" s="1663"/>
      <c r="W261" s="1663"/>
      <c r="X261" s="1663"/>
      <c r="Y261" s="1664">
        <v>42857</v>
      </c>
      <c r="Z261" s="1662" t="s">
        <v>2145</v>
      </c>
      <c r="AA261" s="1665">
        <v>0</v>
      </c>
      <c r="AB261" s="1665">
        <v>0</v>
      </c>
      <c r="AC261" s="1680">
        <v>0</v>
      </c>
      <c r="AD261" s="1682">
        <v>42905</v>
      </c>
      <c r="AE261" s="1679" t="s">
        <v>2122</v>
      </c>
      <c r="AF261" s="1662" t="s">
        <v>2112</v>
      </c>
      <c r="AG261" s="1666"/>
      <c r="AH261" s="1667">
        <v>8349</v>
      </c>
      <c r="AI261" s="1665">
        <v>8349</v>
      </c>
      <c r="AJ261" s="1665">
        <v>8349</v>
      </c>
      <c r="AK261" s="1698">
        <v>7096.65</v>
      </c>
      <c r="AL261" s="1665">
        <v>1252.3499999999999</v>
      </c>
      <c r="AM261" s="1668"/>
      <c r="AN261" s="1665">
        <v>0</v>
      </c>
      <c r="AO261" s="1665">
        <v>0</v>
      </c>
      <c r="AP261" s="1665">
        <v>0</v>
      </c>
      <c r="AQ261" s="1665">
        <v>0</v>
      </c>
      <c r="AR261" s="1665">
        <v>0</v>
      </c>
      <c r="AS261" s="1665">
        <v>0</v>
      </c>
      <c r="AT261" s="1665">
        <v>0</v>
      </c>
      <c r="AU261" s="1665">
        <v>0</v>
      </c>
      <c r="AV261" s="1665">
        <v>0</v>
      </c>
      <c r="AW261" s="1665">
        <v>0</v>
      </c>
      <c r="AX261" s="1663"/>
      <c r="AY261" s="1663"/>
      <c r="AZ261" s="1663"/>
      <c r="BA261" s="1668"/>
      <c r="BB261" s="1668"/>
      <c r="BC261" s="1663"/>
      <c r="BD261" s="1663"/>
      <c r="BE261" s="1665">
        <v>0</v>
      </c>
      <c r="BF261" s="1665">
        <v>0</v>
      </c>
      <c r="BG261" s="1665">
        <v>0</v>
      </c>
      <c r="BH261" s="1665">
        <v>0</v>
      </c>
      <c r="BI261" s="1665">
        <v>0</v>
      </c>
      <c r="BJ261" s="1665">
        <v>0</v>
      </c>
      <c r="BK261" s="1665">
        <v>0</v>
      </c>
      <c r="BL261" s="1665">
        <v>0</v>
      </c>
      <c r="BM261" s="1665">
        <v>0</v>
      </c>
      <c r="BN261" s="1665">
        <v>0</v>
      </c>
      <c r="BO261" s="1668"/>
      <c r="BP261" s="1665">
        <v>0</v>
      </c>
      <c r="BQ261" s="1665">
        <v>0</v>
      </c>
      <c r="BR261" s="1665">
        <v>0</v>
      </c>
      <c r="BS261" s="1667">
        <v>0</v>
      </c>
      <c r="BT261" s="1665">
        <v>0</v>
      </c>
      <c r="BU261" s="1665">
        <v>0</v>
      </c>
      <c r="BV261" s="1665">
        <v>0</v>
      </c>
      <c r="BW261" s="1665">
        <v>0</v>
      </c>
      <c r="BX261" s="1665">
        <v>0</v>
      </c>
      <c r="BY261" s="1665">
        <v>0</v>
      </c>
      <c r="BZ261" s="1663"/>
      <c r="CA261" s="1663"/>
      <c r="CB261" s="1668"/>
      <c r="CC261" s="1668"/>
      <c r="CD261" s="1663"/>
      <c r="CE261" s="1663"/>
      <c r="CF261" s="1665">
        <v>0</v>
      </c>
      <c r="CG261" s="1665">
        <v>0</v>
      </c>
      <c r="CH261" s="1665">
        <v>0</v>
      </c>
      <c r="CI261" s="1665">
        <v>0</v>
      </c>
      <c r="CJ261" s="1665">
        <v>0</v>
      </c>
      <c r="CK261" s="1665">
        <v>0</v>
      </c>
      <c r="CL261" s="1668"/>
      <c r="CM261" s="1665">
        <v>0</v>
      </c>
      <c r="CN261" s="1665">
        <v>0</v>
      </c>
      <c r="CO261" s="1665">
        <v>0</v>
      </c>
      <c r="CP261" s="1665">
        <v>0</v>
      </c>
      <c r="CQ261" s="1665">
        <v>0</v>
      </c>
      <c r="CR261" s="1665">
        <v>0</v>
      </c>
      <c r="CS261" s="1665">
        <v>0</v>
      </c>
      <c r="CT261" s="1665">
        <v>0</v>
      </c>
      <c r="CU261" s="1665">
        <v>0</v>
      </c>
      <c r="CV261" s="1665">
        <v>0</v>
      </c>
      <c r="CW261" s="1668"/>
      <c r="CX261" s="1663"/>
      <c r="CY261" s="1663"/>
      <c r="CZ261" s="1663"/>
      <c r="DA261" s="1663"/>
      <c r="DB261" s="1668"/>
      <c r="DC261" s="1662"/>
      <c r="DD261" s="1665">
        <v>0</v>
      </c>
      <c r="DE261" s="1663"/>
      <c r="DF261" s="1663"/>
      <c r="DG261" s="1665">
        <v>0</v>
      </c>
      <c r="DH261" s="1665">
        <v>0</v>
      </c>
    </row>
    <row r="262" spans="1:112" ht="67.5" hidden="1" x14ac:dyDescent="0.25">
      <c r="A262" s="1662" t="s">
        <v>2320</v>
      </c>
      <c r="B262" s="1662" t="s">
        <v>1727</v>
      </c>
      <c r="C262" s="1662" t="s">
        <v>2636</v>
      </c>
      <c r="D262" s="1662" t="s">
        <v>2637</v>
      </c>
      <c r="E262" s="1662" t="s">
        <v>2308</v>
      </c>
      <c r="F262" s="1662" t="s">
        <v>2638</v>
      </c>
      <c r="G262" s="1662" t="s">
        <v>2628</v>
      </c>
      <c r="H262" s="1662" t="s">
        <v>2613</v>
      </c>
      <c r="I262" s="1662" t="s">
        <v>734</v>
      </c>
      <c r="J262" s="1662" t="s">
        <v>316</v>
      </c>
      <c r="K262" s="1662" t="s">
        <v>2317</v>
      </c>
      <c r="L262" s="1662" t="s">
        <v>2109</v>
      </c>
      <c r="M262" s="1663"/>
      <c r="N262" s="1663"/>
      <c r="O262" s="1663"/>
      <c r="P262" s="1663"/>
      <c r="Q262" s="1663"/>
      <c r="R262" s="1663"/>
      <c r="S262" s="1663"/>
      <c r="T262" s="1663"/>
      <c r="U262" s="1663"/>
      <c r="V262" s="1663"/>
      <c r="W262" s="1663"/>
      <c r="X262" s="1663"/>
      <c r="Y262" s="1664">
        <v>42941</v>
      </c>
      <c r="Z262" s="1662" t="s">
        <v>2110</v>
      </c>
      <c r="AA262" s="1665">
        <v>0</v>
      </c>
      <c r="AB262" s="1665">
        <v>0</v>
      </c>
      <c r="AC262" s="1680">
        <v>0</v>
      </c>
      <c r="AD262" s="1682">
        <v>42964</v>
      </c>
      <c r="AE262" s="1679" t="s">
        <v>2111</v>
      </c>
      <c r="AF262" s="1662" t="s">
        <v>2115</v>
      </c>
      <c r="AG262" s="1666"/>
      <c r="AH262" s="1667">
        <v>750</v>
      </c>
      <c r="AI262" s="1665">
        <v>750</v>
      </c>
      <c r="AJ262" s="1665">
        <v>750</v>
      </c>
      <c r="AK262" s="1698">
        <v>637.5</v>
      </c>
      <c r="AL262" s="1665">
        <v>112.5</v>
      </c>
      <c r="AM262" s="1664">
        <v>42969</v>
      </c>
      <c r="AN262" s="1665">
        <v>750</v>
      </c>
      <c r="AO262" s="1665">
        <v>750</v>
      </c>
      <c r="AP262" s="1665">
        <v>750</v>
      </c>
      <c r="AQ262" s="1665">
        <v>637.5</v>
      </c>
      <c r="AR262" s="1665">
        <v>112.5</v>
      </c>
      <c r="AS262" s="1665">
        <v>0</v>
      </c>
      <c r="AT262" s="1665">
        <v>0</v>
      </c>
      <c r="AU262" s="1665">
        <v>0</v>
      </c>
      <c r="AV262" s="1665">
        <v>0</v>
      </c>
      <c r="AW262" s="1665">
        <v>0</v>
      </c>
      <c r="AX262" s="1663"/>
      <c r="AY262" s="1663"/>
      <c r="AZ262" s="1663"/>
      <c r="BA262" s="1668"/>
      <c r="BB262" s="1668"/>
      <c r="BC262" s="1663"/>
      <c r="BD262" s="1663"/>
      <c r="BE262" s="1665">
        <v>750</v>
      </c>
      <c r="BF262" s="1665">
        <v>750</v>
      </c>
      <c r="BG262" s="1665">
        <v>750</v>
      </c>
      <c r="BH262" s="1665">
        <v>637.5</v>
      </c>
      <c r="BI262" s="1665">
        <v>112.5</v>
      </c>
      <c r="BJ262" s="1665">
        <v>0</v>
      </c>
      <c r="BK262" s="1665">
        <v>0</v>
      </c>
      <c r="BL262" s="1665">
        <v>0</v>
      </c>
      <c r="BM262" s="1665">
        <v>0</v>
      </c>
      <c r="BN262" s="1665">
        <v>0</v>
      </c>
      <c r="BO262" s="1664">
        <v>43039</v>
      </c>
      <c r="BP262" s="1665">
        <v>750</v>
      </c>
      <c r="BQ262" s="1665">
        <v>750</v>
      </c>
      <c r="BR262" s="1665">
        <v>750</v>
      </c>
      <c r="BS262" s="1667">
        <v>637.5</v>
      </c>
      <c r="BT262" s="1665">
        <v>112.5</v>
      </c>
      <c r="BU262" s="1665">
        <v>0</v>
      </c>
      <c r="BV262" s="1665">
        <v>0</v>
      </c>
      <c r="BW262" s="1665">
        <v>0</v>
      </c>
      <c r="BX262" s="1665">
        <v>0</v>
      </c>
      <c r="BY262" s="1665">
        <v>0</v>
      </c>
      <c r="BZ262" s="1665">
        <v>0</v>
      </c>
      <c r="CA262" s="1663"/>
      <c r="CB262" s="1668"/>
      <c r="CC262" s="1668"/>
      <c r="CD262" s="1663"/>
      <c r="CE262" s="1663"/>
      <c r="CF262" s="1665">
        <v>0</v>
      </c>
      <c r="CG262" s="1665">
        <v>0</v>
      </c>
      <c r="CH262" s="1665">
        <v>0</v>
      </c>
      <c r="CI262" s="1665">
        <v>0</v>
      </c>
      <c r="CJ262" s="1665">
        <v>0</v>
      </c>
      <c r="CK262" s="1665">
        <v>0</v>
      </c>
      <c r="CL262" s="1668"/>
      <c r="CM262" s="1665">
        <v>0</v>
      </c>
      <c r="CN262" s="1665">
        <v>0</v>
      </c>
      <c r="CO262" s="1665">
        <v>0</v>
      </c>
      <c r="CP262" s="1665">
        <v>0</v>
      </c>
      <c r="CQ262" s="1665">
        <v>0</v>
      </c>
      <c r="CR262" s="1665">
        <v>0</v>
      </c>
      <c r="CS262" s="1665">
        <v>0</v>
      </c>
      <c r="CT262" s="1665">
        <v>0</v>
      </c>
      <c r="CU262" s="1665">
        <v>0</v>
      </c>
      <c r="CV262" s="1665">
        <v>0</v>
      </c>
      <c r="CW262" s="1668"/>
      <c r="CX262" s="1663"/>
      <c r="CY262" s="1663"/>
      <c r="CZ262" s="1663"/>
      <c r="DA262" s="1663"/>
      <c r="DB262" s="1668"/>
      <c r="DC262" s="1662"/>
      <c r="DD262" s="1665">
        <v>0</v>
      </c>
      <c r="DE262" s="1663"/>
      <c r="DF262" s="1663"/>
      <c r="DG262" s="1665">
        <v>0</v>
      </c>
      <c r="DH262" s="1665">
        <v>0</v>
      </c>
    </row>
    <row r="263" spans="1:112" ht="67.5" hidden="1" x14ac:dyDescent="0.25">
      <c r="A263" s="1662" t="s">
        <v>2321</v>
      </c>
      <c r="B263" s="1662" t="s">
        <v>1727</v>
      </c>
      <c r="C263" s="1662" t="s">
        <v>2636</v>
      </c>
      <c r="D263" s="1662" t="s">
        <v>2637</v>
      </c>
      <c r="E263" s="1662" t="s">
        <v>2308</v>
      </c>
      <c r="F263" s="1662" t="s">
        <v>2638</v>
      </c>
      <c r="G263" s="1662" t="s">
        <v>2628</v>
      </c>
      <c r="H263" s="1662" t="s">
        <v>2613</v>
      </c>
      <c r="I263" s="1662" t="s">
        <v>734</v>
      </c>
      <c r="J263" s="1662" t="s">
        <v>316</v>
      </c>
      <c r="K263" s="1662" t="s">
        <v>2317</v>
      </c>
      <c r="L263" s="1662" t="s">
        <v>2109</v>
      </c>
      <c r="M263" s="1663"/>
      <c r="N263" s="1663"/>
      <c r="O263" s="1663"/>
      <c r="P263" s="1663"/>
      <c r="Q263" s="1663"/>
      <c r="R263" s="1663"/>
      <c r="S263" s="1663"/>
      <c r="T263" s="1663"/>
      <c r="U263" s="1663"/>
      <c r="V263" s="1663"/>
      <c r="W263" s="1663"/>
      <c r="X263" s="1663"/>
      <c r="Y263" s="1664">
        <v>42941</v>
      </c>
      <c r="Z263" s="1662" t="s">
        <v>2110</v>
      </c>
      <c r="AA263" s="1665">
        <v>0</v>
      </c>
      <c r="AB263" s="1665">
        <v>0</v>
      </c>
      <c r="AC263" s="1680">
        <v>0</v>
      </c>
      <c r="AD263" s="1682">
        <v>42964</v>
      </c>
      <c r="AE263" s="1679" t="s">
        <v>2111</v>
      </c>
      <c r="AF263" s="1662" t="s">
        <v>2112</v>
      </c>
      <c r="AG263" s="1666"/>
      <c r="AH263" s="1667">
        <v>8349</v>
      </c>
      <c r="AI263" s="1665">
        <v>8349</v>
      </c>
      <c r="AJ263" s="1665">
        <v>8349</v>
      </c>
      <c r="AK263" s="1698">
        <v>7096.65</v>
      </c>
      <c r="AL263" s="1665">
        <v>1252.3499999999999</v>
      </c>
      <c r="AM263" s="1664">
        <v>42964</v>
      </c>
      <c r="AN263" s="1665">
        <v>8349</v>
      </c>
      <c r="AO263" s="1665">
        <v>8349</v>
      </c>
      <c r="AP263" s="1665">
        <v>8349</v>
      </c>
      <c r="AQ263" s="1665">
        <v>7096.65</v>
      </c>
      <c r="AR263" s="1665">
        <v>1252.3499999999999</v>
      </c>
      <c r="AS263" s="1665">
        <v>0</v>
      </c>
      <c r="AT263" s="1665">
        <v>0</v>
      </c>
      <c r="AU263" s="1665">
        <v>0</v>
      </c>
      <c r="AV263" s="1665">
        <v>0</v>
      </c>
      <c r="AW263" s="1665">
        <v>0</v>
      </c>
      <c r="AX263" s="1663"/>
      <c r="AY263" s="1663"/>
      <c r="AZ263" s="1663"/>
      <c r="BA263" s="1668"/>
      <c r="BB263" s="1668"/>
      <c r="BC263" s="1663"/>
      <c r="BD263" s="1663"/>
      <c r="BE263" s="1665">
        <v>8349</v>
      </c>
      <c r="BF263" s="1665">
        <v>8349</v>
      </c>
      <c r="BG263" s="1665">
        <v>8349</v>
      </c>
      <c r="BH263" s="1665">
        <v>7096.65</v>
      </c>
      <c r="BI263" s="1665">
        <v>1252.3499999999999</v>
      </c>
      <c r="BJ263" s="1665">
        <v>0</v>
      </c>
      <c r="BK263" s="1665">
        <v>0</v>
      </c>
      <c r="BL263" s="1665">
        <v>0</v>
      </c>
      <c r="BM263" s="1665">
        <v>0</v>
      </c>
      <c r="BN263" s="1665">
        <v>0</v>
      </c>
      <c r="BO263" s="1664">
        <v>43039</v>
      </c>
      <c r="BP263" s="1665">
        <v>8349</v>
      </c>
      <c r="BQ263" s="1665">
        <v>8349</v>
      </c>
      <c r="BR263" s="1665">
        <v>8349</v>
      </c>
      <c r="BS263" s="1667">
        <v>7096.65</v>
      </c>
      <c r="BT263" s="1665">
        <v>1252.3499999999999</v>
      </c>
      <c r="BU263" s="1665">
        <v>0</v>
      </c>
      <c r="BV263" s="1665">
        <v>0</v>
      </c>
      <c r="BW263" s="1665">
        <v>0</v>
      </c>
      <c r="BX263" s="1665">
        <v>0</v>
      </c>
      <c r="BY263" s="1665">
        <v>0</v>
      </c>
      <c r="BZ263" s="1665">
        <v>0</v>
      </c>
      <c r="CA263" s="1663"/>
      <c r="CB263" s="1668"/>
      <c r="CC263" s="1668"/>
      <c r="CD263" s="1663"/>
      <c r="CE263" s="1663"/>
      <c r="CF263" s="1665">
        <v>0</v>
      </c>
      <c r="CG263" s="1665">
        <v>0</v>
      </c>
      <c r="CH263" s="1665">
        <v>0</v>
      </c>
      <c r="CI263" s="1665">
        <v>0</v>
      </c>
      <c r="CJ263" s="1665">
        <v>0</v>
      </c>
      <c r="CK263" s="1665">
        <v>0</v>
      </c>
      <c r="CL263" s="1668"/>
      <c r="CM263" s="1665">
        <v>0</v>
      </c>
      <c r="CN263" s="1665">
        <v>0</v>
      </c>
      <c r="CO263" s="1665">
        <v>0</v>
      </c>
      <c r="CP263" s="1665">
        <v>0</v>
      </c>
      <c r="CQ263" s="1665">
        <v>0</v>
      </c>
      <c r="CR263" s="1665">
        <v>0</v>
      </c>
      <c r="CS263" s="1665">
        <v>0</v>
      </c>
      <c r="CT263" s="1665">
        <v>0</v>
      </c>
      <c r="CU263" s="1665">
        <v>0</v>
      </c>
      <c r="CV263" s="1665">
        <v>0</v>
      </c>
      <c r="CW263" s="1668"/>
      <c r="CX263" s="1663"/>
      <c r="CY263" s="1663"/>
      <c r="CZ263" s="1663"/>
      <c r="DA263" s="1663"/>
      <c r="DB263" s="1668"/>
      <c r="DC263" s="1662"/>
      <c r="DD263" s="1665">
        <v>0</v>
      </c>
      <c r="DE263" s="1663"/>
      <c r="DF263" s="1663"/>
      <c r="DG263" s="1665">
        <v>0</v>
      </c>
      <c r="DH263" s="1665">
        <v>0</v>
      </c>
    </row>
    <row r="264" spans="1:112" ht="67.5" hidden="1" x14ac:dyDescent="0.25">
      <c r="A264" s="1662" t="s">
        <v>2322</v>
      </c>
      <c r="B264" s="1662" t="s">
        <v>1727</v>
      </c>
      <c r="C264" s="1662" t="s">
        <v>2636</v>
      </c>
      <c r="D264" s="1662" t="s">
        <v>2637</v>
      </c>
      <c r="E264" s="1662" t="s">
        <v>2308</v>
      </c>
      <c r="F264" s="1662" t="s">
        <v>2638</v>
      </c>
      <c r="G264" s="1662" t="s">
        <v>2628</v>
      </c>
      <c r="H264" s="1662" t="s">
        <v>2613</v>
      </c>
      <c r="I264" s="1662" t="s">
        <v>734</v>
      </c>
      <c r="J264" s="1662" t="s">
        <v>316</v>
      </c>
      <c r="K264" s="1662" t="s">
        <v>2317</v>
      </c>
      <c r="L264" s="1662" t="s">
        <v>2109</v>
      </c>
      <c r="M264" s="1663"/>
      <c r="N264" s="1663"/>
      <c r="O264" s="1663"/>
      <c r="P264" s="1663"/>
      <c r="Q264" s="1663"/>
      <c r="R264" s="1663"/>
      <c r="S264" s="1663"/>
      <c r="T264" s="1663"/>
      <c r="U264" s="1663"/>
      <c r="V264" s="1663"/>
      <c r="W264" s="1663"/>
      <c r="X264" s="1663"/>
      <c r="Y264" s="1664">
        <v>43031</v>
      </c>
      <c r="Z264" s="1662" t="s">
        <v>2110</v>
      </c>
      <c r="AA264" s="1665">
        <v>0</v>
      </c>
      <c r="AB264" s="1665">
        <v>0</v>
      </c>
      <c r="AC264" s="1680">
        <v>0</v>
      </c>
      <c r="AD264" s="1682">
        <v>43049</v>
      </c>
      <c r="AE264" s="1679" t="s">
        <v>2114</v>
      </c>
      <c r="AF264" s="1662" t="s">
        <v>2112</v>
      </c>
      <c r="AG264" s="1666"/>
      <c r="AH264" s="1667">
        <v>462.22</v>
      </c>
      <c r="AI264" s="1665">
        <v>462.22</v>
      </c>
      <c r="AJ264" s="1665">
        <v>462.22</v>
      </c>
      <c r="AK264" s="1698">
        <v>392.89</v>
      </c>
      <c r="AL264" s="1665">
        <v>69.33</v>
      </c>
      <c r="AM264" s="1664">
        <v>43049</v>
      </c>
      <c r="AN264" s="1665">
        <v>462.22</v>
      </c>
      <c r="AO264" s="1665">
        <v>462.22</v>
      </c>
      <c r="AP264" s="1665">
        <v>462.22</v>
      </c>
      <c r="AQ264" s="1665">
        <v>392.89</v>
      </c>
      <c r="AR264" s="1665">
        <v>69.33</v>
      </c>
      <c r="AS264" s="1665">
        <v>0</v>
      </c>
      <c r="AT264" s="1665">
        <v>0</v>
      </c>
      <c r="AU264" s="1665">
        <v>0</v>
      </c>
      <c r="AV264" s="1665">
        <v>0</v>
      </c>
      <c r="AW264" s="1665">
        <v>0</v>
      </c>
      <c r="AX264" s="1663"/>
      <c r="AY264" s="1663"/>
      <c r="AZ264" s="1663"/>
      <c r="BA264" s="1668"/>
      <c r="BB264" s="1668"/>
      <c r="BC264" s="1663"/>
      <c r="BD264" s="1663"/>
      <c r="BE264" s="1665">
        <v>462.22</v>
      </c>
      <c r="BF264" s="1665">
        <v>462.22</v>
      </c>
      <c r="BG264" s="1665">
        <v>462.22</v>
      </c>
      <c r="BH264" s="1665">
        <v>392.89</v>
      </c>
      <c r="BI264" s="1665">
        <v>69.33</v>
      </c>
      <c r="BJ264" s="1665">
        <v>0</v>
      </c>
      <c r="BK264" s="1665">
        <v>0</v>
      </c>
      <c r="BL264" s="1665">
        <v>0</v>
      </c>
      <c r="BM264" s="1665">
        <v>0</v>
      </c>
      <c r="BN264" s="1665">
        <v>0</v>
      </c>
      <c r="BO264" s="1664">
        <v>43159</v>
      </c>
      <c r="BP264" s="1665">
        <v>462.22</v>
      </c>
      <c r="BQ264" s="1665">
        <v>462.22</v>
      </c>
      <c r="BR264" s="1665">
        <v>462.22</v>
      </c>
      <c r="BS264" s="1667">
        <v>392.89</v>
      </c>
      <c r="BT264" s="1665">
        <v>69.33</v>
      </c>
      <c r="BU264" s="1665">
        <v>0</v>
      </c>
      <c r="BV264" s="1665">
        <v>0</v>
      </c>
      <c r="BW264" s="1665">
        <v>0</v>
      </c>
      <c r="BX264" s="1665">
        <v>0</v>
      </c>
      <c r="BY264" s="1665">
        <v>0</v>
      </c>
      <c r="BZ264" s="1665">
        <v>0</v>
      </c>
      <c r="CA264" s="1663"/>
      <c r="CB264" s="1668"/>
      <c r="CC264" s="1668"/>
      <c r="CD264" s="1663"/>
      <c r="CE264" s="1663"/>
      <c r="CF264" s="1665">
        <v>0</v>
      </c>
      <c r="CG264" s="1665">
        <v>0</v>
      </c>
      <c r="CH264" s="1665">
        <v>0</v>
      </c>
      <c r="CI264" s="1665">
        <v>0</v>
      </c>
      <c r="CJ264" s="1665">
        <v>0</v>
      </c>
      <c r="CK264" s="1665">
        <v>0</v>
      </c>
      <c r="CL264" s="1668"/>
      <c r="CM264" s="1665">
        <v>0</v>
      </c>
      <c r="CN264" s="1665">
        <v>0</v>
      </c>
      <c r="CO264" s="1665">
        <v>0</v>
      </c>
      <c r="CP264" s="1665">
        <v>0</v>
      </c>
      <c r="CQ264" s="1665">
        <v>0</v>
      </c>
      <c r="CR264" s="1665">
        <v>0</v>
      </c>
      <c r="CS264" s="1665">
        <v>0</v>
      </c>
      <c r="CT264" s="1665">
        <v>0</v>
      </c>
      <c r="CU264" s="1665">
        <v>0</v>
      </c>
      <c r="CV264" s="1665">
        <v>0</v>
      </c>
      <c r="CW264" s="1668"/>
      <c r="CX264" s="1663"/>
      <c r="CY264" s="1663"/>
      <c r="CZ264" s="1663"/>
      <c r="DA264" s="1663"/>
      <c r="DB264" s="1668"/>
      <c r="DC264" s="1662"/>
      <c r="DD264" s="1665">
        <v>0</v>
      </c>
      <c r="DE264" s="1663"/>
      <c r="DF264" s="1663"/>
      <c r="DG264" s="1665">
        <v>0</v>
      </c>
      <c r="DH264" s="1665">
        <v>0</v>
      </c>
    </row>
    <row r="265" spans="1:112" ht="67.5" hidden="1" x14ac:dyDescent="0.25">
      <c r="A265" s="1662" t="s">
        <v>2323</v>
      </c>
      <c r="B265" s="1662" t="s">
        <v>1727</v>
      </c>
      <c r="C265" s="1662" t="s">
        <v>2636</v>
      </c>
      <c r="D265" s="1662" t="s">
        <v>2637</v>
      </c>
      <c r="E265" s="1662" t="s">
        <v>2308</v>
      </c>
      <c r="F265" s="1662" t="s">
        <v>2638</v>
      </c>
      <c r="G265" s="1662" t="s">
        <v>2628</v>
      </c>
      <c r="H265" s="1662" t="s">
        <v>2613</v>
      </c>
      <c r="I265" s="1662" t="s">
        <v>734</v>
      </c>
      <c r="J265" s="1662" t="s">
        <v>316</v>
      </c>
      <c r="K265" s="1662" t="s">
        <v>2317</v>
      </c>
      <c r="L265" s="1662" t="s">
        <v>2109</v>
      </c>
      <c r="M265" s="1663"/>
      <c r="N265" s="1663"/>
      <c r="O265" s="1663"/>
      <c r="P265" s="1663"/>
      <c r="Q265" s="1663"/>
      <c r="R265" s="1663"/>
      <c r="S265" s="1663"/>
      <c r="T265" s="1663"/>
      <c r="U265" s="1663"/>
      <c r="V265" s="1663"/>
      <c r="W265" s="1663"/>
      <c r="X265" s="1663"/>
      <c r="Y265" s="1664">
        <v>43109</v>
      </c>
      <c r="Z265" s="1662" t="s">
        <v>2110</v>
      </c>
      <c r="AA265" s="1665">
        <v>0</v>
      </c>
      <c r="AB265" s="1665">
        <v>0</v>
      </c>
      <c r="AC265" s="1680">
        <v>0</v>
      </c>
      <c r="AD265" s="1682">
        <v>43125</v>
      </c>
      <c r="AE265" s="1679" t="s">
        <v>2128</v>
      </c>
      <c r="AF265" s="1662" t="s">
        <v>2115</v>
      </c>
      <c r="AG265" s="1666"/>
      <c r="AH265" s="1667">
        <v>25</v>
      </c>
      <c r="AI265" s="1665">
        <v>25</v>
      </c>
      <c r="AJ265" s="1665">
        <v>25</v>
      </c>
      <c r="AK265" s="1698">
        <v>21.25</v>
      </c>
      <c r="AL265" s="1665">
        <v>3.75</v>
      </c>
      <c r="AM265" s="1664">
        <v>43138</v>
      </c>
      <c r="AN265" s="1665">
        <v>25</v>
      </c>
      <c r="AO265" s="1665">
        <v>25</v>
      </c>
      <c r="AP265" s="1665">
        <v>25</v>
      </c>
      <c r="AQ265" s="1665">
        <v>21.25</v>
      </c>
      <c r="AR265" s="1665">
        <v>3.75</v>
      </c>
      <c r="AS265" s="1665">
        <v>0</v>
      </c>
      <c r="AT265" s="1665">
        <v>0</v>
      </c>
      <c r="AU265" s="1665">
        <v>0</v>
      </c>
      <c r="AV265" s="1665">
        <v>0</v>
      </c>
      <c r="AW265" s="1665">
        <v>0</v>
      </c>
      <c r="AX265" s="1663"/>
      <c r="AY265" s="1663"/>
      <c r="AZ265" s="1663"/>
      <c r="BA265" s="1668"/>
      <c r="BB265" s="1668"/>
      <c r="BC265" s="1663"/>
      <c r="BD265" s="1663"/>
      <c r="BE265" s="1665">
        <v>25</v>
      </c>
      <c r="BF265" s="1665">
        <v>25</v>
      </c>
      <c r="BG265" s="1665">
        <v>25</v>
      </c>
      <c r="BH265" s="1665">
        <v>21.25</v>
      </c>
      <c r="BI265" s="1665">
        <v>3.75</v>
      </c>
      <c r="BJ265" s="1665">
        <v>0</v>
      </c>
      <c r="BK265" s="1665">
        <v>0</v>
      </c>
      <c r="BL265" s="1665">
        <v>0</v>
      </c>
      <c r="BM265" s="1665">
        <v>0</v>
      </c>
      <c r="BN265" s="1665">
        <v>0</v>
      </c>
      <c r="BO265" s="1664">
        <v>43236</v>
      </c>
      <c r="BP265" s="1665">
        <v>25</v>
      </c>
      <c r="BQ265" s="1665">
        <v>25</v>
      </c>
      <c r="BR265" s="1665">
        <v>25</v>
      </c>
      <c r="BS265" s="1667">
        <v>21.25</v>
      </c>
      <c r="BT265" s="1665">
        <v>3.75</v>
      </c>
      <c r="BU265" s="1665">
        <v>0</v>
      </c>
      <c r="BV265" s="1665">
        <v>0</v>
      </c>
      <c r="BW265" s="1665">
        <v>0</v>
      </c>
      <c r="BX265" s="1665">
        <v>0</v>
      </c>
      <c r="BY265" s="1665">
        <v>0</v>
      </c>
      <c r="BZ265" s="1665">
        <v>0</v>
      </c>
      <c r="CA265" s="1663"/>
      <c r="CB265" s="1668"/>
      <c r="CC265" s="1668"/>
      <c r="CD265" s="1663"/>
      <c r="CE265" s="1663"/>
      <c r="CF265" s="1665">
        <v>0</v>
      </c>
      <c r="CG265" s="1665">
        <v>0</v>
      </c>
      <c r="CH265" s="1665">
        <v>0</v>
      </c>
      <c r="CI265" s="1665">
        <v>0</v>
      </c>
      <c r="CJ265" s="1665">
        <v>0</v>
      </c>
      <c r="CK265" s="1665">
        <v>0</v>
      </c>
      <c r="CL265" s="1668"/>
      <c r="CM265" s="1665">
        <v>0</v>
      </c>
      <c r="CN265" s="1665">
        <v>0</v>
      </c>
      <c r="CO265" s="1665">
        <v>0</v>
      </c>
      <c r="CP265" s="1665">
        <v>0</v>
      </c>
      <c r="CQ265" s="1665">
        <v>0</v>
      </c>
      <c r="CR265" s="1665">
        <v>0</v>
      </c>
      <c r="CS265" s="1665">
        <v>0</v>
      </c>
      <c r="CT265" s="1665">
        <v>0</v>
      </c>
      <c r="CU265" s="1665">
        <v>0</v>
      </c>
      <c r="CV265" s="1665">
        <v>0</v>
      </c>
      <c r="CW265" s="1668"/>
      <c r="CX265" s="1663"/>
      <c r="CY265" s="1663"/>
      <c r="CZ265" s="1663"/>
      <c r="DA265" s="1663"/>
      <c r="DB265" s="1668"/>
      <c r="DC265" s="1662"/>
      <c r="DD265" s="1665">
        <v>0</v>
      </c>
      <c r="DE265" s="1663"/>
      <c r="DF265" s="1663"/>
      <c r="DG265" s="1665">
        <v>0</v>
      </c>
      <c r="DH265" s="1665">
        <v>0</v>
      </c>
    </row>
    <row r="266" spans="1:112" ht="67.5" hidden="1" x14ac:dyDescent="0.25">
      <c r="A266" s="1662" t="s">
        <v>2324</v>
      </c>
      <c r="B266" s="1662" t="s">
        <v>1727</v>
      </c>
      <c r="C266" s="1662" t="s">
        <v>2636</v>
      </c>
      <c r="D266" s="1662" t="s">
        <v>2637</v>
      </c>
      <c r="E266" s="1662" t="s">
        <v>2308</v>
      </c>
      <c r="F266" s="1662" t="s">
        <v>2638</v>
      </c>
      <c r="G266" s="1662" t="s">
        <v>2628</v>
      </c>
      <c r="H266" s="1662" t="s">
        <v>2613</v>
      </c>
      <c r="I266" s="1662" t="s">
        <v>734</v>
      </c>
      <c r="J266" s="1662" t="s">
        <v>316</v>
      </c>
      <c r="K266" s="1662" t="s">
        <v>2317</v>
      </c>
      <c r="L266" s="1662" t="s">
        <v>2109</v>
      </c>
      <c r="M266" s="1663"/>
      <c r="N266" s="1663"/>
      <c r="O266" s="1663"/>
      <c r="P266" s="1663"/>
      <c r="Q266" s="1663"/>
      <c r="R266" s="1663"/>
      <c r="S266" s="1663"/>
      <c r="T266" s="1663"/>
      <c r="U266" s="1663"/>
      <c r="V266" s="1663"/>
      <c r="W266" s="1663"/>
      <c r="X266" s="1663"/>
      <c r="Y266" s="1664">
        <v>43109</v>
      </c>
      <c r="Z266" s="1662" t="s">
        <v>2110</v>
      </c>
      <c r="AA266" s="1665">
        <v>0</v>
      </c>
      <c r="AB266" s="1665">
        <v>0</v>
      </c>
      <c r="AC266" s="1680">
        <v>0</v>
      </c>
      <c r="AD266" s="1682">
        <v>43125</v>
      </c>
      <c r="AE266" s="1679" t="s">
        <v>2128</v>
      </c>
      <c r="AF266" s="1662" t="s">
        <v>2112</v>
      </c>
      <c r="AG266" s="1666"/>
      <c r="AH266" s="1667">
        <v>496.1</v>
      </c>
      <c r="AI266" s="1665">
        <v>496.1</v>
      </c>
      <c r="AJ266" s="1665">
        <v>496.1</v>
      </c>
      <c r="AK266" s="1698">
        <v>421.68</v>
      </c>
      <c r="AL266" s="1665">
        <v>74.42</v>
      </c>
      <c r="AM266" s="1664">
        <v>43125</v>
      </c>
      <c r="AN266" s="1665">
        <v>496.1</v>
      </c>
      <c r="AO266" s="1665">
        <v>496.1</v>
      </c>
      <c r="AP266" s="1665">
        <v>496.1</v>
      </c>
      <c r="AQ266" s="1665">
        <v>421.68</v>
      </c>
      <c r="AR266" s="1665">
        <v>74.42</v>
      </c>
      <c r="AS266" s="1665">
        <v>0</v>
      </c>
      <c r="AT266" s="1665">
        <v>0</v>
      </c>
      <c r="AU266" s="1665">
        <v>0</v>
      </c>
      <c r="AV266" s="1665">
        <v>0</v>
      </c>
      <c r="AW266" s="1665">
        <v>0</v>
      </c>
      <c r="AX266" s="1663"/>
      <c r="AY266" s="1663"/>
      <c r="AZ266" s="1663"/>
      <c r="BA266" s="1668"/>
      <c r="BB266" s="1668"/>
      <c r="BC266" s="1663"/>
      <c r="BD266" s="1663"/>
      <c r="BE266" s="1665">
        <v>496.1</v>
      </c>
      <c r="BF266" s="1665">
        <v>496.1</v>
      </c>
      <c r="BG266" s="1665">
        <v>496.1</v>
      </c>
      <c r="BH266" s="1665">
        <v>421.68</v>
      </c>
      <c r="BI266" s="1665">
        <v>74.42</v>
      </c>
      <c r="BJ266" s="1665">
        <v>0</v>
      </c>
      <c r="BK266" s="1665">
        <v>0</v>
      </c>
      <c r="BL266" s="1665">
        <v>0</v>
      </c>
      <c r="BM266" s="1665">
        <v>0</v>
      </c>
      <c r="BN266" s="1665">
        <v>0</v>
      </c>
      <c r="BO266" s="1664">
        <v>43206</v>
      </c>
      <c r="BP266" s="1665">
        <v>496.1</v>
      </c>
      <c r="BQ266" s="1665">
        <v>496.1</v>
      </c>
      <c r="BR266" s="1665">
        <v>496.1</v>
      </c>
      <c r="BS266" s="1667">
        <v>421.68</v>
      </c>
      <c r="BT266" s="1665">
        <v>74.42</v>
      </c>
      <c r="BU266" s="1665">
        <v>0</v>
      </c>
      <c r="BV266" s="1665">
        <v>0</v>
      </c>
      <c r="BW266" s="1665">
        <v>0</v>
      </c>
      <c r="BX266" s="1665">
        <v>0</v>
      </c>
      <c r="BY266" s="1665">
        <v>0</v>
      </c>
      <c r="BZ266" s="1665">
        <v>0</v>
      </c>
      <c r="CA266" s="1663"/>
      <c r="CB266" s="1668"/>
      <c r="CC266" s="1668"/>
      <c r="CD266" s="1663"/>
      <c r="CE266" s="1663"/>
      <c r="CF266" s="1665">
        <v>0</v>
      </c>
      <c r="CG266" s="1665">
        <v>0</v>
      </c>
      <c r="CH266" s="1665">
        <v>0</v>
      </c>
      <c r="CI266" s="1665">
        <v>0</v>
      </c>
      <c r="CJ266" s="1665">
        <v>0</v>
      </c>
      <c r="CK266" s="1665">
        <v>0</v>
      </c>
      <c r="CL266" s="1668"/>
      <c r="CM266" s="1665">
        <v>0</v>
      </c>
      <c r="CN266" s="1665">
        <v>0</v>
      </c>
      <c r="CO266" s="1665">
        <v>0</v>
      </c>
      <c r="CP266" s="1665">
        <v>0</v>
      </c>
      <c r="CQ266" s="1665">
        <v>0</v>
      </c>
      <c r="CR266" s="1665">
        <v>0</v>
      </c>
      <c r="CS266" s="1665">
        <v>0</v>
      </c>
      <c r="CT266" s="1665">
        <v>0</v>
      </c>
      <c r="CU266" s="1665">
        <v>0</v>
      </c>
      <c r="CV266" s="1665">
        <v>0</v>
      </c>
      <c r="CW266" s="1668"/>
      <c r="CX266" s="1663"/>
      <c r="CY266" s="1663"/>
      <c r="CZ266" s="1663"/>
      <c r="DA266" s="1663"/>
      <c r="DB266" s="1668"/>
      <c r="DC266" s="1662"/>
      <c r="DD266" s="1665">
        <v>0</v>
      </c>
      <c r="DE266" s="1663"/>
      <c r="DF266" s="1663"/>
      <c r="DG266" s="1665">
        <v>0</v>
      </c>
      <c r="DH266" s="1665">
        <v>0</v>
      </c>
    </row>
    <row r="267" spans="1:112" ht="67.5" hidden="1" x14ac:dyDescent="0.25">
      <c r="A267" s="1662" t="s">
        <v>2325</v>
      </c>
      <c r="B267" s="1662" t="s">
        <v>1727</v>
      </c>
      <c r="C267" s="1662" t="s">
        <v>2636</v>
      </c>
      <c r="D267" s="1662" t="s">
        <v>2637</v>
      </c>
      <c r="E267" s="1662" t="s">
        <v>2308</v>
      </c>
      <c r="F267" s="1662" t="s">
        <v>2638</v>
      </c>
      <c r="G267" s="1662" t="s">
        <v>2628</v>
      </c>
      <c r="H267" s="1662" t="s">
        <v>2613</v>
      </c>
      <c r="I267" s="1662" t="s">
        <v>734</v>
      </c>
      <c r="J267" s="1662" t="s">
        <v>316</v>
      </c>
      <c r="K267" s="1662" t="s">
        <v>2317</v>
      </c>
      <c r="L267" s="1662" t="s">
        <v>2109</v>
      </c>
      <c r="M267" s="1663"/>
      <c r="N267" s="1663"/>
      <c r="O267" s="1663"/>
      <c r="P267" s="1663"/>
      <c r="Q267" s="1663"/>
      <c r="R267" s="1663"/>
      <c r="S267" s="1663"/>
      <c r="T267" s="1663"/>
      <c r="U267" s="1663"/>
      <c r="V267" s="1663"/>
      <c r="W267" s="1663"/>
      <c r="X267" s="1663"/>
      <c r="Y267" s="1664">
        <v>43165</v>
      </c>
      <c r="Z267" s="1662" t="s">
        <v>2110</v>
      </c>
      <c r="AA267" s="1665">
        <v>0</v>
      </c>
      <c r="AB267" s="1665">
        <v>0</v>
      </c>
      <c r="AC267" s="1680">
        <v>0</v>
      </c>
      <c r="AD267" s="1682">
        <v>43179</v>
      </c>
      <c r="AE267" s="1679" t="s">
        <v>2129</v>
      </c>
      <c r="AF267" s="1662" t="s">
        <v>2112</v>
      </c>
      <c r="AG267" s="1666"/>
      <c r="AH267" s="1667">
        <v>7000</v>
      </c>
      <c r="AI267" s="1665">
        <v>7000</v>
      </c>
      <c r="AJ267" s="1665">
        <v>7000</v>
      </c>
      <c r="AK267" s="1698">
        <v>5950</v>
      </c>
      <c r="AL267" s="1665">
        <v>1050</v>
      </c>
      <c r="AM267" s="1664">
        <v>43179</v>
      </c>
      <c r="AN267" s="1665">
        <v>7000</v>
      </c>
      <c r="AO267" s="1665">
        <v>7000</v>
      </c>
      <c r="AP267" s="1665">
        <v>7000</v>
      </c>
      <c r="AQ267" s="1665">
        <v>5950</v>
      </c>
      <c r="AR267" s="1665">
        <v>1050</v>
      </c>
      <c r="AS267" s="1665">
        <v>0</v>
      </c>
      <c r="AT267" s="1665">
        <v>0</v>
      </c>
      <c r="AU267" s="1665">
        <v>0</v>
      </c>
      <c r="AV267" s="1665">
        <v>0</v>
      </c>
      <c r="AW267" s="1665">
        <v>0</v>
      </c>
      <c r="AX267" s="1663"/>
      <c r="AY267" s="1663"/>
      <c r="AZ267" s="1663"/>
      <c r="BA267" s="1668"/>
      <c r="BB267" s="1668"/>
      <c r="BC267" s="1663"/>
      <c r="BD267" s="1663"/>
      <c r="BE267" s="1665">
        <v>7000</v>
      </c>
      <c r="BF267" s="1665">
        <v>7000</v>
      </c>
      <c r="BG267" s="1665">
        <v>7000</v>
      </c>
      <c r="BH267" s="1665">
        <v>5950</v>
      </c>
      <c r="BI267" s="1665">
        <v>1050</v>
      </c>
      <c r="BJ267" s="1665">
        <v>0</v>
      </c>
      <c r="BK267" s="1665">
        <v>0</v>
      </c>
      <c r="BL267" s="1665">
        <v>0</v>
      </c>
      <c r="BM267" s="1665">
        <v>0</v>
      </c>
      <c r="BN267" s="1665">
        <v>0</v>
      </c>
      <c r="BO267" s="1664">
        <v>43236</v>
      </c>
      <c r="BP267" s="1665">
        <v>7000</v>
      </c>
      <c r="BQ267" s="1665">
        <v>7000</v>
      </c>
      <c r="BR267" s="1665">
        <v>7000</v>
      </c>
      <c r="BS267" s="1667">
        <v>5950</v>
      </c>
      <c r="BT267" s="1665">
        <v>1050</v>
      </c>
      <c r="BU267" s="1665">
        <v>0</v>
      </c>
      <c r="BV267" s="1665">
        <v>0</v>
      </c>
      <c r="BW267" s="1665">
        <v>0</v>
      </c>
      <c r="BX267" s="1665">
        <v>0</v>
      </c>
      <c r="BY267" s="1665">
        <v>0</v>
      </c>
      <c r="BZ267" s="1665">
        <v>0</v>
      </c>
      <c r="CA267" s="1663"/>
      <c r="CB267" s="1668"/>
      <c r="CC267" s="1668"/>
      <c r="CD267" s="1663"/>
      <c r="CE267" s="1663"/>
      <c r="CF267" s="1665">
        <v>0</v>
      </c>
      <c r="CG267" s="1665">
        <v>0</v>
      </c>
      <c r="CH267" s="1665">
        <v>0</v>
      </c>
      <c r="CI267" s="1665">
        <v>0</v>
      </c>
      <c r="CJ267" s="1665">
        <v>0</v>
      </c>
      <c r="CK267" s="1665">
        <v>0</v>
      </c>
      <c r="CL267" s="1668"/>
      <c r="CM267" s="1665">
        <v>0</v>
      </c>
      <c r="CN267" s="1665">
        <v>0</v>
      </c>
      <c r="CO267" s="1665">
        <v>0</v>
      </c>
      <c r="CP267" s="1665">
        <v>0</v>
      </c>
      <c r="CQ267" s="1665">
        <v>0</v>
      </c>
      <c r="CR267" s="1665">
        <v>0</v>
      </c>
      <c r="CS267" s="1665">
        <v>0</v>
      </c>
      <c r="CT267" s="1665">
        <v>0</v>
      </c>
      <c r="CU267" s="1665">
        <v>0</v>
      </c>
      <c r="CV267" s="1665">
        <v>0</v>
      </c>
      <c r="CW267" s="1668"/>
      <c r="CX267" s="1663"/>
      <c r="CY267" s="1663"/>
      <c r="CZ267" s="1663"/>
      <c r="DA267" s="1663"/>
      <c r="DB267" s="1668"/>
      <c r="DC267" s="1662"/>
      <c r="DD267" s="1665">
        <v>0</v>
      </c>
      <c r="DE267" s="1663"/>
      <c r="DF267" s="1663"/>
      <c r="DG267" s="1665">
        <v>0</v>
      </c>
      <c r="DH267" s="1665">
        <v>0</v>
      </c>
    </row>
    <row r="268" spans="1:112" ht="67.5" hidden="1" x14ac:dyDescent="0.25">
      <c r="A268" s="1662" t="s">
        <v>2326</v>
      </c>
      <c r="B268" s="1662" t="s">
        <v>1727</v>
      </c>
      <c r="C268" s="1662" t="s">
        <v>2636</v>
      </c>
      <c r="D268" s="1662" t="s">
        <v>2637</v>
      </c>
      <c r="E268" s="1662" t="s">
        <v>2308</v>
      </c>
      <c r="F268" s="1662" t="s">
        <v>2638</v>
      </c>
      <c r="G268" s="1662" t="s">
        <v>2628</v>
      </c>
      <c r="H268" s="1662" t="s">
        <v>2613</v>
      </c>
      <c r="I268" s="1662" t="s">
        <v>734</v>
      </c>
      <c r="J268" s="1662" t="s">
        <v>316</v>
      </c>
      <c r="K268" s="1662" t="s">
        <v>2317</v>
      </c>
      <c r="L268" s="1662" t="s">
        <v>2109</v>
      </c>
      <c r="M268" s="1663"/>
      <c r="N268" s="1663"/>
      <c r="O268" s="1663"/>
      <c r="P268" s="1663"/>
      <c r="Q268" s="1663"/>
      <c r="R268" s="1663"/>
      <c r="S268" s="1663"/>
      <c r="T268" s="1663"/>
      <c r="U268" s="1663"/>
      <c r="V268" s="1663"/>
      <c r="W268" s="1663"/>
      <c r="X268" s="1663"/>
      <c r="Y268" s="1664">
        <v>43165</v>
      </c>
      <c r="Z268" s="1662" t="s">
        <v>2110</v>
      </c>
      <c r="AA268" s="1665">
        <v>0</v>
      </c>
      <c r="AB268" s="1665">
        <v>0</v>
      </c>
      <c r="AC268" s="1680">
        <v>0</v>
      </c>
      <c r="AD268" s="1682">
        <v>43203</v>
      </c>
      <c r="AE268" s="1679" t="s">
        <v>2129</v>
      </c>
      <c r="AF268" s="1662" t="s">
        <v>2115</v>
      </c>
      <c r="AG268" s="1666"/>
      <c r="AH268" s="1667">
        <v>98688.13</v>
      </c>
      <c r="AI268" s="1665">
        <v>98688.13</v>
      </c>
      <c r="AJ268" s="1665">
        <v>98688.13</v>
      </c>
      <c r="AK268" s="1698">
        <v>83884.91</v>
      </c>
      <c r="AL268" s="1665">
        <v>14803.22</v>
      </c>
      <c r="AM268" s="1664">
        <v>43204</v>
      </c>
      <c r="AN268" s="1665">
        <v>98688.13</v>
      </c>
      <c r="AO268" s="1665">
        <v>98688.13</v>
      </c>
      <c r="AP268" s="1665">
        <v>98688.13</v>
      </c>
      <c r="AQ268" s="1665">
        <v>83884.91</v>
      </c>
      <c r="AR268" s="1665">
        <v>14803.22</v>
      </c>
      <c r="AS268" s="1665">
        <v>0</v>
      </c>
      <c r="AT268" s="1665">
        <v>0</v>
      </c>
      <c r="AU268" s="1665">
        <v>0</v>
      </c>
      <c r="AV268" s="1665">
        <v>0</v>
      </c>
      <c r="AW268" s="1665">
        <v>0</v>
      </c>
      <c r="AX268" s="1663"/>
      <c r="AY268" s="1663"/>
      <c r="AZ268" s="1663"/>
      <c r="BA268" s="1668"/>
      <c r="BB268" s="1668"/>
      <c r="BC268" s="1663"/>
      <c r="BD268" s="1663"/>
      <c r="BE268" s="1665">
        <v>98688.13</v>
      </c>
      <c r="BF268" s="1665">
        <v>98688.13</v>
      </c>
      <c r="BG268" s="1665">
        <v>98688.13</v>
      </c>
      <c r="BH268" s="1665">
        <v>83884.91</v>
      </c>
      <c r="BI268" s="1665">
        <v>14803.22</v>
      </c>
      <c r="BJ268" s="1665">
        <v>0</v>
      </c>
      <c r="BK268" s="1665">
        <v>0</v>
      </c>
      <c r="BL268" s="1665">
        <v>0</v>
      </c>
      <c r="BM268" s="1665">
        <v>0</v>
      </c>
      <c r="BN268" s="1665">
        <v>0</v>
      </c>
      <c r="BO268" s="1664">
        <v>43364</v>
      </c>
      <c r="BP268" s="1665">
        <v>98688.13</v>
      </c>
      <c r="BQ268" s="1665">
        <v>98688.13</v>
      </c>
      <c r="BR268" s="1665">
        <v>98688.13</v>
      </c>
      <c r="BS268" s="1667">
        <v>83884.91</v>
      </c>
      <c r="BT268" s="1665">
        <v>14803.22</v>
      </c>
      <c r="BU268" s="1665">
        <v>0</v>
      </c>
      <c r="BV268" s="1665">
        <v>0</v>
      </c>
      <c r="BW268" s="1665">
        <v>0</v>
      </c>
      <c r="BX268" s="1665">
        <v>0</v>
      </c>
      <c r="BY268" s="1665">
        <v>0</v>
      </c>
      <c r="BZ268" s="1665">
        <v>0</v>
      </c>
      <c r="CA268" s="1663"/>
      <c r="CB268" s="1668"/>
      <c r="CC268" s="1668"/>
      <c r="CD268" s="1663"/>
      <c r="CE268" s="1663"/>
      <c r="CF268" s="1665">
        <v>0</v>
      </c>
      <c r="CG268" s="1665">
        <v>0</v>
      </c>
      <c r="CH268" s="1665">
        <v>0</v>
      </c>
      <c r="CI268" s="1665">
        <v>0</v>
      </c>
      <c r="CJ268" s="1665">
        <v>0</v>
      </c>
      <c r="CK268" s="1665">
        <v>0</v>
      </c>
      <c r="CL268" s="1668"/>
      <c r="CM268" s="1665">
        <v>0</v>
      </c>
      <c r="CN268" s="1665">
        <v>0</v>
      </c>
      <c r="CO268" s="1665">
        <v>0</v>
      </c>
      <c r="CP268" s="1665">
        <v>0</v>
      </c>
      <c r="CQ268" s="1665">
        <v>0</v>
      </c>
      <c r="CR268" s="1665">
        <v>0</v>
      </c>
      <c r="CS268" s="1665">
        <v>0</v>
      </c>
      <c r="CT268" s="1665">
        <v>0</v>
      </c>
      <c r="CU268" s="1665">
        <v>0</v>
      </c>
      <c r="CV268" s="1665">
        <v>0</v>
      </c>
      <c r="CW268" s="1668"/>
      <c r="CX268" s="1663"/>
      <c r="CY268" s="1663"/>
      <c r="CZ268" s="1663"/>
      <c r="DA268" s="1663"/>
      <c r="DB268" s="1668"/>
      <c r="DC268" s="1662"/>
      <c r="DD268" s="1665">
        <v>0</v>
      </c>
      <c r="DE268" s="1663"/>
      <c r="DF268" s="1663"/>
      <c r="DG268" s="1665">
        <v>0</v>
      </c>
      <c r="DH268" s="1665">
        <v>0</v>
      </c>
    </row>
    <row r="269" spans="1:112" ht="67.5" hidden="1" x14ac:dyDescent="0.25">
      <c r="A269" s="1662" t="s">
        <v>2327</v>
      </c>
      <c r="B269" s="1662" t="s">
        <v>1727</v>
      </c>
      <c r="C269" s="1662" t="s">
        <v>2636</v>
      </c>
      <c r="D269" s="1662" t="s">
        <v>2637</v>
      </c>
      <c r="E269" s="1662" t="s">
        <v>2308</v>
      </c>
      <c r="F269" s="1662" t="s">
        <v>2638</v>
      </c>
      <c r="G269" s="1662" t="s">
        <v>2628</v>
      </c>
      <c r="H269" s="1662" t="s">
        <v>2613</v>
      </c>
      <c r="I269" s="1662" t="s">
        <v>734</v>
      </c>
      <c r="J269" s="1662" t="s">
        <v>316</v>
      </c>
      <c r="K269" s="1662" t="s">
        <v>2317</v>
      </c>
      <c r="L269" s="1662" t="s">
        <v>2109</v>
      </c>
      <c r="M269" s="1663"/>
      <c r="N269" s="1663"/>
      <c r="O269" s="1663"/>
      <c r="P269" s="1663"/>
      <c r="Q269" s="1663"/>
      <c r="R269" s="1663"/>
      <c r="S269" s="1663"/>
      <c r="T269" s="1663"/>
      <c r="U269" s="1663"/>
      <c r="V269" s="1663"/>
      <c r="W269" s="1663"/>
      <c r="X269" s="1663"/>
      <c r="Y269" s="1664">
        <v>43229</v>
      </c>
      <c r="Z269" s="1662" t="s">
        <v>2110</v>
      </c>
      <c r="AA269" s="1665">
        <v>0</v>
      </c>
      <c r="AB269" s="1665">
        <v>0</v>
      </c>
      <c r="AC269" s="1680">
        <v>0</v>
      </c>
      <c r="AD269" s="1682">
        <v>43258</v>
      </c>
      <c r="AE269" s="1679" t="s">
        <v>2130</v>
      </c>
      <c r="AF269" s="1662" t="s">
        <v>2115</v>
      </c>
      <c r="AG269" s="1666"/>
      <c r="AH269" s="1667">
        <v>15285.67</v>
      </c>
      <c r="AI269" s="1665">
        <v>15285.67</v>
      </c>
      <c r="AJ269" s="1665">
        <v>15285.67</v>
      </c>
      <c r="AK269" s="1698">
        <v>12992.82</v>
      </c>
      <c r="AL269" s="1665">
        <v>2292.85</v>
      </c>
      <c r="AM269" s="1664">
        <v>43258</v>
      </c>
      <c r="AN269" s="1665">
        <v>15285.67</v>
      </c>
      <c r="AO269" s="1665">
        <v>15285.67</v>
      </c>
      <c r="AP269" s="1665">
        <v>15285.67</v>
      </c>
      <c r="AQ269" s="1665">
        <v>12992.82</v>
      </c>
      <c r="AR269" s="1665">
        <v>2292.85</v>
      </c>
      <c r="AS269" s="1665">
        <v>0</v>
      </c>
      <c r="AT269" s="1665">
        <v>0</v>
      </c>
      <c r="AU269" s="1665">
        <v>0</v>
      </c>
      <c r="AV269" s="1665">
        <v>0</v>
      </c>
      <c r="AW269" s="1665">
        <v>0</v>
      </c>
      <c r="AX269" s="1663"/>
      <c r="AY269" s="1663"/>
      <c r="AZ269" s="1663"/>
      <c r="BA269" s="1668"/>
      <c r="BB269" s="1668"/>
      <c r="BC269" s="1663"/>
      <c r="BD269" s="1663"/>
      <c r="BE269" s="1665">
        <v>15285.67</v>
      </c>
      <c r="BF269" s="1665">
        <v>15285.67</v>
      </c>
      <c r="BG269" s="1665">
        <v>15285.67</v>
      </c>
      <c r="BH269" s="1665">
        <v>12992.82</v>
      </c>
      <c r="BI269" s="1665">
        <v>2292.85</v>
      </c>
      <c r="BJ269" s="1665">
        <v>0</v>
      </c>
      <c r="BK269" s="1665">
        <v>0</v>
      </c>
      <c r="BL269" s="1665">
        <v>0</v>
      </c>
      <c r="BM269" s="1665">
        <v>0</v>
      </c>
      <c r="BN269" s="1665">
        <v>0</v>
      </c>
      <c r="BO269" s="1664">
        <v>43364</v>
      </c>
      <c r="BP269" s="1665">
        <v>15285.67</v>
      </c>
      <c r="BQ269" s="1665">
        <v>15285.67</v>
      </c>
      <c r="BR269" s="1665">
        <v>15285.67</v>
      </c>
      <c r="BS269" s="1667">
        <v>12992.82</v>
      </c>
      <c r="BT269" s="1665">
        <v>2292.85</v>
      </c>
      <c r="BU269" s="1665">
        <v>0</v>
      </c>
      <c r="BV269" s="1665">
        <v>0</v>
      </c>
      <c r="BW269" s="1665">
        <v>0</v>
      </c>
      <c r="BX269" s="1665">
        <v>0</v>
      </c>
      <c r="BY269" s="1665">
        <v>0</v>
      </c>
      <c r="BZ269" s="1665">
        <v>0</v>
      </c>
      <c r="CA269" s="1663"/>
      <c r="CB269" s="1668"/>
      <c r="CC269" s="1668"/>
      <c r="CD269" s="1663"/>
      <c r="CE269" s="1663"/>
      <c r="CF269" s="1665">
        <v>0</v>
      </c>
      <c r="CG269" s="1665">
        <v>0</v>
      </c>
      <c r="CH269" s="1665">
        <v>0</v>
      </c>
      <c r="CI269" s="1665">
        <v>0</v>
      </c>
      <c r="CJ269" s="1665">
        <v>0</v>
      </c>
      <c r="CK269" s="1665">
        <v>0</v>
      </c>
      <c r="CL269" s="1668"/>
      <c r="CM269" s="1665">
        <v>0</v>
      </c>
      <c r="CN269" s="1665">
        <v>0</v>
      </c>
      <c r="CO269" s="1665">
        <v>0</v>
      </c>
      <c r="CP269" s="1665">
        <v>0</v>
      </c>
      <c r="CQ269" s="1665">
        <v>0</v>
      </c>
      <c r="CR269" s="1665">
        <v>0</v>
      </c>
      <c r="CS269" s="1665">
        <v>0</v>
      </c>
      <c r="CT269" s="1665">
        <v>0</v>
      </c>
      <c r="CU269" s="1665">
        <v>0</v>
      </c>
      <c r="CV269" s="1665">
        <v>0</v>
      </c>
      <c r="CW269" s="1668"/>
      <c r="CX269" s="1663"/>
      <c r="CY269" s="1663"/>
      <c r="CZ269" s="1663"/>
      <c r="DA269" s="1663"/>
      <c r="DB269" s="1668"/>
      <c r="DC269" s="1662"/>
      <c r="DD269" s="1665">
        <v>0</v>
      </c>
      <c r="DE269" s="1663"/>
      <c r="DF269" s="1663"/>
      <c r="DG269" s="1665">
        <v>0</v>
      </c>
      <c r="DH269" s="1665">
        <v>0</v>
      </c>
    </row>
    <row r="270" spans="1:112" ht="67.5" hidden="1" x14ac:dyDescent="0.25">
      <c r="A270" s="1662" t="s">
        <v>2328</v>
      </c>
      <c r="B270" s="1662" t="s">
        <v>1727</v>
      </c>
      <c r="C270" s="1662" t="s">
        <v>2636</v>
      </c>
      <c r="D270" s="1662" t="s">
        <v>2637</v>
      </c>
      <c r="E270" s="1662" t="s">
        <v>2308</v>
      </c>
      <c r="F270" s="1662" t="s">
        <v>2638</v>
      </c>
      <c r="G270" s="1662" t="s">
        <v>2628</v>
      </c>
      <c r="H270" s="1662" t="s">
        <v>2613</v>
      </c>
      <c r="I270" s="1662" t="s">
        <v>734</v>
      </c>
      <c r="J270" s="1662" t="s">
        <v>316</v>
      </c>
      <c r="K270" s="1662" t="s">
        <v>2317</v>
      </c>
      <c r="L270" s="1662" t="s">
        <v>2109</v>
      </c>
      <c r="M270" s="1663"/>
      <c r="N270" s="1663"/>
      <c r="O270" s="1663"/>
      <c r="P270" s="1663"/>
      <c r="Q270" s="1663"/>
      <c r="R270" s="1663"/>
      <c r="S270" s="1663"/>
      <c r="T270" s="1663"/>
      <c r="U270" s="1663"/>
      <c r="V270" s="1663"/>
      <c r="W270" s="1663"/>
      <c r="X270" s="1663"/>
      <c r="Y270" s="1664">
        <v>43229</v>
      </c>
      <c r="Z270" s="1662" t="s">
        <v>2110</v>
      </c>
      <c r="AA270" s="1665">
        <v>0</v>
      </c>
      <c r="AB270" s="1665">
        <v>0</v>
      </c>
      <c r="AC270" s="1680">
        <v>0</v>
      </c>
      <c r="AD270" s="1682">
        <v>43258</v>
      </c>
      <c r="AE270" s="1679" t="s">
        <v>2130</v>
      </c>
      <c r="AF270" s="1662" t="s">
        <v>2112</v>
      </c>
      <c r="AG270" s="1666"/>
      <c r="AH270" s="1667">
        <v>5872.05</v>
      </c>
      <c r="AI270" s="1665">
        <v>5872.05</v>
      </c>
      <c r="AJ270" s="1665">
        <v>5872.05</v>
      </c>
      <c r="AK270" s="1698">
        <v>4991.24</v>
      </c>
      <c r="AL270" s="1665">
        <v>880.81</v>
      </c>
      <c r="AM270" s="1664">
        <v>43258</v>
      </c>
      <c r="AN270" s="1665">
        <v>5872.05</v>
      </c>
      <c r="AO270" s="1665">
        <v>5872.05</v>
      </c>
      <c r="AP270" s="1665">
        <v>5872.05</v>
      </c>
      <c r="AQ270" s="1665">
        <v>4991.24</v>
      </c>
      <c r="AR270" s="1665">
        <v>880.81</v>
      </c>
      <c r="AS270" s="1665">
        <v>0</v>
      </c>
      <c r="AT270" s="1665">
        <v>0</v>
      </c>
      <c r="AU270" s="1665">
        <v>0</v>
      </c>
      <c r="AV270" s="1665">
        <v>0</v>
      </c>
      <c r="AW270" s="1665">
        <v>0</v>
      </c>
      <c r="AX270" s="1663"/>
      <c r="AY270" s="1663"/>
      <c r="AZ270" s="1663"/>
      <c r="BA270" s="1668"/>
      <c r="BB270" s="1668"/>
      <c r="BC270" s="1663"/>
      <c r="BD270" s="1663"/>
      <c r="BE270" s="1665">
        <v>5872.05</v>
      </c>
      <c r="BF270" s="1665">
        <v>5872.05</v>
      </c>
      <c r="BG270" s="1665">
        <v>5872.05</v>
      </c>
      <c r="BH270" s="1665">
        <v>4991.24</v>
      </c>
      <c r="BI270" s="1665">
        <v>880.81</v>
      </c>
      <c r="BJ270" s="1665">
        <v>0</v>
      </c>
      <c r="BK270" s="1665">
        <v>0</v>
      </c>
      <c r="BL270" s="1665">
        <v>0</v>
      </c>
      <c r="BM270" s="1665">
        <v>0</v>
      </c>
      <c r="BN270" s="1665">
        <v>0</v>
      </c>
      <c r="BO270" s="1664">
        <v>43364</v>
      </c>
      <c r="BP270" s="1665">
        <v>5872.05</v>
      </c>
      <c r="BQ270" s="1665">
        <v>5872.05</v>
      </c>
      <c r="BR270" s="1665">
        <v>5872.05</v>
      </c>
      <c r="BS270" s="1667">
        <v>4991.24</v>
      </c>
      <c r="BT270" s="1665">
        <v>880.81</v>
      </c>
      <c r="BU270" s="1665">
        <v>0</v>
      </c>
      <c r="BV270" s="1665">
        <v>0</v>
      </c>
      <c r="BW270" s="1665">
        <v>0</v>
      </c>
      <c r="BX270" s="1665">
        <v>0</v>
      </c>
      <c r="BY270" s="1665">
        <v>0</v>
      </c>
      <c r="BZ270" s="1665">
        <v>0</v>
      </c>
      <c r="CA270" s="1663"/>
      <c r="CB270" s="1668"/>
      <c r="CC270" s="1668"/>
      <c r="CD270" s="1663"/>
      <c r="CE270" s="1663"/>
      <c r="CF270" s="1665">
        <v>0</v>
      </c>
      <c r="CG270" s="1665">
        <v>0</v>
      </c>
      <c r="CH270" s="1665">
        <v>0</v>
      </c>
      <c r="CI270" s="1665">
        <v>0</v>
      </c>
      <c r="CJ270" s="1665">
        <v>0</v>
      </c>
      <c r="CK270" s="1665">
        <v>0</v>
      </c>
      <c r="CL270" s="1668"/>
      <c r="CM270" s="1665">
        <v>0</v>
      </c>
      <c r="CN270" s="1665">
        <v>0</v>
      </c>
      <c r="CO270" s="1665">
        <v>0</v>
      </c>
      <c r="CP270" s="1665">
        <v>0</v>
      </c>
      <c r="CQ270" s="1665">
        <v>0</v>
      </c>
      <c r="CR270" s="1665">
        <v>0</v>
      </c>
      <c r="CS270" s="1665">
        <v>0</v>
      </c>
      <c r="CT270" s="1665">
        <v>0</v>
      </c>
      <c r="CU270" s="1665">
        <v>0</v>
      </c>
      <c r="CV270" s="1665">
        <v>0</v>
      </c>
      <c r="CW270" s="1668"/>
      <c r="CX270" s="1663"/>
      <c r="CY270" s="1663"/>
      <c r="CZ270" s="1663"/>
      <c r="DA270" s="1663"/>
      <c r="DB270" s="1668"/>
      <c r="DC270" s="1662"/>
      <c r="DD270" s="1665">
        <v>0</v>
      </c>
      <c r="DE270" s="1663"/>
      <c r="DF270" s="1663"/>
      <c r="DG270" s="1665">
        <v>0</v>
      </c>
      <c r="DH270" s="1665">
        <v>0</v>
      </c>
    </row>
    <row r="271" spans="1:112" ht="33.75" hidden="1" x14ac:dyDescent="0.25">
      <c r="A271" s="1662" t="s">
        <v>2329</v>
      </c>
      <c r="B271" s="1662" t="s">
        <v>1727</v>
      </c>
      <c r="C271" s="1662" t="s">
        <v>2636</v>
      </c>
      <c r="D271" s="1662" t="s">
        <v>2637</v>
      </c>
      <c r="E271" s="1662" t="s">
        <v>2308</v>
      </c>
      <c r="F271" s="1662" t="s">
        <v>2638</v>
      </c>
      <c r="G271" s="1662" t="s">
        <v>2628</v>
      </c>
      <c r="H271" s="1662" t="s">
        <v>2613</v>
      </c>
      <c r="I271" s="1662" t="s">
        <v>735</v>
      </c>
      <c r="J271" s="1662" t="s">
        <v>314</v>
      </c>
      <c r="K271" s="1662" t="s">
        <v>2126</v>
      </c>
      <c r="L271" s="1662" t="s">
        <v>2109</v>
      </c>
      <c r="M271" s="1665">
        <v>188353</v>
      </c>
      <c r="N271" s="1665">
        <v>0</v>
      </c>
      <c r="O271" s="1665">
        <v>188353</v>
      </c>
      <c r="P271" s="1665">
        <v>188353</v>
      </c>
      <c r="Q271" s="1665">
        <v>160100</v>
      </c>
      <c r="R271" s="1665">
        <v>160100</v>
      </c>
      <c r="S271" s="1665">
        <v>0</v>
      </c>
      <c r="T271" s="1665">
        <v>28253</v>
      </c>
      <c r="U271" s="1665">
        <v>0</v>
      </c>
      <c r="V271" s="1665">
        <v>28253</v>
      </c>
      <c r="W271" s="1665">
        <v>0</v>
      </c>
      <c r="X271" s="1665">
        <v>0</v>
      </c>
      <c r="Y271" s="1668"/>
      <c r="Z271" s="1662"/>
      <c r="AA271" s="1665">
        <v>0</v>
      </c>
      <c r="AB271" s="1665">
        <v>0</v>
      </c>
      <c r="AC271" s="1680">
        <v>0</v>
      </c>
      <c r="AD271" s="1681"/>
      <c r="AE271" s="1679"/>
      <c r="AF271" s="1662"/>
      <c r="AG271" s="1666"/>
      <c r="AH271" s="1667">
        <v>2412.4299999999998</v>
      </c>
      <c r="AI271" s="1665">
        <v>2412.4299999999998</v>
      </c>
      <c r="AJ271" s="1665">
        <v>2050.56</v>
      </c>
      <c r="AK271" s="1698">
        <v>2050.56</v>
      </c>
      <c r="AL271" s="1665">
        <v>0</v>
      </c>
      <c r="AM271" s="1668"/>
      <c r="AN271" s="1665">
        <v>0</v>
      </c>
      <c r="AO271" s="1665">
        <v>0</v>
      </c>
      <c r="AP271" s="1665">
        <v>0</v>
      </c>
      <c r="AQ271" s="1665">
        <v>0</v>
      </c>
      <c r="AR271" s="1665">
        <v>0</v>
      </c>
      <c r="AS271" s="1665">
        <v>0</v>
      </c>
      <c r="AT271" s="1665">
        <v>0</v>
      </c>
      <c r="AU271" s="1665">
        <v>0</v>
      </c>
      <c r="AV271" s="1665">
        <v>0</v>
      </c>
      <c r="AW271" s="1665">
        <v>0</v>
      </c>
      <c r="AX271" s="1665">
        <v>0</v>
      </c>
      <c r="AY271" s="1665">
        <v>0</v>
      </c>
      <c r="AZ271" s="1665">
        <v>0</v>
      </c>
      <c r="BA271" s="1668"/>
      <c r="BB271" s="1668"/>
      <c r="BC271" s="1665">
        <v>0</v>
      </c>
      <c r="BD271" s="1665">
        <v>0</v>
      </c>
      <c r="BE271" s="1665">
        <v>0</v>
      </c>
      <c r="BF271" s="1665">
        <v>0</v>
      </c>
      <c r="BG271" s="1665">
        <v>0</v>
      </c>
      <c r="BH271" s="1665">
        <v>0</v>
      </c>
      <c r="BI271" s="1665">
        <v>0</v>
      </c>
      <c r="BJ271" s="1665">
        <v>0</v>
      </c>
      <c r="BK271" s="1665">
        <v>0</v>
      </c>
      <c r="BL271" s="1665">
        <v>0</v>
      </c>
      <c r="BM271" s="1665">
        <v>0</v>
      </c>
      <c r="BN271" s="1665">
        <v>0</v>
      </c>
      <c r="BO271" s="1668"/>
      <c r="BP271" s="1665">
        <v>0</v>
      </c>
      <c r="BQ271" s="1665">
        <v>0</v>
      </c>
      <c r="BR271" s="1665">
        <v>0</v>
      </c>
      <c r="BS271" s="1667">
        <v>0</v>
      </c>
      <c r="BT271" s="1665">
        <v>0</v>
      </c>
      <c r="BU271" s="1665">
        <v>0</v>
      </c>
      <c r="BV271" s="1665">
        <v>0</v>
      </c>
      <c r="BW271" s="1665">
        <v>0</v>
      </c>
      <c r="BX271" s="1665">
        <v>0</v>
      </c>
      <c r="BY271" s="1665">
        <v>0</v>
      </c>
      <c r="BZ271" s="1663"/>
      <c r="CA271" s="1665">
        <v>0</v>
      </c>
      <c r="CB271" s="1668"/>
      <c r="CC271" s="1668"/>
      <c r="CD271" s="1665">
        <v>0</v>
      </c>
      <c r="CE271" s="1665">
        <v>0</v>
      </c>
      <c r="CF271" s="1665">
        <v>0</v>
      </c>
      <c r="CG271" s="1665">
        <v>0</v>
      </c>
      <c r="CH271" s="1665">
        <v>0</v>
      </c>
      <c r="CI271" s="1665">
        <v>0</v>
      </c>
      <c r="CJ271" s="1665">
        <v>0</v>
      </c>
      <c r="CK271" s="1665">
        <v>0</v>
      </c>
      <c r="CL271" s="1668"/>
      <c r="CM271" s="1665">
        <v>0</v>
      </c>
      <c r="CN271" s="1665">
        <v>0</v>
      </c>
      <c r="CO271" s="1665">
        <v>0</v>
      </c>
      <c r="CP271" s="1665">
        <v>0</v>
      </c>
      <c r="CQ271" s="1665">
        <v>0</v>
      </c>
      <c r="CR271" s="1665">
        <v>0</v>
      </c>
      <c r="CS271" s="1665">
        <v>0</v>
      </c>
      <c r="CT271" s="1665">
        <v>0</v>
      </c>
      <c r="CU271" s="1665">
        <v>0</v>
      </c>
      <c r="CV271" s="1665">
        <v>0</v>
      </c>
      <c r="CW271" s="1668"/>
      <c r="CX271" s="1665">
        <v>0</v>
      </c>
      <c r="CY271" s="1665">
        <v>0</v>
      </c>
      <c r="CZ271" s="1665">
        <v>0</v>
      </c>
      <c r="DA271" s="1665">
        <v>0</v>
      </c>
      <c r="DB271" s="1668"/>
      <c r="DC271" s="1662"/>
      <c r="DD271" s="1665">
        <v>0</v>
      </c>
      <c r="DE271" s="1665">
        <v>0</v>
      </c>
      <c r="DF271" s="1665">
        <v>0</v>
      </c>
      <c r="DG271" s="1665">
        <v>0</v>
      </c>
      <c r="DH271" s="1665">
        <v>0</v>
      </c>
    </row>
    <row r="272" spans="1:112" ht="33.75" hidden="1" x14ac:dyDescent="0.25">
      <c r="A272" s="1662" t="s">
        <v>2330</v>
      </c>
      <c r="B272" s="1662" t="s">
        <v>1727</v>
      </c>
      <c r="C272" s="1662" t="s">
        <v>2636</v>
      </c>
      <c r="D272" s="1662" t="s">
        <v>2637</v>
      </c>
      <c r="E272" s="1662" t="s">
        <v>2308</v>
      </c>
      <c r="F272" s="1662" t="s">
        <v>2638</v>
      </c>
      <c r="G272" s="1662" t="s">
        <v>2628</v>
      </c>
      <c r="H272" s="1662" t="s">
        <v>2613</v>
      </c>
      <c r="I272" s="1662" t="s">
        <v>735</v>
      </c>
      <c r="J272" s="1662" t="s">
        <v>314</v>
      </c>
      <c r="K272" s="1662" t="s">
        <v>2126</v>
      </c>
      <c r="L272" s="1662" t="s">
        <v>2109</v>
      </c>
      <c r="M272" s="1663"/>
      <c r="N272" s="1663"/>
      <c r="O272" s="1663"/>
      <c r="P272" s="1663"/>
      <c r="Q272" s="1663"/>
      <c r="R272" s="1663"/>
      <c r="S272" s="1663"/>
      <c r="T272" s="1663"/>
      <c r="U272" s="1663"/>
      <c r="V272" s="1663"/>
      <c r="W272" s="1663"/>
      <c r="X272" s="1663"/>
      <c r="Y272" s="1664">
        <v>43343</v>
      </c>
      <c r="Z272" s="1662" t="s">
        <v>2110</v>
      </c>
      <c r="AA272" s="1665">
        <v>0</v>
      </c>
      <c r="AB272" s="1665">
        <v>0</v>
      </c>
      <c r="AC272" s="1680">
        <v>0</v>
      </c>
      <c r="AD272" s="1682">
        <v>43378</v>
      </c>
      <c r="AE272" s="1679" t="s">
        <v>2129</v>
      </c>
      <c r="AF272" s="1662" t="s">
        <v>2115</v>
      </c>
      <c r="AG272" s="1666"/>
      <c r="AH272" s="1667">
        <v>2412.4299999999998</v>
      </c>
      <c r="AI272" s="1665">
        <v>2412.4299999999998</v>
      </c>
      <c r="AJ272" s="1665">
        <v>2050.56</v>
      </c>
      <c r="AK272" s="1698">
        <v>2050.56</v>
      </c>
      <c r="AL272" s="1665">
        <v>0</v>
      </c>
      <c r="AM272" s="1668"/>
      <c r="AN272" s="1665">
        <v>0</v>
      </c>
      <c r="AO272" s="1665">
        <v>0</v>
      </c>
      <c r="AP272" s="1665">
        <v>0</v>
      </c>
      <c r="AQ272" s="1665">
        <v>0</v>
      </c>
      <c r="AR272" s="1665">
        <v>0</v>
      </c>
      <c r="AS272" s="1665">
        <v>0</v>
      </c>
      <c r="AT272" s="1665">
        <v>0</v>
      </c>
      <c r="AU272" s="1665">
        <v>0</v>
      </c>
      <c r="AV272" s="1665">
        <v>0</v>
      </c>
      <c r="AW272" s="1665">
        <v>0</v>
      </c>
      <c r="AX272" s="1663"/>
      <c r="AY272" s="1663"/>
      <c r="AZ272" s="1663"/>
      <c r="BA272" s="1668"/>
      <c r="BB272" s="1668"/>
      <c r="BC272" s="1663"/>
      <c r="BD272" s="1663"/>
      <c r="BE272" s="1665">
        <v>0</v>
      </c>
      <c r="BF272" s="1665">
        <v>0</v>
      </c>
      <c r="BG272" s="1665">
        <v>0</v>
      </c>
      <c r="BH272" s="1665">
        <v>0</v>
      </c>
      <c r="BI272" s="1665">
        <v>0</v>
      </c>
      <c r="BJ272" s="1665">
        <v>0</v>
      </c>
      <c r="BK272" s="1665">
        <v>0</v>
      </c>
      <c r="BL272" s="1665">
        <v>0</v>
      </c>
      <c r="BM272" s="1665">
        <v>0</v>
      </c>
      <c r="BN272" s="1665">
        <v>0</v>
      </c>
      <c r="BO272" s="1668"/>
      <c r="BP272" s="1665">
        <v>0</v>
      </c>
      <c r="BQ272" s="1665">
        <v>0</v>
      </c>
      <c r="BR272" s="1665">
        <v>0</v>
      </c>
      <c r="BS272" s="1667">
        <v>0</v>
      </c>
      <c r="BT272" s="1665">
        <v>0</v>
      </c>
      <c r="BU272" s="1665">
        <v>0</v>
      </c>
      <c r="BV272" s="1665">
        <v>0</v>
      </c>
      <c r="BW272" s="1665">
        <v>0</v>
      </c>
      <c r="BX272" s="1665">
        <v>0</v>
      </c>
      <c r="BY272" s="1665">
        <v>0</v>
      </c>
      <c r="BZ272" s="1663"/>
      <c r="CA272" s="1663"/>
      <c r="CB272" s="1668"/>
      <c r="CC272" s="1668"/>
      <c r="CD272" s="1663"/>
      <c r="CE272" s="1663"/>
      <c r="CF272" s="1665">
        <v>0</v>
      </c>
      <c r="CG272" s="1665">
        <v>0</v>
      </c>
      <c r="CH272" s="1665">
        <v>0</v>
      </c>
      <c r="CI272" s="1665">
        <v>0</v>
      </c>
      <c r="CJ272" s="1665">
        <v>0</v>
      </c>
      <c r="CK272" s="1665">
        <v>0</v>
      </c>
      <c r="CL272" s="1668"/>
      <c r="CM272" s="1665">
        <v>0</v>
      </c>
      <c r="CN272" s="1665">
        <v>0</v>
      </c>
      <c r="CO272" s="1665">
        <v>0</v>
      </c>
      <c r="CP272" s="1665">
        <v>0</v>
      </c>
      <c r="CQ272" s="1665">
        <v>0</v>
      </c>
      <c r="CR272" s="1665">
        <v>0</v>
      </c>
      <c r="CS272" s="1665">
        <v>0</v>
      </c>
      <c r="CT272" s="1665">
        <v>0</v>
      </c>
      <c r="CU272" s="1665">
        <v>0</v>
      </c>
      <c r="CV272" s="1665">
        <v>0</v>
      </c>
      <c r="CW272" s="1668"/>
      <c r="CX272" s="1663"/>
      <c r="CY272" s="1663"/>
      <c r="CZ272" s="1663"/>
      <c r="DA272" s="1663"/>
      <c r="DB272" s="1668"/>
      <c r="DC272" s="1662"/>
      <c r="DD272" s="1665">
        <v>0</v>
      </c>
      <c r="DE272" s="1663"/>
      <c r="DF272" s="1663"/>
      <c r="DG272" s="1665">
        <v>0</v>
      </c>
      <c r="DH272" s="1665">
        <v>0</v>
      </c>
    </row>
    <row r="273" spans="1:112" ht="22.5" hidden="1" x14ac:dyDescent="0.25">
      <c r="A273" s="1662" t="s">
        <v>2331</v>
      </c>
      <c r="B273" s="1662" t="s">
        <v>1727</v>
      </c>
      <c r="C273" s="1662" t="s">
        <v>2636</v>
      </c>
      <c r="D273" s="1662" t="s">
        <v>2637</v>
      </c>
      <c r="E273" s="1662" t="s">
        <v>2308</v>
      </c>
      <c r="F273" s="1662" t="s">
        <v>2638</v>
      </c>
      <c r="G273" s="1662" t="s">
        <v>2628</v>
      </c>
      <c r="H273" s="1662" t="s">
        <v>2613</v>
      </c>
      <c r="I273" s="1662" t="s">
        <v>736</v>
      </c>
      <c r="J273" s="1662" t="s">
        <v>218</v>
      </c>
      <c r="K273" s="1662" t="s">
        <v>2120</v>
      </c>
      <c r="L273" s="1662" t="s">
        <v>2109</v>
      </c>
      <c r="M273" s="1665">
        <v>637900.55000000005</v>
      </c>
      <c r="N273" s="1665">
        <v>0</v>
      </c>
      <c r="O273" s="1665">
        <v>637900.55000000005</v>
      </c>
      <c r="P273" s="1665">
        <v>637900.55000000005</v>
      </c>
      <c r="Q273" s="1665">
        <v>346361</v>
      </c>
      <c r="R273" s="1665">
        <v>346361</v>
      </c>
      <c r="S273" s="1665">
        <v>0</v>
      </c>
      <c r="T273" s="1665">
        <v>291539.55</v>
      </c>
      <c r="U273" s="1665">
        <v>0</v>
      </c>
      <c r="V273" s="1665">
        <v>291539.55</v>
      </c>
      <c r="W273" s="1665">
        <v>0</v>
      </c>
      <c r="X273" s="1665">
        <v>0</v>
      </c>
      <c r="Y273" s="1668"/>
      <c r="Z273" s="1662"/>
      <c r="AA273" s="1665">
        <v>0</v>
      </c>
      <c r="AB273" s="1665">
        <v>0</v>
      </c>
      <c r="AC273" s="1680">
        <v>0</v>
      </c>
      <c r="AD273" s="1681"/>
      <c r="AE273" s="1679"/>
      <c r="AF273" s="1662"/>
      <c r="AG273" s="1666"/>
      <c r="AH273" s="1667">
        <v>600632.09</v>
      </c>
      <c r="AI273" s="1665">
        <v>600632.09</v>
      </c>
      <c r="AJ273" s="1665">
        <v>326125.34000000003</v>
      </c>
      <c r="AK273" s="1698">
        <v>326125.34000000003</v>
      </c>
      <c r="AL273" s="1665">
        <v>0</v>
      </c>
      <c r="AM273" s="1668"/>
      <c r="AN273" s="1665">
        <v>598231.47</v>
      </c>
      <c r="AO273" s="1665">
        <v>598231.47</v>
      </c>
      <c r="AP273" s="1665">
        <v>324821.87</v>
      </c>
      <c r="AQ273" s="1665">
        <v>324821.87</v>
      </c>
      <c r="AR273" s="1665">
        <v>0</v>
      </c>
      <c r="AS273" s="1665">
        <v>273409.59999999998</v>
      </c>
      <c r="AT273" s="1665">
        <v>0</v>
      </c>
      <c r="AU273" s="1665">
        <v>273409.59999999998</v>
      </c>
      <c r="AV273" s="1665">
        <v>0</v>
      </c>
      <c r="AW273" s="1665">
        <v>0</v>
      </c>
      <c r="AX273" s="1665">
        <v>0</v>
      </c>
      <c r="AY273" s="1665">
        <v>0</v>
      </c>
      <c r="AZ273" s="1665">
        <v>0</v>
      </c>
      <c r="BA273" s="1668"/>
      <c r="BB273" s="1668"/>
      <c r="BC273" s="1665">
        <v>0</v>
      </c>
      <c r="BD273" s="1665">
        <v>0</v>
      </c>
      <c r="BE273" s="1665">
        <v>598231.47</v>
      </c>
      <c r="BF273" s="1665">
        <v>598231.47</v>
      </c>
      <c r="BG273" s="1665">
        <v>324821.87</v>
      </c>
      <c r="BH273" s="1665">
        <v>324821.87</v>
      </c>
      <c r="BI273" s="1665">
        <v>0</v>
      </c>
      <c r="BJ273" s="1665">
        <v>273409.59999999998</v>
      </c>
      <c r="BK273" s="1665">
        <v>0</v>
      </c>
      <c r="BL273" s="1665">
        <v>273409.59999999998</v>
      </c>
      <c r="BM273" s="1665">
        <v>0</v>
      </c>
      <c r="BN273" s="1665">
        <v>0</v>
      </c>
      <c r="BO273" s="1668"/>
      <c r="BP273" s="1665">
        <v>556103.48</v>
      </c>
      <c r="BQ273" s="1665">
        <v>556103.48</v>
      </c>
      <c r="BR273" s="1665">
        <v>301947.63</v>
      </c>
      <c r="BS273" s="1667">
        <v>301947.63</v>
      </c>
      <c r="BT273" s="1665">
        <v>0</v>
      </c>
      <c r="BU273" s="1665">
        <v>254155.85</v>
      </c>
      <c r="BV273" s="1665">
        <v>0</v>
      </c>
      <c r="BW273" s="1665">
        <v>0</v>
      </c>
      <c r="BX273" s="1665">
        <v>0</v>
      </c>
      <c r="BY273" s="1665">
        <v>0</v>
      </c>
      <c r="BZ273" s="1665">
        <v>0</v>
      </c>
      <c r="CA273" s="1665">
        <v>0</v>
      </c>
      <c r="CB273" s="1668"/>
      <c r="CC273" s="1668"/>
      <c r="CD273" s="1665">
        <v>0</v>
      </c>
      <c r="CE273" s="1665">
        <v>0</v>
      </c>
      <c r="CF273" s="1665">
        <v>0</v>
      </c>
      <c r="CG273" s="1665">
        <v>0</v>
      </c>
      <c r="CH273" s="1665">
        <v>0</v>
      </c>
      <c r="CI273" s="1665">
        <v>0</v>
      </c>
      <c r="CJ273" s="1665">
        <v>3920.51</v>
      </c>
      <c r="CK273" s="1665">
        <v>3920.51</v>
      </c>
      <c r="CL273" s="1668"/>
      <c r="CM273" s="1665">
        <v>0</v>
      </c>
      <c r="CN273" s="1665">
        <v>0</v>
      </c>
      <c r="CO273" s="1665">
        <v>0</v>
      </c>
      <c r="CP273" s="1665">
        <v>0</v>
      </c>
      <c r="CQ273" s="1665">
        <v>0</v>
      </c>
      <c r="CR273" s="1665">
        <v>0</v>
      </c>
      <c r="CS273" s="1665">
        <v>0</v>
      </c>
      <c r="CT273" s="1665">
        <v>0</v>
      </c>
      <c r="CU273" s="1665">
        <v>0</v>
      </c>
      <c r="CV273" s="1665">
        <v>0</v>
      </c>
      <c r="CW273" s="1668"/>
      <c r="CX273" s="1665">
        <v>0</v>
      </c>
      <c r="CY273" s="1665">
        <v>0</v>
      </c>
      <c r="CZ273" s="1665">
        <v>0</v>
      </c>
      <c r="DA273" s="1665">
        <v>0</v>
      </c>
      <c r="DB273" s="1668"/>
      <c r="DC273" s="1662"/>
      <c r="DD273" s="1665">
        <v>0</v>
      </c>
      <c r="DE273" s="1665">
        <v>0</v>
      </c>
      <c r="DF273" s="1665">
        <v>0</v>
      </c>
      <c r="DG273" s="1665">
        <v>0</v>
      </c>
      <c r="DH273" s="1665">
        <v>0</v>
      </c>
    </row>
    <row r="274" spans="1:112" ht="22.5" hidden="1" x14ac:dyDescent="0.25">
      <c r="A274" s="1662" t="s">
        <v>2332</v>
      </c>
      <c r="B274" s="1662" t="s">
        <v>1727</v>
      </c>
      <c r="C274" s="1662" t="s">
        <v>2636</v>
      </c>
      <c r="D274" s="1662" t="s">
        <v>2637</v>
      </c>
      <c r="E274" s="1662" t="s">
        <v>2308</v>
      </c>
      <c r="F274" s="1662" t="s">
        <v>2638</v>
      </c>
      <c r="G274" s="1662" t="s">
        <v>2628</v>
      </c>
      <c r="H274" s="1662" t="s">
        <v>2613</v>
      </c>
      <c r="I274" s="1662" t="s">
        <v>736</v>
      </c>
      <c r="J274" s="1662" t="s">
        <v>218</v>
      </c>
      <c r="K274" s="1662" t="s">
        <v>2120</v>
      </c>
      <c r="L274" s="1662" t="s">
        <v>2109</v>
      </c>
      <c r="M274" s="1663"/>
      <c r="N274" s="1663"/>
      <c r="O274" s="1663"/>
      <c r="P274" s="1663"/>
      <c r="Q274" s="1663"/>
      <c r="R274" s="1663"/>
      <c r="S274" s="1663"/>
      <c r="T274" s="1663"/>
      <c r="U274" s="1663"/>
      <c r="V274" s="1663"/>
      <c r="W274" s="1663"/>
      <c r="X274" s="1663"/>
      <c r="Y274" s="1664">
        <v>43139</v>
      </c>
      <c r="Z274" s="1662" t="s">
        <v>2110</v>
      </c>
      <c r="AA274" s="1665">
        <v>0</v>
      </c>
      <c r="AB274" s="1665">
        <v>0</v>
      </c>
      <c r="AC274" s="1680">
        <v>0</v>
      </c>
      <c r="AD274" s="1682">
        <v>43161</v>
      </c>
      <c r="AE274" s="1679" t="s">
        <v>2114</v>
      </c>
      <c r="AF274" s="1662" t="s">
        <v>2115</v>
      </c>
      <c r="AG274" s="1666"/>
      <c r="AH274" s="1667">
        <v>70795.850000000006</v>
      </c>
      <c r="AI274" s="1665">
        <v>70795.850000000006</v>
      </c>
      <c r="AJ274" s="1665">
        <v>38440.04</v>
      </c>
      <c r="AK274" s="1698">
        <v>38440.04</v>
      </c>
      <c r="AL274" s="1665">
        <v>0</v>
      </c>
      <c r="AM274" s="1664">
        <v>43165</v>
      </c>
      <c r="AN274" s="1665">
        <v>70795.850000000006</v>
      </c>
      <c r="AO274" s="1665">
        <v>70795.850000000006</v>
      </c>
      <c r="AP274" s="1665">
        <v>38440.04</v>
      </c>
      <c r="AQ274" s="1665">
        <v>38440.04</v>
      </c>
      <c r="AR274" s="1665">
        <v>0</v>
      </c>
      <c r="AS274" s="1665">
        <v>32355.81</v>
      </c>
      <c r="AT274" s="1665">
        <v>0</v>
      </c>
      <c r="AU274" s="1665">
        <v>32355.81</v>
      </c>
      <c r="AV274" s="1665">
        <v>0</v>
      </c>
      <c r="AW274" s="1665">
        <v>0</v>
      </c>
      <c r="AX274" s="1663"/>
      <c r="AY274" s="1663"/>
      <c r="AZ274" s="1663"/>
      <c r="BA274" s="1668"/>
      <c r="BB274" s="1668"/>
      <c r="BC274" s="1663"/>
      <c r="BD274" s="1663"/>
      <c r="BE274" s="1665">
        <v>70795.850000000006</v>
      </c>
      <c r="BF274" s="1665">
        <v>70795.850000000006</v>
      </c>
      <c r="BG274" s="1665">
        <v>38440.04</v>
      </c>
      <c r="BH274" s="1665">
        <v>38440.04</v>
      </c>
      <c r="BI274" s="1665">
        <v>0</v>
      </c>
      <c r="BJ274" s="1665">
        <v>32355.81</v>
      </c>
      <c r="BK274" s="1665">
        <v>0</v>
      </c>
      <c r="BL274" s="1665">
        <v>32355.81</v>
      </c>
      <c r="BM274" s="1665">
        <v>0</v>
      </c>
      <c r="BN274" s="1665">
        <v>0</v>
      </c>
      <c r="BO274" s="1664">
        <v>43236</v>
      </c>
      <c r="BP274" s="1665">
        <v>70795.850000000006</v>
      </c>
      <c r="BQ274" s="1665">
        <v>70795.850000000006</v>
      </c>
      <c r="BR274" s="1665">
        <v>38440.04</v>
      </c>
      <c r="BS274" s="1667">
        <v>38440.04</v>
      </c>
      <c r="BT274" s="1665">
        <v>0</v>
      </c>
      <c r="BU274" s="1665">
        <v>32355.81</v>
      </c>
      <c r="BV274" s="1665">
        <v>0</v>
      </c>
      <c r="BW274" s="1665">
        <v>0</v>
      </c>
      <c r="BX274" s="1665">
        <v>0</v>
      </c>
      <c r="BY274" s="1665">
        <v>0</v>
      </c>
      <c r="BZ274" s="1665">
        <v>0</v>
      </c>
      <c r="CA274" s="1663"/>
      <c r="CB274" s="1668"/>
      <c r="CC274" s="1668"/>
      <c r="CD274" s="1663"/>
      <c r="CE274" s="1663"/>
      <c r="CF274" s="1665">
        <v>0</v>
      </c>
      <c r="CG274" s="1665">
        <v>0</v>
      </c>
      <c r="CH274" s="1665">
        <v>0</v>
      </c>
      <c r="CI274" s="1665">
        <v>0</v>
      </c>
      <c r="CJ274" s="1665">
        <v>499.11</v>
      </c>
      <c r="CK274" s="1665">
        <v>499.11</v>
      </c>
      <c r="CL274" s="1668"/>
      <c r="CM274" s="1665">
        <v>0</v>
      </c>
      <c r="CN274" s="1665">
        <v>0</v>
      </c>
      <c r="CO274" s="1665">
        <v>0</v>
      </c>
      <c r="CP274" s="1665">
        <v>0</v>
      </c>
      <c r="CQ274" s="1665">
        <v>0</v>
      </c>
      <c r="CR274" s="1665">
        <v>0</v>
      </c>
      <c r="CS274" s="1665">
        <v>0</v>
      </c>
      <c r="CT274" s="1665">
        <v>0</v>
      </c>
      <c r="CU274" s="1665">
        <v>0</v>
      </c>
      <c r="CV274" s="1665">
        <v>0</v>
      </c>
      <c r="CW274" s="1668"/>
      <c r="CX274" s="1663"/>
      <c r="CY274" s="1663"/>
      <c r="CZ274" s="1663"/>
      <c r="DA274" s="1663"/>
      <c r="DB274" s="1668"/>
      <c r="DC274" s="1662"/>
      <c r="DD274" s="1665">
        <v>0</v>
      </c>
      <c r="DE274" s="1663"/>
      <c r="DF274" s="1663"/>
      <c r="DG274" s="1665">
        <v>0</v>
      </c>
      <c r="DH274" s="1665">
        <v>0</v>
      </c>
    </row>
    <row r="275" spans="1:112" ht="22.5" hidden="1" x14ac:dyDescent="0.25">
      <c r="A275" s="1662" t="s">
        <v>2333</v>
      </c>
      <c r="B275" s="1662" t="s">
        <v>1727</v>
      </c>
      <c r="C275" s="1662" t="s">
        <v>2636</v>
      </c>
      <c r="D275" s="1662" t="s">
        <v>2637</v>
      </c>
      <c r="E275" s="1662" t="s">
        <v>2308</v>
      </c>
      <c r="F275" s="1662" t="s">
        <v>2638</v>
      </c>
      <c r="G275" s="1662" t="s">
        <v>2628</v>
      </c>
      <c r="H275" s="1662" t="s">
        <v>2613</v>
      </c>
      <c r="I275" s="1662" t="s">
        <v>736</v>
      </c>
      <c r="J275" s="1662" t="s">
        <v>218</v>
      </c>
      <c r="K275" s="1662" t="s">
        <v>2120</v>
      </c>
      <c r="L275" s="1662" t="s">
        <v>2109</v>
      </c>
      <c r="M275" s="1663"/>
      <c r="N275" s="1663"/>
      <c r="O275" s="1663"/>
      <c r="P275" s="1663"/>
      <c r="Q275" s="1663"/>
      <c r="R275" s="1663"/>
      <c r="S275" s="1663"/>
      <c r="T275" s="1663"/>
      <c r="U275" s="1663"/>
      <c r="V275" s="1663"/>
      <c r="W275" s="1663"/>
      <c r="X275" s="1663"/>
      <c r="Y275" s="1664">
        <v>43144</v>
      </c>
      <c r="Z275" s="1662" t="s">
        <v>2110</v>
      </c>
      <c r="AA275" s="1665">
        <v>0</v>
      </c>
      <c r="AB275" s="1665">
        <v>0</v>
      </c>
      <c r="AC275" s="1680">
        <v>0</v>
      </c>
      <c r="AD275" s="1682">
        <v>43166</v>
      </c>
      <c r="AE275" s="1679" t="s">
        <v>2128</v>
      </c>
      <c r="AF275" s="1662" t="s">
        <v>2112</v>
      </c>
      <c r="AG275" s="1666"/>
      <c r="AH275" s="1667">
        <v>158612.29999999999</v>
      </c>
      <c r="AI275" s="1665">
        <v>158612.29999999999</v>
      </c>
      <c r="AJ275" s="1665">
        <v>86121.75</v>
      </c>
      <c r="AK275" s="1698">
        <v>86121.75</v>
      </c>
      <c r="AL275" s="1665">
        <v>0</v>
      </c>
      <c r="AM275" s="1664">
        <v>43166</v>
      </c>
      <c r="AN275" s="1665">
        <v>158612.29999999999</v>
      </c>
      <c r="AO275" s="1665">
        <v>158612.29999999999</v>
      </c>
      <c r="AP275" s="1665">
        <v>86121.75</v>
      </c>
      <c r="AQ275" s="1665">
        <v>86121.75</v>
      </c>
      <c r="AR275" s="1665">
        <v>0</v>
      </c>
      <c r="AS275" s="1665">
        <v>72490.55</v>
      </c>
      <c r="AT275" s="1665">
        <v>0</v>
      </c>
      <c r="AU275" s="1665">
        <v>72490.55</v>
      </c>
      <c r="AV275" s="1665">
        <v>0</v>
      </c>
      <c r="AW275" s="1665">
        <v>0</v>
      </c>
      <c r="AX275" s="1663"/>
      <c r="AY275" s="1663"/>
      <c r="AZ275" s="1663"/>
      <c r="BA275" s="1668"/>
      <c r="BB275" s="1668"/>
      <c r="BC275" s="1663"/>
      <c r="BD275" s="1663"/>
      <c r="BE275" s="1665">
        <v>158612.29999999999</v>
      </c>
      <c r="BF275" s="1665">
        <v>158612.29999999999</v>
      </c>
      <c r="BG275" s="1665">
        <v>86121.75</v>
      </c>
      <c r="BH275" s="1665">
        <v>86121.75</v>
      </c>
      <c r="BI275" s="1665">
        <v>0</v>
      </c>
      <c r="BJ275" s="1665">
        <v>72490.55</v>
      </c>
      <c r="BK275" s="1665">
        <v>0</v>
      </c>
      <c r="BL275" s="1665">
        <v>72490.55</v>
      </c>
      <c r="BM275" s="1665">
        <v>0</v>
      </c>
      <c r="BN275" s="1665">
        <v>0</v>
      </c>
      <c r="BO275" s="1664">
        <v>43236</v>
      </c>
      <c r="BP275" s="1665">
        <v>158612.29999999999</v>
      </c>
      <c r="BQ275" s="1665">
        <v>158612.29999999999</v>
      </c>
      <c r="BR275" s="1665">
        <v>86121.75</v>
      </c>
      <c r="BS275" s="1667">
        <v>86121.75</v>
      </c>
      <c r="BT275" s="1665">
        <v>0</v>
      </c>
      <c r="BU275" s="1665">
        <v>72490.55</v>
      </c>
      <c r="BV275" s="1665">
        <v>0</v>
      </c>
      <c r="BW275" s="1665">
        <v>0</v>
      </c>
      <c r="BX275" s="1665">
        <v>0</v>
      </c>
      <c r="BY275" s="1665">
        <v>0</v>
      </c>
      <c r="BZ275" s="1665">
        <v>0</v>
      </c>
      <c r="CA275" s="1663"/>
      <c r="CB275" s="1668"/>
      <c r="CC275" s="1668"/>
      <c r="CD275" s="1663"/>
      <c r="CE275" s="1663"/>
      <c r="CF275" s="1665">
        <v>0</v>
      </c>
      <c r="CG275" s="1665">
        <v>0</v>
      </c>
      <c r="CH275" s="1665">
        <v>0</v>
      </c>
      <c r="CI275" s="1665">
        <v>0</v>
      </c>
      <c r="CJ275" s="1665">
        <v>1118.21</v>
      </c>
      <c r="CK275" s="1665">
        <v>1118.21</v>
      </c>
      <c r="CL275" s="1668"/>
      <c r="CM275" s="1665">
        <v>0</v>
      </c>
      <c r="CN275" s="1665">
        <v>0</v>
      </c>
      <c r="CO275" s="1665">
        <v>0</v>
      </c>
      <c r="CP275" s="1665">
        <v>0</v>
      </c>
      <c r="CQ275" s="1665">
        <v>0</v>
      </c>
      <c r="CR275" s="1665">
        <v>0</v>
      </c>
      <c r="CS275" s="1665">
        <v>0</v>
      </c>
      <c r="CT275" s="1665">
        <v>0</v>
      </c>
      <c r="CU275" s="1665">
        <v>0</v>
      </c>
      <c r="CV275" s="1665">
        <v>0</v>
      </c>
      <c r="CW275" s="1668"/>
      <c r="CX275" s="1663"/>
      <c r="CY275" s="1663"/>
      <c r="CZ275" s="1663"/>
      <c r="DA275" s="1663"/>
      <c r="DB275" s="1668"/>
      <c r="DC275" s="1662"/>
      <c r="DD275" s="1665">
        <v>0</v>
      </c>
      <c r="DE275" s="1663"/>
      <c r="DF275" s="1663"/>
      <c r="DG275" s="1665">
        <v>0</v>
      </c>
      <c r="DH275" s="1665">
        <v>0</v>
      </c>
    </row>
    <row r="276" spans="1:112" ht="22.5" hidden="1" x14ac:dyDescent="0.25">
      <c r="A276" s="1662" t="s">
        <v>2334</v>
      </c>
      <c r="B276" s="1662" t="s">
        <v>1727</v>
      </c>
      <c r="C276" s="1662" t="s">
        <v>2636</v>
      </c>
      <c r="D276" s="1662" t="s">
        <v>2637</v>
      </c>
      <c r="E276" s="1662" t="s">
        <v>2308</v>
      </c>
      <c r="F276" s="1662" t="s">
        <v>2638</v>
      </c>
      <c r="G276" s="1662" t="s">
        <v>2628</v>
      </c>
      <c r="H276" s="1662" t="s">
        <v>2613</v>
      </c>
      <c r="I276" s="1662" t="s">
        <v>736</v>
      </c>
      <c r="J276" s="1662" t="s">
        <v>218</v>
      </c>
      <c r="K276" s="1662" t="s">
        <v>2120</v>
      </c>
      <c r="L276" s="1662" t="s">
        <v>2109</v>
      </c>
      <c r="M276" s="1663"/>
      <c r="N276" s="1663"/>
      <c r="O276" s="1663"/>
      <c r="P276" s="1663"/>
      <c r="Q276" s="1663"/>
      <c r="R276" s="1663"/>
      <c r="S276" s="1663"/>
      <c r="T276" s="1663"/>
      <c r="U276" s="1663"/>
      <c r="V276" s="1663"/>
      <c r="W276" s="1663"/>
      <c r="X276" s="1663"/>
      <c r="Y276" s="1664">
        <v>43173</v>
      </c>
      <c r="Z276" s="1662" t="s">
        <v>2110</v>
      </c>
      <c r="AA276" s="1665">
        <v>0</v>
      </c>
      <c r="AB276" s="1665">
        <v>0</v>
      </c>
      <c r="AC276" s="1680">
        <v>0</v>
      </c>
      <c r="AD276" s="1682">
        <v>43196</v>
      </c>
      <c r="AE276" s="1679" t="s">
        <v>2129</v>
      </c>
      <c r="AF276" s="1662" t="s">
        <v>2115</v>
      </c>
      <c r="AG276" s="1666"/>
      <c r="AH276" s="1667">
        <v>71631.69</v>
      </c>
      <c r="AI276" s="1665">
        <v>71631.69</v>
      </c>
      <c r="AJ276" s="1665">
        <v>38893.879999999997</v>
      </c>
      <c r="AK276" s="1698">
        <v>38893.879999999997</v>
      </c>
      <c r="AL276" s="1665">
        <v>0</v>
      </c>
      <c r="AM276" s="1664">
        <v>43200</v>
      </c>
      <c r="AN276" s="1665">
        <v>71631.69</v>
      </c>
      <c r="AO276" s="1665">
        <v>71631.69</v>
      </c>
      <c r="AP276" s="1665">
        <v>38893.879999999997</v>
      </c>
      <c r="AQ276" s="1665">
        <v>38893.879999999997</v>
      </c>
      <c r="AR276" s="1665">
        <v>0</v>
      </c>
      <c r="AS276" s="1665">
        <v>32737.81</v>
      </c>
      <c r="AT276" s="1665">
        <v>0</v>
      </c>
      <c r="AU276" s="1665">
        <v>32737.81</v>
      </c>
      <c r="AV276" s="1665">
        <v>0</v>
      </c>
      <c r="AW276" s="1665">
        <v>0</v>
      </c>
      <c r="AX276" s="1663"/>
      <c r="AY276" s="1663"/>
      <c r="AZ276" s="1663"/>
      <c r="BA276" s="1668"/>
      <c r="BB276" s="1668"/>
      <c r="BC276" s="1663"/>
      <c r="BD276" s="1663"/>
      <c r="BE276" s="1665">
        <v>71631.69</v>
      </c>
      <c r="BF276" s="1665">
        <v>71631.69</v>
      </c>
      <c r="BG276" s="1665">
        <v>38893.879999999997</v>
      </c>
      <c r="BH276" s="1665">
        <v>38893.879999999997</v>
      </c>
      <c r="BI276" s="1665">
        <v>0</v>
      </c>
      <c r="BJ276" s="1665">
        <v>32737.81</v>
      </c>
      <c r="BK276" s="1665">
        <v>0</v>
      </c>
      <c r="BL276" s="1665">
        <v>32737.81</v>
      </c>
      <c r="BM276" s="1665">
        <v>0</v>
      </c>
      <c r="BN276" s="1665">
        <v>0</v>
      </c>
      <c r="BO276" s="1664">
        <v>43364</v>
      </c>
      <c r="BP276" s="1665">
        <v>71631.69</v>
      </c>
      <c r="BQ276" s="1665">
        <v>71631.69</v>
      </c>
      <c r="BR276" s="1665">
        <v>38893.879999999997</v>
      </c>
      <c r="BS276" s="1667">
        <v>38893.879999999997</v>
      </c>
      <c r="BT276" s="1665">
        <v>0</v>
      </c>
      <c r="BU276" s="1665">
        <v>32737.81</v>
      </c>
      <c r="BV276" s="1665">
        <v>0</v>
      </c>
      <c r="BW276" s="1665">
        <v>0</v>
      </c>
      <c r="BX276" s="1665">
        <v>0</v>
      </c>
      <c r="BY276" s="1665">
        <v>0</v>
      </c>
      <c r="BZ276" s="1665">
        <v>0</v>
      </c>
      <c r="CA276" s="1663"/>
      <c r="CB276" s="1668"/>
      <c r="CC276" s="1668"/>
      <c r="CD276" s="1663"/>
      <c r="CE276" s="1663"/>
      <c r="CF276" s="1665">
        <v>0</v>
      </c>
      <c r="CG276" s="1665">
        <v>0</v>
      </c>
      <c r="CH276" s="1665">
        <v>0</v>
      </c>
      <c r="CI276" s="1665">
        <v>0</v>
      </c>
      <c r="CJ276" s="1665">
        <v>505</v>
      </c>
      <c r="CK276" s="1665">
        <v>505</v>
      </c>
      <c r="CL276" s="1668"/>
      <c r="CM276" s="1665">
        <v>0</v>
      </c>
      <c r="CN276" s="1665">
        <v>0</v>
      </c>
      <c r="CO276" s="1665">
        <v>0</v>
      </c>
      <c r="CP276" s="1665">
        <v>0</v>
      </c>
      <c r="CQ276" s="1665">
        <v>0</v>
      </c>
      <c r="CR276" s="1665">
        <v>0</v>
      </c>
      <c r="CS276" s="1665">
        <v>0</v>
      </c>
      <c r="CT276" s="1665">
        <v>0</v>
      </c>
      <c r="CU276" s="1665">
        <v>0</v>
      </c>
      <c r="CV276" s="1665">
        <v>0</v>
      </c>
      <c r="CW276" s="1668"/>
      <c r="CX276" s="1663"/>
      <c r="CY276" s="1663"/>
      <c r="CZ276" s="1663"/>
      <c r="DA276" s="1663"/>
      <c r="DB276" s="1668"/>
      <c r="DC276" s="1662"/>
      <c r="DD276" s="1665">
        <v>0</v>
      </c>
      <c r="DE276" s="1663"/>
      <c r="DF276" s="1663"/>
      <c r="DG276" s="1665">
        <v>0</v>
      </c>
      <c r="DH276" s="1665">
        <v>0</v>
      </c>
    </row>
    <row r="277" spans="1:112" ht="22.5" hidden="1" x14ac:dyDescent="0.25">
      <c r="A277" s="1662" t="s">
        <v>2335</v>
      </c>
      <c r="B277" s="1662" t="s">
        <v>1727</v>
      </c>
      <c r="C277" s="1662" t="s">
        <v>2636</v>
      </c>
      <c r="D277" s="1662" t="s">
        <v>2637</v>
      </c>
      <c r="E277" s="1662" t="s">
        <v>2308</v>
      </c>
      <c r="F277" s="1662" t="s">
        <v>2638</v>
      </c>
      <c r="G277" s="1662" t="s">
        <v>2628</v>
      </c>
      <c r="H277" s="1662" t="s">
        <v>2613</v>
      </c>
      <c r="I277" s="1662" t="s">
        <v>736</v>
      </c>
      <c r="J277" s="1662" t="s">
        <v>218</v>
      </c>
      <c r="K277" s="1662" t="s">
        <v>2120</v>
      </c>
      <c r="L277" s="1662" t="s">
        <v>2109</v>
      </c>
      <c r="M277" s="1663"/>
      <c r="N277" s="1663"/>
      <c r="O277" s="1663"/>
      <c r="P277" s="1663"/>
      <c r="Q277" s="1663"/>
      <c r="R277" s="1663"/>
      <c r="S277" s="1663"/>
      <c r="T277" s="1663"/>
      <c r="U277" s="1663"/>
      <c r="V277" s="1663"/>
      <c r="W277" s="1663"/>
      <c r="X277" s="1663"/>
      <c r="Y277" s="1664">
        <v>43200</v>
      </c>
      <c r="Z277" s="1662" t="s">
        <v>2110</v>
      </c>
      <c r="AA277" s="1665">
        <v>0</v>
      </c>
      <c r="AB277" s="1665">
        <v>0</v>
      </c>
      <c r="AC277" s="1680">
        <v>0</v>
      </c>
      <c r="AD277" s="1682">
        <v>43215</v>
      </c>
      <c r="AE277" s="1679" t="s">
        <v>2130</v>
      </c>
      <c r="AF277" s="1662" t="s">
        <v>2115</v>
      </c>
      <c r="AG277" s="1666"/>
      <c r="AH277" s="1667">
        <v>115071.31</v>
      </c>
      <c r="AI277" s="1665">
        <v>115071.31</v>
      </c>
      <c r="AJ277" s="1665">
        <v>62480.29</v>
      </c>
      <c r="AK277" s="1698">
        <v>62480.29</v>
      </c>
      <c r="AL277" s="1665">
        <v>0</v>
      </c>
      <c r="AM277" s="1664">
        <v>43217</v>
      </c>
      <c r="AN277" s="1665">
        <v>115071.31</v>
      </c>
      <c r="AO277" s="1665">
        <v>115071.31</v>
      </c>
      <c r="AP277" s="1665">
        <v>62480.29</v>
      </c>
      <c r="AQ277" s="1665">
        <v>62480.29</v>
      </c>
      <c r="AR277" s="1665">
        <v>0</v>
      </c>
      <c r="AS277" s="1665">
        <v>52591.02</v>
      </c>
      <c r="AT277" s="1665">
        <v>0</v>
      </c>
      <c r="AU277" s="1665">
        <v>52591.02</v>
      </c>
      <c r="AV277" s="1665">
        <v>0</v>
      </c>
      <c r="AW277" s="1665">
        <v>0</v>
      </c>
      <c r="AX277" s="1663"/>
      <c r="AY277" s="1663"/>
      <c r="AZ277" s="1663"/>
      <c r="BA277" s="1668"/>
      <c r="BB277" s="1668"/>
      <c r="BC277" s="1663"/>
      <c r="BD277" s="1663"/>
      <c r="BE277" s="1665">
        <v>115071.31</v>
      </c>
      <c r="BF277" s="1665">
        <v>115071.31</v>
      </c>
      <c r="BG277" s="1665">
        <v>62480.29</v>
      </c>
      <c r="BH277" s="1665">
        <v>62480.29</v>
      </c>
      <c r="BI277" s="1665">
        <v>0</v>
      </c>
      <c r="BJ277" s="1665">
        <v>52591.02</v>
      </c>
      <c r="BK277" s="1665">
        <v>0</v>
      </c>
      <c r="BL277" s="1665">
        <v>52591.02</v>
      </c>
      <c r="BM277" s="1665">
        <v>0</v>
      </c>
      <c r="BN277" s="1665">
        <v>0</v>
      </c>
      <c r="BO277" s="1664">
        <v>43364</v>
      </c>
      <c r="BP277" s="1665">
        <v>115071.31</v>
      </c>
      <c r="BQ277" s="1665">
        <v>115071.31</v>
      </c>
      <c r="BR277" s="1665">
        <v>62480.29</v>
      </c>
      <c r="BS277" s="1667">
        <v>62480.29</v>
      </c>
      <c r="BT277" s="1665">
        <v>0</v>
      </c>
      <c r="BU277" s="1665">
        <v>52591.02</v>
      </c>
      <c r="BV277" s="1665">
        <v>0</v>
      </c>
      <c r="BW277" s="1665">
        <v>0</v>
      </c>
      <c r="BX277" s="1665">
        <v>0</v>
      </c>
      <c r="BY277" s="1665">
        <v>0</v>
      </c>
      <c r="BZ277" s="1665">
        <v>0</v>
      </c>
      <c r="CA277" s="1663"/>
      <c r="CB277" s="1668"/>
      <c r="CC277" s="1668"/>
      <c r="CD277" s="1663"/>
      <c r="CE277" s="1663"/>
      <c r="CF277" s="1665">
        <v>0</v>
      </c>
      <c r="CG277" s="1665">
        <v>0</v>
      </c>
      <c r="CH277" s="1665">
        <v>0</v>
      </c>
      <c r="CI277" s="1665">
        <v>0</v>
      </c>
      <c r="CJ277" s="1665">
        <v>811.25</v>
      </c>
      <c r="CK277" s="1665">
        <v>811.25</v>
      </c>
      <c r="CL277" s="1668"/>
      <c r="CM277" s="1665">
        <v>0</v>
      </c>
      <c r="CN277" s="1665">
        <v>0</v>
      </c>
      <c r="CO277" s="1665">
        <v>0</v>
      </c>
      <c r="CP277" s="1665">
        <v>0</v>
      </c>
      <c r="CQ277" s="1665">
        <v>0</v>
      </c>
      <c r="CR277" s="1665">
        <v>0</v>
      </c>
      <c r="CS277" s="1665">
        <v>0</v>
      </c>
      <c r="CT277" s="1665">
        <v>0</v>
      </c>
      <c r="CU277" s="1665">
        <v>0</v>
      </c>
      <c r="CV277" s="1665">
        <v>0</v>
      </c>
      <c r="CW277" s="1668"/>
      <c r="CX277" s="1663"/>
      <c r="CY277" s="1663"/>
      <c r="CZ277" s="1663"/>
      <c r="DA277" s="1663"/>
      <c r="DB277" s="1668"/>
      <c r="DC277" s="1662"/>
      <c r="DD277" s="1665">
        <v>0</v>
      </c>
      <c r="DE277" s="1663"/>
      <c r="DF277" s="1663"/>
      <c r="DG277" s="1665">
        <v>0</v>
      </c>
      <c r="DH277" s="1665">
        <v>0</v>
      </c>
    </row>
    <row r="278" spans="1:112" ht="22.5" hidden="1" x14ac:dyDescent="0.25">
      <c r="A278" s="1662" t="s">
        <v>2336</v>
      </c>
      <c r="B278" s="1662" t="s">
        <v>1727</v>
      </c>
      <c r="C278" s="1662" t="s">
        <v>2636</v>
      </c>
      <c r="D278" s="1662" t="s">
        <v>2637</v>
      </c>
      <c r="E278" s="1662" t="s">
        <v>2308</v>
      </c>
      <c r="F278" s="1662" t="s">
        <v>2638</v>
      </c>
      <c r="G278" s="1662" t="s">
        <v>2628</v>
      </c>
      <c r="H278" s="1662" t="s">
        <v>2613</v>
      </c>
      <c r="I278" s="1662" t="s">
        <v>736</v>
      </c>
      <c r="J278" s="1662" t="s">
        <v>218</v>
      </c>
      <c r="K278" s="1662" t="s">
        <v>2120</v>
      </c>
      <c r="L278" s="1662" t="s">
        <v>2109</v>
      </c>
      <c r="M278" s="1663"/>
      <c r="N278" s="1663"/>
      <c r="O278" s="1663"/>
      <c r="P278" s="1663"/>
      <c r="Q278" s="1663"/>
      <c r="R278" s="1663"/>
      <c r="S278" s="1663"/>
      <c r="T278" s="1663"/>
      <c r="U278" s="1663"/>
      <c r="V278" s="1663"/>
      <c r="W278" s="1663"/>
      <c r="X278" s="1663"/>
      <c r="Y278" s="1664">
        <v>43200</v>
      </c>
      <c r="Z278" s="1662" t="s">
        <v>2110</v>
      </c>
      <c r="AA278" s="1665">
        <v>0</v>
      </c>
      <c r="AB278" s="1665">
        <v>0</v>
      </c>
      <c r="AC278" s="1680">
        <v>0</v>
      </c>
      <c r="AD278" s="1682">
        <v>43215</v>
      </c>
      <c r="AE278" s="1679" t="s">
        <v>2130</v>
      </c>
      <c r="AF278" s="1662" t="s">
        <v>2112</v>
      </c>
      <c r="AG278" s="1666"/>
      <c r="AH278" s="1667">
        <v>694.6</v>
      </c>
      <c r="AI278" s="1665">
        <v>694.6</v>
      </c>
      <c r="AJ278" s="1665">
        <v>377.15</v>
      </c>
      <c r="AK278" s="1698">
        <v>377.15</v>
      </c>
      <c r="AL278" s="1665">
        <v>0</v>
      </c>
      <c r="AM278" s="1664">
        <v>43215</v>
      </c>
      <c r="AN278" s="1665">
        <v>694.6</v>
      </c>
      <c r="AO278" s="1665">
        <v>694.6</v>
      </c>
      <c r="AP278" s="1665">
        <v>377.15</v>
      </c>
      <c r="AQ278" s="1665">
        <v>377.15</v>
      </c>
      <c r="AR278" s="1665">
        <v>0</v>
      </c>
      <c r="AS278" s="1665">
        <v>317.45</v>
      </c>
      <c r="AT278" s="1665">
        <v>0</v>
      </c>
      <c r="AU278" s="1665">
        <v>317.45</v>
      </c>
      <c r="AV278" s="1665">
        <v>0</v>
      </c>
      <c r="AW278" s="1665">
        <v>0</v>
      </c>
      <c r="AX278" s="1663"/>
      <c r="AY278" s="1663"/>
      <c r="AZ278" s="1663"/>
      <c r="BA278" s="1668"/>
      <c r="BB278" s="1668"/>
      <c r="BC278" s="1663"/>
      <c r="BD278" s="1663"/>
      <c r="BE278" s="1665">
        <v>694.6</v>
      </c>
      <c r="BF278" s="1665">
        <v>694.6</v>
      </c>
      <c r="BG278" s="1665">
        <v>377.15</v>
      </c>
      <c r="BH278" s="1665">
        <v>377.15</v>
      </c>
      <c r="BI278" s="1665">
        <v>0</v>
      </c>
      <c r="BJ278" s="1665">
        <v>317.45</v>
      </c>
      <c r="BK278" s="1665">
        <v>0</v>
      </c>
      <c r="BL278" s="1665">
        <v>317.45</v>
      </c>
      <c r="BM278" s="1665">
        <v>0</v>
      </c>
      <c r="BN278" s="1665">
        <v>0</v>
      </c>
      <c r="BO278" s="1664">
        <v>43364</v>
      </c>
      <c r="BP278" s="1665">
        <v>694.6</v>
      </c>
      <c r="BQ278" s="1665">
        <v>694.6</v>
      </c>
      <c r="BR278" s="1665">
        <v>377.15</v>
      </c>
      <c r="BS278" s="1667">
        <v>377.15</v>
      </c>
      <c r="BT278" s="1665">
        <v>0</v>
      </c>
      <c r="BU278" s="1665">
        <v>317.45</v>
      </c>
      <c r="BV278" s="1665">
        <v>0</v>
      </c>
      <c r="BW278" s="1665">
        <v>0</v>
      </c>
      <c r="BX278" s="1665">
        <v>0</v>
      </c>
      <c r="BY278" s="1665">
        <v>0</v>
      </c>
      <c r="BZ278" s="1665">
        <v>0</v>
      </c>
      <c r="CA278" s="1663"/>
      <c r="CB278" s="1668"/>
      <c r="CC278" s="1668"/>
      <c r="CD278" s="1663"/>
      <c r="CE278" s="1663"/>
      <c r="CF278" s="1665">
        <v>0</v>
      </c>
      <c r="CG278" s="1665">
        <v>0</v>
      </c>
      <c r="CH278" s="1665">
        <v>0</v>
      </c>
      <c r="CI278" s="1665">
        <v>0</v>
      </c>
      <c r="CJ278" s="1665">
        <v>4.9000000000000004</v>
      </c>
      <c r="CK278" s="1665">
        <v>4.9000000000000004</v>
      </c>
      <c r="CL278" s="1668"/>
      <c r="CM278" s="1665">
        <v>0</v>
      </c>
      <c r="CN278" s="1665">
        <v>0</v>
      </c>
      <c r="CO278" s="1665">
        <v>0</v>
      </c>
      <c r="CP278" s="1665">
        <v>0</v>
      </c>
      <c r="CQ278" s="1665">
        <v>0</v>
      </c>
      <c r="CR278" s="1665">
        <v>0</v>
      </c>
      <c r="CS278" s="1665">
        <v>0</v>
      </c>
      <c r="CT278" s="1665">
        <v>0</v>
      </c>
      <c r="CU278" s="1665">
        <v>0</v>
      </c>
      <c r="CV278" s="1665">
        <v>0</v>
      </c>
      <c r="CW278" s="1668"/>
      <c r="CX278" s="1663"/>
      <c r="CY278" s="1663"/>
      <c r="CZ278" s="1663"/>
      <c r="DA278" s="1663"/>
      <c r="DB278" s="1668"/>
      <c r="DC278" s="1662"/>
      <c r="DD278" s="1665">
        <v>0</v>
      </c>
      <c r="DE278" s="1663"/>
      <c r="DF278" s="1663"/>
      <c r="DG278" s="1665">
        <v>0</v>
      </c>
      <c r="DH278" s="1665">
        <v>0</v>
      </c>
    </row>
    <row r="279" spans="1:112" ht="22.5" hidden="1" x14ac:dyDescent="0.25">
      <c r="A279" s="1662" t="s">
        <v>2337</v>
      </c>
      <c r="B279" s="1662" t="s">
        <v>1727</v>
      </c>
      <c r="C279" s="1662" t="s">
        <v>2636</v>
      </c>
      <c r="D279" s="1662" t="s">
        <v>2637</v>
      </c>
      <c r="E279" s="1662" t="s">
        <v>2308</v>
      </c>
      <c r="F279" s="1662" t="s">
        <v>2638</v>
      </c>
      <c r="G279" s="1662" t="s">
        <v>2628</v>
      </c>
      <c r="H279" s="1662" t="s">
        <v>2613</v>
      </c>
      <c r="I279" s="1662" t="s">
        <v>736</v>
      </c>
      <c r="J279" s="1662" t="s">
        <v>218</v>
      </c>
      <c r="K279" s="1662" t="s">
        <v>2120</v>
      </c>
      <c r="L279" s="1662" t="s">
        <v>2109</v>
      </c>
      <c r="M279" s="1663"/>
      <c r="N279" s="1663"/>
      <c r="O279" s="1663"/>
      <c r="P279" s="1663"/>
      <c r="Q279" s="1663"/>
      <c r="R279" s="1663"/>
      <c r="S279" s="1663"/>
      <c r="T279" s="1663"/>
      <c r="U279" s="1663"/>
      <c r="V279" s="1663"/>
      <c r="W279" s="1663"/>
      <c r="X279" s="1663"/>
      <c r="Y279" s="1664">
        <v>43229</v>
      </c>
      <c r="Z279" s="1662" t="s">
        <v>2110</v>
      </c>
      <c r="AA279" s="1665">
        <v>0</v>
      </c>
      <c r="AB279" s="1665">
        <v>0</v>
      </c>
      <c r="AC279" s="1680">
        <v>0</v>
      </c>
      <c r="AD279" s="1682">
        <v>43244</v>
      </c>
      <c r="AE279" s="1679" t="s">
        <v>2137</v>
      </c>
      <c r="AF279" s="1662" t="s">
        <v>2115</v>
      </c>
      <c r="AG279" s="1666"/>
      <c r="AH279" s="1667">
        <v>80445.289999999994</v>
      </c>
      <c r="AI279" s="1665">
        <v>80445.289999999994</v>
      </c>
      <c r="AJ279" s="1665">
        <v>43679.4</v>
      </c>
      <c r="AK279" s="1698">
        <v>43679.4</v>
      </c>
      <c r="AL279" s="1665">
        <v>0</v>
      </c>
      <c r="AM279" s="1664">
        <v>43245</v>
      </c>
      <c r="AN279" s="1665">
        <v>80445.289999999994</v>
      </c>
      <c r="AO279" s="1665">
        <v>80445.289999999994</v>
      </c>
      <c r="AP279" s="1665">
        <v>43679.4</v>
      </c>
      <c r="AQ279" s="1665">
        <v>43679.4</v>
      </c>
      <c r="AR279" s="1665">
        <v>0</v>
      </c>
      <c r="AS279" s="1665">
        <v>36765.89</v>
      </c>
      <c r="AT279" s="1665">
        <v>0</v>
      </c>
      <c r="AU279" s="1665">
        <v>36765.89</v>
      </c>
      <c r="AV279" s="1665">
        <v>0</v>
      </c>
      <c r="AW279" s="1665">
        <v>0</v>
      </c>
      <c r="AX279" s="1663"/>
      <c r="AY279" s="1663"/>
      <c r="AZ279" s="1663"/>
      <c r="BA279" s="1668"/>
      <c r="BB279" s="1668"/>
      <c r="BC279" s="1663"/>
      <c r="BD279" s="1663"/>
      <c r="BE279" s="1665">
        <v>80445.289999999994</v>
      </c>
      <c r="BF279" s="1665">
        <v>80445.289999999994</v>
      </c>
      <c r="BG279" s="1665">
        <v>43679.4</v>
      </c>
      <c r="BH279" s="1665">
        <v>43679.4</v>
      </c>
      <c r="BI279" s="1665">
        <v>0</v>
      </c>
      <c r="BJ279" s="1665">
        <v>36765.89</v>
      </c>
      <c r="BK279" s="1665">
        <v>0</v>
      </c>
      <c r="BL279" s="1665">
        <v>36765.89</v>
      </c>
      <c r="BM279" s="1665">
        <v>0</v>
      </c>
      <c r="BN279" s="1665">
        <v>0</v>
      </c>
      <c r="BO279" s="1664">
        <v>43364</v>
      </c>
      <c r="BP279" s="1665">
        <v>80445.289999999994</v>
      </c>
      <c r="BQ279" s="1665">
        <v>80445.289999999994</v>
      </c>
      <c r="BR279" s="1665">
        <v>43679.4</v>
      </c>
      <c r="BS279" s="1667">
        <v>43679.4</v>
      </c>
      <c r="BT279" s="1665">
        <v>0</v>
      </c>
      <c r="BU279" s="1665">
        <v>36765.89</v>
      </c>
      <c r="BV279" s="1665">
        <v>0</v>
      </c>
      <c r="BW279" s="1665">
        <v>0</v>
      </c>
      <c r="BX279" s="1665">
        <v>0</v>
      </c>
      <c r="BY279" s="1665">
        <v>0</v>
      </c>
      <c r="BZ279" s="1665">
        <v>0</v>
      </c>
      <c r="CA279" s="1663"/>
      <c r="CB279" s="1668"/>
      <c r="CC279" s="1668"/>
      <c r="CD279" s="1663"/>
      <c r="CE279" s="1663"/>
      <c r="CF279" s="1665">
        <v>0</v>
      </c>
      <c r="CG279" s="1665">
        <v>0</v>
      </c>
      <c r="CH279" s="1665">
        <v>0</v>
      </c>
      <c r="CI279" s="1665">
        <v>0</v>
      </c>
      <c r="CJ279" s="1665">
        <v>567.13</v>
      </c>
      <c r="CK279" s="1665">
        <v>567.13</v>
      </c>
      <c r="CL279" s="1668"/>
      <c r="CM279" s="1665">
        <v>0</v>
      </c>
      <c r="CN279" s="1665">
        <v>0</v>
      </c>
      <c r="CO279" s="1665">
        <v>0</v>
      </c>
      <c r="CP279" s="1665">
        <v>0</v>
      </c>
      <c r="CQ279" s="1665">
        <v>0</v>
      </c>
      <c r="CR279" s="1665">
        <v>0</v>
      </c>
      <c r="CS279" s="1665">
        <v>0</v>
      </c>
      <c r="CT279" s="1665">
        <v>0</v>
      </c>
      <c r="CU279" s="1665">
        <v>0</v>
      </c>
      <c r="CV279" s="1665">
        <v>0</v>
      </c>
      <c r="CW279" s="1668"/>
      <c r="CX279" s="1663"/>
      <c r="CY279" s="1663"/>
      <c r="CZ279" s="1663"/>
      <c r="DA279" s="1663"/>
      <c r="DB279" s="1668"/>
      <c r="DC279" s="1662"/>
      <c r="DD279" s="1665">
        <v>0</v>
      </c>
      <c r="DE279" s="1663"/>
      <c r="DF279" s="1663"/>
      <c r="DG279" s="1665">
        <v>0</v>
      </c>
      <c r="DH279" s="1665">
        <v>0</v>
      </c>
    </row>
    <row r="280" spans="1:112" ht="22.5" hidden="1" x14ac:dyDescent="0.25">
      <c r="A280" s="1662" t="s">
        <v>2338</v>
      </c>
      <c r="B280" s="1662" t="s">
        <v>1727</v>
      </c>
      <c r="C280" s="1662" t="s">
        <v>2636</v>
      </c>
      <c r="D280" s="1662" t="s">
        <v>2637</v>
      </c>
      <c r="E280" s="1662" t="s">
        <v>2308</v>
      </c>
      <c r="F280" s="1662" t="s">
        <v>2638</v>
      </c>
      <c r="G280" s="1662" t="s">
        <v>2628</v>
      </c>
      <c r="H280" s="1662" t="s">
        <v>2613</v>
      </c>
      <c r="I280" s="1662" t="s">
        <v>736</v>
      </c>
      <c r="J280" s="1662" t="s">
        <v>218</v>
      </c>
      <c r="K280" s="1662" t="s">
        <v>2120</v>
      </c>
      <c r="L280" s="1662" t="s">
        <v>2109</v>
      </c>
      <c r="M280" s="1663"/>
      <c r="N280" s="1663"/>
      <c r="O280" s="1663"/>
      <c r="P280" s="1663"/>
      <c r="Q280" s="1663"/>
      <c r="R280" s="1663"/>
      <c r="S280" s="1663"/>
      <c r="T280" s="1663"/>
      <c r="U280" s="1663"/>
      <c r="V280" s="1663"/>
      <c r="W280" s="1663"/>
      <c r="X280" s="1663"/>
      <c r="Y280" s="1664">
        <v>43259</v>
      </c>
      <c r="Z280" s="1662" t="s">
        <v>2110</v>
      </c>
      <c r="AA280" s="1665">
        <v>0</v>
      </c>
      <c r="AB280" s="1665">
        <v>0</v>
      </c>
      <c r="AC280" s="1680">
        <v>0</v>
      </c>
      <c r="AD280" s="1682">
        <v>43294</v>
      </c>
      <c r="AE280" s="1679" t="s">
        <v>2131</v>
      </c>
      <c r="AF280" s="1662" t="s">
        <v>2115</v>
      </c>
      <c r="AG280" s="1666"/>
      <c r="AH280" s="1667">
        <v>58852.44</v>
      </c>
      <c r="AI280" s="1665">
        <v>58852.44</v>
      </c>
      <c r="AJ280" s="1665">
        <v>31955.119999999999</v>
      </c>
      <c r="AK280" s="1698">
        <v>31955.119999999999</v>
      </c>
      <c r="AL280" s="1665">
        <v>0</v>
      </c>
      <c r="AM280" s="1664">
        <v>43297</v>
      </c>
      <c r="AN280" s="1665">
        <v>58852.44</v>
      </c>
      <c r="AO280" s="1665">
        <v>58852.44</v>
      </c>
      <c r="AP280" s="1665">
        <v>31955.119999999999</v>
      </c>
      <c r="AQ280" s="1665">
        <v>31955.119999999999</v>
      </c>
      <c r="AR280" s="1665">
        <v>0</v>
      </c>
      <c r="AS280" s="1665">
        <v>26897.32</v>
      </c>
      <c r="AT280" s="1665">
        <v>0</v>
      </c>
      <c r="AU280" s="1665">
        <v>26897.32</v>
      </c>
      <c r="AV280" s="1665">
        <v>0</v>
      </c>
      <c r="AW280" s="1665">
        <v>0</v>
      </c>
      <c r="AX280" s="1663"/>
      <c r="AY280" s="1663"/>
      <c r="AZ280" s="1663"/>
      <c r="BA280" s="1668"/>
      <c r="BB280" s="1668"/>
      <c r="BC280" s="1663"/>
      <c r="BD280" s="1663"/>
      <c r="BE280" s="1665">
        <v>58852.44</v>
      </c>
      <c r="BF280" s="1665">
        <v>58852.44</v>
      </c>
      <c r="BG280" s="1665">
        <v>31955.119999999999</v>
      </c>
      <c r="BH280" s="1665">
        <v>31955.119999999999</v>
      </c>
      <c r="BI280" s="1665">
        <v>0</v>
      </c>
      <c r="BJ280" s="1665">
        <v>26897.32</v>
      </c>
      <c r="BK280" s="1665">
        <v>0</v>
      </c>
      <c r="BL280" s="1665">
        <v>26897.32</v>
      </c>
      <c r="BM280" s="1665">
        <v>0</v>
      </c>
      <c r="BN280" s="1665">
        <v>0</v>
      </c>
      <c r="BO280" s="1664">
        <v>43364</v>
      </c>
      <c r="BP280" s="1665">
        <v>58852.44</v>
      </c>
      <c r="BQ280" s="1665">
        <v>58852.44</v>
      </c>
      <c r="BR280" s="1665">
        <v>31955.119999999999</v>
      </c>
      <c r="BS280" s="1667">
        <v>31955.119999999999</v>
      </c>
      <c r="BT280" s="1665">
        <v>0</v>
      </c>
      <c r="BU280" s="1665">
        <v>26897.32</v>
      </c>
      <c r="BV280" s="1665">
        <v>0</v>
      </c>
      <c r="BW280" s="1665">
        <v>0</v>
      </c>
      <c r="BX280" s="1665">
        <v>0</v>
      </c>
      <c r="BY280" s="1665">
        <v>0</v>
      </c>
      <c r="BZ280" s="1665">
        <v>0</v>
      </c>
      <c r="CA280" s="1663"/>
      <c r="CB280" s="1668"/>
      <c r="CC280" s="1668"/>
      <c r="CD280" s="1663"/>
      <c r="CE280" s="1663"/>
      <c r="CF280" s="1665">
        <v>0</v>
      </c>
      <c r="CG280" s="1665">
        <v>0</v>
      </c>
      <c r="CH280" s="1665">
        <v>0</v>
      </c>
      <c r="CI280" s="1665">
        <v>0</v>
      </c>
      <c r="CJ280" s="1665">
        <v>414.91</v>
      </c>
      <c r="CK280" s="1665">
        <v>414.91</v>
      </c>
      <c r="CL280" s="1668"/>
      <c r="CM280" s="1665">
        <v>0</v>
      </c>
      <c r="CN280" s="1665">
        <v>0</v>
      </c>
      <c r="CO280" s="1665">
        <v>0</v>
      </c>
      <c r="CP280" s="1665">
        <v>0</v>
      </c>
      <c r="CQ280" s="1665">
        <v>0</v>
      </c>
      <c r="CR280" s="1665">
        <v>0</v>
      </c>
      <c r="CS280" s="1665">
        <v>0</v>
      </c>
      <c r="CT280" s="1665">
        <v>0</v>
      </c>
      <c r="CU280" s="1665">
        <v>0</v>
      </c>
      <c r="CV280" s="1665">
        <v>0</v>
      </c>
      <c r="CW280" s="1668"/>
      <c r="CX280" s="1663"/>
      <c r="CY280" s="1663"/>
      <c r="CZ280" s="1663"/>
      <c r="DA280" s="1663"/>
      <c r="DB280" s="1668"/>
      <c r="DC280" s="1662"/>
      <c r="DD280" s="1665">
        <v>0</v>
      </c>
      <c r="DE280" s="1663"/>
      <c r="DF280" s="1663"/>
      <c r="DG280" s="1665">
        <v>0</v>
      </c>
      <c r="DH280" s="1665">
        <v>0</v>
      </c>
    </row>
    <row r="281" spans="1:112" ht="22.5" hidden="1" x14ac:dyDescent="0.25">
      <c r="A281" s="1662" t="s">
        <v>2339</v>
      </c>
      <c r="B281" s="1662" t="s">
        <v>1727</v>
      </c>
      <c r="C281" s="1662" t="s">
        <v>2636</v>
      </c>
      <c r="D281" s="1662" t="s">
        <v>2637</v>
      </c>
      <c r="E281" s="1662" t="s">
        <v>2308</v>
      </c>
      <c r="F281" s="1662" t="s">
        <v>2638</v>
      </c>
      <c r="G281" s="1662" t="s">
        <v>2628</v>
      </c>
      <c r="H281" s="1662" t="s">
        <v>2613</v>
      </c>
      <c r="I281" s="1662" t="s">
        <v>736</v>
      </c>
      <c r="J281" s="1662" t="s">
        <v>218</v>
      </c>
      <c r="K281" s="1662" t="s">
        <v>2120</v>
      </c>
      <c r="L281" s="1662" t="s">
        <v>2109</v>
      </c>
      <c r="M281" s="1663"/>
      <c r="N281" s="1663"/>
      <c r="O281" s="1663"/>
      <c r="P281" s="1663"/>
      <c r="Q281" s="1663"/>
      <c r="R281" s="1663"/>
      <c r="S281" s="1663"/>
      <c r="T281" s="1663"/>
      <c r="U281" s="1663"/>
      <c r="V281" s="1663"/>
      <c r="W281" s="1663"/>
      <c r="X281" s="1663"/>
      <c r="Y281" s="1664">
        <v>43297</v>
      </c>
      <c r="Z281" s="1662" t="s">
        <v>2110</v>
      </c>
      <c r="AA281" s="1665">
        <v>0</v>
      </c>
      <c r="AB281" s="1665">
        <v>0</v>
      </c>
      <c r="AC281" s="1680">
        <v>0</v>
      </c>
      <c r="AD281" s="1682">
        <v>43328</v>
      </c>
      <c r="AE281" s="1679" t="s">
        <v>2132</v>
      </c>
      <c r="AF281" s="1662" t="s">
        <v>2115</v>
      </c>
      <c r="AG281" s="1666"/>
      <c r="AH281" s="1667">
        <v>42127.99</v>
      </c>
      <c r="AI281" s="1665">
        <v>42127.99</v>
      </c>
      <c r="AJ281" s="1665">
        <v>22874.240000000002</v>
      </c>
      <c r="AK281" s="1698">
        <v>22874.240000000002</v>
      </c>
      <c r="AL281" s="1665">
        <v>0</v>
      </c>
      <c r="AM281" s="1664">
        <v>43329</v>
      </c>
      <c r="AN281" s="1665">
        <v>42127.99</v>
      </c>
      <c r="AO281" s="1665">
        <v>42127.99</v>
      </c>
      <c r="AP281" s="1665">
        <v>22874.240000000002</v>
      </c>
      <c r="AQ281" s="1665">
        <v>22874.240000000002</v>
      </c>
      <c r="AR281" s="1665">
        <v>0</v>
      </c>
      <c r="AS281" s="1665">
        <v>19253.75</v>
      </c>
      <c r="AT281" s="1665">
        <v>0</v>
      </c>
      <c r="AU281" s="1665">
        <v>19253.75</v>
      </c>
      <c r="AV281" s="1665">
        <v>0</v>
      </c>
      <c r="AW281" s="1665">
        <v>0</v>
      </c>
      <c r="AX281" s="1663"/>
      <c r="AY281" s="1663"/>
      <c r="AZ281" s="1663"/>
      <c r="BA281" s="1668"/>
      <c r="BB281" s="1668"/>
      <c r="BC281" s="1663"/>
      <c r="BD281" s="1663"/>
      <c r="BE281" s="1665">
        <v>42127.99</v>
      </c>
      <c r="BF281" s="1665">
        <v>42127.99</v>
      </c>
      <c r="BG281" s="1665">
        <v>22874.240000000002</v>
      </c>
      <c r="BH281" s="1665">
        <v>22874.240000000002</v>
      </c>
      <c r="BI281" s="1665">
        <v>0</v>
      </c>
      <c r="BJ281" s="1665">
        <v>19253.75</v>
      </c>
      <c r="BK281" s="1665">
        <v>0</v>
      </c>
      <c r="BL281" s="1665">
        <v>19253.75</v>
      </c>
      <c r="BM281" s="1665">
        <v>0</v>
      </c>
      <c r="BN281" s="1665">
        <v>0</v>
      </c>
      <c r="BO281" s="1668"/>
      <c r="BP281" s="1665">
        <v>0</v>
      </c>
      <c r="BQ281" s="1665">
        <v>0</v>
      </c>
      <c r="BR281" s="1665">
        <v>0</v>
      </c>
      <c r="BS281" s="1667">
        <v>0</v>
      </c>
      <c r="BT281" s="1665">
        <v>0</v>
      </c>
      <c r="BU281" s="1665">
        <v>0</v>
      </c>
      <c r="BV281" s="1665">
        <v>0</v>
      </c>
      <c r="BW281" s="1665">
        <v>0</v>
      </c>
      <c r="BX281" s="1665">
        <v>0</v>
      </c>
      <c r="BY281" s="1665">
        <v>0</v>
      </c>
      <c r="BZ281" s="1665">
        <v>0</v>
      </c>
      <c r="CA281" s="1663"/>
      <c r="CB281" s="1668"/>
      <c r="CC281" s="1668"/>
      <c r="CD281" s="1663"/>
      <c r="CE281" s="1663"/>
      <c r="CF281" s="1665">
        <v>0</v>
      </c>
      <c r="CG281" s="1665">
        <v>0</v>
      </c>
      <c r="CH281" s="1665">
        <v>0</v>
      </c>
      <c r="CI281" s="1665">
        <v>0</v>
      </c>
      <c r="CJ281" s="1665">
        <v>0</v>
      </c>
      <c r="CK281" s="1665">
        <v>0</v>
      </c>
      <c r="CL281" s="1668"/>
      <c r="CM281" s="1665">
        <v>0</v>
      </c>
      <c r="CN281" s="1665">
        <v>0</v>
      </c>
      <c r="CO281" s="1665">
        <v>0</v>
      </c>
      <c r="CP281" s="1665">
        <v>0</v>
      </c>
      <c r="CQ281" s="1665">
        <v>0</v>
      </c>
      <c r="CR281" s="1665">
        <v>0</v>
      </c>
      <c r="CS281" s="1665">
        <v>0</v>
      </c>
      <c r="CT281" s="1665">
        <v>0</v>
      </c>
      <c r="CU281" s="1665">
        <v>0</v>
      </c>
      <c r="CV281" s="1665">
        <v>0</v>
      </c>
      <c r="CW281" s="1668"/>
      <c r="CX281" s="1663"/>
      <c r="CY281" s="1663"/>
      <c r="CZ281" s="1663"/>
      <c r="DA281" s="1663"/>
      <c r="DB281" s="1668"/>
      <c r="DC281" s="1662"/>
      <c r="DD281" s="1665">
        <v>0</v>
      </c>
      <c r="DE281" s="1663"/>
      <c r="DF281" s="1663"/>
      <c r="DG281" s="1665">
        <v>0</v>
      </c>
      <c r="DH281" s="1665">
        <v>0</v>
      </c>
    </row>
    <row r="282" spans="1:112" ht="22.5" hidden="1" x14ac:dyDescent="0.25">
      <c r="A282" s="1662" t="s">
        <v>2340</v>
      </c>
      <c r="B282" s="1662" t="s">
        <v>1727</v>
      </c>
      <c r="C282" s="1662" t="s">
        <v>2636</v>
      </c>
      <c r="D282" s="1662" t="s">
        <v>2637</v>
      </c>
      <c r="E282" s="1662" t="s">
        <v>2308</v>
      </c>
      <c r="F282" s="1662" t="s">
        <v>2638</v>
      </c>
      <c r="G282" s="1662" t="s">
        <v>2628</v>
      </c>
      <c r="H282" s="1662" t="s">
        <v>2613</v>
      </c>
      <c r="I282" s="1662" t="s">
        <v>736</v>
      </c>
      <c r="J282" s="1662" t="s">
        <v>218</v>
      </c>
      <c r="K282" s="1662" t="s">
        <v>2120</v>
      </c>
      <c r="L282" s="1662" t="s">
        <v>2109</v>
      </c>
      <c r="M282" s="1663"/>
      <c r="N282" s="1663"/>
      <c r="O282" s="1663"/>
      <c r="P282" s="1663"/>
      <c r="Q282" s="1663"/>
      <c r="R282" s="1663"/>
      <c r="S282" s="1663"/>
      <c r="T282" s="1663"/>
      <c r="U282" s="1663"/>
      <c r="V282" s="1663"/>
      <c r="W282" s="1663"/>
      <c r="X282" s="1663"/>
      <c r="Y282" s="1664">
        <v>43329</v>
      </c>
      <c r="Z282" s="1662" t="s">
        <v>2110</v>
      </c>
      <c r="AA282" s="1665">
        <v>0</v>
      </c>
      <c r="AB282" s="1665">
        <v>0</v>
      </c>
      <c r="AC282" s="1680">
        <v>0</v>
      </c>
      <c r="AD282" s="1682">
        <v>43391</v>
      </c>
      <c r="AE282" s="1679" t="s">
        <v>2133</v>
      </c>
      <c r="AF282" s="1662" t="s">
        <v>2115</v>
      </c>
      <c r="AG282" s="1666"/>
      <c r="AH282" s="1667">
        <v>2400.62</v>
      </c>
      <c r="AI282" s="1665">
        <v>2400.62</v>
      </c>
      <c r="AJ282" s="1665">
        <v>1303.47</v>
      </c>
      <c r="AK282" s="1698">
        <v>1303.47</v>
      </c>
      <c r="AL282" s="1665">
        <v>0</v>
      </c>
      <c r="AM282" s="1668"/>
      <c r="AN282" s="1665">
        <v>0</v>
      </c>
      <c r="AO282" s="1665">
        <v>0</v>
      </c>
      <c r="AP282" s="1665">
        <v>0</v>
      </c>
      <c r="AQ282" s="1665">
        <v>0</v>
      </c>
      <c r="AR282" s="1665">
        <v>0</v>
      </c>
      <c r="AS282" s="1665">
        <v>0</v>
      </c>
      <c r="AT282" s="1665">
        <v>0</v>
      </c>
      <c r="AU282" s="1665">
        <v>0</v>
      </c>
      <c r="AV282" s="1665">
        <v>0</v>
      </c>
      <c r="AW282" s="1665">
        <v>0</v>
      </c>
      <c r="AX282" s="1663"/>
      <c r="AY282" s="1663"/>
      <c r="AZ282" s="1663"/>
      <c r="BA282" s="1668"/>
      <c r="BB282" s="1668"/>
      <c r="BC282" s="1663"/>
      <c r="BD282" s="1663"/>
      <c r="BE282" s="1665">
        <v>0</v>
      </c>
      <c r="BF282" s="1665">
        <v>0</v>
      </c>
      <c r="BG282" s="1665">
        <v>0</v>
      </c>
      <c r="BH282" s="1665">
        <v>0</v>
      </c>
      <c r="BI282" s="1665">
        <v>0</v>
      </c>
      <c r="BJ282" s="1665">
        <v>0</v>
      </c>
      <c r="BK282" s="1665">
        <v>0</v>
      </c>
      <c r="BL282" s="1665">
        <v>0</v>
      </c>
      <c r="BM282" s="1665">
        <v>0</v>
      </c>
      <c r="BN282" s="1665">
        <v>0</v>
      </c>
      <c r="BO282" s="1668"/>
      <c r="BP282" s="1665">
        <v>0</v>
      </c>
      <c r="BQ282" s="1665">
        <v>0</v>
      </c>
      <c r="BR282" s="1665">
        <v>0</v>
      </c>
      <c r="BS282" s="1667">
        <v>0</v>
      </c>
      <c r="BT282" s="1665">
        <v>0</v>
      </c>
      <c r="BU282" s="1665">
        <v>0</v>
      </c>
      <c r="BV282" s="1665">
        <v>0</v>
      </c>
      <c r="BW282" s="1665">
        <v>0</v>
      </c>
      <c r="BX282" s="1665">
        <v>0</v>
      </c>
      <c r="BY282" s="1665">
        <v>0</v>
      </c>
      <c r="BZ282" s="1663"/>
      <c r="CA282" s="1663"/>
      <c r="CB282" s="1668"/>
      <c r="CC282" s="1668"/>
      <c r="CD282" s="1663"/>
      <c r="CE282" s="1663"/>
      <c r="CF282" s="1665">
        <v>0</v>
      </c>
      <c r="CG282" s="1665">
        <v>0</v>
      </c>
      <c r="CH282" s="1665">
        <v>0</v>
      </c>
      <c r="CI282" s="1665">
        <v>0</v>
      </c>
      <c r="CJ282" s="1665">
        <v>0</v>
      </c>
      <c r="CK282" s="1665">
        <v>0</v>
      </c>
      <c r="CL282" s="1668"/>
      <c r="CM282" s="1665">
        <v>0</v>
      </c>
      <c r="CN282" s="1665">
        <v>0</v>
      </c>
      <c r="CO282" s="1665">
        <v>0</v>
      </c>
      <c r="CP282" s="1665">
        <v>0</v>
      </c>
      <c r="CQ282" s="1665">
        <v>0</v>
      </c>
      <c r="CR282" s="1665">
        <v>0</v>
      </c>
      <c r="CS282" s="1665">
        <v>0</v>
      </c>
      <c r="CT282" s="1665">
        <v>0</v>
      </c>
      <c r="CU282" s="1665">
        <v>0</v>
      </c>
      <c r="CV282" s="1665">
        <v>0</v>
      </c>
      <c r="CW282" s="1668"/>
      <c r="CX282" s="1663"/>
      <c r="CY282" s="1663"/>
      <c r="CZ282" s="1663"/>
      <c r="DA282" s="1663"/>
      <c r="DB282" s="1668"/>
      <c r="DC282" s="1662"/>
      <c r="DD282" s="1665">
        <v>0</v>
      </c>
      <c r="DE282" s="1663"/>
      <c r="DF282" s="1663"/>
      <c r="DG282" s="1665">
        <v>0</v>
      </c>
      <c r="DH282" s="1665">
        <v>0</v>
      </c>
    </row>
    <row r="283" spans="1:112" hidden="1" x14ac:dyDescent="0.25">
      <c r="A283" s="1662" t="s">
        <v>2341</v>
      </c>
      <c r="B283" s="1662" t="s">
        <v>1727</v>
      </c>
      <c r="C283" s="1662" t="s">
        <v>2636</v>
      </c>
      <c r="D283" s="1662" t="s">
        <v>2639</v>
      </c>
      <c r="E283" s="1662"/>
      <c r="F283" s="1662"/>
      <c r="G283" s="1662"/>
      <c r="H283" s="1662"/>
      <c r="I283" s="1662"/>
      <c r="J283" s="1662"/>
      <c r="K283" s="1662"/>
      <c r="L283" s="1662"/>
      <c r="M283" s="1665">
        <v>2966201.12</v>
      </c>
      <c r="N283" s="1665">
        <v>0</v>
      </c>
      <c r="O283" s="1665">
        <v>2966201.12</v>
      </c>
      <c r="P283" s="1665">
        <v>2966201.12</v>
      </c>
      <c r="Q283" s="1665">
        <v>2520973.64</v>
      </c>
      <c r="R283" s="1665">
        <v>2520973.64</v>
      </c>
      <c r="S283" s="1665">
        <v>0</v>
      </c>
      <c r="T283" s="1665">
        <v>445227.48</v>
      </c>
      <c r="U283" s="1665">
        <v>0</v>
      </c>
      <c r="V283" s="1665">
        <v>445227.48</v>
      </c>
      <c r="W283" s="1665">
        <v>0</v>
      </c>
      <c r="X283" s="1665">
        <v>0</v>
      </c>
      <c r="Y283" s="1668"/>
      <c r="Z283" s="1662"/>
      <c r="AA283" s="1665">
        <v>46742.09</v>
      </c>
      <c r="AB283" s="1665">
        <v>46742.09</v>
      </c>
      <c r="AC283" s="1680">
        <v>0</v>
      </c>
      <c r="AD283" s="1681"/>
      <c r="AE283" s="1679"/>
      <c r="AF283" s="1662"/>
      <c r="AG283" s="1666"/>
      <c r="AH283" s="1667">
        <v>1959234.25</v>
      </c>
      <c r="AI283" s="1665">
        <v>1959234.25</v>
      </c>
      <c r="AJ283" s="1665">
        <v>1698598.29</v>
      </c>
      <c r="AK283" s="1698">
        <v>1698598.29</v>
      </c>
      <c r="AL283" s="1665">
        <v>0</v>
      </c>
      <c r="AM283" s="1668"/>
      <c r="AN283" s="1665">
        <v>1425514.25</v>
      </c>
      <c r="AO283" s="1665">
        <v>1425514.25</v>
      </c>
      <c r="AP283" s="1665">
        <v>1211620.3799999999</v>
      </c>
      <c r="AQ283" s="1665">
        <v>1211620.3799999999</v>
      </c>
      <c r="AR283" s="1665">
        <v>0</v>
      </c>
      <c r="AS283" s="1665">
        <v>213893.87</v>
      </c>
      <c r="AT283" s="1665">
        <v>0</v>
      </c>
      <c r="AU283" s="1665">
        <v>213893.87</v>
      </c>
      <c r="AV283" s="1665">
        <v>0</v>
      </c>
      <c r="AW283" s="1665">
        <v>0</v>
      </c>
      <c r="AX283" s="1665">
        <v>0</v>
      </c>
      <c r="AY283" s="1665">
        <v>0</v>
      </c>
      <c r="AZ283" s="1665">
        <v>0</v>
      </c>
      <c r="BA283" s="1668"/>
      <c r="BB283" s="1668"/>
      <c r="BC283" s="1665">
        <v>0</v>
      </c>
      <c r="BD283" s="1665">
        <v>0</v>
      </c>
      <c r="BE283" s="1665">
        <v>1425514.25</v>
      </c>
      <c r="BF283" s="1665">
        <v>1425514.25</v>
      </c>
      <c r="BG283" s="1665">
        <v>1211620.3799999999</v>
      </c>
      <c r="BH283" s="1665">
        <v>1211620.3799999999</v>
      </c>
      <c r="BI283" s="1665">
        <v>0</v>
      </c>
      <c r="BJ283" s="1665">
        <v>213893.87</v>
      </c>
      <c r="BK283" s="1665">
        <v>0</v>
      </c>
      <c r="BL283" s="1665">
        <v>213893.87</v>
      </c>
      <c r="BM283" s="1665">
        <v>0</v>
      </c>
      <c r="BN283" s="1665">
        <v>0</v>
      </c>
      <c r="BO283" s="1668"/>
      <c r="BP283" s="1665">
        <v>1319885.22</v>
      </c>
      <c r="BQ283" s="1665">
        <v>1319885.22</v>
      </c>
      <c r="BR283" s="1665">
        <v>1121837.07</v>
      </c>
      <c r="BS283" s="1667">
        <v>1121837.07</v>
      </c>
      <c r="BT283" s="1665">
        <v>0</v>
      </c>
      <c r="BU283" s="1665">
        <v>198048.15</v>
      </c>
      <c r="BV283" s="1665">
        <v>0</v>
      </c>
      <c r="BW283" s="1665">
        <v>23307.79</v>
      </c>
      <c r="BX283" s="1665">
        <v>0</v>
      </c>
      <c r="BY283" s="1665">
        <v>0</v>
      </c>
      <c r="BZ283" s="1665">
        <v>0</v>
      </c>
      <c r="CA283" s="1665">
        <v>0</v>
      </c>
      <c r="CB283" s="1668"/>
      <c r="CC283" s="1668"/>
      <c r="CD283" s="1665">
        <v>0</v>
      </c>
      <c r="CE283" s="1665">
        <v>0</v>
      </c>
      <c r="CF283" s="1665">
        <v>0</v>
      </c>
      <c r="CG283" s="1665">
        <v>0</v>
      </c>
      <c r="CH283" s="1665">
        <v>0</v>
      </c>
      <c r="CI283" s="1665">
        <v>0</v>
      </c>
      <c r="CJ283" s="1665">
        <v>9497.14</v>
      </c>
      <c r="CK283" s="1665">
        <v>9497.14</v>
      </c>
      <c r="CL283" s="1668"/>
      <c r="CM283" s="1665">
        <v>155359.06</v>
      </c>
      <c r="CN283" s="1665">
        <v>155359.06</v>
      </c>
      <c r="CO283" s="1665">
        <v>132051.26999999999</v>
      </c>
      <c r="CP283" s="1665">
        <v>132051.26999999999</v>
      </c>
      <c r="CQ283" s="1665">
        <v>0</v>
      </c>
      <c r="CR283" s="1665">
        <v>23307.79</v>
      </c>
      <c r="CS283" s="1665">
        <v>0</v>
      </c>
      <c r="CT283" s="1665">
        <v>23307.79</v>
      </c>
      <c r="CU283" s="1665">
        <v>0</v>
      </c>
      <c r="CV283" s="1665">
        <v>0</v>
      </c>
      <c r="CW283" s="1668"/>
      <c r="CX283" s="1665">
        <v>0</v>
      </c>
      <c r="CY283" s="1665">
        <v>0</v>
      </c>
      <c r="CZ283" s="1665">
        <v>155359.06</v>
      </c>
      <c r="DA283" s="1665">
        <v>155359.06</v>
      </c>
      <c r="DB283" s="1668"/>
      <c r="DC283" s="1662"/>
      <c r="DD283" s="1665">
        <v>0</v>
      </c>
      <c r="DE283" s="1665">
        <v>0</v>
      </c>
      <c r="DF283" s="1665">
        <v>0</v>
      </c>
      <c r="DG283" s="1665">
        <v>0</v>
      </c>
      <c r="DH283" s="1665">
        <v>0</v>
      </c>
    </row>
    <row r="284" spans="1:112" ht="22.5" hidden="1" x14ac:dyDescent="0.25">
      <c r="A284" s="1662" t="s">
        <v>2343</v>
      </c>
      <c r="B284" s="1662" t="s">
        <v>1727</v>
      </c>
      <c r="C284" s="1662" t="s">
        <v>2636</v>
      </c>
      <c r="D284" s="1662" t="s">
        <v>2639</v>
      </c>
      <c r="E284" s="1662" t="s">
        <v>2342</v>
      </c>
      <c r="F284" s="1662"/>
      <c r="G284" s="1662"/>
      <c r="H284" s="1662"/>
      <c r="I284" s="1662"/>
      <c r="J284" s="1662"/>
      <c r="K284" s="1662"/>
      <c r="L284" s="1662"/>
      <c r="M284" s="1665">
        <v>2966201.12</v>
      </c>
      <c r="N284" s="1665">
        <v>0</v>
      </c>
      <c r="O284" s="1665">
        <v>2966201.12</v>
      </c>
      <c r="P284" s="1665">
        <v>2966201.12</v>
      </c>
      <c r="Q284" s="1665">
        <v>2520973.64</v>
      </c>
      <c r="R284" s="1665">
        <v>2520973.64</v>
      </c>
      <c r="S284" s="1665">
        <v>0</v>
      </c>
      <c r="T284" s="1665">
        <v>445227.48</v>
      </c>
      <c r="U284" s="1665">
        <v>0</v>
      </c>
      <c r="V284" s="1665">
        <v>445227.48</v>
      </c>
      <c r="W284" s="1665">
        <v>0</v>
      </c>
      <c r="X284" s="1665">
        <v>0</v>
      </c>
      <c r="Y284" s="1668"/>
      <c r="Z284" s="1662"/>
      <c r="AA284" s="1665">
        <v>46742.09</v>
      </c>
      <c r="AB284" s="1665">
        <v>46742.09</v>
      </c>
      <c r="AC284" s="1680">
        <v>0</v>
      </c>
      <c r="AD284" s="1681"/>
      <c r="AE284" s="1679"/>
      <c r="AF284" s="1662"/>
      <c r="AG284" s="1666"/>
      <c r="AH284" s="1667">
        <v>1959234.25</v>
      </c>
      <c r="AI284" s="1665">
        <v>1959234.25</v>
      </c>
      <c r="AJ284" s="1665">
        <v>1698598.29</v>
      </c>
      <c r="AK284" s="1698">
        <v>1698598.29</v>
      </c>
      <c r="AL284" s="1665">
        <v>0</v>
      </c>
      <c r="AM284" s="1668"/>
      <c r="AN284" s="1665">
        <v>1425514.25</v>
      </c>
      <c r="AO284" s="1665">
        <v>1425514.25</v>
      </c>
      <c r="AP284" s="1665">
        <v>1211620.3799999999</v>
      </c>
      <c r="AQ284" s="1665">
        <v>1211620.3799999999</v>
      </c>
      <c r="AR284" s="1665">
        <v>0</v>
      </c>
      <c r="AS284" s="1665">
        <v>213893.87</v>
      </c>
      <c r="AT284" s="1665">
        <v>0</v>
      </c>
      <c r="AU284" s="1665">
        <v>213893.87</v>
      </c>
      <c r="AV284" s="1665">
        <v>0</v>
      </c>
      <c r="AW284" s="1665">
        <v>0</v>
      </c>
      <c r="AX284" s="1665">
        <v>0</v>
      </c>
      <c r="AY284" s="1665">
        <v>0</v>
      </c>
      <c r="AZ284" s="1665">
        <v>0</v>
      </c>
      <c r="BA284" s="1668"/>
      <c r="BB284" s="1668"/>
      <c r="BC284" s="1665">
        <v>0</v>
      </c>
      <c r="BD284" s="1665">
        <v>0</v>
      </c>
      <c r="BE284" s="1665">
        <v>1425514.25</v>
      </c>
      <c r="BF284" s="1665">
        <v>1425514.25</v>
      </c>
      <c r="BG284" s="1665">
        <v>1211620.3799999999</v>
      </c>
      <c r="BH284" s="1665">
        <v>1211620.3799999999</v>
      </c>
      <c r="BI284" s="1665">
        <v>0</v>
      </c>
      <c r="BJ284" s="1665">
        <v>213893.87</v>
      </c>
      <c r="BK284" s="1665">
        <v>0</v>
      </c>
      <c r="BL284" s="1665">
        <v>213893.87</v>
      </c>
      <c r="BM284" s="1665">
        <v>0</v>
      </c>
      <c r="BN284" s="1665">
        <v>0</v>
      </c>
      <c r="BO284" s="1668"/>
      <c r="BP284" s="1665">
        <v>1319885.22</v>
      </c>
      <c r="BQ284" s="1665">
        <v>1319885.22</v>
      </c>
      <c r="BR284" s="1665">
        <v>1121837.07</v>
      </c>
      <c r="BS284" s="1667">
        <v>1121837.07</v>
      </c>
      <c r="BT284" s="1665">
        <v>0</v>
      </c>
      <c r="BU284" s="1665">
        <v>198048.15</v>
      </c>
      <c r="BV284" s="1665">
        <v>0</v>
      </c>
      <c r="BW284" s="1665">
        <v>23307.79</v>
      </c>
      <c r="BX284" s="1665">
        <v>0</v>
      </c>
      <c r="BY284" s="1665">
        <v>0</v>
      </c>
      <c r="BZ284" s="1665">
        <v>0</v>
      </c>
      <c r="CA284" s="1665">
        <v>0</v>
      </c>
      <c r="CB284" s="1668"/>
      <c r="CC284" s="1668"/>
      <c r="CD284" s="1665">
        <v>0</v>
      </c>
      <c r="CE284" s="1665">
        <v>0</v>
      </c>
      <c r="CF284" s="1665">
        <v>0</v>
      </c>
      <c r="CG284" s="1665">
        <v>0</v>
      </c>
      <c r="CH284" s="1665">
        <v>0</v>
      </c>
      <c r="CI284" s="1665">
        <v>0</v>
      </c>
      <c r="CJ284" s="1665">
        <v>9497.14</v>
      </c>
      <c r="CK284" s="1665">
        <v>9497.14</v>
      </c>
      <c r="CL284" s="1668"/>
      <c r="CM284" s="1665">
        <v>155359.06</v>
      </c>
      <c r="CN284" s="1665">
        <v>155359.06</v>
      </c>
      <c r="CO284" s="1665">
        <v>132051.26999999999</v>
      </c>
      <c r="CP284" s="1665">
        <v>132051.26999999999</v>
      </c>
      <c r="CQ284" s="1665">
        <v>0</v>
      </c>
      <c r="CR284" s="1665">
        <v>23307.79</v>
      </c>
      <c r="CS284" s="1665">
        <v>0</v>
      </c>
      <c r="CT284" s="1665">
        <v>23307.79</v>
      </c>
      <c r="CU284" s="1665">
        <v>0</v>
      </c>
      <c r="CV284" s="1665">
        <v>0</v>
      </c>
      <c r="CW284" s="1668"/>
      <c r="CX284" s="1665">
        <v>0</v>
      </c>
      <c r="CY284" s="1665">
        <v>0</v>
      </c>
      <c r="CZ284" s="1665">
        <v>155359.06</v>
      </c>
      <c r="DA284" s="1665">
        <v>155359.06</v>
      </c>
      <c r="DB284" s="1668"/>
      <c r="DC284" s="1662"/>
      <c r="DD284" s="1665">
        <v>0</v>
      </c>
      <c r="DE284" s="1665">
        <v>0</v>
      </c>
      <c r="DF284" s="1665">
        <v>0</v>
      </c>
      <c r="DG284" s="1665">
        <v>0</v>
      </c>
      <c r="DH284" s="1665">
        <v>0</v>
      </c>
    </row>
    <row r="285" spans="1:112" ht="33.75" hidden="1" x14ac:dyDescent="0.25">
      <c r="A285" s="1662" t="s">
        <v>2344</v>
      </c>
      <c r="B285" s="1662" t="s">
        <v>1727</v>
      </c>
      <c r="C285" s="1662" t="s">
        <v>2636</v>
      </c>
      <c r="D285" s="1662" t="s">
        <v>2639</v>
      </c>
      <c r="E285" s="1662" t="s">
        <v>2342</v>
      </c>
      <c r="F285" s="1662" t="s">
        <v>2638</v>
      </c>
      <c r="G285" s="1662" t="s">
        <v>2628</v>
      </c>
      <c r="H285" s="1662" t="s">
        <v>2613</v>
      </c>
      <c r="I285" s="1662" t="s">
        <v>737</v>
      </c>
      <c r="J285" s="1662" t="s">
        <v>279</v>
      </c>
      <c r="K285" s="1662" t="s">
        <v>2108</v>
      </c>
      <c r="L285" s="1662" t="s">
        <v>2109</v>
      </c>
      <c r="M285" s="1665">
        <v>736499</v>
      </c>
      <c r="N285" s="1665">
        <v>0</v>
      </c>
      <c r="O285" s="1665">
        <v>736499</v>
      </c>
      <c r="P285" s="1665">
        <v>736499</v>
      </c>
      <c r="Q285" s="1665">
        <v>626024</v>
      </c>
      <c r="R285" s="1665">
        <v>626024</v>
      </c>
      <c r="S285" s="1665">
        <v>0</v>
      </c>
      <c r="T285" s="1665">
        <v>110475</v>
      </c>
      <c r="U285" s="1665">
        <v>0</v>
      </c>
      <c r="V285" s="1665">
        <v>110475</v>
      </c>
      <c r="W285" s="1665">
        <v>0</v>
      </c>
      <c r="X285" s="1665">
        <v>0</v>
      </c>
      <c r="Y285" s="1668"/>
      <c r="Z285" s="1662"/>
      <c r="AA285" s="1665">
        <v>46742.09</v>
      </c>
      <c r="AB285" s="1665">
        <v>46742.09</v>
      </c>
      <c r="AC285" s="1680">
        <v>0</v>
      </c>
      <c r="AD285" s="1681"/>
      <c r="AE285" s="1679"/>
      <c r="AF285" s="1662"/>
      <c r="AG285" s="1666"/>
      <c r="AH285" s="1667">
        <v>539350.59</v>
      </c>
      <c r="AI285" s="1665">
        <v>539350.59</v>
      </c>
      <c r="AJ285" s="1665">
        <v>438705.83</v>
      </c>
      <c r="AK285" s="1698">
        <v>438705.83</v>
      </c>
      <c r="AL285" s="1665">
        <v>0</v>
      </c>
      <c r="AM285" s="1668"/>
      <c r="AN285" s="1665">
        <v>359350.59</v>
      </c>
      <c r="AO285" s="1665">
        <v>359350.59</v>
      </c>
      <c r="AP285" s="1665">
        <v>305447.92</v>
      </c>
      <c r="AQ285" s="1665">
        <v>305447.92</v>
      </c>
      <c r="AR285" s="1665">
        <v>0</v>
      </c>
      <c r="AS285" s="1665">
        <v>53902.67</v>
      </c>
      <c r="AT285" s="1665">
        <v>0</v>
      </c>
      <c r="AU285" s="1665">
        <v>53902.67</v>
      </c>
      <c r="AV285" s="1665">
        <v>0</v>
      </c>
      <c r="AW285" s="1665">
        <v>0</v>
      </c>
      <c r="AX285" s="1665">
        <v>0</v>
      </c>
      <c r="AY285" s="1665">
        <v>0</v>
      </c>
      <c r="AZ285" s="1665">
        <v>0</v>
      </c>
      <c r="BA285" s="1668"/>
      <c r="BB285" s="1668"/>
      <c r="BC285" s="1665">
        <v>0</v>
      </c>
      <c r="BD285" s="1665">
        <v>0</v>
      </c>
      <c r="BE285" s="1665">
        <v>359350.59</v>
      </c>
      <c r="BF285" s="1665">
        <v>359350.59</v>
      </c>
      <c r="BG285" s="1665">
        <v>305447.92</v>
      </c>
      <c r="BH285" s="1665">
        <v>305447.92</v>
      </c>
      <c r="BI285" s="1665">
        <v>0</v>
      </c>
      <c r="BJ285" s="1665">
        <v>53902.67</v>
      </c>
      <c r="BK285" s="1665">
        <v>0</v>
      </c>
      <c r="BL285" s="1665">
        <v>53902.67</v>
      </c>
      <c r="BM285" s="1665">
        <v>0</v>
      </c>
      <c r="BN285" s="1665">
        <v>0</v>
      </c>
      <c r="BO285" s="1668"/>
      <c r="BP285" s="1665">
        <v>359350.59</v>
      </c>
      <c r="BQ285" s="1665">
        <v>359350.59</v>
      </c>
      <c r="BR285" s="1665">
        <v>305447.92</v>
      </c>
      <c r="BS285" s="1667">
        <v>305447.92</v>
      </c>
      <c r="BT285" s="1665">
        <v>0</v>
      </c>
      <c r="BU285" s="1665">
        <v>53902.67</v>
      </c>
      <c r="BV285" s="1665">
        <v>0</v>
      </c>
      <c r="BW285" s="1665">
        <v>1068.73</v>
      </c>
      <c r="BX285" s="1665">
        <v>0</v>
      </c>
      <c r="BY285" s="1665">
        <v>0</v>
      </c>
      <c r="BZ285" s="1665">
        <v>0</v>
      </c>
      <c r="CA285" s="1665">
        <v>0</v>
      </c>
      <c r="CB285" s="1668"/>
      <c r="CC285" s="1668"/>
      <c r="CD285" s="1665">
        <v>0</v>
      </c>
      <c r="CE285" s="1665">
        <v>0</v>
      </c>
      <c r="CF285" s="1665">
        <v>0</v>
      </c>
      <c r="CG285" s="1665">
        <v>0</v>
      </c>
      <c r="CH285" s="1665">
        <v>0</v>
      </c>
      <c r="CI285" s="1665">
        <v>0</v>
      </c>
      <c r="CJ285" s="1665">
        <v>3522.7</v>
      </c>
      <c r="CK285" s="1665">
        <v>3522.7</v>
      </c>
      <c r="CL285" s="1668"/>
      <c r="CM285" s="1665">
        <v>7124.84</v>
      </c>
      <c r="CN285" s="1665">
        <v>7124.84</v>
      </c>
      <c r="CO285" s="1665">
        <v>6056.11</v>
      </c>
      <c r="CP285" s="1665">
        <v>6056.11</v>
      </c>
      <c r="CQ285" s="1665">
        <v>0</v>
      </c>
      <c r="CR285" s="1665">
        <v>1068.73</v>
      </c>
      <c r="CS285" s="1665">
        <v>0</v>
      </c>
      <c r="CT285" s="1665">
        <v>1068.73</v>
      </c>
      <c r="CU285" s="1665">
        <v>0</v>
      </c>
      <c r="CV285" s="1665">
        <v>0</v>
      </c>
      <c r="CW285" s="1668"/>
      <c r="CX285" s="1665">
        <v>0</v>
      </c>
      <c r="CY285" s="1665">
        <v>0</v>
      </c>
      <c r="CZ285" s="1665">
        <v>7124.84</v>
      </c>
      <c r="DA285" s="1665">
        <v>7124.84</v>
      </c>
      <c r="DB285" s="1668"/>
      <c r="DC285" s="1662"/>
      <c r="DD285" s="1665">
        <v>0</v>
      </c>
      <c r="DE285" s="1665">
        <v>0</v>
      </c>
      <c r="DF285" s="1665">
        <v>0</v>
      </c>
      <c r="DG285" s="1665">
        <v>0</v>
      </c>
      <c r="DH285" s="1665">
        <v>0</v>
      </c>
    </row>
    <row r="286" spans="1:112" ht="33.75" hidden="1" x14ac:dyDescent="0.25">
      <c r="A286" s="1662" t="s">
        <v>2345</v>
      </c>
      <c r="B286" s="1662" t="s">
        <v>1727</v>
      </c>
      <c r="C286" s="1662" t="s">
        <v>2636</v>
      </c>
      <c r="D286" s="1662" t="s">
        <v>2639</v>
      </c>
      <c r="E286" s="1662" t="s">
        <v>2342</v>
      </c>
      <c r="F286" s="1662" t="s">
        <v>2638</v>
      </c>
      <c r="G286" s="1662" t="s">
        <v>2628</v>
      </c>
      <c r="H286" s="1662" t="s">
        <v>2613</v>
      </c>
      <c r="I286" s="1662" t="s">
        <v>737</v>
      </c>
      <c r="J286" s="1662" t="s">
        <v>279</v>
      </c>
      <c r="K286" s="1662" t="s">
        <v>2108</v>
      </c>
      <c r="L286" s="1662" t="s">
        <v>2109</v>
      </c>
      <c r="M286" s="1663"/>
      <c r="N286" s="1663"/>
      <c r="O286" s="1663"/>
      <c r="P286" s="1663"/>
      <c r="Q286" s="1663"/>
      <c r="R286" s="1663"/>
      <c r="S286" s="1663"/>
      <c r="T286" s="1663"/>
      <c r="U286" s="1663"/>
      <c r="V286" s="1663"/>
      <c r="W286" s="1663"/>
      <c r="X286" s="1663"/>
      <c r="Y286" s="1664">
        <v>42703</v>
      </c>
      <c r="Z286" s="1662" t="s">
        <v>2110</v>
      </c>
      <c r="AA286" s="1665">
        <v>0</v>
      </c>
      <c r="AB286" s="1665">
        <v>0</v>
      </c>
      <c r="AC286" s="1680">
        <v>0</v>
      </c>
      <c r="AD286" s="1682">
        <v>42726</v>
      </c>
      <c r="AE286" s="1679" t="s">
        <v>2122</v>
      </c>
      <c r="AF286" s="1662" t="s">
        <v>2112</v>
      </c>
      <c r="AG286" s="1666"/>
      <c r="AH286" s="1667">
        <v>7124.84</v>
      </c>
      <c r="AI286" s="1665">
        <v>7124.84</v>
      </c>
      <c r="AJ286" s="1665">
        <v>6056.11</v>
      </c>
      <c r="AK286" s="1698">
        <v>6056.11</v>
      </c>
      <c r="AL286" s="1665">
        <v>0</v>
      </c>
      <c r="AM286" s="1664">
        <v>42726</v>
      </c>
      <c r="AN286" s="1665">
        <v>7124.84</v>
      </c>
      <c r="AO286" s="1665">
        <v>7124.84</v>
      </c>
      <c r="AP286" s="1665">
        <v>6056.11</v>
      </c>
      <c r="AQ286" s="1665">
        <v>6056.11</v>
      </c>
      <c r="AR286" s="1665">
        <v>0</v>
      </c>
      <c r="AS286" s="1665">
        <v>1068.73</v>
      </c>
      <c r="AT286" s="1665">
        <v>0</v>
      </c>
      <c r="AU286" s="1665">
        <v>1068.73</v>
      </c>
      <c r="AV286" s="1665">
        <v>0</v>
      </c>
      <c r="AW286" s="1665">
        <v>0</v>
      </c>
      <c r="AX286" s="1663"/>
      <c r="AY286" s="1663"/>
      <c r="AZ286" s="1663"/>
      <c r="BA286" s="1668"/>
      <c r="BB286" s="1668"/>
      <c r="BC286" s="1663"/>
      <c r="BD286" s="1663"/>
      <c r="BE286" s="1665">
        <v>7124.84</v>
      </c>
      <c r="BF286" s="1665">
        <v>7124.84</v>
      </c>
      <c r="BG286" s="1665">
        <v>6056.11</v>
      </c>
      <c r="BH286" s="1665">
        <v>6056.11</v>
      </c>
      <c r="BI286" s="1665">
        <v>0</v>
      </c>
      <c r="BJ286" s="1665">
        <v>1068.73</v>
      </c>
      <c r="BK286" s="1665">
        <v>0</v>
      </c>
      <c r="BL286" s="1665">
        <v>1068.73</v>
      </c>
      <c r="BM286" s="1665">
        <v>0</v>
      </c>
      <c r="BN286" s="1665">
        <v>0</v>
      </c>
      <c r="BO286" s="1664">
        <v>42794</v>
      </c>
      <c r="BP286" s="1665">
        <v>7124.84</v>
      </c>
      <c r="BQ286" s="1665">
        <v>7124.84</v>
      </c>
      <c r="BR286" s="1665">
        <v>6056.11</v>
      </c>
      <c r="BS286" s="1667">
        <v>6056.11</v>
      </c>
      <c r="BT286" s="1665">
        <v>0</v>
      </c>
      <c r="BU286" s="1665">
        <v>1068.73</v>
      </c>
      <c r="BV286" s="1665">
        <v>0</v>
      </c>
      <c r="BW286" s="1665">
        <v>1068.73</v>
      </c>
      <c r="BX286" s="1665">
        <v>0</v>
      </c>
      <c r="BY286" s="1665">
        <v>0</v>
      </c>
      <c r="BZ286" s="1665">
        <v>0</v>
      </c>
      <c r="CA286" s="1663"/>
      <c r="CB286" s="1668"/>
      <c r="CC286" s="1668"/>
      <c r="CD286" s="1663"/>
      <c r="CE286" s="1663"/>
      <c r="CF286" s="1665">
        <v>0</v>
      </c>
      <c r="CG286" s="1665">
        <v>0</v>
      </c>
      <c r="CH286" s="1665">
        <v>0</v>
      </c>
      <c r="CI286" s="1665">
        <v>0</v>
      </c>
      <c r="CJ286" s="1665">
        <v>69.84</v>
      </c>
      <c r="CK286" s="1665">
        <v>69.84</v>
      </c>
      <c r="CL286" s="1664">
        <v>43144</v>
      </c>
      <c r="CM286" s="1665">
        <v>7124.84</v>
      </c>
      <c r="CN286" s="1665">
        <v>7124.84</v>
      </c>
      <c r="CO286" s="1665">
        <v>6056.11</v>
      </c>
      <c r="CP286" s="1665">
        <v>6056.11</v>
      </c>
      <c r="CQ286" s="1665">
        <v>0</v>
      </c>
      <c r="CR286" s="1665">
        <v>1068.73</v>
      </c>
      <c r="CS286" s="1665">
        <v>0</v>
      </c>
      <c r="CT286" s="1665">
        <v>1068.73</v>
      </c>
      <c r="CU286" s="1665">
        <v>0</v>
      </c>
      <c r="CV286" s="1665">
        <v>0</v>
      </c>
      <c r="CW286" s="1668"/>
      <c r="CX286" s="1663"/>
      <c r="CY286" s="1663"/>
      <c r="CZ286" s="1663"/>
      <c r="DA286" s="1663"/>
      <c r="DB286" s="1668"/>
      <c r="DC286" s="1662"/>
      <c r="DD286" s="1665">
        <v>0</v>
      </c>
      <c r="DE286" s="1663"/>
      <c r="DF286" s="1663"/>
      <c r="DG286" s="1665">
        <v>0</v>
      </c>
      <c r="DH286" s="1665">
        <v>0</v>
      </c>
    </row>
    <row r="287" spans="1:112" ht="33.75" hidden="1" x14ac:dyDescent="0.25">
      <c r="A287" s="1662" t="s">
        <v>2346</v>
      </c>
      <c r="B287" s="1662" t="s">
        <v>1727</v>
      </c>
      <c r="C287" s="1662" t="s">
        <v>2636</v>
      </c>
      <c r="D287" s="1662" t="s">
        <v>2639</v>
      </c>
      <c r="E287" s="1662" t="s">
        <v>2342</v>
      </c>
      <c r="F287" s="1662" t="s">
        <v>2638</v>
      </c>
      <c r="G287" s="1662" t="s">
        <v>2628</v>
      </c>
      <c r="H287" s="1662" t="s">
        <v>2613</v>
      </c>
      <c r="I287" s="1662" t="s">
        <v>737</v>
      </c>
      <c r="J287" s="1662" t="s">
        <v>279</v>
      </c>
      <c r="K287" s="1662" t="s">
        <v>2108</v>
      </c>
      <c r="L287" s="1662" t="s">
        <v>2109</v>
      </c>
      <c r="M287" s="1663"/>
      <c r="N287" s="1663"/>
      <c r="O287" s="1663"/>
      <c r="P287" s="1663"/>
      <c r="Q287" s="1663"/>
      <c r="R287" s="1663"/>
      <c r="S287" s="1663"/>
      <c r="T287" s="1663"/>
      <c r="U287" s="1663"/>
      <c r="V287" s="1663"/>
      <c r="W287" s="1663"/>
      <c r="X287" s="1663"/>
      <c r="Y287" s="1664">
        <v>42734</v>
      </c>
      <c r="Z287" s="1662" t="s">
        <v>2145</v>
      </c>
      <c r="AA287" s="1665">
        <v>0</v>
      </c>
      <c r="AB287" s="1665">
        <v>0</v>
      </c>
      <c r="AC287" s="1680">
        <v>0</v>
      </c>
      <c r="AD287" s="1682">
        <v>42761</v>
      </c>
      <c r="AE287" s="1679" t="s">
        <v>2111</v>
      </c>
      <c r="AF287" s="1662" t="s">
        <v>2112</v>
      </c>
      <c r="AG287" s="1666"/>
      <c r="AH287" s="1667">
        <v>120000</v>
      </c>
      <c r="AI287" s="1665">
        <v>120000</v>
      </c>
      <c r="AJ287" s="1665">
        <v>120000</v>
      </c>
      <c r="AK287" s="1698">
        <v>120000</v>
      </c>
      <c r="AL287" s="1665">
        <v>0</v>
      </c>
      <c r="AM287" s="1668"/>
      <c r="AN287" s="1665">
        <v>0</v>
      </c>
      <c r="AO287" s="1665">
        <v>0</v>
      </c>
      <c r="AP287" s="1665">
        <v>0</v>
      </c>
      <c r="AQ287" s="1665">
        <v>0</v>
      </c>
      <c r="AR287" s="1665">
        <v>0</v>
      </c>
      <c r="AS287" s="1665">
        <v>0</v>
      </c>
      <c r="AT287" s="1665">
        <v>0</v>
      </c>
      <c r="AU287" s="1665">
        <v>0</v>
      </c>
      <c r="AV287" s="1665">
        <v>0</v>
      </c>
      <c r="AW287" s="1665">
        <v>0</v>
      </c>
      <c r="AX287" s="1663"/>
      <c r="AY287" s="1663"/>
      <c r="AZ287" s="1663"/>
      <c r="BA287" s="1668"/>
      <c r="BB287" s="1668"/>
      <c r="BC287" s="1663"/>
      <c r="BD287" s="1663"/>
      <c r="BE287" s="1665">
        <v>0</v>
      </c>
      <c r="BF287" s="1665">
        <v>0</v>
      </c>
      <c r="BG287" s="1665">
        <v>0</v>
      </c>
      <c r="BH287" s="1665">
        <v>0</v>
      </c>
      <c r="BI287" s="1665">
        <v>0</v>
      </c>
      <c r="BJ287" s="1665">
        <v>0</v>
      </c>
      <c r="BK287" s="1665">
        <v>0</v>
      </c>
      <c r="BL287" s="1665">
        <v>0</v>
      </c>
      <c r="BM287" s="1665">
        <v>0</v>
      </c>
      <c r="BN287" s="1665">
        <v>0</v>
      </c>
      <c r="BO287" s="1668"/>
      <c r="BP287" s="1665">
        <v>0</v>
      </c>
      <c r="BQ287" s="1665">
        <v>0</v>
      </c>
      <c r="BR287" s="1665">
        <v>0</v>
      </c>
      <c r="BS287" s="1667">
        <v>0</v>
      </c>
      <c r="BT287" s="1665">
        <v>0</v>
      </c>
      <c r="BU287" s="1665">
        <v>0</v>
      </c>
      <c r="BV287" s="1665">
        <v>0</v>
      </c>
      <c r="BW287" s="1665">
        <v>0</v>
      </c>
      <c r="BX287" s="1665">
        <v>0</v>
      </c>
      <c r="BY287" s="1665">
        <v>0</v>
      </c>
      <c r="BZ287" s="1663"/>
      <c r="CA287" s="1663"/>
      <c r="CB287" s="1668"/>
      <c r="CC287" s="1668"/>
      <c r="CD287" s="1663"/>
      <c r="CE287" s="1663"/>
      <c r="CF287" s="1665">
        <v>0</v>
      </c>
      <c r="CG287" s="1665">
        <v>0</v>
      </c>
      <c r="CH287" s="1665">
        <v>0</v>
      </c>
      <c r="CI287" s="1665">
        <v>0</v>
      </c>
      <c r="CJ287" s="1665">
        <v>0</v>
      </c>
      <c r="CK287" s="1665">
        <v>0</v>
      </c>
      <c r="CL287" s="1668"/>
      <c r="CM287" s="1665">
        <v>0</v>
      </c>
      <c r="CN287" s="1665">
        <v>0</v>
      </c>
      <c r="CO287" s="1665">
        <v>0</v>
      </c>
      <c r="CP287" s="1665">
        <v>0</v>
      </c>
      <c r="CQ287" s="1665">
        <v>0</v>
      </c>
      <c r="CR287" s="1665">
        <v>0</v>
      </c>
      <c r="CS287" s="1665">
        <v>0</v>
      </c>
      <c r="CT287" s="1665">
        <v>0</v>
      </c>
      <c r="CU287" s="1665">
        <v>0</v>
      </c>
      <c r="CV287" s="1665">
        <v>0</v>
      </c>
      <c r="CW287" s="1668"/>
      <c r="CX287" s="1663"/>
      <c r="CY287" s="1663"/>
      <c r="CZ287" s="1663"/>
      <c r="DA287" s="1663"/>
      <c r="DB287" s="1668"/>
      <c r="DC287" s="1662"/>
      <c r="DD287" s="1665">
        <v>0</v>
      </c>
      <c r="DE287" s="1663"/>
      <c r="DF287" s="1663"/>
      <c r="DG287" s="1665">
        <v>0</v>
      </c>
      <c r="DH287" s="1665">
        <v>0</v>
      </c>
    </row>
    <row r="288" spans="1:112" ht="33.75" hidden="1" x14ac:dyDescent="0.25">
      <c r="A288" s="1662" t="s">
        <v>2347</v>
      </c>
      <c r="B288" s="1662" t="s">
        <v>1727</v>
      </c>
      <c r="C288" s="1662" t="s">
        <v>2636</v>
      </c>
      <c r="D288" s="1662" t="s">
        <v>2639</v>
      </c>
      <c r="E288" s="1662" t="s">
        <v>2342</v>
      </c>
      <c r="F288" s="1662" t="s">
        <v>2638</v>
      </c>
      <c r="G288" s="1662" t="s">
        <v>2628</v>
      </c>
      <c r="H288" s="1662" t="s">
        <v>2613</v>
      </c>
      <c r="I288" s="1662" t="s">
        <v>737</v>
      </c>
      <c r="J288" s="1662" t="s">
        <v>279</v>
      </c>
      <c r="K288" s="1662" t="s">
        <v>2108</v>
      </c>
      <c r="L288" s="1662" t="s">
        <v>2109</v>
      </c>
      <c r="M288" s="1663"/>
      <c r="N288" s="1663"/>
      <c r="O288" s="1663"/>
      <c r="P288" s="1663"/>
      <c r="Q288" s="1663"/>
      <c r="R288" s="1663"/>
      <c r="S288" s="1663"/>
      <c r="T288" s="1663"/>
      <c r="U288" s="1663"/>
      <c r="V288" s="1663"/>
      <c r="W288" s="1663"/>
      <c r="X288" s="1663"/>
      <c r="Y288" s="1664">
        <v>42835</v>
      </c>
      <c r="Z288" s="1662" t="s">
        <v>2110</v>
      </c>
      <c r="AA288" s="1665">
        <v>46742.09</v>
      </c>
      <c r="AB288" s="1665">
        <v>46742.09</v>
      </c>
      <c r="AC288" s="1680">
        <v>0</v>
      </c>
      <c r="AD288" s="1682">
        <v>42853</v>
      </c>
      <c r="AE288" s="1679" t="s">
        <v>2128</v>
      </c>
      <c r="AF288" s="1662" t="s">
        <v>2112</v>
      </c>
      <c r="AG288" s="1666"/>
      <c r="AH288" s="1667">
        <v>54990.71</v>
      </c>
      <c r="AI288" s="1665">
        <v>54990.71</v>
      </c>
      <c r="AJ288" s="1665">
        <v>0</v>
      </c>
      <c r="AK288" s="1698">
        <v>0</v>
      </c>
      <c r="AL288" s="1665">
        <v>0</v>
      </c>
      <c r="AM288" s="1664">
        <v>42853</v>
      </c>
      <c r="AN288" s="1665">
        <v>54990.71</v>
      </c>
      <c r="AO288" s="1665">
        <v>54990.71</v>
      </c>
      <c r="AP288" s="1665">
        <v>46742.09</v>
      </c>
      <c r="AQ288" s="1665">
        <v>46742.09</v>
      </c>
      <c r="AR288" s="1665">
        <v>0</v>
      </c>
      <c r="AS288" s="1665">
        <v>8248.6200000000008</v>
      </c>
      <c r="AT288" s="1665">
        <v>0</v>
      </c>
      <c r="AU288" s="1665">
        <v>8248.6200000000008</v>
      </c>
      <c r="AV288" s="1665">
        <v>0</v>
      </c>
      <c r="AW288" s="1665">
        <v>0</v>
      </c>
      <c r="AX288" s="1663"/>
      <c r="AY288" s="1663"/>
      <c r="AZ288" s="1663"/>
      <c r="BA288" s="1668"/>
      <c r="BB288" s="1668"/>
      <c r="BC288" s="1663"/>
      <c r="BD288" s="1663"/>
      <c r="BE288" s="1665">
        <v>54990.71</v>
      </c>
      <c r="BF288" s="1665">
        <v>54990.71</v>
      </c>
      <c r="BG288" s="1665">
        <v>46742.09</v>
      </c>
      <c r="BH288" s="1665">
        <v>46742.09</v>
      </c>
      <c r="BI288" s="1665">
        <v>0</v>
      </c>
      <c r="BJ288" s="1665">
        <v>8248.6200000000008</v>
      </c>
      <c r="BK288" s="1665">
        <v>0</v>
      </c>
      <c r="BL288" s="1665">
        <v>8248.6200000000008</v>
      </c>
      <c r="BM288" s="1665">
        <v>0</v>
      </c>
      <c r="BN288" s="1665">
        <v>0</v>
      </c>
      <c r="BO288" s="1664">
        <v>42993</v>
      </c>
      <c r="BP288" s="1665">
        <v>54990.71</v>
      </c>
      <c r="BQ288" s="1665">
        <v>54990.71</v>
      </c>
      <c r="BR288" s="1665">
        <v>46742.09</v>
      </c>
      <c r="BS288" s="1667">
        <v>46742.09</v>
      </c>
      <c r="BT288" s="1665">
        <v>0</v>
      </c>
      <c r="BU288" s="1665">
        <v>8248.6200000000008</v>
      </c>
      <c r="BV288" s="1665">
        <v>0</v>
      </c>
      <c r="BW288" s="1665">
        <v>0</v>
      </c>
      <c r="BX288" s="1665">
        <v>0</v>
      </c>
      <c r="BY288" s="1665">
        <v>0</v>
      </c>
      <c r="BZ288" s="1665">
        <v>0</v>
      </c>
      <c r="CA288" s="1663"/>
      <c r="CB288" s="1668"/>
      <c r="CC288" s="1668"/>
      <c r="CD288" s="1663"/>
      <c r="CE288" s="1663"/>
      <c r="CF288" s="1665">
        <v>0</v>
      </c>
      <c r="CG288" s="1665">
        <v>0</v>
      </c>
      <c r="CH288" s="1665">
        <v>0</v>
      </c>
      <c r="CI288" s="1665">
        <v>0</v>
      </c>
      <c r="CJ288" s="1665">
        <v>0</v>
      </c>
      <c r="CK288" s="1665">
        <v>0</v>
      </c>
      <c r="CL288" s="1668"/>
      <c r="CM288" s="1665">
        <v>0</v>
      </c>
      <c r="CN288" s="1665">
        <v>0</v>
      </c>
      <c r="CO288" s="1665">
        <v>0</v>
      </c>
      <c r="CP288" s="1665">
        <v>0</v>
      </c>
      <c r="CQ288" s="1665">
        <v>0</v>
      </c>
      <c r="CR288" s="1665">
        <v>0</v>
      </c>
      <c r="CS288" s="1665">
        <v>0</v>
      </c>
      <c r="CT288" s="1665">
        <v>0</v>
      </c>
      <c r="CU288" s="1665">
        <v>0</v>
      </c>
      <c r="CV288" s="1665">
        <v>0</v>
      </c>
      <c r="CW288" s="1668"/>
      <c r="CX288" s="1663"/>
      <c r="CY288" s="1663"/>
      <c r="CZ288" s="1663"/>
      <c r="DA288" s="1663"/>
      <c r="DB288" s="1668"/>
      <c r="DC288" s="1662"/>
      <c r="DD288" s="1665">
        <v>0</v>
      </c>
      <c r="DE288" s="1663"/>
      <c r="DF288" s="1663"/>
      <c r="DG288" s="1665">
        <v>0</v>
      </c>
      <c r="DH288" s="1665">
        <v>0</v>
      </c>
    </row>
    <row r="289" spans="1:112" ht="33.75" hidden="1" x14ac:dyDescent="0.25">
      <c r="A289" s="1662" t="s">
        <v>2348</v>
      </c>
      <c r="B289" s="1662" t="s">
        <v>1727</v>
      </c>
      <c r="C289" s="1662" t="s">
        <v>2636</v>
      </c>
      <c r="D289" s="1662" t="s">
        <v>2639</v>
      </c>
      <c r="E289" s="1662" t="s">
        <v>2342</v>
      </c>
      <c r="F289" s="1662" t="s">
        <v>2638</v>
      </c>
      <c r="G289" s="1662" t="s">
        <v>2628</v>
      </c>
      <c r="H289" s="1662" t="s">
        <v>2613</v>
      </c>
      <c r="I289" s="1662" t="s">
        <v>737</v>
      </c>
      <c r="J289" s="1662" t="s">
        <v>279</v>
      </c>
      <c r="K289" s="1662" t="s">
        <v>2108</v>
      </c>
      <c r="L289" s="1662" t="s">
        <v>2109</v>
      </c>
      <c r="M289" s="1663"/>
      <c r="N289" s="1663"/>
      <c r="O289" s="1663"/>
      <c r="P289" s="1663"/>
      <c r="Q289" s="1663"/>
      <c r="R289" s="1663"/>
      <c r="S289" s="1663"/>
      <c r="T289" s="1663"/>
      <c r="U289" s="1663"/>
      <c r="V289" s="1663"/>
      <c r="W289" s="1663"/>
      <c r="X289" s="1663"/>
      <c r="Y289" s="1664">
        <v>42891</v>
      </c>
      <c r="Z289" s="1662" t="s">
        <v>2145</v>
      </c>
      <c r="AA289" s="1665">
        <v>0</v>
      </c>
      <c r="AB289" s="1665">
        <v>0</v>
      </c>
      <c r="AC289" s="1680">
        <v>0</v>
      </c>
      <c r="AD289" s="1682">
        <v>42899</v>
      </c>
      <c r="AE289" s="1679" t="s">
        <v>2129</v>
      </c>
      <c r="AF289" s="1662" t="s">
        <v>2112</v>
      </c>
      <c r="AG289" s="1666"/>
      <c r="AH289" s="1667">
        <v>60000</v>
      </c>
      <c r="AI289" s="1665">
        <v>60000</v>
      </c>
      <c r="AJ289" s="1665">
        <v>60000</v>
      </c>
      <c r="AK289" s="1698">
        <v>60000</v>
      </c>
      <c r="AL289" s="1665">
        <v>0</v>
      </c>
      <c r="AM289" s="1668"/>
      <c r="AN289" s="1665">
        <v>0</v>
      </c>
      <c r="AO289" s="1665">
        <v>0</v>
      </c>
      <c r="AP289" s="1665">
        <v>0</v>
      </c>
      <c r="AQ289" s="1665">
        <v>0</v>
      </c>
      <c r="AR289" s="1665">
        <v>0</v>
      </c>
      <c r="AS289" s="1665">
        <v>0</v>
      </c>
      <c r="AT289" s="1665">
        <v>0</v>
      </c>
      <c r="AU289" s="1665">
        <v>0</v>
      </c>
      <c r="AV289" s="1665">
        <v>0</v>
      </c>
      <c r="AW289" s="1665">
        <v>0</v>
      </c>
      <c r="AX289" s="1663"/>
      <c r="AY289" s="1663"/>
      <c r="AZ289" s="1663"/>
      <c r="BA289" s="1668"/>
      <c r="BB289" s="1668"/>
      <c r="BC289" s="1663"/>
      <c r="BD289" s="1663"/>
      <c r="BE289" s="1665">
        <v>0</v>
      </c>
      <c r="BF289" s="1665">
        <v>0</v>
      </c>
      <c r="BG289" s="1665">
        <v>0</v>
      </c>
      <c r="BH289" s="1665">
        <v>0</v>
      </c>
      <c r="BI289" s="1665">
        <v>0</v>
      </c>
      <c r="BJ289" s="1665">
        <v>0</v>
      </c>
      <c r="BK289" s="1665">
        <v>0</v>
      </c>
      <c r="BL289" s="1665">
        <v>0</v>
      </c>
      <c r="BM289" s="1665">
        <v>0</v>
      </c>
      <c r="BN289" s="1665">
        <v>0</v>
      </c>
      <c r="BO289" s="1668"/>
      <c r="BP289" s="1665">
        <v>0</v>
      </c>
      <c r="BQ289" s="1665">
        <v>0</v>
      </c>
      <c r="BR289" s="1665">
        <v>0</v>
      </c>
      <c r="BS289" s="1667">
        <v>0</v>
      </c>
      <c r="BT289" s="1665">
        <v>0</v>
      </c>
      <c r="BU289" s="1665">
        <v>0</v>
      </c>
      <c r="BV289" s="1665">
        <v>0</v>
      </c>
      <c r="BW289" s="1665">
        <v>0</v>
      </c>
      <c r="BX289" s="1665">
        <v>0</v>
      </c>
      <c r="BY289" s="1665">
        <v>0</v>
      </c>
      <c r="BZ289" s="1663"/>
      <c r="CA289" s="1663"/>
      <c r="CB289" s="1668"/>
      <c r="CC289" s="1668"/>
      <c r="CD289" s="1663"/>
      <c r="CE289" s="1663"/>
      <c r="CF289" s="1665">
        <v>0</v>
      </c>
      <c r="CG289" s="1665">
        <v>0</v>
      </c>
      <c r="CH289" s="1665">
        <v>0</v>
      </c>
      <c r="CI289" s="1665">
        <v>0</v>
      </c>
      <c r="CJ289" s="1665">
        <v>0</v>
      </c>
      <c r="CK289" s="1665">
        <v>0</v>
      </c>
      <c r="CL289" s="1668"/>
      <c r="CM289" s="1665">
        <v>0</v>
      </c>
      <c r="CN289" s="1665">
        <v>0</v>
      </c>
      <c r="CO289" s="1665">
        <v>0</v>
      </c>
      <c r="CP289" s="1665">
        <v>0</v>
      </c>
      <c r="CQ289" s="1665">
        <v>0</v>
      </c>
      <c r="CR289" s="1665">
        <v>0</v>
      </c>
      <c r="CS289" s="1665">
        <v>0</v>
      </c>
      <c r="CT289" s="1665">
        <v>0</v>
      </c>
      <c r="CU289" s="1665">
        <v>0</v>
      </c>
      <c r="CV289" s="1665">
        <v>0</v>
      </c>
      <c r="CW289" s="1668"/>
      <c r="CX289" s="1663"/>
      <c r="CY289" s="1663"/>
      <c r="CZ289" s="1663"/>
      <c r="DA289" s="1663"/>
      <c r="DB289" s="1668"/>
      <c r="DC289" s="1662"/>
      <c r="DD289" s="1665">
        <v>0</v>
      </c>
      <c r="DE289" s="1663"/>
      <c r="DF289" s="1663"/>
      <c r="DG289" s="1665">
        <v>0</v>
      </c>
      <c r="DH289" s="1665">
        <v>0</v>
      </c>
    </row>
    <row r="290" spans="1:112" ht="33.75" hidden="1" x14ac:dyDescent="0.25">
      <c r="A290" s="1662" t="s">
        <v>2349</v>
      </c>
      <c r="B290" s="1662" t="s">
        <v>1727</v>
      </c>
      <c r="C290" s="1662" t="s">
        <v>2636</v>
      </c>
      <c r="D290" s="1662" t="s">
        <v>2639</v>
      </c>
      <c r="E290" s="1662" t="s">
        <v>2342</v>
      </c>
      <c r="F290" s="1662" t="s">
        <v>2638</v>
      </c>
      <c r="G290" s="1662" t="s">
        <v>2628</v>
      </c>
      <c r="H290" s="1662" t="s">
        <v>2613</v>
      </c>
      <c r="I290" s="1662" t="s">
        <v>737</v>
      </c>
      <c r="J290" s="1662" t="s">
        <v>279</v>
      </c>
      <c r="K290" s="1662" t="s">
        <v>2108</v>
      </c>
      <c r="L290" s="1662" t="s">
        <v>2109</v>
      </c>
      <c r="M290" s="1663"/>
      <c r="N290" s="1663"/>
      <c r="O290" s="1663"/>
      <c r="P290" s="1663"/>
      <c r="Q290" s="1663"/>
      <c r="R290" s="1663"/>
      <c r="S290" s="1663"/>
      <c r="T290" s="1663"/>
      <c r="U290" s="1663"/>
      <c r="V290" s="1663"/>
      <c r="W290" s="1663"/>
      <c r="X290" s="1663"/>
      <c r="Y290" s="1664">
        <v>42915</v>
      </c>
      <c r="Z290" s="1662" t="s">
        <v>2110</v>
      </c>
      <c r="AA290" s="1665">
        <v>0</v>
      </c>
      <c r="AB290" s="1665">
        <v>0</v>
      </c>
      <c r="AC290" s="1680">
        <v>0</v>
      </c>
      <c r="AD290" s="1682">
        <v>42949</v>
      </c>
      <c r="AE290" s="1679" t="s">
        <v>2130</v>
      </c>
      <c r="AF290" s="1662" t="s">
        <v>2112</v>
      </c>
      <c r="AG290" s="1666"/>
      <c r="AH290" s="1667">
        <v>71518.09</v>
      </c>
      <c r="AI290" s="1665">
        <v>71518.09</v>
      </c>
      <c r="AJ290" s="1665">
        <v>60790.36</v>
      </c>
      <c r="AK290" s="1698">
        <v>60790.36</v>
      </c>
      <c r="AL290" s="1665">
        <v>0</v>
      </c>
      <c r="AM290" s="1664">
        <v>42949</v>
      </c>
      <c r="AN290" s="1665">
        <v>71518.09</v>
      </c>
      <c r="AO290" s="1665">
        <v>71518.09</v>
      </c>
      <c r="AP290" s="1665">
        <v>60790.36</v>
      </c>
      <c r="AQ290" s="1665">
        <v>60790.36</v>
      </c>
      <c r="AR290" s="1665">
        <v>0</v>
      </c>
      <c r="AS290" s="1665">
        <v>10727.73</v>
      </c>
      <c r="AT290" s="1665">
        <v>0</v>
      </c>
      <c r="AU290" s="1665">
        <v>10727.73</v>
      </c>
      <c r="AV290" s="1665">
        <v>0</v>
      </c>
      <c r="AW290" s="1665">
        <v>0</v>
      </c>
      <c r="AX290" s="1663"/>
      <c r="AY290" s="1663"/>
      <c r="AZ290" s="1663"/>
      <c r="BA290" s="1668"/>
      <c r="BB290" s="1668"/>
      <c r="BC290" s="1663"/>
      <c r="BD290" s="1663"/>
      <c r="BE290" s="1665">
        <v>71518.09</v>
      </c>
      <c r="BF290" s="1665">
        <v>71518.09</v>
      </c>
      <c r="BG290" s="1665">
        <v>60790.36</v>
      </c>
      <c r="BH290" s="1665">
        <v>60790.36</v>
      </c>
      <c r="BI290" s="1665">
        <v>0</v>
      </c>
      <c r="BJ290" s="1665">
        <v>10727.73</v>
      </c>
      <c r="BK290" s="1665">
        <v>0</v>
      </c>
      <c r="BL290" s="1665">
        <v>10727.73</v>
      </c>
      <c r="BM290" s="1665">
        <v>0</v>
      </c>
      <c r="BN290" s="1665">
        <v>0</v>
      </c>
      <c r="BO290" s="1664">
        <v>43039</v>
      </c>
      <c r="BP290" s="1665">
        <v>71518.09</v>
      </c>
      <c r="BQ290" s="1665">
        <v>71518.09</v>
      </c>
      <c r="BR290" s="1665">
        <v>60790.36</v>
      </c>
      <c r="BS290" s="1667">
        <v>60790.36</v>
      </c>
      <c r="BT290" s="1665">
        <v>0</v>
      </c>
      <c r="BU290" s="1665">
        <v>10727.73</v>
      </c>
      <c r="BV290" s="1665">
        <v>0</v>
      </c>
      <c r="BW290" s="1665">
        <v>0</v>
      </c>
      <c r="BX290" s="1665">
        <v>0</v>
      </c>
      <c r="BY290" s="1665">
        <v>0</v>
      </c>
      <c r="BZ290" s="1665">
        <v>0</v>
      </c>
      <c r="CA290" s="1663"/>
      <c r="CB290" s="1668"/>
      <c r="CC290" s="1668"/>
      <c r="CD290" s="1663"/>
      <c r="CE290" s="1663"/>
      <c r="CF290" s="1665">
        <v>0</v>
      </c>
      <c r="CG290" s="1665">
        <v>0</v>
      </c>
      <c r="CH290" s="1665">
        <v>0</v>
      </c>
      <c r="CI290" s="1665">
        <v>0</v>
      </c>
      <c r="CJ290" s="1665">
        <v>1240.44</v>
      </c>
      <c r="CK290" s="1665">
        <v>1240.44</v>
      </c>
      <c r="CL290" s="1668"/>
      <c r="CM290" s="1665">
        <v>0</v>
      </c>
      <c r="CN290" s="1665">
        <v>0</v>
      </c>
      <c r="CO290" s="1665">
        <v>0</v>
      </c>
      <c r="CP290" s="1665">
        <v>0</v>
      </c>
      <c r="CQ290" s="1665">
        <v>0</v>
      </c>
      <c r="CR290" s="1665">
        <v>0</v>
      </c>
      <c r="CS290" s="1665">
        <v>0</v>
      </c>
      <c r="CT290" s="1665">
        <v>0</v>
      </c>
      <c r="CU290" s="1665">
        <v>0</v>
      </c>
      <c r="CV290" s="1665">
        <v>0</v>
      </c>
      <c r="CW290" s="1668"/>
      <c r="CX290" s="1663"/>
      <c r="CY290" s="1663"/>
      <c r="CZ290" s="1663"/>
      <c r="DA290" s="1663"/>
      <c r="DB290" s="1668"/>
      <c r="DC290" s="1662"/>
      <c r="DD290" s="1665">
        <v>0</v>
      </c>
      <c r="DE290" s="1663"/>
      <c r="DF290" s="1663"/>
      <c r="DG290" s="1665">
        <v>0</v>
      </c>
      <c r="DH290" s="1665">
        <v>0</v>
      </c>
    </row>
    <row r="291" spans="1:112" ht="33.75" hidden="1" x14ac:dyDescent="0.25">
      <c r="A291" s="1662" t="s">
        <v>2350</v>
      </c>
      <c r="B291" s="1662" t="s">
        <v>1727</v>
      </c>
      <c r="C291" s="1662" t="s">
        <v>2636</v>
      </c>
      <c r="D291" s="1662" t="s">
        <v>2639</v>
      </c>
      <c r="E291" s="1662" t="s">
        <v>2342</v>
      </c>
      <c r="F291" s="1662" t="s">
        <v>2638</v>
      </c>
      <c r="G291" s="1662" t="s">
        <v>2628</v>
      </c>
      <c r="H291" s="1662" t="s">
        <v>2613</v>
      </c>
      <c r="I291" s="1662" t="s">
        <v>737</v>
      </c>
      <c r="J291" s="1662" t="s">
        <v>279</v>
      </c>
      <c r="K291" s="1662" t="s">
        <v>2108</v>
      </c>
      <c r="L291" s="1662" t="s">
        <v>2109</v>
      </c>
      <c r="M291" s="1663"/>
      <c r="N291" s="1663"/>
      <c r="O291" s="1663"/>
      <c r="P291" s="1663"/>
      <c r="Q291" s="1663"/>
      <c r="R291" s="1663"/>
      <c r="S291" s="1663"/>
      <c r="T291" s="1663"/>
      <c r="U291" s="1663"/>
      <c r="V291" s="1663"/>
      <c r="W291" s="1663"/>
      <c r="X291" s="1663"/>
      <c r="Y291" s="1664">
        <v>43004</v>
      </c>
      <c r="Z291" s="1662" t="s">
        <v>2110</v>
      </c>
      <c r="AA291" s="1665">
        <v>0</v>
      </c>
      <c r="AB291" s="1665">
        <v>0</v>
      </c>
      <c r="AC291" s="1680">
        <v>0</v>
      </c>
      <c r="AD291" s="1682">
        <v>43035</v>
      </c>
      <c r="AE291" s="1679" t="s">
        <v>2137</v>
      </c>
      <c r="AF291" s="1662" t="s">
        <v>2112</v>
      </c>
      <c r="AG291" s="1666"/>
      <c r="AH291" s="1667">
        <v>76585.67</v>
      </c>
      <c r="AI291" s="1665">
        <v>76585.67</v>
      </c>
      <c r="AJ291" s="1665">
        <v>65097.8</v>
      </c>
      <c r="AK291" s="1698">
        <v>65097.8</v>
      </c>
      <c r="AL291" s="1665">
        <v>0</v>
      </c>
      <c r="AM291" s="1664">
        <v>43035</v>
      </c>
      <c r="AN291" s="1665">
        <v>76585.67</v>
      </c>
      <c r="AO291" s="1665">
        <v>76585.67</v>
      </c>
      <c r="AP291" s="1665">
        <v>65097.8</v>
      </c>
      <c r="AQ291" s="1665">
        <v>65097.8</v>
      </c>
      <c r="AR291" s="1665">
        <v>0</v>
      </c>
      <c r="AS291" s="1665">
        <v>11487.87</v>
      </c>
      <c r="AT291" s="1665">
        <v>0</v>
      </c>
      <c r="AU291" s="1665">
        <v>11487.87</v>
      </c>
      <c r="AV291" s="1665">
        <v>0</v>
      </c>
      <c r="AW291" s="1665">
        <v>0</v>
      </c>
      <c r="AX291" s="1663"/>
      <c r="AY291" s="1663"/>
      <c r="AZ291" s="1663"/>
      <c r="BA291" s="1668"/>
      <c r="BB291" s="1668"/>
      <c r="BC291" s="1663"/>
      <c r="BD291" s="1663"/>
      <c r="BE291" s="1665">
        <v>76585.67</v>
      </c>
      <c r="BF291" s="1665">
        <v>76585.67</v>
      </c>
      <c r="BG291" s="1665">
        <v>65097.8</v>
      </c>
      <c r="BH291" s="1665">
        <v>65097.8</v>
      </c>
      <c r="BI291" s="1665">
        <v>0</v>
      </c>
      <c r="BJ291" s="1665">
        <v>11487.87</v>
      </c>
      <c r="BK291" s="1665">
        <v>0</v>
      </c>
      <c r="BL291" s="1665">
        <v>11487.87</v>
      </c>
      <c r="BM291" s="1665">
        <v>0</v>
      </c>
      <c r="BN291" s="1665">
        <v>0</v>
      </c>
      <c r="BO291" s="1664">
        <v>43159</v>
      </c>
      <c r="BP291" s="1665">
        <v>76585.67</v>
      </c>
      <c r="BQ291" s="1665">
        <v>76585.67</v>
      </c>
      <c r="BR291" s="1665">
        <v>65097.8</v>
      </c>
      <c r="BS291" s="1667">
        <v>65097.8</v>
      </c>
      <c r="BT291" s="1665">
        <v>0</v>
      </c>
      <c r="BU291" s="1665">
        <v>11487.87</v>
      </c>
      <c r="BV291" s="1665">
        <v>0</v>
      </c>
      <c r="BW291" s="1665">
        <v>0</v>
      </c>
      <c r="BX291" s="1665">
        <v>0</v>
      </c>
      <c r="BY291" s="1665">
        <v>0</v>
      </c>
      <c r="BZ291" s="1665">
        <v>0</v>
      </c>
      <c r="CA291" s="1663"/>
      <c r="CB291" s="1668"/>
      <c r="CC291" s="1668"/>
      <c r="CD291" s="1663"/>
      <c r="CE291" s="1663"/>
      <c r="CF291" s="1665">
        <v>0</v>
      </c>
      <c r="CG291" s="1665">
        <v>0</v>
      </c>
      <c r="CH291" s="1665">
        <v>0</v>
      </c>
      <c r="CI291" s="1665">
        <v>0</v>
      </c>
      <c r="CJ291" s="1665">
        <v>750.77</v>
      </c>
      <c r="CK291" s="1665">
        <v>750.77</v>
      </c>
      <c r="CL291" s="1668"/>
      <c r="CM291" s="1665">
        <v>0</v>
      </c>
      <c r="CN291" s="1665">
        <v>0</v>
      </c>
      <c r="CO291" s="1665">
        <v>0</v>
      </c>
      <c r="CP291" s="1665">
        <v>0</v>
      </c>
      <c r="CQ291" s="1665">
        <v>0</v>
      </c>
      <c r="CR291" s="1665">
        <v>0</v>
      </c>
      <c r="CS291" s="1665">
        <v>0</v>
      </c>
      <c r="CT291" s="1665">
        <v>0</v>
      </c>
      <c r="CU291" s="1665">
        <v>0</v>
      </c>
      <c r="CV291" s="1665">
        <v>0</v>
      </c>
      <c r="CW291" s="1668"/>
      <c r="CX291" s="1663"/>
      <c r="CY291" s="1663"/>
      <c r="CZ291" s="1663"/>
      <c r="DA291" s="1663"/>
      <c r="DB291" s="1668"/>
      <c r="DC291" s="1662"/>
      <c r="DD291" s="1665">
        <v>0</v>
      </c>
      <c r="DE291" s="1663"/>
      <c r="DF291" s="1663"/>
      <c r="DG291" s="1665">
        <v>0</v>
      </c>
      <c r="DH291" s="1665">
        <v>0</v>
      </c>
    </row>
    <row r="292" spans="1:112" ht="33.75" hidden="1" x14ac:dyDescent="0.25">
      <c r="A292" s="1662" t="s">
        <v>2351</v>
      </c>
      <c r="B292" s="1662" t="s">
        <v>1727</v>
      </c>
      <c r="C292" s="1662" t="s">
        <v>2636</v>
      </c>
      <c r="D292" s="1662" t="s">
        <v>2639</v>
      </c>
      <c r="E292" s="1662" t="s">
        <v>2342</v>
      </c>
      <c r="F292" s="1662" t="s">
        <v>2638</v>
      </c>
      <c r="G292" s="1662" t="s">
        <v>2628</v>
      </c>
      <c r="H292" s="1662" t="s">
        <v>2613</v>
      </c>
      <c r="I292" s="1662" t="s">
        <v>737</v>
      </c>
      <c r="J292" s="1662" t="s">
        <v>279</v>
      </c>
      <c r="K292" s="1662" t="s">
        <v>2108</v>
      </c>
      <c r="L292" s="1662" t="s">
        <v>2109</v>
      </c>
      <c r="M292" s="1663"/>
      <c r="N292" s="1663"/>
      <c r="O292" s="1663"/>
      <c r="P292" s="1663"/>
      <c r="Q292" s="1663"/>
      <c r="R292" s="1663"/>
      <c r="S292" s="1663"/>
      <c r="T292" s="1663"/>
      <c r="U292" s="1663"/>
      <c r="V292" s="1663"/>
      <c r="W292" s="1663"/>
      <c r="X292" s="1663"/>
      <c r="Y292" s="1664">
        <v>43087</v>
      </c>
      <c r="Z292" s="1662" t="s">
        <v>2110</v>
      </c>
      <c r="AA292" s="1665">
        <v>0</v>
      </c>
      <c r="AB292" s="1665">
        <v>0</v>
      </c>
      <c r="AC292" s="1680">
        <v>0</v>
      </c>
      <c r="AD292" s="1682">
        <v>43123</v>
      </c>
      <c r="AE292" s="1679" t="s">
        <v>2131</v>
      </c>
      <c r="AF292" s="1662" t="s">
        <v>2112</v>
      </c>
      <c r="AG292" s="1666"/>
      <c r="AH292" s="1667">
        <v>75373.100000000006</v>
      </c>
      <c r="AI292" s="1665">
        <v>75373.100000000006</v>
      </c>
      <c r="AJ292" s="1665">
        <v>64067.12</v>
      </c>
      <c r="AK292" s="1698">
        <v>64067.12</v>
      </c>
      <c r="AL292" s="1665">
        <v>0</v>
      </c>
      <c r="AM292" s="1664">
        <v>43123</v>
      </c>
      <c r="AN292" s="1665">
        <v>75373.100000000006</v>
      </c>
      <c r="AO292" s="1665">
        <v>75373.100000000006</v>
      </c>
      <c r="AP292" s="1665">
        <v>64067.12</v>
      </c>
      <c r="AQ292" s="1665">
        <v>64067.12</v>
      </c>
      <c r="AR292" s="1665">
        <v>0</v>
      </c>
      <c r="AS292" s="1665">
        <v>11305.98</v>
      </c>
      <c r="AT292" s="1665">
        <v>0</v>
      </c>
      <c r="AU292" s="1665">
        <v>11305.98</v>
      </c>
      <c r="AV292" s="1665">
        <v>0</v>
      </c>
      <c r="AW292" s="1665">
        <v>0</v>
      </c>
      <c r="AX292" s="1663"/>
      <c r="AY292" s="1663"/>
      <c r="AZ292" s="1663"/>
      <c r="BA292" s="1668"/>
      <c r="BB292" s="1668"/>
      <c r="BC292" s="1663"/>
      <c r="BD292" s="1663"/>
      <c r="BE292" s="1665">
        <v>75373.100000000006</v>
      </c>
      <c r="BF292" s="1665">
        <v>75373.100000000006</v>
      </c>
      <c r="BG292" s="1665">
        <v>64067.12</v>
      </c>
      <c r="BH292" s="1665">
        <v>64067.12</v>
      </c>
      <c r="BI292" s="1665">
        <v>0</v>
      </c>
      <c r="BJ292" s="1665">
        <v>11305.98</v>
      </c>
      <c r="BK292" s="1665">
        <v>0</v>
      </c>
      <c r="BL292" s="1665">
        <v>11305.98</v>
      </c>
      <c r="BM292" s="1665">
        <v>0</v>
      </c>
      <c r="BN292" s="1665">
        <v>0</v>
      </c>
      <c r="BO292" s="1664">
        <v>43206</v>
      </c>
      <c r="BP292" s="1665">
        <v>75373.100000000006</v>
      </c>
      <c r="BQ292" s="1665">
        <v>75373.100000000006</v>
      </c>
      <c r="BR292" s="1665">
        <v>64067.12</v>
      </c>
      <c r="BS292" s="1667">
        <v>64067.12</v>
      </c>
      <c r="BT292" s="1665">
        <v>0</v>
      </c>
      <c r="BU292" s="1665">
        <v>11305.98</v>
      </c>
      <c r="BV292" s="1665">
        <v>0</v>
      </c>
      <c r="BW292" s="1665">
        <v>0</v>
      </c>
      <c r="BX292" s="1665">
        <v>0</v>
      </c>
      <c r="BY292" s="1665">
        <v>0</v>
      </c>
      <c r="BZ292" s="1665">
        <v>0</v>
      </c>
      <c r="CA292" s="1663"/>
      <c r="CB292" s="1668"/>
      <c r="CC292" s="1668"/>
      <c r="CD292" s="1663"/>
      <c r="CE292" s="1663"/>
      <c r="CF292" s="1665">
        <v>0</v>
      </c>
      <c r="CG292" s="1665">
        <v>0</v>
      </c>
      <c r="CH292" s="1665">
        <v>0</v>
      </c>
      <c r="CI292" s="1665">
        <v>0</v>
      </c>
      <c r="CJ292" s="1665">
        <v>738.86</v>
      </c>
      <c r="CK292" s="1665">
        <v>738.86</v>
      </c>
      <c r="CL292" s="1668"/>
      <c r="CM292" s="1665">
        <v>0</v>
      </c>
      <c r="CN292" s="1665">
        <v>0</v>
      </c>
      <c r="CO292" s="1665">
        <v>0</v>
      </c>
      <c r="CP292" s="1665">
        <v>0</v>
      </c>
      <c r="CQ292" s="1665">
        <v>0</v>
      </c>
      <c r="CR292" s="1665">
        <v>0</v>
      </c>
      <c r="CS292" s="1665">
        <v>0</v>
      </c>
      <c r="CT292" s="1665">
        <v>0</v>
      </c>
      <c r="CU292" s="1665">
        <v>0</v>
      </c>
      <c r="CV292" s="1665">
        <v>0</v>
      </c>
      <c r="CW292" s="1668"/>
      <c r="CX292" s="1663"/>
      <c r="CY292" s="1663"/>
      <c r="CZ292" s="1663"/>
      <c r="DA292" s="1663"/>
      <c r="DB292" s="1668"/>
      <c r="DC292" s="1662"/>
      <c r="DD292" s="1665">
        <v>0</v>
      </c>
      <c r="DE292" s="1663"/>
      <c r="DF292" s="1663"/>
      <c r="DG292" s="1665">
        <v>0</v>
      </c>
      <c r="DH292" s="1665">
        <v>0</v>
      </c>
    </row>
    <row r="293" spans="1:112" ht="33.75" hidden="1" x14ac:dyDescent="0.25">
      <c r="A293" s="1662" t="s">
        <v>2352</v>
      </c>
      <c r="B293" s="1662" t="s">
        <v>1727</v>
      </c>
      <c r="C293" s="1662" t="s">
        <v>2636</v>
      </c>
      <c r="D293" s="1662" t="s">
        <v>2639</v>
      </c>
      <c r="E293" s="1662" t="s">
        <v>2342</v>
      </c>
      <c r="F293" s="1662" t="s">
        <v>2638</v>
      </c>
      <c r="G293" s="1662" t="s">
        <v>2628</v>
      </c>
      <c r="H293" s="1662" t="s">
        <v>2613</v>
      </c>
      <c r="I293" s="1662" t="s">
        <v>737</v>
      </c>
      <c r="J293" s="1662" t="s">
        <v>279</v>
      </c>
      <c r="K293" s="1662" t="s">
        <v>2108</v>
      </c>
      <c r="L293" s="1662" t="s">
        <v>2109</v>
      </c>
      <c r="M293" s="1663"/>
      <c r="N293" s="1663"/>
      <c r="O293" s="1663"/>
      <c r="P293" s="1663"/>
      <c r="Q293" s="1663"/>
      <c r="R293" s="1663"/>
      <c r="S293" s="1663"/>
      <c r="T293" s="1663"/>
      <c r="U293" s="1663"/>
      <c r="V293" s="1663"/>
      <c r="W293" s="1663"/>
      <c r="X293" s="1663"/>
      <c r="Y293" s="1664">
        <v>43174</v>
      </c>
      <c r="Z293" s="1662" t="s">
        <v>2110</v>
      </c>
      <c r="AA293" s="1665">
        <v>0</v>
      </c>
      <c r="AB293" s="1665">
        <v>0</v>
      </c>
      <c r="AC293" s="1680">
        <v>0</v>
      </c>
      <c r="AD293" s="1682">
        <v>43196</v>
      </c>
      <c r="AE293" s="1679" t="s">
        <v>2132</v>
      </c>
      <c r="AF293" s="1662" t="s">
        <v>2112</v>
      </c>
      <c r="AG293" s="1666"/>
      <c r="AH293" s="1667">
        <v>36937.769999999997</v>
      </c>
      <c r="AI293" s="1665">
        <v>36937.769999999997</v>
      </c>
      <c r="AJ293" s="1665">
        <v>31397.1</v>
      </c>
      <c r="AK293" s="1698">
        <v>31397.1</v>
      </c>
      <c r="AL293" s="1665">
        <v>0</v>
      </c>
      <c r="AM293" s="1664">
        <v>43196</v>
      </c>
      <c r="AN293" s="1665">
        <v>36937.769999999997</v>
      </c>
      <c r="AO293" s="1665">
        <v>36937.769999999997</v>
      </c>
      <c r="AP293" s="1665">
        <v>31397.1</v>
      </c>
      <c r="AQ293" s="1665">
        <v>31397.1</v>
      </c>
      <c r="AR293" s="1665">
        <v>0</v>
      </c>
      <c r="AS293" s="1665">
        <v>5540.67</v>
      </c>
      <c r="AT293" s="1665">
        <v>0</v>
      </c>
      <c r="AU293" s="1665">
        <v>5540.67</v>
      </c>
      <c r="AV293" s="1665">
        <v>0</v>
      </c>
      <c r="AW293" s="1665">
        <v>0</v>
      </c>
      <c r="AX293" s="1663"/>
      <c r="AY293" s="1663"/>
      <c r="AZ293" s="1663"/>
      <c r="BA293" s="1668"/>
      <c r="BB293" s="1668"/>
      <c r="BC293" s="1663"/>
      <c r="BD293" s="1663"/>
      <c r="BE293" s="1665">
        <v>36937.769999999997</v>
      </c>
      <c r="BF293" s="1665">
        <v>36937.769999999997</v>
      </c>
      <c r="BG293" s="1665">
        <v>31397.1</v>
      </c>
      <c r="BH293" s="1665">
        <v>31397.1</v>
      </c>
      <c r="BI293" s="1665">
        <v>0</v>
      </c>
      <c r="BJ293" s="1665">
        <v>5540.67</v>
      </c>
      <c r="BK293" s="1665">
        <v>0</v>
      </c>
      <c r="BL293" s="1665">
        <v>5540.67</v>
      </c>
      <c r="BM293" s="1665">
        <v>0</v>
      </c>
      <c r="BN293" s="1665">
        <v>0</v>
      </c>
      <c r="BO293" s="1664">
        <v>43364</v>
      </c>
      <c r="BP293" s="1665">
        <v>36937.769999999997</v>
      </c>
      <c r="BQ293" s="1665">
        <v>36937.769999999997</v>
      </c>
      <c r="BR293" s="1665">
        <v>31397.1</v>
      </c>
      <c r="BS293" s="1667">
        <v>31397.1</v>
      </c>
      <c r="BT293" s="1665">
        <v>0</v>
      </c>
      <c r="BU293" s="1665">
        <v>5540.67</v>
      </c>
      <c r="BV293" s="1665">
        <v>0</v>
      </c>
      <c r="BW293" s="1665">
        <v>0</v>
      </c>
      <c r="BX293" s="1665">
        <v>0</v>
      </c>
      <c r="BY293" s="1665">
        <v>0</v>
      </c>
      <c r="BZ293" s="1665">
        <v>0</v>
      </c>
      <c r="CA293" s="1663"/>
      <c r="CB293" s="1668"/>
      <c r="CC293" s="1668"/>
      <c r="CD293" s="1663"/>
      <c r="CE293" s="1663"/>
      <c r="CF293" s="1665">
        <v>0</v>
      </c>
      <c r="CG293" s="1665">
        <v>0</v>
      </c>
      <c r="CH293" s="1665">
        <v>0</v>
      </c>
      <c r="CI293" s="1665">
        <v>0</v>
      </c>
      <c r="CJ293" s="1665">
        <v>361.84</v>
      </c>
      <c r="CK293" s="1665">
        <v>361.84</v>
      </c>
      <c r="CL293" s="1668"/>
      <c r="CM293" s="1665">
        <v>0</v>
      </c>
      <c r="CN293" s="1665">
        <v>0</v>
      </c>
      <c r="CO293" s="1665">
        <v>0</v>
      </c>
      <c r="CP293" s="1665">
        <v>0</v>
      </c>
      <c r="CQ293" s="1665">
        <v>0</v>
      </c>
      <c r="CR293" s="1665">
        <v>0</v>
      </c>
      <c r="CS293" s="1665">
        <v>0</v>
      </c>
      <c r="CT293" s="1665">
        <v>0</v>
      </c>
      <c r="CU293" s="1665">
        <v>0</v>
      </c>
      <c r="CV293" s="1665">
        <v>0</v>
      </c>
      <c r="CW293" s="1668"/>
      <c r="CX293" s="1663"/>
      <c r="CY293" s="1663"/>
      <c r="CZ293" s="1663"/>
      <c r="DA293" s="1663"/>
      <c r="DB293" s="1668"/>
      <c r="DC293" s="1662"/>
      <c r="DD293" s="1665">
        <v>0</v>
      </c>
      <c r="DE293" s="1663"/>
      <c r="DF293" s="1663"/>
      <c r="DG293" s="1665">
        <v>0</v>
      </c>
      <c r="DH293" s="1665">
        <v>0</v>
      </c>
    </row>
    <row r="294" spans="1:112" ht="33.75" hidden="1" x14ac:dyDescent="0.25">
      <c r="A294" s="1662" t="s">
        <v>2354</v>
      </c>
      <c r="B294" s="1662" t="s">
        <v>1727</v>
      </c>
      <c r="C294" s="1662" t="s">
        <v>2636</v>
      </c>
      <c r="D294" s="1662" t="s">
        <v>2639</v>
      </c>
      <c r="E294" s="1662" t="s">
        <v>2342</v>
      </c>
      <c r="F294" s="1662" t="s">
        <v>2638</v>
      </c>
      <c r="G294" s="1662" t="s">
        <v>2628</v>
      </c>
      <c r="H294" s="1662" t="s">
        <v>2613</v>
      </c>
      <c r="I294" s="1662" t="s">
        <v>737</v>
      </c>
      <c r="J294" s="1662" t="s">
        <v>279</v>
      </c>
      <c r="K294" s="1662" t="s">
        <v>2108</v>
      </c>
      <c r="L294" s="1662" t="s">
        <v>2109</v>
      </c>
      <c r="M294" s="1663"/>
      <c r="N294" s="1663"/>
      <c r="O294" s="1663"/>
      <c r="P294" s="1663"/>
      <c r="Q294" s="1663"/>
      <c r="R294" s="1663"/>
      <c r="S294" s="1663"/>
      <c r="T294" s="1663"/>
      <c r="U294" s="1663"/>
      <c r="V294" s="1663"/>
      <c r="W294" s="1663"/>
      <c r="X294" s="1663"/>
      <c r="Y294" s="1664">
        <v>43266</v>
      </c>
      <c r="Z294" s="1662" t="s">
        <v>2110</v>
      </c>
      <c r="AA294" s="1665">
        <v>0</v>
      </c>
      <c r="AB294" s="1665">
        <v>0</v>
      </c>
      <c r="AC294" s="1680">
        <v>0</v>
      </c>
      <c r="AD294" s="1682">
        <v>43301</v>
      </c>
      <c r="AE294" s="1679" t="s">
        <v>2353</v>
      </c>
      <c r="AF294" s="1662" t="s">
        <v>2112</v>
      </c>
      <c r="AG294" s="1666"/>
      <c r="AH294" s="1667">
        <v>36820.410000000003</v>
      </c>
      <c r="AI294" s="1665">
        <v>36820.410000000003</v>
      </c>
      <c r="AJ294" s="1665">
        <v>31297.34</v>
      </c>
      <c r="AK294" s="1698">
        <v>31297.34</v>
      </c>
      <c r="AL294" s="1665">
        <v>0</v>
      </c>
      <c r="AM294" s="1664">
        <v>43301</v>
      </c>
      <c r="AN294" s="1665">
        <v>36820.410000000003</v>
      </c>
      <c r="AO294" s="1665">
        <v>36820.410000000003</v>
      </c>
      <c r="AP294" s="1665">
        <v>31297.34</v>
      </c>
      <c r="AQ294" s="1665">
        <v>31297.34</v>
      </c>
      <c r="AR294" s="1665">
        <v>0</v>
      </c>
      <c r="AS294" s="1665">
        <v>5523.07</v>
      </c>
      <c r="AT294" s="1665">
        <v>0</v>
      </c>
      <c r="AU294" s="1665">
        <v>5523.07</v>
      </c>
      <c r="AV294" s="1665">
        <v>0</v>
      </c>
      <c r="AW294" s="1665">
        <v>0</v>
      </c>
      <c r="AX294" s="1663"/>
      <c r="AY294" s="1663"/>
      <c r="AZ294" s="1663"/>
      <c r="BA294" s="1668"/>
      <c r="BB294" s="1668"/>
      <c r="BC294" s="1663"/>
      <c r="BD294" s="1663"/>
      <c r="BE294" s="1665">
        <v>36820.410000000003</v>
      </c>
      <c r="BF294" s="1665">
        <v>36820.410000000003</v>
      </c>
      <c r="BG294" s="1665">
        <v>31297.34</v>
      </c>
      <c r="BH294" s="1665">
        <v>31297.34</v>
      </c>
      <c r="BI294" s="1665">
        <v>0</v>
      </c>
      <c r="BJ294" s="1665">
        <v>5523.07</v>
      </c>
      <c r="BK294" s="1665">
        <v>0</v>
      </c>
      <c r="BL294" s="1665">
        <v>5523.07</v>
      </c>
      <c r="BM294" s="1665">
        <v>0</v>
      </c>
      <c r="BN294" s="1665">
        <v>0</v>
      </c>
      <c r="BO294" s="1664">
        <v>43364</v>
      </c>
      <c r="BP294" s="1665">
        <v>36820.410000000003</v>
      </c>
      <c r="BQ294" s="1665">
        <v>36820.410000000003</v>
      </c>
      <c r="BR294" s="1665">
        <v>31297.34</v>
      </c>
      <c r="BS294" s="1667">
        <v>31297.34</v>
      </c>
      <c r="BT294" s="1665">
        <v>0</v>
      </c>
      <c r="BU294" s="1665">
        <v>5523.07</v>
      </c>
      <c r="BV294" s="1665">
        <v>0</v>
      </c>
      <c r="BW294" s="1665">
        <v>0</v>
      </c>
      <c r="BX294" s="1665">
        <v>0</v>
      </c>
      <c r="BY294" s="1665">
        <v>0</v>
      </c>
      <c r="BZ294" s="1665">
        <v>0</v>
      </c>
      <c r="CA294" s="1663"/>
      <c r="CB294" s="1668"/>
      <c r="CC294" s="1668"/>
      <c r="CD294" s="1663"/>
      <c r="CE294" s="1663"/>
      <c r="CF294" s="1665">
        <v>0</v>
      </c>
      <c r="CG294" s="1665">
        <v>0</v>
      </c>
      <c r="CH294" s="1665">
        <v>0</v>
      </c>
      <c r="CI294" s="1665">
        <v>0</v>
      </c>
      <c r="CJ294" s="1665">
        <v>360.95</v>
      </c>
      <c r="CK294" s="1665">
        <v>360.95</v>
      </c>
      <c r="CL294" s="1668"/>
      <c r="CM294" s="1665">
        <v>0</v>
      </c>
      <c r="CN294" s="1665">
        <v>0</v>
      </c>
      <c r="CO294" s="1665">
        <v>0</v>
      </c>
      <c r="CP294" s="1665">
        <v>0</v>
      </c>
      <c r="CQ294" s="1665">
        <v>0</v>
      </c>
      <c r="CR294" s="1665">
        <v>0</v>
      </c>
      <c r="CS294" s="1665">
        <v>0</v>
      </c>
      <c r="CT294" s="1665">
        <v>0</v>
      </c>
      <c r="CU294" s="1665">
        <v>0</v>
      </c>
      <c r="CV294" s="1665">
        <v>0</v>
      </c>
      <c r="CW294" s="1668"/>
      <c r="CX294" s="1663"/>
      <c r="CY294" s="1663"/>
      <c r="CZ294" s="1663"/>
      <c r="DA294" s="1663"/>
      <c r="DB294" s="1668"/>
      <c r="DC294" s="1662"/>
      <c r="DD294" s="1665">
        <v>0</v>
      </c>
      <c r="DE294" s="1663"/>
      <c r="DF294" s="1663"/>
      <c r="DG294" s="1665">
        <v>0</v>
      </c>
      <c r="DH294" s="1665">
        <v>0</v>
      </c>
    </row>
    <row r="295" spans="1:112" ht="22.5" hidden="1" x14ac:dyDescent="0.25">
      <c r="A295" s="1662" t="s">
        <v>2355</v>
      </c>
      <c r="B295" s="1662" t="s">
        <v>1727</v>
      </c>
      <c r="C295" s="1662" t="s">
        <v>2636</v>
      </c>
      <c r="D295" s="1662" t="s">
        <v>2639</v>
      </c>
      <c r="E295" s="1662" t="s">
        <v>2342</v>
      </c>
      <c r="F295" s="1662" t="s">
        <v>2638</v>
      </c>
      <c r="G295" s="1662" t="s">
        <v>2628</v>
      </c>
      <c r="H295" s="1662" t="s">
        <v>2613</v>
      </c>
      <c r="I295" s="1662" t="s">
        <v>738</v>
      </c>
      <c r="J295" s="1662" t="s">
        <v>220</v>
      </c>
      <c r="K295" s="1662" t="s">
        <v>2120</v>
      </c>
      <c r="L295" s="1662" t="s">
        <v>2109</v>
      </c>
      <c r="M295" s="1665">
        <v>891741.18</v>
      </c>
      <c r="N295" s="1665">
        <v>0</v>
      </c>
      <c r="O295" s="1665">
        <v>891741.18</v>
      </c>
      <c r="P295" s="1665">
        <v>891741.18</v>
      </c>
      <c r="Q295" s="1665">
        <v>757980</v>
      </c>
      <c r="R295" s="1665">
        <v>757980</v>
      </c>
      <c r="S295" s="1665">
        <v>0</v>
      </c>
      <c r="T295" s="1665">
        <v>133761.18</v>
      </c>
      <c r="U295" s="1665">
        <v>0</v>
      </c>
      <c r="V295" s="1665">
        <v>133761.18</v>
      </c>
      <c r="W295" s="1665">
        <v>0</v>
      </c>
      <c r="X295" s="1665">
        <v>0</v>
      </c>
      <c r="Y295" s="1668"/>
      <c r="Z295" s="1662"/>
      <c r="AA295" s="1665">
        <v>0</v>
      </c>
      <c r="AB295" s="1665">
        <v>0</v>
      </c>
      <c r="AC295" s="1680">
        <v>0</v>
      </c>
      <c r="AD295" s="1681"/>
      <c r="AE295" s="1679"/>
      <c r="AF295" s="1662"/>
      <c r="AG295" s="1666"/>
      <c r="AH295" s="1667">
        <v>664377.61</v>
      </c>
      <c r="AI295" s="1665">
        <v>664377.61</v>
      </c>
      <c r="AJ295" s="1665">
        <v>585857.47</v>
      </c>
      <c r="AK295" s="1698">
        <v>585857.47</v>
      </c>
      <c r="AL295" s="1665">
        <v>0</v>
      </c>
      <c r="AM295" s="1668"/>
      <c r="AN295" s="1665">
        <v>523467.61</v>
      </c>
      <c r="AO295" s="1665">
        <v>523467.61</v>
      </c>
      <c r="AP295" s="1665">
        <v>444947.47</v>
      </c>
      <c r="AQ295" s="1665">
        <v>444947.47</v>
      </c>
      <c r="AR295" s="1665">
        <v>0</v>
      </c>
      <c r="AS295" s="1665">
        <v>78520.14</v>
      </c>
      <c r="AT295" s="1665">
        <v>0</v>
      </c>
      <c r="AU295" s="1665">
        <v>78520.14</v>
      </c>
      <c r="AV295" s="1665">
        <v>0</v>
      </c>
      <c r="AW295" s="1665">
        <v>0</v>
      </c>
      <c r="AX295" s="1665">
        <v>0</v>
      </c>
      <c r="AY295" s="1665">
        <v>0</v>
      </c>
      <c r="AZ295" s="1665">
        <v>0</v>
      </c>
      <c r="BA295" s="1668"/>
      <c r="BB295" s="1668"/>
      <c r="BC295" s="1665">
        <v>0</v>
      </c>
      <c r="BD295" s="1665">
        <v>0</v>
      </c>
      <c r="BE295" s="1665">
        <v>523467.61</v>
      </c>
      <c r="BF295" s="1665">
        <v>523467.61</v>
      </c>
      <c r="BG295" s="1665">
        <v>444947.47</v>
      </c>
      <c r="BH295" s="1665">
        <v>444947.47</v>
      </c>
      <c r="BI295" s="1665">
        <v>0</v>
      </c>
      <c r="BJ295" s="1665">
        <v>78520.14</v>
      </c>
      <c r="BK295" s="1665">
        <v>0</v>
      </c>
      <c r="BL295" s="1665">
        <v>78520.14</v>
      </c>
      <c r="BM295" s="1665">
        <v>0</v>
      </c>
      <c r="BN295" s="1665">
        <v>0</v>
      </c>
      <c r="BO295" s="1668"/>
      <c r="BP295" s="1665">
        <v>450698.45</v>
      </c>
      <c r="BQ295" s="1665">
        <v>450698.45</v>
      </c>
      <c r="BR295" s="1665">
        <v>383093.68</v>
      </c>
      <c r="BS295" s="1667">
        <v>383093.68</v>
      </c>
      <c r="BT295" s="1665">
        <v>0</v>
      </c>
      <c r="BU295" s="1665">
        <v>67604.77</v>
      </c>
      <c r="BV295" s="1665">
        <v>0</v>
      </c>
      <c r="BW295" s="1665">
        <v>21504.78</v>
      </c>
      <c r="BX295" s="1665">
        <v>0</v>
      </c>
      <c r="BY295" s="1665">
        <v>0</v>
      </c>
      <c r="BZ295" s="1665">
        <v>0</v>
      </c>
      <c r="CA295" s="1665">
        <v>0</v>
      </c>
      <c r="CB295" s="1668"/>
      <c r="CC295" s="1668"/>
      <c r="CD295" s="1665">
        <v>0</v>
      </c>
      <c r="CE295" s="1665">
        <v>0</v>
      </c>
      <c r="CF295" s="1665">
        <v>0</v>
      </c>
      <c r="CG295" s="1665">
        <v>0</v>
      </c>
      <c r="CH295" s="1665">
        <v>0</v>
      </c>
      <c r="CI295" s="1665">
        <v>0</v>
      </c>
      <c r="CJ295" s="1665">
        <v>2910.62</v>
      </c>
      <c r="CK295" s="1665">
        <v>2910.62</v>
      </c>
      <c r="CL295" s="1668"/>
      <c r="CM295" s="1665">
        <v>143365.22</v>
      </c>
      <c r="CN295" s="1665">
        <v>143365.22</v>
      </c>
      <c r="CO295" s="1665">
        <v>121860.44</v>
      </c>
      <c r="CP295" s="1665">
        <v>121860.44</v>
      </c>
      <c r="CQ295" s="1665">
        <v>0</v>
      </c>
      <c r="CR295" s="1665">
        <v>21504.78</v>
      </c>
      <c r="CS295" s="1665">
        <v>0</v>
      </c>
      <c r="CT295" s="1665">
        <v>21504.78</v>
      </c>
      <c r="CU295" s="1665">
        <v>0</v>
      </c>
      <c r="CV295" s="1665">
        <v>0</v>
      </c>
      <c r="CW295" s="1668"/>
      <c r="CX295" s="1665">
        <v>0</v>
      </c>
      <c r="CY295" s="1665">
        <v>0</v>
      </c>
      <c r="CZ295" s="1665">
        <v>143365.22</v>
      </c>
      <c r="DA295" s="1665">
        <v>143365.22</v>
      </c>
      <c r="DB295" s="1668"/>
      <c r="DC295" s="1662"/>
      <c r="DD295" s="1665">
        <v>0</v>
      </c>
      <c r="DE295" s="1665">
        <v>0</v>
      </c>
      <c r="DF295" s="1665">
        <v>0</v>
      </c>
      <c r="DG295" s="1665">
        <v>0</v>
      </c>
      <c r="DH295" s="1665">
        <v>0</v>
      </c>
    </row>
    <row r="296" spans="1:112" ht="22.5" hidden="1" x14ac:dyDescent="0.25">
      <c r="A296" s="1662" t="s">
        <v>2356</v>
      </c>
      <c r="B296" s="1662" t="s">
        <v>1727</v>
      </c>
      <c r="C296" s="1662" t="s">
        <v>2636</v>
      </c>
      <c r="D296" s="1662" t="s">
        <v>2639</v>
      </c>
      <c r="E296" s="1662" t="s">
        <v>2342</v>
      </c>
      <c r="F296" s="1662" t="s">
        <v>2638</v>
      </c>
      <c r="G296" s="1662" t="s">
        <v>2628</v>
      </c>
      <c r="H296" s="1662" t="s">
        <v>2613</v>
      </c>
      <c r="I296" s="1662" t="s">
        <v>738</v>
      </c>
      <c r="J296" s="1662" t="s">
        <v>220</v>
      </c>
      <c r="K296" s="1662" t="s">
        <v>2120</v>
      </c>
      <c r="L296" s="1662" t="s">
        <v>2109</v>
      </c>
      <c r="M296" s="1663"/>
      <c r="N296" s="1663"/>
      <c r="O296" s="1663"/>
      <c r="P296" s="1663"/>
      <c r="Q296" s="1663"/>
      <c r="R296" s="1663"/>
      <c r="S296" s="1663"/>
      <c r="T296" s="1663"/>
      <c r="U296" s="1663"/>
      <c r="V296" s="1663"/>
      <c r="W296" s="1663"/>
      <c r="X296" s="1663"/>
      <c r="Y296" s="1664">
        <v>42689</v>
      </c>
      <c r="Z296" s="1662" t="s">
        <v>2145</v>
      </c>
      <c r="AA296" s="1665">
        <v>0</v>
      </c>
      <c r="AB296" s="1665">
        <v>0</v>
      </c>
      <c r="AC296" s="1680">
        <v>0</v>
      </c>
      <c r="AD296" s="1682">
        <v>42692</v>
      </c>
      <c r="AE296" s="1679" t="s">
        <v>2111</v>
      </c>
      <c r="AF296" s="1662" t="s">
        <v>2112</v>
      </c>
      <c r="AG296" s="1666"/>
      <c r="AH296" s="1667">
        <v>0</v>
      </c>
      <c r="AI296" s="1665">
        <v>0</v>
      </c>
      <c r="AJ296" s="1665">
        <v>0</v>
      </c>
      <c r="AK296" s="1698">
        <v>0</v>
      </c>
      <c r="AL296" s="1665">
        <v>0</v>
      </c>
      <c r="AM296" s="1668"/>
      <c r="AN296" s="1665">
        <v>0</v>
      </c>
      <c r="AO296" s="1665">
        <v>0</v>
      </c>
      <c r="AP296" s="1665">
        <v>0</v>
      </c>
      <c r="AQ296" s="1665">
        <v>0</v>
      </c>
      <c r="AR296" s="1665">
        <v>0</v>
      </c>
      <c r="AS296" s="1665">
        <v>0</v>
      </c>
      <c r="AT296" s="1665">
        <v>0</v>
      </c>
      <c r="AU296" s="1665">
        <v>0</v>
      </c>
      <c r="AV296" s="1665">
        <v>0</v>
      </c>
      <c r="AW296" s="1665">
        <v>0</v>
      </c>
      <c r="AX296" s="1663"/>
      <c r="AY296" s="1663"/>
      <c r="AZ296" s="1663"/>
      <c r="BA296" s="1668"/>
      <c r="BB296" s="1668"/>
      <c r="BC296" s="1663"/>
      <c r="BD296" s="1663"/>
      <c r="BE296" s="1665">
        <v>0</v>
      </c>
      <c r="BF296" s="1665">
        <v>0</v>
      </c>
      <c r="BG296" s="1665">
        <v>0</v>
      </c>
      <c r="BH296" s="1665">
        <v>0</v>
      </c>
      <c r="BI296" s="1665">
        <v>0</v>
      </c>
      <c r="BJ296" s="1665">
        <v>0</v>
      </c>
      <c r="BK296" s="1665">
        <v>0</v>
      </c>
      <c r="BL296" s="1665">
        <v>0</v>
      </c>
      <c r="BM296" s="1665">
        <v>0</v>
      </c>
      <c r="BN296" s="1665">
        <v>0</v>
      </c>
      <c r="BO296" s="1668"/>
      <c r="BP296" s="1665">
        <v>0</v>
      </c>
      <c r="BQ296" s="1665">
        <v>0</v>
      </c>
      <c r="BR296" s="1665">
        <v>0</v>
      </c>
      <c r="BS296" s="1667">
        <v>0</v>
      </c>
      <c r="BT296" s="1665">
        <v>0</v>
      </c>
      <c r="BU296" s="1665">
        <v>0</v>
      </c>
      <c r="BV296" s="1665">
        <v>0</v>
      </c>
      <c r="BW296" s="1665">
        <v>0</v>
      </c>
      <c r="BX296" s="1665">
        <v>0</v>
      </c>
      <c r="BY296" s="1665">
        <v>0</v>
      </c>
      <c r="BZ296" s="1663"/>
      <c r="CA296" s="1663"/>
      <c r="CB296" s="1668"/>
      <c r="CC296" s="1668"/>
      <c r="CD296" s="1663"/>
      <c r="CE296" s="1663"/>
      <c r="CF296" s="1665">
        <v>0</v>
      </c>
      <c r="CG296" s="1665">
        <v>0</v>
      </c>
      <c r="CH296" s="1665">
        <v>0</v>
      </c>
      <c r="CI296" s="1665">
        <v>0</v>
      </c>
      <c r="CJ296" s="1665">
        <v>0</v>
      </c>
      <c r="CK296" s="1665">
        <v>0</v>
      </c>
      <c r="CL296" s="1668"/>
      <c r="CM296" s="1665">
        <v>0</v>
      </c>
      <c r="CN296" s="1665">
        <v>0</v>
      </c>
      <c r="CO296" s="1665">
        <v>0</v>
      </c>
      <c r="CP296" s="1665">
        <v>0</v>
      </c>
      <c r="CQ296" s="1665">
        <v>0</v>
      </c>
      <c r="CR296" s="1665">
        <v>0</v>
      </c>
      <c r="CS296" s="1665">
        <v>0</v>
      </c>
      <c r="CT296" s="1665">
        <v>0</v>
      </c>
      <c r="CU296" s="1665">
        <v>0</v>
      </c>
      <c r="CV296" s="1665">
        <v>0</v>
      </c>
      <c r="CW296" s="1668"/>
      <c r="CX296" s="1663"/>
      <c r="CY296" s="1663"/>
      <c r="CZ296" s="1663"/>
      <c r="DA296" s="1663"/>
      <c r="DB296" s="1668"/>
      <c r="DC296" s="1662"/>
      <c r="DD296" s="1665">
        <v>0</v>
      </c>
      <c r="DE296" s="1663"/>
      <c r="DF296" s="1663"/>
      <c r="DG296" s="1665">
        <v>0</v>
      </c>
      <c r="DH296" s="1665">
        <v>0</v>
      </c>
    </row>
    <row r="297" spans="1:112" ht="22.5" hidden="1" x14ac:dyDescent="0.25">
      <c r="A297" s="1662" t="s">
        <v>2357</v>
      </c>
      <c r="B297" s="1662" t="s">
        <v>1727</v>
      </c>
      <c r="C297" s="1662" t="s">
        <v>2636</v>
      </c>
      <c r="D297" s="1662" t="s">
        <v>2639</v>
      </c>
      <c r="E297" s="1662" t="s">
        <v>2342</v>
      </c>
      <c r="F297" s="1662" t="s">
        <v>2638</v>
      </c>
      <c r="G297" s="1662" t="s">
        <v>2628</v>
      </c>
      <c r="H297" s="1662" t="s">
        <v>2613</v>
      </c>
      <c r="I297" s="1662" t="s">
        <v>738</v>
      </c>
      <c r="J297" s="1662" t="s">
        <v>220</v>
      </c>
      <c r="K297" s="1662" t="s">
        <v>2120</v>
      </c>
      <c r="L297" s="1662" t="s">
        <v>2109</v>
      </c>
      <c r="M297" s="1663"/>
      <c r="N297" s="1663"/>
      <c r="O297" s="1663"/>
      <c r="P297" s="1663"/>
      <c r="Q297" s="1663"/>
      <c r="R297" s="1663"/>
      <c r="S297" s="1663"/>
      <c r="T297" s="1663"/>
      <c r="U297" s="1663"/>
      <c r="V297" s="1663"/>
      <c r="W297" s="1663"/>
      <c r="X297" s="1663"/>
      <c r="Y297" s="1664">
        <v>42719</v>
      </c>
      <c r="Z297" s="1662" t="s">
        <v>2145</v>
      </c>
      <c r="AA297" s="1665">
        <v>0</v>
      </c>
      <c r="AB297" s="1665">
        <v>0</v>
      </c>
      <c r="AC297" s="1680">
        <v>0</v>
      </c>
      <c r="AD297" s="1682">
        <v>42731</v>
      </c>
      <c r="AE297" s="1679" t="s">
        <v>2114</v>
      </c>
      <c r="AF297" s="1662" t="s">
        <v>2112</v>
      </c>
      <c r="AG297" s="1666"/>
      <c r="AH297" s="1667">
        <v>140910</v>
      </c>
      <c r="AI297" s="1665">
        <v>140910</v>
      </c>
      <c r="AJ297" s="1665">
        <v>140910</v>
      </c>
      <c r="AK297" s="1698">
        <v>140910</v>
      </c>
      <c r="AL297" s="1665">
        <v>0</v>
      </c>
      <c r="AM297" s="1668"/>
      <c r="AN297" s="1665">
        <v>0</v>
      </c>
      <c r="AO297" s="1665">
        <v>0</v>
      </c>
      <c r="AP297" s="1665">
        <v>0</v>
      </c>
      <c r="AQ297" s="1665">
        <v>0</v>
      </c>
      <c r="AR297" s="1665">
        <v>0</v>
      </c>
      <c r="AS297" s="1665">
        <v>0</v>
      </c>
      <c r="AT297" s="1665">
        <v>0</v>
      </c>
      <c r="AU297" s="1665">
        <v>0</v>
      </c>
      <c r="AV297" s="1665">
        <v>0</v>
      </c>
      <c r="AW297" s="1665">
        <v>0</v>
      </c>
      <c r="AX297" s="1663"/>
      <c r="AY297" s="1663"/>
      <c r="AZ297" s="1663"/>
      <c r="BA297" s="1668"/>
      <c r="BB297" s="1668"/>
      <c r="BC297" s="1663"/>
      <c r="BD297" s="1663"/>
      <c r="BE297" s="1665">
        <v>0</v>
      </c>
      <c r="BF297" s="1665">
        <v>0</v>
      </c>
      <c r="BG297" s="1665">
        <v>0</v>
      </c>
      <c r="BH297" s="1665">
        <v>0</v>
      </c>
      <c r="BI297" s="1665">
        <v>0</v>
      </c>
      <c r="BJ297" s="1665">
        <v>0</v>
      </c>
      <c r="BK297" s="1665">
        <v>0</v>
      </c>
      <c r="BL297" s="1665">
        <v>0</v>
      </c>
      <c r="BM297" s="1665">
        <v>0</v>
      </c>
      <c r="BN297" s="1665">
        <v>0</v>
      </c>
      <c r="BO297" s="1668"/>
      <c r="BP297" s="1665">
        <v>0</v>
      </c>
      <c r="BQ297" s="1665">
        <v>0</v>
      </c>
      <c r="BR297" s="1665">
        <v>0</v>
      </c>
      <c r="BS297" s="1667">
        <v>0</v>
      </c>
      <c r="BT297" s="1665">
        <v>0</v>
      </c>
      <c r="BU297" s="1665">
        <v>0</v>
      </c>
      <c r="BV297" s="1665">
        <v>0</v>
      </c>
      <c r="BW297" s="1665">
        <v>0</v>
      </c>
      <c r="BX297" s="1665">
        <v>0</v>
      </c>
      <c r="BY297" s="1665">
        <v>0</v>
      </c>
      <c r="BZ297" s="1663"/>
      <c r="CA297" s="1663"/>
      <c r="CB297" s="1668"/>
      <c r="CC297" s="1668"/>
      <c r="CD297" s="1663"/>
      <c r="CE297" s="1663"/>
      <c r="CF297" s="1665">
        <v>0</v>
      </c>
      <c r="CG297" s="1665">
        <v>0</v>
      </c>
      <c r="CH297" s="1665">
        <v>0</v>
      </c>
      <c r="CI297" s="1665">
        <v>0</v>
      </c>
      <c r="CJ297" s="1665">
        <v>0</v>
      </c>
      <c r="CK297" s="1665">
        <v>0</v>
      </c>
      <c r="CL297" s="1668"/>
      <c r="CM297" s="1665">
        <v>0</v>
      </c>
      <c r="CN297" s="1665">
        <v>0</v>
      </c>
      <c r="CO297" s="1665">
        <v>0</v>
      </c>
      <c r="CP297" s="1665">
        <v>0</v>
      </c>
      <c r="CQ297" s="1665">
        <v>0</v>
      </c>
      <c r="CR297" s="1665">
        <v>0</v>
      </c>
      <c r="CS297" s="1665">
        <v>0</v>
      </c>
      <c r="CT297" s="1665">
        <v>0</v>
      </c>
      <c r="CU297" s="1665">
        <v>0</v>
      </c>
      <c r="CV297" s="1665">
        <v>0</v>
      </c>
      <c r="CW297" s="1668"/>
      <c r="CX297" s="1663"/>
      <c r="CY297" s="1663"/>
      <c r="CZ297" s="1663"/>
      <c r="DA297" s="1663"/>
      <c r="DB297" s="1668"/>
      <c r="DC297" s="1662"/>
      <c r="DD297" s="1665">
        <v>0</v>
      </c>
      <c r="DE297" s="1663"/>
      <c r="DF297" s="1663"/>
      <c r="DG297" s="1665">
        <v>0</v>
      </c>
      <c r="DH297" s="1665">
        <v>0</v>
      </c>
    </row>
    <row r="298" spans="1:112" ht="22.5" hidden="1" x14ac:dyDescent="0.25">
      <c r="A298" s="1662" t="s">
        <v>2358</v>
      </c>
      <c r="B298" s="1662" t="s">
        <v>1727</v>
      </c>
      <c r="C298" s="1662" t="s">
        <v>2636</v>
      </c>
      <c r="D298" s="1662" t="s">
        <v>2639</v>
      </c>
      <c r="E298" s="1662" t="s">
        <v>2342</v>
      </c>
      <c r="F298" s="1662" t="s">
        <v>2638</v>
      </c>
      <c r="G298" s="1662" t="s">
        <v>2628</v>
      </c>
      <c r="H298" s="1662" t="s">
        <v>2613</v>
      </c>
      <c r="I298" s="1662" t="s">
        <v>738</v>
      </c>
      <c r="J298" s="1662" t="s">
        <v>220</v>
      </c>
      <c r="K298" s="1662" t="s">
        <v>2120</v>
      </c>
      <c r="L298" s="1662" t="s">
        <v>2109</v>
      </c>
      <c r="M298" s="1663"/>
      <c r="N298" s="1663"/>
      <c r="O298" s="1663"/>
      <c r="P298" s="1663"/>
      <c r="Q298" s="1663"/>
      <c r="R298" s="1663"/>
      <c r="S298" s="1663"/>
      <c r="T298" s="1663"/>
      <c r="U298" s="1663"/>
      <c r="V298" s="1663"/>
      <c r="W298" s="1663"/>
      <c r="X298" s="1663"/>
      <c r="Y298" s="1664">
        <v>42780</v>
      </c>
      <c r="Z298" s="1662" t="s">
        <v>2110</v>
      </c>
      <c r="AA298" s="1665">
        <v>0</v>
      </c>
      <c r="AB298" s="1665">
        <v>0</v>
      </c>
      <c r="AC298" s="1680">
        <v>0</v>
      </c>
      <c r="AD298" s="1682">
        <v>42814</v>
      </c>
      <c r="AE298" s="1679" t="s">
        <v>2128</v>
      </c>
      <c r="AF298" s="1662" t="s">
        <v>2112</v>
      </c>
      <c r="AG298" s="1666"/>
      <c r="AH298" s="1667">
        <v>143365.22</v>
      </c>
      <c r="AI298" s="1665">
        <v>143365.22</v>
      </c>
      <c r="AJ298" s="1665">
        <v>121860.44</v>
      </c>
      <c r="AK298" s="1698">
        <v>121860.44</v>
      </c>
      <c r="AL298" s="1665">
        <v>0</v>
      </c>
      <c r="AM298" s="1664">
        <v>42814</v>
      </c>
      <c r="AN298" s="1665">
        <v>143365.22</v>
      </c>
      <c r="AO298" s="1665">
        <v>143365.22</v>
      </c>
      <c r="AP298" s="1665">
        <v>121860.44</v>
      </c>
      <c r="AQ298" s="1665">
        <v>121860.44</v>
      </c>
      <c r="AR298" s="1665">
        <v>0</v>
      </c>
      <c r="AS298" s="1665">
        <v>21504.78</v>
      </c>
      <c r="AT298" s="1665">
        <v>0</v>
      </c>
      <c r="AU298" s="1665">
        <v>21504.78</v>
      </c>
      <c r="AV298" s="1665">
        <v>0</v>
      </c>
      <c r="AW298" s="1665">
        <v>0</v>
      </c>
      <c r="AX298" s="1663"/>
      <c r="AY298" s="1663"/>
      <c r="AZ298" s="1663"/>
      <c r="BA298" s="1668"/>
      <c r="BB298" s="1668"/>
      <c r="BC298" s="1663"/>
      <c r="BD298" s="1663"/>
      <c r="BE298" s="1665">
        <v>143365.22</v>
      </c>
      <c r="BF298" s="1665">
        <v>143365.22</v>
      </c>
      <c r="BG298" s="1665">
        <v>121860.44</v>
      </c>
      <c r="BH298" s="1665">
        <v>121860.44</v>
      </c>
      <c r="BI298" s="1665">
        <v>0</v>
      </c>
      <c r="BJ298" s="1665">
        <v>21504.78</v>
      </c>
      <c r="BK298" s="1665">
        <v>0</v>
      </c>
      <c r="BL298" s="1665">
        <v>21504.78</v>
      </c>
      <c r="BM298" s="1665">
        <v>0</v>
      </c>
      <c r="BN298" s="1665">
        <v>0</v>
      </c>
      <c r="BO298" s="1664">
        <v>42866</v>
      </c>
      <c r="BP298" s="1665">
        <v>143365.22</v>
      </c>
      <c r="BQ298" s="1665">
        <v>143365.22</v>
      </c>
      <c r="BR298" s="1665">
        <v>121860.44</v>
      </c>
      <c r="BS298" s="1667">
        <v>121860.44</v>
      </c>
      <c r="BT298" s="1665">
        <v>0</v>
      </c>
      <c r="BU298" s="1665">
        <v>21504.78</v>
      </c>
      <c r="BV298" s="1665">
        <v>0</v>
      </c>
      <c r="BW298" s="1665">
        <v>21504.78</v>
      </c>
      <c r="BX298" s="1665">
        <v>0</v>
      </c>
      <c r="BY298" s="1665">
        <v>0</v>
      </c>
      <c r="BZ298" s="1665">
        <v>0</v>
      </c>
      <c r="CA298" s="1663"/>
      <c r="CB298" s="1668"/>
      <c r="CC298" s="1668"/>
      <c r="CD298" s="1663"/>
      <c r="CE298" s="1663"/>
      <c r="CF298" s="1665">
        <v>0</v>
      </c>
      <c r="CG298" s="1665">
        <v>0</v>
      </c>
      <c r="CH298" s="1665">
        <v>0</v>
      </c>
      <c r="CI298" s="1665">
        <v>0</v>
      </c>
      <c r="CJ298" s="1665">
        <v>923.17</v>
      </c>
      <c r="CK298" s="1665">
        <v>923.17</v>
      </c>
      <c r="CL298" s="1664">
        <v>43144</v>
      </c>
      <c r="CM298" s="1665">
        <v>143365.22</v>
      </c>
      <c r="CN298" s="1665">
        <v>143365.22</v>
      </c>
      <c r="CO298" s="1665">
        <v>121860.44</v>
      </c>
      <c r="CP298" s="1665">
        <v>121860.44</v>
      </c>
      <c r="CQ298" s="1665">
        <v>0</v>
      </c>
      <c r="CR298" s="1665">
        <v>21504.78</v>
      </c>
      <c r="CS298" s="1665">
        <v>0</v>
      </c>
      <c r="CT298" s="1665">
        <v>21504.78</v>
      </c>
      <c r="CU298" s="1665">
        <v>0</v>
      </c>
      <c r="CV298" s="1665">
        <v>0</v>
      </c>
      <c r="CW298" s="1668"/>
      <c r="CX298" s="1663"/>
      <c r="CY298" s="1663"/>
      <c r="CZ298" s="1663"/>
      <c r="DA298" s="1663"/>
      <c r="DB298" s="1668"/>
      <c r="DC298" s="1662"/>
      <c r="DD298" s="1665">
        <v>0</v>
      </c>
      <c r="DE298" s="1663"/>
      <c r="DF298" s="1663"/>
      <c r="DG298" s="1665">
        <v>0</v>
      </c>
      <c r="DH298" s="1665">
        <v>0</v>
      </c>
    </row>
    <row r="299" spans="1:112" ht="22.5" hidden="1" x14ac:dyDescent="0.25">
      <c r="A299" s="1662" t="s">
        <v>2359</v>
      </c>
      <c r="B299" s="1662" t="s">
        <v>1727</v>
      </c>
      <c r="C299" s="1662" t="s">
        <v>2636</v>
      </c>
      <c r="D299" s="1662" t="s">
        <v>2639</v>
      </c>
      <c r="E299" s="1662" t="s">
        <v>2342</v>
      </c>
      <c r="F299" s="1662" t="s">
        <v>2638</v>
      </c>
      <c r="G299" s="1662" t="s">
        <v>2628</v>
      </c>
      <c r="H299" s="1662" t="s">
        <v>2613</v>
      </c>
      <c r="I299" s="1662" t="s">
        <v>738</v>
      </c>
      <c r="J299" s="1662" t="s">
        <v>220</v>
      </c>
      <c r="K299" s="1662" t="s">
        <v>2120</v>
      </c>
      <c r="L299" s="1662" t="s">
        <v>2109</v>
      </c>
      <c r="M299" s="1663"/>
      <c r="N299" s="1663"/>
      <c r="O299" s="1663"/>
      <c r="P299" s="1663"/>
      <c r="Q299" s="1663"/>
      <c r="R299" s="1663"/>
      <c r="S299" s="1663"/>
      <c r="T299" s="1663"/>
      <c r="U299" s="1663"/>
      <c r="V299" s="1663"/>
      <c r="W299" s="1663"/>
      <c r="X299" s="1663"/>
      <c r="Y299" s="1664">
        <v>42958</v>
      </c>
      <c r="Z299" s="1662" t="s">
        <v>2110</v>
      </c>
      <c r="AA299" s="1665">
        <v>0</v>
      </c>
      <c r="AB299" s="1665">
        <v>0</v>
      </c>
      <c r="AC299" s="1680">
        <v>0</v>
      </c>
      <c r="AD299" s="1682">
        <v>42985</v>
      </c>
      <c r="AE299" s="1679" t="s">
        <v>2130</v>
      </c>
      <c r="AF299" s="1662" t="s">
        <v>2115</v>
      </c>
      <c r="AG299" s="1666"/>
      <c r="AH299" s="1667">
        <v>118.97</v>
      </c>
      <c r="AI299" s="1665">
        <v>118.97</v>
      </c>
      <c r="AJ299" s="1665">
        <v>101.12</v>
      </c>
      <c r="AK299" s="1698">
        <v>101.12</v>
      </c>
      <c r="AL299" s="1665">
        <v>0</v>
      </c>
      <c r="AM299" s="1664">
        <v>42985</v>
      </c>
      <c r="AN299" s="1665">
        <v>118.97</v>
      </c>
      <c r="AO299" s="1665">
        <v>118.97</v>
      </c>
      <c r="AP299" s="1665">
        <v>101.12</v>
      </c>
      <c r="AQ299" s="1665">
        <v>101.12</v>
      </c>
      <c r="AR299" s="1665">
        <v>0</v>
      </c>
      <c r="AS299" s="1665">
        <v>17.850000000000001</v>
      </c>
      <c r="AT299" s="1665">
        <v>0</v>
      </c>
      <c r="AU299" s="1665">
        <v>17.850000000000001</v>
      </c>
      <c r="AV299" s="1665">
        <v>0</v>
      </c>
      <c r="AW299" s="1665">
        <v>0</v>
      </c>
      <c r="AX299" s="1663"/>
      <c r="AY299" s="1663"/>
      <c r="AZ299" s="1663"/>
      <c r="BA299" s="1668"/>
      <c r="BB299" s="1668"/>
      <c r="BC299" s="1663"/>
      <c r="BD299" s="1663"/>
      <c r="BE299" s="1665">
        <v>118.97</v>
      </c>
      <c r="BF299" s="1665">
        <v>118.97</v>
      </c>
      <c r="BG299" s="1665">
        <v>101.12</v>
      </c>
      <c r="BH299" s="1665">
        <v>101.12</v>
      </c>
      <c r="BI299" s="1665">
        <v>0</v>
      </c>
      <c r="BJ299" s="1665">
        <v>17.850000000000001</v>
      </c>
      <c r="BK299" s="1665">
        <v>0</v>
      </c>
      <c r="BL299" s="1665">
        <v>17.850000000000001</v>
      </c>
      <c r="BM299" s="1665">
        <v>0</v>
      </c>
      <c r="BN299" s="1665">
        <v>0</v>
      </c>
      <c r="BO299" s="1664">
        <v>43039</v>
      </c>
      <c r="BP299" s="1665">
        <v>118.97</v>
      </c>
      <c r="BQ299" s="1665">
        <v>118.97</v>
      </c>
      <c r="BR299" s="1665">
        <v>101.12</v>
      </c>
      <c r="BS299" s="1667">
        <v>101.12</v>
      </c>
      <c r="BT299" s="1665">
        <v>0</v>
      </c>
      <c r="BU299" s="1665">
        <v>17.850000000000001</v>
      </c>
      <c r="BV299" s="1665">
        <v>0</v>
      </c>
      <c r="BW299" s="1665">
        <v>0</v>
      </c>
      <c r="BX299" s="1665">
        <v>0</v>
      </c>
      <c r="BY299" s="1665">
        <v>0</v>
      </c>
      <c r="BZ299" s="1665">
        <v>0</v>
      </c>
      <c r="CA299" s="1663"/>
      <c r="CB299" s="1668"/>
      <c r="CC299" s="1668"/>
      <c r="CD299" s="1663"/>
      <c r="CE299" s="1663"/>
      <c r="CF299" s="1665">
        <v>0</v>
      </c>
      <c r="CG299" s="1665">
        <v>0</v>
      </c>
      <c r="CH299" s="1665">
        <v>0</v>
      </c>
      <c r="CI299" s="1665">
        <v>0</v>
      </c>
      <c r="CJ299" s="1665">
        <v>0.77</v>
      </c>
      <c r="CK299" s="1665">
        <v>0.77</v>
      </c>
      <c r="CL299" s="1668"/>
      <c r="CM299" s="1665">
        <v>0</v>
      </c>
      <c r="CN299" s="1665">
        <v>0</v>
      </c>
      <c r="CO299" s="1665">
        <v>0</v>
      </c>
      <c r="CP299" s="1665">
        <v>0</v>
      </c>
      <c r="CQ299" s="1665">
        <v>0</v>
      </c>
      <c r="CR299" s="1665">
        <v>0</v>
      </c>
      <c r="CS299" s="1665">
        <v>0</v>
      </c>
      <c r="CT299" s="1665">
        <v>0</v>
      </c>
      <c r="CU299" s="1665">
        <v>0</v>
      </c>
      <c r="CV299" s="1665">
        <v>0</v>
      </c>
      <c r="CW299" s="1668"/>
      <c r="CX299" s="1663"/>
      <c r="CY299" s="1663"/>
      <c r="CZ299" s="1663"/>
      <c r="DA299" s="1663"/>
      <c r="DB299" s="1668"/>
      <c r="DC299" s="1662"/>
      <c r="DD299" s="1665">
        <v>0</v>
      </c>
      <c r="DE299" s="1663"/>
      <c r="DF299" s="1663"/>
      <c r="DG299" s="1665">
        <v>0</v>
      </c>
      <c r="DH299" s="1665">
        <v>0</v>
      </c>
    </row>
    <row r="300" spans="1:112" ht="22.5" hidden="1" x14ac:dyDescent="0.25">
      <c r="A300" s="1662" t="s">
        <v>2360</v>
      </c>
      <c r="B300" s="1662" t="s">
        <v>1727</v>
      </c>
      <c r="C300" s="1662" t="s">
        <v>2636</v>
      </c>
      <c r="D300" s="1662" t="s">
        <v>2639</v>
      </c>
      <c r="E300" s="1662" t="s">
        <v>2342</v>
      </c>
      <c r="F300" s="1662" t="s">
        <v>2638</v>
      </c>
      <c r="G300" s="1662" t="s">
        <v>2628</v>
      </c>
      <c r="H300" s="1662" t="s">
        <v>2613</v>
      </c>
      <c r="I300" s="1662" t="s">
        <v>738</v>
      </c>
      <c r="J300" s="1662" t="s">
        <v>220</v>
      </c>
      <c r="K300" s="1662" t="s">
        <v>2120</v>
      </c>
      <c r="L300" s="1662" t="s">
        <v>2109</v>
      </c>
      <c r="M300" s="1663"/>
      <c r="N300" s="1663"/>
      <c r="O300" s="1663"/>
      <c r="P300" s="1663"/>
      <c r="Q300" s="1663"/>
      <c r="R300" s="1663"/>
      <c r="S300" s="1663"/>
      <c r="T300" s="1663"/>
      <c r="U300" s="1663"/>
      <c r="V300" s="1663"/>
      <c r="W300" s="1663"/>
      <c r="X300" s="1663"/>
      <c r="Y300" s="1664">
        <v>42958</v>
      </c>
      <c r="Z300" s="1662" t="s">
        <v>2110</v>
      </c>
      <c r="AA300" s="1665">
        <v>0</v>
      </c>
      <c r="AB300" s="1665">
        <v>0</v>
      </c>
      <c r="AC300" s="1680">
        <v>0</v>
      </c>
      <c r="AD300" s="1682">
        <v>42985</v>
      </c>
      <c r="AE300" s="1679" t="s">
        <v>2130</v>
      </c>
      <c r="AF300" s="1662" t="s">
        <v>2112</v>
      </c>
      <c r="AG300" s="1666"/>
      <c r="AH300" s="1667">
        <v>106254.99</v>
      </c>
      <c r="AI300" s="1665">
        <v>106254.99</v>
      </c>
      <c r="AJ300" s="1665">
        <v>90316.74</v>
      </c>
      <c r="AK300" s="1698">
        <v>90316.74</v>
      </c>
      <c r="AL300" s="1665">
        <v>0</v>
      </c>
      <c r="AM300" s="1664">
        <v>42985</v>
      </c>
      <c r="AN300" s="1665">
        <v>106254.99</v>
      </c>
      <c r="AO300" s="1665">
        <v>106254.99</v>
      </c>
      <c r="AP300" s="1665">
        <v>90316.74</v>
      </c>
      <c r="AQ300" s="1665">
        <v>90316.74</v>
      </c>
      <c r="AR300" s="1665">
        <v>0</v>
      </c>
      <c r="AS300" s="1665">
        <v>15938.25</v>
      </c>
      <c r="AT300" s="1665">
        <v>0</v>
      </c>
      <c r="AU300" s="1665">
        <v>15938.25</v>
      </c>
      <c r="AV300" s="1665">
        <v>0</v>
      </c>
      <c r="AW300" s="1665">
        <v>0</v>
      </c>
      <c r="AX300" s="1663"/>
      <c r="AY300" s="1663"/>
      <c r="AZ300" s="1663"/>
      <c r="BA300" s="1668"/>
      <c r="BB300" s="1668"/>
      <c r="BC300" s="1663"/>
      <c r="BD300" s="1663"/>
      <c r="BE300" s="1665">
        <v>106254.99</v>
      </c>
      <c r="BF300" s="1665">
        <v>106254.99</v>
      </c>
      <c r="BG300" s="1665">
        <v>90316.74</v>
      </c>
      <c r="BH300" s="1665">
        <v>90316.74</v>
      </c>
      <c r="BI300" s="1665">
        <v>0</v>
      </c>
      <c r="BJ300" s="1665">
        <v>15938.25</v>
      </c>
      <c r="BK300" s="1665">
        <v>0</v>
      </c>
      <c r="BL300" s="1665">
        <v>15938.25</v>
      </c>
      <c r="BM300" s="1665">
        <v>0</v>
      </c>
      <c r="BN300" s="1665">
        <v>0</v>
      </c>
      <c r="BO300" s="1664">
        <v>43039</v>
      </c>
      <c r="BP300" s="1665">
        <v>106254.99</v>
      </c>
      <c r="BQ300" s="1665">
        <v>106254.99</v>
      </c>
      <c r="BR300" s="1665">
        <v>90316.74</v>
      </c>
      <c r="BS300" s="1667">
        <v>90316.74</v>
      </c>
      <c r="BT300" s="1665">
        <v>0</v>
      </c>
      <c r="BU300" s="1665">
        <v>15938.25</v>
      </c>
      <c r="BV300" s="1665">
        <v>0</v>
      </c>
      <c r="BW300" s="1665">
        <v>0</v>
      </c>
      <c r="BX300" s="1665">
        <v>0</v>
      </c>
      <c r="BY300" s="1665">
        <v>0</v>
      </c>
      <c r="BZ300" s="1665">
        <v>0</v>
      </c>
      <c r="CA300" s="1663"/>
      <c r="CB300" s="1668"/>
      <c r="CC300" s="1668"/>
      <c r="CD300" s="1663"/>
      <c r="CE300" s="1663"/>
      <c r="CF300" s="1665">
        <v>0</v>
      </c>
      <c r="CG300" s="1665">
        <v>0</v>
      </c>
      <c r="CH300" s="1665">
        <v>0</v>
      </c>
      <c r="CI300" s="1665">
        <v>0</v>
      </c>
      <c r="CJ300" s="1665">
        <v>684.19</v>
      </c>
      <c r="CK300" s="1665">
        <v>684.19</v>
      </c>
      <c r="CL300" s="1668"/>
      <c r="CM300" s="1665">
        <v>0</v>
      </c>
      <c r="CN300" s="1665">
        <v>0</v>
      </c>
      <c r="CO300" s="1665">
        <v>0</v>
      </c>
      <c r="CP300" s="1665">
        <v>0</v>
      </c>
      <c r="CQ300" s="1665">
        <v>0</v>
      </c>
      <c r="CR300" s="1665">
        <v>0</v>
      </c>
      <c r="CS300" s="1665">
        <v>0</v>
      </c>
      <c r="CT300" s="1665">
        <v>0</v>
      </c>
      <c r="CU300" s="1665">
        <v>0</v>
      </c>
      <c r="CV300" s="1665">
        <v>0</v>
      </c>
      <c r="CW300" s="1668"/>
      <c r="CX300" s="1663"/>
      <c r="CY300" s="1663"/>
      <c r="CZ300" s="1663"/>
      <c r="DA300" s="1663"/>
      <c r="DB300" s="1668"/>
      <c r="DC300" s="1662"/>
      <c r="DD300" s="1665">
        <v>0</v>
      </c>
      <c r="DE300" s="1663"/>
      <c r="DF300" s="1663"/>
      <c r="DG300" s="1665">
        <v>0</v>
      </c>
      <c r="DH300" s="1665">
        <v>0</v>
      </c>
    </row>
    <row r="301" spans="1:112" ht="22.5" hidden="1" x14ac:dyDescent="0.25">
      <c r="A301" s="1662" t="s">
        <v>2361</v>
      </c>
      <c r="B301" s="1662" t="s">
        <v>1727</v>
      </c>
      <c r="C301" s="1662" t="s">
        <v>2636</v>
      </c>
      <c r="D301" s="1662" t="s">
        <v>2639</v>
      </c>
      <c r="E301" s="1662" t="s">
        <v>2342</v>
      </c>
      <c r="F301" s="1662" t="s">
        <v>2638</v>
      </c>
      <c r="G301" s="1662" t="s">
        <v>2628</v>
      </c>
      <c r="H301" s="1662" t="s">
        <v>2613</v>
      </c>
      <c r="I301" s="1662" t="s">
        <v>738</v>
      </c>
      <c r="J301" s="1662" t="s">
        <v>220</v>
      </c>
      <c r="K301" s="1662" t="s">
        <v>2120</v>
      </c>
      <c r="L301" s="1662" t="s">
        <v>2109</v>
      </c>
      <c r="M301" s="1663"/>
      <c r="N301" s="1663"/>
      <c r="O301" s="1663"/>
      <c r="P301" s="1663"/>
      <c r="Q301" s="1663"/>
      <c r="R301" s="1663"/>
      <c r="S301" s="1663"/>
      <c r="T301" s="1663"/>
      <c r="U301" s="1663"/>
      <c r="V301" s="1663"/>
      <c r="W301" s="1663"/>
      <c r="X301" s="1663"/>
      <c r="Y301" s="1664">
        <v>43073</v>
      </c>
      <c r="Z301" s="1662" t="s">
        <v>2110</v>
      </c>
      <c r="AA301" s="1665">
        <v>0</v>
      </c>
      <c r="AB301" s="1665">
        <v>0</v>
      </c>
      <c r="AC301" s="1680">
        <v>0</v>
      </c>
      <c r="AD301" s="1682">
        <v>43091</v>
      </c>
      <c r="AE301" s="1679" t="s">
        <v>2137</v>
      </c>
      <c r="AF301" s="1662" t="s">
        <v>2112</v>
      </c>
      <c r="AG301" s="1666"/>
      <c r="AH301" s="1667">
        <v>200959.27</v>
      </c>
      <c r="AI301" s="1665">
        <v>200959.27</v>
      </c>
      <c r="AJ301" s="1665">
        <v>170815.38</v>
      </c>
      <c r="AK301" s="1698">
        <v>170815.38</v>
      </c>
      <c r="AL301" s="1665">
        <v>0</v>
      </c>
      <c r="AM301" s="1664">
        <v>43091</v>
      </c>
      <c r="AN301" s="1665">
        <v>200959.27</v>
      </c>
      <c r="AO301" s="1665">
        <v>200959.27</v>
      </c>
      <c r="AP301" s="1665">
        <v>170815.38</v>
      </c>
      <c r="AQ301" s="1665">
        <v>170815.38</v>
      </c>
      <c r="AR301" s="1665">
        <v>0</v>
      </c>
      <c r="AS301" s="1665">
        <v>30143.89</v>
      </c>
      <c r="AT301" s="1665">
        <v>0</v>
      </c>
      <c r="AU301" s="1665">
        <v>30143.89</v>
      </c>
      <c r="AV301" s="1665">
        <v>0</v>
      </c>
      <c r="AW301" s="1665">
        <v>0</v>
      </c>
      <c r="AX301" s="1663"/>
      <c r="AY301" s="1663"/>
      <c r="AZ301" s="1663"/>
      <c r="BA301" s="1668"/>
      <c r="BB301" s="1668"/>
      <c r="BC301" s="1663"/>
      <c r="BD301" s="1663"/>
      <c r="BE301" s="1665">
        <v>200959.27</v>
      </c>
      <c r="BF301" s="1665">
        <v>200959.27</v>
      </c>
      <c r="BG301" s="1665">
        <v>170815.38</v>
      </c>
      <c r="BH301" s="1665">
        <v>170815.38</v>
      </c>
      <c r="BI301" s="1665">
        <v>0</v>
      </c>
      <c r="BJ301" s="1665">
        <v>30143.89</v>
      </c>
      <c r="BK301" s="1665">
        <v>0</v>
      </c>
      <c r="BL301" s="1665">
        <v>30143.89</v>
      </c>
      <c r="BM301" s="1665">
        <v>0</v>
      </c>
      <c r="BN301" s="1665">
        <v>0</v>
      </c>
      <c r="BO301" s="1664">
        <v>43206</v>
      </c>
      <c r="BP301" s="1665">
        <v>200959.27</v>
      </c>
      <c r="BQ301" s="1665">
        <v>200959.27</v>
      </c>
      <c r="BR301" s="1665">
        <v>170815.38</v>
      </c>
      <c r="BS301" s="1667">
        <v>170815.38</v>
      </c>
      <c r="BT301" s="1665">
        <v>0</v>
      </c>
      <c r="BU301" s="1665">
        <v>30143.89</v>
      </c>
      <c r="BV301" s="1665">
        <v>0</v>
      </c>
      <c r="BW301" s="1665">
        <v>0</v>
      </c>
      <c r="BX301" s="1665">
        <v>0</v>
      </c>
      <c r="BY301" s="1665">
        <v>0</v>
      </c>
      <c r="BZ301" s="1665">
        <v>0</v>
      </c>
      <c r="CA301" s="1663"/>
      <c r="CB301" s="1668"/>
      <c r="CC301" s="1668"/>
      <c r="CD301" s="1663"/>
      <c r="CE301" s="1663"/>
      <c r="CF301" s="1665">
        <v>0</v>
      </c>
      <c r="CG301" s="1665">
        <v>0</v>
      </c>
      <c r="CH301" s="1665">
        <v>0</v>
      </c>
      <c r="CI301" s="1665">
        <v>0</v>
      </c>
      <c r="CJ301" s="1665">
        <v>1302.49</v>
      </c>
      <c r="CK301" s="1665">
        <v>1302.49</v>
      </c>
      <c r="CL301" s="1668"/>
      <c r="CM301" s="1665">
        <v>0</v>
      </c>
      <c r="CN301" s="1665">
        <v>0</v>
      </c>
      <c r="CO301" s="1665">
        <v>0</v>
      </c>
      <c r="CP301" s="1665">
        <v>0</v>
      </c>
      <c r="CQ301" s="1665">
        <v>0</v>
      </c>
      <c r="CR301" s="1665">
        <v>0</v>
      </c>
      <c r="CS301" s="1665">
        <v>0</v>
      </c>
      <c r="CT301" s="1665">
        <v>0</v>
      </c>
      <c r="CU301" s="1665">
        <v>0</v>
      </c>
      <c r="CV301" s="1665">
        <v>0</v>
      </c>
      <c r="CW301" s="1668"/>
      <c r="CX301" s="1663"/>
      <c r="CY301" s="1663"/>
      <c r="CZ301" s="1663"/>
      <c r="DA301" s="1663"/>
      <c r="DB301" s="1668"/>
      <c r="DC301" s="1662"/>
      <c r="DD301" s="1665">
        <v>0</v>
      </c>
      <c r="DE301" s="1663"/>
      <c r="DF301" s="1663"/>
      <c r="DG301" s="1665">
        <v>0</v>
      </c>
      <c r="DH301" s="1665">
        <v>0</v>
      </c>
    </row>
    <row r="302" spans="1:112" ht="22.5" hidden="1" x14ac:dyDescent="0.25">
      <c r="A302" s="1662" t="s">
        <v>2362</v>
      </c>
      <c r="B302" s="1662" t="s">
        <v>1727</v>
      </c>
      <c r="C302" s="1662" t="s">
        <v>2636</v>
      </c>
      <c r="D302" s="1662" t="s">
        <v>2639</v>
      </c>
      <c r="E302" s="1662" t="s">
        <v>2342</v>
      </c>
      <c r="F302" s="1662" t="s">
        <v>2638</v>
      </c>
      <c r="G302" s="1662" t="s">
        <v>2628</v>
      </c>
      <c r="H302" s="1662" t="s">
        <v>2613</v>
      </c>
      <c r="I302" s="1662" t="s">
        <v>738</v>
      </c>
      <c r="J302" s="1662" t="s">
        <v>220</v>
      </c>
      <c r="K302" s="1662" t="s">
        <v>2120</v>
      </c>
      <c r="L302" s="1662" t="s">
        <v>2109</v>
      </c>
      <c r="M302" s="1663"/>
      <c r="N302" s="1663"/>
      <c r="O302" s="1663"/>
      <c r="P302" s="1663"/>
      <c r="Q302" s="1663"/>
      <c r="R302" s="1663"/>
      <c r="S302" s="1663"/>
      <c r="T302" s="1663"/>
      <c r="U302" s="1663"/>
      <c r="V302" s="1663"/>
      <c r="W302" s="1663"/>
      <c r="X302" s="1663"/>
      <c r="Y302" s="1664">
        <v>43326</v>
      </c>
      <c r="Z302" s="1662" t="s">
        <v>2110</v>
      </c>
      <c r="AA302" s="1665">
        <v>0</v>
      </c>
      <c r="AB302" s="1665">
        <v>0</v>
      </c>
      <c r="AC302" s="1680">
        <v>0</v>
      </c>
      <c r="AD302" s="1682">
        <v>43364</v>
      </c>
      <c r="AE302" s="1679" t="s">
        <v>2133</v>
      </c>
      <c r="AF302" s="1662" t="s">
        <v>2112</v>
      </c>
      <c r="AG302" s="1666"/>
      <c r="AH302" s="1667">
        <v>72769.16</v>
      </c>
      <c r="AI302" s="1665">
        <v>72769.16</v>
      </c>
      <c r="AJ302" s="1665">
        <v>61853.79</v>
      </c>
      <c r="AK302" s="1698">
        <v>61853.79</v>
      </c>
      <c r="AL302" s="1665">
        <v>0</v>
      </c>
      <c r="AM302" s="1664">
        <v>43364</v>
      </c>
      <c r="AN302" s="1665">
        <v>72769.16</v>
      </c>
      <c r="AO302" s="1665">
        <v>72769.16</v>
      </c>
      <c r="AP302" s="1665">
        <v>61853.79</v>
      </c>
      <c r="AQ302" s="1665">
        <v>61853.79</v>
      </c>
      <c r="AR302" s="1665">
        <v>0</v>
      </c>
      <c r="AS302" s="1665">
        <v>10915.37</v>
      </c>
      <c r="AT302" s="1665">
        <v>0</v>
      </c>
      <c r="AU302" s="1665">
        <v>10915.37</v>
      </c>
      <c r="AV302" s="1665">
        <v>0</v>
      </c>
      <c r="AW302" s="1665">
        <v>0</v>
      </c>
      <c r="AX302" s="1663"/>
      <c r="AY302" s="1663"/>
      <c r="AZ302" s="1663"/>
      <c r="BA302" s="1668"/>
      <c r="BB302" s="1668"/>
      <c r="BC302" s="1663"/>
      <c r="BD302" s="1663"/>
      <c r="BE302" s="1665">
        <v>72769.16</v>
      </c>
      <c r="BF302" s="1665">
        <v>72769.16</v>
      </c>
      <c r="BG302" s="1665">
        <v>61853.79</v>
      </c>
      <c r="BH302" s="1665">
        <v>61853.79</v>
      </c>
      <c r="BI302" s="1665">
        <v>0</v>
      </c>
      <c r="BJ302" s="1665">
        <v>10915.37</v>
      </c>
      <c r="BK302" s="1665">
        <v>0</v>
      </c>
      <c r="BL302" s="1665">
        <v>10915.37</v>
      </c>
      <c r="BM302" s="1665">
        <v>0</v>
      </c>
      <c r="BN302" s="1665">
        <v>0</v>
      </c>
      <c r="BO302" s="1668"/>
      <c r="BP302" s="1665">
        <v>0</v>
      </c>
      <c r="BQ302" s="1665">
        <v>0</v>
      </c>
      <c r="BR302" s="1665">
        <v>0</v>
      </c>
      <c r="BS302" s="1667">
        <v>0</v>
      </c>
      <c r="BT302" s="1665">
        <v>0</v>
      </c>
      <c r="BU302" s="1665">
        <v>0</v>
      </c>
      <c r="BV302" s="1665">
        <v>0</v>
      </c>
      <c r="BW302" s="1665">
        <v>0</v>
      </c>
      <c r="BX302" s="1665">
        <v>0</v>
      </c>
      <c r="BY302" s="1665">
        <v>0</v>
      </c>
      <c r="BZ302" s="1665">
        <v>0</v>
      </c>
      <c r="CA302" s="1663"/>
      <c r="CB302" s="1668"/>
      <c r="CC302" s="1668"/>
      <c r="CD302" s="1663"/>
      <c r="CE302" s="1663"/>
      <c r="CF302" s="1665">
        <v>0</v>
      </c>
      <c r="CG302" s="1665">
        <v>0</v>
      </c>
      <c r="CH302" s="1665">
        <v>0</v>
      </c>
      <c r="CI302" s="1665">
        <v>0</v>
      </c>
      <c r="CJ302" s="1665">
        <v>0</v>
      </c>
      <c r="CK302" s="1665">
        <v>0</v>
      </c>
      <c r="CL302" s="1668"/>
      <c r="CM302" s="1665">
        <v>0</v>
      </c>
      <c r="CN302" s="1665">
        <v>0</v>
      </c>
      <c r="CO302" s="1665">
        <v>0</v>
      </c>
      <c r="CP302" s="1665">
        <v>0</v>
      </c>
      <c r="CQ302" s="1665">
        <v>0</v>
      </c>
      <c r="CR302" s="1665">
        <v>0</v>
      </c>
      <c r="CS302" s="1665">
        <v>0</v>
      </c>
      <c r="CT302" s="1665">
        <v>0</v>
      </c>
      <c r="CU302" s="1665">
        <v>0</v>
      </c>
      <c r="CV302" s="1665">
        <v>0</v>
      </c>
      <c r="CW302" s="1668"/>
      <c r="CX302" s="1663"/>
      <c r="CY302" s="1663"/>
      <c r="CZ302" s="1663"/>
      <c r="DA302" s="1663"/>
      <c r="DB302" s="1668"/>
      <c r="DC302" s="1662"/>
      <c r="DD302" s="1665">
        <v>0</v>
      </c>
      <c r="DE302" s="1663"/>
      <c r="DF302" s="1663"/>
      <c r="DG302" s="1665">
        <v>0</v>
      </c>
      <c r="DH302" s="1665">
        <v>0</v>
      </c>
    </row>
    <row r="303" spans="1:112" ht="45" hidden="1" x14ac:dyDescent="0.25">
      <c r="A303" s="1662" t="s">
        <v>2363</v>
      </c>
      <c r="B303" s="1662" t="s">
        <v>1727</v>
      </c>
      <c r="C303" s="1662" t="s">
        <v>2636</v>
      </c>
      <c r="D303" s="1662" t="s">
        <v>2639</v>
      </c>
      <c r="E303" s="1662" t="s">
        <v>2342</v>
      </c>
      <c r="F303" s="1662" t="s">
        <v>2638</v>
      </c>
      <c r="G303" s="1662" t="s">
        <v>2628</v>
      </c>
      <c r="H303" s="1662" t="s">
        <v>2613</v>
      </c>
      <c r="I303" s="1662" t="s">
        <v>739</v>
      </c>
      <c r="J303" s="1662" t="s">
        <v>238</v>
      </c>
      <c r="K303" s="1662" t="s">
        <v>2159</v>
      </c>
      <c r="L303" s="1662" t="s">
        <v>2109</v>
      </c>
      <c r="M303" s="1665">
        <v>727472.94</v>
      </c>
      <c r="N303" s="1665">
        <v>0</v>
      </c>
      <c r="O303" s="1665">
        <v>727472.94</v>
      </c>
      <c r="P303" s="1665">
        <v>727472.94</v>
      </c>
      <c r="Q303" s="1665">
        <v>618351.99</v>
      </c>
      <c r="R303" s="1665">
        <v>618351.99</v>
      </c>
      <c r="S303" s="1665">
        <v>0</v>
      </c>
      <c r="T303" s="1665">
        <v>109120.95</v>
      </c>
      <c r="U303" s="1665">
        <v>0</v>
      </c>
      <c r="V303" s="1665">
        <v>109120.95</v>
      </c>
      <c r="W303" s="1665">
        <v>0</v>
      </c>
      <c r="X303" s="1665">
        <v>0</v>
      </c>
      <c r="Y303" s="1668"/>
      <c r="Z303" s="1662"/>
      <c r="AA303" s="1665">
        <v>0</v>
      </c>
      <c r="AB303" s="1665">
        <v>0</v>
      </c>
      <c r="AC303" s="1680">
        <v>0</v>
      </c>
      <c r="AD303" s="1681"/>
      <c r="AE303" s="1679"/>
      <c r="AF303" s="1662"/>
      <c r="AG303" s="1666"/>
      <c r="AH303" s="1667">
        <v>363542.92</v>
      </c>
      <c r="AI303" s="1665">
        <v>363542.92</v>
      </c>
      <c r="AJ303" s="1665">
        <v>329306.48</v>
      </c>
      <c r="AK303" s="1698">
        <v>329306.48</v>
      </c>
      <c r="AL303" s="1665">
        <v>0</v>
      </c>
      <c r="AM303" s="1668"/>
      <c r="AN303" s="1665">
        <v>228242.92</v>
      </c>
      <c r="AO303" s="1665">
        <v>228242.92</v>
      </c>
      <c r="AP303" s="1665">
        <v>194006.48</v>
      </c>
      <c r="AQ303" s="1665">
        <v>194006.48</v>
      </c>
      <c r="AR303" s="1665">
        <v>0</v>
      </c>
      <c r="AS303" s="1665">
        <v>34236.44</v>
      </c>
      <c r="AT303" s="1665">
        <v>0</v>
      </c>
      <c r="AU303" s="1665">
        <v>34236.44</v>
      </c>
      <c r="AV303" s="1665">
        <v>0</v>
      </c>
      <c r="AW303" s="1665">
        <v>0</v>
      </c>
      <c r="AX303" s="1665">
        <v>0</v>
      </c>
      <c r="AY303" s="1665">
        <v>0</v>
      </c>
      <c r="AZ303" s="1665">
        <v>0</v>
      </c>
      <c r="BA303" s="1668"/>
      <c r="BB303" s="1668"/>
      <c r="BC303" s="1665">
        <v>0</v>
      </c>
      <c r="BD303" s="1665">
        <v>0</v>
      </c>
      <c r="BE303" s="1665">
        <v>228242.92</v>
      </c>
      <c r="BF303" s="1665">
        <v>228242.92</v>
      </c>
      <c r="BG303" s="1665">
        <v>194006.48</v>
      </c>
      <c r="BH303" s="1665">
        <v>194006.48</v>
      </c>
      <c r="BI303" s="1665">
        <v>0</v>
      </c>
      <c r="BJ303" s="1665">
        <v>34236.44</v>
      </c>
      <c r="BK303" s="1665">
        <v>0</v>
      </c>
      <c r="BL303" s="1665">
        <v>34236.44</v>
      </c>
      <c r="BM303" s="1665">
        <v>0</v>
      </c>
      <c r="BN303" s="1665">
        <v>0</v>
      </c>
      <c r="BO303" s="1668"/>
      <c r="BP303" s="1665">
        <v>228242.92</v>
      </c>
      <c r="BQ303" s="1665">
        <v>228242.92</v>
      </c>
      <c r="BR303" s="1665">
        <v>194006.48</v>
      </c>
      <c r="BS303" s="1667">
        <v>194006.48</v>
      </c>
      <c r="BT303" s="1665">
        <v>0</v>
      </c>
      <c r="BU303" s="1665">
        <v>34236.44</v>
      </c>
      <c r="BV303" s="1665">
        <v>0</v>
      </c>
      <c r="BW303" s="1665">
        <v>0</v>
      </c>
      <c r="BX303" s="1665">
        <v>0</v>
      </c>
      <c r="BY303" s="1665">
        <v>0</v>
      </c>
      <c r="BZ303" s="1665">
        <v>0</v>
      </c>
      <c r="CA303" s="1665">
        <v>0</v>
      </c>
      <c r="CB303" s="1668"/>
      <c r="CC303" s="1668"/>
      <c r="CD303" s="1665">
        <v>0</v>
      </c>
      <c r="CE303" s="1665">
        <v>0</v>
      </c>
      <c r="CF303" s="1665">
        <v>0</v>
      </c>
      <c r="CG303" s="1665">
        <v>0</v>
      </c>
      <c r="CH303" s="1665">
        <v>0</v>
      </c>
      <c r="CI303" s="1665">
        <v>0</v>
      </c>
      <c r="CJ303" s="1665">
        <v>0</v>
      </c>
      <c r="CK303" s="1665">
        <v>0</v>
      </c>
      <c r="CL303" s="1668"/>
      <c r="CM303" s="1665">
        <v>0</v>
      </c>
      <c r="CN303" s="1665">
        <v>0</v>
      </c>
      <c r="CO303" s="1665">
        <v>0</v>
      </c>
      <c r="CP303" s="1665">
        <v>0</v>
      </c>
      <c r="CQ303" s="1665">
        <v>0</v>
      </c>
      <c r="CR303" s="1665">
        <v>0</v>
      </c>
      <c r="CS303" s="1665">
        <v>0</v>
      </c>
      <c r="CT303" s="1665">
        <v>0</v>
      </c>
      <c r="CU303" s="1665">
        <v>0</v>
      </c>
      <c r="CV303" s="1665">
        <v>0</v>
      </c>
      <c r="CW303" s="1668"/>
      <c r="CX303" s="1665">
        <v>0</v>
      </c>
      <c r="CY303" s="1665">
        <v>0</v>
      </c>
      <c r="CZ303" s="1665">
        <v>0</v>
      </c>
      <c r="DA303" s="1665">
        <v>0</v>
      </c>
      <c r="DB303" s="1668"/>
      <c r="DC303" s="1662"/>
      <c r="DD303" s="1665">
        <v>0</v>
      </c>
      <c r="DE303" s="1665">
        <v>0</v>
      </c>
      <c r="DF303" s="1665">
        <v>0</v>
      </c>
      <c r="DG303" s="1665">
        <v>0</v>
      </c>
      <c r="DH303" s="1665">
        <v>0</v>
      </c>
    </row>
    <row r="304" spans="1:112" ht="45" hidden="1" x14ac:dyDescent="0.25">
      <c r="A304" s="1662" t="s">
        <v>2364</v>
      </c>
      <c r="B304" s="1662" t="s">
        <v>1727</v>
      </c>
      <c r="C304" s="1662" t="s">
        <v>2636</v>
      </c>
      <c r="D304" s="1662" t="s">
        <v>2639</v>
      </c>
      <c r="E304" s="1662" t="s">
        <v>2342</v>
      </c>
      <c r="F304" s="1662" t="s">
        <v>2638</v>
      </c>
      <c r="G304" s="1662" t="s">
        <v>2628</v>
      </c>
      <c r="H304" s="1662" t="s">
        <v>2613</v>
      </c>
      <c r="I304" s="1662" t="s">
        <v>739</v>
      </c>
      <c r="J304" s="1662" t="s">
        <v>238</v>
      </c>
      <c r="K304" s="1662" t="s">
        <v>2159</v>
      </c>
      <c r="L304" s="1662" t="s">
        <v>2109</v>
      </c>
      <c r="M304" s="1663"/>
      <c r="N304" s="1663"/>
      <c r="O304" s="1663"/>
      <c r="P304" s="1663"/>
      <c r="Q304" s="1663"/>
      <c r="R304" s="1663"/>
      <c r="S304" s="1663"/>
      <c r="T304" s="1663"/>
      <c r="U304" s="1663"/>
      <c r="V304" s="1663"/>
      <c r="W304" s="1663"/>
      <c r="X304" s="1663"/>
      <c r="Y304" s="1664">
        <v>42850</v>
      </c>
      <c r="Z304" s="1662" t="s">
        <v>2145</v>
      </c>
      <c r="AA304" s="1665">
        <v>0</v>
      </c>
      <c r="AB304" s="1665">
        <v>0</v>
      </c>
      <c r="AC304" s="1680">
        <v>0</v>
      </c>
      <c r="AD304" s="1682">
        <v>42859</v>
      </c>
      <c r="AE304" s="1679" t="s">
        <v>2128</v>
      </c>
      <c r="AF304" s="1662" t="s">
        <v>2112</v>
      </c>
      <c r="AG304" s="1666"/>
      <c r="AH304" s="1667">
        <v>18500</v>
      </c>
      <c r="AI304" s="1665">
        <v>18500</v>
      </c>
      <c r="AJ304" s="1665">
        <v>18500</v>
      </c>
      <c r="AK304" s="1698">
        <v>18500</v>
      </c>
      <c r="AL304" s="1665">
        <v>0</v>
      </c>
      <c r="AM304" s="1668"/>
      <c r="AN304" s="1665">
        <v>0</v>
      </c>
      <c r="AO304" s="1665">
        <v>0</v>
      </c>
      <c r="AP304" s="1665">
        <v>0</v>
      </c>
      <c r="AQ304" s="1665">
        <v>0</v>
      </c>
      <c r="AR304" s="1665">
        <v>0</v>
      </c>
      <c r="AS304" s="1665">
        <v>0</v>
      </c>
      <c r="AT304" s="1665">
        <v>0</v>
      </c>
      <c r="AU304" s="1665">
        <v>0</v>
      </c>
      <c r="AV304" s="1665">
        <v>0</v>
      </c>
      <c r="AW304" s="1665">
        <v>0</v>
      </c>
      <c r="AX304" s="1663"/>
      <c r="AY304" s="1663"/>
      <c r="AZ304" s="1663"/>
      <c r="BA304" s="1668"/>
      <c r="BB304" s="1668"/>
      <c r="BC304" s="1663"/>
      <c r="BD304" s="1663"/>
      <c r="BE304" s="1665">
        <v>0</v>
      </c>
      <c r="BF304" s="1665">
        <v>0</v>
      </c>
      <c r="BG304" s="1665">
        <v>0</v>
      </c>
      <c r="BH304" s="1665">
        <v>0</v>
      </c>
      <c r="BI304" s="1665">
        <v>0</v>
      </c>
      <c r="BJ304" s="1665">
        <v>0</v>
      </c>
      <c r="BK304" s="1665">
        <v>0</v>
      </c>
      <c r="BL304" s="1665">
        <v>0</v>
      </c>
      <c r="BM304" s="1665">
        <v>0</v>
      </c>
      <c r="BN304" s="1665">
        <v>0</v>
      </c>
      <c r="BO304" s="1668"/>
      <c r="BP304" s="1665">
        <v>0</v>
      </c>
      <c r="BQ304" s="1665">
        <v>0</v>
      </c>
      <c r="BR304" s="1665">
        <v>0</v>
      </c>
      <c r="BS304" s="1667">
        <v>0</v>
      </c>
      <c r="BT304" s="1665">
        <v>0</v>
      </c>
      <c r="BU304" s="1665">
        <v>0</v>
      </c>
      <c r="BV304" s="1665">
        <v>0</v>
      </c>
      <c r="BW304" s="1665">
        <v>0</v>
      </c>
      <c r="BX304" s="1665">
        <v>0</v>
      </c>
      <c r="BY304" s="1665">
        <v>0</v>
      </c>
      <c r="BZ304" s="1663"/>
      <c r="CA304" s="1663"/>
      <c r="CB304" s="1668"/>
      <c r="CC304" s="1668"/>
      <c r="CD304" s="1663"/>
      <c r="CE304" s="1663"/>
      <c r="CF304" s="1665">
        <v>0</v>
      </c>
      <c r="CG304" s="1665">
        <v>0</v>
      </c>
      <c r="CH304" s="1665">
        <v>0</v>
      </c>
      <c r="CI304" s="1665">
        <v>0</v>
      </c>
      <c r="CJ304" s="1665">
        <v>0</v>
      </c>
      <c r="CK304" s="1665">
        <v>0</v>
      </c>
      <c r="CL304" s="1668"/>
      <c r="CM304" s="1665">
        <v>0</v>
      </c>
      <c r="CN304" s="1665">
        <v>0</v>
      </c>
      <c r="CO304" s="1665">
        <v>0</v>
      </c>
      <c r="CP304" s="1665">
        <v>0</v>
      </c>
      <c r="CQ304" s="1665">
        <v>0</v>
      </c>
      <c r="CR304" s="1665">
        <v>0</v>
      </c>
      <c r="CS304" s="1665">
        <v>0</v>
      </c>
      <c r="CT304" s="1665">
        <v>0</v>
      </c>
      <c r="CU304" s="1665">
        <v>0</v>
      </c>
      <c r="CV304" s="1665">
        <v>0</v>
      </c>
      <c r="CW304" s="1668"/>
      <c r="CX304" s="1663"/>
      <c r="CY304" s="1663"/>
      <c r="CZ304" s="1663"/>
      <c r="DA304" s="1663"/>
      <c r="DB304" s="1668"/>
      <c r="DC304" s="1662"/>
      <c r="DD304" s="1665">
        <v>0</v>
      </c>
      <c r="DE304" s="1663"/>
      <c r="DF304" s="1663"/>
      <c r="DG304" s="1665">
        <v>0</v>
      </c>
      <c r="DH304" s="1665">
        <v>0</v>
      </c>
    </row>
    <row r="305" spans="1:112" ht="45" hidden="1" x14ac:dyDescent="0.25">
      <c r="A305" s="1662" t="s">
        <v>2365</v>
      </c>
      <c r="B305" s="1662" t="s">
        <v>1727</v>
      </c>
      <c r="C305" s="1662" t="s">
        <v>2636</v>
      </c>
      <c r="D305" s="1662" t="s">
        <v>2639</v>
      </c>
      <c r="E305" s="1662" t="s">
        <v>2342</v>
      </c>
      <c r="F305" s="1662" t="s">
        <v>2638</v>
      </c>
      <c r="G305" s="1662" t="s">
        <v>2628</v>
      </c>
      <c r="H305" s="1662" t="s">
        <v>2613</v>
      </c>
      <c r="I305" s="1662" t="s">
        <v>739</v>
      </c>
      <c r="J305" s="1662" t="s">
        <v>238</v>
      </c>
      <c r="K305" s="1662" t="s">
        <v>2159</v>
      </c>
      <c r="L305" s="1662" t="s">
        <v>2109</v>
      </c>
      <c r="M305" s="1663"/>
      <c r="N305" s="1663"/>
      <c r="O305" s="1663"/>
      <c r="P305" s="1663"/>
      <c r="Q305" s="1663"/>
      <c r="R305" s="1663"/>
      <c r="S305" s="1663"/>
      <c r="T305" s="1663"/>
      <c r="U305" s="1663"/>
      <c r="V305" s="1663"/>
      <c r="W305" s="1663"/>
      <c r="X305" s="1663"/>
      <c r="Y305" s="1664">
        <v>42926</v>
      </c>
      <c r="Z305" s="1662" t="s">
        <v>2110</v>
      </c>
      <c r="AA305" s="1665">
        <v>0</v>
      </c>
      <c r="AB305" s="1665">
        <v>0</v>
      </c>
      <c r="AC305" s="1680">
        <v>0</v>
      </c>
      <c r="AD305" s="1682">
        <v>42944</v>
      </c>
      <c r="AE305" s="1679" t="s">
        <v>2129</v>
      </c>
      <c r="AF305" s="1662" t="s">
        <v>2112</v>
      </c>
      <c r="AG305" s="1666"/>
      <c r="AH305" s="1667">
        <v>18406.560000000001</v>
      </c>
      <c r="AI305" s="1665">
        <v>18406.560000000001</v>
      </c>
      <c r="AJ305" s="1665">
        <v>15645.58</v>
      </c>
      <c r="AK305" s="1698">
        <v>15645.58</v>
      </c>
      <c r="AL305" s="1665">
        <v>0</v>
      </c>
      <c r="AM305" s="1664">
        <v>42944</v>
      </c>
      <c r="AN305" s="1665">
        <v>18406.560000000001</v>
      </c>
      <c r="AO305" s="1665">
        <v>18406.560000000001</v>
      </c>
      <c r="AP305" s="1665">
        <v>15645.58</v>
      </c>
      <c r="AQ305" s="1665">
        <v>15645.58</v>
      </c>
      <c r="AR305" s="1665">
        <v>0</v>
      </c>
      <c r="AS305" s="1665">
        <v>2760.98</v>
      </c>
      <c r="AT305" s="1665">
        <v>0</v>
      </c>
      <c r="AU305" s="1665">
        <v>2760.98</v>
      </c>
      <c r="AV305" s="1665">
        <v>0</v>
      </c>
      <c r="AW305" s="1665">
        <v>0</v>
      </c>
      <c r="AX305" s="1663"/>
      <c r="AY305" s="1663"/>
      <c r="AZ305" s="1663"/>
      <c r="BA305" s="1668"/>
      <c r="BB305" s="1668"/>
      <c r="BC305" s="1663"/>
      <c r="BD305" s="1663"/>
      <c r="BE305" s="1665">
        <v>18406.560000000001</v>
      </c>
      <c r="BF305" s="1665">
        <v>18406.560000000001</v>
      </c>
      <c r="BG305" s="1665">
        <v>15645.58</v>
      </c>
      <c r="BH305" s="1665">
        <v>15645.58</v>
      </c>
      <c r="BI305" s="1665">
        <v>0</v>
      </c>
      <c r="BJ305" s="1665">
        <v>2760.98</v>
      </c>
      <c r="BK305" s="1665">
        <v>0</v>
      </c>
      <c r="BL305" s="1665">
        <v>2760.98</v>
      </c>
      <c r="BM305" s="1665">
        <v>0</v>
      </c>
      <c r="BN305" s="1665">
        <v>0</v>
      </c>
      <c r="BO305" s="1664">
        <v>42993</v>
      </c>
      <c r="BP305" s="1665">
        <v>18406.560000000001</v>
      </c>
      <c r="BQ305" s="1665">
        <v>18406.560000000001</v>
      </c>
      <c r="BR305" s="1665">
        <v>15645.58</v>
      </c>
      <c r="BS305" s="1667">
        <v>15645.58</v>
      </c>
      <c r="BT305" s="1665">
        <v>0</v>
      </c>
      <c r="BU305" s="1665">
        <v>2760.98</v>
      </c>
      <c r="BV305" s="1665">
        <v>0</v>
      </c>
      <c r="BW305" s="1665">
        <v>0</v>
      </c>
      <c r="BX305" s="1665">
        <v>0</v>
      </c>
      <c r="BY305" s="1665">
        <v>0</v>
      </c>
      <c r="BZ305" s="1665">
        <v>0</v>
      </c>
      <c r="CA305" s="1663"/>
      <c r="CB305" s="1668"/>
      <c r="CC305" s="1668"/>
      <c r="CD305" s="1663"/>
      <c r="CE305" s="1663"/>
      <c r="CF305" s="1665">
        <v>0</v>
      </c>
      <c r="CG305" s="1665">
        <v>0</v>
      </c>
      <c r="CH305" s="1665">
        <v>0</v>
      </c>
      <c r="CI305" s="1665">
        <v>0</v>
      </c>
      <c r="CJ305" s="1665">
        <v>0</v>
      </c>
      <c r="CK305" s="1665">
        <v>0</v>
      </c>
      <c r="CL305" s="1668"/>
      <c r="CM305" s="1665">
        <v>0</v>
      </c>
      <c r="CN305" s="1665">
        <v>0</v>
      </c>
      <c r="CO305" s="1665">
        <v>0</v>
      </c>
      <c r="CP305" s="1665">
        <v>0</v>
      </c>
      <c r="CQ305" s="1665">
        <v>0</v>
      </c>
      <c r="CR305" s="1665">
        <v>0</v>
      </c>
      <c r="CS305" s="1665">
        <v>0</v>
      </c>
      <c r="CT305" s="1665">
        <v>0</v>
      </c>
      <c r="CU305" s="1665">
        <v>0</v>
      </c>
      <c r="CV305" s="1665">
        <v>0</v>
      </c>
      <c r="CW305" s="1668"/>
      <c r="CX305" s="1663"/>
      <c r="CY305" s="1663"/>
      <c r="CZ305" s="1663"/>
      <c r="DA305" s="1663"/>
      <c r="DB305" s="1668"/>
      <c r="DC305" s="1662"/>
      <c r="DD305" s="1665">
        <v>0</v>
      </c>
      <c r="DE305" s="1663"/>
      <c r="DF305" s="1663"/>
      <c r="DG305" s="1665">
        <v>0</v>
      </c>
      <c r="DH305" s="1665">
        <v>0</v>
      </c>
    </row>
    <row r="306" spans="1:112" ht="45" hidden="1" x14ac:dyDescent="0.25">
      <c r="A306" s="1662" t="s">
        <v>2366</v>
      </c>
      <c r="B306" s="1662" t="s">
        <v>1727</v>
      </c>
      <c r="C306" s="1662" t="s">
        <v>2636</v>
      </c>
      <c r="D306" s="1662" t="s">
        <v>2639</v>
      </c>
      <c r="E306" s="1662" t="s">
        <v>2342</v>
      </c>
      <c r="F306" s="1662" t="s">
        <v>2638</v>
      </c>
      <c r="G306" s="1662" t="s">
        <v>2628</v>
      </c>
      <c r="H306" s="1662" t="s">
        <v>2613</v>
      </c>
      <c r="I306" s="1662" t="s">
        <v>739</v>
      </c>
      <c r="J306" s="1662" t="s">
        <v>238</v>
      </c>
      <c r="K306" s="1662" t="s">
        <v>2159</v>
      </c>
      <c r="L306" s="1662" t="s">
        <v>2109</v>
      </c>
      <c r="M306" s="1663"/>
      <c r="N306" s="1663"/>
      <c r="O306" s="1663"/>
      <c r="P306" s="1663"/>
      <c r="Q306" s="1663"/>
      <c r="R306" s="1663"/>
      <c r="S306" s="1663"/>
      <c r="T306" s="1663"/>
      <c r="U306" s="1663"/>
      <c r="V306" s="1663"/>
      <c r="W306" s="1663"/>
      <c r="X306" s="1663"/>
      <c r="Y306" s="1664">
        <v>43074</v>
      </c>
      <c r="Z306" s="1662" t="s">
        <v>2145</v>
      </c>
      <c r="AA306" s="1665">
        <v>0</v>
      </c>
      <c r="AB306" s="1665">
        <v>0</v>
      </c>
      <c r="AC306" s="1680">
        <v>0</v>
      </c>
      <c r="AD306" s="1682">
        <v>43081</v>
      </c>
      <c r="AE306" s="1679" t="s">
        <v>2137</v>
      </c>
      <c r="AF306" s="1662" t="s">
        <v>2112</v>
      </c>
      <c r="AG306" s="1666"/>
      <c r="AH306" s="1667">
        <v>116800</v>
      </c>
      <c r="AI306" s="1665">
        <v>116800</v>
      </c>
      <c r="AJ306" s="1665">
        <v>116800</v>
      </c>
      <c r="AK306" s="1698">
        <v>116800</v>
      </c>
      <c r="AL306" s="1665">
        <v>0</v>
      </c>
      <c r="AM306" s="1668"/>
      <c r="AN306" s="1665">
        <v>0</v>
      </c>
      <c r="AO306" s="1665">
        <v>0</v>
      </c>
      <c r="AP306" s="1665">
        <v>0</v>
      </c>
      <c r="AQ306" s="1665">
        <v>0</v>
      </c>
      <c r="AR306" s="1665">
        <v>0</v>
      </c>
      <c r="AS306" s="1665">
        <v>0</v>
      </c>
      <c r="AT306" s="1665">
        <v>0</v>
      </c>
      <c r="AU306" s="1665">
        <v>0</v>
      </c>
      <c r="AV306" s="1665">
        <v>0</v>
      </c>
      <c r="AW306" s="1665">
        <v>0</v>
      </c>
      <c r="AX306" s="1663"/>
      <c r="AY306" s="1663"/>
      <c r="AZ306" s="1663"/>
      <c r="BA306" s="1668"/>
      <c r="BB306" s="1668"/>
      <c r="BC306" s="1663"/>
      <c r="BD306" s="1663"/>
      <c r="BE306" s="1665">
        <v>0</v>
      </c>
      <c r="BF306" s="1665">
        <v>0</v>
      </c>
      <c r="BG306" s="1665">
        <v>0</v>
      </c>
      <c r="BH306" s="1665">
        <v>0</v>
      </c>
      <c r="BI306" s="1665">
        <v>0</v>
      </c>
      <c r="BJ306" s="1665">
        <v>0</v>
      </c>
      <c r="BK306" s="1665">
        <v>0</v>
      </c>
      <c r="BL306" s="1665">
        <v>0</v>
      </c>
      <c r="BM306" s="1665">
        <v>0</v>
      </c>
      <c r="BN306" s="1665">
        <v>0</v>
      </c>
      <c r="BO306" s="1668"/>
      <c r="BP306" s="1665">
        <v>0</v>
      </c>
      <c r="BQ306" s="1665">
        <v>0</v>
      </c>
      <c r="BR306" s="1665">
        <v>0</v>
      </c>
      <c r="BS306" s="1667">
        <v>0</v>
      </c>
      <c r="BT306" s="1665">
        <v>0</v>
      </c>
      <c r="BU306" s="1665">
        <v>0</v>
      </c>
      <c r="BV306" s="1665">
        <v>0</v>
      </c>
      <c r="BW306" s="1665">
        <v>0</v>
      </c>
      <c r="BX306" s="1665">
        <v>0</v>
      </c>
      <c r="BY306" s="1665">
        <v>0</v>
      </c>
      <c r="BZ306" s="1663"/>
      <c r="CA306" s="1663"/>
      <c r="CB306" s="1668"/>
      <c r="CC306" s="1668"/>
      <c r="CD306" s="1663"/>
      <c r="CE306" s="1663"/>
      <c r="CF306" s="1665">
        <v>0</v>
      </c>
      <c r="CG306" s="1665">
        <v>0</v>
      </c>
      <c r="CH306" s="1665">
        <v>0</v>
      </c>
      <c r="CI306" s="1665">
        <v>0</v>
      </c>
      <c r="CJ306" s="1665">
        <v>0</v>
      </c>
      <c r="CK306" s="1665">
        <v>0</v>
      </c>
      <c r="CL306" s="1668"/>
      <c r="CM306" s="1665">
        <v>0</v>
      </c>
      <c r="CN306" s="1665">
        <v>0</v>
      </c>
      <c r="CO306" s="1665">
        <v>0</v>
      </c>
      <c r="CP306" s="1665">
        <v>0</v>
      </c>
      <c r="CQ306" s="1665">
        <v>0</v>
      </c>
      <c r="CR306" s="1665">
        <v>0</v>
      </c>
      <c r="CS306" s="1665">
        <v>0</v>
      </c>
      <c r="CT306" s="1665">
        <v>0</v>
      </c>
      <c r="CU306" s="1665">
        <v>0</v>
      </c>
      <c r="CV306" s="1665">
        <v>0</v>
      </c>
      <c r="CW306" s="1668"/>
      <c r="CX306" s="1663"/>
      <c r="CY306" s="1663"/>
      <c r="CZ306" s="1663"/>
      <c r="DA306" s="1663"/>
      <c r="DB306" s="1668"/>
      <c r="DC306" s="1662"/>
      <c r="DD306" s="1665">
        <v>0</v>
      </c>
      <c r="DE306" s="1663"/>
      <c r="DF306" s="1663"/>
      <c r="DG306" s="1665">
        <v>0</v>
      </c>
      <c r="DH306" s="1665">
        <v>0</v>
      </c>
    </row>
    <row r="307" spans="1:112" ht="45" hidden="1" x14ac:dyDescent="0.25">
      <c r="A307" s="1662" t="s">
        <v>2367</v>
      </c>
      <c r="B307" s="1662" t="s">
        <v>1727</v>
      </c>
      <c r="C307" s="1662" t="s">
        <v>2636</v>
      </c>
      <c r="D307" s="1662" t="s">
        <v>2639</v>
      </c>
      <c r="E307" s="1662" t="s">
        <v>2342</v>
      </c>
      <c r="F307" s="1662" t="s">
        <v>2638</v>
      </c>
      <c r="G307" s="1662" t="s">
        <v>2628</v>
      </c>
      <c r="H307" s="1662" t="s">
        <v>2613</v>
      </c>
      <c r="I307" s="1662" t="s">
        <v>739</v>
      </c>
      <c r="J307" s="1662" t="s">
        <v>238</v>
      </c>
      <c r="K307" s="1662" t="s">
        <v>2159</v>
      </c>
      <c r="L307" s="1662" t="s">
        <v>2109</v>
      </c>
      <c r="M307" s="1663"/>
      <c r="N307" s="1663"/>
      <c r="O307" s="1663"/>
      <c r="P307" s="1663"/>
      <c r="Q307" s="1663"/>
      <c r="R307" s="1663"/>
      <c r="S307" s="1663"/>
      <c r="T307" s="1663"/>
      <c r="U307" s="1663"/>
      <c r="V307" s="1663"/>
      <c r="W307" s="1663"/>
      <c r="X307" s="1663"/>
      <c r="Y307" s="1664">
        <v>43118</v>
      </c>
      <c r="Z307" s="1662" t="s">
        <v>2110</v>
      </c>
      <c r="AA307" s="1665">
        <v>0</v>
      </c>
      <c r="AB307" s="1665">
        <v>0</v>
      </c>
      <c r="AC307" s="1680">
        <v>0</v>
      </c>
      <c r="AD307" s="1682">
        <v>43154</v>
      </c>
      <c r="AE307" s="1679" t="s">
        <v>2131</v>
      </c>
      <c r="AF307" s="1662" t="s">
        <v>2112</v>
      </c>
      <c r="AG307" s="1666"/>
      <c r="AH307" s="1667">
        <v>93481.93</v>
      </c>
      <c r="AI307" s="1665">
        <v>93481.93</v>
      </c>
      <c r="AJ307" s="1665">
        <v>79459.64</v>
      </c>
      <c r="AK307" s="1698">
        <v>79459.64</v>
      </c>
      <c r="AL307" s="1665">
        <v>0</v>
      </c>
      <c r="AM307" s="1664">
        <v>43154</v>
      </c>
      <c r="AN307" s="1665">
        <v>93481.93</v>
      </c>
      <c r="AO307" s="1665">
        <v>93481.93</v>
      </c>
      <c r="AP307" s="1665">
        <v>79459.64</v>
      </c>
      <c r="AQ307" s="1665">
        <v>79459.64</v>
      </c>
      <c r="AR307" s="1665">
        <v>0</v>
      </c>
      <c r="AS307" s="1665">
        <v>14022.29</v>
      </c>
      <c r="AT307" s="1665">
        <v>0</v>
      </c>
      <c r="AU307" s="1665">
        <v>14022.29</v>
      </c>
      <c r="AV307" s="1665">
        <v>0</v>
      </c>
      <c r="AW307" s="1665">
        <v>0</v>
      </c>
      <c r="AX307" s="1663"/>
      <c r="AY307" s="1663"/>
      <c r="AZ307" s="1663"/>
      <c r="BA307" s="1668"/>
      <c r="BB307" s="1668"/>
      <c r="BC307" s="1663"/>
      <c r="BD307" s="1663"/>
      <c r="BE307" s="1665">
        <v>93481.93</v>
      </c>
      <c r="BF307" s="1665">
        <v>93481.93</v>
      </c>
      <c r="BG307" s="1665">
        <v>79459.64</v>
      </c>
      <c r="BH307" s="1665">
        <v>79459.64</v>
      </c>
      <c r="BI307" s="1665">
        <v>0</v>
      </c>
      <c r="BJ307" s="1665">
        <v>14022.29</v>
      </c>
      <c r="BK307" s="1665">
        <v>0</v>
      </c>
      <c r="BL307" s="1665">
        <v>14022.29</v>
      </c>
      <c r="BM307" s="1665">
        <v>0</v>
      </c>
      <c r="BN307" s="1665">
        <v>0</v>
      </c>
      <c r="BO307" s="1664">
        <v>43236</v>
      </c>
      <c r="BP307" s="1665">
        <v>93481.93</v>
      </c>
      <c r="BQ307" s="1665">
        <v>93481.93</v>
      </c>
      <c r="BR307" s="1665">
        <v>79459.64</v>
      </c>
      <c r="BS307" s="1667">
        <v>79459.64</v>
      </c>
      <c r="BT307" s="1665">
        <v>0</v>
      </c>
      <c r="BU307" s="1665">
        <v>14022.29</v>
      </c>
      <c r="BV307" s="1665">
        <v>0</v>
      </c>
      <c r="BW307" s="1665">
        <v>0</v>
      </c>
      <c r="BX307" s="1665">
        <v>0</v>
      </c>
      <c r="BY307" s="1665">
        <v>0</v>
      </c>
      <c r="BZ307" s="1665">
        <v>0</v>
      </c>
      <c r="CA307" s="1663"/>
      <c r="CB307" s="1668"/>
      <c r="CC307" s="1668"/>
      <c r="CD307" s="1663"/>
      <c r="CE307" s="1663"/>
      <c r="CF307" s="1665">
        <v>0</v>
      </c>
      <c r="CG307" s="1665">
        <v>0</v>
      </c>
      <c r="CH307" s="1665">
        <v>0</v>
      </c>
      <c r="CI307" s="1665">
        <v>0</v>
      </c>
      <c r="CJ307" s="1665">
        <v>0</v>
      </c>
      <c r="CK307" s="1665">
        <v>0</v>
      </c>
      <c r="CL307" s="1668"/>
      <c r="CM307" s="1665">
        <v>0</v>
      </c>
      <c r="CN307" s="1665">
        <v>0</v>
      </c>
      <c r="CO307" s="1665">
        <v>0</v>
      </c>
      <c r="CP307" s="1665">
        <v>0</v>
      </c>
      <c r="CQ307" s="1665">
        <v>0</v>
      </c>
      <c r="CR307" s="1665">
        <v>0</v>
      </c>
      <c r="CS307" s="1665">
        <v>0</v>
      </c>
      <c r="CT307" s="1665">
        <v>0</v>
      </c>
      <c r="CU307" s="1665">
        <v>0</v>
      </c>
      <c r="CV307" s="1665">
        <v>0</v>
      </c>
      <c r="CW307" s="1668"/>
      <c r="CX307" s="1663"/>
      <c r="CY307" s="1663"/>
      <c r="CZ307" s="1663"/>
      <c r="DA307" s="1663"/>
      <c r="DB307" s="1668"/>
      <c r="DC307" s="1662"/>
      <c r="DD307" s="1665">
        <v>0</v>
      </c>
      <c r="DE307" s="1663"/>
      <c r="DF307" s="1663"/>
      <c r="DG307" s="1665">
        <v>0</v>
      </c>
      <c r="DH307" s="1665">
        <v>0</v>
      </c>
    </row>
    <row r="308" spans="1:112" ht="45" hidden="1" x14ac:dyDescent="0.25">
      <c r="A308" s="1662" t="s">
        <v>2368</v>
      </c>
      <c r="B308" s="1662" t="s">
        <v>1727</v>
      </c>
      <c r="C308" s="1662" t="s">
        <v>2636</v>
      </c>
      <c r="D308" s="1662" t="s">
        <v>2639</v>
      </c>
      <c r="E308" s="1662" t="s">
        <v>2342</v>
      </c>
      <c r="F308" s="1662" t="s">
        <v>2638</v>
      </c>
      <c r="G308" s="1662" t="s">
        <v>2628</v>
      </c>
      <c r="H308" s="1662" t="s">
        <v>2613</v>
      </c>
      <c r="I308" s="1662" t="s">
        <v>739</v>
      </c>
      <c r="J308" s="1662" t="s">
        <v>238</v>
      </c>
      <c r="K308" s="1662" t="s">
        <v>2159</v>
      </c>
      <c r="L308" s="1662" t="s">
        <v>2109</v>
      </c>
      <c r="M308" s="1663"/>
      <c r="N308" s="1663"/>
      <c r="O308" s="1663"/>
      <c r="P308" s="1663"/>
      <c r="Q308" s="1663"/>
      <c r="R308" s="1663"/>
      <c r="S308" s="1663"/>
      <c r="T308" s="1663"/>
      <c r="U308" s="1663"/>
      <c r="V308" s="1663"/>
      <c r="W308" s="1663"/>
      <c r="X308" s="1663"/>
      <c r="Y308" s="1664">
        <v>43217</v>
      </c>
      <c r="Z308" s="1662" t="s">
        <v>2110</v>
      </c>
      <c r="AA308" s="1665">
        <v>0</v>
      </c>
      <c r="AB308" s="1665">
        <v>0</v>
      </c>
      <c r="AC308" s="1680">
        <v>0</v>
      </c>
      <c r="AD308" s="1682">
        <v>43245</v>
      </c>
      <c r="AE308" s="1679" t="s">
        <v>2132</v>
      </c>
      <c r="AF308" s="1662" t="s">
        <v>2112</v>
      </c>
      <c r="AG308" s="1666"/>
      <c r="AH308" s="1667">
        <v>116354.43</v>
      </c>
      <c r="AI308" s="1665">
        <v>116354.43</v>
      </c>
      <c r="AJ308" s="1665">
        <v>98901.26</v>
      </c>
      <c r="AK308" s="1698">
        <v>98901.26</v>
      </c>
      <c r="AL308" s="1665">
        <v>0</v>
      </c>
      <c r="AM308" s="1664">
        <v>43245</v>
      </c>
      <c r="AN308" s="1665">
        <v>116354.43</v>
      </c>
      <c r="AO308" s="1665">
        <v>116354.43</v>
      </c>
      <c r="AP308" s="1665">
        <v>98901.26</v>
      </c>
      <c r="AQ308" s="1665">
        <v>98901.26</v>
      </c>
      <c r="AR308" s="1665">
        <v>0</v>
      </c>
      <c r="AS308" s="1665">
        <v>17453.169999999998</v>
      </c>
      <c r="AT308" s="1665">
        <v>0</v>
      </c>
      <c r="AU308" s="1665">
        <v>17453.169999999998</v>
      </c>
      <c r="AV308" s="1665">
        <v>0</v>
      </c>
      <c r="AW308" s="1665">
        <v>0</v>
      </c>
      <c r="AX308" s="1663"/>
      <c r="AY308" s="1663"/>
      <c r="AZ308" s="1663"/>
      <c r="BA308" s="1668"/>
      <c r="BB308" s="1668"/>
      <c r="BC308" s="1663"/>
      <c r="BD308" s="1663"/>
      <c r="BE308" s="1665">
        <v>116354.43</v>
      </c>
      <c r="BF308" s="1665">
        <v>116354.43</v>
      </c>
      <c r="BG308" s="1665">
        <v>98901.26</v>
      </c>
      <c r="BH308" s="1665">
        <v>98901.26</v>
      </c>
      <c r="BI308" s="1665">
        <v>0</v>
      </c>
      <c r="BJ308" s="1665">
        <v>17453.169999999998</v>
      </c>
      <c r="BK308" s="1665">
        <v>0</v>
      </c>
      <c r="BL308" s="1665">
        <v>17453.169999999998</v>
      </c>
      <c r="BM308" s="1665">
        <v>0</v>
      </c>
      <c r="BN308" s="1665">
        <v>0</v>
      </c>
      <c r="BO308" s="1664">
        <v>43364</v>
      </c>
      <c r="BP308" s="1665">
        <v>116354.43</v>
      </c>
      <c r="BQ308" s="1665">
        <v>116354.43</v>
      </c>
      <c r="BR308" s="1665">
        <v>98901.26</v>
      </c>
      <c r="BS308" s="1667">
        <v>98901.26</v>
      </c>
      <c r="BT308" s="1665">
        <v>0</v>
      </c>
      <c r="BU308" s="1665">
        <v>17453.169999999998</v>
      </c>
      <c r="BV308" s="1665">
        <v>0</v>
      </c>
      <c r="BW308" s="1665">
        <v>0</v>
      </c>
      <c r="BX308" s="1665">
        <v>0</v>
      </c>
      <c r="BY308" s="1665">
        <v>0</v>
      </c>
      <c r="BZ308" s="1665">
        <v>0</v>
      </c>
      <c r="CA308" s="1663"/>
      <c r="CB308" s="1668"/>
      <c r="CC308" s="1668"/>
      <c r="CD308" s="1663"/>
      <c r="CE308" s="1663"/>
      <c r="CF308" s="1665">
        <v>0</v>
      </c>
      <c r="CG308" s="1665">
        <v>0</v>
      </c>
      <c r="CH308" s="1665">
        <v>0</v>
      </c>
      <c r="CI308" s="1665">
        <v>0</v>
      </c>
      <c r="CJ308" s="1665">
        <v>0</v>
      </c>
      <c r="CK308" s="1665">
        <v>0</v>
      </c>
      <c r="CL308" s="1668"/>
      <c r="CM308" s="1665">
        <v>0</v>
      </c>
      <c r="CN308" s="1665">
        <v>0</v>
      </c>
      <c r="CO308" s="1665">
        <v>0</v>
      </c>
      <c r="CP308" s="1665">
        <v>0</v>
      </c>
      <c r="CQ308" s="1665">
        <v>0</v>
      </c>
      <c r="CR308" s="1665">
        <v>0</v>
      </c>
      <c r="CS308" s="1665">
        <v>0</v>
      </c>
      <c r="CT308" s="1665">
        <v>0</v>
      </c>
      <c r="CU308" s="1665">
        <v>0</v>
      </c>
      <c r="CV308" s="1665">
        <v>0</v>
      </c>
      <c r="CW308" s="1668"/>
      <c r="CX308" s="1663"/>
      <c r="CY308" s="1663"/>
      <c r="CZ308" s="1663"/>
      <c r="DA308" s="1663"/>
      <c r="DB308" s="1668"/>
      <c r="DC308" s="1662"/>
      <c r="DD308" s="1665">
        <v>0</v>
      </c>
      <c r="DE308" s="1663"/>
      <c r="DF308" s="1663"/>
      <c r="DG308" s="1665">
        <v>0</v>
      </c>
      <c r="DH308" s="1665">
        <v>0</v>
      </c>
    </row>
    <row r="309" spans="1:112" ht="33.75" hidden="1" x14ac:dyDescent="0.25">
      <c r="A309" s="1662" t="s">
        <v>2369</v>
      </c>
      <c r="B309" s="1662" t="s">
        <v>1727</v>
      </c>
      <c r="C309" s="1662" t="s">
        <v>2636</v>
      </c>
      <c r="D309" s="1662" t="s">
        <v>2639</v>
      </c>
      <c r="E309" s="1662" t="s">
        <v>2342</v>
      </c>
      <c r="F309" s="1662" t="s">
        <v>2638</v>
      </c>
      <c r="G309" s="1662" t="s">
        <v>2628</v>
      </c>
      <c r="H309" s="1662" t="s">
        <v>2613</v>
      </c>
      <c r="I309" s="1662" t="s">
        <v>740</v>
      </c>
      <c r="J309" s="1662" t="s">
        <v>283</v>
      </c>
      <c r="K309" s="1662" t="s">
        <v>2117</v>
      </c>
      <c r="L309" s="1662" t="s">
        <v>2109</v>
      </c>
      <c r="M309" s="1665">
        <v>368599</v>
      </c>
      <c r="N309" s="1665">
        <v>0</v>
      </c>
      <c r="O309" s="1665">
        <v>368599</v>
      </c>
      <c r="P309" s="1665">
        <v>368599</v>
      </c>
      <c r="Q309" s="1665">
        <v>313012</v>
      </c>
      <c r="R309" s="1665">
        <v>313012</v>
      </c>
      <c r="S309" s="1665">
        <v>0</v>
      </c>
      <c r="T309" s="1665">
        <v>55587</v>
      </c>
      <c r="U309" s="1665">
        <v>0</v>
      </c>
      <c r="V309" s="1665">
        <v>55587</v>
      </c>
      <c r="W309" s="1665">
        <v>0</v>
      </c>
      <c r="X309" s="1665">
        <v>0</v>
      </c>
      <c r="Y309" s="1668"/>
      <c r="Z309" s="1662"/>
      <c r="AA309" s="1665">
        <v>0</v>
      </c>
      <c r="AB309" s="1665">
        <v>0</v>
      </c>
      <c r="AC309" s="1680">
        <v>0</v>
      </c>
      <c r="AD309" s="1681"/>
      <c r="AE309" s="1679"/>
      <c r="AF309" s="1662"/>
      <c r="AG309" s="1666"/>
      <c r="AH309" s="1667">
        <v>160182.35</v>
      </c>
      <c r="AI309" s="1665">
        <v>160182.35</v>
      </c>
      <c r="AJ309" s="1665">
        <v>147714.85</v>
      </c>
      <c r="AK309" s="1698">
        <v>147714.85</v>
      </c>
      <c r="AL309" s="1665">
        <v>0</v>
      </c>
      <c r="AM309" s="1668"/>
      <c r="AN309" s="1665">
        <v>82672.350000000006</v>
      </c>
      <c r="AO309" s="1665">
        <v>82672.350000000006</v>
      </c>
      <c r="AP309" s="1665">
        <v>70204.850000000006</v>
      </c>
      <c r="AQ309" s="1665">
        <v>70204.850000000006</v>
      </c>
      <c r="AR309" s="1665">
        <v>0</v>
      </c>
      <c r="AS309" s="1665">
        <v>12467.5</v>
      </c>
      <c r="AT309" s="1665">
        <v>0</v>
      </c>
      <c r="AU309" s="1665">
        <v>12467.5</v>
      </c>
      <c r="AV309" s="1665">
        <v>0</v>
      </c>
      <c r="AW309" s="1665">
        <v>0</v>
      </c>
      <c r="AX309" s="1665">
        <v>0</v>
      </c>
      <c r="AY309" s="1665">
        <v>0</v>
      </c>
      <c r="AZ309" s="1665">
        <v>0</v>
      </c>
      <c r="BA309" s="1668"/>
      <c r="BB309" s="1668"/>
      <c r="BC309" s="1665">
        <v>0</v>
      </c>
      <c r="BD309" s="1665">
        <v>0</v>
      </c>
      <c r="BE309" s="1665">
        <v>82672.350000000006</v>
      </c>
      <c r="BF309" s="1665">
        <v>82672.350000000006</v>
      </c>
      <c r="BG309" s="1665">
        <v>70204.850000000006</v>
      </c>
      <c r="BH309" s="1665">
        <v>70204.850000000006</v>
      </c>
      <c r="BI309" s="1665">
        <v>0</v>
      </c>
      <c r="BJ309" s="1665">
        <v>12467.5</v>
      </c>
      <c r="BK309" s="1665">
        <v>0</v>
      </c>
      <c r="BL309" s="1665">
        <v>12467.5</v>
      </c>
      <c r="BM309" s="1665">
        <v>0</v>
      </c>
      <c r="BN309" s="1665">
        <v>0</v>
      </c>
      <c r="BO309" s="1668"/>
      <c r="BP309" s="1665">
        <v>80978.070000000007</v>
      </c>
      <c r="BQ309" s="1665">
        <v>80978.070000000007</v>
      </c>
      <c r="BR309" s="1665">
        <v>68766.080000000002</v>
      </c>
      <c r="BS309" s="1667">
        <v>68766.080000000002</v>
      </c>
      <c r="BT309" s="1665">
        <v>0</v>
      </c>
      <c r="BU309" s="1665">
        <v>12211.99</v>
      </c>
      <c r="BV309" s="1665">
        <v>0</v>
      </c>
      <c r="BW309" s="1665">
        <v>734.28</v>
      </c>
      <c r="BX309" s="1665">
        <v>0</v>
      </c>
      <c r="BY309" s="1665">
        <v>0</v>
      </c>
      <c r="BZ309" s="1665">
        <v>0</v>
      </c>
      <c r="CA309" s="1665">
        <v>0</v>
      </c>
      <c r="CB309" s="1668"/>
      <c r="CC309" s="1668"/>
      <c r="CD309" s="1665">
        <v>0</v>
      </c>
      <c r="CE309" s="1665">
        <v>0</v>
      </c>
      <c r="CF309" s="1665">
        <v>0</v>
      </c>
      <c r="CG309" s="1665">
        <v>0</v>
      </c>
      <c r="CH309" s="1665">
        <v>0</v>
      </c>
      <c r="CI309" s="1665">
        <v>0</v>
      </c>
      <c r="CJ309" s="1665">
        <v>881.07</v>
      </c>
      <c r="CK309" s="1665">
        <v>881.07</v>
      </c>
      <c r="CL309" s="1668"/>
      <c r="CM309" s="1665">
        <v>4869</v>
      </c>
      <c r="CN309" s="1665">
        <v>4869</v>
      </c>
      <c r="CO309" s="1665">
        <v>4134.72</v>
      </c>
      <c r="CP309" s="1665">
        <v>4134.72</v>
      </c>
      <c r="CQ309" s="1665">
        <v>0</v>
      </c>
      <c r="CR309" s="1665">
        <v>734.28</v>
      </c>
      <c r="CS309" s="1665">
        <v>0</v>
      </c>
      <c r="CT309" s="1665">
        <v>734.28</v>
      </c>
      <c r="CU309" s="1665">
        <v>0</v>
      </c>
      <c r="CV309" s="1665">
        <v>0</v>
      </c>
      <c r="CW309" s="1668"/>
      <c r="CX309" s="1665">
        <v>0</v>
      </c>
      <c r="CY309" s="1665">
        <v>0</v>
      </c>
      <c r="CZ309" s="1665">
        <v>4869</v>
      </c>
      <c r="DA309" s="1665">
        <v>4869</v>
      </c>
      <c r="DB309" s="1668"/>
      <c r="DC309" s="1662"/>
      <c r="DD309" s="1665">
        <v>0</v>
      </c>
      <c r="DE309" s="1665">
        <v>0</v>
      </c>
      <c r="DF309" s="1665">
        <v>0</v>
      </c>
      <c r="DG309" s="1665">
        <v>0</v>
      </c>
      <c r="DH309" s="1665">
        <v>0</v>
      </c>
    </row>
    <row r="310" spans="1:112" ht="33.75" hidden="1" x14ac:dyDescent="0.25">
      <c r="A310" s="1662" t="s">
        <v>2370</v>
      </c>
      <c r="B310" s="1662" t="s">
        <v>1727</v>
      </c>
      <c r="C310" s="1662" t="s">
        <v>2636</v>
      </c>
      <c r="D310" s="1662" t="s">
        <v>2639</v>
      </c>
      <c r="E310" s="1662" t="s">
        <v>2342</v>
      </c>
      <c r="F310" s="1662" t="s">
        <v>2638</v>
      </c>
      <c r="G310" s="1662" t="s">
        <v>2628</v>
      </c>
      <c r="H310" s="1662" t="s">
        <v>2613</v>
      </c>
      <c r="I310" s="1662" t="s">
        <v>740</v>
      </c>
      <c r="J310" s="1662" t="s">
        <v>283</v>
      </c>
      <c r="K310" s="1662" t="s">
        <v>2117</v>
      </c>
      <c r="L310" s="1662" t="s">
        <v>2109</v>
      </c>
      <c r="M310" s="1663"/>
      <c r="N310" s="1663"/>
      <c r="O310" s="1663"/>
      <c r="P310" s="1663"/>
      <c r="Q310" s="1663"/>
      <c r="R310" s="1663"/>
      <c r="S310" s="1663"/>
      <c r="T310" s="1663"/>
      <c r="U310" s="1663"/>
      <c r="V310" s="1663"/>
      <c r="W310" s="1663"/>
      <c r="X310" s="1663"/>
      <c r="Y310" s="1664">
        <v>42689</v>
      </c>
      <c r="Z310" s="1662" t="s">
        <v>2110</v>
      </c>
      <c r="AA310" s="1665">
        <v>0</v>
      </c>
      <c r="AB310" s="1665">
        <v>0</v>
      </c>
      <c r="AC310" s="1680">
        <v>0</v>
      </c>
      <c r="AD310" s="1682">
        <v>42703</v>
      </c>
      <c r="AE310" s="1679" t="s">
        <v>2122</v>
      </c>
      <c r="AF310" s="1662" t="s">
        <v>2112</v>
      </c>
      <c r="AG310" s="1666"/>
      <c r="AH310" s="1667">
        <v>4869</v>
      </c>
      <c r="AI310" s="1665">
        <v>4869</v>
      </c>
      <c r="AJ310" s="1665">
        <v>4134.72</v>
      </c>
      <c r="AK310" s="1698">
        <v>4134.72</v>
      </c>
      <c r="AL310" s="1665">
        <v>0</v>
      </c>
      <c r="AM310" s="1664">
        <v>42703</v>
      </c>
      <c r="AN310" s="1665">
        <v>4869</v>
      </c>
      <c r="AO310" s="1665">
        <v>4869</v>
      </c>
      <c r="AP310" s="1665">
        <v>4134.72</v>
      </c>
      <c r="AQ310" s="1665">
        <v>4134.72</v>
      </c>
      <c r="AR310" s="1665">
        <v>0</v>
      </c>
      <c r="AS310" s="1665">
        <v>734.28</v>
      </c>
      <c r="AT310" s="1665">
        <v>0</v>
      </c>
      <c r="AU310" s="1665">
        <v>734.28</v>
      </c>
      <c r="AV310" s="1665">
        <v>0</v>
      </c>
      <c r="AW310" s="1665">
        <v>0</v>
      </c>
      <c r="AX310" s="1663"/>
      <c r="AY310" s="1663"/>
      <c r="AZ310" s="1663"/>
      <c r="BA310" s="1668"/>
      <c r="BB310" s="1668"/>
      <c r="BC310" s="1663"/>
      <c r="BD310" s="1663"/>
      <c r="BE310" s="1665">
        <v>4869</v>
      </c>
      <c r="BF310" s="1665">
        <v>4869</v>
      </c>
      <c r="BG310" s="1665">
        <v>4134.72</v>
      </c>
      <c r="BH310" s="1665">
        <v>4134.72</v>
      </c>
      <c r="BI310" s="1665">
        <v>0</v>
      </c>
      <c r="BJ310" s="1665">
        <v>734.28</v>
      </c>
      <c r="BK310" s="1665">
        <v>0</v>
      </c>
      <c r="BL310" s="1665">
        <v>734.28</v>
      </c>
      <c r="BM310" s="1665">
        <v>0</v>
      </c>
      <c r="BN310" s="1665">
        <v>0</v>
      </c>
      <c r="BO310" s="1664">
        <v>42755</v>
      </c>
      <c r="BP310" s="1665">
        <v>4869</v>
      </c>
      <c r="BQ310" s="1665">
        <v>4869</v>
      </c>
      <c r="BR310" s="1665">
        <v>4134.72</v>
      </c>
      <c r="BS310" s="1667">
        <v>4134.72</v>
      </c>
      <c r="BT310" s="1665">
        <v>0</v>
      </c>
      <c r="BU310" s="1665">
        <v>734.28</v>
      </c>
      <c r="BV310" s="1665">
        <v>0</v>
      </c>
      <c r="BW310" s="1665">
        <v>734.28</v>
      </c>
      <c r="BX310" s="1665">
        <v>0</v>
      </c>
      <c r="BY310" s="1665">
        <v>0</v>
      </c>
      <c r="BZ310" s="1665">
        <v>0</v>
      </c>
      <c r="CA310" s="1663"/>
      <c r="CB310" s="1668"/>
      <c r="CC310" s="1668"/>
      <c r="CD310" s="1663"/>
      <c r="CE310" s="1663"/>
      <c r="CF310" s="1665">
        <v>0</v>
      </c>
      <c r="CG310" s="1665">
        <v>0</v>
      </c>
      <c r="CH310" s="1665">
        <v>0</v>
      </c>
      <c r="CI310" s="1665">
        <v>0</v>
      </c>
      <c r="CJ310" s="1665">
        <v>0</v>
      </c>
      <c r="CK310" s="1665">
        <v>0</v>
      </c>
      <c r="CL310" s="1664">
        <v>43144</v>
      </c>
      <c r="CM310" s="1665">
        <v>4869</v>
      </c>
      <c r="CN310" s="1665">
        <v>4869</v>
      </c>
      <c r="CO310" s="1665">
        <v>4134.72</v>
      </c>
      <c r="CP310" s="1665">
        <v>4134.72</v>
      </c>
      <c r="CQ310" s="1665">
        <v>0</v>
      </c>
      <c r="CR310" s="1665">
        <v>734.28</v>
      </c>
      <c r="CS310" s="1665">
        <v>0</v>
      </c>
      <c r="CT310" s="1665">
        <v>734.28</v>
      </c>
      <c r="CU310" s="1665">
        <v>0</v>
      </c>
      <c r="CV310" s="1665">
        <v>0</v>
      </c>
      <c r="CW310" s="1668"/>
      <c r="CX310" s="1663"/>
      <c r="CY310" s="1663"/>
      <c r="CZ310" s="1663"/>
      <c r="DA310" s="1663"/>
      <c r="DB310" s="1668"/>
      <c r="DC310" s="1662"/>
      <c r="DD310" s="1665">
        <v>0</v>
      </c>
      <c r="DE310" s="1663"/>
      <c r="DF310" s="1663"/>
      <c r="DG310" s="1665">
        <v>0</v>
      </c>
      <c r="DH310" s="1665">
        <v>0</v>
      </c>
    </row>
    <row r="311" spans="1:112" ht="33.75" hidden="1" x14ac:dyDescent="0.25">
      <c r="A311" s="1662" t="s">
        <v>2371</v>
      </c>
      <c r="B311" s="1662" t="s">
        <v>1727</v>
      </c>
      <c r="C311" s="1662" t="s">
        <v>2636</v>
      </c>
      <c r="D311" s="1662" t="s">
        <v>2639</v>
      </c>
      <c r="E311" s="1662" t="s">
        <v>2342</v>
      </c>
      <c r="F311" s="1662" t="s">
        <v>2638</v>
      </c>
      <c r="G311" s="1662" t="s">
        <v>2628</v>
      </c>
      <c r="H311" s="1662" t="s">
        <v>2613</v>
      </c>
      <c r="I311" s="1662" t="s">
        <v>740</v>
      </c>
      <c r="J311" s="1662" t="s">
        <v>283</v>
      </c>
      <c r="K311" s="1662" t="s">
        <v>2117</v>
      </c>
      <c r="L311" s="1662" t="s">
        <v>2109</v>
      </c>
      <c r="M311" s="1663"/>
      <c r="N311" s="1663"/>
      <c r="O311" s="1663"/>
      <c r="P311" s="1663"/>
      <c r="Q311" s="1663"/>
      <c r="R311" s="1663"/>
      <c r="S311" s="1663"/>
      <c r="T311" s="1663"/>
      <c r="U311" s="1663"/>
      <c r="V311" s="1663"/>
      <c r="W311" s="1663"/>
      <c r="X311" s="1663"/>
      <c r="Y311" s="1664">
        <v>42865</v>
      </c>
      <c r="Z311" s="1662" t="s">
        <v>2110</v>
      </c>
      <c r="AA311" s="1665">
        <v>0</v>
      </c>
      <c r="AB311" s="1665">
        <v>0</v>
      </c>
      <c r="AC311" s="1680">
        <v>0</v>
      </c>
      <c r="AD311" s="1682">
        <v>42873</v>
      </c>
      <c r="AE311" s="1679" t="s">
        <v>2114</v>
      </c>
      <c r="AF311" s="1662" t="s">
        <v>2112</v>
      </c>
      <c r="AG311" s="1666"/>
      <c r="AH311" s="1667">
        <v>53.56</v>
      </c>
      <c r="AI311" s="1665">
        <v>53.56</v>
      </c>
      <c r="AJ311" s="1665">
        <v>45.49</v>
      </c>
      <c r="AK311" s="1698">
        <v>45.49</v>
      </c>
      <c r="AL311" s="1665">
        <v>0</v>
      </c>
      <c r="AM311" s="1664">
        <v>42873</v>
      </c>
      <c r="AN311" s="1665">
        <v>53.56</v>
      </c>
      <c r="AO311" s="1665">
        <v>53.56</v>
      </c>
      <c r="AP311" s="1665">
        <v>45.49</v>
      </c>
      <c r="AQ311" s="1665">
        <v>45.49</v>
      </c>
      <c r="AR311" s="1665">
        <v>0</v>
      </c>
      <c r="AS311" s="1665">
        <v>8.07</v>
      </c>
      <c r="AT311" s="1665">
        <v>0</v>
      </c>
      <c r="AU311" s="1665">
        <v>8.07</v>
      </c>
      <c r="AV311" s="1665">
        <v>0</v>
      </c>
      <c r="AW311" s="1665">
        <v>0</v>
      </c>
      <c r="AX311" s="1663"/>
      <c r="AY311" s="1663"/>
      <c r="AZ311" s="1663"/>
      <c r="BA311" s="1668"/>
      <c r="BB311" s="1668"/>
      <c r="BC311" s="1663"/>
      <c r="BD311" s="1663"/>
      <c r="BE311" s="1665">
        <v>53.56</v>
      </c>
      <c r="BF311" s="1665">
        <v>53.56</v>
      </c>
      <c r="BG311" s="1665">
        <v>45.49</v>
      </c>
      <c r="BH311" s="1665">
        <v>45.49</v>
      </c>
      <c r="BI311" s="1665">
        <v>0</v>
      </c>
      <c r="BJ311" s="1665">
        <v>8.07</v>
      </c>
      <c r="BK311" s="1665">
        <v>0</v>
      </c>
      <c r="BL311" s="1665">
        <v>8.07</v>
      </c>
      <c r="BM311" s="1665">
        <v>0</v>
      </c>
      <c r="BN311" s="1665">
        <v>0</v>
      </c>
      <c r="BO311" s="1664">
        <v>43039</v>
      </c>
      <c r="BP311" s="1665">
        <v>53.56</v>
      </c>
      <c r="BQ311" s="1665">
        <v>53.56</v>
      </c>
      <c r="BR311" s="1665">
        <v>45.49</v>
      </c>
      <c r="BS311" s="1667">
        <v>45.49</v>
      </c>
      <c r="BT311" s="1665">
        <v>0</v>
      </c>
      <c r="BU311" s="1665">
        <v>8.07</v>
      </c>
      <c r="BV311" s="1665">
        <v>0</v>
      </c>
      <c r="BW311" s="1665">
        <v>0</v>
      </c>
      <c r="BX311" s="1665">
        <v>0</v>
      </c>
      <c r="BY311" s="1665">
        <v>0</v>
      </c>
      <c r="BZ311" s="1665">
        <v>0</v>
      </c>
      <c r="CA311" s="1663"/>
      <c r="CB311" s="1668"/>
      <c r="CC311" s="1668"/>
      <c r="CD311" s="1663"/>
      <c r="CE311" s="1663"/>
      <c r="CF311" s="1665">
        <v>0</v>
      </c>
      <c r="CG311" s="1665">
        <v>0</v>
      </c>
      <c r="CH311" s="1665">
        <v>0</v>
      </c>
      <c r="CI311" s="1665">
        <v>0</v>
      </c>
      <c r="CJ311" s="1665">
        <v>53.56</v>
      </c>
      <c r="CK311" s="1665">
        <v>53.56</v>
      </c>
      <c r="CL311" s="1668"/>
      <c r="CM311" s="1665">
        <v>0</v>
      </c>
      <c r="CN311" s="1665">
        <v>0</v>
      </c>
      <c r="CO311" s="1665">
        <v>0</v>
      </c>
      <c r="CP311" s="1665">
        <v>0</v>
      </c>
      <c r="CQ311" s="1665">
        <v>0</v>
      </c>
      <c r="CR311" s="1665">
        <v>0</v>
      </c>
      <c r="CS311" s="1665">
        <v>0</v>
      </c>
      <c r="CT311" s="1665">
        <v>0</v>
      </c>
      <c r="CU311" s="1665">
        <v>0</v>
      </c>
      <c r="CV311" s="1665">
        <v>0</v>
      </c>
      <c r="CW311" s="1668"/>
      <c r="CX311" s="1663"/>
      <c r="CY311" s="1663"/>
      <c r="CZ311" s="1663"/>
      <c r="DA311" s="1663"/>
      <c r="DB311" s="1668"/>
      <c r="DC311" s="1662"/>
      <c r="DD311" s="1665">
        <v>0</v>
      </c>
      <c r="DE311" s="1663"/>
      <c r="DF311" s="1663"/>
      <c r="DG311" s="1665">
        <v>0</v>
      </c>
      <c r="DH311" s="1665">
        <v>0</v>
      </c>
    </row>
    <row r="312" spans="1:112" ht="33.75" hidden="1" x14ac:dyDescent="0.25">
      <c r="A312" s="1662" t="s">
        <v>2372</v>
      </c>
      <c r="B312" s="1662" t="s">
        <v>1727</v>
      </c>
      <c r="C312" s="1662" t="s">
        <v>2636</v>
      </c>
      <c r="D312" s="1662" t="s">
        <v>2639</v>
      </c>
      <c r="E312" s="1662" t="s">
        <v>2342</v>
      </c>
      <c r="F312" s="1662" t="s">
        <v>2638</v>
      </c>
      <c r="G312" s="1662" t="s">
        <v>2628</v>
      </c>
      <c r="H312" s="1662" t="s">
        <v>2613</v>
      </c>
      <c r="I312" s="1662" t="s">
        <v>740</v>
      </c>
      <c r="J312" s="1662" t="s">
        <v>283</v>
      </c>
      <c r="K312" s="1662" t="s">
        <v>2117</v>
      </c>
      <c r="L312" s="1662" t="s">
        <v>2109</v>
      </c>
      <c r="M312" s="1663"/>
      <c r="N312" s="1663"/>
      <c r="O312" s="1663"/>
      <c r="P312" s="1663"/>
      <c r="Q312" s="1663"/>
      <c r="R312" s="1663"/>
      <c r="S312" s="1663"/>
      <c r="T312" s="1663"/>
      <c r="U312" s="1663"/>
      <c r="V312" s="1663"/>
      <c r="W312" s="1663"/>
      <c r="X312" s="1663"/>
      <c r="Y312" s="1664">
        <v>42919</v>
      </c>
      <c r="Z312" s="1662" t="s">
        <v>2145</v>
      </c>
      <c r="AA312" s="1665">
        <v>0</v>
      </c>
      <c r="AB312" s="1665">
        <v>0</v>
      </c>
      <c r="AC312" s="1680">
        <v>0</v>
      </c>
      <c r="AD312" s="1682">
        <v>42926</v>
      </c>
      <c r="AE312" s="1679" t="s">
        <v>2128</v>
      </c>
      <c r="AF312" s="1662" t="s">
        <v>2112</v>
      </c>
      <c r="AG312" s="1666"/>
      <c r="AH312" s="1667">
        <v>0</v>
      </c>
      <c r="AI312" s="1665">
        <v>0</v>
      </c>
      <c r="AJ312" s="1665">
        <v>0</v>
      </c>
      <c r="AK312" s="1698">
        <v>0</v>
      </c>
      <c r="AL312" s="1665">
        <v>0</v>
      </c>
      <c r="AM312" s="1668"/>
      <c r="AN312" s="1665">
        <v>0</v>
      </c>
      <c r="AO312" s="1665">
        <v>0</v>
      </c>
      <c r="AP312" s="1665">
        <v>0</v>
      </c>
      <c r="AQ312" s="1665">
        <v>0</v>
      </c>
      <c r="AR312" s="1665">
        <v>0</v>
      </c>
      <c r="AS312" s="1665">
        <v>0</v>
      </c>
      <c r="AT312" s="1665">
        <v>0</v>
      </c>
      <c r="AU312" s="1665">
        <v>0</v>
      </c>
      <c r="AV312" s="1665">
        <v>0</v>
      </c>
      <c r="AW312" s="1665">
        <v>0</v>
      </c>
      <c r="AX312" s="1663"/>
      <c r="AY312" s="1663"/>
      <c r="AZ312" s="1663"/>
      <c r="BA312" s="1668"/>
      <c r="BB312" s="1668"/>
      <c r="BC312" s="1663"/>
      <c r="BD312" s="1663"/>
      <c r="BE312" s="1665">
        <v>0</v>
      </c>
      <c r="BF312" s="1665">
        <v>0</v>
      </c>
      <c r="BG312" s="1665">
        <v>0</v>
      </c>
      <c r="BH312" s="1665">
        <v>0</v>
      </c>
      <c r="BI312" s="1665">
        <v>0</v>
      </c>
      <c r="BJ312" s="1665">
        <v>0</v>
      </c>
      <c r="BK312" s="1665">
        <v>0</v>
      </c>
      <c r="BL312" s="1665">
        <v>0</v>
      </c>
      <c r="BM312" s="1665">
        <v>0</v>
      </c>
      <c r="BN312" s="1665">
        <v>0</v>
      </c>
      <c r="BO312" s="1668"/>
      <c r="BP312" s="1665">
        <v>0</v>
      </c>
      <c r="BQ312" s="1665">
        <v>0</v>
      </c>
      <c r="BR312" s="1665">
        <v>0</v>
      </c>
      <c r="BS312" s="1667">
        <v>0</v>
      </c>
      <c r="BT312" s="1665">
        <v>0</v>
      </c>
      <c r="BU312" s="1665">
        <v>0</v>
      </c>
      <c r="BV312" s="1665">
        <v>0</v>
      </c>
      <c r="BW312" s="1665">
        <v>0</v>
      </c>
      <c r="BX312" s="1665">
        <v>0</v>
      </c>
      <c r="BY312" s="1665">
        <v>0</v>
      </c>
      <c r="BZ312" s="1663"/>
      <c r="CA312" s="1663"/>
      <c r="CB312" s="1668"/>
      <c r="CC312" s="1668"/>
      <c r="CD312" s="1663"/>
      <c r="CE312" s="1663"/>
      <c r="CF312" s="1665">
        <v>0</v>
      </c>
      <c r="CG312" s="1665">
        <v>0</v>
      </c>
      <c r="CH312" s="1665">
        <v>0</v>
      </c>
      <c r="CI312" s="1665">
        <v>0</v>
      </c>
      <c r="CJ312" s="1665">
        <v>0</v>
      </c>
      <c r="CK312" s="1665">
        <v>0</v>
      </c>
      <c r="CL312" s="1668"/>
      <c r="CM312" s="1665">
        <v>0</v>
      </c>
      <c r="CN312" s="1665">
        <v>0</v>
      </c>
      <c r="CO312" s="1665">
        <v>0</v>
      </c>
      <c r="CP312" s="1665">
        <v>0</v>
      </c>
      <c r="CQ312" s="1665">
        <v>0</v>
      </c>
      <c r="CR312" s="1665">
        <v>0</v>
      </c>
      <c r="CS312" s="1665">
        <v>0</v>
      </c>
      <c r="CT312" s="1665">
        <v>0</v>
      </c>
      <c r="CU312" s="1665">
        <v>0</v>
      </c>
      <c r="CV312" s="1665">
        <v>0</v>
      </c>
      <c r="CW312" s="1668"/>
      <c r="CX312" s="1663"/>
      <c r="CY312" s="1663"/>
      <c r="CZ312" s="1663"/>
      <c r="DA312" s="1663"/>
      <c r="DB312" s="1668"/>
      <c r="DC312" s="1662"/>
      <c r="DD312" s="1665">
        <v>0</v>
      </c>
      <c r="DE312" s="1663"/>
      <c r="DF312" s="1663"/>
      <c r="DG312" s="1665">
        <v>0</v>
      </c>
      <c r="DH312" s="1665">
        <v>0</v>
      </c>
    </row>
    <row r="313" spans="1:112" ht="33.75" hidden="1" x14ac:dyDescent="0.25">
      <c r="A313" s="1662" t="s">
        <v>2373</v>
      </c>
      <c r="B313" s="1662" t="s">
        <v>1727</v>
      </c>
      <c r="C313" s="1662" t="s">
        <v>2636</v>
      </c>
      <c r="D313" s="1662" t="s">
        <v>2639</v>
      </c>
      <c r="E313" s="1662" t="s">
        <v>2342</v>
      </c>
      <c r="F313" s="1662" t="s">
        <v>2638</v>
      </c>
      <c r="G313" s="1662" t="s">
        <v>2628</v>
      </c>
      <c r="H313" s="1662" t="s">
        <v>2613</v>
      </c>
      <c r="I313" s="1662" t="s">
        <v>740</v>
      </c>
      <c r="J313" s="1662" t="s">
        <v>283</v>
      </c>
      <c r="K313" s="1662" t="s">
        <v>2117</v>
      </c>
      <c r="L313" s="1662" t="s">
        <v>2109</v>
      </c>
      <c r="M313" s="1663"/>
      <c r="N313" s="1663"/>
      <c r="O313" s="1663"/>
      <c r="P313" s="1663"/>
      <c r="Q313" s="1663"/>
      <c r="R313" s="1663"/>
      <c r="S313" s="1663"/>
      <c r="T313" s="1663"/>
      <c r="U313" s="1663"/>
      <c r="V313" s="1663"/>
      <c r="W313" s="1663"/>
      <c r="X313" s="1663"/>
      <c r="Y313" s="1664">
        <v>42954</v>
      </c>
      <c r="Z313" s="1662" t="s">
        <v>2110</v>
      </c>
      <c r="AA313" s="1665">
        <v>0</v>
      </c>
      <c r="AB313" s="1665">
        <v>0</v>
      </c>
      <c r="AC313" s="1680">
        <v>0</v>
      </c>
      <c r="AD313" s="1682">
        <v>42971</v>
      </c>
      <c r="AE313" s="1679" t="s">
        <v>2129</v>
      </c>
      <c r="AF313" s="1662" t="s">
        <v>2115</v>
      </c>
      <c r="AG313" s="1666"/>
      <c r="AH313" s="1667">
        <v>500</v>
      </c>
      <c r="AI313" s="1665">
        <v>500</v>
      </c>
      <c r="AJ313" s="1665">
        <v>424.59</v>
      </c>
      <c r="AK313" s="1698">
        <v>424.59</v>
      </c>
      <c r="AL313" s="1665">
        <v>0</v>
      </c>
      <c r="AM313" s="1664">
        <v>42976</v>
      </c>
      <c r="AN313" s="1665">
        <v>500</v>
      </c>
      <c r="AO313" s="1665">
        <v>500</v>
      </c>
      <c r="AP313" s="1665">
        <v>424.59</v>
      </c>
      <c r="AQ313" s="1665">
        <v>424.59</v>
      </c>
      <c r="AR313" s="1665">
        <v>0</v>
      </c>
      <c r="AS313" s="1665">
        <v>75.41</v>
      </c>
      <c r="AT313" s="1665">
        <v>0</v>
      </c>
      <c r="AU313" s="1665">
        <v>75.41</v>
      </c>
      <c r="AV313" s="1665">
        <v>0</v>
      </c>
      <c r="AW313" s="1665">
        <v>0</v>
      </c>
      <c r="AX313" s="1663"/>
      <c r="AY313" s="1663"/>
      <c r="AZ313" s="1663"/>
      <c r="BA313" s="1668"/>
      <c r="BB313" s="1668"/>
      <c r="BC313" s="1663"/>
      <c r="BD313" s="1663"/>
      <c r="BE313" s="1665">
        <v>500</v>
      </c>
      <c r="BF313" s="1665">
        <v>500</v>
      </c>
      <c r="BG313" s="1665">
        <v>424.59</v>
      </c>
      <c r="BH313" s="1665">
        <v>424.59</v>
      </c>
      <c r="BI313" s="1665">
        <v>0</v>
      </c>
      <c r="BJ313" s="1665">
        <v>75.41</v>
      </c>
      <c r="BK313" s="1665">
        <v>0</v>
      </c>
      <c r="BL313" s="1665">
        <v>75.41</v>
      </c>
      <c r="BM313" s="1665">
        <v>0</v>
      </c>
      <c r="BN313" s="1665">
        <v>0</v>
      </c>
      <c r="BO313" s="1664">
        <v>43039</v>
      </c>
      <c r="BP313" s="1665">
        <v>500</v>
      </c>
      <c r="BQ313" s="1665">
        <v>500</v>
      </c>
      <c r="BR313" s="1665">
        <v>424.59</v>
      </c>
      <c r="BS313" s="1667">
        <v>424.59</v>
      </c>
      <c r="BT313" s="1665">
        <v>0</v>
      </c>
      <c r="BU313" s="1665">
        <v>75.41</v>
      </c>
      <c r="BV313" s="1665">
        <v>0</v>
      </c>
      <c r="BW313" s="1665">
        <v>0</v>
      </c>
      <c r="BX313" s="1665">
        <v>0</v>
      </c>
      <c r="BY313" s="1665">
        <v>0</v>
      </c>
      <c r="BZ313" s="1665">
        <v>0</v>
      </c>
      <c r="CA313" s="1663"/>
      <c r="CB313" s="1668"/>
      <c r="CC313" s="1668"/>
      <c r="CD313" s="1663"/>
      <c r="CE313" s="1663"/>
      <c r="CF313" s="1665">
        <v>0</v>
      </c>
      <c r="CG313" s="1665">
        <v>0</v>
      </c>
      <c r="CH313" s="1665">
        <v>0</v>
      </c>
      <c r="CI313" s="1665">
        <v>0</v>
      </c>
      <c r="CJ313" s="1665">
        <v>0</v>
      </c>
      <c r="CK313" s="1665">
        <v>0</v>
      </c>
      <c r="CL313" s="1668"/>
      <c r="CM313" s="1665">
        <v>0</v>
      </c>
      <c r="CN313" s="1665">
        <v>0</v>
      </c>
      <c r="CO313" s="1665">
        <v>0</v>
      </c>
      <c r="CP313" s="1665">
        <v>0</v>
      </c>
      <c r="CQ313" s="1665">
        <v>0</v>
      </c>
      <c r="CR313" s="1665">
        <v>0</v>
      </c>
      <c r="CS313" s="1665">
        <v>0</v>
      </c>
      <c r="CT313" s="1665">
        <v>0</v>
      </c>
      <c r="CU313" s="1665">
        <v>0</v>
      </c>
      <c r="CV313" s="1665">
        <v>0</v>
      </c>
      <c r="CW313" s="1668"/>
      <c r="CX313" s="1663"/>
      <c r="CY313" s="1663"/>
      <c r="CZ313" s="1663"/>
      <c r="DA313" s="1663"/>
      <c r="DB313" s="1668"/>
      <c r="DC313" s="1662"/>
      <c r="DD313" s="1665">
        <v>0</v>
      </c>
      <c r="DE313" s="1663"/>
      <c r="DF313" s="1663"/>
      <c r="DG313" s="1665">
        <v>0</v>
      </c>
      <c r="DH313" s="1665">
        <v>0</v>
      </c>
    </row>
    <row r="314" spans="1:112" ht="33.75" hidden="1" x14ac:dyDescent="0.25">
      <c r="A314" s="1662" t="s">
        <v>2374</v>
      </c>
      <c r="B314" s="1662" t="s">
        <v>1727</v>
      </c>
      <c r="C314" s="1662" t="s">
        <v>2636</v>
      </c>
      <c r="D314" s="1662" t="s">
        <v>2639</v>
      </c>
      <c r="E314" s="1662" t="s">
        <v>2342</v>
      </c>
      <c r="F314" s="1662" t="s">
        <v>2638</v>
      </c>
      <c r="G314" s="1662" t="s">
        <v>2628</v>
      </c>
      <c r="H314" s="1662" t="s">
        <v>2613</v>
      </c>
      <c r="I314" s="1662" t="s">
        <v>740</v>
      </c>
      <c r="J314" s="1662" t="s">
        <v>283</v>
      </c>
      <c r="K314" s="1662" t="s">
        <v>2117</v>
      </c>
      <c r="L314" s="1662" t="s">
        <v>2109</v>
      </c>
      <c r="M314" s="1663"/>
      <c r="N314" s="1663"/>
      <c r="O314" s="1663"/>
      <c r="P314" s="1663"/>
      <c r="Q314" s="1663"/>
      <c r="R314" s="1663"/>
      <c r="S314" s="1663"/>
      <c r="T314" s="1663"/>
      <c r="U314" s="1663"/>
      <c r="V314" s="1663"/>
      <c r="W314" s="1663"/>
      <c r="X314" s="1663"/>
      <c r="Y314" s="1664">
        <v>42991</v>
      </c>
      <c r="Z314" s="1662" t="s">
        <v>2145</v>
      </c>
      <c r="AA314" s="1665">
        <v>0</v>
      </c>
      <c r="AB314" s="1665">
        <v>0</v>
      </c>
      <c r="AC314" s="1680">
        <v>0</v>
      </c>
      <c r="AD314" s="1682">
        <v>42999</v>
      </c>
      <c r="AE314" s="1679" t="s">
        <v>2130</v>
      </c>
      <c r="AF314" s="1662" t="s">
        <v>2112</v>
      </c>
      <c r="AG314" s="1666"/>
      <c r="AH314" s="1667">
        <v>77510</v>
      </c>
      <c r="AI314" s="1665">
        <v>77510</v>
      </c>
      <c r="AJ314" s="1665">
        <v>77510</v>
      </c>
      <c r="AK314" s="1698">
        <v>77510</v>
      </c>
      <c r="AL314" s="1665">
        <v>0</v>
      </c>
      <c r="AM314" s="1668"/>
      <c r="AN314" s="1665">
        <v>0</v>
      </c>
      <c r="AO314" s="1665">
        <v>0</v>
      </c>
      <c r="AP314" s="1665">
        <v>0</v>
      </c>
      <c r="AQ314" s="1665">
        <v>0</v>
      </c>
      <c r="AR314" s="1665">
        <v>0</v>
      </c>
      <c r="AS314" s="1665">
        <v>0</v>
      </c>
      <c r="AT314" s="1665">
        <v>0</v>
      </c>
      <c r="AU314" s="1665">
        <v>0</v>
      </c>
      <c r="AV314" s="1665">
        <v>0</v>
      </c>
      <c r="AW314" s="1665">
        <v>0</v>
      </c>
      <c r="AX314" s="1663"/>
      <c r="AY314" s="1663"/>
      <c r="AZ314" s="1663"/>
      <c r="BA314" s="1668"/>
      <c r="BB314" s="1668"/>
      <c r="BC314" s="1663"/>
      <c r="BD314" s="1663"/>
      <c r="BE314" s="1665">
        <v>0</v>
      </c>
      <c r="BF314" s="1665">
        <v>0</v>
      </c>
      <c r="BG314" s="1665">
        <v>0</v>
      </c>
      <c r="BH314" s="1665">
        <v>0</v>
      </c>
      <c r="BI314" s="1665">
        <v>0</v>
      </c>
      <c r="BJ314" s="1665">
        <v>0</v>
      </c>
      <c r="BK314" s="1665">
        <v>0</v>
      </c>
      <c r="BL314" s="1665">
        <v>0</v>
      </c>
      <c r="BM314" s="1665">
        <v>0</v>
      </c>
      <c r="BN314" s="1665">
        <v>0</v>
      </c>
      <c r="BO314" s="1668"/>
      <c r="BP314" s="1665">
        <v>0</v>
      </c>
      <c r="BQ314" s="1665">
        <v>0</v>
      </c>
      <c r="BR314" s="1665">
        <v>0</v>
      </c>
      <c r="BS314" s="1667">
        <v>0</v>
      </c>
      <c r="BT314" s="1665">
        <v>0</v>
      </c>
      <c r="BU314" s="1665">
        <v>0</v>
      </c>
      <c r="BV314" s="1665">
        <v>0</v>
      </c>
      <c r="BW314" s="1665">
        <v>0</v>
      </c>
      <c r="BX314" s="1665">
        <v>0</v>
      </c>
      <c r="BY314" s="1665">
        <v>0</v>
      </c>
      <c r="BZ314" s="1663"/>
      <c r="CA314" s="1663"/>
      <c r="CB314" s="1668"/>
      <c r="CC314" s="1668"/>
      <c r="CD314" s="1663"/>
      <c r="CE314" s="1663"/>
      <c r="CF314" s="1665">
        <v>0</v>
      </c>
      <c r="CG314" s="1665">
        <v>0</v>
      </c>
      <c r="CH314" s="1665">
        <v>0</v>
      </c>
      <c r="CI314" s="1665">
        <v>0</v>
      </c>
      <c r="CJ314" s="1665">
        <v>0</v>
      </c>
      <c r="CK314" s="1665">
        <v>0</v>
      </c>
      <c r="CL314" s="1668"/>
      <c r="CM314" s="1665">
        <v>0</v>
      </c>
      <c r="CN314" s="1665">
        <v>0</v>
      </c>
      <c r="CO314" s="1665">
        <v>0</v>
      </c>
      <c r="CP314" s="1665">
        <v>0</v>
      </c>
      <c r="CQ314" s="1665">
        <v>0</v>
      </c>
      <c r="CR314" s="1665">
        <v>0</v>
      </c>
      <c r="CS314" s="1665">
        <v>0</v>
      </c>
      <c r="CT314" s="1665">
        <v>0</v>
      </c>
      <c r="CU314" s="1665">
        <v>0</v>
      </c>
      <c r="CV314" s="1665">
        <v>0</v>
      </c>
      <c r="CW314" s="1668"/>
      <c r="CX314" s="1663"/>
      <c r="CY314" s="1663"/>
      <c r="CZ314" s="1663"/>
      <c r="DA314" s="1663"/>
      <c r="DB314" s="1668"/>
      <c r="DC314" s="1662"/>
      <c r="DD314" s="1665">
        <v>0</v>
      </c>
      <c r="DE314" s="1663"/>
      <c r="DF314" s="1663"/>
      <c r="DG314" s="1665">
        <v>0</v>
      </c>
      <c r="DH314" s="1665">
        <v>0</v>
      </c>
    </row>
    <row r="315" spans="1:112" ht="33.75" hidden="1" x14ac:dyDescent="0.25">
      <c r="A315" s="1662" t="s">
        <v>2375</v>
      </c>
      <c r="B315" s="1662" t="s">
        <v>1727</v>
      </c>
      <c r="C315" s="1662" t="s">
        <v>2636</v>
      </c>
      <c r="D315" s="1662" t="s">
        <v>2639</v>
      </c>
      <c r="E315" s="1662" t="s">
        <v>2342</v>
      </c>
      <c r="F315" s="1662" t="s">
        <v>2638</v>
      </c>
      <c r="G315" s="1662" t="s">
        <v>2628</v>
      </c>
      <c r="H315" s="1662" t="s">
        <v>2613</v>
      </c>
      <c r="I315" s="1662" t="s">
        <v>740</v>
      </c>
      <c r="J315" s="1662" t="s">
        <v>283</v>
      </c>
      <c r="K315" s="1662" t="s">
        <v>2117</v>
      </c>
      <c r="L315" s="1662" t="s">
        <v>2109</v>
      </c>
      <c r="M315" s="1663"/>
      <c r="N315" s="1663"/>
      <c r="O315" s="1663"/>
      <c r="P315" s="1663"/>
      <c r="Q315" s="1663"/>
      <c r="R315" s="1663"/>
      <c r="S315" s="1663"/>
      <c r="T315" s="1663"/>
      <c r="U315" s="1663"/>
      <c r="V315" s="1663"/>
      <c r="W315" s="1663"/>
      <c r="X315" s="1663"/>
      <c r="Y315" s="1664">
        <v>43042</v>
      </c>
      <c r="Z315" s="1662" t="s">
        <v>2110</v>
      </c>
      <c r="AA315" s="1665">
        <v>0</v>
      </c>
      <c r="AB315" s="1665">
        <v>0</v>
      </c>
      <c r="AC315" s="1680">
        <v>0</v>
      </c>
      <c r="AD315" s="1682">
        <v>43070</v>
      </c>
      <c r="AE315" s="1679" t="s">
        <v>2137</v>
      </c>
      <c r="AF315" s="1662" t="s">
        <v>2115</v>
      </c>
      <c r="AG315" s="1666"/>
      <c r="AH315" s="1667">
        <v>773.43</v>
      </c>
      <c r="AI315" s="1665">
        <v>773.43</v>
      </c>
      <c r="AJ315" s="1665">
        <v>656.8</v>
      </c>
      <c r="AK315" s="1698">
        <v>656.8</v>
      </c>
      <c r="AL315" s="1665">
        <v>0</v>
      </c>
      <c r="AM315" s="1664">
        <v>43074</v>
      </c>
      <c r="AN315" s="1665">
        <v>773.43</v>
      </c>
      <c r="AO315" s="1665">
        <v>773.43</v>
      </c>
      <c r="AP315" s="1665">
        <v>656.8</v>
      </c>
      <c r="AQ315" s="1665">
        <v>656.8</v>
      </c>
      <c r="AR315" s="1665">
        <v>0</v>
      </c>
      <c r="AS315" s="1665">
        <v>116.63</v>
      </c>
      <c r="AT315" s="1665">
        <v>0</v>
      </c>
      <c r="AU315" s="1665">
        <v>116.63</v>
      </c>
      <c r="AV315" s="1665">
        <v>0</v>
      </c>
      <c r="AW315" s="1665">
        <v>0</v>
      </c>
      <c r="AX315" s="1663"/>
      <c r="AY315" s="1663"/>
      <c r="AZ315" s="1663"/>
      <c r="BA315" s="1668"/>
      <c r="BB315" s="1668"/>
      <c r="BC315" s="1663"/>
      <c r="BD315" s="1663"/>
      <c r="BE315" s="1665">
        <v>773.43</v>
      </c>
      <c r="BF315" s="1665">
        <v>773.43</v>
      </c>
      <c r="BG315" s="1665">
        <v>656.8</v>
      </c>
      <c r="BH315" s="1665">
        <v>656.8</v>
      </c>
      <c r="BI315" s="1665">
        <v>0</v>
      </c>
      <c r="BJ315" s="1665">
        <v>116.63</v>
      </c>
      <c r="BK315" s="1665">
        <v>0</v>
      </c>
      <c r="BL315" s="1665">
        <v>116.63</v>
      </c>
      <c r="BM315" s="1665">
        <v>0</v>
      </c>
      <c r="BN315" s="1665">
        <v>0</v>
      </c>
      <c r="BO315" s="1664">
        <v>43206</v>
      </c>
      <c r="BP315" s="1665">
        <v>773.43</v>
      </c>
      <c r="BQ315" s="1665">
        <v>773.43</v>
      </c>
      <c r="BR315" s="1665">
        <v>656.8</v>
      </c>
      <c r="BS315" s="1667">
        <v>656.8</v>
      </c>
      <c r="BT315" s="1665">
        <v>0</v>
      </c>
      <c r="BU315" s="1665">
        <v>116.63</v>
      </c>
      <c r="BV315" s="1665">
        <v>0</v>
      </c>
      <c r="BW315" s="1665">
        <v>0</v>
      </c>
      <c r="BX315" s="1665">
        <v>0</v>
      </c>
      <c r="BY315" s="1665">
        <v>0</v>
      </c>
      <c r="BZ315" s="1665">
        <v>0</v>
      </c>
      <c r="CA315" s="1663"/>
      <c r="CB315" s="1668"/>
      <c r="CC315" s="1668"/>
      <c r="CD315" s="1663"/>
      <c r="CE315" s="1663"/>
      <c r="CF315" s="1665">
        <v>0</v>
      </c>
      <c r="CG315" s="1665">
        <v>0</v>
      </c>
      <c r="CH315" s="1665">
        <v>0</v>
      </c>
      <c r="CI315" s="1665">
        <v>0</v>
      </c>
      <c r="CJ315" s="1665">
        <v>0</v>
      </c>
      <c r="CK315" s="1665">
        <v>0</v>
      </c>
      <c r="CL315" s="1668"/>
      <c r="CM315" s="1665">
        <v>0</v>
      </c>
      <c r="CN315" s="1665">
        <v>0</v>
      </c>
      <c r="CO315" s="1665">
        <v>0</v>
      </c>
      <c r="CP315" s="1665">
        <v>0</v>
      </c>
      <c r="CQ315" s="1665">
        <v>0</v>
      </c>
      <c r="CR315" s="1665">
        <v>0</v>
      </c>
      <c r="CS315" s="1665">
        <v>0</v>
      </c>
      <c r="CT315" s="1665">
        <v>0</v>
      </c>
      <c r="CU315" s="1665">
        <v>0</v>
      </c>
      <c r="CV315" s="1665">
        <v>0</v>
      </c>
      <c r="CW315" s="1668"/>
      <c r="CX315" s="1663"/>
      <c r="CY315" s="1663"/>
      <c r="CZ315" s="1663"/>
      <c r="DA315" s="1663"/>
      <c r="DB315" s="1668"/>
      <c r="DC315" s="1662"/>
      <c r="DD315" s="1665">
        <v>0</v>
      </c>
      <c r="DE315" s="1663"/>
      <c r="DF315" s="1663"/>
      <c r="DG315" s="1665">
        <v>0</v>
      </c>
      <c r="DH315" s="1665">
        <v>0</v>
      </c>
    </row>
    <row r="316" spans="1:112" ht="33.75" hidden="1" x14ac:dyDescent="0.25">
      <c r="A316" s="1662" t="s">
        <v>2376</v>
      </c>
      <c r="B316" s="1662" t="s">
        <v>1727</v>
      </c>
      <c r="C316" s="1662" t="s">
        <v>2636</v>
      </c>
      <c r="D316" s="1662" t="s">
        <v>2639</v>
      </c>
      <c r="E316" s="1662" t="s">
        <v>2342</v>
      </c>
      <c r="F316" s="1662" t="s">
        <v>2638</v>
      </c>
      <c r="G316" s="1662" t="s">
        <v>2628</v>
      </c>
      <c r="H316" s="1662" t="s">
        <v>2613</v>
      </c>
      <c r="I316" s="1662" t="s">
        <v>740</v>
      </c>
      <c r="J316" s="1662" t="s">
        <v>283</v>
      </c>
      <c r="K316" s="1662" t="s">
        <v>2117</v>
      </c>
      <c r="L316" s="1662" t="s">
        <v>2109</v>
      </c>
      <c r="M316" s="1663"/>
      <c r="N316" s="1663"/>
      <c r="O316" s="1663"/>
      <c r="P316" s="1663"/>
      <c r="Q316" s="1663"/>
      <c r="R316" s="1663"/>
      <c r="S316" s="1663"/>
      <c r="T316" s="1663"/>
      <c r="U316" s="1663"/>
      <c r="V316" s="1663"/>
      <c r="W316" s="1663"/>
      <c r="X316" s="1663"/>
      <c r="Y316" s="1664">
        <v>43042</v>
      </c>
      <c r="Z316" s="1662" t="s">
        <v>2110</v>
      </c>
      <c r="AA316" s="1665">
        <v>0</v>
      </c>
      <c r="AB316" s="1665">
        <v>0</v>
      </c>
      <c r="AC316" s="1680">
        <v>0</v>
      </c>
      <c r="AD316" s="1682">
        <v>43070</v>
      </c>
      <c r="AE316" s="1679" t="s">
        <v>2137</v>
      </c>
      <c r="AF316" s="1662" t="s">
        <v>2112</v>
      </c>
      <c r="AG316" s="1666"/>
      <c r="AH316" s="1667">
        <v>65420.21</v>
      </c>
      <c r="AI316" s="1665">
        <v>65420.21</v>
      </c>
      <c r="AJ316" s="1665">
        <v>55554.44</v>
      </c>
      <c r="AK316" s="1698">
        <v>55554.44</v>
      </c>
      <c r="AL316" s="1665">
        <v>0</v>
      </c>
      <c r="AM316" s="1664">
        <v>43070</v>
      </c>
      <c r="AN316" s="1665">
        <v>65420.21</v>
      </c>
      <c r="AO316" s="1665">
        <v>65420.21</v>
      </c>
      <c r="AP316" s="1665">
        <v>55554.44</v>
      </c>
      <c r="AQ316" s="1665">
        <v>55554.44</v>
      </c>
      <c r="AR316" s="1665">
        <v>0</v>
      </c>
      <c r="AS316" s="1665">
        <v>9865.77</v>
      </c>
      <c r="AT316" s="1665">
        <v>0</v>
      </c>
      <c r="AU316" s="1665">
        <v>9865.77</v>
      </c>
      <c r="AV316" s="1665">
        <v>0</v>
      </c>
      <c r="AW316" s="1665">
        <v>0</v>
      </c>
      <c r="AX316" s="1663"/>
      <c r="AY316" s="1663"/>
      <c r="AZ316" s="1663"/>
      <c r="BA316" s="1668"/>
      <c r="BB316" s="1668"/>
      <c r="BC316" s="1663"/>
      <c r="BD316" s="1663"/>
      <c r="BE316" s="1665">
        <v>65420.21</v>
      </c>
      <c r="BF316" s="1665">
        <v>65420.21</v>
      </c>
      <c r="BG316" s="1665">
        <v>55554.44</v>
      </c>
      <c r="BH316" s="1665">
        <v>55554.44</v>
      </c>
      <c r="BI316" s="1665">
        <v>0</v>
      </c>
      <c r="BJ316" s="1665">
        <v>9865.77</v>
      </c>
      <c r="BK316" s="1665">
        <v>0</v>
      </c>
      <c r="BL316" s="1665">
        <v>9865.77</v>
      </c>
      <c r="BM316" s="1665">
        <v>0</v>
      </c>
      <c r="BN316" s="1665">
        <v>0</v>
      </c>
      <c r="BO316" s="1664">
        <v>43206</v>
      </c>
      <c r="BP316" s="1665">
        <v>65420.21</v>
      </c>
      <c r="BQ316" s="1665">
        <v>65420.21</v>
      </c>
      <c r="BR316" s="1665">
        <v>55554.44</v>
      </c>
      <c r="BS316" s="1667">
        <v>55554.44</v>
      </c>
      <c r="BT316" s="1665">
        <v>0</v>
      </c>
      <c r="BU316" s="1665">
        <v>9865.77</v>
      </c>
      <c r="BV316" s="1665">
        <v>0</v>
      </c>
      <c r="BW316" s="1665">
        <v>0</v>
      </c>
      <c r="BX316" s="1665">
        <v>0</v>
      </c>
      <c r="BY316" s="1665">
        <v>0</v>
      </c>
      <c r="BZ316" s="1665">
        <v>0</v>
      </c>
      <c r="CA316" s="1663"/>
      <c r="CB316" s="1668"/>
      <c r="CC316" s="1668"/>
      <c r="CD316" s="1663"/>
      <c r="CE316" s="1663"/>
      <c r="CF316" s="1665">
        <v>0</v>
      </c>
      <c r="CG316" s="1665">
        <v>0</v>
      </c>
      <c r="CH316" s="1665">
        <v>0</v>
      </c>
      <c r="CI316" s="1665">
        <v>0</v>
      </c>
      <c r="CJ316" s="1665">
        <v>720.21</v>
      </c>
      <c r="CK316" s="1665">
        <v>720.21</v>
      </c>
      <c r="CL316" s="1668"/>
      <c r="CM316" s="1665">
        <v>0</v>
      </c>
      <c r="CN316" s="1665">
        <v>0</v>
      </c>
      <c r="CO316" s="1665">
        <v>0</v>
      </c>
      <c r="CP316" s="1665">
        <v>0</v>
      </c>
      <c r="CQ316" s="1665">
        <v>0</v>
      </c>
      <c r="CR316" s="1665">
        <v>0</v>
      </c>
      <c r="CS316" s="1665">
        <v>0</v>
      </c>
      <c r="CT316" s="1665">
        <v>0</v>
      </c>
      <c r="CU316" s="1665">
        <v>0</v>
      </c>
      <c r="CV316" s="1665">
        <v>0</v>
      </c>
      <c r="CW316" s="1668"/>
      <c r="CX316" s="1663"/>
      <c r="CY316" s="1663"/>
      <c r="CZ316" s="1663"/>
      <c r="DA316" s="1663"/>
      <c r="DB316" s="1668"/>
      <c r="DC316" s="1662"/>
      <c r="DD316" s="1665">
        <v>0</v>
      </c>
      <c r="DE316" s="1663"/>
      <c r="DF316" s="1663"/>
      <c r="DG316" s="1665">
        <v>0</v>
      </c>
      <c r="DH316" s="1665">
        <v>0</v>
      </c>
    </row>
    <row r="317" spans="1:112" ht="33.75" hidden="1" x14ac:dyDescent="0.25">
      <c r="A317" s="1662" t="s">
        <v>2377</v>
      </c>
      <c r="B317" s="1662" t="s">
        <v>1727</v>
      </c>
      <c r="C317" s="1662" t="s">
        <v>2636</v>
      </c>
      <c r="D317" s="1662" t="s">
        <v>2639</v>
      </c>
      <c r="E317" s="1662" t="s">
        <v>2342</v>
      </c>
      <c r="F317" s="1662" t="s">
        <v>2638</v>
      </c>
      <c r="G317" s="1662" t="s">
        <v>2628</v>
      </c>
      <c r="H317" s="1662" t="s">
        <v>2613</v>
      </c>
      <c r="I317" s="1662" t="s">
        <v>740</v>
      </c>
      <c r="J317" s="1662" t="s">
        <v>283</v>
      </c>
      <c r="K317" s="1662" t="s">
        <v>2117</v>
      </c>
      <c r="L317" s="1662" t="s">
        <v>2109</v>
      </c>
      <c r="M317" s="1663"/>
      <c r="N317" s="1663"/>
      <c r="O317" s="1663"/>
      <c r="P317" s="1663"/>
      <c r="Q317" s="1663"/>
      <c r="R317" s="1663"/>
      <c r="S317" s="1663"/>
      <c r="T317" s="1663"/>
      <c r="U317" s="1663"/>
      <c r="V317" s="1663"/>
      <c r="W317" s="1663"/>
      <c r="X317" s="1663"/>
      <c r="Y317" s="1664">
        <v>43129</v>
      </c>
      <c r="Z317" s="1662" t="s">
        <v>2110</v>
      </c>
      <c r="AA317" s="1665">
        <v>0</v>
      </c>
      <c r="AB317" s="1665">
        <v>0</v>
      </c>
      <c r="AC317" s="1680">
        <v>0</v>
      </c>
      <c r="AD317" s="1682">
        <v>43146</v>
      </c>
      <c r="AE317" s="1679" t="s">
        <v>2131</v>
      </c>
      <c r="AF317" s="1662" t="s">
        <v>2115</v>
      </c>
      <c r="AG317" s="1666"/>
      <c r="AH317" s="1667">
        <v>196.03</v>
      </c>
      <c r="AI317" s="1665">
        <v>196.03</v>
      </c>
      <c r="AJ317" s="1665">
        <v>166.46</v>
      </c>
      <c r="AK317" s="1698">
        <v>166.46</v>
      </c>
      <c r="AL317" s="1665">
        <v>0</v>
      </c>
      <c r="AM317" s="1664">
        <v>43157</v>
      </c>
      <c r="AN317" s="1665">
        <v>196.03</v>
      </c>
      <c r="AO317" s="1665">
        <v>196.03</v>
      </c>
      <c r="AP317" s="1665">
        <v>166.46</v>
      </c>
      <c r="AQ317" s="1665">
        <v>166.46</v>
      </c>
      <c r="AR317" s="1665">
        <v>0</v>
      </c>
      <c r="AS317" s="1665">
        <v>29.57</v>
      </c>
      <c r="AT317" s="1665">
        <v>0</v>
      </c>
      <c r="AU317" s="1665">
        <v>29.57</v>
      </c>
      <c r="AV317" s="1665">
        <v>0</v>
      </c>
      <c r="AW317" s="1665">
        <v>0</v>
      </c>
      <c r="AX317" s="1663"/>
      <c r="AY317" s="1663"/>
      <c r="AZ317" s="1663"/>
      <c r="BA317" s="1668"/>
      <c r="BB317" s="1668"/>
      <c r="BC317" s="1663"/>
      <c r="BD317" s="1663"/>
      <c r="BE317" s="1665">
        <v>196.03</v>
      </c>
      <c r="BF317" s="1665">
        <v>196.03</v>
      </c>
      <c r="BG317" s="1665">
        <v>166.46</v>
      </c>
      <c r="BH317" s="1665">
        <v>166.46</v>
      </c>
      <c r="BI317" s="1665">
        <v>0</v>
      </c>
      <c r="BJ317" s="1665">
        <v>29.57</v>
      </c>
      <c r="BK317" s="1665">
        <v>0</v>
      </c>
      <c r="BL317" s="1665">
        <v>29.57</v>
      </c>
      <c r="BM317" s="1665">
        <v>0</v>
      </c>
      <c r="BN317" s="1665">
        <v>0</v>
      </c>
      <c r="BO317" s="1664">
        <v>43236</v>
      </c>
      <c r="BP317" s="1665">
        <v>196.03</v>
      </c>
      <c r="BQ317" s="1665">
        <v>196.03</v>
      </c>
      <c r="BR317" s="1665">
        <v>166.46</v>
      </c>
      <c r="BS317" s="1667">
        <v>166.46</v>
      </c>
      <c r="BT317" s="1665">
        <v>0</v>
      </c>
      <c r="BU317" s="1665">
        <v>29.57</v>
      </c>
      <c r="BV317" s="1665">
        <v>0</v>
      </c>
      <c r="BW317" s="1665">
        <v>0</v>
      </c>
      <c r="BX317" s="1665">
        <v>0</v>
      </c>
      <c r="BY317" s="1665">
        <v>0</v>
      </c>
      <c r="BZ317" s="1665">
        <v>0</v>
      </c>
      <c r="CA317" s="1663"/>
      <c r="CB317" s="1668"/>
      <c r="CC317" s="1668"/>
      <c r="CD317" s="1663"/>
      <c r="CE317" s="1663"/>
      <c r="CF317" s="1665">
        <v>0</v>
      </c>
      <c r="CG317" s="1665">
        <v>0</v>
      </c>
      <c r="CH317" s="1665">
        <v>0</v>
      </c>
      <c r="CI317" s="1665">
        <v>0</v>
      </c>
      <c r="CJ317" s="1665">
        <v>0</v>
      </c>
      <c r="CK317" s="1665">
        <v>0</v>
      </c>
      <c r="CL317" s="1668"/>
      <c r="CM317" s="1665">
        <v>0</v>
      </c>
      <c r="CN317" s="1665">
        <v>0</v>
      </c>
      <c r="CO317" s="1665">
        <v>0</v>
      </c>
      <c r="CP317" s="1665">
        <v>0</v>
      </c>
      <c r="CQ317" s="1665">
        <v>0</v>
      </c>
      <c r="CR317" s="1665">
        <v>0</v>
      </c>
      <c r="CS317" s="1665">
        <v>0</v>
      </c>
      <c r="CT317" s="1665">
        <v>0</v>
      </c>
      <c r="CU317" s="1665">
        <v>0</v>
      </c>
      <c r="CV317" s="1665">
        <v>0</v>
      </c>
      <c r="CW317" s="1668"/>
      <c r="CX317" s="1663"/>
      <c r="CY317" s="1663"/>
      <c r="CZ317" s="1663"/>
      <c r="DA317" s="1663"/>
      <c r="DB317" s="1668"/>
      <c r="DC317" s="1662"/>
      <c r="DD317" s="1665">
        <v>0</v>
      </c>
      <c r="DE317" s="1663"/>
      <c r="DF317" s="1663"/>
      <c r="DG317" s="1665">
        <v>0</v>
      </c>
      <c r="DH317" s="1665">
        <v>0</v>
      </c>
    </row>
    <row r="318" spans="1:112" ht="33.75" hidden="1" x14ac:dyDescent="0.25">
      <c r="A318" s="1662" t="s">
        <v>2378</v>
      </c>
      <c r="B318" s="1662" t="s">
        <v>1727</v>
      </c>
      <c r="C318" s="1662" t="s">
        <v>2636</v>
      </c>
      <c r="D318" s="1662" t="s">
        <v>2639</v>
      </c>
      <c r="E318" s="1662" t="s">
        <v>2342</v>
      </c>
      <c r="F318" s="1662" t="s">
        <v>2638</v>
      </c>
      <c r="G318" s="1662" t="s">
        <v>2628</v>
      </c>
      <c r="H318" s="1662" t="s">
        <v>2613</v>
      </c>
      <c r="I318" s="1662" t="s">
        <v>740</v>
      </c>
      <c r="J318" s="1662" t="s">
        <v>283</v>
      </c>
      <c r="K318" s="1662" t="s">
        <v>2117</v>
      </c>
      <c r="L318" s="1662" t="s">
        <v>2109</v>
      </c>
      <c r="M318" s="1663"/>
      <c r="N318" s="1663"/>
      <c r="O318" s="1663"/>
      <c r="P318" s="1663"/>
      <c r="Q318" s="1663"/>
      <c r="R318" s="1663"/>
      <c r="S318" s="1663"/>
      <c r="T318" s="1663"/>
      <c r="U318" s="1663"/>
      <c r="V318" s="1663"/>
      <c r="W318" s="1663"/>
      <c r="X318" s="1663"/>
      <c r="Y318" s="1664">
        <v>43129</v>
      </c>
      <c r="Z318" s="1662" t="s">
        <v>2110</v>
      </c>
      <c r="AA318" s="1665">
        <v>0</v>
      </c>
      <c r="AB318" s="1665">
        <v>0</v>
      </c>
      <c r="AC318" s="1680">
        <v>0</v>
      </c>
      <c r="AD318" s="1682">
        <v>43146</v>
      </c>
      <c r="AE318" s="1679" t="s">
        <v>2131</v>
      </c>
      <c r="AF318" s="1662" t="s">
        <v>2112</v>
      </c>
      <c r="AG318" s="1666"/>
      <c r="AH318" s="1667">
        <v>9165.84</v>
      </c>
      <c r="AI318" s="1665">
        <v>9165.84</v>
      </c>
      <c r="AJ318" s="1665">
        <v>7783.58</v>
      </c>
      <c r="AK318" s="1698">
        <v>7783.58</v>
      </c>
      <c r="AL318" s="1665">
        <v>0</v>
      </c>
      <c r="AM318" s="1664">
        <v>43146</v>
      </c>
      <c r="AN318" s="1665">
        <v>9165.84</v>
      </c>
      <c r="AO318" s="1665">
        <v>9165.84</v>
      </c>
      <c r="AP318" s="1665">
        <v>7783.58</v>
      </c>
      <c r="AQ318" s="1665">
        <v>7783.58</v>
      </c>
      <c r="AR318" s="1665">
        <v>0</v>
      </c>
      <c r="AS318" s="1665">
        <v>1382.26</v>
      </c>
      <c r="AT318" s="1665">
        <v>0</v>
      </c>
      <c r="AU318" s="1665">
        <v>1382.26</v>
      </c>
      <c r="AV318" s="1665">
        <v>0</v>
      </c>
      <c r="AW318" s="1665">
        <v>0</v>
      </c>
      <c r="AX318" s="1663"/>
      <c r="AY318" s="1663"/>
      <c r="AZ318" s="1663"/>
      <c r="BA318" s="1668"/>
      <c r="BB318" s="1668"/>
      <c r="BC318" s="1663"/>
      <c r="BD318" s="1663"/>
      <c r="BE318" s="1665">
        <v>9165.84</v>
      </c>
      <c r="BF318" s="1665">
        <v>9165.84</v>
      </c>
      <c r="BG318" s="1665">
        <v>7783.58</v>
      </c>
      <c r="BH318" s="1665">
        <v>7783.58</v>
      </c>
      <c r="BI318" s="1665">
        <v>0</v>
      </c>
      <c r="BJ318" s="1665">
        <v>1382.26</v>
      </c>
      <c r="BK318" s="1665">
        <v>0</v>
      </c>
      <c r="BL318" s="1665">
        <v>1382.26</v>
      </c>
      <c r="BM318" s="1665">
        <v>0</v>
      </c>
      <c r="BN318" s="1665">
        <v>0</v>
      </c>
      <c r="BO318" s="1664">
        <v>43236</v>
      </c>
      <c r="BP318" s="1665">
        <v>9165.84</v>
      </c>
      <c r="BQ318" s="1665">
        <v>9165.84</v>
      </c>
      <c r="BR318" s="1665">
        <v>7783.58</v>
      </c>
      <c r="BS318" s="1667">
        <v>7783.58</v>
      </c>
      <c r="BT318" s="1665">
        <v>0</v>
      </c>
      <c r="BU318" s="1665">
        <v>1382.26</v>
      </c>
      <c r="BV318" s="1665">
        <v>0</v>
      </c>
      <c r="BW318" s="1665">
        <v>0</v>
      </c>
      <c r="BX318" s="1665">
        <v>0</v>
      </c>
      <c r="BY318" s="1665">
        <v>0</v>
      </c>
      <c r="BZ318" s="1665">
        <v>0</v>
      </c>
      <c r="CA318" s="1663"/>
      <c r="CB318" s="1668"/>
      <c r="CC318" s="1668"/>
      <c r="CD318" s="1663"/>
      <c r="CE318" s="1663"/>
      <c r="CF318" s="1665">
        <v>0</v>
      </c>
      <c r="CG318" s="1665">
        <v>0</v>
      </c>
      <c r="CH318" s="1665">
        <v>0</v>
      </c>
      <c r="CI318" s="1665">
        <v>0</v>
      </c>
      <c r="CJ318" s="1665">
        <v>107.3</v>
      </c>
      <c r="CK318" s="1665">
        <v>107.3</v>
      </c>
      <c r="CL318" s="1668"/>
      <c r="CM318" s="1665">
        <v>0</v>
      </c>
      <c r="CN318" s="1665">
        <v>0</v>
      </c>
      <c r="CO318" s="1665">
        <v>0</v>
      </c>
      <c r="CP318" s="1665">
        <v>0</v>
      </c>
      <c r="CQ318" s="1665">
        <v>0</v>
      </c>
      <c r="CR318" s="1665">
        <v>0</v>
      </c>
      <c r="CS318" s="1665">
        <v>0</v>
      </c>
      <c r="CT318" s="1665">
        <v>0</v>
      </c>
      <c r="CU318" s="1665">
        <v>0</v>
      </c>
      <c r="CV318" s="1665">
        <v>0</v>
      </c>
      <c r="CW318" s="1668"/>
      <c r="CX318" s="1663"/>
      <c r="CY318" s="1663"/>
      <c r="CZ318" s="1663"/>
      <c r="DA318" s="1663"/>
      <c r="DB318" s="1668"/>
      <c r="DC318" s="1662"/>
      <c r="DD318" s="1665">
        <v>0</v>
      </c>
      <c r="DE318" s="1663"/>
      <c r="DF318" s="1663"/>
      <c r="DG318" s="1665">
        <v>0</v>
      </c>
      <c r="DH318" s="1665">
        <v>0</v>
      </c>
    </row>
    <row r="319" spans="1:112" ht="33.75" hidden="1" x14ac:dyDescent="0.25">
      <c r="A319" s="1662" t="s">
        <v>2379</v>
      </c>
      <c r="B319" s="1662" t="s">
        <v>1727</v>
      </c>
      <c r="C319" s="1662" t="s">
        <v>2636</v>
      </c>
      <c r="D319" s="1662" t="s">
        <v>2639</v>
      </c>
      <c r="E319" s="1662" t="s">
        <v>2342</v>
      </c>
      <c r="F319" s="1662" t="s">
        <v>2638</v>
      </c>
      <c r="G319" s="1662" t="s">
        <v>2628</v>
      </c>
      <c r="H319" s="1662" t="s">
        <v>2613</v>
      </c>
      <c r="I319" s="1662" t="s">
        <v>740</v>
      </c>
      <c r="J319" s="1662" t="s">
        <v>283</v>
      </c>
      <c r="K319" s="1662" t="s">
        <v>2117</v>
      </c>
      <c r="L319" s="1662" t="s">
        <v>2109</v>
      </c>
      <c r="M319" s="1663"/>
      <c r="N319" s="1663"/>
      <c r="O319" s="1663"/>
      <c r="P319" s="1663"/>
      <c r="Q319" s="1663"/>
      <c r="R319" s="1663"/>
      <c r="S319" s="1663"/>
      <c r="T319" s="1663"/>
      <c r="U319" s="1663"/>
      <c r="V319" s="1663"/>
      <c r="W319" s="1663"/>
      <c r="X319" s="1663"/>
      <c r="Y319" s="1664">
        <v>43305</v>
      </c>
      <c r="Z319" s="1662" t="s">
        <v>2110</v>
      </c>
      <c r="AA319" s="1665">
        <v>0</v>
      </c>
      <c r="AB319" s="1665">
        <v>0</v>
      </c>
      <c r="AC319" s="1680">
        <v>0</v>
      </c>
      <c r="AD319" s="1682">
        <v>43321</v>
      </c>
      <c r="AE319" s="1679" t="s">
        <v>2133</v>
      </c>
      <c r="AF319" s="1662" t="s">
        <v>2115</v>
      </c>
      <c r="AG319" s="1666"/>
      <c r="AH319" s="1667">
        <v>1675.85</v>
      </c>
      <c r="AI319" s="1665">
        <v>1675.85</v>
      </c>
      <c r="AJ319" s="1665">
        <v>1423.12</v>
      </c>
      <c r="AK319" s="1698">
        <v>1423.12</v>
      </c>
      <c r="AL319" s="1665">
        <v>0</v>
      </c>
      <c r="AM319" s="1664">
        <v>43322</v>
      </c>
      <c r="AN319" s="1665">
        <v>1675.85</v>
      </c>
      <c r="AO319" s="1665">
        <v>1675.85</v>
      </c>
      <c r="AP319" s="1665">
        <v>1423.12</v>
      </c>
      <c r="AQ319" s="1665">
        <v>1423.12</v>
      </c>
      <c r="AR319" s="1665">
        <v>0</v>
      </c>
      <c r="AS319" s="1665">
        <v>252.73</v>
      </c>
      <c r="AT319" s="1665">
        <v>0</v>
      </c>
      <c r="AU319" s="1665">
        <v>252.73</v>
      </c>
      <c r="AV319" s="1665">
        <v>0</v>
      </c>
      <c r="AW319" s="1665">
        <v>0</v>
      </c>
      <c r="AX319" s="1663"/>
      <c r="AY319" s="1663"/>
      <c r="AZ319" s="1663"/>
      <c r="BA319" s="1668"/>
      <c r="BB319" s="1668"/>
      <c r="BC319" s="1663"/>
      <c r="BD319" s="1663"/>
      <c r="BE319" s="1665">
        <v>1675.85</v>
      </c>
      <c r="BF319" s="1665">
        <v>1675.85</v>
      </c>
      <c r="BG319" s="1665">
        <v>1423.12</v>
      </c>
      <c r="BH319" s="1665">
        <v>1423.12</v>
      </c>
      <c r="BI319" s="1665">
        <v>0</v>
      </c>
      <c r="BJ319" s="1665">
        <v>252.73</v>
      </c>
      <c r="BK319" s="1665">
        <v>0</v>
      </c>
      <c r="BL319" s="1665">
        <v>252.73</v>
      </c>
      <c r="BM319" s="1665">
        <v>0</v>
      </c>
      <c r="BN319" s="1665">
        <v>0</v>
      </c>
      <c r="BO319" s="1668"/>
      <c r="BP319" s="1665">
        <v>0</v>
      </c>
      <c r="BQ319" s="1665">
        <v>0</v>
      </c>
      <c r="BR319" s="1665">
        <v>0</v>
      </c>
      <c r="BS319" s="1667">
        <v>0</v>
      </c>
      <c r="BT319" s="1665">
        <v>0</v>
      </c>
      <c r="BU319" s="1665">
        <v>0</v>
      </c>
      <c r="BV319" s="1665">
        <v>0</v>
      </c>
      <c r="BW319" s="1665">
        <v>0</v>
      </c>
      <c r="BX319" s="1665">
        <v>0</v>
      </c>
      <c r="BY319" s="1665">
        <v>0</v>
      </c>
      <c r="BZ319" s="1665">
        <v>0</v>
      </c>
      <c r="CA319" s="1663"/>
      <c r="CB319" s="1668"/>
      <c r="CC319" s="1668"/>
      <c r="CD319" s="1663"/>
      <c r="CE319" s="1663"/>
      <c r="CF319" s="1665">
        <v>0</v>
      </c>
      <c r="CG319" s="1665">
        <v>0</v>
      </c>
      <c r="CH319" s="1665">
        <v>0</v>
      </c>
      <c r="CI319" s="1665">
        <v>0</v>
      </c>
      <c r="CJ319" s="1665">
        <v>0</v>
      </c>
      <c r="CK319" s="1665">
        <v>0</v>
      </c>
      <c r="CL319" s="1668"/>
      <c r="CM319" s="1665">
        <v>0</v>
      </c>
      <c r="CN319" s="1665">
        <v>0</v>
      </c>
      <c r="CO319" s="1665">
        <v>0</v>
      </c>
      <c r="CP319" s="1665">
        <v>0</v>
      </c>
      <c r="CQ319" s="1665">
        <v>0</v>
      </c>
      <c r="CR319" s="1665">
        <v>0</v>
      </c>
      <c r="CS319" s="1665">
        <v>0</v>
      </c>
      <c r="CT319" s="1665">
        <v>0</v>
      </c>
      <c r="CU319" s="1665">
        <v>0</v>
      </c>
      <c r="CV319" s="1665">
        <v>0</v>
      </c>
      <c r="CW319" s="1668"/>
      <c r="CX319" s="1663"/>
      <c r="CY319" s="1663"/>
      <c r="CZ319" s="1663"/>
      <c r="DA319" s="1663"/>
      <c r="DB319" s="1668"/>
      <c r="DC319" s="1662"/>
      <c r="DD319" s="1665">
        <v>0</v>
      </c>
      <c r="DE319" s="1663"/>
      <c r="DF319" s="1663"/>
      <c r="DG319" s="1665">
        <v>0</v>
      </c>
      <c r="DH319" s="1665">
        <v>0</v>
      </c>
    </row>
    <row r="320" spans="1:112" ht="33.75" hidden="1" x14ac:dyDescent="0.25">
      <c r="A320" s="1662" t="s">
        <v>2380</v>
      </c>
      <c r="B320" s="1662" t="s">
        <v>1727</v>
      </c>
      <c r="C320" s="1662" t="s">
        <v>2636</v>
      </c>
      <c r="D320" s="1662" t="s">
        <v>2639</v>
      </c>
      <c r="E320" s="1662" t="s">
        <v>2342</v>
      </c>
      <c r="F320" s="1662" t="s">
        <v>2638</v>
      </c>
      <c r="G320" s="1662" t="s">
        <v>2628</v>
      </c>
      <c r="H320" s="1662" t="s">
        <v>2613</v>
      </c>
      <c r="I320" s="1662" t="s">
        <v>740</v>
      </c>
      <c r="J320" s="1662" t="s">
        <v>283</v>
      </c>
      <c r="K320" s="1662" t="s">
        <v>2117</v>
      </c>
      <c r="L320" s="1662" t="s">
        <v>2109</v>
      </c>
      <c r="M320" s="1663"/>
      <c r="N320" s="1663"/>
      <c r="O320" s="1663"/>
      <c r="P320" s="1663"/>
      <c r="Q320" s="1663"/>
      <c r="R320" s="1663"/>
      <c r="S320" s="1663"/>
      <c r="T320" s="1663"/>
      <c r="U320" s="1663"/>
      <c r="V320" s="1663"/>
      <c r="W320" s="1663"/>
      <c r="X320" s="1663"/>
      <c r="Y320" s="1664">
        <v>43305</v>
      </c>
      <c r="Z320" s="1662" t="s">
        <v>2110</v>
      </c>
      <c r="AA320" s="1665">
        <v>0</v>
      </c>
      <c r="AB320" s="1665">
        <v>0</v>
      </c>
      <c r="AC320" s="1680">
        <v>0</v>
      </c>
      <c r="AD320" s="1682">
        <v>43321</v>
      </c>
      <c r="AE320" s="1679" t="s">
        <v>2133</v>
      </c>
      <c r="AF320" s="1662" t="s">
        <v>2112</v>
      </c>
      <c r="AG320" s="1666"/>
      <c r="AH320" s="1667">
        <v>18.43</v>
      </c>
      <c r="AI320" s="1665">
        <v>18.43</v>
      </c>
      <c r="AJ320" s="1665">
        <v>15.65</v>
      </c>
      <c r="AK320" s="1698">
        <v>15.65</v>
      </c>
      <c r="AL320" s="1665">
        <v>0</v>
      </c>
      <c r="AM320" s="1664">
        <v>43321</v>
      </c>
      <c r="AN320" s="1665">
        <v>18.43</v>
      </c>
      <c r="AO320" s="1665">
        <v>18.43</v>
      </c>
      <c r="AP320" s="1665">
        <v>15.65</v>
      </c>
      <c r="AQ320" s="1665">
        <v>15.65</v>
      </c>
      <c r="AR320" s="1665">
        <v>0</v>
      </c>
      <c r="AS320" s="1665">
        <v>2.78</v>
      </c>
      <c r="AT320" s="1665">
        <v>0</v>
      </c>
      <c r="AU320" s="1665">
        <v>2.78</v>
      </c>
      <c r="AV320" s="1665">
        <v>0</v>
      </c>
      <c r="AW320" s="1665">
        <v>0</v>
      </c>
      <c r="AX320" s="1663"/>
      <c r="AY320" s="1663"/>
      <c r="AZ320" s="1663"/>
      <c r="BA320" s="1668"/>
      <c r="BB320" s="1668"/>
      <c r="BC320" s="1663"/>
      <c r="BD320" s="1663"/>
      <c r="BE320" s="1665">
        <v>18.43</v>
      </c>
      <c r="BF320" s="1665">
        <v>18.43</v>
      </c>
      <c r="BG320" s="1665">
        <v>15.65</v>
      </c>
      <c r="BH320" s="1665">
        <v>15.65</v>
      </c>
      <c r="BI320" s="1665">
        <v>0</v>
      </c>
      <c r="BJ320" s="1665">
        <v>2.78</v>
      </c>
      <c r="BK320" s="1665">
        <v>0</v>
      </c>
      <c r="BL320" s="1665">
        <v>2.78</v>
      </c>
      <c r="BM320" s="1665">
        <v>0</v>
      </c>
      <c r="BN320" s="1665">
        <v>0</v>
      </c>
      <c r="BO320" s="1668"/>
      <c r="BP320" s="1665">
        <v>0</v>
      </c>
      <c r="BQ320" s="1665">
        <v>0</v>
      </c>
      <c r="BR320" s="1665">
        <v>0</v>
      </c>
      <c r="BS320" s="1667">
        <v>0</v>
      </c>
      <c r="BT320" s="1665">
        <v>0</v>
      </c>
      <c r="BU320" s="1665">
        <v>0</v>
      </c>
      <c r="BV320" s="1665">
        <v>0</v>
      </c>
      <c r="BW320" s="1665">
        <v>0</v>
      </c>
      <c r="BX320" s="1665">
        <v>0</v>
      </c>
      <c r="BY320" s="1665">
        <v>0</v>
      </c>
      <c r="BZ320" s="1665">
        <v>0</v>
      </c>
      <c r="CA320" s="1663"/>
      <c r="CB320" s="1668"/>
      <c r="CC320" s="1668"/>
      <c r="CD320" s="1663"/>
      <c r="CE320" s="1663"/>
      <c r="CF320" s="1665">
        <v>0</v>
      </c>
      <c r="CG320" s="1665">
        <v>0</v>
      </c>
      <c r="CH320" s="1665">
        <v>0</v>
      </c>
      <c r="CI320" s="1665">
        <v>0</v>
      </c>
      <c r="CJ320" s="1665">
        <v>0</v>
      </c>
      <c r="CK320" s="1665">
        <v>0</v>
      </c>
      <c r="CL320" s="1668"/>
      <c r="CM320" s="1665">
        <v>0</v>
      </c>
      <c r="CN320" s="1665">
        <v>0</v>
      </c>
      <c r="CO320" s="1665">
        <v>0</v>
      </c>
      <c r="CP320" s="1665">
        <v>0</v>
      </c>
      <c r="CQ320" s="1665">
        <v>0</v>
      </c>
      <c r="CR320" s="1665">
        <v>0</v>
      </c>
      <c r="CS320" s="1665">
        <v>0</v>
      </c>
      <c r="CT320" s="1665">
        <v>0</v>
      </c>
      <c r="CU320" s="1665">
        <v>0</v>
      </c>
      <c r="CV320" s="1665">
        <v>0</v>
      </c>
      <c r="CW320" s="1668"/>
      <c r="CX320" s="1663"/>
      <c r="CY320" s="1663"/>
      <c r="CZ320" s="1663"/>
      <c r="DA320" s="1663"/>
      <c r="DB320" s="1668"/>
      <c r="DC320" s="1662"/>
      <c r="DD320" s="1665">
        <v>0</v>
      </c>
      <c r="DE320" s="1663"/>
      <c r="DF320" s="1663"/>
      <c r="DG320" s="1665">
        <v>0</v>
      </c>
      <c r="DH320" s="1665">
        <v>0</v>
      </c>
    </row>
    <row r="321" spans="1:112" ht="56.25" hidden="1" x14ac:dyDescent="0.25">
      <c r="A321" s="1662" t="s">
        <v>2381</v>
      </c>
      <c r="B321" s="1662" t="s">
        <v>1727</v>
      </c>
      <c r="C321" s="1662" t="s">
        <v>2636</v>
      </c>
      <c r="D321" s="1662" t="s">
        <v>2639</v>
      </c>
      <c r="E321" s="1662" t="s">
        <v>2342</v>
      </c>
      <c r="F321" s="1662" t="s">
        <v>2638</v>
      </c>
      <c r="G321" s="1662" t="s">
        <v>2628</v>
      </c>
      <c r="H321" s="1662" t="s">
        <v>2613</v>
      </c>
      <c r="I321" s="1662" t="s">
        <v>741</v>
      </c>
      <c r="J321" s="1662" t="s">
        <v>189</v>
      </c>
      <c r="K321" s="1662" t="s">
        <v>2126</v>
      </c>
      <c r="L321" s="1662" t="s">
        <v>2109</v>
      </c>
      <c r="M321" s="1665">
        <v>241889</v>
      </c>
      <c r="N321" s="1665">
        <v>0</v>
      </c>
      <c r="O321" s="1665">
        <v>241889</v>
      </c>
      <c r="P321" s="1665">
        <v>241889</v>
      </c>
      <c r="Q321" s="1665">
        <v>205605.65</v>
      </c>
      <c r="R321" s="1665">
        <v>205605.65</v>
      </c>
      <c r="S321" s="1665">
        <v>0</v>
      </c>
      <c r="T321" s="1665">
        <v>36283.35</v>
      </c>
      <c r="U321" s="1665">
        <v>0</v>
      </c>
      <c r="V321" s="1665">
        <v>36283.35</v>
      </c>
      <c r="W321" s="1665">
        <v>0</v>
      </c>
      <c r="X321" s="1665">
        <v>0</v>
      </c>
      <c r="Y321" s="1668"/>
      <c r="Z321" s="1662"/>
      <c r="AA321" s="1665">
        <v>0</v>
      </c>
      <c r="AB321" s="1665">
        <v>0</v>
      </c>
      <c r="AC321" s="1680">
        <v>0</v>
      </c>
      <c r="AD321" s="1681"/>
      <c r="AE321" s="1679"/>
      <c r="AF321" s="1662"/>
      <c r="AG321" s="1666"/>
      <c r="AH321" s="1667">
        <v>231780.78</v>
      </c>
      <c r="AI321" s="1665">
        <v>231780.78</v>
      </c>
      <c r="AJ321" s="1665">
        <v>197013.66</v>
      </c>
      <c r="AK321" s="1698">
        <v>197013.66</v>
      </c>
      <c r="AL321" s="1665">
        <v>0</v>
      </c>
      <c r="AM321" s="1668"/>
      <c r="AN321" s="1665">
        <v>231780.78</v>
      </c>
      <c r="AO321" s="1665">
        <v>231780.78</v>
      </c>
      <c r="AP321" s="1665">
        <v>197013.66</v>
      </c>
      <c r="AQ321" s="1665">
        <v>197013.66</v>
      </c>
      <c r="AR321" s="1665">
        <v>0</v>
      </c>
      <c r="AS321" s="1665">
        <v>34767.120000000003</v>
      </c>
      <c r="AT321" s="1665">
        <v>0</v>
      </c>
      <c r="AU321" s="1665">
        <v>34767.120000000003</v>
      </c>
      <c r="AV321" s="1665">
        <v>0</v>
      </c>
      <c r="AW321" s="1665">
        <v>0</v>
      </c>
      <c r="AX321" s="1665">
        <v>0</v>
      </c>
      <c r="AY321" s="1665">
        <v>0</v>
      </c>
      <c r="AZ321" s="1665">
        <v>0</v>
      </c>
      <c r="BA321" s="1668"/>
      <c r="BB321" s="1668"/>
      <c r="BC321" s="1665">
        <v>0</v>
      </c>
      <c r="BD321" s="1665">
        <v>0</v>
      </c>
      <c r="BE321" s="1665">
        <v>231780.78</v>
      </c>
      <c r="BF321" s="1665">
        <v>231780.78</v>
      </c>
      <c r="BG321" s="1665">
        <v>197013.66</v>
      </c>
      <c r="BH321" s="1665">
        <v>197013.66</v>
      </c>
      <c r="BI321" s="1665">
        <v>0</v>
      </c>
      <c r="BJ321" s="1665">
        <v>34767.120000000003</v>
      </c>
      <c r="BK321" s="1665">
        <v>0</v>
      </c>
      <c r="BL321" s="1665">
        <v>34767.120000000003</v>
      </c>
      <c r="BM321" s="1665">
        <v>0</v>
      </c>
      <c r="BN321" s="1665">
        <v>0</v>
      </c>
      <c r="BO321" s="1668"/>
      <c r="BP321" s="1665">
        <v>200615.19</v>
      </c>
      <c r="BQ321" s="1665">
        <v>200615.19</v>
      </c>
      <c r="BR321" s="1665">
        <v>170522.91</v>
      </c>
      <c r="BS321" s="1667">
        <v>170522.91</v>
      </c>
      <c r="BT321" s="1665">
        <v>0</v>
      </c>
      <c r="BU321" s="1665">
        <v>30092.28</v>
      </c>
      <c r="BV321" s="1665">
        <v>0</v>
      </c>
      <c r="BW321" s="1665">
        <v>0</v>
      </c>
      <c r="BX321" s="1665">
        <v>0</v>
      </c>
      <c r="BY321" s="1665">
        <v>0</v>
      </c>
      <c r="BZ321" s="1665">
        <v>0</v>
      </c>
      <c r="CA321" s="1665">
        <v>0</v>
      </c>
      <c r="CB321" s="1668"/>
      <c r="CC321" s="1668"/>
      <c r="CD321" s="1665">
        <v>0</v>
      </c>
      <c r="CE321" s="1665">
        <v>0</v>
      </c>
      <c r="CF321" s="1665">
        <v>0</v>
      </c>
      <c r="CG321" s="1665">
        <v>0</v>
      </c>
      <c r="CH321" s="1665">
        <v>0</v>
      </c>
      <c r="CI321" s="1665">
        <v>0</v>
      </c>
      <c r="CJ321" s="1665">
        <v>2182.75</v>
      </c>
      <c r="CK321" s="1665">
        <v>2182.75</v>
      </c>
      <c r="CL321" s="1668"/>
      <c r="CM321" s="1665">
        <v>0</v>
      </c>
      <c r="CN321" s="1665">
        <v>0</v>
      </c>
      <c r="CO321" s="1665">
        <v>0</v>
      </c>
      <c r="CP321" s="1665">
        <v>0</v>
      </c>
      <c r="CQ321" s="1665">
        <v>0</v>
      </c>
      <c r="CR321" s="1665">
        <v>0</v>
      </c>
      <c r="CS321" s="1665">
        <v>0</v>
      </c>
      <c r="CT321" s="1665">
        <v>0</v>
      </c>
      <c r="CU321" s="1665">
        <v>0</v>
      </c>
      <c r="CV321" s="1665">
        <v>0</v>
      </c>
      <c r="CW321" s="1668"/>
      <c r="CX321" s="1665">
        <v>0</v>
      </c>
      <c r="CY321" s="1665">
        <v>0</v>
      </c>
      <c r="CZ321" s="1665">
        <v>0</v>
      </c>
      <c r="DA321" s="1665">
        <v>0</v>
      </c>
      <c r="DB321" s="1668"/>
      <c r="DC321" s="1662"/>
      <c r="DD321" s="1665">
        <v>0</v>
      </c>
      <c r="DE321" s="1665">
        <v>0</v>
      </c>
      <c r="DF321" s="1665">
        <v>0</v>
      </c>
      <c r="DG321" s="1665">
        <v>0</v>
      </c>
      <c r="DH321" s="1665">
        <v>0</v>
      </c>
    </row>
    <row r="322" spans="1:112" ht="56.25" hidden="1" x14ac:dyDescent="0.25">
      <c r="A322" s="1662" t="s">
        <v>2382</v>
      </c>
      <c r="B322" s="1662" t="s">
        <v>1727</v>
      </c>
      <c r="C322" s="1662" t="s">
        <v>2636</v>
      </c>
      <c r="D322" s="1662" t="s">
        <v>2639</v>
      </c>
      <c r="E322" s="1662" t="s">
        <v>2342</v>
      </c>
      <c r="F322" s="1662" t="s">
        <v>2638</v>
      </c>
      <c r="G322" s="1662" t="s">
        <v>2628</v>
      </c>
      <c r="H322" s="1662" t="s">
        <v>2613</v>
      </c>
      <c r="I322" s="1662" t="s">
        <v>741</v>
      </c>
      <c r="J322" s="1662" t="s">
        <v>189</v>
      </c>
      <c r="K322" s="1662" t="s">
        <v>2126</v>
      </c>
      <c r="L322" s="1662" t="s">
        <v>2109</v>
      </c>
      <c r="M322" s="1663"/>
      <c r="N322" s="1663"/>
      <c r="O322" s="1663"/>
      <c r="P322" s="1663"/>
      <c r="Q322" s="1663"/>
      <c r="R322" s="1663"/>
      <c r="S322" s="1663"/>
      <c r="T322" s="1663"/>
      <c r="U322" s="1663"/>
      <c r="V322" s="1663"/>
      <c r="W322" s="1663"/>
      <c r="X322" s="1663"/>
      <c r="Y322" s="1664">
        <v>43028</v>
      </c>
      <c r="Z322" s="1662" t="s">
        <v>2110</v>
      </c>
      <c r="AA322" s="1665">
        <v>0</v>
      </c>
      <c r="AB322" s="1665">
        <v>0</v>
      </c>
      <c r="AC322" s="1680">
        <v>0</v>
      </c>
      <c r="AD322" s="1682">
        <v>43054</v>
      </c>
      <c r="AE322" s="1679" t="s">
        <v>2131</v>
      </c>
      <c r="AF322" s="1662" t="s">
        <v>2115</v>
      </c>
      <c r="AG322" s="1666"/>
      <c r="AH322" s="1667">
        <v>18541.45</v>
      </c>
      <c r="AI322" s="1665">
        <v>18541.45</v>
      </c>
      <c r="AJ322" s="1665">
        <v>15760.23</v>
      </c>
      <c r="AK322" s="1698">
        <v>15760.23</v>
      </c>
      <c r="AL322" s="1665">
        <v>0</v>
      </c>
      <c r="AM322" s="1664">
        <v>43055</v>
      </c>
      <c r="AN322" s="1665">
        <v>18541.45</v>
      </c>
      <c r="AO322" s="1665">
        <v>18541.45</v>
      </c>
      <c r="AP322" s="1665">
        <v>15760.23</v>
      </c>
      <c r="AQ322" s="1665">
        <v>15760.23</v>
      </c>
      <c r="AR322" s="1665">
        <v>0</v>
      </c>
      <c r="AS322" s="1665">
        <v>2781.22</v>
      </c>
      <c r="AT322" s="1665">
        <v>0</v>
      </c>
      <c r="AU322" s="1665">
        <v>2781.22</v>
      </c>
      <c r="AV322" s="1665">
        <v>0</v>
      </c>
      <c r="AW322" s="1665">
        <v>0</v>
      </c>
      <c r="AX322" s="1663"/>
      <c r="AY322" s="1663"/>
      <c r="AZ322" s="1663"/>
      <c r="BA322" s="1668"/>
      <c r="BB322" s="1668"/>
      <c r="BC322" s="1663"/>
      <c r="BD322" s="1663"/>
      <c r="BE322" s="1665">
        <v>18541.45</v>
      </c>
      <c r="BF322" s="1665">
        <v>18541.45</v>
      </c>
      <c r="BG322" s="1665">
        <v>15760.23</v>
      </c>
      <c r="BH322" s="1665">
        <v>15760.23</v>
      </c>
      <c r="BI322" s="1665">
        <v>0</v>
      </c>
      <c r="BJ322" s="1665">
        <v>2781.22</v>
      </c>
      <c r="BK322" s="1665">
        <v>0</v>
      </c>
      <c r="BL322" s="1665">
        <v>2781.22</v>
      </c>
      <c r="BM322" s="1665">
        <v>0</v>
      </c>
      <c r="BN322" s="1665">
        <v>0</v>
      </c>
      <c r="BO322" s="1664">
        <v>43159</v>
      </c>
      <c r="BP322" s="1665">
        <v>18541.45</v>
      </c>
      <c r="BQ322" s="1665">
        <v>18541.45</v>
      </c>
      <c r="BR322" s="1665">
        <v>15760.23</v>
      </c>
      <c r="BS322" s="1667">
        <v>15760.23</v>
      </c>
      <c r="BT322" s="1665">
        <v>0</v>
      </c>
      <c r="BU322" s="1665">
        <v>2781.22</v>
      </c>
      <c r="BV322" s="1665">
        <v>0</v>
      </c>
      <c r="BW322" s="1665">
        <v>0</v>
      </c>
      <c r="BX322" s="1665">
        <v>0</v>
      </c>
      <c r="BY322" s="1665">
        <v>0</v>
      </c>
      <c r="BZ322" s="1665">
        <v>0</v>
      </c>
      <c r="CA322" s="1663"/>
      <c r="CB322" s="1668"/>
      <c r="CC322" s="1668"/>
      <c r="CD322" s="1663"/>
      <c r="CE322" s="1663"/>
      <c r="CF322" s="1665">
        <v>0</v>
      </c>
      <c r="CG322" s="1665">
        <v>0</v>
      </c>
      <c r="CH322" s="1665">
        <v>0</v>
      </c>
      <c r="CI322" s="1665">
        <v>0</v>
      </c>
      <c r="CJ322" s="1665">
        <v>201.74</v>
      </c>
      <c r="CK322" s="1665">
        <v>201.74</v>
      </c>
      <c r="CL322" s="1668"/>
      <c r="CM322" s="1665">
        <v>0</v>
      </c>
      <c r="CN322" s="1665">
        <v>0</v>
      </c>
      <c r="CO322" s="1665">
        <v>0</v>
      </c>
      <c r="CP322" s="1665">
        <v>0</v>
      </c>
      <c r="CQ322" s="1665">
        <v>0</v>
      </c>
      <c r="CR322" s="1665">
        <v>0</v>
      </c>
      <c r="CS322" s="1665">
        <v>0</v>
      </c>
      <c r="CT322" s="1665">
        <v>0</v>
      </c>
      <c r="CU322" s="1665">
        <v>0</v>
      </c>
      <c r="CV322" s="1665">
        <v>0</v>
      </c>
      <c r="CW322" s="1668"/>
      <c r="CX322" s="1663"/>
      <c r="CY322" s="1663"/>
      <c r="CZ322" s="1663"/>
      <c r="DA322" s="1663"/>
      <c r="DB322" s="1668"/>
      <c r="DC322" s="1662"/>
      <c r="DD322" s="1665">
        <v>0</v>
      </c>
      <c r="DE322" s="1663"/>
      <c r="DF322" s="1663"/>
      <c r="DG322" s="1665">
        <v>0</v>
      </c>
      <c r="DH322" s="1665">
        <v>0</v>
      </c>
    </row>
    <row r="323" spans="1:112" ht="56.25" hidden="1" x14ac:dyDescent="0.25">
      <c r="A323" s="1662" t="s">
        <v>2383</v>
      </c>
      <c r="B323" s="1662" t="s">
        <v>1727</v>
      </c>
      <c r="C323" s="1662" t="s">
        <v>2636</v>
      </c>
      <c r="D323" s="1662" t="s">
        <v>2639</v>
      </c>
      <c r="E323" s="1662" t="s">
        <v>2342</v>
      </c>
      <c r="F323" s="1662" t="s">
        <v>2638</v>
      </c>
      <c r="G323" s="1662" t="s">
        <v>2628</v>
      </c>
      <c r="H323" s="1662" t="s">
        <v>2613</v>
      </c>
      <c r="I323" s="1662" t="s">
        <v>741</v>
      </c>
      <c r="J323" s="1662" t="s">
        <v>189</v>
      </c>
      <c r="K323" s="1662" t="s">
        <v>2126</v>
      </c>
      <c r="L323" s="1662" t="s">
        <v>2109</v>
      </c>
      <c r="M323" s="1663"/>
      <c r="N323" s="1663"/>
      <c r="O323" s="1663"/>
      <c r="P323" s="1663"/>
      <c r="Q323" s="1663"/>
      <c r="R323" s="1663"/>
      <c r="S323" s="1663"/>
      <c r="T323" s="1663"/>
      <c r="U323" s="1663"/>
      <c r="V323" s="1663"/>
      <c r="W323" s="1663"/>
      <c r="X323" s="1663"/>
      <c r="Y323" s="1664">
        <v>43055</v>
      </c>
      <c r="Z323" s="1662" t="s">
        <v>2110</v>
      </c>
      <c r="AA323" s="1665">
        <v>0</v>
      </c>
      <c r="AB323" s="1665">
        <v>0</v>
      </c>
      <c r="AC323" s="1680">
        <v>0</v>
      </c>
      <c r="AD323" s="1682">
        <v>43077</v>
      </c>
      <c r="AE323" s="1679" t="s">
        <v>2132</v>
      </c>
      <c r="AF323" s="1662" t="s">
        <v>2115</v>
      </c>
      <c r="AG323" s="1666"/>
      <c r="AH323" s="1667">
        <v>45263.839999999997</v>
      </c>
      <c r="AI323" s="1665">
        <v>45263.839999999997</v>
      </c>
      <c r="AJ323" s="1665">
        <v>38474.269999999997</v>
      </c>
      <c r="AK323" s="1698">
        <v>38474.269999999997</v>
      </c>
      <c r="AL323" s="1665">
        <v>0</v>
      </c>
      <c r="AM323" s="1664">
        <v>43081</v>
      </c>
      <c r="AN323" s="1665">
        <v>45263.839999999997</v>
      </c>
      <c r="AO323" s="1665">
        <v>45263.839999999997</v>
      </c>
      <c r="AP323" s="1665">
        <v>38474.269999999997</v>
      </c>
      <c r="AQ323" s="1665">
        <v>38474.269999999997</v>
      </c>
      <c r="AR323" s="1665">
        <v>0</v>
      </c>
      <c r="AS323" s="1665">
        <v>6789.57</v>
      </c>
      <c r="AT323" s="1665">
        <v>0</v>
      </c>
      <c r="AU323" s="1665">
        <v>6789.57</v>
      </c>
      <c r="AV323" s="1665">
        <v>0</v>
      </c>
      <c r="AW323" s="1665">
        <v>0</v>
      </c>
      <c r="AX323" s="1663"/>
      <c r="AY323" s="1663"/>
      <c r="AZ323" s="1663"/>
      <c r="BA323" s="1668"/>
      <c r="BB323" s="1668"/>
      <c r="BC323" s="1663"/>
      <c r="BD323" s="1663"/>
      <c r="BE323" s="1665">
        <v>45263.839999999997</v>
      </c>
      <c r="BF323" s="1665">
        <v>45263.839999999997</v>
      </c>
      <c r="BG323" s="1665">
        <v>38474.269999999997</v>
      </c>
      <c r="BH323" s="1665">
        <v>38474.269999999997</v>
      </c>
      <c r="BI323" s="1665">
        <v>0</v>
      </c>
      <c r="BJ323" s="1665">
        <v>6789.57</v>
      </c>
      <c r="BK323" s="1665">
        <v>0</v>
      </c>
      <c r="BL323" s="1665">
        <v>6789.57</v>
      </c>
      <c r="BM323" s="1665">
        <v>0</v>
      </c>
      <c r="BN323" s="1665">
        <v>0</v>
      </c>
      <c r="BO323" s="1664">
        <v>43206</v>
      </c>
      <c r="BP323" s="1665">
        <v>45263.839999999997</v>
      </c>
      <c r="BQ323" s="1665">
        <v>45263.839999999997</v>
      </c>
      <c r="BR323" s="1665">
        <v>38474.269999999997</v>
      </c>
      <c r="BS323" s="1667">
        <v>38474.269999999997</v>
      </c>
      <c r="BT323" s="1665">
        <v>0</v>
      </c>
      <c r="BU323" s="1665">
        <v>6789.57</v>
      </c>
      <c r="BV323" s="1665">
        <v>0</v>
      </c>
      <c r="BW323" s="1665">
        <v>0</v>
      </c>
      <c r="BX323" s="1665">
        <v>0</v>
      </c>
      <c r="BY323" s="1665">
        <v>0</v>
      </c>
      <c r="BZ323" s="1665">
        <v>0</v>
      </c>
      <c r="CA323" s="1663"/>
      <c r="CB323" s="1668"/>
      <c r="CC323" s="1668"/>
      <c r="CD323" s="1663"/>
      <c r="CE323" s="1663"/>
      <c r="CF323" s="1665">
        <v>0</v>
      </c>
      <c r="CG323" s="1665">
        <v>0</v>
      </c>
      <c r="CH323" s="1665">
        <v>0</v>
      </c>
      <c r="CI323" s="1665">
        <v>0</v>
      </c>
      <c r="CJ323" s="1665">
        <v>492.48</v>
      </c>
      <c r="CK323" s="1665">
        <v>492.48</v>
      </c>
      <c r="CL323" s="1668"/>
      <c r="CM323" s="1665">
        <v>0</v>
      </c>
      <c r="CN323" s="1665">
        <v>0</v>
      </c>
      <c r="CO323" s="1665">
        <v>0</v>
      </c>
      <c r="CP323" s="1665">
        <v>0</v>
      </c>
      <c r="CQ323" s="1665">
        <v>0</v>
      </c>
      <c r="CR323" s="1665">
        <v>0</v>
      </c>
      <c r="CS323" s="1665">
        <v>0</v>
      </c>
      <c r="CT323" s="1665">
        <v>0</v>
      </c>
      <c r="CU323" s="1665">
        <v>0</v>
      </c>
      <c r="CV323" s="1665">
        <v>0</v>
      </c>
      <c r="CW323" s="1668"/>
      <c r="CX323" s="1663"/>
      <c r="CY323" s="1663"/>
      <c r="CZ323" s="1663"/>
      <c r="DA323" s="1663"/>
      <c r="DB323" s="1668"/>
      <c r="DC323" s="1662"/>
      <c r="DD323" s="1665">
        <v>0</v>
      </c>
      <c r="DE323" s="1663"/>
      <c r="DF323" s="1663"/>
      <c r="DG323" s="1665">
        <v>0</v>
      </c>
      <c r="DH323" s="1665">
        <v>0</v>
      </c>
    </row>
    <row r="324" spans="1:112" ht="56.25" hidden="1" x14ac:dyDescent="0.25">
      <c r="A324" s="1662" t="s">
        <v>2384</v>
      </c>
      <c r="B324" s="1662" t="s">
        <v>1727</v>
      </c>
      <c r="C324" s="1662" t="s">
        <v>2636</v>
      </c>
      <c r="D324" s="1662" t="s">
        <v>2639</v>
      </c>
      <c r="E324" s="1662" t="s">
        <v>2342</v>
      </c>
      <c r="F324" s="1662" t="s">
        <v>2638</v>
      </c>
      <c r="G324" s="1662" t="s">
        <v>2628</v>
      </c>
      <c r="H324" s="1662" t="s">
        <v>2613</v>
      </c>
      <c r="I324" s="1662" t="s">
        <v>741</v>
      </c>
      <c r="J324" s="1662" t="s">
        <v>189</v>
      </c>
      <c r="K324" s="1662" t="s">
        <v>2126</v>
      </c>
      <c r="L324" s="1662" t="s">
        <v>2109</v>
      </c>
      <c r="M324" s="1663"/>
      <c r="N324" s="1663"/>
      <c r="O324" s="1663"/>
      <c r="P324" s="1663"/>
      <c r="Q324" s="1663"/>
      <c r="R324" s="1663"/>
      <c r="S324" s="1663"/>
      <c r="T324" s="1663"/>
      <c r="U324" s="1663"/>
      <c r="V324" s="1663"/>
      <c r="W324" s="1663"/>
      <c r="X324" s="1663"/>
      <c r="Y324" s="1664">
        <v>43075</v>
      </c>
      <c r="Z324" s="1662" t="s">
        <v>2110</v>
      </c>
      <c r="AA324" s="1665">
        <v>0</v>
      </c>
      <c r="AB324" s="1665">
        <v>0</v>
      </c>
      <c r="AC324" s="1680">
        <v>0</v>
      </c>
      <c r="AD324" s="1682">
        <v>43096</v>
      </c>
      <c r="AE324" s="1679" t="s">
        <v>2133</v>
      </c>
      <c r="AF324" s="1662" t="s">
        <v>2115</v>
      </c>
      <c r="AG324" s="1666"/>
      <c r="AH324" s="1667">
        <v>23268.560000000001</v>
      </c>
      <c r="AI324" s="1665">
        <v>23268.560000000001</v>
      </c>
      <c r="AJ324" s="1665">
        <v>19778.27</v>
      </c>
      <c r="AK324" s="1698">
        <v>19778.27</v>
      </c>
      <c r="AL324" s="1665">
        <v>0</v>
      </c>
      <c r="AM324" s="1664">
        <v>43097</v>
      </c>
      <c r="AN324" s="1665">
        <v>23268.560000000001</v>
      </c>
      <c r="AO324" s="1665">
        <v>23268.560000000001</v>
      </c>
      <c r="AP324" s="1665">
        <v>19778.27</v>
      </c>
      <c r="AQ324" s="1665">
        <v>19778.27</v>
      </c>
      <c r="AR324" s="1665">
        <v>0</v>
      </c>
      <c r="AS324" s="1665">
        <v>3490.29</v>
      </c>
      <c r="AT324" s="1665">
        <v>0</v>
      </c>
      <c r="AU324" s="1665">
        <v>3490.29</v>
      </c>
      <c r="AV324" s="1665">
        <v>0</v>
      </c>
      <c r="AW324" s="1665">
        <v>0</v>
      </c>
      <c r="AX324" s="1663"/>
      <c r="AY324" s="1663"/>
      <c r="AZ324" s="1663"/>
      <c r="BA324" s="1668"/>
      <c r="BB324" s="1668"/>
      <c r="BC324" s="1663"/>
      <c r="BD324" s="1663"/>
      <c r="BE324" s="1665">
        <v>23268.560000000001</v>
      </c>
      <c r="BF324" s="1665">
        <v>23268.560000000001</v>
      </c>
      <c r="BG324" s="1665">
        <v>19778.27</v>
      </c>
      <c r="BH324" s="1665">
        <v>19778.27</v>
      </c>
      <c r="BI324" s="1665">
        <v>0</v>
      </c>
      <c r="BJ324" s="1665">
        <v>3490.29</v>
      </c>
      <c r="BK324" s="1665">
        <v>0</v>
      </c>
      <c r="BL324" s="1665">
        <v>3490.29</v>
      </c>
      <c r="BM324" s="1665">
        <v>0</v>
      </c>
      <c r="BN324" s="1665">
        <v>0</v>
      </c>
      <c r="BO324" s="1664">
        <v>43206</v>
      </c>
      <c r="BP324" s="1665">
        <v>23268.560000000001</v>
      </c>
      <c r="BQ324" s="1665">
        <v>23268.560000000001</v>
      </c>
      <c r="BR324" s="1665">
        <v>19778.27</v>
      </c>
      <c r="BS324" s="1667">
        <v>19778.27</v>
      </c>
      <c r="BT324" s="1665">
        <v>0</v>
      </c>
      <c r="BU324" s="1665">
        <v>3490.29</v>
      </c>
      <c r="BV324" s="1665">
        <v>0</v>
      </c>
      <c r="BW324" s="1665">
        <v>0</v>
      </c>
      <c r="BX324" s="1665">
        <v>0</v>
      </c>
      <c r="BY324" s="1665">
        <v>0</v>
      </c>
      <c r="BZ324" s="1665">
        <v>0</v>
      </c>
      <c r="CA324" s="1663"/>
      <c r="CB324" s="1668"/>
      <c r="CC324" s="1668"/>
      <c r="CD324" s="1663"/>
      <c r="CE324" s="1663"/>
      <c r="CF324" s="1665">
        <v>0</v>
      </c>
      <c r="CG324" s="1665">
        <v>0</v>
      </c>
      <c r="CH324" s="1665">
        <v>0</v>
      </c>
      <c r="CI324" s="1665">
        <v>0</v>
      </c>
      <c r="CJ324" s="1665">
        <v>253.17</v>
      </c>
      <c r="CK324" s="1665">
        <v>253.17</v>
      </c>
      <c r="CL324" s="1668"/>
      <c r="CM324" s="1665">
        <v>0</v>
      </c>
      <c r="CN324" s="1665">
        <v>0</v>
      </c>
      <c r="CO324" s="1665">
        <v>0</v>
      </c>
      <c r="CP324" s="1665">
        <v>0</v>
      </c>
      <c r="CQ324" s="1665">
        <v>0</v>
      </c>
      <c r="CR324" s="1665">
        <v>0</v>
      </c>
      <c r="CS324" s="1665">
        <v>0</v>
      </c>
      <c r="CT324" s="1665">
        <v>0</v>
      </c>
      <c r="CU324" s="1665">
        <v>0</v>
      </c>
      <c r="CV324" s="1665">
        <v>0</v>
      </c>
      <c r="CW324" s="1668"/>
      <c r="CX324" s="1663"/>
      <c r="CY324" s="1663"/>
      <c r="CZ324" s="1663"/>
      <c r="DA324" s="1663"/>
      <c r="DB324" s="1668"/>
      <c r="DC324" s="1662"/>
      <c r="DD324" s="1665">
        <v>0</v>
      </c>
      <c r="DE324" s="1663"/>
      <c r="DF324" s="1663"/>
      <c r="DG324" s="1665">
        <v>0</v>
      </c>
      <c r="DH324" s="1665">
        <v>0</v>
      </c>
    </row>
    <row r="325" spans="1:112" ht="56.25" hidden="1" x14ac:dyDescent="0.25">
      <c r="A325" s="1662" t="s">
        <v>2385</v>
      </c>
      <c r="B325" s="1662" t="s">
        <v>1727</v>
      </c>
      <c r="C325" s="1662" t="s">
        <v>2636</v>
      </c>
      <c r="D325" s="1662" t="s">
        <v>2639</v>
      </c>
      <c r="E325" s="1662" t="s">
        <v>2342</v>
      </c>
      <c r="F325" s="1662" t="s">
        <v>2638</v>
      </c>
      <c r="G325" s="1662" t="s">
        <v>2628</v>
      </c>
      <c r="H325" s="1662" t="s">
        <v>2613</v>
      </c>
      <c r="I325" s="1662" t="s">
        <v>741</v>
      </c>
      <c r="J325" s="1662" t="s">
        <v>189</v>
      </c>
      <c r="K325" s="1662" t="s">
        <v>2126</v>
      </c>
      <c r="L325" s="1662" t="s">
        <v>2109</v>
      </c>
      <c r="M325" s="1663"/>
      <c r="N325" s="1663"/>
      <c r="O325" s="1663"/>
      <c r="P325" s="1663"/>
      <c r="Q325" s="1663"/>
      <c r="R325" s="1663"/>
      <c r="S325" s="1663"/>
      <c r="T325" s="1663"/>
      <c r="U325" s="1663"/>
      <c r="V325" s="1663"/>
      <c r="W325" s="1663"/>
      <c r="X325" s="1663"/>
      <c r="Y325" s="1664">
        <v>43110</v>
      </c>
      <c r="Z325" s="1662" t="s">
        <v>2110</v>
      </c>
      <c r="AA325" s="1665">
        <v>0</v>
      </c>
      <c r="AB325" s="1665">
        <v>0</v>
      </c>
      <c r="AC325" s="1680">
        <v>0</v>
      </c>
      <c r="AD325" s="1682">
        <v>43125</v>
      </c>
      <c r="AE325" s="1679" t="s">
        <v>2353</v>
      </c>
      <c r="AF325" s="1662" t="s">
        <v>2115</v>
      </c>
      <c r="AG325" s="1666"/>
      <c r="AH325" s="1667">
        <v>17713.86</v>
      </c>
      <c r="AI325" s="1665">
        <v>17713.86</v>
      </c>
      <c r="AJ325" s="1665">
        <v>15056.78</v>
      </c>
      <c r="AK325" s="1698">
        <v>15056.78</v>
      </c>
      <c r="AL325" s="1665">
        <v>0</v>
      </c>
      <c r="AM325" s="1664">
        <v>43132</v>
      </c>
      <c r="AN325" s="1665">
        <v>17713.86</v>
      </c>
      <c r="AO325" s="1665">
        <v>17713.86</v>
      </c>
      <c r="AP325" s="1665">
        <v>15056.78</v>
      </c>
      <c r="AQ325" s="1665">
        <v>15056.78</v>
      </c>
      <c r="AR325" s="1665">
        <v>0</v>
      </c>
      <c r="AS325" s="1665">
        <v>2657.08</v>
      </c>
      <c r="AT325" s="1665">
        <v>0</v>
      </c>
      <c r="AU325" s="1665">
        <v>2657.08</v>
      </c>
      <c r="AV325" s="1665">
        <v>0</v>
      </c>
      <c r="AW325" s="1665">
        <v>0</v>
      </c>
      <c r="AX325" s="1663"/>
      <c r="AY325" s="1663"/>
      <c r="AZ325" s="1663"/>
      <c r="BA325" s="1668"/>
      <c r="BB325" s="1668"/>
      <c r="BC325" s="1663"/>
      <c r="BD325" s="1663"/>
      <c r="BE325" s="1665">
        <v>17713.86</v>
      </c>
      <c r="BF325" s="1665">
        <v>17713.86</v>
      </c>
      <c r="BG325" s="1665">
        <v>15056.78</v>
      </c>
      <c r="BH325" s="1665">
        <v>15056.78</v>
      </c>
      <c r="BI325" s="1665">
        <v>0</v>
      </c>
      <c r="BJ325" s="1665">
        <v>2657.08</v>
      </c>
      <c r="BK325" s="1665">
        <v>0</v>
      </c>
      <c r="BL325" s="1665">
        <v>2657.08</v>
      </c>
      <c r="BM325" s="1665">
        <v>0</v>
      </c>
      <c r="BN325" s="1665">
        <v>0</v>
      </c>
      <c r="BO325" s="1664">
        <v>43236</v>
      </c>
      <c r="BP325" s="1665">
        <v>17713.86</v>
      </c>
      <c r="BQ325" s="1665">
        <v>17713.86</v>
      </c>
      <c r="BR325" s="1665">
        <v>15056.78</v>
      </c>
      <c r="BS325" s="1667">
        <v>15056.78</v>
      </c>
      <c r="BT325" s="1665">
        <v>0</v>
      </c>
      <c r="BU325" s="1665">
        <v>2657.08</v>
      </c>
      <c r="BV325" s="1665">
        <v>0</v>
      </c>
      <c r="BW325" s="1665">
        <v>0</v>
      </c>
      <c r="BX325" s="1665">
        <v>0</v>
      </c>
      <c r="BY325" s="1665">
        <v>0</v>
      </c>
      <c r="BZ325" s="1665">
        <v>0</v>
      </c>
      <c r="CA325" s="1663"/>
      <c r="CB325" s="1668"/>
      <c r="CC325" s="1668"/>
      <c r="CD325" s="1663"/>
      <c r="CE325" s="1663"/>
      <c r="CF325" s="1665">
        <v>0</v>
      </c>
      <c r="CG325" s="1665">
        <v>0</v>
      </c>
      <c r="CH325" s="1665">
        <v>0</v>
      </c>
      <c r="CI325" s="1665">
        <v>0</v>
      </c>
      <c r="CJ325" s="1665">
        <v>192.73</v>
      </c>
      <c r="CK325" s="1665">
        <v>192.73</v>
      </c>
      <c r="CL325" s="1668"/>
      <c r="CM325" s="1665">
        <v>0</v>
      </c>
      <c r="CN325" s="1665">
        <v>0</v>
      </c>
      <c r="CO325" s="1665">
        <v>0</v>
      </c>
      <c r="CP325" s="1665">
        <v>0</v>
      </c>
      <c r="CQ325" s="1665">
        <v>0</v>
      </c>
      <c r="CR325" s="1665">
        <v>0</v>
      </c>
      <c r="CS325" s="1665">
        <v>0</v>
      </c>
      <c r="CT325" s="1665">
        <v>0</v>
      </c>
      <c r="CU325" s="1665">
        <v>0</v>
      </c>
      <c r="CV325" s="1665">
        <v>0</v>
      </c>
      <c r="CW325" s="1668"/>
      <c r="CX325" s="1663"/>
      <c r="CY325" s="1663"/>
      <c r="CZ325" s="1663"/>
      <c r="DA325" s="1663"/>
      <c r="DB325" s="1668"/>
      <c r="DC325" s="1662"/>
      <c r="DD325" s="1665">
        <v>0</v>
      </c>
      <c r="DE325" s="1663"/>
      <c r="DF325" s="1663"/>
      <c r="DG325" s="1665">
        <v>0</v>
      </c>
      <c r="DH325" s="1665">
        <v>0</v>
      </c>
    </row>
    <row r="326" spans="1:112" ht="56.25" hidden="1" x14ac:dyDescent="0.25">
      <c r="A326" s="1662" t="s">
        <v>2387</v>
      </c>
      <c r="B326" s="1662" t="s">
        <v>1727</v>
      </c>
      <c r="C326" s="1662" t="s">
        <v>2636</v>
      </c>
      <c r="D326" s="1662" t="s">
        <v>2639</v>
      </c>
      <c r="E326" s="1662" t="s">
        <v>2342</v>
      </c>
      <c r="F326" s="1662" t="s">
        <v>2638</v>
      </c>
      <c r="G326" s="1662" t="s">
        <v>2628</v>
      </c>
      <c r="H326" s="1662" t="s">
        <v>2613</v>
      </c>
      <c r="I326" s="1662" t="s">
        <v>741</v>
      </c>
      <c r="J326" s="1662" t="s">
        <v>189</v>
      </c>
      <c r="K326" s="1662" t="s">
        <v>2126</v>
      </c>
      <c r="L326" s="1662" t="s">
        <v>2109</v>
      </c>
      <c r="M326" s="1663"/>
      <c r="N326" s="1663"/>
      <c r="O326" s="1663"/>
      <c r="P326" s="1663"/>
      <c r="Q326" s="1663"/>
      <c r="R326" s="1663"/>
      <c r="S326" s="1663"/>
      <c r="T326" s="1663"/>
      <c r="U326" s="1663"/>
      <c r="V326" s="1663"/>
      <c r="W326" s="1663"/>
      <c r="X326" s="1663"/>
      <c r="Y326" s="1664">
        <v>43143</v>
      </c>
      <c r="Z326" s="1662" t="s">
        <v>2110</v>
      </c>
      <c r="AA326" s="1665">
        <v>0</v>
      </c>
      <c r="AB326" s="1665">
        <v>0</v>
      </c>
      <c r="AC326" s="1680">
        <v>0</v>
      </c>
      <c r="AD326" s="1682">
        <v>43165</v>
      </c>
      <c r="AE326" s="1679" t="s">
        <v>2386</v>
      </c>
      <c r="AF326" s="1662" t="s">
        <v>2115</v>
      </c>
      <c r="AG326" s="1666"/>
      <c r="AH326" s="1667">
        <v>42807.44</v>
      </c>
      <c r="AI326" s="1665">
        <v>42807.44</v>
      </c>
      <c r="AJ326" s="1665">
        <v>36386.33</v>
      </c>
      <c r="AK326" s="1698">
        <v>36386.33</v>
      </c>
      <c r="AL326" s="1665">
        <v>0</v>
      </c>
      <c r="AM326" s="1664">
        <v>43167</v>
      </c>
      <c r="AN326" s="1665">
        <v>42807.44</v>
      </c>
      <c r="AO326" s="1665">
        <v>42807.44</v>
      </c>
      <c r="AP326" s="1665">
        <v>36386.33</v>
      </c>
      <c r="AQ326" s="1665">
        <v>36386.33</v>
      </c>
      <c r="AR326" s="1665">
        <v>0</v>
      </c>
      <c r="AS326" s="1665">
        <v>6421.11</v>
      </c>
      <c r="AT326" s="1665">
        <v>0</v>
      </c>
      <c r="AU326" s="1665">
        <v>6421.11</v>
      </c>
      <c r="AV326" s="1665">
        <v>0</v>
      </c>
      <c r="AW326" s="1665">
        <v>0</v>
      </c>
      <c r="AX326" s="1663"/>
      <c r="AY326" s="1663"/>
      <c r="AZ326" s="1663"/>
      <c r="BA326" s="1668"/>
      <c r="BB326" s="1668"/>
      <c r="BC326" s="1663"/>
      <c r="BD326" s="1663"/>
      <c r="BE326" s="1665">
        <v>42807.44</v>
      </c>
      <c r="BF326" s="1665">
        <v>42807.44</v>
      </c>
      <c r="BG326" s="1665">
        <v>36386.33</v>
      </c>
      <c r="BH326" s="1665">
        <v>36386.33</v>
      </c>
      <c r="BI326" s="1665">
        <v>0</v>
      </c>
      <c r="BJ326" s="1665">
        <v>6421.11</v>
      </c>
      <c r="BK326" s="1665">
        <v>0</v>
      </c>
      <c r="BL326" s="1665">
        <v>6421.11</v>
      </c>
      <c r="BM326" s="1665">
        <v>0</v>
      </c>
      <c r="BN326" s="1665">
        <v>0</v>
      </c>
      <c r="BO326" s="1664">
        <v>43236</v>
      </c>
      <c r="BP326" s="1665">
        <v>42807.44</v>
      </c>
      <c r="BQ326" s="1665">
        <v>42807.44</v>
      </c>
      <c r="BR326" s="1665">
        <v>36386.33</v>
      </c>
      <c r="BS326" s="1667">
        <v>36386.33</v>
      </c>
      <c r="BT326" s="1665">
        <v>0</v>
      </c>
      <c r="BU326" s="1665">
        <v>6421.11</v>
      </c>
      <c r="BV326" s="1665">
        <v>0</v>
      </c>
      <c r="BW326" s="1665">
        <v>0</v>
      </c>
      <c r="BX326" s="1665">
        <v>0</v>
      </c>
      <c r="BY326" s="1665">
        <v>0</v>
      </c>
      <c r="BZ326" s="1665">
        <v>0</v>
      </c>
      <c r="CA326" s="1663"/>
      <c r="CB326" s="1668"/>
      <c r="CC326" s="1668"/>
      <c r="CD326" s="1663"/>
      <c r="CE326" s="1663"/>
      <c r="CF326" s="1665">
        <v>0</v>
      </c>
      <c r="CG326" s="1665">
        <v>0</v>
      </c>
      <c r="CH326" s="1665">
        <v>0</v>
      </c>
      <c r="CI326" s="1665">
        <v>0</v>
      </c>
      <c r="CJ326" s="1665">
        <v>465.76</v>
      </c>
      <c r="CK326" s="1665">
        <v>465.76</v>
      </c>
      <c r="CL326" s="1668"/>
      <c r="CM326" s="1665">
        <v>0</v>
      </c>
      <c r="CN326" s="1665">
        <v>0</v>
      </c>
      <c r="CO326" s="1665">
        <v>0</v>
      </c>
      <c r="CP326" s="1665">
        <v>0</v>
      </c>
      <c r="CQ326" s="1665">
        <v>0</v>
      </c>
      <c r="CR326" s="1665">
        <v>0</v>
      </c>
      <c r="CS326" s="1665">
        <v>0</v>
      </c>
      <c r="CT326" s="1665">
        <v>0</v>
      </c>
      <c r="CU326" s="1665">
        <v>0</v>
      </c>
      <c r="CV326" s="1665">
        <v>0</v>
      </c>
      <c r="CW326" s="1668"/>
      <c r="CX326" s="1663"/>
      <c r="CY326" s="1663"/>
      <c r="CZ326" s="1663"/>
      <c r="DA326" s="1663"/>
      <c r="DB326" s="1668"/>
      <c r="DC326" s="1662"/>
      <c r="DD326" s="1665">
        <v>0</v>
      </c>
      <c r="DE326" s="1663"/>
      <c r="DF326" s="1663"/>
      <c r="DG326" s="1665">
        <v>0</v>
      </c>
      <c r="DH326" s="1665">
        <v>0</v>
      </c>
    </row>
    <row r="327" spans="1:112" ht="56.25" hidden="1" x14ac:dyDescent="0.25">
      <c r="A327" s="1662" t="s">
        <v>2389</v>
      </c>
      <c r="B327" s="1662" t="s">
        <v>1727</v>
      </c>
      <c r="C327" s="1662" t="s">
        <v>2636</v>
      </c>
      <c r="D327" s="1662" t="s">
        <v>2639</v>
      </c>
      <c r="E327" s="1662" t="s">
        <v>2342</v>
      </c>
      <c r="F327" s="1662" t="s">
        <v>2638</v>
      </c>
      <c r="G327" s="1662" t="s">
        <v>2628</v>
      </c>
      <c r="H327" s="1662" t="s">
        <v>2613</v>
      </c>
      <c r="I327" s="1662" t="s">
        <v>741</v>
      </c>
      <c r="J327" s="1662" t="s">
        <v>189</v>
      </c>
      <c r="K327" s="1662" t="s">
        <v>2126</v>
      </c>
      <c r="L327" s="1662" t="s">
        <v>2109</v>
      </c>
      <c r="M327" s="1663"/>
      <c r="N327" s="1663"/>
      <c r="O327" s="1663"/>
      <c r="P327" s="1663"/>
      <c r="Q327" s="1663"/>
      <c r="R327" s="1663"/>
      <c r="S327" s="1663"/>
      <c r="T327" s="1663"/>
      <c r="U327" s="1663"/>
      <c r="V327" s="1663"/>
      <c r="W327" s="1663"/>
      <c r="X327" s="1663"/>
      <c r="Y327" s="1664">
        <v>43173</v>
      </c>
      <c r="Z327" s="1662" t="s">
        <v>2110</v>
      </c>
      <c r="AA327" s="1665">
        <v>0</v>
      </c>
      <c r="AB327" s="1665">
        <v>0</v>
      </c>
      <c r="AC327" s="1680">
        <v>0</v>
      </c>
      <c r="AD327" s="1682">
        <v>43188</v>
      </c>
      <c r="AE327" s="1679" t="s">
        <v>2388</v>
      </c>
      <c r="AF327" s="1662" t="s">
        <v>2115</v>
      </c>
      <c r="AG327" s="1666"/>
      <c r="AH327" s="1667">
        <v>51266.97</v>
      </c>
      <c r="AI327" s="1665">
        <v>51266.97</v>
      </c>
      <c r="AJ327" s="1665">
        <v>43576.92</v>
      </c>
      <c r="AK327" s="1698">
        <v>43576.92</v>
      </c>
      <c r="AL327" s="1665">
        <v>0</v>
      </c>
      <c r="AM327" s="1664">
        <v>43193</v>
      </c>
      <c r="AN327" s="1665">
        <v>51266.97</v>
      </c>
      <c r="AO327" s="1665">
        <v>51266.97</v>
      </c>
      <c r="AP327" s="1665">
        <v>43576.92</v>
      </c>
      <c r="AQ327" s="1665">
        <v>43576.92</v>
      </c>
      <c r="AR327" s="1665">
        <v>0</v>
      </c>
      <c r="AS327" s="1665">
        <v>7690.05</v>
      </c>
      <c r="AT327" s="1665">
        <v>0</v>
      </c>
      <c r="AU327" s="1665">
        <v>7690.05</v>
      </c>
      <c r="AV327" s="1665">
        <v>0</v>
      </c>
      <c r="AW327" s="1665">
        <v>0</v>
      </c>
      <c r="AX327" s="1663"/>
      <c r="AY327" s="1663"/>
      <c r="AZ327" s="1663"/>
      <c r="BA327" s="1668"/>
      <c r="BB327" s="1668"/>
      <c r="BC327" s="1663"/>
      <c r="BD327" s="1663"/>
      <c r="BE327" s="1665">
        <v>51266.97</v>
      </c>
      <c r="BF327" s="1665">
        <v>51266.97</v>
      </c>
      <c r="BG327" s="1665">
        <v>43576.92</v>
      </c>
      <c r="BH327" s="1665">
        <v>43576.92</v>
      </c>
      <c r="BI327" s="1665">
        <v>0</v>
      </c>
      <c r="BJ327" s="1665">
        <v>7690.05</v>
      </c>
      <c r="BK327" s="1665">
        <v>0</v>
      </c>
      <c r="BL327" s="1665">
        <v>7690.05</v>
      </c>
      <c r="BM327" s="1665">
        <v>0</v>
      </c>
      <c r="BN327" s="1665">
        <v>0</v>
      </c>
      <c r="BO327" s="1664">
        <v>43364</v>
      </c>
      <c r="BP327" s="1665">
        <v>51266.97</v>
      </c>
      <c r="BQ327" s="1665">
        <v>51266.97</v>
      </c>
      <c r="BR327" s="1665">
        <v>43576.92</v>
      </c>
      <c r="BS327" s="1667">
        <v>43576.92</v>
      </c>
      <c r="BT327" s="1665">
        <v>0</v>
      </c>
      <c r="BU327" s="1665">
        <v>7690.05</v>
      </c>
      <c r="BV327" s="1665">
        <v>0</v>
      </c>
      <c r="BW327" s="1665">
        <v>0</v>
      </c>
      <c r="BX327" s="1665">
        <v>0</v>
      </c>
      <c r="BY327" s="1665">
        <v>0</v>
      </c>
      <c r="BZ327" s="1665">
        <v>0</v>
      </c>
      <c r="CA327" s="1663"/>
      <c r="CB327" s="1668"/>
      <c r="CC327" s="1668"/>
      <c r="CD327" s="1663"/>
      <c r="CE327" s="1663"/>
      <c r="CF327" s="1665">
        <v>0</v>
      </c>
      <c r="CG327" s="1665">
        <v>0</v>
      </c>
      <c r="CH327" s="1665">
        <v>0</v>
      </c>
      <c r="CI327" s="1665">
        <v>0</v>
      </c>
      <c r="CJ327" s="1665">
        <v>557.79999999999995</v>
      </c>
      <c r="CK327" s="1665">
        <v>557.79999999999995</v>
      </c>
      <c r="CL327" s="1668"/>
      <c r="CM327" s="1665">
        <v>0</v>
      </c>
      <c r="CN327" s="1665">
        <v>0</v>
      </c>
      <c r="CO327" s="1665">
        <v>0</v>
      </c>
      <c r="CP327" s="1665">
        <v>0</v>
      </c>
      <c r="CQ327" s="1665">
        <v>0</v>
      </c>
      <c r="CR327" s="1665">
        <v>0</v>
      </c>
      <c r="CS327" s="1665">
        <v>0</v>
      </c>
      <c r="CT327" s="1665">
        <v>0</v>
      </c>
      <c r="CU327" s="1665">
        <v>0</v>
      </c>
      <c r="CV327" s="1665">
        <v>0</v>
      </c>
      <c r="CW327" s="1668"/>
      <c r="CX327" s="1663"/>
      <c r="CY327" s="1663"/>
      <c r="CZ327" s="1663"/>
      <c r="DA327" s="1663"/>
      <c r="DB327" s="1668"/>
      <c r="DC327" s="1662"/>
      <c r="DD327" s="1665">
        <v>0</v>
      </c>
      <c r="DE327" s="1663"/>
      <c r="DF327" s="1663"/>
      <c r="DG327" s="1665">
        <v>0</v>
      </c>
      <c r="DH327" s="1665">
        <v>0</v>
      </c>
    </row>
    <row r="328" spans="1:112" ht="56.25" hidden="1" x14ac:dyDescent="0.25">
      <c r="A328" s="1662" t="s">
        <v>2391</v>
      </c>
      <c r="B328" s="1662" t="s">
        <v>1727</v>
      </c>
      <c r="C328" s="1662" t="s">
        <v>2636</v>
      </c>
      <c r="D328" s="1662" t="s">
        <v>2639</v>
      </c>
      <c r="E328" s="1662" t="s">
        <v>2342</v>
      </c>
      <c r="F328" s="1662" t="s">
        <v>2638</v>
      </c>
      <c r="G328" s="1662" t="s">
        <v>2628</v>
      </c>
      <c r="H328" s="1662" t="s">
        <v>2613</v>
      </c>
      <c r="I328" s="1662" t="s">
        <v>741</v>
      </c>
      <c r="J328" s="1662" t="s">
        <v>189</v>
      </c>
      <c r="K328" s="1662" t="s">
        <v>2126</v>
      </c>
      <c r="L328" s="1662" t="s">
        <v>2109</v>
      </c>
      <c r="M328" s="1663"/>
      <c r="N328" s="1663"/>
      <c r="O328" s="1663"/>
      <c r="P328" s="1663"/>
      <c r="Q328" s="1663"/>
      <c r="R328" s="1663"/>
      <c r="S328" s="1663"/>
      <c r="T328" s="1663"/>
      <c r="U328" s="1663"/>
      <c r="V328" s="1663"/>
      <c r="W328" s="1663"/>
      <c r="X328" s="1663"/>
      <c r="Y328" s="1664">
        <v>43215</v>
      </c>
      <c r="Z328" s="1662" t="s">
        <v>2110</v>
      </c>
      <c r="AA328" s="1665">
        <v>0</v>
      </c>
      <c r="AB328" s="1665">
        <v>0</v>
      </c>
      <c r="AC328" s="1680">
        <v>0</v>
      </c>
      <c r="AD328" s="1682">
        <v>43231</v>
      </c>
      <c r="AE328" s="1679" t="s">
        <v>2390</v>
      </c>
      <c r="AF328" s="1662" t="s">
        <v>2112</v>
      </c>
      <c r="AG328" s="1666"/>
      <c r="AH328" s="1667">
        <v>1753.07</v>
      </c>
      <c r="AI328" s="1665">
        <v>1753.07</v>
      </c>
      <c r="AJ328" s="1665">
        <v>1490.11</v>
      </c>
      <c r="AK328" s="1698">
        <v>1490.11</v>
      </c>
      <c r="AL328" s="1665">
        <v>0</v>
      </c>
      <c r="AM328" s="1664">
        <v>43231</v>
      </c>
      <c r="AN328" s="1665">
        <v>1753.07</v>
      </c>
      <c r="AO328" s="1665">
        <v>1753.07</v>
      </c>
      <c r="AP328" s="1665">
        <v>1490.11</v>
      </c>
      <c r="AQ328" s="1665">
        <v>1490.11</v>
      </c>
      <c r="AR328" s="1665">
        <v>0</v>
      </c>
      <c r="AS328" s="1665">
        <v>262.95999999999998</v>
      </c>
      <c r="AT328" s="1665">
        <v>0</v>
      </c>
      <c r="AU328" s="1665">
        <v>262.95999999999998</v>
      </c>
      <c r="AV328" s="1665">
        <v>0</v>
      </c>
      <c r="AW328" s="1665">
        <v>0</v>
      </c>
      <c r="AX328" s="1663"/>
      <c r="AY328" s="1663"/>
      <c r="AZ328" s="1663"/>
      <c r="BA328" s="1668"/>
      <c r="BB328" s="1668"/>
      <c r="BC328" s="1663"/>
      <c r="BD328" s="1663"/>
      <c r="BE328" s="1665">
        <v>1753.07</v>
      </c>
      <c r="BF328" s="1665">
        <v>1753.07</v>
      </c>
      <c r="BG328" s="1665">
        <v>1490.11</v>
      </c>
      <c r="BH328" s="1665">
        <v>1490.11</v>
      </c>
      <c r="BI328" s="1665">
        <v>0</v>
      </c>
      <c r="BJ328" s="1665">
        <v>262.95999999999998</v>
      </c>
      <c r="BK328" s="1665">
        <v>0</v>
      </c>
      <c r="BL328" s="1665">
        <v>262.95999999999998</v>
      </c>
      <c r="BM328" s="1665">
        <v>0</v>
      </c>
      <c r="BN328" s="1665">
        <v>0</v>
      </c>
      <c r="BO328" s="1664">
        <v>43364</v>
      </c>
      <c r="BP328" s="1665">
        <v>1753.07</v>
      </c>
      <c r="BQ328" s="1665">
        <v>1753.07</v>
      </c>
      <c r="BR328" s="1665">
        <v>1490.11</v>
      </c>
      <c r="BS328" s="1667">
        <v>1490.11</v>
      </c>
      <c r="BT328" s="1665">
        <v>0</v>
      </c>
      <c r="BU328" s="1665">
        <v>262.95999999999998</v>
      </c>
      <c r="BV328" s="1665">
        <v>0</v>
      </c>
      <c r="BW328" s="1665">
        <v>0</v>
      </c>
      <c r="BX328" s="1665">
        <v>0</v>
      </c>
      <c r="BY328" s="1665">
        <v>0</v>
      </c>
      <c r="BZ328" s="1665">
        <v>0</v>
      </c>
      <c r="CA328" s="1663"/>
      <c r="CB328" s="1668"/>
      <c r="CC328" s="1668"/>
      <c r="CD328" s="1663"/>
      <c r="CE328" s="1663"/>
      <c r="CF328" s="1665">
        <v>0</v>
      </c>
      <c r="CG328" s="1665">
        <v>0</v>
      </c>
      <c r="CH328" s="1665">
        <v>0</v>
      </c>
      <c r="CI328" s="1665">
        <v>0</v>
      </c>
      <c r="CJ328" s="1665">
        <v>19.07</v>
      </c>
      <c r="CK328" s="1665">
        <v>19.07</v>
      </c>
      <c r="CL328" s="1668"/>
      <c r="CM328" s="1665">
        <v>0</v>
      </c>
      <c r="CN328" s="1665">
        <v>0</v>
      </c>
      <c r="CO328" s="1665">
        <v>0</v>
      </c>
      <c r="CP328" s="1665">
        <v>0</v>
      </c>
      <c r="CQ328" s="1665">
        <v>0</v>
      </c>
      <c r="CR328" s="1665">
        <v>0</v>
      </c>
      <c r="CS328" s="1665">
        <v>0</v>
      </c>
      <c r="CT328" s="1665">
        <v>0</v>
      </c>
      <c r="CU328" s="1665">
        <v>0</v>
      </c>
      <c r="CV328" s="1665">
        <v>0</v>
      </c>
      <c r="CW328" s="1668"/>
      <c r="CX328" s="1663"/>
      <c r="CY328" s="1663"/>
      <c r="CZ328" s="1663"/>
      <c r="DA328" s="1663"/>
      <c r="DB328" s="1668"/>
      <c r="DC328" s="1662"/>
      <c r="DD328" s="1665">
        <v>0</v>
      </c>
      <c r="DE328" s="1663"/>
      <c r="DF328" s="1663"/>
      <c r="DG328" s="1665">
        <v>0</v>
      </c>
      <c r="DH328" s="1665">
        <v>0</v>
      </c>
    </row>
    <row r="329" spans="1:112" ht="56.25" hidden="1" x14ac:dyDescent="0.25">
      <c r="A329" s="1662" t="s">
        <v>2393</v>
      </c>
      <c r="B329" s="1662" t="s">
        <v>1727</v>
      </c>
      <c r="C329" s="1662" t="s">
        <v>2636</v>
      </c>
      <c r="D329" s="1662" t="s">
        <v>2639</v>
      </c>
      <c r="E329" s="1662" t="s">
        <v>2342</v>
      </c>
      <c r="F329" s="1662" t="s">
        <v>2638</v>
      </c>
      <c r="G329" s="1662" t="s">
        <v>2628</v>
      </c>
      <c r="H329" s="1662" t="s">
        <v>2613</v>
      </c>
      <c r="I329" s="1662" t="s">
        <v>741</v>
      </c>
      <c r="J329" s="1662" t="s">
        <v>189</v>
      </c>
      <c r="K329" s="1662" t="s">
        <v>2126</v>
      </c>
      <c r="L329" s="1662" t="s">
        <v>2109</v>
      </c>
      <c r="M329" s="1663"/>
      <c r="N329" s="1663"/>
      <c r="O329" s="1663"/>
      <c r="P329" s="1663"/>
      <c r="Q329" s="1663"/>
      <c r="R329" s="1663"/>
      <c r="S329" s="1663"/>
      <c r="T329" s="1663"/>
      <c r="U329" s="1663"/>
      <c r="V329" s="1663"/>
      <c r="W329" s="1663"/>
      <c r="X329" s="1663"/>
      <c r="Y329" s="1664">
        <v>43298</v>
      </c>
      <c r="Z329" s="1662" t="s">
        <v>2110</v>
      </c>
      <c r="AA329" s="1665">
        <v>0</v>
      </c>
      <c r="AB329" s="1665">
        <v>0</v>
      </c>
      <c r="AC329" s="1680">
        <v>0</v>
      </c>
      <c r="AD329" s="1682">
        <v>43313</v>
      </c>
      <c r="AE329" s="1679" t="s">
        <v>2392</v>
      </c>
      <c r="AF329" s="1662" t="s">
        <v>2112</v>
      </c>
      <c r="AG329" s="1666"/>
      <c r="AH329" s="1667">
        <v>31165.59</v>
      </c>
      <c r="AI329" s="1665">
        <v>31165.59</v>
      </c>
      <c r="AJ329" s="1665">
        <v>26490.75</v>
      </c>
      <c r="AK329" s="1698">
        <v>26490.75</v>
      </c>
      <c r="AL329" s="1665">
        <v>0</v>
      </c>
      <c r="AM329" s="1664">
        <v>43313</v>
      </c>
      <c r="AN329" s="1665">
        <v>31165.59</v>
      </c>
      <c r="AO329" s="1665">
        <v>31165.59</v>
      </c>
      <c r="AP329" s="1665">
        <v>26490.75</v>
      </c>
      <c r="AQ329" s="1665">
        <v>26490.75</v>
      </c>
      <c r="AR329" s="1665">
        <v>0</v>
      </c>
      <c r="AS329" s="1665">
        <v>4674.84</v>
      </c>
      <c r="AT329" s="1665">
        <v>0</v>
      </c>
      <c r="AU329" s="1665">
        <v>4674.84</v>
      </c>
      <c r="AV329" s="1665">
        <v>0</v>
      </c>
      <c r="AW329" s="1665">
        <v>0</v>
      </c>
      <c r="AX329" s="1663"/>
      <c r="AY329" s="1663"/>
      <c r="AZ329" s="1663"/>
      <c r="BA329" s="1668"/>
      <c r="BB329" s="1668"/>
      <c r="BC329" s="1663"/>
      <c r="BD329" s="1663"/>
      <c r="BE329" s="1665">
        <v>31165.59</v>
      </c>
      <c r="BF329" s="1665">
        <v>31165.59</v>
      </c>
      <c r="BG329" s="1665">
        <v>26490.75</v>
      </c>
      <c r="BH329" s="1665">
        <v>26490.75</v>
      </c>
      <c r="BI329" s="1665">
        <v>0</v>
      </c>
      <c r="BJ329" s="1665">
        <v>4674.84</v>
      </c>
      <c r="BK329" s="1665">
        <v>0</v>
      </c>
      <c r="BL329" s="1665">
        <v>4674.84</v>
      </c>
      <c r="BM329" s="1665">
        <v>0</v>
      </c>
      <c r="BN329" s="1665">
        <v>0</v>
      </c>
      <c r="BO329" s="1668"/>
      <c r="BP329" s="1665">
        <v>0</v>
      </c>
      <c r="BQ329" s="1665">
        <v>0</v>
      </c>
      <c r="BR329" s="1665">
        <v>0</v>
      </c>
      <c r="BS329" s="1667">
        <v>0</v>
      </c>
      <c r="BT329" s="1665">
        <v>0</v>
      </c>
      <c r="BU329" s="1665">
        <v>0</v>
      </c>
      <c r="BV329" s="1665">
        <v>0</v>
      </c>
      <c r="BW329" s="1665">
        <v>0</v>
      </c>
      <c r="BX329" s="1665">
        <v>0</v>
      </c>
      <c r="BY329" s="1665">
        <v>0</v>
      </c>
      <c r="BZ329" s="1665">
        <v>0</v>
      </c>
      <c r="CA329" s="1663"/>
      <c r="CB329" s="1668"/>
      <c r="CC329" s="1668"/>
      <c r="CD329" s="1663"/>
      <c r="CE329" s="1663"/>
      <c r="CF329" s="1665">
        <v>0</v>
      </c>
      <c r="CG329" s="1665">
        <v>0</v>
      </c>
      <c r="CH329" s="1665">
        <v>0</v>
      </c>
      <c r="CI329" s="1665">
        <v>0</v>
      </c>
      <c r="CJ329" s="1665">
        <v>0</v>
      </c>
      <c r="CK329" s="1665">
        <v>0</v>
      </c>
      <c r="CL329" s="1668"/>
      <c r="CM329" s="1665">
        <v>0</v>
      </c>
      <c r="CN329" s="1665">
        <v>0</v>
      </c>
      <c r="CO329" s="1665">
        <v>0</v>
      </c>
      <c r="CP329" s="1665">
        <v>0</v>
      </c>
      <c r="CQ329" s="1665">
        <v>0</v>
      </c>
      <c r="CR329" s="1665">
        <v>0</v>
      </c>
      <c r="CS329" s="1665">
        <v>0</v>
      </c>
      <c r="CT329" s="1665">
        <v>0</v>
      </c>
      <c r="CU329" s="1665">
        <v>0</v>
      </c>
      <c r="CV329" s="1665">
        <v>0</v>
      </c>
      <c r="CW329" s="1668"/>
      <c r="CX329" s="1663"/>
      <c r="CY329" s="1663"/>
      <c r="CZ329" s="1663"/>
      <c r="DA329" s="1663"/>
      <c r="DB329" s="1668"/>
      <c r="DC329" s="1662"/>
      <c r="DD329" s="1665">
        <v>0</v>
      </c>
      <c r="DE329" s="1663"/>
      <c r="DF329" s="1663"/>
      <c r="DG329" s="1665">
        <v>0</v>
      </c>
      <c r="DH329" s="1665">
        <v>0</v>
      </c>
    </row>
    <row r="330" spans="1:112" hidden="1" x14ac:dyDescent="0.25">
      <c r="A330" s="1662" t="s">
        <v>2394</v>
      </c>
      <c r="B330" s="1662" t="s">
        <v>1727</v>
      </c>
      <c r="C330" s="1662" t="s">
        <v>2640</v>
      </c>
      <c r="D330" s="1662"/>
      <c r="E330" s="1662"/>
      <c r="F330" s="1662"/>
      <c r="G330" s="1662"/>
      <c r="H330" s="1662"/>
      <c r="I330" s="1662"/>
      <c r="J330" s="1662"/>
      <c r="K330" s="1662"/>
      <c r="L330" s="1662"/>
      <c r="M330" s="1665">
        <v>605024.19999999995</v>
      </c>
      <c r="N330" s="1665">
        <v>0</v>
      </c>
      <c r="O330" s="1665">
        <v>605024.19999999995</v>
      </c>
      <c r="P330" s="1665">
        <v>605024.19999999995</v>
      </c>
      <c r="Q330" s="1665">
        <v>559647.38</v>
      </c>
      <c r="R330" s="1665">
        <v>514270.57</v>
      </c>
      <c r="S330" s="1665">
        <v>45376.81</v>
      </c>
      <c r="T330" s="1665">
        <v>45376.82</v>
      </c>
      <c r="U330" s="1665">
        <v>0</v>
      </c>
      <c r="V330" s="1665">
        <v>45376.82</v>
      </c>
      <c r="W330" s="1665">
        <v>0</v>
      </c>
      <c r="X330" s="1665">
        <v>0</v>
      </c>
      <c r="Y330" s="1668"/>
      <c r="Z330" s="1662"/>
      <c r="AA330" s="1665">
        <v>0</v>
      </c>
      <c r="AB330" s="1665">
        <v>0</v>
      </c>
      <c r="AC330" s="1680">
        <v>0</v>
      </c>
      <c r="AD330" s="1681"/>
      <c r="AE330" s="1679"/>
      <c r="AF330" s="1662"/>
      <c r="AG330" s="1666"/>
      <c r="AH330" s="1667">
        <v>55957.7</v>
      </c>
      <c r="AI330" s="1665">
        <v>55957.7</v>
      </c>
      <c r="AJ330" s="1665">
        <v>51910.879999999997</v>
      </c>
      <c r="AK330" s="1698">
        <v>47701.89</v>
      </c>
      <c r="AL330" s="1665">
        <v>4208.99</v>
      </c>
      <c r="AM330" s="1668"/>
      <c r="AN330" s="1665">
        <v>53957.7</v>
      </c>
      <c r="AO330" s="1665">
        <v>53957.7</v>
      </c>
      <c r="AP330" s="1665">
        <v>49910.879999999997</v>
      </c>
      <c r="AQ330" s="1665">
        <v>45864.05</v>
      </c>
      <c r="AR330" s="1665">
        <v>4046.83</v>
      </c>
      <c r="AS330" s="1665">
        <v>4046.82</v>
      </c>
      <c r="AT330" s="1665">
        <v>0</v>
      </c>
      <c r="AU330" s="1665">
        <v>4046.82</v>
      </c>
      <c r="AV330" s="1665">
        <v>0</v>
      </c>
      <c r="AW330" s="1665">
        <v>0</v>
      </c>
      <c r="AX330" s="1665">
        <v>0</v>
      </c>
      <c r="AY330" s="1665">
        <v>0</v>
      </c>
      <c r="AZ330" s="1665">
        <v>0</v>
      </c>
      <c r="BA330" s="1668"/>
      <c r="BB330" s="1668"/>
      <c r="BC330" s="1665">
        <v>0</v>
      </c>
      <c r="BD330" s="1665">
        <v>0</v>
      </c>
      <c r="BE330" s="1665">
        <v>53957.7</v>
      </c>
      <c r="BF330" s="1665">
        <v>53957.7</v>
      </c>
      <c r="BG330" s="1665">
        <v>49910.879999999997</v>
      </c>
      <c r="BH330" s="1665">
        <v>45864.05</v>
      </c>
      <c r="BI330" s="1665">
        <v>4046.83</v>
      </c>
      <c r="BJ330" s="1665">
        <v>4046.82</v>
      </c>
      <c r="BK330" s="1665">
        <v>0</v>
      </c>
      <c r="BL330" s="1665">
        <v>4046.82</v>
      </c>
      <c r="BM330" s="1665">
        <v>0</v>
      </c>
      <c r="BN330" s="1665">
        <v>0</v>
      </c>
      <c r="BO330" s="1668"/>
      <c r="BP330" s="1665">
        <v>33216.080000000002</v>
      </c>
      <c r="BQ330" s="1665">
        <v>33216.080000000002</v>
      </c>
      <c r="BR330" s="1665">
        <v>30724.880000000001</v>
      </c>
      <c r="BS330" s="1667">
        <v>28233.67</v>
      </c>
      <c r="BT330" s="1665">
        <v>2491.21</v>
      </c>
      <c r="BU330" s="1665">
        <v>2491.1999999999998</v>
      </c>
      <c r="BV330" s="1665">
        <v>0</v>
      </c>
      <c r="BW330" s="1665">
        <v>0</v>
      </c>
      <c r="BX330" s="1665">
        <v>0</v>
      </c>
      <c r="BY330" s="1665">
        <v>0</v>
      </c>
      <c r="BZ330" s="1665">
        <v>0</v>
      </c>
      <c r="CA330" s="1665">
        <v>0</v>
      </c>
      <c r="CB330" s="1668"/>
      <c r="CC330" s="1668"/>
      <c r="CD330" s="1665">
        <v>0</v>
      </c>
      <c r="CE330" s="1665">
        <v>0</v>
      </c>
      <c r="CF330" s="1665">
        <v>0</v>
      </c>
      <c r="CG330" s="1665">
        <v>0</v>
      </c>
      <c r="CH330" s="1665">
        <v>0</v>
      </c>
      <c r="CI330" s="1665">
        <v>0</v>
      </c>
      <c r="CJ330" s="1665">
        <v>332.12</v>
      </c>
      <c r="CK330" s="1665">
        <v>332.12</v>
      </c>
      <c r="CL330" s="1668"/>
      <c r="CM330" s="1665">
        <v>0</v>
      </c>
      <c r="CN330" s="1665">
        <v>0</v>
      </c>
      <c r="CO330" s="1665">
        <v>0</v>
      </c>
      <c r="CP330" s="1665">
        <v>0</v>
      </c>
      <c r="CQ330" s="1665">
        <v>0</v>
      </c>
      <c r="CR330" s="1665">
        <v>0</v>
      </c>
      <c r="CS330" s="1665">
        <v>0</v>
      </c>
      <c r="CT330" s="1665">
        <v>0</v>
      </c>
      <c r="CU330" s="1665">
        <v>0</v>
      </c>
      <c r="CV330" s="1665">
        <v>0</v>
      </c>
      <c r="CW330" s="1668"/>
      <c r="CX330" s="1665">
        <v>0</v>
      </c>
      <c r="CY330" s="1665">
        <v>0</v>
      </c>
      <c r="CZ330" s="1665">
        <v>0</v>
      </c>
      <c r="DA330" s="1665">
        <v>0</v>
      </c>
      <c r="DB330" s="1668"/>
      <c r="DC330" s="1662"/>
      <c r="DD330" s="1665">
        <v>0</v>
      </c>
      <c r="DE330" s="1665">
        <v>0</v>
      </c>
      <c r="DF330" s="1665">
        <v>0</v>
      </c>
      <c r="DG330" s="1665">
        <v>0</v>
      </c>
      <c r="DH330" s="1665">
        <v>0</v>
      </c>
    </row>
    <row r="331" spans="1:112" hidden="1" x14ac:dyDescent="0.25">
      <c r="A331" s="1662" t="s">
        <v>2395</v>
      </c>
      <c r="B331" s="1662" t="s">
        <v>1727</v>
      </c>
      <c r="C331" s="1662" t="s">
        <v>2640</v>
      </c>
      <c r="D331" s="1662" t="s">
        <v>2641</v>
      </c>
      <c r="E331" s="1662"/>
      <c r="F331" s="1662"/>
      <c r="G331" s="1662"/>
      <c r="H331" s="1662"/>
      <c r="I331" s="1662"/>
      <c r="J331" s="1662"/>
      <c r="K331" s="1662"/>
      <c r="L331" s="1662"/>
      <c r="M331" s="1665">
        <v>605024.19999999995</v>
      </c>
      <c r="N331" s="1665">
        <v>0</v>
      </c>
      <c r="O331" s="1665">
        <v>605024.19999999995</v>
      </c>
      <c r="P331" s="1665">
        <v>605024.19999999995</v>
      </c>
      <c r="Q331" s="1665">
        <v>559647.38</v>
      </c>
      <c r="R331" s="1665">
        <v>514270.57</v>
      </c>
      <c r="S331" s="1665">
        <v>45376.81</v>
      </c>
      <c r="T331" s="1665">
        <v>45376.82</v>
      </c>
      <c r="U331" s="1665">
        <v>0</v>
      </c>
      <c r="V331" s="1665">
        <v>45376.82</v>
      </c>
      <c r="W331" s="1665">
        <v>0</v>
      </c>
      <c r="X331" s="1665">
        <v>0</v>
      </c>
      <c r="Y331" s="1668"/>
      <c r="Z331" s="1662"/>
      <c r="AA331" s="1665">
        <v>0</v>
      </c>
      <c r="AB331" s="1665">
        <v>0</v>
      </c>
      <c r="AC331" s="1680">
        <v>0</v>
      </c>
      <c r="AD331" s="1681"/>
      <c r="AE331" s="1679"/>
      <c r="AF331" s="1662"/>
      <c r="AG331" s="1666"/>
      <c r="AH331" s="1667">
        <v>55957.7</v>
      </c>
      <c r="AI331" s="1665">
        <v>55957.7</v>
      </c>
      <c r="AJ331" s="1665">
        <v>51910.879999999997</v>
      </c>
      <c r="AK331" s="1698">
        <v>47701.89</v>
      </c>
      <c r="AL331" s="1665">
        <v>4208.99</v>
      </c>
      <c r="AM331" s="1668"/>
      <c r="AN331" s="1665">
        <v>53957.7</v>
      </c>
      <c r="AO331" s="1665">
        <v>53957.7</v>
      </c>
      <c r="AP331" s="1665">
        <v>49910.879999999997</v>
      </c>
      <c r="AQ331" s="1665">
        <v>45864.05</v>
      </c>
      <c r="AR331" s="1665">
        <v>4046.83</v>
      </c>
      <c r="AS331" s="1665">
        <v>4046.82</v>
      </c>
      <c r="AT331" s="1665">
        <v>0</v>
      </c>
      <c r="AU331" s="1665">
        <v>4046.82</v>
      </c>
      <c r="AV331" s="1665">
        <v>0</v>
      </c>
      <c r="AW331" s="1665">
        <v>0</v>
      </c>
      <c r="AX331" s="1665">
        <v>0</v>
      </c>
      <c r="AY331" s="1665">
        <v>0</v>
      </c>
      <c r="AZ331" s="1665">
        <v>0</v>
      </c>
      <c r="BA331" s="1668"/>
      <c r="BB331" s="1668"/>
      <c r="BC331" s="1665">
        <v>0</v>
      </c>
      <c r="BD331" s="1665">
        <v>0</v>
      </c>
      <c r="BE331" s="1665">
        <v>53957.7</v>
      </c>
      <c r="BF331" s="1665">
        <v>53957.7</v>
      </c>
      <c r="BG331" s="1665">
        <v>49910.879999999997</v>
      </c>
      <c r="BH331" s="1665">
        <v>45864.05</v>
      </c>
      <c r="BI331" s="1665">
        <v>4046.83</v>
      </c>
      <c r="BJ331" s="1665">
        <v>4046.82</v>
      </c>
      <c r="BK331" s="1665">
        <v>0</v>
      </c>
      <c r="BL331" s="1665">
        <v>4046.82</v>
      </c>
      <c r="BM331" s="1665">
        <v>0</v>
      </c>
      <c r="BN331" s="1665">
        <v>0</v>
      </c>
      <c r="BO331" s="1668"/>
      <c r="BP331" s="1665">
        <v>33216.080000000002</v>
      </c>
      <c r="BQ331" s="1665">
        <v>33216.080000000002</v>
      </c>
      <c r="BR331" s="1665">
        <v>30724.880000000001</v>
      </c>
      <c r="BS331" s="1667">
        <v>28233.67</v>
      </c>
      <c r="BT331" s="1665">
        <v>2491.21</v>
      </c>
      <c r="BU331" s="1665">
        <v>2491.1999999999998</v>
      </c>
      <c r="BV331" s="1665">
        <v>0</v>
      </c>
      <c r="BW331" s="1665">
        <v>0</v>
      </c>
      <c r="BX331" s="1665">
        <v>0</v>
      </c>
      <c r="BY331" s="1665">
        <v>0</v>
      </c>
      <c r="BZ331" s="1665">
        <v>0</v>
      </c>
      <c r="CA331" s="1665">
        <v>0</v>
      </c>
      <c r="CB331" s="1668"/>
      <c r="CC331" s="1668"/>
      <c r="CD331" s="1665">
        <v>0</v>
      </c>
      <c r="CE331" s="1665">
        <v>0</v>
      </c>
      <c r="CF331" s="1665">
        <v>0</v>
      </c>
      <c r="CG331" s="1665">
        <v>0</v>
      </c>
      <c r="CH331" s="1665">
        <v>0</v>
      </c>
      <c r="CI331" s="1665">
        <v>0</v>
      </c>
      <c r="CJ331" s="1665">
        <v>332.12</v>
      </c>
      <c r="CK331" s="1665">
        <v>332.12</v>
      </c>
      <c r="CL331" s="1668"/>
      <c r="CM331" s="1665">
        <v>0</v>
      </c>
      <c r="CN331" s="1665">
        <v>0</v>
      </c>
      <c r="CO331" s="1665">
        <v>0</v>
      </c>
      <c r="CP331" s="1665">
        <v>0</v>
      </c>
      <c r="CQ331" s="1665">
        <v>0</v>
      </c>
      <c r="CR331" s="1665">
        <v>0</v>
      </c>
      <c r="CS331" s="1665">
        <v>0</v>
      </c>
      <c r="CT331" s="1665">
        <v>0</v>
      </c>
      <c r="CU331" s="1665">
        <v>0</v>
      </c>
      <c r="CV331" s="1665">
        <v>0</v>
      </c>
      <c r="CW331" s="1668"/>
      <c r="CX331" s="1665">
        <v>0</v>
      </c>
      <c r="CY331" s="1665">
        <v>0</v>
      </c>
      <c r="CZ331" s="1665">
        <v>0</v>
      </c>
      <c r="DA331" s="1665">
        <v>0</v>
      </c>
      <c r="DB331" s="1668"/>
      <c r="DC331" s="1662"/>
      <c r="DD331" s="1665">
        <v>0</v>
      </c>
      <c r="DE331" s="1665">
        <v>0</v>
      </c>
      <c r="DF331" s="1665">
        <v>0</v>
      </c>
      <c r="DG331" s="1665">
        <v>0</v>
      </c>
      <c r="DH331" s="1665">
        <v>0</v>
      </c>
    </row>
    <row r="332" spans="1:112" ht="22.5" hidden="1" x14ac:dyDescent="0.25">
      <c r="A332" s="1662" t="s">
        <v>2397</v>
      </c>
      <c r="B332" s="1662" t="s">
        <v>1727</v>
      </c>
      <c r="C332" s="1662" t="s">
        <v>2640</v>
      </c>
      <c r="D332" s="1662" t="s">
        <v>2641</v>
      </c>
      <c r="E332" s="1662" t="s">
        <v>2396</v>
      </c>
      <c r="F332" s="1662"/>
      <c r="G332" s="1662"/>
      <c r="H332" s="1662"/>
      <c r="I332" s="1662"/>
      <c r="J332" s="1662"/>
      <c r="K332" s="1662"/>
      <c r="L332" s="1662"/>
      <c r="M332" s="1665">
        <v>605024.19999999995</v>
      </c>
      <c r="N332" s="1665">
        <v>0</v>
      </c>
      <c r="O332" s="1665">
        <v>605024.19999999995</v>
      </c>
      <c r="P332" s="1665">
        <v>605024.19999999995</v>
      </c>
      <c r="Q332" s="1665">
        <v>559647.38</v>
      </c>
      <c r="R332" s="1665">
        <v>514270.57</v>
      </c>
      <c r="S332" s="1665">
        <v>45376.81</v>
      </c>
      <c r="T332" s="1665">
        <v>45376.82</v>
      </c>
      <c r="U332" s="1665">
        <v>0</v>
      </c>
      <c r="V332" s="1665">
        <v>45376.82</v>
      </c>
      <c r="W332" s="1665">
        <v>0</v>
      </c>
      <c r="X332" s="1665">
        <v>0</v>
      </c>
      <c r="Y332" s="1668"/>
      <c r="Z332" s="1662"/>
      <c r="AA332" s="1665">
        <v>0</v>
      </c>
      <c r="AB332" s="1665">
        <v>0</v>
      </c>
      <c r="AC332" s="1680">
        <v>0</v>
      </c>
      <c r="AD332" s="1681"/>
      <c r="AE332" s="1679"/>
      <c r="AF332" s="1662"/>
      <c r="AG332" s="1666"/>
      <c r="AH332" s="1667">
        <v>55957.7</v>
      </c>
      <c r="AI332" s="1665">
        <v>55957.7</v>
      </c>
      <c r="AJ332" s="1665">
        <v>51910.879999999997</v>
      </c>
      <c r="AK332" s="1698">
        <v>47701.89</v>
      </c>
      <c r="AL332" s="1665">
        <v>4208.99</v>
      </c>
      <c r="AM332" s="1668"/>
      <c r="AN332" s="1665">
        <v>53957.7</v>
      </c>
      <c r="AO332" s="1665">
        <v>53957.7</v>
      </c>
      <c r="AP332" s="1665">
        <v>49910.879999999997</v>
      </c>
      <c r="AQ332" s="1665">
        <v>45864.05</v>
      </c>
      <c r="AR332" s="1665">
        <v>4046.83</v>
      </c>
      <c r="AS332" s="1665">
        <v>4046.82</v>
      </c>
      <c r="AT332" s="1665">
        <v>0</v>
      </c>
      <c r="AU332" s="1665">
        <v>4046.82</v>
      </c>
      <c r="AV332" s="1665">
        <v>0</v>
      </c>
      <c r="AW332" s="1665">
        <v>0</v>
      </c>
      <c r="AX332" s="1665">
        <v>0</v>
      </c>
      <c r="AY332" s="1665">
        <v>0</v>
      </c>
      <c r="AZ332" s="1665">
        <v>0</v>
      </c>
      <c r="BA332" s="1668"/>
      <c r="BB332" s="1668"/>
      <c r="BC332" s="1665">
        <v>0</v>
      </c>
      <c r="BD332" s="1665">
        <v>0</v>
      </c>
      <c r="BE332" s="1665">
        <v>53957.7</v>
      </c>
      <c r="BF332" s="1665">
        <v>53957.7</v>
      </c>
      <c r="BG332" s="1665">
        <v>49910.879999999997</v>
      </c>
      <c r="BH332" s="1665">
        <v>45864.05</v>
      </c>
      <c r="BI332" s="1665">
        <v>4046.83</v>
      </c>
      <c r="BJ332" s="1665">
        <v>4046.82</v>
      </c>
      <c r="BK332" s="1665">
        <v>0</v>
      </c>
      <c r="BL332" s="1665">
        <v>4046.82</v>
      </c>
      <c r="BM332" s="1665">
        <v>0</v>
      </c>
      <c r="BN332" s="1665">
        <v>0</v>
      </c>
      <c r="BO332" s="1668"/>
      <c r="BP332" s="1665">
        <v>33216.080000000002</v>
      </c>
      <c r="BQ332" s="1665">
        <v>33216.080000000002</v>
      </c>
      <c r="BR332" s="1665">
        <v>30724.880000000001</v>
      </c>
      <c r="BS332" s="1667">
        <v>28233.67</v>
      </c>
      <c r="BT332" s="1665">
        <v>2491.21</v>
      </c>
      <c r="BU332" s="1665">
        <v>2491.1999999999998</v>
      </c>
      <c r="BV332" s="1665">
        <v>0</v>
      </c>
      <c r="BW332" s="1665">
        <v>0</v>
      </c>
      <c r="BX332" s="1665">
        <v>0</v>
      </c>
      <c r="BY332" s="1665">
        <v>0</v>
      </c>
      <c r="BZ332" s="1665">
        <v>0</v>
      </c>
      <c r="CA332" s="1665">
        <v>0</v>
      </c>
      <c r="CB332" s="1668"/>
      <c r="CC332" s="1668"/>
      <c r="CD332" s="1665">
        <v>0</v>
      </c>
      <c r="CE332" s="1665">
        <v>0</v>
      </c>
      <c r="CF332" s="1665">
        <v>0</v>
      </c>
      <c r="CG332" s="1665">
        <v>0</v>
      </c>
      <c r="CH332" s="1665">
        <v>0</v>
      </c>
      <c r="CI332" s="1665">
        <v>0</v>
      </c>
      <c r="CJ332" s="1665">
        <v>332.12</v>
      </c>
      <c r="CK332" s="1665">
        <v>332.12</v>
      </c>
      <c r="CL332" s="1668"/>
      <c r="CM332" s="1665">
        <v>0</v>
      </c>
      <c r="CN332" s="1665">
        <v>0</v>
      </c>
      <c r="CO332" s="1665">
        <v>0</v>
      </c>
      <c r="CP332" s="1665">
        <v>0</v>
      </c>
      <c r="CQ332" s="1665">
        <v>0</v>
      </c>
      <c r="CR332" s="1665">
        <v>0</v>
      </c>
      <c r="CS332" s="1665">
        <v>0</v>
      </c>
      <c r="CT332" s="1665">
        <v>0</v>
      </c>
      <c r="CU332" s="1665">
        <v>0</v>
      </c>
      <c r="CV332" s="1665">
        <v>0</v>
      </c>
      <c r="CW332" s="1668"/>
      <c r="CX332" s="1665">
        <v>0</v>
      </c>
      <c r="CY332" s="1665">
        <v>0</v>
      </c>
      <c r="CZ332" s="1665">
        <v>0</v>
      </c>
      <c r="DA332" s="1665">
        <v>0</v>
      </c>
      <c r="DB332" s="1668"/>
      <c r="DC332" s="1662"/>
      <c r="DD332" s="1665">
        <v>0</v>
      </c>
      <c r="DE332" s="1665">
        <v>0</v>
      </c>
      <c r="DF332" s="1665">
        <v>0</v>
      </c>
      <c r="DG332" s="1665">
        <v>0</v>
      </c>
      <c r="DH332" s="1665">
        <v>0</v>
      </c>
    </row>
    <row r="333" spans="1:112" ht="78.75" hidden="1" x14ac:dyDescent="0.25">
      <c r="A333" s="1662" t="s">
        <v>2398</v>
      </c>
      <c r="B333" s="1662" t="s">
        <v>1727</v>
      </c>
      <c r="C333" s="1662" t="s">
        <v>2640</v>
      </c>
      <c r="D333" s="1662" t="s">
        <v>2641</v>
      </c>
      <c r="E333" s="1662" t="s">
        <v>2396</v>
      </c>
      <c r="F333" s="1662" t="s">
        <v>2635</v>
      </c>
      <c r="G333" s="1662" t="s">
        <v>2628</v>
      </c>
      <c r="H333" s="1662" t="s">
        <v>2613</v>
      </c>
      <c r="I333" s="1662" t="s">
        <v>1226</v>
      </c>
      <c r="J333" s="1662" t="s">
        <v>125</v>
      </c>
      <c r="K333" s="1662" t="s">
        <v>2108</v>
      </c>
      <c r="L333" s="1662" t="s">
        <v>2109</v>
      </c>
      <c r="M333" s="1665">
        <v>605024.19999999995</v>
      </c>
      <c r="N333" s="1665">
        <v>0</v>
      </c>
      <c r="O333" s="1665">
        <v>605024.19999999995</v>
      </c>
      <c r="P333" s="1665">
        <v>605024.19999999995</v>
      </c>
      <c r="Q333" s="1665">
        <v>559647.38</v>
      </c>
      <c r="R333" s="1665">
        <v>514270.57</v>
      </c>
      <c r="S333" s="1665">
        <v>45376.81</v>
      </c>
      <c r="T333" s="1665">
        <v>45376.82</v>
      </c>
      <c r="U333" s="1665">
        <v>0</v>
      </c>
      <c r="V333" s="1665">
        <v>45376.82</v>
      </c>
      <c r="W333" s="1665">
        <v>0</v>
      </c>
      <c r="X333" s="1665">
        <v>0</v>
      </c>
      <c r="Y333" s="1668"/>
      <c r="Z333" s="1662"/>
      <c r="AA333" s="1665">
        <v>0</v>
      </c>
      <c r="AB333" s="1665">
        <v>0</v>
      </c>
      <c r="AC333" s="1680">
        <v>0</v>
      </c>
      <c r="AD333" s="1681"/>
      <c r="AE333" s="1679"/>
      <c r="AF333" s="1662"/>
      <c r="AG333" s="1666"/>
      <c r="AH333" s="1667">
        <v>55957.7</v>
      </c>
      <c r="AI333" s="1665">
        <v>55957.7</v>
      </c>
      <c r="AJ333" s="1665">
        <v>51910.879999999997</v>
      </c>
      <c r="AK333" s="1698">
        <v>47701.89</v>
      </c>
      <c r="AL333" s="1665">
        <v>4208.99</v>
      </c>
      <c r="AM333" s="1668"/>
      <c r="AN333" s="1665">
        <v>53957.7</v>
      </c>
      <c r="AO333" s="1665">
        <v>53957.7</v>
      </c>
      <c r="AP333" s="1665">
        <v>49910.879999999997</v>
      </c>
      <c r="AQ333" s="1665">
        <v>45864.05</v>
      </c>
      <c r="AR333" s="1665">
        <v>4046.83</v>
      </c>
      <c r="AS333" s="1665">
        <v>4046.82</v>
      </c>
      <c r="AT333" s="1665">
        <v>0</v>
      </c>
      <c r="AU333" s="1665">
        <v>4046.82</v>
      </c>
      <c r="AV333" s="1665">
        <v>0</v>
      </c>
      <c r="AW333" s="1665">
        <v>0</v>
      </c>
      <c r="AX333" s="1665">
        <v>0</v>
      </c>
      <c r="AY333" s="1665">
        <v>0</v>
      </c>
      <c r="AZ333" s="1665">
        <v>0</v>
      </c>
      <c r="BA333" s="1668"/>
      <c r="BB333" s="1668"/>
      <c r="BC333" s="1665">
        <v>0</v>
      </c>
      <c r="BD333" s="1665">
        <v>0</v>
      </c>
      <c r="BE333" s="1665">
        <v>53957.7</v>
      </c>
      <c r="BF333" s="1665">
        <v>53957.7</v>
      </c>
      <c r="BG333" s="1665">
        <v>49910.879999999997</v>
      </c>
      <c r="BH333" s="1665">
        <v>45864.05</v>
      </c>
      <c r="BI333" s="1665">
        <v>4046.83</v>
      </c>
      <c r="BJ333" s="1665">
        <v>4046.82</v>
      </c>
      <c r="BK333" s="1665">
        <v>0</v>
      </c>
      <c r="BL333" s="1665">
        <v>4046.82</v>
      </c>
      <c r="BM333" s="1665">
        <v>0</v>
      </c>
      <c r="BN333" s="1665">
        <v>0</v>
      </c>
      <c r="BO333" s="1668"/>
      <c r="BP333" s="1665">
        <v>33216.080000000002</v>
      </c>
      <c r="BQ333" s="1665">
        <v>33216.080000000002</v>
      </c>
      <c r="BR333" s="1665">
        <v>30724.880000000001</v>
      </c>
      <c r="BS333" s="1667">
        <v>28233.67</v>
      </c>
      <c r="BT333" s="1665">
        <v>2491.21</v>
      </c>
      <c r="BU333" s="1665">
        <v>2491.1999999999998</v>
      </c>
      <c r="BV333" s="1665">
        <v>0</v>
      </c>
      <c r="BW333" s="1665">
        <v>0</v>
      </c>
      <c r="BX333" s="1665">
        <v>0</v>
      </c>
      <c r="BY333" s="1665">
        <v>0</v>
      </c>
      <c r="BZ333" s="1665">
        <v>0</v>
      </c>
      <c r="CA333" s="1665">
        <v>0</v>
      </c>
      <c r="CB333" s="1668"/>
      <c r="CC333" s="1668"/>
      <c r="CD333" s="1665">
        <v>0</v>
      </c>
      <c r="CE333" s="1665">
        <v>0</v>
      </c>
      <c r="CF333" s="1665">
        <v>0</v>
      </c>
      <c r="CG333" s="1665">
        <v>0</v>
      </c>
      <c r="CH333" s="1665">
        <v>0</v>
      </c>
      <c r="CI333" s="1665">
        <v>0</v>
      </c>
      <c r="CJ333" s="1665">
        <v>332.12</v>
      </c>
      <c r="CK333" s="1665">
        <v>332.12</v>
      </c>
      <c r="CL333" s="1668"/>
      <c r="CM333" s="1665">
        <v>0</v>
      </c>
      <c r="CN333" s="1665">
        <v>0</v>
      </c>
      <c r="CO333" s="1665">
        <v>0</v>
      </c>
      <c r="CP333" s="1665">
        <v>0</v>
      </c>
      <c r="CQ333" s="1665">
        <v>0</v>
      </c>
      <c r="CR333" s="1665">
        <v>0</v>
      </c>
      <c r="CS333" s="1665">
        <v>0</v>
      </c>
      <c r="CT333" s="1665">
        <v>0</v>
      </c>
      <c r="CU333" s="1665">
        <v>0</v>
      </c>
      <c r="CV333" s="1665">
        <v>0</v>
      </c>
      <c r="CW333" s="1668"/>
      <c r="CX333" s="1665">
        <v>0</v>
      </c>
      <c r="CY333" s="1665">
        <v>0</v>
      </c>
      <c r="CZ333" s="1665">
        <v>0</v>
      </c>
      <c r="DA333" s="1665">
        <v>0</v>
      </c>
      <c r="DB333" s="1668"/>
      <c r="DC333" s="1662"/>
      <c r="DD333" s="1665">
        <v>0</v>
      </c>
      <c r="DE333" s="1665">
        <v>0</v>
      </c>
      <c r="DF333" s="1665">
        <v>0</v>
      </c>
      <c r="DG333" s="1665">
        <v>0</v>
      </c>
      <c r="DH333" s="1665">
        <v>0</v>
      </c>
    </row>
    <row r="334" spans="1:112" ht="78.75" hidden="1" x14ac:dyDescent="0.25">
      <c r="A334" s="1662" t="s">
        <v>2399</v>
      </c>
      <c r="B334" s="1662" t="s">
        <v>1727</v>
      </c>
      <c r="C334" s="1662" t="s">
        <v>2640</v>
      </c>
      <c r="D334" s="1662" t="s">
        <v>2641</v>
      </c>
      <c r="E334" s="1662" t="s">
        <v>2396</v>
      </c>
      <c r="F334" s="1662" t="s">
        <v>2635</v>
      </c>
      <c r="G334" s="1662" t="s">
        <v>2628</v>
      </c>
      <c r="H334" s="1662" t="s">
        <v>2613</v>
      </c>
      <c r="I334" s="1662" t="s">
        <v>1226</v>
      </c>
      <c r="J334" s="1662" t="s">
        <v>125</v>
      </c>
      <c r="K334" s="1662" t="s">
        <v>2108</v>
      </c>
      <c r="L334" s="1662" t="s">
        <v>2109</v>
      </c>
      <c r="M334" s="1663"/>
      <c r="N334" s="1663"/>
      <c r="O334" s="1663"/>
      <c r="P334" s="1663"/>
      <c r="Q334" s="1663"/>
      <c r="R334" s="1663"/>
      <c r="S334" s="1663"/>
      <c r="T334" s="1663"/>
      <c r="U334" s="1663"/>
      <c r="V334" s="1663"/>
      <c r="W334" s="1663"/>
      <c r="X334" s="1663"/>
      <c r="Y334" s="1664">
        <v>43150</v>
      </c>
      <c r="Z334" s="1662" t="s">
        <v>2145</v>
      </c>
      <c r="AA334" s="1665">
        <v>0</v>
      </c>
      <c r="AB334" s="1665">
        <v>0</v>
      </c>
      <c r="AC334" s="1680">
        <v>0</v>
      </c>
      <c r="AD334" s="1682">
        <v>43159</v>
      </c>
      <c r="AE334" s="1679" t="s">
        <v>2122</v>
      </c>
      <c r="AF334" s="1662" t="s">
        <v>2112</v>
      </c>
      <c r="AG334" s="1666"/>
      <c r="AH334" s="1667">
        <v>2000</v>
      </c>
      <c r="AI334" s="1665">
        <v>2000</v>
      </c>
      <c r="AJ334" s="1665">
        <v>2000</v>
      </c>
      <c r="AK334" s="1698">
        <v>1837.84</v>
      </c>
      <c r="AL334" s="1665">
        <v>162.16</v>
      </c>
      <c r="AM334" s="1668"/>
      <c r="AN334" s="1665">
        <v>0</v>
      </c>
      <c r="AO334" s="1665">
        <v>0</v>
      </c>
      <c r="AP334" s="1665">
        <v>0</v>
      </c>
      <c r="AQ334" s="1665">
        <v>0</v>
      </c>
      <c r="AR334" s="1665">
        <v>0</v>
      </c>
      <c r="AS334" s="1665">
        <v>0</v>
      </c>
      <c r="AT334" s="1665">
        <v>0</v>
      </c>
      <c r="AU334" s="1665">
        <v>0</v>
      </c>
      <c r="AV334" s="1665">
        <v>0</v>
      </c>
      <c r="AW334" s="1665">
        <v>0</v>
      </c>
      <c r="AX334" s="1663"/>
      <c r="AY334" s="1663"/>
      <c r="AZ334" s="1663"/>
      <c r="BA334" s="1668"/>
      <c r="BB334" s="1668"/>
      <c r="BC334" s="1663"/>
      <c r="BD334" s="1663"/>
      <c r="BE334" s="1665">
        <v>0</v>
      </c>
      <c r="BF334" s="1665">
        <v>0</v>
      </c>
      <c r="BG334" s="1665">
        <v>0</v>
      </c>
      <c r="BH334" s="1665">
        <v>0</v>
      </c>
      <c r="BI334" s="1665">
        <v>0</v>
      </c>
      <c r="BJ334" s="1665">
        <v>0</v>
      </c>
      <c r="BK334" s="1665">
        <v>0</v>
      </c>
      <c r="BL334" s="1665">
        <v>0</v>
      </c>
      <c r="BM334" s="1665">
        <v>0</v>
      </c>
      <c r="BN334" s="1665">
        <v>0</v>
      </c>
      <c r="BO334" s="1668"/>
      <c r="BP334" s="1665">
        <v>0</v>
      </c>
      <c r="BQ334" s="1665">
        <v>0</v>
      </c>
      <c r="BR334" s="1665">
        <v>0</v>
      </c>
      <c r="BS334" s="1667">
        <v>0</v>
      </c>
      <c r="BT334" s="1665">
        <v>0</v>
      </c>
      <c r="BU334" s="1665">
        <v>0</v>
      </c>
      <c r="BV334" s="1665">
        <v>0</v>
      </c>
      <c r="BW334" s="1665">
        <v>0</v>
      </c>
      <c r="BX334" s="1665">
        <v>0</v>
      </c>
      <c r="BY334" s="1665">
        <v>0</v>
      </c>
      <c r="BZ334" s="1663"/>
      <c r="CA334" s="1663"/>
      <c r="CB334" s="1668"/>
      <c r="CC334" s="1668"/>
      <c r="CD334" s="1663"/>
      <c r="CE334" s="1663"/>
      <c r="CF334" s="1665">
        <v>0</v>
      </c>
      <c r="CG334" s="1665">
        <v>0</v>
      </c>
      <c r="CH334" s="1665">
        <v>0</v>
      </c>
      <c r="CI334" s="1665">
        <v>0</v>
      </c>
      <c r="CJ334" s="1665">
        <v>0</v>
      </c>
      <c r="CK334" s="1665">
        <v>0</v>
      </c>
      <c r="CL334" s="1668"/>
      <c r="CM334" s="1665">
        <v>0</v>
      </c>
      <c r="CN334" s="1665">
        <v>0</v>
      </c>
      <c r="CO334" s="1665">
        <v>0</v>
      </c>
      <c r="CP334" s="1665">
        <v>0</v>
      </c>
      <c r="CQ334" s="1665">
        <v>0</v>
      </c>
      <c r="CR334" s="1665">
        <v>0</v>
      </c>
      <c r="CS334" s="1665">
        <v>0</v>
      </c>
      <c r="CT334" s="1665">
        <v>0</v>
      </c>
      <c r="CU334" s="1665">
        <v>0</v>
      </c>
      <c r="CV334" s="1665">
        <v>0</v>
      </c>
      <c r="CW334" s="1668"/>
      <c r="CX334" s="1663"/>
      <c r="CY334" s="1663"/>
      <c r="CZ334" s="1663"/>
      <c r="DA334" s="1663"/>
      <c r="DB334" s="1668"/>
      <c r="DC334" s="1662"/>
      <c r="DD334" s="1665">
        <v>0</v>
      </c>
      <c r="DE334" s="1663"/>
      <c r="DF334" s="1663"/>
      <c r="DG334" s="1665">
        <v>0</v>
      </c>
      <c r="DH334" s="1665">
        <v>0</v>
      </c>
    </row>
    <row r="335" spans="1:112" ht="78.75" hidden="1" x14ac:dyDescent="0.25">
      <c r="A335" s="1662" t="s">
        <v>2400</v>
      </c>
      <c r="B335" s="1662" t="s">
        <v>1727</v>
      </c>
      <c r="C335" s="1662" t="s">
        <v>2640</v>
      </c>
      <c r="D335" s="1662" t="s">
        <v>2641</v>
      </c>
      <c r="E335" s="1662" t="s">
        <v>2396</v>
      </c>
      <c r="F335" s="1662" t="s">
        <v>2635</v>
      </c>
      <c r="G335" s="1662" t="s">
        <v>2628</v>
      </c>
      <c r="H335" s="1662" t="s">
        <v>2613</v>
      </c>
      <c r="I335" s="1662" t="s">
        <v>1226</v>
      </c>
      <c r="J335" s="1662" t="s">
        <v>125</v>
      </c>
      <c r="K335" s="1662" t="s">
        <v>2108</v>
      </c>
      <c r="L335" s="1662" t="s">
        <v>2109</v>
      </c>
      <c r="M335" s="1663"/>
      <c r="N335" s="1663"/>
      <c r="O335" s="1663"/>
      <c r="P335" s="1663"/>
      <c r="Q335" s="1663"/>
      <c r="R335" s="1663"/>
      <c r="S335" s="1663"/>
      <c r="T335" s="1663"/>
      <c r="U335" s="1663"/>
      <c r="V335" s="1663"/>
      <c r="W335" s="1663"/>
      <c r="X335" s="1663"/>
      <c r="Y335" s="1664">
        <v>43234</v>
      </c>
      <c r="Z335" s="1662" t="s">
        <v>2110</v>
      </c>
      <c r="AA335" s="1665">
        <v>0</v>
      </c>
      <c r="AB335" s="1665">
        <v>0</v>
      </c>
      <c r="AC335" s="1680">
        <v>0</v>
      </c>
      <c r="AD335" s="1682">
        <v>43270</v>
      </c>
      <c r="AE335" s="1679" t="s">
        <v>2111</v>
      </c>
      <c r="AF335" s="1662" t="s">
        <v>2112</v>
      </c>
      <c r="AG335" s="1666"/>
      <c r="AH335" s="1667">
        <v>33216.080000000002</v>
      </c>
      <c r="AI335" s="1665">
        <v>33216.080000000002</v>
      </c>
      <c r="AJ335" s="1665">
        <v>30724.880000000001</v>
      </c>
      <c r="AK335" s="1698">
        <v>28233.67</v>
      </c>
      <c r="AL335" s="1665">
        <v>2491.21</v>
      </c>
      <c r="AM335" s="1664">
        <v>43270</v>
      </c>
      <c r="AN335" s="1665">
        <v>33216.080000000002</v>
      </c>
      <c r="AO335" s="1665">
        <v>33216.080000000002</v>
      </c>
      <c r="AP335" s="1665">
        <v>30724.880000000001</v>
      </c>
      <c r="AQ335" s="1665">
        <v>28233.67</v>
      </c>
      <c r="AR335" s="1665">
        <v>2491.21</v>
      </c>
      <c r="AS335" s="1665">
        <v>2491.1999999999998</v>
      </c>
      <c r="AT335" s="1665">
        <v>0</v>
      </c>
      <c r="AU335" s="1665">
        <v>2491.1999999999998</v>
      </c>
      <c r="AV335" s="1665">
        <v>0</v>
      </c>
      <c r="AW335" s="1665">
        <v>0</v>
      </c>
      <c r="AX335" s="1663"/>
      <c r="AY335" s="1663"/>
      <c r="AZ335" s="1663"/>
      <c r="BA335" s="1668"/>
      <c r="BB335" s="1668"/>
      <c r="BC335" s="1663"/>
      <c r="BD335" s="1663"/>
      <c r="BE335" s="1665">
        <v>33216.080000000002</v>
      </c>
      <c r="BF335" s="1665">
        <v>33216.080000000002</v>
      </c>
      <c r="BG335" s="1665">
        <v>30724.880000000001</v>
      </c>
      <c r="BH335" s="1665">
        <v>28233.67</v>
      </c>
      <c r="BI335" s="1665">
        <v>2491.21</v>
      </c>
      <c r="BJ335" s="1665">
        <v>2491.1999999999998</v>
      </c>
      <c r="BK335" s="1665">
        <v>0</v>
      </c>
      <c r="BL335" s="1665">
        <v>2491.1999999999998</v>
      </c>
      <c r="BM335" s="1665">
        <v>0</v>
      </c>
      <c r="BN335" s="1665">
        <v>0</v>
      </c>
      <c r="BO335" s="1664">
        <v>43364</v>
      </c>
      <c r="BP335" s="1665">
        <v>33216.080000000002</v>
      </c>
      <c r="BQ335" s="1665">
        <v>33216.080000000002</v>
      </c>
      <c r="BR335" s="1665">
        <v>30724.880000000001</v>
      </c>
      <c r="BS335" s="1667">
        <v>28233.67</v>
      </c>
      <c r="BT335" s="1665">
        <v>2491.21</v>
      </c>
      <c r="BU335" s="1665">
        <v>2491.1999999999998</v>
      </c>
      <c r="BV335" s="1665">
        <v>0</v>
      </c>
      <c r="BW335" s="1665">
        <v>0</v>
      </c>
      <c r="BX335" s="1665">
        <v>0</v>
      </c>
      <c r="BY335" s="1665">
        <v>0</v>
      </c>
      <c r="BZ335" s="1665">
        <v>0</v>
      </c>
      <c r="CA335" s="1663"/>
      <c r="CB335" s="1668"/>
      <c r="CC335" s="1668"/>
      <c r="CD335" s="1663"/>
      <c r="CE335" s="1663"/>
      <c r="CF335" s="1665">
        <v>0</v>
      </c>
      <c r="CG335" s="1665">
        <v>0</v>
      </c>
      <c r="CH335" s="1665">
        <v>0</v>
      </c>
      <c r="CI335" s="1665">
        <v>0</v>
      </c>
      <c r="CJ335" s="1665">
        <v>332.12</v>
      </c>
      <c r="CK335" s="1665">
        <v>332.12</v>
      </c>
      <c r="CL335" s="1668"/>
      <c r="CM335" s="1665">
        <v>0</v>
      </c>
      <c r="CN335" s="1665">
        <v>0</v>
      </c>
      <c r="CO335" s="1665">
        <v>0</v>
      </c>
      <c r="CP335" s="1665">
        <v>0</v>
      </c>
      <c r="CQ335" s="1665">
        <v>0</v>
      </c>
      <c r="CR335" s="1665">
        <v>0</v>
      </c>
      <c r="CS335" s="1665">
        <v>0</v>
      </c>
      <c r="CT335" s="1665">
        <v>0</v>
      </c>
      <c r="CU335" s="1665">
        <v>0</v>
      </c>
      <c r="CV335" s="1665">
        <v>0</v>
      </c>
      <c r="CW335" s="1668"/>
      <c r="CX335" s="1663"/>
      <c r="CY335" s="1663"/>
      <c r="CZ335" s="1663"/>
      <c r="DA335" s="1663"/>
      <c r="DB335" s="1668"/>
      <c r="DC335" s="1662"/>
      <c r="DD335" s="1665">
        <v>0</v>
      </c>
      <c r="DE335" s="1663"/>
      <c r="DF335" s="1663"/>
      <c r="DG335" s="1665">
        <v>0</v>
      </c>
      <c r="DH335" s="1665">
        <v>0</v>
      </c>
    </row>
    <row r="336" spans="1:112" ht="78.75" hidden="1" x14ac:dyDescent="0.25">
      <c r="A336" s="1662" t="s">
        <v>2401</v>
      </c>
      <c r="B336" s="1662" t="s">
        <v>1727</v>
      </c>
      <c r="C336" s="1662" t="s">
        <v>2640</v>
      </c>
      <c r="D336" s="1662" t="s">
        <v>2641</v>
      </c>
      <c r="E336" s="1662" t="s">
        <v>2396</v>
      </c>
      <c r="F336" s="1662" t="s">
        <v>2635</v>
      </c>
      <c r="G336" s="1662" t="s">
        <v>2628</v>
      </c>
      <c r="H336" s="1662" t="s">
        <v>2613</v>
      </c>
      <c r="I336" s="1662" t="s">
        <v>1226</v>
      </c>
      <c r="J336" s="1662" t="s">
        <v>125</v>
      </c>
      <c r="K336" s="1662" t="s">
        <v>2108</v>
      </c>
      <c r="L336" s="1662" t="s">
        <v>2109</v>
      </c>
      <c r="M336" s="1663"/>
      <c r="N336" s="1663"/>
      <c r="O336" s="1663"/>
      <c r="P336" s="1663"/>
      <c r="Q336" s="1663"/>
      <c r="R336" s="1663"/>
      <c r="S336" s="1663"/>
      <c r="T336" s="1663"/>
      <c r="U336" s="1663"/>
      <c r="V336" s="1663"/>
      <c r="W336" s="1663"/>
      <c r="X336" s="1663"/>
      <c r="Y336" s="1664">
        <v>43321</v>
      </c>
      <c r="Z336" s="1662" t="s">
        <v>2110</v>
      </c>
      <c r="AA336" s="1665">
        <v>0</v>
      </c>
      <c r="AB336" s="1665">
        <v>0</v>
      </c>
      <c r="AC336" s="1680">
        <v>0</v>
      </c>
      <c r="AD336" s="1682">
        <v>43354</v>
      </c>
      <c r="AE336" s="1679" t="s">
        <v>2114</v>
      </c>
      <c r="AF336" s="1662" t="s">
        <v>2115</v>
      </c>
      <c r="AG336" s="1666"/>
      <c r="AH336" s="1667">
        <v>15006.67</v>
      </c>
      <c r="AI336" s="1665">
        <v>15006.67</v>
      </c>
      <c r="AJ336" s="1665">
        <v>13881.17</v>
      </c>
      <c r="AK336" s="1698">
        <v>12755.67</v>
      </c>
      <c r="AL336" s="1665">
        <v>1125.5</v>
      </c>
      <c r="AM336" s="1664">
        <v>43355</v>
      </c>
      <c r="AN336" s="1665">
        <v>15006.67</v>
      </c>
      <c r="AO336" s="1665">
        <v>15006.67</v>
      </c>
      <c r="AP336" s="1665">
        <v>13881.17</v>
      </c>
      <c r="AQ336" s="1665">
        <v>12755.67</v>
      </c>
      <c r="AR336" s="1665">
        <v>1125.5</v>
      </c>
      <c r="AS336" s="1665">
        <v>1125.5</v>
      </c>
      <c r="AT336" s="1665">
        <v>0</v>
      </c>
      <c r="AU336" s="1665">
        <v>1125.5</v>
      </c>
      <c r="AV336" s="1665">
        <v>0</v>
      </c>
      <c r="AW336" s="1665">
        <v>0</v>
      </c>
      <c r="AX336" s="1663"/>
      <c r="AY336" s="1663"/>
      <c r="AZ336" s="1663"/>
      <c r="BA336" s="1668"/>
      <c r="BB336" s="1668"/>
      <c r="BC336" s="1663"/>
      <c r="BD336" s="1663"/>
      <c r="BE336" s="1665">
        <v>15006.67</v>
      </c>
      <c r="BF336" s="1665">
        <v>15006.67</v>
      </c>
      <c r="BG336" s="1665">
        <v>13881.17</v>
      </c>
      <c r="BH336" s="1665">
        <v>12755.67</v>
      </c>
      <c r="BI336" s="1665">
        <v>1125.5</v>
      </c>
      <c r="BJ336" s="1665">
        <v>1125.5</v>
      </c>
      <c r="BK336" s="1665">
        <v>0</v>
      </c>
      <c r="BL336" s="1665">
        <v>1125.5</v>
      </c>
      <c r="BM336" s="1665">
        <v>0</v>
      </c>
      <c r="BN336" s="1665">
        <v>0</v>
      </c>
      <c r="BO336" s="1668"/>
      <c r="BP336" s="1665">
        <v>0</v>
      </c>
      <c r="BQ336" s="1665">
        <v>0</v>
      </c>
      <c r="BR336" s="1665">
        <v>0</v>
      </c>
      <c r="BS336" s="1667">
        <v>0</v>
      </c>
      <c r="BT336" s="1665">
        <v>0</v>
      </c>
      <c r="BU336" s="1665">
        <v>0</v>
      </c>
      <c r="BV336" s="1665">
        <v>0</v>
      </c>
      <c r="BW336" s="1665">
        <v>0</v>
      </c>
      <c r="BX336" s="1665">
        <v>0</v>
      </c>
      <c r="BY336" s="1665">
        <v>0</v>
      </c>
      <c r="BZ336" s="1665">
        <v>0</v>
      </c>
      <c r="CA336" s="1663"/>
      <c r="CB336" s="1668"/>
      <c r="CC336" s="1668"/>
      <c r="CD336" s="1663"/>
      <c r="CE336" s="1663"/>
      <c r="CF336" s="1665">
        <v>0</v>
      </c>
      <c r="CG336" s="1665">
        <v>0</v>
      </c>
      <c r="CH336" s="1665">
        <v>0</v>
      </c>
      <c r="CI336" s="1665">
        <v>0</v>
      </c>
      <c r="CJ336" s="1665">
        <v>0</v>
      </c>
      <c r="CK336" s="1665">
        <v>0</v>
      </c>
      <c r="CL336" s="1668"/>
      <c r="CM336" s="1665">
        <v>0</v>
      </c>
      <c r="CN336" s="1665">
        <v>0</v>
      </c>
      <c r="CO336" s="1665">
        <v>0</v>
      </c>
      <c r="CP336" s="1665">
        <v>0</v>
      </c>
      <c r="CQ336" s="1665">
        <v>0</v>
      </c>
      <c r="CR336" s="1665">
        <v>0</v>
      </c>
      <c r="CS336" s="1665">
        <v>0</v>
      </c>
      <c r="CT336" s="1665">
        <v>0</v>
      </c>
      <c r="CU336" s="1665">
        <v>0</v>
      </c>
      <c r="CV336" s="1665">
        <v>0</v>
      </c>
      <c r="CW336" s="1668"/>
      <c r="CX336" s="1663"/>
      <c r="CY336" s="1663"/>
      <c r="CZ336" s="1663"/>
      <c r="DA336" s="1663"/>
      <c r="DB336" s="1668"/>
      <c r="DC336" s="1662"/>
      <c r="DD336" s="1665">
        <v>0</v>
      </c>
      <c r="DE336" s="1663"/>
      <c r="DF336" s="1663"/>
      <c r="DG336" s="1665">
        <v>0</v>
      </c>
      <c r="DH336" s="1665">
        <v>0</v>
      </c>
    </row>
    <row r="337" spans="1:112" ht="78.75" hidden="1" x14ac:dyDescent="0.25">
      <c r="A337" s="1662" t="s">
        <v>2402</v>
      </c>
      <c r="B337" s="1662" t="s">
        <v>1727</v>
      </c>
      <c r="C337" s="1662" t="s">
        <v>2640</v>
      </c>
      <c r="D337" s="1662" t="s">
        <v>2641</v>
      </c>
      <c r="E337" s="1662" t="s">
        <v>2396</v>
      </c>
      <c r="F337" s="1662" t="s">
        <v>2635</v>
      </c>
      <c r="G337" s="1662" t="s">
        <v>2628</v>
      </c>
      <c r="H337" s="1662" t="s">
        <v>2613</v>
      </c>
      <c r="I337" s="1662" t="s">
        <v>1226</v>
      </c>
      <c r="J337" s="1662" t="s">
        <v>125</v>
      </c>
      <c r="K337" s="1662" t="s">
        <v>2108</v>
      </c>
      <c r="L337" s="1662" t="s">
        <v>2109</v>
      </c>
      <c r="M337" s="1663"/>
      <c r="N337" s="1663"/>
      <c r="O337" s="1663"/>
      <c r="P337" s="1663"/>
      <c r="Q337" s="1663"/>
      <c r="R337" s="1663"/>
      <c r="S337" s="1663"/>
      <c r="T337" s="1663"/>
      <c r="U337" s="1663"/>
      <c r="V337" s="1663"/>
      <c r="W337" s="1663"/>
      <c r="X337" s="1663"/>
      <c r="Y337" s="1664">
        <v>43321</v>
      </c>
      <c r="Z337" s="1662" t="s">
        <v>2110</v>
      </c>
      <c r="AA337" s="1665">
        <v>0</v>
      </c>
      <c r="AB337" s="1665">
        <v>0</v>
      </c>
      <c r="AC337" s="1680">
        <v>0</v>
      </c>
      <c r="AD337" s="1682">
        <v>43354</v>
      </c>
      <c r="AE337" s="1679" t="s">
        <v>2114</v>
      </c>
      <c r="AF337" s="1662" t="s">
        <v>2112</v>
      </c>
      <c r="AG337" s="1666"/>
      <c r="AH337" s="1667">
        <v>5734.95</v>
      </c>
      <c r="AI337" s="1665">
        <v>5734.95</v>
      </c>
      <c r="AJ337" s="1665">
        <v>5304.83</v>
      </c>
      <c r="AK337" s="1698">
        <v>4874.71</v>
      </c>
      <c r="AL337" s="1665">
        <v>430.12</v>
      </c>
      <c r="AM337" s="1664">
        <v>43354</v>
      </c>
      <c r="AN337" s="1665">
        <v>5734.95</v>
      </c>
      <c r="AO337" s="1665">
        <v>5734.95</v>
      </c>
      <c r="AP337" s="1665">
        <v>5304.83</v>
      </c>
      <c r="AQ337" s="1665">
        <v>4874.71</v>
      </c>
      <c r="AR337" s="1665">
        <v>430.12</v>
      </c>
      <c r="AS337" s="1665">
        <v>430.12</v>
      </c>
      <c r="AT337" s="1665">
        <v>0</v>
      </c>
      <c r="AU337" s="1665">
        <v>430.12</v>
      </c>
      <c r="AV337" s="1665">
        <v>0</v>
      </c>
      <c r="AW337" s="1665">
        <v>0</v>
      </c>
      <c r="AX337" s="1663"/>
      <c r="AY337" s="1663"/>
      <c r="AZ337" s="1663"/>
      <c r="BA337" s="1668"/>
      <c r="BB337" s="1668"/>
      <c r="BC337" s="1663"/>
      <c r="BD337" s="1663"/>
      <c r="BE337" s="1665">
        <v>5734.95</v>
      </c>
      <c r="BF337" s="1665">
        <v>5734.95</v>
      </c>
      <c r="BG337" s="1665">
        <v>5304.83</v>
      </c>
      <c r="BH337" s="1665">
        <v>4874.71</v>
      </c>
      <c r="BI337" s="1665">
        <v>430.12</v>
      </c>
      <c r="BJ337" s="1665">
        <v>430.12</v>
      </c>
      <c r="BK337" s="1665">
        <v>0</v>
      </c>
      <c r="BL337" s="1665">
        <v>430.12</v>
      </c>
      <c r="BM337" s="1665">
        <v>0</v>
      </c>
      <c r="BN337" s="1665">
        <v>0</v>
      </c>
      <c r="BO337" s="1668"/>
      <c r="BP337" s="1665">
        <v>0</v>
      </c>
      <c r="BQ337" s="1665">
        <v>0</v>
      </c>
      <c r="BR337" s="1665">
        <v>0</v>
      </c>
      <c r="BS337" s="1667">
        <v>0</v>
      </c>
      <c r="BT337" s="1665">
        <v>0</v>
      </c>
      <c r="BU337" s="1665">
        <v>0</v>
      </c>
      <c r="BV337" s="1665">
        <v>0</v>
      </c>
      <c r="BW337" s="1665">
        <v>0</v>
      </c>
      <c r="BX337" s="1665">
        <v>0</v>
      </c>
      <c r="BY337" s="1665">
        <v>0</v>
      </c>
      <c r="BZ337" s="1665">
        <v>0</v>
      </c>
      <c r="CA337" s="1663"/>
      <c r="CB337" s="1668"/>
      <c r="CC337" s="1668"/>
      <c r="CD337" s="1663"/>
      <c r="CE337" s="1663"/>
      <c r="CF337" s="1665">
        <v>0</v>
      </c>
      <c r="CG337" s="1665">
        <v>0</v>
      </c>
      <c r="CH337" s="1665">
        <v>0</v>
      </c>
      <c r="CI337" s="1665">
        <v>0</v>
      </c>
      <c r="CJ337" s="1665">
        <v>0</v>
      </c>
      <c r="CK337" s="1665">
        <v>0</v>
      </c>
      <c r="CL337" s="1668"/>
      <c r="CM337" s="1665">
        <v>0</v>
      </c>
      <c r="CN337" s="1665">
        <v>0</v>
      </c>
      <c r="CO337" s="1665">
        <v>0</v>
      </c>
      <c r="CP337" s="1665">
        <v>0</v>
      </c>
      <c r="CQ337" s="1665">
        <v>0</v>
      </c>
      <c r="CR337" s="1665">
        <v>0</v>
      </c>
      <c r="CS337" s="1665">
        <v>0</v>
      </c>
      <c r="CT337" s="1665">
        <v>0</v>
      </c>
      <c r="CU337" s="1665">
        <v>0</v>
      </c>
      <c r="CV337" s="1665">
        <v>0</v>
      </c>
      <c r="CW337" s="1668"/>
      <c r="CX337" s="1663"/>
      <c r="CY337" s="1663"/>
      <c r="CZ337" s="1663"/>
      <c r="DA337" s="1663"/>
      <c r="DB337" s="1668"/>
      <c r="DC337" s="1662"/>
      <c r="DD337" s="1665">
        <v>0</v>
      </c>
      <c r="DE337" s="1663"/>
      <c r="DF337" s="1663"/>
      <c r="DG337" s="1665">
        <v>0</v>
      </c>
      <c r="DH337" s="1665">
        <v>0</v>
      </c>
    </row>
    <row r="338" spans="1:112" hidden="1" x14ac:dyDescent="0.25">
      <c r="A338" s="1662" t="s">
        <v>2403</v>
      </c>
      <c r="B338" s="1662" t="s">
        <v>1727</v>
      </c>
      <c r="C338" s="1662" t="s">
        <v>2642</v>
      </c>
      <c r="D338" s="1662"/>
      <c r="E338" s="1662"/>
      <c r="F338" s="1662"/>
      <c r="G338" s="1662"/>
      <c r="H338" s="1662"/>
      <c r="I338" s="1662"/>
      <c r="J338" s="1662"/>
      <c r="K338" s="1662"/>
      <c r="L338" s="1662"/>
      <c r="M338" s="1665">
        <v>2747074.12</v>
      </c>
      <c r="N338" s="1665">
        <v>0</v>
      </c>
      <c r="O338" s="1665">
        <v>2747074.12</v>
      </c>
      <c r="P338" s="1665">
        <v>2747074.12</v>
      </c>
      <c r="Q338" s="1665">
        <v>2687375.05</v>
      </c>
      <c r="R338" s="1665">
        <v>2127675.98</v>
      </c>
      <c r="S338" s="1665">
        <v>559699.06999999995</v>
      </c>
      <c r="T338" s="1665">
        <v>59699.07</v>
      </c>
      <c r="U338" s="1665">
        <v>0</v>
      </c>
      <c r="V338" s="1665">
        <v>59699.07</v>
      </c>
      <c r="W338" s="1665">
        <v>0</v>
      </c>
      <c r="X338" s="1665">
        <v>0</v>
      </c>
      <c r="Y338" s="1668"/>
      <c r="Z338" s="1662"/>
      <c r="AA338" s="1665">
        <v>0</v>
      </c>
      <c r="AB338" s="1665">
        <v>0</v>
      </c>
      <c r="AC338" s="1680">
        <v>0</v>
      </c>
      <c r="AD338" s="1681"/>
      <c r="AE338" s="1679"/>
      <c r="AF338" s="1662"/>
      <c r="AG338" s="1666"/>
      <c r="AH338" s="1667">
        <v>696808.05</v>
      </c>
      <c r="AI338" s="1665">
        <v>696808.05</v>
      </c>
      <c r="AJ338" s="1665">
        <v>696808.05</v>
      </c>
      <c r="AK338" s="1698">
        <v>551470.76</v>
      </c>
      <c r="AL338" s="1665">
        <v>145337.29</v>
      </c>
      <c r="AM338" s="1668"/>
      <c r="AN338" s="1665">
        <v>289492.58</v>
      </c>
      <c r="AO338" s="1665">
        <v>289492.58</v>
      </c>
      <c r="AP338" s="1665">
        <v>289492.58</v>
      </c>
      <c r="AQ338" s="1665">
        <v>219471.53</v>
      </c>
      <c r="AR338" s="1665">
        <v>70021.05</v>
      </c>
      <c r="AS338" s="1665">
        <v>0</v>
      </c>
      <c r="AT338" s="1665">
        <v>0</v>
      </c>
      <c r="AU338" s="1665">
        <v>0</v>
      </c>
      <c r="AV338" s="1665">
        <v>0</v>
      </c>
      <c r="AW338" s="1665">
        <v>0</v>
      </c>
      <c r="AX338" s="1665">
        <v>0</v>
      </c>
      <c r="AY338" s="1665">
        <v>0</v>
      </c>
      <c r="AZ338" s="1665">
        <v>0</v>
      </c>
      <c r="BA338" s="1668"/>
      <c r="BB338" s="1668"/>
      <c r="BC338" s="1665">
        <v>0</v>
      </c>
      <c r="BD338" s="1665">
        <v>0</v>
      </c>
      <c r="BE338" s="1665">
        <v>289492.58</v>
      </c>
      <c r="BF338" s="1665">
        <v>289492.58</v>
      </c>
      <c r="BG338" s="1665">
        <v>289492.58</v>
      </c>
      <c r="BH338" s="1665">
        <v>219471.53</v>
      </c>
      <c r="BI338" s="1665">
        <v>70021.05</v>
      </c>
      <c r="BJ338" s="1665">
        <v>0</v>
      </c>
      <c r="BK338" s="1665">
        <v>0</v>
      </c>
      <c r="BL338" s="1665">
        <v>0</v>
      </c>
      <c r="BM338" s="1665">
        <v>0</v>
      </c>
      <c r="BN338" s="1665">
        <v>0</v>
      </c>
      <c r="BO338" s="1668"/>
      <c r="BP338" s="1665">
        <v>201483.36</v>
      </c>
      <c r="BQ338" s="1665">
        <v>201483.36</v>
      </c>
      <c r="BR338" s="1665">
        <v>201483.36</v>
      </c>
      <c r="BS338" s="1667">
        <v>152914.96</v>
      </c>
      <c r="BT338" s="1665">
        <v>48568.4</v>
      </c>
      <c r="BU338" s="1665">
        <v>0</v>
      </c>
      <c r="BV338" s="1665">
        <v>0</v>
      </c>
      <c r="BW338" s="1665">
        <v>0</v>
      </c>
      <c r="BX338" s="1665">
        <v>0</v>
      </c>
      <c r="BY338" s="1665">
        <v>0</v>
      </c>
      <c r="BZ338" s="1665">
        <v>0</v>
      </c>
      <c r="CA338" s="1665">
        <v>0</v>
      </c>
      <c r="CB338" s="1668"/>
      <c r="CC338" s="1668"/>
      <c r="CD338" s="1665">
        <v>0</v>
      </c>
      <c r="CE338" s="1665">
        <v>0</v>
      </c>
      <c r="CF338" s="1665">
        <v>10485.23</v>
      </c>
      <c r="CG338" s="1665">
        <v>10485.23</v>
      </c>
      <c r="CH338" s="1665">
        <v>0</v>
      </c>
      <c r="CI338" s="1665">
        <v>0</v>
      </c>
      <c r="CJ338" s="1665">
        <v>68157.399999999994</v>
      </c>
      <c r="CK338" s="1665">
        <v>68157.399999999994</v>
      </c>
      <c r="CL338" s="1668"/>
      <c r="CM338" s="1665">
        <v>0</v>
      </c>
      <c r="CN338" s="1665">
        <v>0</v>
      </c>
      <c r="CO338" s="1665">
        <v>0</v>
      </c>
      <c r="CP338" s="1665">
        <v>0</v>
      </c>
      <c r="CQ338" s="1665">
        <v>0</v>
      </c>
      <c r="CR338" s="1665">
        <v>0</v>
      </c>
      <c r="CS338" s="1665">
        <v>0</v>
      </c>
      <c r="CT338" s="1665">
        <v>0</v>
      </c>
      <c r="CU338" s="1665">
        <v>0</v>
      </c>
      <c r="CV338" s="1665">
        <v>0</v>
      </c>
      <c r="CW338" s="1668"/>
      <c r="CX338" s="1665">
        <v>0</v>
      </c>
      <c r="CY338" s="1665">
        <v>0</v>
      </c>
      <c r="CZ338" s="1665">
        <v>0</v>
      </c>
      <c r="DA338" s="1665">
        <v>0</v>
      </c>
      <c r="DB338" s="1668"/>
      <c r="DC338" s="1662"/>
      <c r="DD338" s="1665">
        <v>0</v>
      </c>
      <c r="DE338" s="1665">
        <v>0</v>
      </c>
      <c r="DF338" s="1665">
        <v>0</v>
      </c>
      <c r="DG338" s="1665">
        <v>0</v>
      </c>
      <c r="DH338" s="1665">
        <v>0</v>
      </c>
    </row>
    <row r="339" spans="1:112" hidden="1" x14ac:dyDescent="0.25">
      <c r="A339" s="1662" t="s">
        <v>2404</v>
      </c>
      <c r="B339" s="1662" t="s">
        <v>1727</v>
      </c>
      <c r="C339" s="1662" t="s">
        <v>2642</v>
      </c>
      <c r="D339" s="1662" t="s">
        <v>2643</v>
      </c>
      <c r="E339" s="1662"/>
      <c r="F339" s="1662"/>
      <c r="G339" s="1662"/>
      <c r="H339" s="1662"/>
      <c r="I339" s="1662"/>
      <c r="J339" s="1662"/>
      <c r="K339" s="1662"/>
      <c r="L339" s="1662"/>
      <c r="M339" s="1665">
        <v>1951086.58</v>
      </c>
      <c r="N339" s="1665">
        <v>0</v>
      </c>
      <c r="O339" s="1665">
        <v>1951086.58</v>
      </c>
      <c r="P339" s="1665">
        <v>1951086.58</v>
      </c>
      <c r="Q339" s="1665">
        <v>1951086.58</v>
      </c>
      <c r="R339" s="1665">
        <v>1451086.58</v>
      </c>
      <c r="S339" s="1665">
        <v>500000</v>
      </c>
      <c r="T339" s="1665">
        <v>0</v>
      </c>
      <c r="U339" s="1665">
        <v>0</v>
      </c>
      <c r="V339" s="1665">
        <v>0</v>
      </c>
      <c r="W339" s="1665">
        <v>0</v>
      </c>
      <c r="X339" s="1665">
        <v>0</v>
      </c>
      <c r="Y339" s="1668"/>
      <c r="Z339" s="1662"/>
      <c r="AA339" s="1665">
        <v>0</v>
      </c>
      <c r="AB339" s="1665">
        <v>0</v>
      </c>
      <c r="AC339" s="1680">
        <v>0</v>
      </c>
      <c r="AD339" s="1681"/>
      <c r="AE339" s="1679"/>
      <c r="AF339" s="1662"/>
      <c r="AG339" s="1666"/>
      <c r="AH339" s="1667">
        <v>528992.57999999996</v>
      </c>
      <c r="AI339" s="1665">
        <v>528992.57999999996</v>
      </c>
      <c r="AJ339" s="1665">
        <v>528992.57999999996</v>
      </c>
      <c r="AK339" s="1698">
        <v>397261.96</v>
      </c>
      <c r="AL339" s="1665">
        <v>131730.62</v>
      </c>
      <c r="AM339" s="1668"/>
      <c r="AN339" s="1665">
        <v>289492.58</v>
      </c>
      <c r="AO339" s="1665">
        <v>289492.58</v>
      </c>
      <c r="AP339" s="1665">
        <v>289492.58</v>
      </c>
      <c r="AQ339" s="1665">
        <v>219471.53</v>
      </c>
      <c r="AR339" s="1665">
        <v>70021.05</v>
      </c>
      <c r="AS339" s="1665">
        <v>0</v>
      </c>
      <c r="AT339" s="1665">
        <v>0</v>
      </c>
      <c r="AU339" s="1665">
        <v>0</v>
      </c>
      <c r="AV339" s="1665">
        <v>0</v>
      </c>
      <c r="AW339" s="1665">
        <v>0</v>
      </c>
      <c r="AX339" s="1665">
        <v>0</v>
      </c>
      <c r="AY339" s="1665">
        <v>0</v>
      </c>
      <c r="AZ339" s="1665">
        <v>0</v>
      </c>
      <c r="BA339" s="1668"/>
      <c r="BB339" s="1668"/>
      <c r="BC339" s="1665">
        <v>0</v>
      </c>
      <c r="BD339" s="1665">
        <v>0</v>
      </c>
      <c r="BE339" s="1665">
        <v>289492.58</v>
      </c>
      <c r="BF339" s="1665">
        <v>289492.58</v>
      </c>
      <c r="BG339" s="1665">
        <v>289492.58</v>
      </c>
      <c r="BH339" s="1665">
        <v>219471.53</v>
      </c>
      <c r="BI339" s="1665">
        <v>70021.05</v>
      </c>
      <c r="BJ339" s="1665">
        <v>0</v>
      </c>
      <c r="BK339" s="1665">
        <v>0</v>
      </c>
      <c r="BL339" s="1665">
        <v>0</v>
      </c>
      <c r="BM339" s="1665">
        <v>0</v>
      </c>
      <c r="BN339" s="1665">
        <v>0</v>
      </c>
      <c r="BO339" s="1668"/>
      <c r="BP339" s="1665">
        <v>201483.36</v>
      </c>
      <c r="BQ339" s="1665">
        <v>201483.36</v>
      </c>
      <c r="BR339" s="1665">
        <v>201483.36</v>
      </c>
      <c r="BS339" s="1667">
        <v>152914.96</v>
      </c>
      <c r="BT339" s="1665">
        <v>48568.4</v>
      </c>
      <c r="BU339" s="1665">
        <v>0</v>
      </c>
      <c r="BV339" s="1665">
        <v>0</v>
      </c>
      <c r="BW339" s="1665">
        <v>0</v>
      </c>
      <c r="BX339" s="1665">
        <v>0</v>
      </c>
      <c r="BY339" s="1665">
        <v>0</v>
      </c>
      <c r="BZ339" s="1665">
        <v>0</v>
      </c>
      <c r="CA339" s="1665">
        <v>0</v>
      </c>
      <c r="CB339" s="1668"/>
      <c r="CC339" s="1668"/>
      <c r="CD339" s="1665">
        <v>0</v>
      </c>
      <c r="CE339" s="1665">
        <v>0</v>
      </c>
      <c r="CF339" s="1665">
        <v>10485.23</v>
      </c>
      <c r="CG339" s="1665">
        <v>10485.23</v>
      </c>
      <c r="CH339" s="1665">
        <v>0</v>
      </c>
      <c r="CI339" s="1665">
        <v>0</v>
      </c>
      <c r="CJ339" s="1665">
        <v>68157.399999999994</v>
      </c>
      <c r="CK339" s="1665">
        <v>68157.399999999994</v>
      </c>
      <c r="CL339" s="1668"/>
      <c r="CM339" s="1665">
        <v>0</v>
      </c>
      <c r="CN339" s="1665">
        <v>0</v>
      </c>
      <c r="CO339" s="1665">
        <v>0</v>
      </c>
      <c r="CP339" s="1665">
        <v>0</v>
      </c>
      <c r="CQ339" s="1665">
        <v>0</v>
      </c>
      <c r="CR339" s="1665">
        <v>0</v>
      </c>
      <c r="CS339" s="1665">
        <v>0</v>
      </c>
      <c r="CT339" s="1665">
        <v>0</v>
      </c>
      <c r="CU339" s="1665">
        <v>0</v>
      </c>
      <c r="CV339" s="1665">
        <v>0</v>
      </c>
      <c r="CW339" s="1668"/>
      <c r="CX339" s="1665">
        <v>0</v>
      </c>
      <c r="CY339" s="1665">
        <v>0</v>
      </c>
      <c r="CZ339" s="1665">
        <v>0</v>
      </c>
      <c r="DA339" s="1665">
        <v>0</v>
      </c>
      <c r="DB339" s="1668"/>
      <c r="DC339" s="1662"/>
      <c r="DD339" s="1665">
        <v>0</v>
      </c>
      <c r="DE339" s="1665">
        <v>0</v>
      </c>
      <c r="DF339" s="1665">
        <v>0</v>
      </c>
      <c r="DG339" s="1665">
        <v>0</v>
      </c>
      <c r="DH339" s="1665">
        <v>0</v>
      </c>
    </row>
    <row r="340" spans="1:112" ht="22.5" hidden="1" x14ac:dyDescent="0.25">
      <c r="A340" s="1662" t="s">
        <v>2406</v>
      </c>
      <c r="B340" s="1662" t="s">
        <v>1727</v>
      </c>
      <c r="C340" s="1662" t="s">
        <v>2642</v>
      </c>
      <c r="D340" s="1662" t="s">
        <v>2643</v>
      </c>
      <c r="E340" s="1662" t="s">
        <v>2405</v>
      </c>
      <c r="F340" s="1662"/>
      <c r="G340" s="1662"/>
      <c r="H340" s="1662"/>
      <c r="I340" s="1662"/>
      <c r="J340" s="1662"/>
      <c r="K340" s="1662"/>
      <c r="L340" s="1662"/>
      <c r="M340" s="1665">
        <v>1951086.58</v>
      </c>
      <c r="N340" s="1665">
        <v>0</v>
      </c>
      <c r="O340" s="1665">
        <v>1951086.58</v>
      </c>
      <c r="P340" s="1665">
        <v>1951086.58</v>
      </c>
      <c r="Q340" s="1665">
        <v>1951086.58</v>
      </c>
      <c r="R340" s="1665">
        <v>1451086.58</v>
      </c>
      <c r="S340" s="1665">
        <v>500000</v>
      </c>
      <c r="T340" s="1665">
        <v>0</v>
      </c>
      <c r="U340" s="1665">
        <v>0</v>
      </c>
      <c r="V340" s="1665">
        <v>0</v>
      </c>
      <c r="W340" s="1665">
        <v>0</v>
      </c>
      <c r="X340" s="1665">
        <v>0</v>
      </c>
      <c r="Y340" s="1668"/>
      <c r="Z340" s="1662"/>
      <c r="AA340" s="1665">
        <v>0</v>
      </c>
      <c r="AB340" s="1665">
        <v>0</v>
      </c>
      <c r="AC340" s="1680">
        <v>0</v>
      </c>
      <c r="AD340" s="1681"/>
      <c r="AE340" s="1679"/>
      <c r="AF340" s="1662"/>
      <c r="AG340" s="1666"/>
      <c r="AH340" s="1667">
        <v>528992.57999999996</v>
      </c>
      <c r="AI340" s="1665">
        <v>528992.57999999996</v>
      </c>
      <c r="AJ340" s="1665">
        <v>528992.57999999996</v>
      </c>
      <c r="AK340" s="1698">
        <v>397261.96</v>
      </c>
      <c r="AL340" s="1665">
        <v>131730.62</v>
      </c>
      <c r="AM340" s="1668"/>
      <c r="AN340" s="1665">
        <v>289492.58</v>
      </c>
      <c r="AO340" s="1665">
        <v>289492.58</v>
      </c>
      <c r="AP340" s="1665">
        <v>289492.58</v>
      </c>
      <c r="AQ340" s="1665">
        <v>219471.53</v>
      </c>
      <c r="AR340" s="1665">
        <v>70021.05</v>
      </c>
      <c r="AS340" s="1665">
        <v>0</v>
      </c>
      <c r="AT340" s="1665">
        <v>0</v>
      </c>
      <c r="AU340" s="1665">
        <v>0</v>
      </c>
      <c r="AV340" s="1665">
        <v>0</v>
      </c>
      <c r="AW340" s="1665">
        <v>0</v>
      </c>
      <c r="AX340" s="1665">
        <v>0</v>
      </c>
      <c r="AY340" s="1665">
        <v>0</v>
      </c>
      <c r="AZ340" s="1665">
        <v>0</v>
      </c>
      <c r="BA340" s="1668"/>
      <c r="BB340" s="1668"/>
      <c r="BC340" s="1665">
        <v>0</v>
      </c>
      <c r="BD340" s="1665">
        <v>0</v>
      </c>
      <c r="BE340" s="1665">
        <v>289492.58</v>
      </c>
      <c r="BF340" s="1665">
        <v>289492.58</v>
      </c>
      <c r="BG340" s="1665">
        <v>289492.58</v>
      </c>
      <c r="BH340" s="1665">
        <v>219471.53</v>
      </c>
      <c r="BI340" s="1665">
        <v>70021.05</v>
      </c>
      <c r="BJ340" s="1665">
        <v>0</v>
      </c>
      <c r="BK340" s="1665">
        <v>0</v>
      </c>
      <c r="BL340" s="1665">
        <v>0</v>
      </c>
      <c r="BM340" s="1665">
        <v>0</v>
      </c>
      <c r="BN340" s="1665">
        <v>0</v>
      </c>
      <c r="BO340" s="1668"/>
      <c r="BP340" s="1665">
        <v>201483.36</v>
      </c>
      <c r="BQ340" s="1665">
        <v>201483.36</v>
      </c>
      <c r="BR340" s="1665">
        <v>201483.36</v>
      </c>
      <c r="BS340" s="1667">
        <v>152914.96</v>
      </c>
      <c r="BT340" s="1665">
        <v>48568.4</v>
      </c>
      <c r="BU340" s="1665">
        <v>0</v>
      </c>
      <c r="BV340" s="1665">
        <v>0</v>
      </c>
      <c r="BW340" s="1665">
        <v>0</v>
      </c>
      <c r="BX340" s="1665">
        <v>0</v>
      </c>
      <c r="BY340" s="1665">
        <v>0</v>
      </c>
      <c r="BZ340" s="1665">
        <v>0</v>
      </c>
      <c r="CA340" s="1665">
        <v>0</v>
      </c>
      <c r="CB340" s="1668"/>
      <c r="CC340" s="1668"/>
      <c r="CD340" s="1665">
        <v>0</v>
      </c>
      <c r="CE340" s="1665">
        <v>0</v>
      </c>
      <c r="CF340" s="1665">
        <v>10485.23</v>
      </c>
      <c r="CG340" s="1665">
        <v>10485.23</v>
      </c>
      <c r="CH340" s="1665">
        <v>0</v>
      </c>
      <c r="CI340" s="1665">
        <v>0</v>
      </c>
      <c r="CJ340" s="1665">
        <v>68157.399999999994</v>
      </c>
      <c r="CK340" s="1665">
        <v>68157.399999999994</v>
      </c>
      <c r="CL340" s="1668"/>
      <c r="CM340" s="1665">
        <v>0</v>
      </c>
      <c r="CN340" s="1665">
        <v>0</v>
      </c>
      <c r="CO340" s="1665">
        <v>0</v>
      </c>
      <c r="CP340" s="1665">
        <v>0</v>
      </c>
      <c r="CQ340" s="1665">
        <v>0</v>
      </c>
      <c r="CR340" s="1665">
        <v>0</v>
      </c>
      <c r="CS340" s="1665">
        <v>0</v>
      </c>
      <c r="CT340" s="1665">
        <v>0</v>
      </c>
      <c r="CU340" s="1665">
        <v>0</v>
      </c>
      <c r="CV340" s="1665">
        <v>0</v>
      </c>
      <c r="CW340" s="1668"/>
      <c r="CX340" s="1665">
        <v>0</v>
      </c>
      <c r="CY340" s="1665">
        <v>0</v>
      </c>
      <c r="CZ340" s="1665">
        <v>0</v>
      </c>
      <c r="DA340" s="1665">
        <v>0</v>
      </c>
      <c r="DB340" s="1668"/>
      <c r="DC340" s="1662"/>
      <c r="DD340" s="1665">
        <v>0</v>
      </c>
      <c r="DE340" s="1665">
        <v>0</v>
      </c>
      <c r="DF340" s="1665">
        <v>0</v>
      </c>
      <c r="DG340" s="1665">
        <v>0</v>
      </c>
      <c r="DH340" s="1665">
        <v>0</v>
      </c>
    </row>
    <row r="341" spans="1:112" ht="45" hidden="1" x14ac:dyDescent="0.25">
      <c r="A341" s="1662" t="s">
        <v>2410</v>
      </c>
      <c r="B341" s="1662" t="s">
        <v>1727</v>
      </c>
      <c r="C341" s="1662" t="s">
        <v>2642</v>
      </c>
      <c r="D341" s="1662" t="s">
        <v>2643</v>
      </c>
      <c r="E341" s="1662" t="s">
        <v>2405</v>
      </c>
      <c r="F341" s="1662" t="s">
        <v>2638</v>
      </c>
      <c r="G341" s="1662" t="s">
        <v>2644</v>
      </c>
      <c r="H341" s="1662" t="s">
        <v>2645</v>
      </c>
      <c r="I341" s="1662" t="s">
        <v>2407</v>
      </c>
      <c r="J341" s="1662" t="s">
        <v>2408</v>
      </c>
      <c r="K341" s="1662" t="s">
        <v>2409</v>
      </c>
      <c r="L341" s="1662" t="s">
        <v>2109</v>
      </c>
      <c r="M341" s="1665">
        <v>136133.06</v>
      </c>
      <c r="N341" s="1665">
        <v>0</v>
      </c>
      <c r="O341" s="1665">
        <v>136133.06</v>
      </c>
      <c r="P341" s="1665">
        <v>136133.06</v>
      </c>
      <c r="Q341" s="1665">
        <v>136133.06</v>
      </c>
      <c r="R341" s="1665">
        <v>136133.06</v>
      </c>
      <c r="S341" s="1665">
        <v>0</v>
      </c>
      <c r="T341" s="1665">
        <v>0</v>
      </c>
      <c r="U341" s="1665">
        <v>0</v>
      </c>
      <c r="V341" s="1665">
        <v>0</v>
      </c>
      <c r="W341" s="1665">
        <v>0</v>
      </c>
      <c r="X341" s="1665">
        <v>0</v>
      </c>
      <c r="Y341" s="1668"/>
      <c r="Z341" s="1662"/>
      <c r="AA341" s="1665">
        <v>0</v>
      </c>
      <c r="AB341" s="1665">
        <v>0</v>
      </c>
      <c r="AC341" s="1680">
        <v>0</v>
      </c>
      <c r="AD341" s="1681"/>
      <c r="AE341" s="1679"/>
      <c r="AF341" s="1662"/>
      <c r="AG341" s="1666"/>
      <c r="AH341" s="1667">
        <v>50822.69</v>
      </c>
      <c r="AI341" s="1665">
        <v>50822.69</v>
      </c>
      <c r="AJ341" s="1665">
        <v>50822.69</v>
      </c>
      <c r="AK341" s="1698">
        <v>50822.69</v>
      </c>
      <c r="AL341" s="1665">
        <v>0</v>
      </c>
      <c r="AM341" s="1668"/>
      <c r="AN341" s="1665">
        <v>35322.69</v>
      </c>
      <c r="AO341" s="1665">
        <v>35322.69</v>
      </c>
      <c r="AP341" s="1665">
        <v>35322.69</v>
      </c>
      <c r="AQ341" s="1665">
        <v>35322.69</v>
      </c>
      <c r="AR341" s="1665">
        <v>0</v>
      </c>
      <c r="AS341" s="1665">
        <v>0</v>
      </c>
      <c r="AT341" s="1665">
        <v>0</v>
      </c>
      <c r="AU341" s="1665">
        <v>0</v>
      </c>
      <c r="AV341" s="1665">
        <v>0</v>
      </c>
      <c r="AW341" s="1665">
        <v>0</v>
      </c>
      <c r="AX341" s="1665">
        <v>0</v>
      </c>
      <c r="AY341" s="1665">
        <v>0</v>
      </c>
      <c r="AZ341" s="1665">
        <v>0</v>
      </c>
      <c r="BA341" s="1668"/>
      <c r="BB341" s="1668"/>
      <c r="BC341" s="1665">
        <v>0</v>
      </c>
      <c r="BD341" s="1665">
        <v>0</v>
      </c>
      <c r="BE341" s="1665">
        <v>35322.69</v>
      </c>
      <c r="BF341" s="1665">
        <v>35322.69</v>
      </c>
      <c r="BG341" s="1665">
        <v>35322.69</v>
      </c>
      <c r="BH341" s="1665">
        <v>35322.69</v>
      </c>
      <c r="BI341" s="1665">
        <v>0</v>
      </c>
      <c r="BJ341" s="1665">
        <v>0</v>
      </c>
      <c r="BK341" s="1665">
        <v>0</v>
      </c>
      <c r="BL341" s="1665">
        <v>0</v>
      </c>
      <c r="BM341" s="1665">
        <v>0</v>
      </c>
      <c r="BN341" s="1665">
        <v>0</v>
      </c>
      <c r="BO341" s="1668"/>
      <c r="BP341" s="1665">
        <v>25184.59</v>
      </c>
      <c r="BQ341" s="1665">
        <v>25184.59</v>
      </c>
      <c r="BR341" s="1665">
        <v>25184.59</v>
      </c>
      <c r="BS341" s="1667">
        <v>25184.59</v>
      </c>
      <c r="BT341" s="1665">
        <v>0</v>
      </c>
      <c r="BU341" s="1665">
        <v>0</v>
      </c>
      <c r="BV341" s="1665">
        <v>0</v>
      </c>
      <c r="BW341" s="1665">
        <v>0</v>
      </c>
      <c r="BX341" s="1665">
        <v>0</v>
      </c>
      <c r="BY341" s="1665">
        <v>0</v>
      </c>
      <c r="BZ341" s="1665">
        <v>0</v>
      </c>
      <c r="CA341" s="1665">
        <v>0</v>
      </c>
      <c r="CB341" s="1668"/>
      <c r="CC341" s="1668"/>
      <c r="CD341" s="1665">
        <v>0</v>
      </c>
      <c r="CE341" s="1665">
        <v>0</v>
      </c>
      <c r="CF341" s="1665">
        <v>8332.0499999999993</v>
      </c>
      <c r="CG341" s="1665">
        <v>8332.0499999999993</v>
      </c>
      <c r="CH341" s="1665">
        <v>0</v>
      </c>
      <c r="CI341" s="1665">
        <v>0</v>
      </c>
      <c r="CJ341" s="1665">
        <v>7961.97</v>
      </c>
      <c r="CK341" s="1665">
        <v>7961.97</v>
      </c>
      <c r="CL341" s="1668"/>
      <c r="CM341" s="1665">
        <v>0</v>
      </c>
      <c r="CN341" s="1665">
        <v>0</v>
      </c>
      <c r="CO341" s="1665">
        <v>0</v>
      </c>
      <c r="CP341" s="1665">
        <v>0</v>
      </c>
      <c r="CQ341" s="1665">
        <v>0</v>
      </c>
      <c r="CR341" s="1665">
        <v>0</v>
      </c>
      <c r="CS341" s="1665">
        <v>0</v>
      </c>
      <c r="CT341" s="1665">
        <v>0</v>
      </c>
      <c r="CU341" s="1665">
        <v>0</v>
      </c>
      <c r="CV341" s="1665">
        <v>0</v>
      </c>
      <c r="CW341" s="1668"/>
      <c r="CX341" s="1665">
        <v>0</v>
      </c>
      <c r="CY341" s="1665">
        <v>0</v>
      </c>
      <c r="CZ341" s="1665">
        <v>0</v>
      </c>
      <c r="DA341" s="1665">
        <v>0</v>
      </c>
      <c r="DB341" s="1668"/>
      <c r="DC341" s="1662"/>
      <c r="DD341" s="1665">
        <v>0</v>
      </c>
      <c r="DE341" s="1665">
        <v>0</v>
      </c>
      <c r="DF341" s="1665">
        <v>0</v>
      </c>
      <c r="DG341" s="1665">
        <v>0</v>
      </c>
      <c r="DH341" s="1665">
        <v>0</v>
      </c>
    </row>
    <row r="342" spans="1:112" ht="45" hidden="1" x14ac:dyDescent="0.25">
      <c r="A342" s="1662" t="s">
        <v>2411</v>
      </c>
      <c r="B342" s="1662" t="s">
        <v>1727</v>
      </c>
      <c r="C342" s="1662" t="s">
        <v>2642</v>
      </c>
      <c r="D342" s="1662" t="s">
        <v>2643</v>
      </c>
      <c r="E342" s="1662" t="s">
        <v>2405</v>
      </c>
      <c r="F342" s="1662" t="s">
        <v>2638</v>
      </c>
      <c r="G342" s="1662" t="s">
        <v>2644</v>
      </c>
      <c r="H342" s="1662" t="s">
        <v>2645</v>
      </c>
      <c r="I342" s="1662" t="s">
        <v>2407</v>
      </c>
      <c r="J342" s="1662" t="s">
        <v>2408</v>
      </c>
      <c r="K342" s="1662" t="s">
        <v>2409</v>
      </c>
      <c r="L342" s="1662" t="s">
        <v>2109</v>
      </c>
      <c r="M342" s="1663"/>
      <c r="N342" s="1663"/>
      <c r="O342" s="1663"/>
      <c r="P342" s="1663"/>
      <c r="Q342" s="1663"/>
      <c r="R342" s="1663"/>
      <c r="S342" s="1663"/>
      <c r="T342" s="1663"/>
      <c r="U342" s="1663"/>
      <c r="V342" s="1663"/>
      <c r="W342" s="1663"/>
      <c r="X342" s="1663"/>
      <c r="Y342" s="1664">
        <v>43041</v>
      </c>
      <c r="Z342" s="1662" t="s">
        <v>2145</v>
      </c>
      <c r="AA342" s="1665">
        <v>0</v>
      </c>
      <c r="AB342" s="1665">
        <v>0</v>
      </c>
      <c r="AC342" s="1680">
        <v>0</v>
      </c>
      <c r="AD342" s="1682">
        <v>43052</v>
      </c>
      <c r="AE342" s="1679" t="s">
        <v>2122</v>
      </c>
      <c r="AF342" s="1662" t="s">
        <v>2112</v>
      </c>
      <c r="AG342" s="1666"/>
      <c r="AH342" s="1667">
        <v>7000</v>
      </c>
      <c r="AI342" s="1665">
        <v>7000</v>
      </c>
      <c r="AJ342" s="1665">
        <v>7000</v>
      </c>
      <c r="AK342" s="1698">
        <v>7000</v>
      </c>
      <c r="AL342" s="1665">
        <v>0</v>
      </c>
      <c r="AM342" s="1668"/>
      <c r="AN342" s="1665">
        <v>0</v>
      </c>
      <c r="AO342" s="1665">
        <v>0</v>
      </c>
      <c r="AP342" s="1665">
        <v>0</v>
      </c>
      <c r="AQ342" s="1665">
        <v>0</v>
      </c>
      <c r="AR342" s="1665">
        <v>0</v>
      </c>
      <c r="AS342" s="1665">
        <v>0</v>
      </c>
      <c r="AT342" s="1665">
        <v>0</v>
      </c>
      <c r="AU342" s="1665">
        <v>0</v>
      </c>
      <c r="AV342" s="1665">
        <v>0</v>
      </c>
      <c r="AW342" s="1665">
        <v>0</v>
      </c>
      <c r="AX342" s="1663"/>
      <c r="AY342" s="1663"/>
      <c r="AZ342" s="1663"/>
      <c r="BA342" s="1668"/>
      <c r="BB342" s="1668"/>
      <c r="BC342" s="1663"/>
      <c r="BD342" s="1663"/>
      <c r="BE342" s="1665">
        <v>0</v>
      </c>
      <c r="BF342" s="1665">
        <v>0</v>
      </c>
      <c r="BG342" s="1665">
        <v>0</v>
      </c>
      <c r="BH342" s="1665">
        <v>0</v>
      </c>
      <c r="BI342" s="1665">
        <v>0</v>
      </c>
      <c r="BJ342" s="1665">
        <v>0</v>
      </c>
      <c r="BK342" s="1665">
        <v>0</v>
      </c>
      <c r="BL342" s="1665">
        <v>0</v>
      </c>
      <c r="BM342" s="1665">
        <v>0</v>
      </c>
      <c r="BN342" s="1665">
        <v>0</v>
      </c>
      <c r="BO342" s="1668"/>
      <c r="BP342" s="1665">
        <v>0</v>
      </c>
      <c r="BQ342" s="1665">
        <v>0</v>
      </c>
      <c r="BR342" s="1665">
        <v>0</v>
      </c>
      <c r="BS342" s="1667">
        <v>0</v>
      </c>
      <c r="BT342" s="1665">
        <v>0</v>
      </c>
      <c r="BU342" s="1665">
        <v>0</v>
      </c>
      <c r="BV342" s="1665">
        <v>0</v>
      </c>
      <c r="BW342" s="1665">
        <v>0</v>
      </c>
      <c r="BX342" s="1665">
        <v>0</v>
      </c>
      <c r="BY342" s="1665">
        <v>0</v>
      </c>
      <c r="BZ342" s="1663"/>
      <c r="CA342" s="1663"/>
      <c r="CB342" s="1668"/>
      <c r="CC342" s="1668"/>
      <c r="CD342" s="1663"/>
      <c r="CE342" s="1663"/>
      <c r="CF342" s="1665">
        <v>0</v>
      </c>
      <c r="CG342" s="1665">
        <v>0</v>
      </c>
      <c r="CH342" s="1665">
        <v>0</v>
      </c>
      <c r="CI342" s="1665">
        <v>0</v>
      </c>
      <c r="CJ342" s="1665">
        <v>0</v>
      </c>
      <c r="CK342" s="1665">
        <v>0</v>
      </c>
      <c r="CL342" s="1668"/>
      <c r="CM342" s="1665">
        <v>0</v>
      </c>
      <c r="CN342" s="1665">
        <v>0</v>
      </c>
      <c r="CO342" s="1665">
        <v>0</v>
      </c>
      <c r="CP342" s="1665">
        <v>0</v>
      </c>
      <c r="CQ342" s="1665">
        <v>0</v>
      </c>
      <c r="CR342" s="1665">
        <v>0</v>
      </c>
      <c r="CS342" s="1665">
        <v>0</v>
      </c>
      <c r="CT342" s="1665">
        <v>0</v>
      </c>
      <c r="CU342" s="1665">
        <v>0</v>
      </c>
      <c r="CV342" s="1665">
        <v>0</v>
      </c>
      <c r="CW342" s="1668"/>
      <c r="CX342" s="1663"/>
      <c r="CY342" s="1663"/>
      <c r="CZ342" s="1663"/>
      <c r="DA342" s="1663"/>
      <c r="DB342" s="1668"/>
      <c r="DC342" s="1662"/>
      <c r="DD342" s="1665">
        <v>0</v>
      </c>
      <c r="DE342" s="1663"/>
      <c r="DF342" s="1663"/>
      <c r="DG342" s="1665">
        <v>0</v>
      </c>
      <c r="DH342" s="1665">
        <v>0</v>
      </c>
    </row>
    <row r="343" spans="1:112" ht="45" hidden="1" x14ac:dyDescent="0.25">
      <c r="A343" s="1662" t="s">
        <v>2412</v>
      </c>
      <c r="B343" s="1662" t="s">
        <v>1727</v>
      </c>
      <c r="C343" s="1662" t="s">
        <v>2642</v>
      </c>
      <c r="D343" s="1662" t="s">
        <v>2643</v>
      </c>
      <c r="E343" s="1662" t="s">
        <v>2405</v>
      </c>
      <c r="F343" s="1662" t="s">
        <v>2638</v>
      </c>
      <c r="G343" s="1662" t="s">
        <v>2644</v>
      </c>
      <c r="H343" s="1662" t="s">
        <v>2645</v>
      </c>
      <c r="I343" s="1662" t="s">
        <v>2407</v>
      </c>
      <c r="J343" s="1662" t="s">
        <v>2408</v>
      </c>
      <c r="K343" s="1662" t="s">
        <v>2409</v>
      </c>
      <c r="L343" s="1662" t="s">
        <v>2109</v>
      </c>
      <c r="M343" s="1663"/>
      <c r="N343" s="1663"/>
      <c r="O343" s="1663"/>
      <c r="P343" s="1663"/>
      <c r="Q343" s="1663"/>
      <c r="R343" s="1663"/>
      <c r="S343" s="1663"/>
      <c r="T343" s="1663"/>
      <c r="U343" s="1663"/>
      <c r="V343" s="1663"/>
      <c r="W343" s="1663"/>
      <c r="X343" s="1663"/>
      <c r="Y343" s="1664">
        <v>43090</v>
      </c>
      <c r="Z343" s="1662" t="s">
        <v>2110</v>
      </c>
      <c r="AA343" s="1665">
        <v>0</v>
      </c>
      <c r="AB343" s="1665">
        <v>0</v>
      </c>
      <c r="AC343" s="1680">
        <v>0</v>
      </c>
      <c r="AD343" s="1682">
        <v>43125</v>
      </c>
      <c r="AE343" s="1679" t="s">
        <v>2111</v>
      </c>
      <c r="AF343" s="1662" t="s">
        <v>2112</v>
      </c>
      <c r="AG343" s="1666"/>
      <c r="AH343" s="1667">
        <v>3442.31</v>
      </c>
      <c r="AI343" s="1665">
        <v>3442.31</v>
      </c>
      <c r="AJ343" s="1665">
        <v>3442.31</v>
      </c>
      <c r="AK343" s="1698">
        <v>3442.31</v>
      </c>
      <c r="AL343" s="1665">
        <v>0</v>
      </c>
      <c r="AM343" s="1664">
        <v>43125</v>
      </c>
      <c r="AN343" s="1665">
        <v>3442.31</v>
      </c>
      <c r="AO343" s="1665">
        <v>3442.31</v>
      </c>
      <c r="AP343" s="1665">
        <v>3442.31</v>
      </c>
      <c r="AQ343" s="1665">
        <v>3442.31</v>
      </c>
      <c r="AR343" s="1665">
        <v>0</v>
      </c>
      <c r="AS343" s="1665">
        <v>0</v>
      </c>
      <c r="AT343" s="1665">
        <v>0</v>
      </c>
      <c r="AU343" s="1665">
        <v>0</v>
      </c>
      <c r="AV343" s="1665">
        <v>0</v>
      </c>
      <c r="AW343" s="1665">
        <v>0</v>
      </c>
      <c r="AX343" s="1663"/>
      <c r="AY343" s="1663"/>
      <c r="AZ343" s="1663"/>
      <c r="BA343" s="1668"/>
      <c r="BB343" s="1668"/>
      <c r="BC343" s="1663"/>
      <c r="BD343" s="1663"/>
      <c r="BE343" s="1665">
        <v>3442.31</v>
      </c>
      <c r="BF343" s="1665">
        <v>3442.31</v>
      </c>
      <c r="BG343" s="1665">
        <v>3442.31</v>
      </c>
      <c r="BH343" s="1665">
        <v>3442.31</v>
      </c>
      <c r="BI343" s="1665">
        <v>0</v>
      </c>
      <c r="BJ343" s="1665">
        <v>0</v>
      </c>
      <c r="BK343" s="1665">
        <v>0</v>
      </c>
      <c r="BL343" s="1665">
        <v>0</v>
      </c>
      <c r="BM343" s="1665">
        <v>0</v>
      </c>
      <c r="BN343" s="1665">
        <v>0</v>
      </c>
      <c r="BO343" s="1664">
        <v>43208</v>
      </c>
      <c r="BP343" s="1665">
        <v>3442.31</v>
      </c>
      <c r="BQ343" s="1665">
        <v>3442.31</v>
      </c>
      <c r="BR343" s="1665">
        <v>3442.31</v>
      </c>
      <c r="BS343" s="1667">
        <v>3442.31</v>
      </c>
      <c r="BT343" s="1665">
        <v>0</v>
      </c>
      <c r="BU343" s="1665">
        <v>0</v>
      </c>
      <c r="BV343" s="1665">
        <v>0</v>
      </c>
      <c r="BW343" s="1665">
        <v>0</v>
      </c>
      <c r="BX343" s="1665">
        <v>0</v>
      </c>
      <c r="BY343" s="1665">
        <v>0</v>
      </c>
      <c r="BZ343" s="1665">
        <v>0</v>
      </c>
      <c r="CA343" s="1663"/>
      <c r="CB343" s="1668"/>
      <c r="CC343" s="1668"/>
      <c r="CD343" s="1663"/>
      <c r="CE343" s="1663"/>
      <c r="CF343" s="1665">
        <v>1252.3599999999999</v>
      </c>
      <c r="CG343" s="1665">
        <v>1252.3599999999999</v>
      </c>
      <c r="CH343" s="1665">
        <v>0</v>
      </c>
      <c r="CI343" s="1665">
        <v>0</v>
      </c>
      <c r="CJ343" s="1665">
        <v>1079.26</v>
      </c>
      <c r="CK343" s="1665">
        <v>1079.26</v>
      </c>
      <c r="CL343" s="1668"/>
      <c r="CM343" s="1665">
        <v>0</v>
      </c>
      <c r="CN343" s="1665">
        <v>0</v>
      </c>
      <c r="CO343" s="1665">
        <v>0</v>
      </c>
      <c r="CP343" s="1665">
        <v>0</v>
      </c>
      <c r="CQ343" s="1665">
        <v>0</v>
      </c>
      <c r="CR343" s="1665">
        <v>0</v>
      </c>
      <c r="CS343" s="1665">
        <v>0</v>
      </c>
      <c r="CT343" s="1665">
        <v>0</v>
      </c>
      <c r="CU343" s="1665">
        <v>0</v>
      </c>
      <c r="CV343" s="1665">
        <v>0</v>
      </c>
      <c r="CW343" s="1668"/>
      <c r="CX343" s="1663"/>
      <c r="CY343" s="1663"/>
      <c r="CZ343" s="1663"/>
      <c r="DA343" s="1663"/>
      <c r="DB343" s="1668"/>
      <c r="DC343" s="1662"/>
      <c r="DD343" s="1665">
        <v>0</v>
      </c>
      <c r="DE343" s="1663"/>
      <c r="DF343" s="1663"/>
      <c r="DG343" s="1665">
        <v>0</v>
      </c>
      <c r="DH343" s="1665">
        <v>0</v>
      </c>
    </row>
    <row r="344" spans="1:112" ht="45" hidden="1" x14ac:dyDescent="0.25">
      <c r="A344" s="1662" t="s">
        <v>2413</v>
      </c>
      <c r="B344" s="1662" t="s">
        <v>1727</v>
      </c>
      <c r="C344" s="1662" t="s">
        <v>2642</v>
      </c>
      <c r="D344" s="1662" t="s">
        <v>2643</v>
      </c>
      <c r="E344" s="1662" t="s">
        <v>2405</v>
      </c>
      <c r="F344" s="1662" t="s">
        <v>2638</v>
      </c>
      <c r="G344" s="1662" t="s">
        <v>2644</v>
      </c>
      <c r="H344" s="1662" t="s">
        <v>2645</v>
      </c>
      <c r="I344" s="1662" t="s">
        <v>2407</v>
      </c>
      <c r="J344" s="1662" t="s">
        <v>2408</v>
      </c>
      <c r="K344" s="1662" t="s">
        <v>2409</v>
      </c>
      <c r="L344" s="1662" t="s">
        <v>2109</v>
      </c>
      <c r="M344" s="1663"/>
      <c r="N344" s="1663"/>
      <c r="O344" s="1663"/>
      <c r="P344" s="1663"/>
      <c r="Q344" s="1663"/>
      <c r="R344" s="1663"/>
      <c r="S344" s="1663"/>
      <c r="T344" s="1663"/>
      <c r="U344" s="1663"/>
      <c r="V344" s="1663"/>
      <c r="W344" s="1663"/>
      <c r="X344" s="1663"/>
      <c r="Y344" s="1664">
        <v>43166</v>
      </c>
      <c r="Z344" s="1662" t="s">
        <v>2145</v>
      </c>
      <c r="AA344" s="1665">
        <v>0</v>
      </c>
      <c r="AB344" s="1665">
        <v>0</v>
      </c>
      <c r="AC344" s="1680">
        <v>0</v>
      </c>
      <c r="AD344" s="1682">
        <v>43179</v>
      </c>
      <c r="AE344" s="1679" t="s">
        <v>2114</v>
      </c>
      <c r="AF344" s="1662" t="s">
        <v>2112</v>
      </c>
      <c r="AG344" s="1666"/>
      <c r="AH344" s="1667">
        <v>8500</v>
      </c>
      <c r="AI344" s="1665">
        <v>8500</v>
      </c>
      <c r="AJ344" s="1665">
        <v>8500</v>
      </c>
      <c r="AK344" s="1698">
        <v>8500</v>
      </c>
      <c r="AL344" s="1665">
        <v>0</v>
      </c>
      <c r="AM344" s="1668"/>
      <c r="AN344" s="1665">
        <v>0</v>
      </c>
      <c r="AO344" s="1665">
        <v>0</v>
      </c>
      <c r="AP344" s="1665">
        <v>0</v>
      </c>
      <c r="AQ344" s="1665">
        <v>0</v>
      </c>
      <c r="AR344" s="1665">
        <v>0</v>
      </c>
      <c r="AS344" s="1665">
        <v>0</v>
      </c>
      <c r="AT344" s="1665">
        <v>0</v>
      </c>
      <c r="AU344" s="1665">
        <v>0</v>
      </c>
      <c r="AV344" s="1665">
        <v>0</v>
      </c>
      <c r="AW344" s="1665">
        <v>0</v>
      </c>
      <c r="AX344" s="1663"/>
      <c r="AY344" s="1663"/>
      <c r="AZ344" s="1663"/>
      <c r="BA344" s="1668"/>
      <c r="BB344" s="1668"/>
      <c r="BC344" s="1663"/>
      <c r="BD344" s="1663"/>
      <c r="BE344" s="1665">
        <v>0</v>
      </c>
      <c r="BF344" s="1665">
        <v>0</v>
      </c>
      <c r="BG344" s="1665">
        <v>0</v>
      </c>
      <c r="BH344" s="1665">
        <v>0</v>
      </c>
      <c r="BI344" s="1665">
        <v>0</v>
      </c>
      <c r="BJ344" s="1665">
        <v>0</v>
      </c>
      <c r="BK344" s="1665">
        <v>0</v>
      </c>
      <c r="BL344" s="1665">
        <v>0</v>
      </c>
      <c r="BM344" s="1665">
        <v>0</v>
      </c>
      <c r="BN344" s="1665">
        <v>0</v>
      </c>
      <c r="BO344" s="1668"/>
      <c r="BP344" s="1665">
        <v>0</v>
      </c>
      <c r="BQ344" s="1665">
        <v>0</v>
      </c>
      <c r="BR344" s="1665">
        <v>0</v>
      </c>
      <c r="BS344" s="1667">
        <v>0</v>
      </c>
      <c r="BT344" s="1665">
        <v>0</v>
      </c>
      <c r="BU344" s="1665">
        <v>0</v>
      </c>
      <c r="BV344" s="1665">
        <v>0</v>
      </c>
      <c r="BW344" s="1665">
        <v>0</v>
      </c>
      <c r="BX344" s="1665">
        <v>0</v>
      </c>
      <c r="BY344" s="1665">
        <v>0</v>
      </c>
      <c r="BZ344" s="1663"/>
      <c r="CA344" s="1663"/>
      <c r="CB344" s="1668"/>
      <c r="CC344" s="1668"/>
      <c r="CD344" s="1663"/>
      <c r="CE344" s="1663"/>
      <c r="CF344" s="1665">
        <v>0</v>
      </c>
      <c r="CG344" s="1665">
        <v>0</v>
      </c>
      <c r="CH344" s="1665">
        <v>0</v>
      </c>
      <c r="CI344" s="1665">
        <v>0</v>
      </c>
      <c r="CJ344" s="1665">
        <v>0</v>
      </c>
      <c r="CK344" s="1665">
        <v>0</v>
      </c>
      <c r="CL344" s="1668"/>
      <c r="CM344" s="1665">
        <v>0</v>
      </c>
      <c r="CN344" s="1665">
        <v>0</v>
      </c>
      <c r="CO344" s="1665">
        <v>0</v>
      </c>
      <c r="CP344" s="1665">
        <v>0</v>
      </c>
      <c r="CQ344" s="1665">
        <v>0</v>
      </c>
      <c r="CR344" s="1665">
        <v>0</v>
      </c>
      <c r="CS344" s="1665">
        <v>0</v>
      </c>
      <c r="CT344" s="1665">
        <v>0</v>
      </c>
      <c r="CU344" s="1665">
        <v>0</v>
      </c>
      <c r="CV344" s="1665">
        <v>0</v>
      </c>
      <c r="CW344" s="1668"/>
      <c r="CX344" s="1663"/>
      <c r="CY344" s="1663"/>
      <c r="CZ344" s="1663"/>
      <c r="DA344" s="1663"/>
      <c r="DB344" s="1668"/>
      <c r="DC344" s="1662"/>
      <c r="DD344" s="1665">
        <v>0</v>
      </c>
      <c r="DE344" s="1663"/>
      <c r="DF344" s="1663"/>
      <c r="DG344" s="1665">
        <v>0</v>
      </c>
      <c r="DH344" s="1665">
        <v>0</v>
      </c>
    </row>
    <row r="345" spans="1:112" ht="45" hidden="1" x14ac:dyDescent="0.25">
      <c r="A345" s="1662" t="s">
        <v>2414</v>
      </c>
      <c r="B345" s="1662" t="s">
        <v>1727</v>
      </c>
      <c r="C345" s="1662" t="s">
        <v>2642</v>
      </c>
      <c r="D345" s="1662" t="s">
        <v>2643</v>
      </c>
      <c r="E345" s="1662" t="s">
        <v>2405</v>
      </c>
      <c r="F345" s="1662" t="s">
        <v>2638</v>
      </c>
      <c r="G345" s="1662" t="s">
        <v>2644</v>
      </c>
      <c r="H345" s="1662" t="s">
        <v>2645</v>
      </c>
      <c r="I345" s="1662" t="s">
        <v>2407</v>
      </c>
      <c r="J345" s="1662" t="s">
        <v>2408</v>
      </c>
      <c r="K345" s="1662" t="s">
        <v>2409</v>
      </c>
      <c r="L345" s="1662" t="s">
        <v>2109</v>
      </c>
      <c r="M345" s="1663"/>
      <c r="N345" s="1663"/>
      <c r="O345" s="1663"/>
      <c r="P345" s="1663"/>
      <c r="Q345" s="1663"/>
      <c r="R345" s="1663"/>
      <c r="S345" s="1663"/>
      <c r="T345" s="1663"/>
      <c r="U345" s="1663"/>
      <c r="V345" s="1663"/>
      <c r="W345" s="1663"/>
      <c r="X345" s="1663"/>
      <c r="Y345" s="1664">
        <v>43187</v>
      </c>
      <c r="Z345" s="1662" t="s">
        <v>2110</v>
      </c>
      <c r="AA345" s="1665">
        <v>0</v>
      </c>
      <c r="AB345" s="1665">
        <v>0</v>
      </c>
      <c r="AC345" s="1680">
        <v>0</v>
      </c>
      <c r="AD345" s="1682">
        <v>43209</v>
      </c>
      <c r="AE345" s="1679" t="s">
        <v>2128</v>
      </c>
      <c r="AF345" s="1662" t="s">
        <v>2112</v>
      </c>
      <c r="AG345" s="1666"/>
      <c r="AH345" s="1667">
        <v>8621.66</v>
      </c>
      <c r="AI345" s="1665">
        <v>8621.66</v>
      </c>
      <c r="AJ345" s="1665">
        <v>8621.66</v>
      </c>
      <c r="AK345" s="1698">
        <v>8621.66</v>
      </c>
      <c r="AL345" s="1665">
        <v>0</v>
      </c>
      <c r="AM345" s="1664">
        <v>43209</v>
      </c>
      <c r="AN345" s="1665">
        <v>8621.66</v>
      </c>
      <c r="AO345" s="1665">
        <v>8621.66</v>
      </c>
      <c r="AP345" s="1665">
        <v>8621.66</v>
      </c>
      <c r="AQ345" s="1665">
        <v>8621.66</v>
      </c>
      <c r="AR345" s="1665">
        <v>0</v>
      </c>
      <c r="AS345" s="1665">
        <v>0</v>
      </c>
      <c r="AT345" s="1665">
        <v>0</v>
      </c>
      <c r="AU345" s="1665">
        <v>0</v>
      </c>
      <c r="AV345" s="1665">
        <v>0</v>
      </c>
      <c r="AW345" s="1665">
        <v>0</v>
      </c>
      <c r="AX345" s="1663"/>
      <c r="AY345" s="1663"/>
      <c r="AZ345" s="1663"/>
      <c r="BA345" s="1668"/>
      <c r="BB345" s="1668"/>
      <c r="BC345" s="1663"/>
      <c r="BD345" s="1663"/>
      <c r="BE345" s="1665">
        <v>8621.66</v>
      </c>
      <c r="BF345" s="1665">
        <v>8621.66</v>
      </c>
      <c r="BG345" s="1665">
        <v>8621.66</v>
      </c>
      <c r="BH345" s="1665">
        <v>8621.66</v>
      </c>
      <c r="BI345" s="1665">
        <v>0</v>
      </c>
      <c r="BJ345" s="1665">
        <v>0</v>
      </c>
      <c r="BK345" s="1665">
        <v>0</v>
      </c>
      <c r="BL345" s="1665">
        <v>0</v>
      </c>
      <c r="BM345" s="1665">
        <v>0</v>
      </c>
      <c r="BN345" s="1665">
        <v>0</v>
      </c>
      <c r="BO345" s="1664">
        <v>43364</v>
      </c>
      <c r="BP345" s="1665">
        <v>8621.66</v>
      </c>
      <c r="BQ345" s="1665">
        <v>8621.66</v>
      </c>
      <c r="BR345" s="1665">
        <v>8621.66</v>
      </c>
      <c r="BS345" s="1667">
        <v>8621.66</v>
      </c>
      <c r="BT345" s="1665">
        <v>0</v>
      </c>
      <c r="BU345" s="1665">
        <v>0</v>
      </c>
      <c r="BV345" s="1665">
        <v>0</v>
      </c>
      <c r="BW345" s="1665">
        <v>0</v>
      </c>
      <c r="BX345" s="1665">
        <v>0</v>
      </c>
      <c r="BY345" s="1665">
        <v>0</v>
      </c>
      <c r="BZ345" s="1665">
        <v>0</v>
      </c>
      <c r="CA345" s="1663"/>
      <c r="CB345" s="1668"/>
      <c r="CC345" s="1668"/>
      <c r="CD345" s="1663"/>
      <c r="CE345" s="1663"/>
      <c r="CF345" s="1665">
        <v>3180.16</v>
      </c>
      <c r="CG345" s="1665">
        <v>3180.16</v>
      </c>
      <c r="CH345" s="1665">
        <v>0</v>
      </c>
      <c r="CI345" s="1665">
        <v>0</v>
      </c>
      <c r="CJ345" s="1665">
        <v>2699.68</v>
      </c>
      <c r="CK345" s="1665">
        <v>2699.68</v>
      </c>
      <c r="CL345" s="1668"/>
      <c r="CM345" s="1665">
        <v>0</v>
      </c>
      <c r="CN345" s="1665">
        <v>0</v>
      </c>
      <c r="CO345" s="1665">
        <v>0</v>
      </c>
      <c r="CP345" s="1665">
        <v>0</v>
      </c>
      <c r="CQ345" s="1665">
        <v>0</v>
      </c>
      <c r="CR345" s="1665">
        <v>0</v>
      </c>
      <c r="CS345" s="1665">
        <v>0</v>
      </c>
      <c r="CT345" s="1665">
        <v>0</v>
      </c>
      <c r="CU345" s="1665">
        <v>0</v>
      </c>
      <c r="CV345" s="1665">
        <v>0</v>
      </c>
      <c r="CW345" s="1668"/>
      <c r="CX345" s="1663"/>
      <c r="CY345" s="1663"/>
      <c r="CZ345" s="1663"/>
      <c r="DA345" s="1663"/>
      <c r="DB345" s="1668"/>
      <c r="DC345" s="1662"/>
      <c r="DD345" s="1665">
        <v>0</v>
      </c>
      <c r="DE345" s="1663"/>
      <c r="DF345" s="1663"/>
      <c r="DG345" s="1665">
        <v>0</v>
      </c>
      <c r="DH345" s="1665">
        <v>0</v>
      </c>
    </row>
    <row r="346" spans="1:112" ht="45" hidden="1" x14ac:dyDescent="0.25">
      <c r="A346" s="1662" t="s">
        <v>2415</v>
      </c>
      <c r="B346" s="1662" t="s">
        <v>1727</v>
      </c>
      <c r="C346" s="1662" t="s">
        <v>2642</v>
      </c>
      <c r="D346" s="1662" t="s">
        <v>2643</v>
      </c>
      <c r="E346" s="1662" t="s">
        <v>2405</v>
      </c>
      <c r="F346" s="1662" t="s">
        <v>2638</v>
      </c>
      <c r="G346" s="1662" t="s">
        <v>2644</v>
      </c>
      <c r="H346" s="1662" t="s">
        <v>2645</v>
      </c>
      <c r="I346" s="1662" t="s">
        <v>2407</v>
      </c>
      <c r="J346" s="1662" t="s">
        <v>2408</v>
      </c>
      <c r="K346" s="1662" t="s">
        <v>2409</v>
      </c>
      <c r="L346" s="1662" t="s">
        <v>2109</v>
      </c>
      <c r="M346" s="1663"/>
      <c r="N346" s="1663"/>
      <c r="O346" s="1663"/>
      <c r="P346" s="1663"/>
      <c r="Q346" s="1663"/>
      <c r="R346" s="1663"/>
      <c r="S346" s="1663"/>
      <c r="T346" s="1663"/>
      <c r="U346" s="1663"/>
      <c r="V346" s="1663"/>
      <c r="W346" s="1663"/>
      <c r="X346" s="1663"/>
      <c r="Y346" s="1664">
        <v>43276</v>
      </c>
      <c r="Z346" s="1662" t="s">
        <v>2110</v>
      </c>
      <c r="AA346" s="1665">
        <v>0</v>
      </c>
      <c r="AB346" s="1665">
        <v>0</v>
      </c>
      <c r="AC346" s="1680">
        <v>0</v>
      </c>
      <c r="AD346" s="1682">
        <v>43307</v>
      </c>
      <c r="AE346" s="1679" t="s">
        <v>2129</v>
      </c>
      <c r="AF346" s="1662" t="s">
        <v>2112</v>
      </c>
      <c r="AG346" s="1666"/>
      <c r="AH346" s="1667">
        <v>13120.62</v>
      </c>
      <c r="AI346" s="1665">
        <v>13120.62</v>
      </c>
      <c r="AJ346" s="1665">
        <v>13120.62</v>
      </c>
      <c r="AK346" s="1698">
        <v>13120.62</v>
      </c>
      <c r="AL346" s="1665">
        <v>0</v>
      </c>
      <c r="AM346" s="1664">
        <v>43307</v>
      </c>
      <c r="AN346" s="1665">
        <v>13120.62</v>
      </c>
      <c r="AO346" s="1665">
        <v>13120.62</v>
      </c>
      <c r="AP346" s="1665">
        <v>13120.62</v>
      </c>
      <c r="AQ346" s="1665">
        <v>13120.62</v>
      </c>
      <c r="AR346" s="1665">
        <v>0</v>
      </c>
      <c r="AS346" s="1665">
        <v>0</v>
      </c>
      <c r="AT346" s="1665">
        <v>0</v>
      </c>
      <c r="AU346" s="1665">
        <v>0</v>
      </c>
      <c r="AV346" s="1665">
        <v>0</v>
      </c>
      <c r="AW346" s="1665">
        <v>0</v>
      </c>
      <c r="AX346" s="1663"/>
      <c r="AY346" s="1663"/>
      <c r="AZ346" s="1663"/>
      <c r="BA346" s="1668"/>
      <c r="BB346" s="1668"/>
      <c r="BC346" s="1663"/>
      <c r="BD346" s="1663"/>
      <c r="BE346" s="1665">
        <v>13120.62</v>
      </c>
      <c r="BF346" s="1665">
        <v>13120.62</v>
      </c>
      <c r="BG346" s="1665">
        <v>13120.62</v>
      </c>
      <c r="BH346" s="1665">
        <v>13120.62</v>
      </c>
      <c r="BI346" s="1665">
        <v>0</v>
      </c>
      <c r="BJ346" s="1665">
        <v>0</v>
      </c>
      <c r="BK346" s="1665">
        <v>0</v>
      </c>
      <c r="BL346" s="1665">
        <v>0</v>
      </c>
      <c r="BM346" s="1665">
        <v>0</v>
      </c>
      <c r="BN346" s="1665">
        <v>0</v>
      </c>
      <c r="BO346" s="1664">
        <v>43364</v>
      </c>
      <c r="BP346" s="1665">
        <v>13120.62</v>
      </c>
      <c r="BQ346" s="1665">
        <v>13120.62</v>
      </c>
      <c r="BR346" s="1665">
        <v>13120.62</v>
      </c>
      <c r="BS346" s="1667">
        <v>13120.62</v>
      </c>
      <c r="BT346" s="1665">
        <v>0</v>
      </c>
      <c r="BU346" s="1665">
        <v>0</v>
      </c>
      <c r="BV346" s="1665">
        <v>0</v>
      </c>
      <c r="BW346" s="1665">
        <v>0</v>
      </c>
      <c r="BX346" s="1665">
        <v>0</v>
      </c>
      <c r="BY346" s="1665">
        <v>0</v>
      </c>
      <c r="BZ346" s="1665">
        <v>0</v>
      </c>
      <c r="CA346" s="1663"/>
      <c r="CB346" s="1668"/>
      <c r="CC346" s="1668"/>
      <c r="CD346" s="1663"/>
      <c r="CE346" s="1663"/>
      <c r="CF346" s="1665">
        <v>3899.53</v>
      </c>
      <c r="CG346" s="1665">
        <v>3899.53</v>
      </c>
      <c r="CH346" s="1665">
        <v>0</v>
      </c>
      <c r="CI346" s="1665">
        <v>0</v>
      </c>
      <c r="CJ346" s="1665">
        <v>4183.03</v>
      </c>
      <c r="CK346" s="1665">
        <v>4183.03</v>
      </c>
      <c r="CL346" s="1668"/>
      <c r="CM346" s="1665">
        <v>0</v>
      </c>
      <c r="CN346" s="1665">
        <v>0</v>
      </c>
      <c r="CO346" s="1665">
        <v>0</v>
      </c>
      <c r="CP346" s="1665">
        <v>0</v>
      </c>
      <c r="CQ346" s="1665">
        <v>0</v>
      </c>
      <c r="CR346" s="1665">
        <v>0</v>
      </c>
      <c r="CS346" s="1665">
        <v>0</v>
      </c>
      <c r="CT346" s="1665">
        <v>0</v>
      </c>
      <c r="CU346" s="1665">
        <v>0</v>
      </c>
      <c r="CV346" s="1665">
        <v>0</v>
      </c>
      <c r="CW346" s="1668"/>
      <c r="CX346" s="1663"/>
      <c r="CY346" s="1663"/>
      <c r="CZ346" s="1663"/>
      <c r="DA346" s="1663"/>
      <c r="DB346" s="1668"/>
      <c r="DC346" s="1662"/>
      <c r="DD346" s="1665">
        <v>0</v>
      </c>
      <c r="DE346" s="1663"/>
      <c r="DF346" s="1663"/>
      <c r="DG346" s="1665">
        <v>0</v>
      </c>
      <c r="DH346" s="1665">
        <v>0</v>
      </c>
    </row>
    <row r="347" spans="1:112" ht="45" hidden="1" x14ac:dyDescent="0.25">
      <c r="A347" s="1662" t="s">
        <v>2416</v>
      </c>
      <c r="B347" s="1662" t="s">
        <v>1727</v>
      </c>
      <c r="C347" s="1662" t="s">
        <v>2642</v>
      </c>
      <c r="D347" s="1662" t="s">
        <v>2643</v>
      </c>
      <c r="E347" s="1662" t="s">
        <v>2405</v>
      </c>
      <c r="F347" s="1662" t="s">
        <v>2638</v>
      </c>
      <c r="G347" s="1662" t="s">
        <v>2644</v>
      </c>
      <c r="H347" s="1662" t="s">
        <v>2645</v>
      </c>
      <c r="I347" s="1662" t="s">
        <v>2407</v>
      </c>
      <c r="J347" s="1662" t="s">
        <v>2408</v>
      </c>
      <c r="K347" s="1662" t="s">
        <v>2409</v>
      </c>
      <c r="L347" s="1662" t="s">
        <v>2109</v>
      </c>
      <c r="M347" s="1663"/>
      <c r="N347" s="1663"/>
      <c r="O347" s="1663"/>
      <c r="P347" s="1663"/>
      <c r="Q347" s="1663"/>
      <c r="R347" s="1663"/>
      <c r="S347" s="1663"/>
      <c r="T347" s="1663"/>
      <c r="U347" s="1663"/>
      <c r="V347" s="1663"/>
      <c r="W347" s="1663"/>
      <c r="X347" s="1663"/>
      <c r="Y347" s="1664">
        <v>43339</v>
      </c>
      <c r="Z347" s="1662" t="s">
        <v>2110</v>
      </c>
      <c r="AA347" s="1665">
        <v>0</v>
      </c>
      <c r="AB347" s="1665">
        <v>0</v>
      </c>
      <c r="AC347" s="1680">
        <v>0</v>
      </c>
      <c r="AD347" s="1682">
        <v>43374</v>
      </c>
      <c r="AE347" s="1679" t="s">
        <v>2130</v>
      </c>
      <c r="AF347" s="1662" t="s">
        <v>2112</v>
      </c>
      <c r="AG347" s="1666"/>
      <c r="AH347" s="1667">
        <v>10138.1</v>
      </c>
      <c r="AI347" s="1665">
        <v>10138.1</v>
      </c>
      <c r="AJ347" s="1665">
        <v>10138.1</v>
      </c>
      <c r="AK347" s="1698">
        <v>10138.1</v>
      </c>
      <c r="AL347" s="1665">
        <v>0</v>
      </c>
      <c r="AM347" s="1664">
        <v>43374</v>
      </c>
      <c r="AN347" s="1665">
        <v>10138.1</v>
      </c>
      <c r="AO347" s="1665">
        <v>10138.1</v>
      </c>
      <c r="AP347" s="1665">
        <v>10138.1</v>
      </c>
      <c r="AQ347" s="1665">
        <v>10138.1</v>
      </c>
      <c r="AR347" s="1665">
        <v>0</v>
      </c>
      <c r="AS347" s="1665">
        <v>0</v>
      </c>
      <c r="AT347" s="1665">
        <v>0</v>
      </c>
      <c r="AU347" s="1665">
        <v>0</v>
      </c>
      <c r="AV347" s="1665">
        <v>0</v>
      </c>
      <c r="AW347" s="1665">
        <v>0</v>
      </c>
      <c r="AX347" s="1663"/>
      <c r="AY347" s="1663"/>
      <c r="AZ347" s="1663"/>
      <c r="BA347" s="1668"/>
      <c r="BB347" s="1668"/>
      <c r="BC347" s="1663"/>
      <c r="BD347" s="1663"/>
      <c r="BE347" s="1665">
        <v>10138.1</v>
      </c>
      <c r="BF347" s="1665">
        <v>10138.1</v>
      </c>
      <c r="BG347" s="1665">
        <v>10138.1</v>
      </c>
      <c r="BH347" s="1665">
        <v>10138.1</v>
      </c>
      <c r="BI347" s="1665">
        <v>0</v>
      </c>
      <c r="BJ347" s="1665">
        <v>0</v>
      </c>
      <c r="BK347" s="1665">
        <v>0</v>
      </c>
      <c r="BL347" s="1665">
        <v>0</v>
      </c>
      <c r="BM347" s="1665">
        <v>0</v>
      </c>
      <c r="BN347" s="1665">
        <v>0</v>
      </c>
      <c r="BO347" s="1668"/>
      <c r="BP347" s="1665">
        <v>0</v>
      </c>
      <c r="BQ347" s="1665">
        <v>0</v>
      </c>
      <c r="BR347" s="1665">
        <v>0</v>
      </c>
      <c r="BS347" s="1667">
        <v>0</v>
      </c>
      <c r="BT347" s="1665">
        <v>0</v>
      </c>
      <c r="BU347" s="1665">
        <v>0</v>
      </c>
      <c r="BV347" s="1665">
        <v>0</v>
      </c>
      <c r="BW347" s="1665">
        <v>0</v>
      </c>
      <c r="BX347" s="1665">
        <v>0</v>
      </c>
      <c r="BY347" s="1665">
        <v>0</v>
      </c>
      <c r="BZ347" s="1663"/>
      <c r="CA347" s="1663"/>
      <c r="CB347" s="1668"/>
      <c r="CC347" s="1668"/>
      <c r="CD347" s="1663"/>
      <c r="CE347" s="1663"/>
      <c r="CF347" s="1665">
        <v>0</v>
      </c>
      <c r="CG347" s="1665">
        <v>0</v>
      </c>
      <c r="CH347" s="1665">
        <v>0</v>
      </c>
      <c r="CI347" s="1665">
        <v>0</v>
      </c>
      <c r="CJ347" s="1665">
        <v>0</v>
      </c>
      <c r="CK347" s="1665">
        <v>0</v>
      </c>
      <c r="CL347" s="1668"/>
      <c r="CM347" s="1665">
        <v>0</v>
      </c>
      <c r="CN347" s="1665">
        <v>0</v>
      </c>
      <c r="CO347" s="1665">
        <v>0</v>
      </c>
      <c r="CP347" s="1665">
        <v>0</v>
      </c>
      <c r="CQ347" s="1665">
        <v>0</v>
      </c>
      <c r="CR347" s="1665">
        <v>0</v>
      </c>
      <c r="CS347" s="1665">
        <v>0</v>
      </c>
      <c r="CT347" s="1665">
        <v>0</v>
      </c>
      <c r="CU347" s="1665">
        <v>0</v>
      </c>
      <c r="CV347" s="1665">
        <v>0</v>
      </c>
      <c r="CW347" s="1668"/>
      <c r="CX347" s="1663"/>
      <c r="CY347" s="1663"/>
      <c r="CZ347" s="1663"/>
      <c r="DA347" s="1663"/>
      <c r="DB347" s="1668"/>
      <c r="DC347" s="1662"/>
      <c r="DD347" s="1665">
        <v>0</v>
      </c>
      <c r="DE347" s="1663"/>
      <c r="DF347" s="1663"/>
      <c r="DG347" s="1665">
        <v>0</v>
      </c>
      <c r="DH347" s="1665">
        <v>0</v>
      </c>
    </row>
    <row r="348" spans="1:112" ht="33.75" hidden="1" x14ac:dyDescent="0.25">
      <c r="A348" s="1662" t="s">
        <v>2420</v>
      </c>
      <c r="B348" s="1662" t="s">
        <v>1727</v>
      </c>
      <c r="C348" s="1662" t="s">
        <v>2642</v>
      </c>
      <c r="D348" s="1662" t="s">
        <v>2643</v>
      </c>
      <c r="E348" s="1662" t="s">
        <v>2405</v>
      </c>
      <c r="F348" s="1662" t="s">
        <v>2638</v>
      </c>
      <c r="G348" s="1662" t="s">
        <v>2644</v>
      </c>
      <c r="H348" s="1662" t="s">
        <v>2645</v>
      </c>
      <c r="I348" s="1662" t="s">
        <v>2417</v>
      </c>
      <c r="J348" s="1662" t="s">
        <v>2418</v>
      </c>
      <c r="K348" s="1662" t="s">
        <v>2419</v>
      </c>
      <c r="L348" s="1662" t="s">
        <v>2109</v>
      </c>
      <c r="M348" s="1665">
        <v>1814953.52</v>
      </c>
      <c r="N348" s="1665">
        <v>0</v>
      </c>
      <c r="O348" s="1665">
        <v>1814953.52</v>
      </c>
      <c r="P348" s="1665">
        <v>1814953.52</v>
      </c>
      <c r="Q348" s="1665">
        <v>1814953.52</v>
      </c>
      <c r="R348" s="1665">
        <v>1314953.52</v>
      </c>
      <c r="S348" s="1665">
        <v>500000</v>
      </c>
      <c r="T348" s="1665">
        <v>0</v>
      </c>
      <c r="U348" s="1665">
        <v>0</v>
      </c>
      <c r="V348" s="1665">
        <v>0</v>
      </c>
      <c r="W348" s="1665">
        <v>0</v>
      </c>
      <c r="X348" s="1665">
        <v>0</v>
      </c>
      <c r="Y348" s="1668"/>
      <c r="Z348" s="1662"/>
      <c r="AA348" s="1665">
        <v>0</v>
      </c>
      <c r="AB348" s="1665">
        <v>0</v>
      </c>
      <c r="AC348" s="1680">
        <v>0</v>
      </c>
      <c r="AD348" s="1681"/>
      <c r="AE348" s="1679"/>
      <c r="AF348" s="1662"/>
      <c r="AG348" s="1666"/>
      <c r="AH348" s="1667">
        <v>478169.89</v>
      </c>
      <c r="AI348" s="1665">
        <v>478169.89</v>
      </c>
      <c r="AJ348" s="1665">
        <v>478169.89</v>
      </c>
      <c r="AK348" s="1698">
        <v>346439.27</v>
      </c>
      <c r="AL348" s="1665">
        <v>131730.62</v>
      </c>
      <c r="AM348" s="1668"/>
      <c r="AN348" s="1665">
        <v>254169.89</v>
      </c>
      <c r="AO348" s="1665">
        <v>254169.89</v>
      </c>
      <c r="AP348" s="1665">
        <v>254169.89</v>
      </c>
      <c r="AQ348" s="1665">
        <v>184148.84</v>
      </c>
      <c r="AR348" s="1665">
        <v>70021.05</v>
      </c>
      <c r="AS348" s="1665">
        <v>0</v>
      </c>
      <c r="AT348" s="1665">
        <v>0</v>
      </c>
      <c r="AU348" s="1665">
        <v>0</v>
      </c>
      <c r="AV348" s="1665">
        <v>0</v>
      </c>
      <c r="AW348" s="1665">
        <v>0</v>
      </c>
      <c r="AX348" s="1665">
        <v>0</v>
      </c>
      <c r="AY348" s="1665">
        <v>0</v>
      </c>
      <c r="AZ348" s="1665">
        <v>0</v>
      </c>
      <c r="BA348" s="1668"/>
      <c r="BB348" s="1668"/>
      <c r="BC348" s="1665">
        <v>0</v>
      </c>
      <c r="BD348" s="1665">
        <v>0</v>
      </c>
      <c r="BE348" s="1665">
        <v>254169.89</v>
      </c>
      <c r="BF348" s="1665">
        <v>254169.89</v>
      </c>
      <c r="BG348" s="1665">
        <v>254169.89</v>
      </c>
      <c r="BH348" s="1665">
        <v>184148.84</v>
      </c>
      <c r="BI348" s="1665">
        <v>70021.05</v>
      </c>
      <c r="BJ348" s="1665">
        <v>0</v>
      </c>
      <c r="BK348" s="1665">
        <v>0</v>
      </c>
      <c r="BL348" s="1665">
        <v>0</v>
      </c>
      <c r="BM348" s="1665">
        <v>0</v>
      </c>
      <c r="BN348" s="1665">
        <v>0</v>
      </c>
      <c r="BO348" s="1668"/>
      <c r="BP348" s="1665">
        <v>176298.77</v>
      </c>
      <c r="BQ348" s="1665">
        <v>176298.77</v>
      </c>
      <c r="BR348" s="1665">
        <v>176298.77</v>
      </c>
      <c r="BS348" s="1667">
        <v>127730.37</v>
      </c>
      <c r="BT348" s="1665">
        <v>48568.4</v>
      </c>
      <c r="BU348" s="1665">
        <v>0</v>
      </c>
      <c r="BV348" s="1665">
        <v>0</v>
      </c>
      <c r="BW348" s="1665">
        <v>0</v>
      </c>
      <c r="BX348" s="1665">
        <v>0</v>
      </c>
      <c r="BY348" s="1665">
        <v>0</v>
      </c>
      <c r="BZ348" s="1665">
        <v>0</v>
      </c>
      <c r="CA348" s="1665">
        <v>0</v>
      </c>
      <c r="CB348" s="1668"/>
      <c r="CC348" s="1668"/>
      <c r="CD348" s="1665">
        <v>0</v>
      </c>
      <c r="CE348" s="1665">
        <v>0</v>
      </c>
      <c r="CF348" s="1665">
        <v>2153.1799999999998</v>
      </c>
      <c r="CG348" s="1665">
        <v>2153.1799999999998</v>
      </c>
      <c r="CH348" s="1665">
        <v>0</v>
      </c>
      <c r="CI348" s="1665">
        <v>0</v>
      </c>
      <c r="CJ348" s="1665">
        <v>60195.43</v>
      </c>
      <c r="CK348" s="1665">
        <v>60195.43</v>
      </c>
      <c r="CL348" s="1668"/>
      <c r="CM348" s="1665">
        <v>0</v>
      </c>
      <c r="CN348" s="1665">
        <v>0</v>
      </c>
      <c r="CO348" s="1665">
        <v>0</v>
      </c>
      <c r="CP348" s="1665">
        <v>0</v>
      </c>
      <c r="CQ348" s="1665">
        <v>0</v>
      </c>
      <c r="CR348" s="1665">
        <v>0</v>
      </c>
      <c r="CS348" s="1665">
        <v>0</v>
      </c>
      <c r="CT348" s="1665">
        <v>0</v>
      </c>
      <c r="CU348" s="1665">
        <v>0</v>
      </c>
      <c r="CV348" s="1665">
        <v>0</v>
      </c>
      <c r="CW348" s="1668"/>
      <c r="CX348" s="1665">
        <v>0</v>
      </c>
      <c r="CY348" s="1665">
        <v>0</v>
      </c>
      <c r="CZ348" s="1665">
        <v>0</v>
      </c>
      <c r="DA348" s="1665">
        <v>0</v>
      </c>
      <c r="DB348" s="1668"/>
      <c r="DC348" s="1662"/>
      <c r="DD348" s="1665">
        <v>0</v>
      </c>
      <c r="DE348" s="1665">
        <v>0</v>
      </c>
      <c r="DF348" s="1665">
        <v>0</v>
      </c>
      <c r="DG348" s="1665">
        <v>0</v>
      </c>
      <c r="DH348" s="1665">
        <v>0</v>
      </c>
    </row>
    <row r="349" spans="1:112" ht="33.75" hidden="1" x14ac:dyDescent="0.25">
      <c r="A349" s="1662" t="s">
        <v>2421</v>
      </c>
      <c r="B349" s="1662" t="s">
        <v>1727</v>
      </c>
      <c r="C349" s="1662" t="s">
        <v>2642</v>
      </c>
      <c r="D349" s="1662" t="s">
        <v>2643</v>
      </c>
      <c r="E349" s="1662" t="s">
        <v>2405</v>
      </c>
      <c r="F349" s="1662" t="s">
        <v>2638</v>
      </c>
      <c r="G349" s="1662" t="s">
        <v>2644</v>
      </c>
      <c r="H349" s="1662" t="s">
        <v>2645</v>
      </c>
      <c r="I349" s="1662" t="s">
        <v>2417</v>
      </c>
      <c r="J349" s="1662" t="s">
        <v>2418</v>
      </c>
      <c r="K349" s="1662" t="s">
        <v>2419</v>
      </c>
      <c r="L349" s="1662" t="s">
        <v>2109</v>
      </c>
      <c r="M349" s="1663"/>
      <c r="N349" s="1663"/>
      <c r="O349" s="1663"/>
      <c r="P349" s="1663"/>
      <c r="Q349" s="1663"/>
      <c r="R349" s="1663"/>
      <c r="S349" s="1663"/>
      <c r="T349" s="1663"/>
      <c r="U349" s="1663"/>
      <c r="V349" s="1663"/>
      <c r="W349" s="1663"/>
      <c r="X349" s="1663"/>
      <c r="Y349" s="1664">
        <v>43035</v>
      </c>
      <c r="Z349" s="1662" t="s">
        <v>2145</v>
      </c>
      <c r="AA349" s="1665">
        <v>0</v>
      </c>
      <c r="AB349" s="1665">
        <v>0</v>
      </c>
      <c r="AC349" s="1680">
        <v>0</v>
      </c>
      <c r="AD349" s="1682">
        <v>43046</v>
      </c>
      <c r="AE349" s="1679" t="s">
        <v>2122</v>
      </c>
      <c r="AF349" s="1662" t="s">
        <v>2112</v>
      </c>
      <c r="AG349" s="1666"/>
      <c r="AH349" s="1667">
        <v>133000</v>
      </c>
      <c r="AI349" s="1665">
        <v>133000</v>
      </c>
      <c r="AJ349" s="1665">
        <v>133000</v>
      </c>
      <c r="AK349" s="1698">
        <v>96359.94</v>
      </c>
      <c r="AL349" s="1665">
        <v>36640.06</v>
      </c>
      <c r="AM349" s="1668"/>
      <c r="AN349" s="1665">
        <v>0</v>
      </c>
      <c r="AO349" s="1665">
        <v>0</v>
      </c>
      <c r="AP349" s="1665">
        <v>0</v>
      </c>
      <c r="AQ349" s="1665">
        <v>0</v>
      </c>
      <c r="AR349" s="1665">
        <v>0</v>
      </c>
      <c r="AS349" s="1665">
        <v>0</v>
      </c>
      <c r="AT349" s="1665">
        <v>0</v>
      </c>
      <c r="AU349" s="1665">
        <v>0</v>
      </c>
      <c r="AV349" s="1665">
        <v>0</v>
      </c>
      <c r="AW349" s="1665">
        <v>0</v>
      </c>
      <c r="AX349" s="1663"/>
      <c r="AY349" s="1663"/>
      <c r="AZ349" s="1663"/>
      <c r="BA349" s="1668"/>
      <c r="BB349" s="1668"/>
      <c r="BC349" s="1663"/>
      <c r="BD349" s="1663"/>
      <c r="BE349" s="1665">
        <v>0</v>
      </c>
      <c r="BF349" s="1665">
        <v>0</v>
      </c>
      <c r="BG349" s="1665">
        <v>0</v>
      </c>
      <c r="BH349" s="1665">
        <v>0</v>
      </c>
      <c r="BI349" s="1665">
        <v>0</v>
      </c>
      <c r="BJ349" s="1665">
        <v>0</v>
      </c>
      <c r="BK349" s="1665">
        <v>0</v>
      </c>
      <c r="BL349" s="1665">
        <v>0</v>
      </c>
      <c r="BM349" s="1665">
        <v>0</v>
      </c>
      <c r="BN349" s="1665">
        <v>0</v>
      </c>
      <c r="BO349" s="1668"/>
      <c r="BP349" s="1665">
        <v>0</v>
      </c>
      <c r="BQ349" s="1665">
        <v>0</v>
      </c>
      <c r="BR349" s="1665">
        <v>0</v>
      </c>
      <c r="BS349" s="1667">
        <v>0</v>
      </c>
      <c r="BT349" s="1665">
        <v>0</v>
      </c>
      <c r="BU349" s="1665">
        <v>0</v>
      </c>
      <c r="BV349" s="1665">
        <v>0</v>
      </c>
      <c r="BW349" s="1665">
        <v>0</v>
      </c>
      <c r="BX349" s="1665">
        <v>0</v>
      </c>
      <c r="BY349" s="1665">
        <v>0</v>
      </c>
      <c r="BZ349" s="1663"/>
      <c r="CA349" s="1663"/>
      <c r="CB349" s="1668"/>
      <c r="CC349" s="1668"/>
      <c r="CD349" s="1663"/>
      <c r="CE349" s="1663"/>
      <c r="CF349" s="1665">
        <v>0</v>
      </c>
      <c r="CG349" s="1665">
        <v>0</v>
      </c>
      <c r="CH349" s="1665">
        <v>0</v>
      </c>
      <c r="CI349" s="1665">
        <v>0</v>
      </c>
      <c r="CJ349" s="1665">
        <v>0</v>
      </c>
      <c r="CK349" s="1665">
        <v>0</v>
      </c>
      <c r="CL349" s="1668"/>
      <c r="CM349" s="1665">
        <v>0</v>
      </c>
      <c r="CN349" s="1665">
        <v>0</v>
      </c>
      <c r="CO349" s="1665">
        <v>0</v>
      </c>
      <c r="CP349" s="1665">
        <v>0</v>
      </c>
      <c r="CQ349" s="1665">
        <v>0</v>
      </c>
      <c r="CR349" s="1665">
        <v>0</v>
      </c>
      <c r="CS349" s="1665">
        <v>0</v>
      </c>
      <c r="CT349" s="1665">
        <v>0</v>
      </c>
      <c r="CU349" s="1665">
        <v>0</v>
      </c>
      <c r="CV349" s="1665">
        <v>0</v>
      </c>
      <c r="CW349" s="1668"/>
      <c r="CX349" s="1663"/>
      <c r="CY349" s="1663"/>
      <c r="CZ349" s="1663"/>
      <c r="DA349" s="1663"/>
      <c r="DB349" s="1668"/>
      <c r="DC349" s="1662"/>
      <c r="DD349" s="1665">
        <v>0</v>
      </c>
      <c r="DE349" s="1663"/>
      <c r="DF349" s="1663"/>
      <c r="DG349" s="1665">
        <v>0</v>
      </c>
      <c r="DH349" s="1665">
        <v>0</v>
      </c>
    </row>
    <row r="350" spans="1:112" ht="33.75" hidden="1" x14ac:dyDescent="0.25">
      <c r="A350" s="1662" t="s">
        <v>2422</v>
      </c>
      <c r="B350" s="1662" t="s">
        <v>1727</v>
      </c>
      <c r="C350" s="1662" t="s">
        <v>2642</v>
      </c>
      <c r="D350" s="1662" t="s">
        <v>2643</v>
      </c>
      <c r="E350" s="1662" t="s">
        <v>2405</v>
      </c>
      <c r="F350" s="1662" t="s">
        <v>2638</v>
      </c>
      <c r="G350" s="1662" t="s">
        <v>2644</v>
      </c>
      <c r="H350" s="1662" t="s">
        <v>2645</v>
      </c>
      <c r="I350" s="1662" t="s">
        <v>2417</v>
      </c>
      <c r="J350" s="1662" t="s">
        <v>2418</v>
      </c>
      <c r="K350" s="1662" t="s">
        <v>2419</v>
      </c>
      <c r="L350" s="1662" t="s">
        <v>2109</v>
      </c>
      <c r="M350" s="1663"/>
      <c r="N350" s="1663"/>
      <c r="O350" s="1663"/>
      <c r="P350" s="1663"/>
      <c r="Q350" s="1663"/>
      <c r="R350" s="1663"/>
      <c r="S350" s="1663"/>
      <c r="T350" s="1663"/>
      <c r="U350" s="1663"/>
      <c r="V350" s="1663"/>
      <c r="W350" s="1663"/>
      <c r="X350" s="1663"/>
      <c r="Y350" s="1664">
        <v>43129</v>
      </c>
      <c r="Z350" s="1662" t="s">
        <v>2110</v>
      </c>
      <c r="AA350" s="1665">
        <v>0</v>
      </c>
      <c r="AB350" s="1665">
        <v>0</v>
      </c>
      <c r="AC350" s="1680">
        <v>0</v>
      </c>
      <c r="AD350" s="1682">
        <v>43153</v>
      </c>
      <c r="AE350" s="1679" t="s">
        <v>2111</v>
      </c>
      <c r="AF350" s="1662" t="s">
        <v>2112</v>
      </c>
      <c r="AG350" s="1666"/>
      <c r="AH350" s="1667">
        <v>18031.400000000001</v>
      </c>
      <c r="AI350" s="1665">
        <v>18031.400000000001</v>
      </c>
      <c r="AJ350" s="1665">
        <v>18031.400000000001</v>
      </c>
      <c r="AK350" s="1698">
        <v>13063.95</v>
      </c>
      <c r="AL350" s="1665">
        <v>4967.45</v>
      </c>
      <c r="AM350" s="1664">
        <v>43153</v>
      </c>
      <c r="AN350" s="1665">
        <v>18031.400000000001</v>
      </c>
      <c r="AO350" s="1665">
        <v>18031.400000000001</v>
      </c>
      <c r="AP350" s="1665">
        <v>18031.400000000001</v>
      </c>
      <c r="AQ350" s="1665">
        <v>13063.95</v>
      </c>
      <c r="AR350" s="1665">
        <v>4967.45</v>
      </c>
      <c r="AS350" s="1665">
        <v>0</v>
      </c>
      <c r="AT350" s="1665">
        <v>0</v>
      </c>
      <c r="AU350" s="1665">
        <v>0</v>
      </c>
      <c r="AV350" s="1665">
        <v>0</v>
      </c>
      <c r="AW350" s="1665">
        <v>0</v>
      </c>
      <c r="AX350" s="1663"/>
      <c r="AY350" s="1663"/>
      <c r="AZ350" s="1663"/>
      <c r="BA350" s="1668"/>
      <c r="BB350" s="1668"/>
      <c r="BC350" s="1663"/>
      <c r="BD350" s="1663"/>
      <c r="BE350" s="1665">
        <v>18031.400000000001</v>
      </c>
      <c r="BF350" s="1665">
        <v>18031.400000000001</v>
      </c>
      <c r="BG350" s="1665">
        <v>18031.400000000001</v>
      </c>
      <c r="BH350" s="1665">
        <v>13063.95</v>
      </c>
      <c r="BI350" s="1665">
        <v>4967.45</v>
      </c>
      <c r="BJ350" s="1665">
        <v>0</v>
      </c>
      <c r="BK350" s="1665">
        <v>0</v>
      </c>
      <c r="BL350" s="1665">
        <v>0</v>
      </c>
      <c r="BM350" s="1665">
        <v>0</v>
      </c>
      <c r="BN350" s="1665">
        <v>0</v>
      </c>
      <c r="BO350" s="1664">
        <v>43241</v>
      </c>
      <c r="BP350" s="1665">
        <v>18031.400000000001</v>
      </c>
      <c r="BQ350" s="1665">
        <v>18031.400000000001</v>
      </c>
      <c r="BR350" s="1665">
        <v>18031.400000000001</v>
      </c>
      <c r="BS350" s="1667">
        <v>13063.95</v>
      </c>
      <c r="BT350" s="1665">
        <v>4967.45</v>
      </c>
      <c r="BU350" s="1665">
        <v>0</v>
      </c>
      <c r="BV350" s="1665">
        <v>0</v>
      </c>
      <c r="BW350" s="1665">
        <v>0</v>
      </c>
      <c r="BX350" s="1665">
        <v>0</v>
      </c>
      <c r="BY350" s="1665">
        <v>0</v>
      </c>
      <c r="BZ350" s="1665">
        <v>0</v>
      </c>
      <c r="CA350" s="1663"/>
      <c r="CB350" s="1668"/>
      <c r="CC350" s="1668"/>
      <c r="CD350" s="1663"/>
      <c r="CE350" s="1663"/>
      <c r="CF350" s="1665">
        <v>42.6</v>
      </c>
      <c r="CG350" s="1665">
        <v>42.6</v>
      </c>
      <c r="CH350" s="1665">
        <v>0</v>
      </c>
      <c r="CI350" s="1665">
        <v>0</v>
      </c>
      <c r="CJ350" s="1665">
        <v>6170.55</v>
      </c>
      <c r="CK350" s="1665">
        <v>6170.55</v>
      </c>
      <c r="CL350" s="1668"/>
      <c r="CM350" s="1665">
        <v>0</v>
      </c>
      <c r="CN350" s="1665">
        <v>0</v>
      </c>
      <c r="CO350" s="1665">
        <v>0</v>
      </c>
      <c r="CP350" s="1665">
        <v>0</v>
      </c>
      <c r="CQ350" s="1665">
        <v>0</v>
      </c>
      <c r="CR350" s="1665">
        <v>0</v>
      </c>
      <c r="CS350" s="1665">
        <v>0</v>
      </c>
      <c r="CT350" s="1665">
        <v>0</v>
      </c>
      <c r="CU350" s="1665">
        <v>0</v>
      </c>
      <c r="CV350" s="1665">
        <v>0</v>
      </c>
      <c r="CW350" s="1668"/>
      <c r="CX350" s="1663"/>
      <c r="CY350" s="1663"/>
      <c r="CZ350" s="1663"/>
      <c r="DA350" s="1663"/>
      <c r="DB350" s="1668"/>
      <c r="DC350" s="1662"/>
      <c r="DD350" s="1665">
        <v>0</v>
      </c>
      <c r="DE350" s="1663"/>
      <c r="DF350" s="1663"/>
      <c r="DG350" s="1665">
        <v>0</v>
      </c>
      <c r="DH350" s="1665">
        <v>0</v>
      </c>
    </row>
    <row r="351" spans="1:112" ht="33.75" hidden="1" x14ac:dyDescent="0.25">
      <c r="A351" s="1662" t="s">
        <v>2423</v>
      </c>
      <c r="B351" s="1662" t="s">
        <v>1727</v>
      </c>
      <c r="C351" s="1662" t="s">
        <v>2642</v>
      </c>
      <c r="D351" s="1662" t="s">
        <v>2643</v>
      </c>
      <c r="E351" s="1662" t="s">
        <v>2405</v>
      </c>
      <c r="F351" s="1662" t="s">
        <v>2638</v>
      </c>
      <c r="G351" s="1662" t="s">
        <v>2644</v>
      </c>
      <c r="H351" s="1662" t="s">
        <v>2645</v>
      </c>
      <c r="I351" s="1662" t="s">
        <v>2417</v>
      </c>
      <c r="J351" s="1662" t="s">
        <v>2418</v>
      </c>
      <c r="K351" s="1662" t="s">
        <v>2419</v>
      </c>
      <c r="L351" s="1662" t="s">
        <v>2109</v>
      </c>
      <c r="M351" s="1663"/>
      <c r="N351" s="1663"/>
      <c r="O351" s="1663"/>
      <c r="P351" s="1663"/>
      <c r="Q351" s="1663"/>
      <c r="R351" s="1663"/>
      <c r="S351" s="1663"/>
      <c r="T351" s="1663"/>
      <c r="U351" s="1663"/>
      <c r="V351" s="1663"/>
      <c r="W351" s="1663"/>
      <c r="X351" s="1663"/>
      <c r="Y351" s="1664">
        <v>43186</v>
      </c>
      <c r="Z351" s="1662" t="s">
        <v>2110</v>
      </c>
      <c r="AA351" s="1665">
        <v>0</v>
      </c>
      <c r="AB351" s="1665">
        <v>0</v>
      </c>
      <c r="AC351" s="1680">
        <v>0</v>
      </c>
      <c r="AD351" s="1682">
        <v>43213</v>
      </c>
      <c r="AE351" s="1679" t="s">
        <v>2114</v>
      </c>
      <c r="AF351" s="1662" t="s">
        <v>2112</v>
      </c>
      <c r="AG351" s="1666"/>
      <c r="AH351" s="1667">
        <v>40581.24</v>
      </c>
      <c r="AI351" s="1665">
        <v>40581.24</v>
      </c>
      <c r="AJ351" s="1665">
        <v>40581.24</v>
      </c>
      <c r="AK351" s="1698">
        <v>29401.56</v>
      </c>
      <c r="AL351" s="1665">
        <v>11179.68</v>
      </c>
      <c r="AM351" s="1664">
        <v>43213</v>
      </c>
      <c r="AN351" s="1665">
        <v>40581.24</v>
      </c>
      <c r="AO351" s="1665">
        <v>40581.24</v>
      </c>
      <c r="AP351" s="1665">
        <v>40581.24</v>
      </c>
      <c r="AQ351" s="1665">
        <v>29401.56</v>
      </c>
      <c r="AR351" s="1665">
        <v>11179.68</v>
      </c>
      <c r="AS351" s="1665">
        <v>0</v>
      </c>
      <c r="AT351" s="1665">
        <v>0</v>
      </c>
      <c r="AU351" s="1665">
        <v>0</v>
      </c>
      <c r="AV351" s="1665">
        <v>0</v>
      </c>
      <c r="AW351" s="1665">
        <v>0</v>
      </c>
      <c r="AX351" s="1663"/>
      <c r="AY351" s="1663"/>
      <c r="AZ351" s="1663"/>
      <c r="BA351" s="1668"/>
      <c r="BB351" s="1668"/>
      <c r="BC351" s="1663"/>
      <c r="BD351" s="1663"/>
      <c r="BE351" s="1665">
        <v>40581.24</v>
      </c>
      <c r="BF351" s="1665">
        <v>40581.24</v>
      </c>
      <c r="BG351" s="1665">
        <v>40581.24</v>
      </c>
      <c r="BH351" s="1665">
        <v>29401.56</v>
      </c>
      <c r="BI351" s="1665">
        <v>11179.68</v>
      </c>
      <c r="BJ351" s="1665">
        <v>0</v>
      </c>
      <c r="BK351" s="1665">
        <v>0</v>
      </c>
      <c r="BL351" s="1665">
        <v>0</v>
      </c>
      <c r="BM351" s="1665">
        <v>0</v>
      </c>
      <c r="BN351" s="1665">
        <v>0</v>
      </c>
      <c r="BO351" s="1664">
        <v>43364</v>
      </c>
      <c r="BP351" s="1665">
        <v>40581.24</v>
      </c>
      <c r="BQ351" s="1665">
        <v>40581.24</v>
      </c>
      <c r="BR351" s="1665">
        <v>40581.24</v>
      </c>
      <c r="BS351" s="1667">
        <v>29401.56</v>
      </c>
      <c r="BT351" s="1665">
        <v>11179.68</v>
      </c>
      <c r="BU351" s="1665">
        <v>0</v>
      </c>
      <c r="BV351" s="1665">
        <v>0</v>
      </c>
      <c r="BW351" s="1665">
        <v>0</v>
      </c>
      <c r="BX351" s="1665">
        <v>0</v>
      </c>
      <c r="BY351" s="1665">
        <v>0</v>
      </c>
      <c r="BZ351" s="1665">
        <v>0</v>
      </c>
      <c r="CA351" s="1663"/>
      <c r="CB351" s="1668"/>
      <c r="CC351" s="1668"/>
      <c r="CD351" s="1663"/>
      <c r="CE351" s="1663"/>
      <c r="CF351" s="1665">
        <v>628.22</v>
      </c>
      <c r="CG351" s="1665">
        <v>628.22</v>
      </c>
      <c r="CH351" s="1665">
        <v>0</v>
      </c>
      <c r="CI351" s="1665">
        <v>0</v>
      </c>
      <c r="CJ351" s="1665">
        <v>13846.9</v>
      </c>
      <c r="CK351" s="1665">
        <v>13846.9</v>
      </c>
      <c r="CL351" s="1668"/>
      <c r="CM351" s="1665">
        <v>0</v>
      </c>
      <c r="CN351" s="1665">
        <v>0</v>
      </c>
      <c r="CO351" s="1665">
        <v>0</v>
      </c>
      <c r="CP351" s="1665">
        <v>0</v>
      </c>
      <c r="CQ351" s="1665">
        <v>0</v>
      </c>
      <c r="CR351" s="1665">
        <v>0</v>
      </c>
      <c r="CS351" s="1665">
        <v>0</v>
      </c>
      <c r="CT351" s="1665">
        <v>0</v>
      </c>
      <c r="CU351" s="1665">
        <v>0</v>
      </c>
      <c r="CV351" s="1665">
        <v>0</v>
      </c>
      <c r="CW351" s="1668"/>
      <c r="CX351" s="1663"/>
      <c r="CY351" s="1663"/>
      <c r="CZ351" s="1663"/>
      <c r="DA351" s="1663"/>
      <c r="DB351" s="1668"/>
      <c r="DC351" s="1662"/>
      <c r="DD351" s="1665">
        <v>0</v>
      </c>
      <c r="DE351" s="1663"/>
      <c r="DF351" s="1663"/>
      <c r="DG351" s="1665">
        <v>0</v>
      </c>
      <c r="DH351" s="1665">
        <v>0</v>
      </c>
    </row>
    <row r="352" spans="1:112" ht="33.75" hidden="1" x14ac:dyDescent="0.25">
      <c r="A352" s="1662" t="s">
        <v>2424</v>
      </c>
      <c r="B352" s="1662" t="s">
        <v>1727</v>
      </c>
      <c r="C352" s="1662" t="s">
        <v>2642</v>
      </c>
      <c r="D352" s="1662" t="s">
        <v>2643</v>
      </c>
      <c r="E352" s="1662" t="s">
        <v>2405</v>
      </c>
      <c r="F352" s="1662" t="s">
        <v>2638</v>
      </c>
      <c r="G352" s="1662" t="s">
        <v>2644</v>
      </c>
      <c r="H352" s="1662" t="s">
        <v>2645</v>
      </c>
      <c r="I352" s="1662" t="s">
        <v>2417</v>
      </c>
      <c r="J352" s="1662" t="s">
        <v>2418</v>
      </c>
      <c r="K352" s="1662" t="s">
        <v>2419</v>
      </c>
      <c r="L352" s="1662" t="s">
        <v>2109</v>
      </c>
      <c r="M352" s="1663"/>
      <c r="N352" s="1663"/>
      <c r="O352" s="1663"/>
      <c r="P352" s="1663"/>
      <c r="Q352" s="1663"/>
      <c r="R352" s="1663"/>
      <c r="S352" s="1663"/>
      <c r="T352" s="1663"/>
      <c r="U352" s="1663"/>
      <c r="V352" s="1663"/>
      <c r="W352" s="1663"/>
      <c r="X352" s="1663"/>
      <c r="Y352" s="1664">
        <v>43266</v>
      </c>
      <c r="Z352" s="1662" t="s">
        <v>2110</v>
      </c>
      <c r="AA352" s="1665">
        <v>0</v>
      </c>
      <c r="AB352" s="1665">
        <v>0</v>
      </c>
      <c r="AC352" s="1680">
        <v>0</v>
      </c>
      <c r="AD352" s="1682">
        <v>43300</v>
      </c>
      <c r="AE352" s="1679" t="s">
        <v>2128</v>
      </c>
      <c r="AF352" s="1662" t="s">
        <v>2112</v>
      </c>
      <c r="AG352" s="1666"/>
      <c r="AH352" s="1667">
        <v>117686.13</v>
      </c>
      <c r="AI352" s="1665">
        <v>117686.13</v>
      </c>
      <c r="AJ352" s="1665">
        <v>117686.13</v>
      </c>
      <c r="AK352" s="1698">
        <v>85264.86</v>
      </c>
      <c r="AL352" s="1665">
        <v>32421.27</v>
      </c>
      <c r="AM352" s="1664">
        <v>43300</v>
      </c>
      <c r="AN352" s="1665">
        <v>117686.13</v>
      </c>
      <c r="AO352" s="1665">
        <v>117686.13</v>
      </c>
      <c r="AP352" s="1665">
        <v>117686.13</v>
      </c>
      <c r="AQ352" s="1665">
        <v>85264.86</v>
      </c>
      <c r="AR352" s="1665">
        <v>32421.27</v>
      </c>
      <c r="AS352" s="1665">
        <v>0</v>
      </c>
      <c r="AT352" s="1665">
        <v>0</v>
      </c>
      <c r="AU352" s="1665">
        <v>0</v>
      </c>
      <c r="AV352" s="1665">
        <v>0</v>
      </c>
      <c r="AW352" s="1665">
        <v>0</v>
      </c>
      <c r="AX352" s="1663"/>
      <c r="AY352" s="1663"/>
      <c r="AZ352" s="1663"/>
      <c r="BA352" s="1668"/>
      <c r="BB352" s="1668"/>
      <c r="BC352" s="1663"/>
      <c r="BD352" s="1663"/>
      <c r="BE352" s="1665">
        <v>117686.13</v>
      </c>
      <c r="BF352" s="1665">
        <v>117686.13</v>
      </c>
      <c r="BG352" s="1665">
        <v>117686.13</v>
      </c>
      <c r="BH352" s="1665">
        <v>85264.86</v>
      </c>
      <c r="BI352" s="1665">
        <v>32421.27</v>
      </c>
      <c r="BJ352" s="1665">
        <v>0</v>
      </c>
      <c r="BK352" s="1665">
        <v>0</v>
      </c>
      <c r="BL352" s="1665">
        <v>0</v>
      </c>
      <c r="BM352" s="1665">
        <v>0</v>
      </c>
      <c r="BN352" s="1665">
        <v>0</v>
      </c>
      <c r="BO352" s="1664">
        <v>43364</v>
      </c>
      <c r="BP352" s="1665">
        <v>117686.13</v>
      </c>
      <c r="BQ352" s="1665">
        <v>117686.13</v>
      </c>
      <c r="BR352" s="1665">
        <v>117686.13</v>
      </c>
      <c r="BS352" s="1667">
        <v>85264.86</v>
      </c>
      <c r="BT352" s="1665">
        <v>32421.27</v>
      </c>
      <c r="BU352" s="1665">
        <v>0</v>
      </c>
      <c r="BV352" s="1665">
        <v>0</v>
      </c>
      <c r="BW352" s="1665">
        <v>0</v>
      </c>
      <c r="BX352" s="1665">
        <v>0</v>
      </c>
      <c r="BY352" s="1665">
        <v>0</v>
      </c>
      <c r="BZ352" s="1665">
        <v>0</v>
      </c>
      <c r="CA352" s="1663"/>
      <c r="CB352" s="1668"/>
      <c r="CC352" s="1668"/>
      <c r="CD352" s="1663"/>
      <c r="CE352" s="1663"/>
      <c r="CF352" s="1665">
        <v>1482.36</v>
      </c>
      <c r="CG352" s="1665">
        <v>1482.36</v>
      </c>
      <c r="CH352" s="1665">
        <v>0</v>
      </c>
      <c r="CI352" s="1665">
        <v>0</v>
      </c>
      <c r="CJ352" s="1665">
        <v>40177.980000000003</v>
      </c>
      <c r="CK352" s="1665">
        <v>40177.980000000003</v>
      </c>
      <c r="CL352" s="1668"/>
      <c r="CM352" s="1665">
        <v>0</v>
      </c>
      <c r="CN352" s="1665">
        <v>0</v>
      </c>
      <c r="CO352" s="1665">
        <v>0</v>
      </c>
      <c r="CP352" s="1665">
        <v>0</v>
      </c>
      <c r="CQ352" s="1665">
        <v>0</v>
      </c>
      <c r="CR352" s="1665">
        <v>0</v>
      </c>
      <c r="CS352" s="1665">
        <v>0</v>
      </c>
      <c r="CT352" s="1665">
        <v>0</v>
      </c>
      <c r="CU352" s="1665">
        <v>0</v>
      </c>
      <c r="CV352" s="1665">
        <v>0</v>
      </c>
      <c r="CW352" s="1668"/>
      <c r="CX352" s="1663"/>
      <c r="CY352" s="1663"/>
      <c r="CZ352" s="1663"/>
      <c r="DA352" s="1663"/>
      <c r="DB352" s="1668"/>
      <c r="DC352" s="1662"/>
      <c r="DD352" s="1665">
        <v>0</v>
      </c>
      <c r="DE352" s="1663"/>
      <c r="DF352" s="1663"/>
      <c r="DG352" s="1665">
        <v>0</v>
      </c>
      <c r="DH352" s="1665">
        <v>0</v>
      </c>
    </row>
    <row r="353" spans="1:112" ht="33.75" hidden="1" x14ac:dyDescent="0.25">
      <c r="A353" s="1662" t="s">
        <v>2425</v>
      </c>
      <c r="B353" s="1662" t="s">
        <v>1727</v>
      </c>
      <c r="C353" s="1662" t="s">
        <v>2642</v>
      </c>
      <c r="D353" s="1662" t="s">
        <v>2643</v>
      </c>
      <c r="E353" s="1662" t="s">
        <v>2405</v>
      </c>
      <c r="F353" s="1662" t="s">
        <v>2638</v>
      </c>
      <c r="G353" s="1662" t="s">
        <v>2644</v>
      </c>
      <c r="H353" s="1662" t="s">
        <v>2645</v>
      </c>
      <c r="I353" s="1662" t="s">
        <v>2417</v>
      </c>
      <c r="J353" s="1662" t="s">
        <v>2418</v>
      </c>
      <c r="K353" s="1662" t="s">
        <v>2419</v>
      </c>
      <c r="L353" s="1662" t="s">
        <v>2109</v>
      </c>
      <c r="M353" s="1663"/>
      <c r="N353" s="1663"/>
      <c r="O353" s="1663"/>
      <c r="P353" s="1663"/>
      <c r="Q353" s="1663"/>
      <c r="R353" s="1663"/>
      <c r="S353" s="1663"/>
      <c r="T353" s="1663"/>
      <c r="U353" s="1663"/>
      <c r="V353" s="1663"/>
      <c r="W353" s="1663"/>
      <c r="X353" s="1663"/>
      <c r="Y353" s="1664">
        <v>43271</v>
      </c>
      <c r="Z353" s="1662" t="s">
        <v>2145</v>
      </c>
      <c r="AA353" s="1665">
        <v>0</v>
      </c>
      <c r="AB353" s="1665">
        <v>0</v>
      </c>
      <c r="AC353" s="1680">
        <v>0</v>
      </c>
      <c r="AD353" s="1682">
        <v>43286</v>
      </c>
      <c r="AE353" s="1679" t="s">
        <v>2129</v>
      </c>
      <c r="AF353" s="1662" t="s">
        <v>2112</v>
      </c>
      <c r="AG353" s="1666"/>
      <c r="AH353" s="1667">
        <v>91000</v>
      </c>
      <c r="AI353" s="1665">
        <v>91000</v>
      </c>
      <c r="AJ353" s="1665">
        <v>91000</v>
      </c>
      <c r="AK353" s="1698">
        <v>65930.490000000005</v>
      </c>
      <c r="AL353" s="1665">
        <v>25069.51</v>
      </c>
      <c r="AM353" s="1668"/>
      <c r="AN353" s="1665">
        <v>0</v>
      </c>
      <c r="AO353" s="1665">
        <v>0</v>
      </c>
      <c r="AP353" s="1665">
        <v>0</v>
      </c>
      <c r="AQ353" s="1665">
        <v>0</v>
      </c>
      <c r="AR353" s="1665">
        <v>0</v>
      </c>
      <c r="AS353" s="1665">
        <v>0</v>
      </c>
      <c r="AT353" s="1665">
        <v>0</v>
      </c>
      <c r="AU353" s="1665">
        <v>0</v>
      </c>
      <c r="AV353" s="1665">
        <v>0</v>
      </c>
      <c r="AW353" s="1665">
        <v>0</v>
      </c>
      <c r="AX353" s="1663"/>
      <c r="AY353" s="1663"/>
      <c r="AZ353" s="1663"/>
      <c r="BA353" s="1668"/>
      <c r="BB353" s="1668"/>
      <c r="BC353" s="1663"/>
      <c r="BD353" s="1663"/>
      <c r="BE353" s="1665">
        <v>0</v>
      </c>
      <c r="BF353" s="1665">
        <v>0</v>
      </c>
      <c r="BG353" s="1665">
        <v>0</v>
      </c>
      <c r="BH353" s="1665">
        <v>0</v>
      </c>
      <c r="BI353" s="1665">
        <v>0</v>
      </c>
      <c r="BJ353" s="1665">
        <v>0</v>
      </c>
      <c r="BK353" s="1665">
        <v>0</v>
      </c>
      <c r="BL353" s="1665">
        <v>0</v>
      </c>
      <c r="BM353" s="1665">
        <v>0</v>
      </c>
      <c r="BN353" s="1665">
        <v>0</v>
      </c>
      <c r="BO353" s="1668"/>
      <c r="BP353" s="1665">
        <v>0</v>
      </c>
      <c r="BQ353" s="1665">
        <v>0</v>
      </c>
      <c r="BR353" s="1665">
        <v>0</v>
      </c>
      <c r="BS353" s="1667">
        <v>0</v>
      </c>
      <c r="BT353" s="1665">
        <v>0</v>
      </c>
      <c r="BU353" s="1665">
        <v>0</v>
      </c>
      <c r="BV353" s="1665">
        <v>0</v>
      </c>
      <c r="BW353" s="1665">
        <v>0</v>
      </c>
      <c r="BX353" s="1665">
        <v>0</v>
      </c>
      <c r="BY353" s="1665">
        <v>0</v>
      </c>
      <c r="BZ353" s="1663"/>
      <c r="CA353" s="1663"/>
      <c r="CB353" s="1668"/>
      <c r="CC353" s="1668"/>
      <c r="CD353" s="1663"/>
      <c r="CE353" s="1663"/>
      <c r="CF353" s="1665">
        <v>0</v>
      </c>
      <c r="CG353" s="1665">
        <v>0</v>
      </c>
      <c r="CH353" s="1665">
        <v>0</v>
      </c>
      <c r="CI353" s="1665">
        <v>0</v>
      </c>
      <c r="CJ353" s="1665">
        <v>0</v>
      </c>
      <c r="CK353" s="1665">
        <v>0</v>
      </c>
      <c r="CL353" s="1668"/>
      <c r="CM353" s="1665">
        <v>0</v>
      </c>
      <c r="CN353" s="1665">
        <v>0</v>
      </c>
      <c r="CO353" s="1665">
        <v>0</v>
      </c>
      <c r="CP353" s="1665">
        <v>0</v>
      </c>
      <c r="CQ353" s="1665">
        <v>0</v>
      </c>
      <c r="CR353" s="1665">
        <v>0</v>
      </c>
      <c r="CS353" s="1665">
        <v>0</v>
      </c>
      <c r="CT353" s="1665">
        <v>0</v>
      </c>
      <c r="CU353" s="1665">
        <v>0</v>
      </c>
      <c r="CV353" s="1665">
        <v>0</v>
      </c>
      <c r="CW353" s="1668"/>
      <c r="CX353" s="1663"/>
      <c r="CY353" s="1663"/>
      <c r="CZ353" s="1663"/>
      <c r="DA353" s="1663"/>
      <c r="DB353" s="1668"/>
      <c r="DC353" s="1662"/>
      <c r="DD353" s="1665">
        <v>0</v>
      </c>
      <c r="DE353" s="1663"/>
      <c r="DF353" s="1663"/>
      <c r="DG353" s="1665">
        <v>0</v>
      </c>
      <c r="DH353" s="1665">
        <v>0</v>
      </c>
    </row>
    <row r="354" spans="1:112" ht="33.75" hidden="1" x14ac:dyDescent="0.25">
      <c r="A354" s="1662" t="s">
        <v>2426</v>
      </c>
      <c r="B354" s="1662" t="s">
        <v>1727</v>
      </c>
      <c r="C354" s="1662" t="s">
        <v>2642</v>
      </c>
      <c r="D354" s="1662" t="s">
        <v>2643</v>
      </c>
      <c r="E354" s="1662" t="s">
        <v>2405</v>
      </c>
      <c r="F354" s="1662" t="s">
        <v>2638</v>
      </c>
      <c r="G354" s="1662" t="s">
        <v>2644</v>
      </c>
      <c r="H354" s="1662" t="s">
        <v>2645</v>
      </c>
      <c r="I354" s="1662" t="s">
        <v>2417</v>
      </c>
      <c r="J354" s="1662" t="s">
        <v>2418</v>
      </c>
      <c r="K354" s="1662" t="s">
        <v>2419</v>
      </c>
      <c r="L354" s="1662" t="s">
        <v>2109</v>
      </c>
      <c r="M354" s="1663"/>
      <c r="N354" s="1663"/>
      <c r="O354" s="1663"/>
      <c r="P354" s="1663"/>
      <c r="Q354" s="1663"/>
      <c r="R354" s="1663"/>
      <c r="S354" s="1663"/>
      <c r="T354" s="1663"/>
      <c r="U354" s="1663"/>
      <c r="V354" s="1663"/>
      <c r="W354" s="1663"/>
      <c r="X354" s="1663"/>
      <c r="Y354" s="1664">
        <v>43357</v>
      </c>
      <c r="Z354" s="1662" t="s">
        <v>2110</v>
      </c>
      <c r="AA354" s="1665">
        <v>0</v>
      </c>
      <c r="AB354" s="1665">
        <v>0</v>
      </c>
      <c r="AC354" s="1680">
        <v>0</v>
      </c>
      <c r="AD354" s="1682">
        <v>43371</v>
      </c>
      <c r="AE354" s="1679" t="s">
        <v>2130</v>
      </c>
      <c r="AF354" s="1662" t="s">
        <v>2112</v>
      </c>
      <c r="AG354" s="1666"/>
      <c r="AH354" s="1667">
        <v>77871.12</v>
      </c>
      <c r="AI354" s="1665">
        <v>77871.12</v>
      </c>
      <c r="AJ354" s="1665">
        <v>77871.12</v>
      </c>
      <c r="AK354" s="1698">
        <v>56418.47</v>
      </c>
      <c r="AL354" s="1665">
        <v>21452.65</v>
      </c>
      <c r="AM354" s="1664">
        <v>43371</v>
      </c>
      <c r="AN354" s="1665">
        <v>77871.12</v>
      </c>
      <c r="AO354" s="1665">
        <v>77871.12</v>
      </c>
      <c r="AP354" s="1665">
        <v>77871.12</v>
      </c>
      <c r="AQ354" s="1665">
        <v>56418.47</v>
      </c>
      <c r="AR354" s="1665">
        <v>21452.65</v>
      </c>
      <c r="AS354" s="1665">
        <v>0</v>
      </c>
      <c r="AT354" s="1665">
        <v>0</v>
      </c>
      <c r="AU354" s="1665">
        <v>0</v>
      </c>
      <c r="AV354" s="1665">
        <v>0</v>
      </c>
      <c r="AW354" s="1665">
        <v>0</v>
      </c>
      <c r="AX354" s="1663"/>
      <c r="AY354" s="1663"/>
      <c r="AZ354" s="1663"/>
      <c r="BA354" s="1668"/>
      <c r="BB354" s="1668"/>
      <c r="BC354" s="1663"/>
      <c r="BD354" s="1663"/>
      <c r="BE354" s="1665">
        <v>77871.12</v>
      </c>
      <c r="BF354" s="1665">
        <v>77871.12</v>
      </c>
      <c r="BG354" s="1665">
        <v>77871.12</v>
      </c>
      <c r="BH354" s="1665">
        <v>56418.47</v>
      </c>
      <c r="BI354" s="1665">
        <v>21452.65</v>
      </c>
      <c r="BJ354" s="1665">
        <v>0</v>
      </c>
      <c r="BK354" s="1665">
        <v>0</v>
      </c>
      <c r="BL354" s="1665">
        <v>0</v>
      </c>
      <c r="BM354" s="1665">
        <v>0</v>
      </c>
      <c r="BN354" s="1665">
        <v>0</v>
      </c>
      <c r="BO354" s="1668"/>
      <c r="BP354" s="1665">
        <v>0</v>
      </c>
      <c r="BQ354" s="1665">
        <v>0</v>
      </c>
      <c r="BR354" s="1665">
        <v>0</v>
      </c>
      <c r="BS354" s="1667">
        <v>0</v>
      </c>
      <c r="BT354" s="1665">
        <v>0</v>
      </c>
      <c r="BU354" s="1665">
        <v>0</v>
      </c>
      <c r="BV354" s="1665">
        <v>0</v>
      </c>
      <c r="BW354" s="1665">
        <v>0</v>
      </c>
      <c r="BX354" s="1665">
        <v>0</v>
      </c>
      <c r="BY354" s="1665">
        <v>0</v>
      </c>
      <c r="BZ354" s="1665">
        <v>0</v>
      </c>
      <c r="CA354" s="1663"/>
      <c r="CB354" s="1668"/>
      <c r="CC354" s="1668"/>
      <c r="CD354" s="1663"/>
      <c r="CE354" s="1663"/>
      <c r="CF354" s="1665">
        <v>0</v>
      </c>
      <c r="CG354" s="1665">
        <v>0</v>
      </c>
      <c r="CH354" s="1665">
        <v>0</v>
      </c>
      <c r="CI354" s="1665">
        <v>0</v>
      </c>
      <c r="CJ354" s="1665">
        <v>0</v>
      </c>
      <c r="CK354" s="1665">
        <v>0</v>
      </c>
      <c r="CL354" s="1668"/>
      <c r="CM354" s="1665">
        <v>0</v>
      </c>
      <c r="CN354" s="1665">
        <v>0</v>
      </c>
      <c r="CO354" s="1665">
        <v>0</v>
      </c>
      <c r="CP354" s="1665">
        <v>0</v>
      </c>
      <c r="CQ354" s="1665">
        <v>0</v>
      </c>
      <c r="CR354" s="1665">
        <v>0</v>
      </c>
      <c r="CS354" s="1665">
        <v>0</v>
      </c>
      <c r="CT354" s="1665">
        <v>0</v>
      </c>
      <c r="CU354" s="1665">
        <v>0</v>
      </c>
      <c r="CV354" s="1665">
        <v>0</v>
      </c>
      <c r="CW354" s="1668"/>
      <c r="CX354" s="1663"/>
      <c r="CY354" s="1663"/>
      <c r="CZ354" s="1663"/>
      <c r="DA354" s="1663"/>
      <c r="DB354" s="1668"/>
      <c r="DC354" s="1662"/>
      <c r="DD354" s="1665">
        <v>0</v>
      </c>
      <c r="DE354" s="1663"/>
      <c r="DF354" s="1663"/>
      <c r="DG354" s="1665">
        <v>0</v>
      </c>
      <c r="DH354" s="1665">
        <v>0</v>
      </c>
    </row>
    <row r="355" spans="1:112" hidden="1" x14ac:dyDescent="0.25">
      <c r="A355" s="1662" t="s">
        <v>2427</v>
      </c>
      <c r="B355" s="1662" t="s">
        <v>1727</v>
      </c>
      <c r="C355" s="1662" t="s">
        <v>2642</v>
      </c>
      <c r="D355" s="1662" t="s">
        <v>2646</v>
      </c>
      <c r="E355" s="1662"/>
      <c r="F355" s="1662"/>
      <c r="G355" s="1662"/>
      <c r="H355" s="1662"/>
      <c r="I355" s="1662"/>
      <c r="J355" s="1662"/>
      <c r="K355" s="1662"/>
      <c r="L355" s="1662"/>
      <c r="M355" s="1665">
        <v>795987.54</v>
      </c>
      <c r="N355" s="1665">
        <v>0</v>
      </c>
      <c r="O355" s="1665">
        <v>795987.54</v>
      </c>
      <c r="P355" s="1665">
        <v>795987.54</v>
      </c>
      <c r="Q355" s="1665">
        <v>736288.47</v>
      </c>
      <c r="R355" s="1665">
        <v>676589.4</v>
      </c>
      <c r="S355" s="1665">
        <v>59699.07</v>
      </c>
      <c r="T355" s="1665">
        <v>59699.07</v>
      </c>
      <c r="U355" s="1665">
        <v>0</v>
      </c>
      <c r="V355" s="1665">
        <v>59699.07</v>
      </c>
      <c r="W355" s="1665">
        <v>0</v>
      </c>
      <c r="X355" s="1665">
        <v>0</v>
      </c>
      <c r="Y355" s="1668"/>
      <c r="Z355" s="1662"/>
      <c r="AA355" s="1665">
        <v>0</v>
      </c>
      <c r="AB355" s="1665">
        <v>0</v>
      </c>
      <c r="AC355" s="1680">
        <v>0</v>
      </c>
      <c r="AD355" s="1681"/>
      <c r="AE355" s="1679"/>
      <c r="AF355" s="1662"/>
      <c r="AG355" s="1666"/>
      <c r="AH355" s="1667">
        <v>167815.47</v>
      </c>
      <c r="AI355" s="1665">
        <v>167815.47</v>
      </c>
      <c r="AJ355" s="1665">
        <v>167815.47</v>
      </c>
      <c r="AK355" s="1698">
        <v>154208.79999999999</v>
      </c>
      <c r="AL355" s="1665">
        <v>13606.67</v>
      </c>
      <c r="AM355" s="1668"/>
      <c r="AN355" s="1665">
        <v>0</v>
      </c>
      <c r="AO355" s="1665">
        <v>0</v>
      </c>
      <c r="AP355" s="1665">
        <v>0</v>
      </c>
      <c r="AQ355" s="1665">
        <v>0</v>
      </c>
      <c r="AR355" s="1665">
        <v>0</v>
      </c>
      <c r="AS355" s="1665">
        <v>0</v>
      </c>
      <c r="AT355" s="1665">
        <v>0</v>
      </c>
      <c r="AU355" s="1665">
        <v>0</v>
      </c>
      <c r="AV355" s="1665">
        <v>0</v>
      </c>
      <c r="AW355" s="1665">
        <v>0</v>
      </c>
      <c r="AX355" s="1665">
        <v>0</v>
      </c>
      <c r="AY355" s="1665">
        <v>0</v>
      </c>
      <c r="AZ355" s="1665">
        <v>0</v>
      </c>
      <c r="BA355" s="1668"/>
      <c r="BB355" s="1668"/>
      <c r="BC355" s="1665">
        <v>0</v>
      </c>
      <c r="BD355" s="1665">
        <v>0</v>
      </c>
      <c r="BE355" s="1665">
        <v>0</v>
      </c>
      <c r="BF355" s="1665">
        <v>0</v>
      </c>
      <c r="BG355" s="1665">
        <v>0</v>
      </c>
      <c r="BH355" s="1665">
        <v>0</v>
      </c>
      <c r="BI355" s="1665">
        <v>0</v>
      </c>
      <c r="BJ355" s="1665">
        <v>0</v>
      </c>
      <c r="BK355" s="1665">
        <v>0</v>
      </c>
      <c r="BL355" s="1665">
        <v>0</v>
      </c>
      <c r="BM355" s="1665">
        <v>0</v>
      </c>
      <c r="BN355" s="1665">
        <v>0</v>
      </c>
      <c r="BO355" s="1668"/>
      <c r="BP355" s="1665">
        <v>0</v>
      </c>
      <c r="BQ355" s="1665">
        <v>0</v>
      </c>
      <c r="BR355" s="1665">
        <v>0</v>
      </c>
      <c r="BS355" s="1667">
        <v>0</v>
      </c>
      <c r="BT355" s="1665">
        <v>0</v>
      </c>
      <c r="BU355" s="1665">
        <v>0</v>
      </c>
      <c r="BV355" s="1665">
        <v>0</v>
      </c>
      <c r="BW355" s="1665">
        <v>0</v>
      </c>
      <c r="BX355" s="1665">
        <v>0</v>
      </c>
      <c r="BY355" s="1665">
        <v>0</v>
      </c>
      <c r="BZ355" s="1663"/>
      <c r="CA355" s="1665">
        <v>0</v>
      </c>
      <c r="CB355" s="1668"/>
      <c r="CC355" s="1668"/>
      <c r="CD355" s="1665">
        <v>0</v>
      </c>
      <c r="CE355" s="1665">
        <v>0</v>
      </c>
      <c r="CF355" s="1665">
        <v>0</v>
      </c>
      <c r="CG355" s="1665">
        <v>0</v>
      </c>
      <c r="CH355" s="1665">
        <v>0</v>
      </c>
      <c r="CI355" s="1665">
        <v>0</v>
      </c>
      <c r="CJ355" s="1665">
        <v>0</v>
      </c>
      <c r="CK355" s="1665">
        <v>0</v>
      </c>
      <c r="CL355" s="1668"/>
      <c r="CM355" s="1665">
        <v>0</v>
      </c>
      <c r="CN355" s="1665">
        <v>0</v>
      </c>
      <c r="CO355" s="1665">
        <v>0</v>
      </c>
      <c r="CP355" s="1665">
        <v>0</v>
      </c>
      <c r="CQ355" s="1665">
        <v>0</v>
      </c>
      <c r="CR355" s="1665">
        <v>0</v>
      </c>
      <c r="CS355" s="1665">
        <v>0</v>
      </c>
      <c r="CT355" s="1665">
        <v>0</v>
      </c>
      <c r="CU355" s="1665">
        <v>0</v>
      </c>
      <c r="CV355" s="1665">
        <v>0</v>
      </c>
      <c r="CW355" s="1668"/>
      <c r="CX355" s="1665">
        <v>0</v>
      </c>
      <c r="CY355" s="1665">
        <v>0</v>
      </c>
      <c r="CZ355" s="1665">
        <v>0</v>
      </c>
      <c r="DA355" s="1665">
        <v>0</v>
      </c>
      <c r="DB355" s="1668"/>
      <c r="DC355" s="1662"/>
      <c r="DD355" s="1665">
        <v>0</v>
      </c>
      <c r="DE355" s="1665">
        <v>0</v>
      </c>
      <c r="DF355" s="1665">
        <v>0</v>
      </c>
      <c r="DG355" s="1665">
        <v>0</v>
      </c>
      <c r="DH355" s="1665">
        <v>0</v>
      </c>
    </row>
    <row r="356" spans="1:112" ht="22.5" hidden="1" x14ac:dyDescent="0.25">
      <c r="A356" s="1662" t="s">
        <v>2428</v>
      </c>
      <c r="B356" s="1662" t="s">
        <v>1727</v>
      </c>
      <c r="C356" s="1662" t="s">
        <v>2642</v>
      </c>
      <c r="D356" s="1662" t="s">
        <v>2646</v>
      </c>
      <c r="E356" s="1662" t="s">
        <v>1193</v>
      </c>
      <c r="F356" s="1662"/>
      <c r="G356" s="1662"/>
      <c r="H356" s="1662"/>
      <c r="I356" s="1662"/>
      <c r="J356" s="1662"/>
      <c r="K356" s="1662"/>
      <c r="L356" s="1662"/>
      <c r="M356" s="1665">
        <v>795987.54</v>
      </c>
      <c r="N356" s="1665">
        <v>0</v>
      </c>
      <c r="O356" s="1665">
        <v>795987.54</v>
      </c>
      <c r="P356" s="1665">
        <v>795987.54</v>
      </c>
      <c r="Q356" s="1665">
        <v>736288.47</v>
      </c>
      <c r="R356" s="1665">
        <v>676589.4</v>
      </c>
      <c r="S356" s="1665">
        <v>59699.07</v>
      </c>
      <c r="T356" s="1665">
        <v>59699.07</v>
      </c>
      <c r="U356" s="1665">
        <v>0</v>
      </c>
      <c r="V356" s="1665">
        <v>59699.07</v>
      </c>
      <c r="W356" s="1665">
        <v>0</v>
      </c>
      <c r="X356" s="1665">
        <v>0</v>
      </c>
      <c r="Y356" s="1668"/>
      <c r="Z356" s="1662"/>
      <c r="AA356" s="1665">
        <v>0</v>
      </c>
      <c r="AB356" s="1665">
        <v>0</v>
      </c>
      <c r="AC356" s="1680">
        <v>0</v>
      </c>
      <c r="AD356" s="1681"/>
      <c r="AE356" s="1679"/>
      <c r="AF356" s="1662"/>
      <c r="AG356" s="1666"/>
      <c r="AH356" s="1667">
        <v>167815.47</v>
      </c>
      <c r="AI356" s="1665">
        <v>167815.47</v>
      </c>
      <c r="AJ356" s="1665">
        <v>167815.47</v>
      </c>
      <c r="AK356" s="1698">
        <v>154208.79999999999</v>
      </c>
      <c r="AL356" s="1665">
        <v>13606.67</v>
      </c>
      <c r="AM356" s="1668"/>
      <c r="AN356" s="1665">
        <v>0</v>
      </c>
      <c r="AO356" s="1665">
        <v>0</v>
      </c>
      <c r="AP356" s="1665">
        <v>0</v>
      </c>
      <c r="AQ356" s="1665">
        <v>0</v>
      </c>
      <c r="AR356" s="1665">
        <v>0</v>
      </c>
      <c r="AS356" s="1665">
        <v>0</v>
      </c>
      <c r="AT356" s="1665">
        <v>0</v>
      </c>
      <c r="AU356" s="1665">
        <v>0</v>
      </c>
      <c r="AV356" s="1665">
        <v>0</v>
      </c>
      <c r="AW356" s="1665">
        <v>0</v>
      </c>
      <c r="AX356" s="1665">
        <v>0</v>
      </c>
      <c r="AY356" s="1665">
        <v>0</v>
      </c>
      <c r="AZ356" s="1665">
        <v>0</v>
      </c>
      <c r="BA356" s="1668"/>
      <c r="BB356" s="1668"/>
      <c r="BC356" s="1665">
        <v>0</v>
      </c>
      <c r="BD356" s="1665">
        <v>0</v>
      </c>
      <c r="BE356" s="1665">
        <v>0</v>
      </c>
      <c r="BF356" s="1665">
        <v>0</v>
      </c>
      <c r="BG356" s="1665">
        <v>0</v>
      </c>
      <c r="BH356" s="1665">
        <v>0</v>
      </c>
      <c r="BI356" s="1665">
        <v>0</v>
      </c>
      <c r="BJ356" s="1665">
        <v>0</v>
      </c>
      <c r="BK356" s="1665">
        <v>0</v>
      </c>
      <c r="BL356" s="1665">
        <v>0</v>
      </c>
      <c r="BM356" s="1665">
        <v>0</v>
      </c>
      <c r="BN356" s="1665">
        <v>0</v>
      </c>
      <c r="BO356" s="1668"/>
      <c r="BP356" s="1665">
        <v>0</v>
      </c>
      <c r="BQ356" s="1665">
        <v>0</v>
      </c>
      <c r="BR356" s="1665">
        <v>0</v>
      </c>
      <c r="BS356" s="1667">
        <v>0</v>
      </c>
      <c r="BT356" s="1665">
        <v>0</v>
      </c>
      <c r="BU356" s="1665">
        <v>0</v>
      </c>
      <c r="BV356" s="1665">
        <v>0</v>
      </c>
      <c r="BW356" s="1665">
        <v>0</v>
      </c>
      <c r="BX356" s="1665">
        <v>0</v>
      </c>
      <c r="BY356" s="1665">
        <v>0</v>
      </c>
      <c r="BZ356" s="1663"/>
      <c r="CA356" s="1665">
        <v>0</v>
      </c>
      <c r="CB356" s="1668"/>
      <c r="CC356" s="1668"/>
      <c r="CD356" s="1665">
        <v>0</v>
      </c>
      <c r="CE356" s="1665">
        <v>0</v>
      </c>
      <c r="CF356" s="1665">
        <v>0</v>
      </c>
      <c r="CG356" s="1665">
        <v>0</v>
      </c>
      <c r="CH356" s="1665">
        <v>0</v>
      </c>
      <c r="CI356" s="1665">
        <v>0</v>
      </c>
      <c r="CJ356" s="1665">
        <v>0</v>
      </c>
      <c r="CK356" s="1665">
        <v>0</v>
      </c>
      <c r="CL356" s="1668"/>
      <c r="CM356" s="1665">
        <v>0</v>
      </c>
      <c r="CN356" s="1665">
        <v>0</v>
      </c>
      <c r="CO356" s="1665">
        <v>0</v>
      </c>
      <c r="CP356" s="1665">
        <v>0</v>
      </c>
      <c r="CQ356" s="1665">
        <v>0</v>
      </c>
      <c r="CR356" s="1665">
        <v>0</v>
      </c>
      <c r="CS356" s="1665">
        <v>0</v>
      </c>
      <c r="CT356" s="1665">
        <v>0</v>
      </c>
      <c r="CU356" s="1665">
        <v>0</v>
      </c>
      <c r="CV356" s="1665">
        <v>0</v>
      </c>
      <c r="CW356" s="1668"/>
      <c r="CX356" s="1665">
        <v>0</v>
      </c>
      <c r="CY356" s="1665">
        <v>0</v>
      </c>
      <c r="CZ356" s="1665">
        <v>0</v>
      </c>
      <c r="DA356" s="1665">
        <v>0</v>
      </c>
      <c r="DB356" s="1668"/>
      <c r="DC356" s="1662"/>
      <c r="DD356" s="1665">
        <v>0</v>
      </c>
      <c r="DE356" s="1665">
        <v>0</v>
      </c>
      <c r="DF356" s="1665">
        <v>0</v>
      </c>
      <c r="DG356" s="1665">
        <v>0</v>
      </c>
      <c r="DH356" s="1665">
        <v>0</v>
      </c>
    </row>
    <row r="357" spans="1:112" ht="33.75" hidden="1" x14ac:dyDescent="0.25">
      <c r="A357" s="1662" t="s">
        <v>2430</v>
      </c>
      <c r="B357" s="1662" t="s">
        <v>1727</v>
      </c>
      <c r="C357" s="1662" t="s">
        <v>2642</v>
      </c>
      <c r="D357" s="1662" t="s">
        <v>2646</v>
      </c>
      <c r="E357" s="1662" t="s">
        <v>1193</v>
      </c>
      <c r="F357" s="1662" t="s">
        <v>2647</v>
      </c>
      <c r="G357" s="1662" t="s">
        <v>2644</v>
      </c>
      <c r="H357" s="1662" t="s">
        <v>2645</v>
      </c>
      <c r="I357" s="1662" t="s">
        <v>1626</v>
      </c>
      <c r="J357" s="1662" t="s">
        <v>2429</v>
      </c>
      <c r="K357" s="1662" t="s">
        <v>2120</v>
      </c>
      <c r="L357" s="1662" t="s">
        <v>2109</v>
      </c>
      <c r="M357" s="1665">
        <v>198996</v>
      </c>
      <c r="N357" s="1665">
        <v>0</v>
      </c>
      <c r="O357" s="1665">
        <v>198996</v>
      </c>
      <c r="P357" s="1665">
        <v>198996</v>
      </c>
      <c r="Q357" s="1665">
        <v>184071.3</v>
      </c>
      <c r="R357" s="1665">
        <v>169146.6</v>
      </c>
      <c r="S357" s="1665">
        <v>14924.7</v>
      </c>
      <c r="T357" s="1665">
        <v>14924.7</v>
      </c>
      <c r="U357" s="1665">
        <v>0</v>
      </c>
      <c r="V357" s="1665">
        <v>14924.7</v>
      </c>
      <c r="W357" s="1665">
        <v>0</v>
      </c>
      <c r="X357" s="1665">
        <v>0</v>
      </c>
      <c r="Y357" s="1668"/>
      <c r="Z357" s="1662"/>
      <c r="AA357" s="1665">
        <v>0</v>
      </c>
      <c r="AB357" s="1665">
        <v>0</v>
      </c>
      <c r="AC357" s="1680">
        <v>0</v>
      </c>
      <c r="AD357" s="1681"/>
      <c r="AE357" s="1679"/>
      <c r="AF357" s="1662"/>
      <c r="AG357" s="1666"/>
      <c r="AH357" s="1667">
        <v>45490</v>
      </c>
      <c r="AI357" s="1665">
        <v>45490</v>
      </c>
      <c r="AJ357" s="1665">
        <v>45490</v>
      </c>
      <c r="AK357" s="1698">
        <v>41801.620000000003</v>
      </c>
      <c r="AL357" s="1665">
        <v>3688.38</v>
      </c>
      <c r="AM357" s="1668"/>
      <c r="AN357" s="1665">
        <v>0</v>
      </c>
      <c r="AO357" s="1665">
        <v>0</v>
      </c>
      <c r="AP357" s="1665">
        <v>0</v>
      </c>
      <c r="AQ357" s="1665">
        <v>0</v>
      </c>
      <c r="AR357" s="1665">
        <v>0</v>
      </c>
      <c r="AS357" s="1665">
        <v>0</v>
      </c>
      <c r="AT357" s="1665">
        <v>0</v>
      </c>
      <c r="AU357" s="1665">
        <v>0</v>
      </c>
      <c r="AV357" s="1665">
        <v>0</v>
      </c>
      <c r="AW357" s="1665">
        <v>0</v>
      </c>
      <c r="AX357" s="1665">
        <v>0</v>
      </c>
      <c r="AY357" s="1665">
        <v>0</v>
      </c>
      <c r="AZ357" s="1665">
        <v>0</v>
      </c>
      <c r="BA357" s="1668"/>
      <c r="BB357" s="1668"/>
      <c r="BC357" s="1665">
        <v>0</v>
      </c>
      <c r="BD357" s="1665">
        <v>0</v>
      </c>
      <c r="BE357" s="1665">
        <v>0</v>
      </c>
      <c r="BF357" s="1665">
        <v>0</v>
      </c>
      <c r="BG357" s="1665">
        <v>0</v>
      </c>
      <c r="BH357" s="1665">
        <v>0</v>
      </c>
      <c r="BI357" s="1665">
        <v>0</v>
      </c>
      <c r="BJ357" s="1665">
        <v>0</v>
      </c>
      <c r="BK357" s="1665">
        <v>0</v>
      </c>
      <c r="BL357" s="1665">
        <v>0</v>
      </c>
      <c r="BM357" s="1665">
        <v>0</v>
      </c>
      <c r="BN357" s="1665">
        <v>0</v>
      </c>
      <c r="BO357" s="1668"/>
      <c r="BP357" s="1665">
        <v>0</v>
      </c>
      <c r="BQ357" s="1665">
        <v>0</v>
      </c>
      <c r="BR357" s="1665">
        <v>0</v>
      </c>
      <c r="BS357" s="1667">
        <v>0</v>
      </c>
      <c r="BT357" s="1665">
        <v>0</v>
      </c>
      <c r="BU357" s="1665">
        <v>0</v>
      </c>
      <c r="BV357" s="1665">
        <v>0</v>
      </c>
      <c r="BW357" s="1665">
        <v>0</v>
      </c>
      <c r="BX357" s="1665">
        <v>0</v>
      </c>
      <c r="BY357" s="1665">
        <v>0</v>
      </c>
      <c r="BZ357" s="1663"/>
      <c r="CA357" s="1665">
        <v>0</v>
      </c>
      <c r="CB357" s="1668"/>
      <c r="CC357" s="1668"/>
      <c r="CD357" s="1665">
        <v>0</v>
      </c>
      <c r="CE357" s="1665">
        <v>0</v>
      </c>
      <c r="CF357" s="1665">
        <v>0</v>
      </c>
      <c r="CG357" s="1665">
        <v>0</v>
      </c>
      <c r="CH357" s="1665">
        <v>0</v>
      </c>
      <c r="CI357" s="1665">
        <v>0</v>
      </c>
      <c r="CJ357" s="1665">
        <v>0</v>
      </c>
      <c r="CK357" s="1665">
        <v>0</v>
      </c>
      <c r="CL357" s="1668"/>
      <c r="CM357" s="1665">
        <v>0</v>
      </c>
      <c r="CN357" s="1665">
        <v>0</v>
      </c>
      <c r="CO357" s="1665">
        <v>0</v>
      </c>
      <c r="CP357" s="1665">
        <v>0</v>
      </c>
      <c r="CQ357" s="1665">
        <v>0</v>
      </c>
      <c r="CR357" s="1665">
        <v>0</v>
      </c>
      <c r="CS357" s="1665">
        <v>0</v>
      </c>
      <c r="CT357" s="1665">
        <v>0</v>
      </c>
      <c r="CU357" s="1665">
        <v>0</v>
      </c>
      <c r="CV357" s="1665">
        <v>0</v>
      </c>
      <c r="CW357" s="1668"/>
      <c r="CX357" s="1665">
        <v>0</v>
      </c>
      <c r="CY357" s="1665">
        <v>0</v>
      </c>
      <c r="CZ357" s="1665">
        <v>0</v>
      </c>
      <c r="DA357" s="1665">
        <v>0</v>
      </c>
      <c r="DB357" s="1668"/>
      <c r="DC357" s="1662"/>
      <c r="DD357" s="1665">
        <v>0</v>
      </c>
      <c r="DE357" s="1665">
        <v>0</v>
      </c>
      <c r="DF357" s="1665">
        <v>0</v>
      </c>
      <c r="DG357" s="1665">
        <v>0</v>
      </c>
      <c r="DH357" s="1665">
        <v>0</v>
      </c>
    </row>
    <row r="358" spans="1:112" ht="33.75" hidden="1" x14ac:dyDescent="0.25">
      <c r="A358" s="1662" t="s">
        <v>2431</v>
      </c>
      <c r="B358" s="1662" t="s">
        <v>1727</v>
      </c>
      <c r="C358" s="1662" t="s">
        <v>2642</v>
      </c>
      <c r="D358" s="1662" t="s">
        <v>2646</v>
      </c>
      <c r="E358" s="1662" t="s">
        <v>1193</v>
      </c>
      <c r="F358" s="1662" t="s">
        <v>2647</v>
      </c>
      <c r="G358" s="1662" t="s">
        <v>2644</v>
      </c>
      <c r="H358" s="1662" t="s">
        <v>2645</v>
      </c>
      <c r="I358" s="1662" t="s">
        <v>1626</v>
      </c>
      <c r="J358" s="1662" t="s">
        <v>2429</v>
      </c>
      <c r="K358" s="1662" t="s">
        <v>2120</v>
      </c>
      <c r="L358" s="1662" t="s">
        <v>2109</v>
      </c>
      <c r="M358" s="1663"/>
      <c r="N358" s="1663"/>
      <c r="O358" s="1663"/>
      <c r="P358" s="1663"/>
      <c r="Q358" s="1663"/>
      <c r="R358" s="1663"/>
      <c r="S358" s="1663"/>
      <c r="T358" s="1663"/>
      <c r="U358" s="1663"/>
      <c r="V358" s="1663"/>
      <c r="W358" s="1663"/>
      <c r="X358" s="1663"/>
      <c r="Y358" s="1664">
        <v>43363</v>
      </c>
      <c r="Z358" s="1662" t="s">
        <v>2145</v>
      </c>
      <c r="AA358" s="1665">
        <v>0</v>
      </c>
      <c r="AB358" s="1665">
        <v>0</v>
      </c>
      <c r="AC358" s="1680">
        <v>0</v>
      </c>
      <c r="AD358" s="1682">
        <v>43378</v>
      </c>
      <c r="AE358" s="1679" t="s">
        <v>2111</v>
      </c>
      <c r="AF358" s="1662" t="s">
        <v>2112</v>
      </c>
      <c r="AG358" s="1666"/>
      <c r="AH358" s="1667">
        <v>45490</v>
      </c>
      <c r="AI358" s="1665">
        <v>45490</v>
      </c>
      <c r="AJ358" s="1665">
        <v>45490</v>
      </c>
      <c r="AK358" s="1698">
        <v>41801.620000000003</v>
      </c>
      <c r="AL358" s="1665">
        <v>3688.38</v>
      </c>
      <c r="AM358" s="1668"/>
      <c r="AN358" s="1665">
        <v>0</v>
      </c>
      <c r="AO358" s="1665">
        <v>0</v>
      </c>
      <c r="AP358" s="1665">
        <v>0</v>
      </c>
      <c r="AQ358" s="1665">
        <v>0</v>
      </c>
      <c r="AR358" s="1665">
        <v>0</v>
      </c>
      <c r="AS358" s="1665">
        <v>0</v>
      </c>
      <c r="AT358" s="1665">
        <v>0</v>
      </c>
      <c r="AU358" s="1665">
        <v>0</v>
      </c>
      <c r="AV358" s="1665">
        <v>0</v>
      </c>
      <c r="AW358" s="1665">
        <v>0</v>
      </c>
      <c r="AX358" s="1663"/>
      <c r="AY358" s="1663"/>
      <c r="AZ358" s="1663"/>
      <c r="BA358" s="1668"/>
      <c r="BB358" s="1668"/>
      <c r="BC358" s="1663"/>
      <c r="BD358" s="1663"/>
      <c r="BE358" s="1665">
        <v>0</v>
      </c>
      <c r="BF358" s="1665">
        <v>0</v>
      </c>
      <c r="BG358" s="1665">
        <v>0</v>
      </c>
      <c r="BH358" s="1665">
        <v>0</v>
      </c>
      <c r="BI358" s="1665">
        <v>0</v>
      </c>
      <c r="BJ358" s="1665">
        <v>0</v>
      </c>
      <c r="BK358" s="1665">
        <v>0</v>
      </c>
      <c r="BL358" s="1665">
        <v>0</v>
      </c>
      <c r="BM358" s="1665">
        <v>0</v>
      </c>
      <c r="BN358" s="1665">
        <v>0</v>
      </c>
      <c r="BO358" s="1668"/>
      <c r="BP358" s="1665">
        <v>0</v>
      </c>
      <c r="BQ358" s="1665">
        <v>0</v>
      </c>
      <c r="BR358" s="1665">
        <v>0</v>
      </c>
      <c r="BS358" s="1667">
        <v>0</v>
      </c>
      <c r="BT358" s="1665">
        <v>0</v>
      </c>
      <c r="BU358" s="1665">
        <v>0</v>
      </c>
      <c r="BV358" s="1665">
        <v>0</v>
      </c>
      <c r="BW358" s="1665">
        <v>0</v>
      </c>
      <c r="BX358" s="1665">
        <v>0</v>
      </c>
      <c r="BY358" s="1665">
        <v>0</v>
      </c>
      <c r="BZ358" s="1663"/>
      <c r="CA358" s="1663"/>
      <c r="CB358" s="1668"/>
      <c r="CC358" s="1668"/>
      <c r="CD358" s="1663"/>
      <c r="CE358" s="1663"/>
      <c r="CF358" s="1665">
        <v>0</v>
      </c>
      <c r="CG358" s="1665">
        <v>0</v>
      </c>
      <c r="CH358" s="1665">
        <v>0</v>
      </c>
      <c r="CI358" s="1665">
        <v>0</v>
      </c>
      <c r="CJ358" s="1665">
        <v>0</v>
      </c>
      <c r="CK358" s="1665">
        <v>0</v>
      </c>
      <c r="CL358" s="1668"/>
      <c r="CM358" s="1665">
        <v>0</v>
      </c>
      <c r="CN358" s="1665">
        <v>0</v>
      </c>
      <c r="CO358" s="1665">
        <v>0</v>
      </c>
      <c r="CP358" s="1665">
        <v>0</v>
      </c>
      <c r="CQ358" s="1665">
        <v>0</v>
      </c>
      <c r="CR358" s="1665">
        <v>0</v>
      </c>
      <c r="CS358" s="1665">
        <v>0</v>
      </c>
      <c r="CT358" s="1665">
        <v>0</v>
      </c>
      <c r="CU358" s="1665">
        <v>0</v>
      </c>
      <c r="CV358" s="1665">
        <v>0</v>
      </c>
      <c r="CW358" s="1668"/>
      <c r="CX358" s="1663"/>
      <c r="CY358" s="1663"/>
      <c r="CZ358" s="1663"/>
      <c r="DA358" s="1663"/>
      <c r="DB358" s="1668"/>
      <c r="DC358" s="1662"/>
      <c r="DD358" s="1665">
        <v>0</v>
      </c>
      <c r="DE358" s="1663"/>
      <c r="DF358" s="1663"/>
      <c r="DG358" s="1665">
        <v>0</v>
      </c>
      <c r="DH358" s="1665">
        <v>0</v>
      </c>
    </row>
    <row r="359" spans="1:112" ht="33.75" hidden="1" x14ac:dyDescent="0.25">
      <c r="A359" s="1662" t="s">
        <v>2433</v>
      </c>
      <c r="B359" s="1662" t="s">
        <v>1727</v>
      </c>
      <c r="C359" s="1662" t="s">
        <v>2642</v>
      </c>
      <c r="D359" s="1662" t="s">
        <v>2646</v>
      </c>
      <c r="E359" s="1662" t="s">
        <v>1193</v>
      </c>
      <c r="F359" s="1662" t="s">
        <v>2647</v>
      </c>
      <c r="G359" s="1662" t="s">
        <v>2644</v>
      </c>
      <c r="H359" s="1662" t="s">
        <v>2645</v>
      </c>
      <c r="I359" s="1662" t="s">
        <v>1627</v>
      </c>
      <c r="J359" s="1662" t="s">
        <v>1213</v>
      </c>
      <c r="K359" s="1662" t="s">
        <v>2432</v>
      </c>
      <c r="L359" s="1662" t="s">
        <v>2109</v>
      </c>
      <c r="M359" s="1665">
        <v>198997.18</v>
      </c>
      <c r="N359" s="1665">
        <v>0</v>
      </c>
      <c r="O359" s="1665">
        <v>198997.18</v>
      </c>
      <c r="P359" s="1665">
        <v>198997.18</v>
      </c>
      <c r="Q359" s="1665">
        <v>184072.39</v>
      </c>
      <c r="R359" s="1665">
        <v>169147.6</v>
      </c>
      <c r="S359" s="1665">
        <v>14924.79</v>
      </c>
      <c r="T359" s="1665">
        <v>14924.79</v>
      </c>
      <c r="U359" s="1665">
        <v>0</v>
      </c>
      <c r="V359" s="1665">
        <v>14924.79</v>
      </c>
      <c r="W359" s="1665">
        <v>0</v>
      </c>
      <c r="X359" s="1665">
        <v>0</v>
      </c>
      <c r="Y359" s="1668"/>
      <c r="Z359" s="1662"/>
      <c r="AA359" s="1665">
        <v>0</v>
      </c>
      <c r="AB359" s="1665">
        <v>0</v>
      </c>
      <c r="AC359" s="1680">
        <v>0</v>
      </c>
      <c r="AD359" s="1681"/>
      <c r="AE359" s="1679"/>
      <c r="AF359" s="1662"/>
      <c r="AG359" s="1666"/>
      <c r="AH359" s="1667">
        <v>55221.72</v>
      </c>
      <c r="AI359" s="1665">
        <v>55221.72</v>
      </c>
      <c r="AJ359" s="1665">
        <v>55221.72</v>
      </c>
      <c r="AK359" s="1698">
        <v>50744.28</v>
      </c>
      <c r="AL359" s="1665">
        <v>4477.4399999999996</v>
      </c>
      <c r="AM359" s="1668"/>
      <c r="AN359" s="1665">
        <v>0</v>
      </c>
      <c r="AO359" s="1665">
        <v>0</v>
      </c>
      <c r="AP359" s="1665">
        <v>0</v>
      </c>
      <c r="AQ359" s="1665">
        <v>0</v>
      </c>
      <c r="AR359" s="1665">
        <v>0</v>
      </c>
      <c r="AS359" s="1665">
        <v>0</v>
      </c>
      <c r="AT359" s="1665">
        <v>0</v>
      </c>
      <c r="AU359" s="1665">
        <v>0</v>
      </c>
      <c r="AV359" s="1665">
        <v>0</v>
      </c>
      <c r="AW359" s="1665">
        <v>0</v>
      </c>
      <c r="AX359" s="1665">
        <v>0</v>
      </c>
      <c r="AY359" s="1665">
        <v>0</v>
      </c>
      <c r="AZ359" s="1665">
        <v>0</v>
      </c>
      <c r="BA359" s="1668"/>
      <c r="BB359" s="1668"/>
      <c r="BC359" s="1665">
        <v>0</v>
      </c>
      <c r="BD359" s="1665">
        <v>0</v>
      </c>
      <c r="BE359" s="1665">
        <v>0</v>
      </c>
      <c r="BF359" s="1665">
        <v>0</v>
      </c>
      <c r="BG359" s="1665">
        <v>0</v>
      </c>
      <c r="BH359" s="1665">
        <v>0</v>
      </c>
      <c r="BI359" s="1665">
        <v>0</v>
      </c>
      <c r="BJ359" s="1665">
        <v>0</v>
      </c>
      <c r="BK359" s="1665">
        <v>0</v>
      </c>
      <c r="BL359" s="1665">
        <v>0</v>
      </c>
      <c r="BM359" s="1665">
        <v>0</v>
      </c>
      <c r="BN359" s="1665">
        <v>0</v>
      </c>
      <c r="BO359" s="1668"/>
      <c r="BP359" s="1665">
        <v>0</v>
      </c>
      <c r="BQ359" s="1665">
        <v>0</v>
      </c>
      <c r="BR359" s="1665">
        <v>0</v>
      </c>
      <c r="BS359" s="1667">
        <v>0</v>
      </c>
      <c r="BT359" s="1665">
        <v>0</v>
      </c>
      <c r="BU359" s="1665">
        <v>0</v>
      </c>
      <c r="BV359" s="1665">
        <v>0</v>
      </c>
      <c r="BW359" s="1665">
        <v>0</v>
      </c>
      <c r="BX359" s="1665">
        <v>0</v>
      </c>
      <c r="BY359" s="1665">
        <v>0</v>
      </c>
      <c r="BZ359" s="1663"/>
      <c r="CA359" s="1665">
        <v>0</v>
      </c>
      <c r="CB359" s="1668"/>
      <c r="CC359" s="1668"/>
      <c r="CD359" s="1665">
        <v>0</v>
      </c>
      <c r="CE359" s="1665">
        <v>0</v>
      </c>
      <c r="CF359" s="1665">
        <v>0</v>
      </c>
      <c r="CG359" s="1665">
        <v>0</v>
      </c>
      <c r="CH359" s="1665">
        <v>0</v>
      </c>
      <c r="CI359" s="1665">
        <v>0</v>
      </c>
      <c r="CJ359" s="1665">
        <v>0</v>
      </c>
      <c r="CK359" s="1665">
        <v>0</v>
      </c>
      <c r="CL359" s="1668"/>
      <c r="CM359" s="1665">
        <v>0</v>
      </c>
      <c r="CN359" s="1665">
        <v>0</v>
      </c>
      <c r="CO359" s="1665">
        <v>0</v>
      </c>
      <c r="CP359" s="1665">
        <v>0</v>
      </c>
      <c r="CQ359" s="1665">
        <v>0</v>
      </c>
      <c r="CR359" s="1665">
        <v>0</v>
      </c>
      <c r="CS359" s="1665">
        <v>0</v>
      </c>
      <c r="CT359" s="1665">
        <v>0</v>
      </c>
      <c r="CU359" s="1665">
        <v>0</v>
      </c>
      <c r="CV359" s="1665">
        <v>0</v>
      </c>
      <c r="CW359" s="1668"/>
      <c r="CX359" s="1665">
        <v>0</v>
      </c>
      <c r="CY359" s="1665">
        <v>0</v>
      </c>
      <c r="CZ359" s="1665">
        <v>0</v>
      </c>
      <c r="DA359" s="1665">
        <v>0</v>
      </c>
      <c r="DB359" s="1668"/>
      <c r="DC359" s="1662"/>
      <c r="DD359" s="1665">
        <v>0</v>
      </c>
      <c r="DE359" s="1665">
        <v>0</v>
      </c>
      <c r="DF359" s="1665">
        <v>0</v>
      </c>
      <c r="DG359" s="1665">
        <v>0</v>
      </c>
      <c r="DH359" s="1665">
        <v>0</v>
      </c>
    </row>
    <row r="360" spans="1:112" ht="33.75" hidden="1" x14ac:dyDescent="0.25">
      <c r="A360" s="1662" t="s">
        <v>2434</v>
      </c>
      <c r="B360" s="1662" t="s">
        <v>1727</v>
      </c>
      <c r="C360" s="1662" t="s">
        <v>2642</v>
      </c>
      <c r="D360" s="1662" t="s">
        <v>2646</v>
      </c>
      <c r="E360" s="1662" t="s">
        <v>1193</v>
      </c>
      <c r="F360" s="1662" t="s">
        <v>2647</v>
      </c>
      <c r="G360" s="1662" t="s">
        <v>2644</v>
      </c>
      <c r="H360" s="1662" t="s">
        <v>2645</v>
      </c>
      <c r="I360" s="1662" t="s">
        <v>1627</v>
      </c>
      <c r="J360" s="1662" t="s">
        <v>1213</v>
      </c>
      <c r="K360" s="1662" t="s">
        <v>2432</v>
      </c>
      <c r="L360" s="1662" t="s">
        <v>2109</v>
      </c>
      <c r="M360" s="1663"/>
      <c r="N360" s="1663"/>
      <c r="O360" s="1663"/>
      <c r="P360" s="1663"/>
      <c r="Q360" s="1663"/>
      <c r="R360" s="1663"/>
      <c r="S360" s="1663"/>
      <c r="T360" s="1663"/>
      <c r="U360" s="1663"/>
      <c r="V360" s="1663"/>
      <c r="W360" s="1663"/>
      <c r="X360" s="1663"/>
      <c r="Y360" s="1664">
        <v>43336</v>
      </c>
      <c r="Z360" s="1662" t="s">
        <v>2145</v>
      </c>
      <c r="AA360" s="1665">
        <v>0</v>
      </c>
      <c r="AB360" s="1665">
        <v>0</v>
      </c>
      <c r="AC360" s="1680">
        <v>0</v>
      </c>
      <c r="AD360" s="1682">
        <v>43357</v>
      </c>
      <c r="AE360" s="1679" t="s">
        <v>2122</v>
      </c>
      <c r="AF360" s="1662" t="s">
        <v>2112</v>
      </c>
      <c r="AG360" s="1666"/>
      <c r="AH360" s="1667">
        <v>55221.72</v>
      </c>
      <c r="AI360" s="1665">
        <v>55221.72</v>
      </c>
      <c r="AJ360" s="1665">
        <v>55221.72</v>
      </c>
      <c r="AK360" s="1698">
        <v>50744.28</v>
      </c>
      <c r="AL360" s="1665">
        <v>4477.4399999999996</v>
      </c>
      <c r="AM360" s="1668"/>
      <c r="AN360" s="1665">
        <v>0</v>
      </c>
      <c r="AO360" s="1665">
        <v>0</v>
      </c>
      <c r="AP360" s="1665">
        <v>0</v>
      </c>
      <c r="AQ360" s="1665">
        <v>0</v>
      </c>
      <c r="AR360" s="1665">
        <v>0</v>
      </c>
      <c r="AS360" s="1665">
        <v>0</v>
      </c>
      <c r="AT360" s="1665">
        <v>0</v>
      </c>
      <c r="AU360" s="1665">
        <v>0</v>
      </c>
      <c r="AV360" s="1665">
        <v>0</v>
      </c>
      <c r="AW360" s="1665">
        <v>0</v>
      </c>
      <c r="AX360" s="1663"/>
      <c r="AY360" s="1663"/>
      <c r="AZ360" s="1663"/>
      <c r="BA360" s="1668"/>
      <c r="BB360" s="1668"/>
      <c r="BC360" s="1663"/>
      <c r="BD360" s="1663"/>
      <c r="BE360" s="1665">
        <v>0</v>
      </c>
      <c r="BF360" s="1665">
        <v>0</v>
      </c>
      <c r="BG360" s="1665">
        <v>0</v>
      </c>
      <c r="BH360" s="1665">
        <v>0</v>
      </c>
      <c r="BI360" s="1665">
        <v>0</v>
      </c>
      <c r="BJ360" s="1665">
        <v>0</v>
      </c>
      <c r="BK360" s="1665">
        <v>0</v>
      </c>
      <c r="BL360" s="1665">
        <v>0</v>
      </c>
      <c r="BM360" s="1665">
        <v>0</v>
      </c>
      <c r="BN360" s="1665">
        <v>0</v>
      </c>
      <c r="BO360" s="1668"/>
      <c r="BP360" s="1665">
        <v>0</v>
      </c>
      <c r="BQ360" s="1665">
        <v>0</v>
      </c>
      <c r="BR360" s="1665">
        <v>0</v>
      </c>
      <c r="BS360" s="1667">
        <v>0</v>
      </c>
      <c r="BT360" s="1665">
        <v>0</v>
      </c>
      <c r="BU360" s="1665">
        <v>0</v>
      </c>
      <c r="BV360" s="1665">
        <v>0</v>
      </c>
      <c r="BW360" s="1665">
        <v>0</v>
      </c>
      <c r="BX360" s="1665">
        <v>0</v>
      </c>
      <c r="BY360" s="1665">
        <v>0</v>
      </c>
      <c r="BZ360" s="1663"/>
      <c r="CA360" s="1663"/>
      <c r="CB360" s="1668"/>
      <c r="CC360" s="1668"/>
      <c r="CD360" s="1663"/>
      <c r="CE360" s="1663"/>
      <c r="CF360" s="1665">
        <v>0</v>
      </c>
      <c r="CG360" s="1665">
        <v>0</v>
      </c>
      <c r="CH360" s="1665">
        <v>0</v>
      </c>
      <c r="CI360" s="1665">
        <v>0</v>
      </c>
      <c r="CJ360" s="1665">
        <v>0</v>
      </c>
      <c r="CK360" s="1665">
        <v>0</v>
      </c>
      <c r="CL360" s="1668"/>
      <c r="CM360" s="1665">
        <v>0</v>
      </c>
      <c r="CN360" s="1665">
        <v>0</v>
      </c>
      <c r="CO360" s="1665">
        <v>0</v>
      </c>
      <c r="CP360" s="1665">
        <v>0</v>
      </c>
      <c r="CQ360" s="1665">
        <v>0</v>
      </c>
      <c r="CR360" s="1665">
        <v>0</v>
      </c>
      <c r="CS360" s="1665">
        <v>0</v>
      </c>
      <c r="CT360" s="1665">
        <v>0</v>
      </c>
      <c r="CU360" s="1665">
        <v>0</v>
      </c>
      <c r="CV360" s="1665">
        <v>0</v>
      </c>
      <c r="CW360" s="1668"/>
      <c r="CX360" s="1663"/>
      <c r="CY360" s="1663"/>
      <c r="CZ360" s="1663"/>
      <c r="DA360" s="1663"/>
      <c r="DB360" s="1668"/>
      <c r="DC360" s="1662"/>
      <c r="DD360" s="1665">
        <v>0</v>
      </c>
      <c r="DE360" s="1663"/>
      <c r="DF360" s="1663"/>
      <c r="DG360" s="1665">
        <v>0</v>
      </c>
      <c r="DH360" s="1665">
        <v>0</v>
      </c>
    </row>
    <row r="361" spans="1:112" ht="33.75" hidden="1" x14ac:dyDescent="0.25">
      <c r="A361" s="1662" t="s">
        <v>2436</v>
      </c>
      <c r="B361" s="1662" t="s">
        <v>1727</v>
      </c>
      <c r="C361" s="1662" t="s">
        <v>2642</v>
      </c>
      <c r="D361" s="1662" t="s">
        <v>2646</v>
      </c>
      <c r="E361" s="1662" t="s">
        <v>1193</v>
      </c>
      <c r="F361" s="1662" t="s">
        <v>2647</v>
      </c>
      <c r="G361" s="1662" t="s">
        <v>2644</v>
      </c>
      <c r="H361" s="1662" t="s">
        <v>2645</v>
      </c>
      <c r="I361" s="1662" t="s">
        <v>1628</v>
      </c>
      <c r="J361" s="1662" t="s">
        <v>1215</v>
      </c>
      <c r="K361" s="1662" t="s">
        <v>2435</v>
      </c>
      <c r="L361" s="1662" t="s">
        <v>2109</v>
      </c>
      <c r="M361" s="1665">
        <v>198997.18</v>
      </c>
      <c r="N361" s="1665">
        <v>0</v>
      </c>
      <c r="O361" s="1665">
        <v>198997.18</v>
      </c>
      <c r="P361" s="1665">
        <v>198997.18</v>
      </c>
      <c r="Q361" s="1665">
        <v>184072.39</v>
      </c>
      <c r="R361" s="1665">
        <v>169147.6</v>
      </c>
      <c r="S361" s="1665">
        <v>14924.79</v>
      </c>
      <c r="T361" s="1665">
        <v>14924.79</v>
      </c>
      <c r="U361" s="1665">
        <v>0</v>
      </c>
      <c r="V361" s="1665">
        <v>14924.79</v>
      </c>
      <c r="W361" s="1665">
        <v>0</v>
      </c>
      <c r="X361" s="1665">
        <v>0</v>
      </c>
      <c r="Y361" s="1668"/>
      <c r="Z361" s="1662"/>
      <c r="AA361" s="1665">
        <v>0</v>
      </c>
      <c r="AB361" s="1665">
        <v>0</v>
      </c>
      <c r="AC361" s="1680">
        <v>0</v>
      </c>
      <c r="AD361" s="1681"/>
      <c r="AE361" s="1679"/>
      <c r="AF361" s="1662"/>
      <c r="AG361" s="1666"/>
      <c r="AH361" s="1667">
        <v>55000</v>
      </c>
      <c r="AI361" s="1665">
        <v>55000</v>
      </c>
      <c r="AJ361" s="1665">
        <v>55000</v>
      </c>
      <c r="AK361" s="1698">
        <v>50540.54</v>
      </c>
      <c r="AL361" s="1665">
        <v>4459.46</v>
      </c>
      <c r="AM361" s="1668"/>
      <c r="AN361" s="1665">
        <v>0</v>
      </c>
      <c r="AO361" s="1665">
        <v>0</v>
      </c>
      <c r="AP361" s="1665">
        <v>0</v>
      </c>
      <c r="AQ361" s="1665">
        <v>0</v>
      </c>
      <c r="AR361" s="1665">
        <v>0</v>
      </c>
      <c r="AS361" s="1665">
        <v>0</v>
      </c>
      <c r="AT361" s="1665">
        <v>0</v>
      </c>
      <c r="AU361" s="1665">
        <v>0</v>
      </c>
      <c r="AV361" s="1665">
        <v>0</v>
      </c>
      <c r="AW361" s="1665">
        <v>0</v>
      </c>
      <c r="AX361" s="1665">
        <v>0</v>
      </c>
      <c r="AY361" s="1665">
        <v>0</v>
      </c>
      <c r="AZ361" s="1665">
        <v>0</v>
      </c>
      <c r="BA361" s="1668"/>
      <c r="BB361" s="1668"/>
      <c r="BC361" s="1665">
        <v>0</v>
      </c>
      <c r="BD361" s="1665">
        <v>0</v>
      </c>
      <c r="BE361" s="1665">
        <v>0</v>
      </c>
      <c r="BF361" s="1665">
        <v>0</v>
      </c>
      <c r="BG361" s="1665">
        <v>0</v>
      </c>
      <c r="BH361" s="1665">
        <v>0</v>
      </c>
      <c r="BI361" s="1665">
        <v>0</v>
      </c>
      <c r="BJ361" s="1665">
        <v>0</v>
      </c>
      <c r="BK361" s="1665">
        <v>0</v>
      </c>
      <c r="BL361" s="1665">
        <v>0</v>
      </c>
      <c r="BM361" s="1665">
        <v>0</v>
      </c>
      <c r="BN361" s="1665">
        <v>0</v>
      </c>
      <c r="BO361" s="1668"/>
      <c r="BP361" s="1665">
        <v>0</v>
      </c>
      <c r="BQ361" s="1665">
        <v>0</v>
      </c>
      <c r="BR361" s="1665">
        <v>0</v>
      </c>
      <c r="BS361" s="1667">
        <v>0</v>
      </c>
      <c r="BT361" s="1665">
        <v>0</v>
      </c>
      <c r="BU361" s="1665">
        <v>0</v>
      </c>
      <c r="BV361" s="1665">
        <v>0</v>
      </c>
      <c r="BW361" s="1665">
        <v>0</v>
      </c>
      <c r="BX361" s="1665">
        <v>0</v>
      </c>
      <c r="BY361" s="1665">
        <v>0</v>
      </c>
      <c r="BZ361" s="1663"/>
      <c r="CA361" s="1665">
        <v>0</v>
      </c>
      <c r="CB361" s="1668"/>
      <c r="CC361" s="1668"/>
      <c r="CD361" s="1665">
        <v>0</v>
      </c>
      <c r="CE361" s="1665">
        <v>0</v>
      </c>
      <c r="CF361" s="1665">
        <v>0</v>
      </c>
      <c r="CG361" s="1665">
        <v>0</v>
      </c>
      <c r="CH361" s="1665">
        <v>0</v>
      </c>
      <c r="CI361" s="1665">
        <v>0</v>
      </c>
      <c r="CJ361" s="1665">
        <v>0</v>
      </c>
      <c r="CK361" s="1665">
        <v>0</v>
      </c>
      <c r="CL361" s="1668"/>
      <c r="CM361" s="1665">
        <v>0</v>
      </c>
      <c r="CN361" s="1665">
        <v>0</v>
      </c>
      <c r="CO361" s="1665">
        <v>0</v>
      </c>
      <c r="CP361" s="1665">
        <v>0</v>
      </c>
      <c r="CQ361" s="1665">
        <v>0</v>
      </c>
      <c r="CR361" s="1665">
        <v>0</v>
      </c>
      <c r="CS361" s="1665">
        <v>0</v>
      </c>
      <c r="CT361" s="1665">
        <v>0</v>
      </c>
      <c r="CU361" s="1665">
        <v>0</v>
      </c>
      <c r="CV361" s="1665">
        <v>0</v>
      </c>
      <c r="CW361" s="1668"/>
      <c r="CX361" s="1665">
        <v>0</v>
      </c>
      <c r="CY361" s="1665">
        <v>0</v>
      </c>
      <c r="CZ361" s="1665">
        <v>0</v>
      </c>
      <c r="DA361" s="1665">
        <v>0</v>
      </c>
      <c r="DB361" s="1668"/>
      <c r="DC361" s="1662"/>
      <c r="DD361" s="1665">
        <v>0</v>
      </c>
      <c r="DE361" s="1665">
        <v>0</v>
      </c>
      <c r="DF361" s="1665">
        <v>0</v>
      </c>
      <c r="DG361" s="1665">
        <v>0</v>
      </c>
      <c r="DH361" s="1665">
        <v>0</v>
      </c>
    </row>
    <row r="362" spans="1:112" ht="33.75" hidden="1" x14ac:dyDescent="0.25">
      <c r="A362" s="1662" t="s">
        <v>2437</v>
      </c>
      <c r="B362" s="1662" t="s">
        <v>1727</v>
      </c>
      <c r="C362" s="1662" t="s">
        <v>2642</v>
      </c>
      <c r="D362" s="1662" t="s">
        <v>2646</v>
      </c>
      <c r="E362" s="1662" t="s">
        <v>1193</v>
      </c>
      <c r="F362" s="1662" t="s">
        <v>2647</v>
      </c>
      <c r="G362" s="1662" t="s">
        <v>2644</v>
      </c>
      <c r="H362" s="1662" t="s">
        <v>2645</v>
      </c>
      <c r="I362" s="1662" t="s">
        <v>1628</v>
      </c>
      <c r="J362" s="1662" t="s">
        <v>1215</v>
      </c>
      <c r="K362" s="1662" t="s">
        <v>2435</v>
      </c>
      <c r="L362" s="1662" t="s">
        <v>2109</v>
      </c>
      <c r="M362" s="1663"/>
      <c r="N362" s="1663"/>
      <c r="O362" s="1663"/>
      <c r="P362" s="1663"/>
      <c r="Q362" s="1663"/>
      <c r="R362" s="1663"/>
      <c r="S362" s="1663"/>
      <c r="T362" s="1663"/>
      <c r="U362" s="1663"/>
      <c r="V362" s="1663"/>
      <c r="W362" s="1663"/>
      <c r="X362" s="1663"/>
      <c r="Y362" s="1664">
        <v>43313</v>
      </c>
      <c r="Z362" s="1662" t="s">
        <v>2145</v>
      </c>
      <c r="AA362" s="1665">
        <v>0</v>
      </c>
      <c r="AB362" s="1665">
        <v>0</v>
      </c>
      <c r="AC362" s="1680">
        <v>0</v>
      </c>
      <c r="AD362" s="1682">
        <v>43333</v>
      </c>
      <c r="AE362" s="1679" t="s">
        <v>2122</v>
      </c>
      <c r="AF362" s="1662" t="s">
        <v>2112</v>
      </c>
      <c r="AG362" s="1666"/>
      <c r="AH362" s="1667">
        <v>55000</v>
      </c>
      <c r="AI362" s="1665">
        <v>55000</v>
      </c>
      <c r="AJ362" s="1665">
        <v>55000</v>
      </c>
      <c r="AK362" s="1698">
        <v>50540.54</v>
      </c>
      <c r="AL362" s="1665">
        <v>4459.46</v>
      </c>
      <c r="AM362" s="1668"/>
      <c r="AN362" s="1665">
        <v>0</v>
      </c>
      <c r="AO362" s="1665">
        <v>0</v>
      </c>
      <c r="AP362" s="1665">
        <v>0</v>
      </c>
      <c r="AQ362" s="1665">
        <v>0</v>
      </c>
      <c r="AR362" s="1665">
        <v>0</v>
      </c>
      <c r="AS362" s="1665">
        <v>0</v>
      </c>
      <c r="AT362" s="1665">
        <v>0</v>
      </c>
      <c r="AU362" s="1665">
        <v>0</v>
      </c>
      <c r="AV362" s="1665">
        <v>0</v>
      </c>
      <c r="AW362" s="1665">
        <v>0</v>
      </c>
      <c r="AX362" s="1663"/>
      <c r="AY362" s="1663"/>
      <c r="AZ362" s="1663"/>
      <c r="BA362" s="1668"/>
      <c r="BB362" s="1668"/>
      <c r="BC362" s="1663"/>
      <c r="BD362" s="1663"/>
      <c r="BE362" s="1665">
        <v>0</v>
      </c>
      <c r="BF362" s="1665">
        <v>0</v>
      </c>
      <c r="BG362" s="1665">
        <v>0</v>
      </c>
      <c r="BH362" s="1665">
        <v>0</v>
      </c>
      <c r="BI362" s="1665">
        <v>0</v>
      </c>
      <c r="BJ362" s="1665">
        <v>0</v>
      </c>
      <c r="BK362" s="1665">
        <v>0</v>
      </c>
      <c r="BL362" s="1665">
        <v>0</v>
      </c>
      <c r="BM362" s="1665">
        <v>0</v>
      </c>
      <c r="BN362" s="1665">
        <v>0</v>
      </c>
      <c r="BO362" s="1668"/>
      <c r="BP362" s="1665">
        <v>0</v>
      </c>
      <c r="BQ362" s="1665">
        <v>0</v>
      </c>
      <c r="BR362" s="1665">
        <v>0</v>
      </c>
      <c r="BS362" s="1667">
        <v>0</v>
      </c>
      <c r="BT362" s="1665">
        <v>0</v>
      </c>
      <c r="BU362" s="1665">
        <v>0</v>
      </c>
      <c r="BV362" s="1665">
        <v>0</v>
      </c>
      <c r="BW362" s="1665">
        <v>0</v>
      </c>
      <c r="BX362" s="1665">
        <v>0</v>
      </c>
      <c r="BY362" s="1665">
        <v>0</v>
      </c>
      <c r="BZ362" s="1663"/>
      <c r="CA362" s="1663"/>
      <c r="CB362" s="1668"/>
      <c r="CC362" s="1668"/>
      <c r="CD362" s="1663"/>
      <c r="CE362" s="1663"/>
      <c r="CF362" s="1665">
        <v>0</v>
      </c>
      <c r="CG362" s="1665">
        <v>0</v>
      </c>
      <c r="CH362" s="1665">
        <v>0</v>
      </c>
      <c r="CI362" s="1665">
        <v>0</v>
      </c>
      <c r="CJ362" s="1665">
        <v>0</v>
      </c>
      <c r="CK362" s="1665">
        <v>0</v>
      </c>
      <c r="CL362" s="1668"/>
      <c r="CM362" s="1665">
        <v>0</v>
      </c>
      <c r="CN362" s="1665">
        <v>0</v>
      </c>
      <c r="CO362" s="1665">
        <v>0</v>
      </c>
      <c r="CP362" s="1665">
        <v>0</v>
      </c>
      <c r="CQ362" s="1665">
        <v>0</v>
      </c>
      <c r="CR362" s="1665">
        <v>0</v>
      </c>
      <c r="CS362" s="1665">
        <v>0</v>
      </c>
      <c r="CT362" s="1665">
        <v>0</v>
      </c>
      <c r="CU362" s="1665">
        <v>0</v>
      </c>
      <c r="CV362" s="1665">
        <v>0</v>
      </c>
      <c r="CW362" s="1668"/>
      <c r="CX362" s="1663"/>
      <c r="CY362" s="1663"/>
      <c r="CZ362" s="1663"/>
      <c r="DA362" s="1663"/>
      <c r="DB362" s="1668"/>
      <c r="DC362" s="1662"/>
      <c r="DD362" s="1665">
        <v>0</v>
      </c>
      <c r="DE362" s="1663"/>
      <c r="DF362" s="1663"/>
      <c r="DG362" s="1665">
        <v>0</v>
      </c>
      <c r="DH362" s="1665">
        <v>0</v>
      </c>
    </row>
    <row r="363" spans="1:112" ht="33.75" hidden="1" x14ac:dyDescent="0.25">
      <c r="A363" s="1662" t="s">
        <v>2440</v>
      </c>
      <c r="B363" s="1662" t="s">
        <v>1727</v>
      </c>
      <c r="C363" s="1662" t="s">
        <v>2642</v>
      </c>
      <c r="D363" s="1662" t="s">
        <v>2646</v>
      </c>
      <c r="E363" s="1662" t="s">
        <v>1193</v>
      </c>
      <c r="F363" s="1662" t="s">
        <v>2647</v>
      </c>
      <c r="G363" s="1662" t="s">
        <v>2644</v>
      </c>
      <c r="H363" s="1662" t="s">
        <v>2645</v>
      </c>
      <c r="I363" s="1662" t="s">
        <v>1629</v>
      </c>
      <c r="J363" s="1662" t="s">
        <v>2438</v>
      </c>
      <c r="K363" s="1662" t="s">
        <v>2439</v>
      </c>
      <c r="L363" s="1662" t="s">
        <v>2109</v>
      </c>
      <c r="M363" s="1665">
        <v>198997.18</v>
      </c>
      <c r="N363" s="1665">
        <v>0</v>
      </c>
      <c r="O363" s="1665">
        <v>198997.18</v>
      </c>
      <c r="P363" s="1665">
        <v>198997.18</v>
      </c>
      <c r="Q363" s="1665">
        <v>184072.39</v>
      </c>
      <c r="R363" s="1665">
        <v>169147.6</v>
      </c>
      <c r="S363" s="1665">
        <v>14924.79</v>
      </c>
      <c r="T363" s="1665">
        <v>14924.79</v>
      </c>
      <c r="U363" s="1665">
        <v>0</v>
      </c>
      <c r="V363" s="1665">
        <v>14924.79</v>
      </c>
      <c r="W363" s="1665">
        <v>0</v>
      </c>
      <c r="X363" s="1665">
        <v>0</v>
      </c>
      <c r="Y363" s="1668"/>
      <c r="Z363" s="1662"/>
      <c r="AA363" s="1665">
        <v>0</v>
      </c>
      <c r="AB363" s="1665">
        <v>0</v>
      </c>
      <c r="AC363" s="1680">
        <v>0</v>
      </c>
      <c r="AD363" s="1681"/>
      <c r="AE363" s="1679"/>
      <c r="AF363" s="1662"/>
      <c r="AG363" s="1666"/>
      <c r="AH363" s="1667">
        <v>12103.75</v>
      </c>
      <c r="AI363" s="1665">
        <v>12103.75</v>
      </c>
      <c r="AJ363" s="1665">
        <v>12103.75</v>
      </c>
      <c r="AK363" s="1698">
        <v>11122.36</v>
      </c>
      <c r="AL363" s="1665">
        <v>981.39</v>
      </c>
      <c r="AM363" s="1668"/>
      <c r="AN363" s="1665">
        <v>0</v>
      </c>
      <c r="AO363" s="1665">
        <v>0</v>
      </c>
      <c r="AP363" s="1665">
        <v>0</v>
      </c>
      <c r="AQ363" s="1665">
        <v>0</v>
      </c>
      <c r="AR363" s="1665">
        <v>0</v>
      </c>
      <c r="AS363" s="1665">
        <v>0</v>
      </c>
      <c r="AT363" s="1665">
        <v>0</v>
      </c>
      <c r="AU363" s="1665">
        <v>0</v>
      </c>
      <c r="AV363" s="1665">
        <v>0</v>
      </c>
      <c r="AW363" s="1665">
        <v>0</v>
      </c>
      <c r="AX363" s="1665">
        <v>0</v>
      </c>
      <c r="AY363" s="1665">
        <v>0</v>
      </c>
      <c r="AZ363" s="1665">
        <v>0</v>
      </c>
      <c r="BA363" s="1668"/>
      <c r="BB363" s="1668"/>
      <c r="BC363" s="1665">
        <v>0</v>
      </c>
      <c r="BD363" s="1665">
        <v>0</v>
      </c>
      <c r="BE363" s="1665">
        <v>0</v>
      </c>
      <c r="BF363" s="1665">
        <v>0</v>
      </c>
      <c r="BG363" s="1665">
        <v>0</v>
      </c>
      <c r="BH363" s="1665">
        <v>0</v>
      </c>
      <c r="BI363" s="1665">
        <v>0</v>
      </c>
      <c r="BJ363" s="1665">
        <v>0</v>
      </c>
      <c r="BK363" s="1665">
        <v>0</v>
      </c>
      <c r="BL363" s="1665">
        <v>0</v>
      </c>
      <c r="BM363" s="1665">
        <v>0</v>
      </c>
      <c r="BN363" s="1665">
        <v>0</v>
      </c>
      <c r="BO363" s="1668"/>
      <c r="BP363" s="1665">
        <v>0</v>
      </c>
      <c r="BQ363" s="1665">
        <v>0</v>
      </c>
      <c r="BR363" s="1665">
        <v>0</v>
      </c>
      <c r="BS363" s="1667">
        <v>0</v>
      </c>
      <c r="BT363" s="1665">
        <v>0</v>
      </c>
      <c r="BU363" s="1665">
        <v>0</v>
      </c>
      <c r="BV363" s="1665">
        <v>0</v>
      </c>
      <c r="BW363" s="1665">
        <v>0</v>
      </c>
      <c r="BX363" s="1665">
        <v>0</v>
      </c>
      <c r="BY363" s="1665">
        <v>0</v>
      </c>
      <c r="BZ363" s="1663"/>
      <c r="CA363" s="1665">
        <v>0</v>
      </c>
      <c r="CB363" s="1668"/>
      <c r="CC363" s="1668"/>
      <c r="CD363" s="1665">
        <v>0</v>
      </c>
      <c r="CE363" s="1665">
        <v>0</v>
      </c>
      <c r="CF363" s="1665">
        <v>0</v>
      </c>
      <c r="CG363" s="1665">
        <v>0</v>
      </c>
      <c r="CH363" s="1665">
        <v>0</v>
      </c>
      <c r="CI363" s="1665">
        <v>0</v>
      </c>
      <c r="CJ363" s="1665">
        <v>0</v>
      </c>
      <c r="CK363" s="1665">
        <v>0</v>
      </c>
      <c r="CL363" s="1668"/>
      <c r="CM363" s="1665">
        <v>0</v>
      </c>
      <c r="CN363" s="1665">
        <v>0</v>
      </c>
      <c r="CO363" s="1665">
        <v>0</v>
      </c>
      <c r="CP363" s="1665">
        <v>0</v>
      </c>
      <c r="CQ363" s="1665">
        <v>0</v>
      </c>
      <c r="CR363" s="1665">
        <v>0</v>
      </c>
      <c r="CS363" s="1665">
        <v>0</v>
      </c>
      <c r="CT363" s="1665">
        <v>0</v>
      </c>
      <c r="CU363" s="1665">
        <v>0</v>
      </c>
      <c r="CV363" s="1665">
        <v>0</v>
      </c>
      <c r="CW363" s="1668"/>
      <c r="CX363" s="1665">
        <v>0</v>
      </c>
      <c r="CY363" s="1665">
        <v>0</v>
      </c>
      <c r="CZ363" s="1665">
        <v>0</v>
      </c>
      <c r="DA363" s="1665">
        <v>0</v>
      </c>
      <c r="DB363" s="1668"/>
      <c r="DC363" s="1662"/>
      <c r="DD363" s="1665">
        <v>0</v>
      </c>
      <c r="DE363" s="1665">
        <v>0</v>
      </c>
      <c r="DF363" s="1665">
        <v>0</v>
      </c>
      <c r="DG363" s="1665">
        <v>0</v>
      </c>
      <c r="DH363" s="1665">
        <v>0</v>
      </c>
    </row>
    <row r="364" spans="1:112" ht="33.75" hidden="1" x14ac:dyDescent="0.25">
      <c r="A364" s="1662" t="s">
        <v>2441</v>
      </c>
      <c r="B364" s="1662" t="s">
        <v>1727</v>
      </c>
      <c r="C364" s="1662" t="s">
        <v>2642</v>
      </c>
      <c r="D364" s="1662" t="s">
        <v>2646</v>
      </c>
      <c r="E364" s="1662" t="s">
        <v>1193</v>
      </c>
      <c r="F364" s="1662" t="s">
        <v>2647</v>
      </c>
      <c r="G364" s="1662" t="s">
        <v>2644</v>
      </c>
      <c r="H364" s="1662" t="s">
        <v>2645</v>
      </c>
      <c r="I364" s="1662" t="s">
        <v>1629</v>
      </c>
      <c r="J364" s="1662" t="s">
        <v>2438</v>
      </c>
      <c r="K364" s="1662" t="s">
        <v>2439</v>
      </c>
      <c r="L364" s="1662" t="s">
        <v>2109</v>
      </c>
      <c r="M364" s="1663"/>
      <c r="N364" s="1663"/>
      <c r="O364" s="1663"/>
      <c r="P364" s="1663"/>
      <c r="Q364" s="1663"/>
      <c r="R364" s="1663"/>
      <c r="S364" s="1663"/>
      <c r="T364" s="1663"/>
      <c r="U364" s="1663"/>
      <c r="V364" s="1663"/>
      <c r="W364" s="1663"/>
      <c r="X364" s="1663"/>
      <c r="Y364" s="1664">
        <v>43332</v>
      </c>
      <c r="Z364" s="1662" t="s">
        <v>2145</v>
      </c>
      <c r="AA364" s="1665">
        <v>0</v>
      </c>
      <c r="AB364" s="1665">
        <v>0</v>
      </c>
      <c r="AC364" s="1680">
        <v>0</v>
      </c>
      <c r="AD364" s="1682">
        <v>43348</v>
      </c>
      <c r="AE364" s="1679" t="s">
        <v>2122</v>
      </c>
      <c r="AF364" s="1662" t="s">
        <v>2112</v>
      </c>
      <c r="AG364" s="1666"/>
      <c r="AH364" s="1667">
        <v>12103.75</v>
      </c>
      <c r="AI364" s="1665">
        <v>12103.75</v>
      </c>
      <c r="AJ364" s="1665">
        <v>12103.75</v>
      </c>
      <c r="AK364" s="1698">
        <v>11122.36</v>
      </c>
      <c r="AL364" s="1665">
        <v>981.39</v>
      </c>
      <c r="AM364" s="1668"/>
      <c r="AN364" s="1665">
        <v>0</v>
      </c>
      <c r="AO364" s="1665">
        <v>0</v>
      </c>
      <c r="AP364" s="1665">
        <v>0</v>
      </c>
      <c r="AQ364" s="1665">
        <v>0</v>
      </c>
      <c r="AR364" s="1665">
        <v>0</v>
      </c>
      <c r="AS364" s="1665">
        <v>0</v>
      </c>
      <c r="AT364" s="1665">
        <v>0</v>
      </c>
      <c r="AU364" s="1665">
        <v>0</v>
      </c>
      <c r="AV364" s="1665">
        <v>0</v>
      </c>
      <c r="AW364" s="1665">
        <v>0</v>
      </c>
      <c r="AX364" s="1663"/>
      <c r="AY364" s="1663"/>
      <c r="AZ364" s="1663"/>
      <c r="BA364" s="1668"/>
      <c r="BB364" s="1668"/>
      <c r="BC364" s="1663"/>
      <c r="BD364" s="1663"/>
      <c r="BE364" s="1665">
        <v>0</v>
      </c>
      <c r="BF364" s="1665">
        <v>0</v>
      </c>
      <c r="BG364" s="1665">
        <v>0</v>
      </c>
      <c r="BH364" s="1665">
        <v>0</v>
      </c>
      <c r="BI364" s="1665">
        <v>0</v>
      </c>
      <c r="BJ364" s="1665">
        <v>0</v>
      </c>
      <c r="BK364" s="1665">
        <v>0</v>
      </c>
      <c r="BL364" s="1665">
        <v>0</v>
      </c>
      <c r="BM364" s="1665">
        <v>0</v>
      </c>
      <c r="BN364" s="1665">
        <v>0</v>
      </c>
      <c r="BO364" s="1668"/>
      <c r="BP364" s="1665">
        <v>0</v>
      </c>
      <c r="BQ364" s="1665">
        <v>0</v>
      </c>
      <c r="BR364" s="1665">
        <v>0</v>
      </c>
      <c r="BS364" s="1667">
        <v>0</v>
      </c>
      <c r="BT364" s="1665">
        <v>0</v>
      </c>
      <c r="BU364" s="1665">
        <v>0</v>
      </c>
      <c r="BV364" s="1665">
        <v>0</v>
      </c>
      <c r="BW364" s="1665">
        <v>0</v>
      </c>
      <c r="BX364" s="1665">
        <v>0</v>
      </c>
      <c r="BY364" s="1665">
        <v>0</v>
      </c>
      <c r="BZ364" s="1663"/>
      <c r="CA364" s="1663"/>
      <c r="CB364" s="1668"/>
      <c r="CC364" s="1668"/>
      <c r="CD364" s="1663"/>
      <c r="CE364" s="1663"/>
      <c r="CF364" s="1665">
        <v>0</v>
      </c>
      <c r="CG364" s="1665">
        <v>0</v>
      </c>
      <c r="CH364" s="1665">
        <v>0</v>
      </c>
      <c r="CI364" s="1665">
        <v>0</v>
      </c>
      <c r="CJ364" s="1665">
        <v>0</v>
      </c>
      <c r="CK364" s="1665">
        <v>0</v>
      </c>
      <c r="CL364" s="1668"/>
      <c r="CM364" s="1665">
        <v>0</v>
      </c>
      <c r="CN364" s="1665">
        <v>0</v>
      </c>
      <c r="CO364" s="1665">
        <v>0</v>
      </c>
      <c r="CP364" s="1665">
        <v>0</v>
      </c>
      <c r="CQ364" s="1665">
        <v>0</v>
      </c>
      <c r="CR364" s="1665">
        <v>0</v>
      </c>
      <c r="CS364" s="1665">
        <v>0</v>
      </c>
      <c r="CT364" s="1665">
        <v>0</v>
      </c>
      <c r="CU364" s="1665">
        <v>0</v>
      </c>
      <c r="CV364" s="1665">
        <v>0</v>
      </c>
      <c r="CW364" s="1668"/>
      <c r="CX364" s="1663"/>
      <c r="CY364" s="1663"/>
      <c r="CZ364" s="1663"/>
      <c r="DA364" s="1663"/>
      <c r="DB364" s="1668"/>
      <c r="DC364" s="1662"/>
      <c r="DD364" s="1665">
        <v>0</v>
      </c>
      <c r="DE364" s="1663"/>
      <c r="DF364" s="1663"/>
      <c r="DG364" s="1665">
        <v>0</v>
      </c>
      <c r="DH364" s="1665">
        <v>0</v>
      </c>
    </row>
    <row r="365" spans="1:112" hidden="1" x14ac:dyDescent="0.25">
      <c r="A365" s="1662" t="s">
        <v>2442</v>
      </c>
      <c r="B365" s="1662" t="s">
        <v>1727</v>
      </c>
      <c r="C365" s="1662" t="s">
        <v>2648</v>
      </c>
      <c r="D365" s="1662"/>
      <c r="E365" s="1662"/>
      <c r="F365" s="1662"/>
      <c r="G365" s="1662"/>
      <c r="H365" s="1662"/>
      <c r="I365" s="1662"/>
      <c r="J365" s="1662"/>
      <c r="K365" s="1662"/>
      <c r="L365" s="1662"/>
      <c r="M365" s="1665">
        <v>141151.5</v>
      </c>
      <c r="N365" s="1665">
        <v>0</v>
      </c>
      <c r="O365" s="1665">
        <v>141151.5</v>
      </c>
      <c r="P365" s="1665">
        <v>96317.8</v>
      </c>
      <c r="Q365" s="1665">
        <v>96317.8</v>
      </c>
      <c r="R365" s="1665">
        <v>88508.25</v>
      </c>
      <c r="S365" s="1665">
        <v>7809.55</v>
      </c>
      <c r="T365" s="1665">
        <v>44833.7</v>
      </c>
      <c r="U365" s="1665">
        <v>0</v>
      </c>
      <c r="V365" s="1665">
        <v>0</v>
      </c>
      <c r="W365" s="1665">
        <v>0</v>
      </c>
      <c r="X365" s="1665">
        <v>44833.7</v>
      </c>
      <c r="Y365" s="1668"/>
      <c r="Z365" s="1662"/>
      <c r="AA365" s="1665">
        <v>0</v>
      </c>
      <c r="AB365" s="1665">
        <v>0</v>
      </c>
      <c r="AC365" s="1680">
        <v>0</v>
      </c>
      <c r="AD365" s="1681"/>
      <c r="AE365" s="1679"/>
      <c r="AF365" s="1662"/>
      <c r="AG365" s="1666"/>
      <c r="AH365" s="1667">
        <v>28252.47</v>
      </c>
      <c r="AI365" s="1665">
        <v>28252.47</v>
      </c>
      <c r="AJ365" s="1665">
        <v>28252.47</v>
      </c>
      <c r="AK365" s="1698">
        <v>25961.72</v>
      </c>
      <c r="AL365" s="1665">
        <v>2290.75</v>
      </c>
      <c r="AM365" s="1668"/>
      <c r="AN365" s="1665">
        <v>0</v>
      </c>
      <c r="AO365" s="1665">
        <v>0</v>
      </c>
      <c r="AP365" s="1665">
        <v>0</v>
      </c>
      <c r="AQ365" s="1665">
        <v>0</v>
      </c>
      <c r="AR365" s="1665">
        <v>0</v>
      </c>
      <c r="AS365" s="1665">
        <v>0</v>
      </c>
      <c r="AT365" s="1665">
        <v>0</v>
      </c>
      <c r="AU365" s="1665">
        <v>0</v>
      </c>
      <c r="AV365" s="1665">
        <v>0</v>
      </c>
      <c r="AW365" s="1665">
        <v>0</v>
      </c>
      <c r="AX365" s="1665">
        <v>0</v>
      </c>
      <c r="AY365" s="1665">
        <v>0</v>
      </c>
      <c r="AZ365" s="1665">
        <v>0</v>
      </c>
      <c r="BA365" s="1668"/>
      <c r="BB365" s="1668"/>
      <c r="BC365" s="1665">
        <v>0</v>
      </c>
      <c r="BD365" s="1665">
        <v>0</v>
      </c>
      <c r="BE365" s="1665">
        <v>0</v>
      </c>
      <c r="BF365" s="1665">
        <v>0</v>
      </c>
      <c r="BG365" s="1665">
        <v>0</v>
      </c>
      <c r="BH365" s="1665">
        <v>0</v>
      </c>
      <c r="BI365" s="1665">
        <v>0</v>
      </c>
      <c r="BJ365" s="1665">
        <v>0</v>
      </c>
      <c r="BK365" s="1665">
        <v>0</v>
      </c>
      <c r="BL365" s="1665">
        <v>0</v>
      </c>
      <c r="BM365" s="1665">
        <v>0</v>
      </c>
      <c r="BN365" s="1665">
        <v>0</v>
      </c>
      <c r="BO365" s="1668"/>
      <c r="BP365" s="1665">
        <v>0</v>
      </c>
      <c r="BQ365" s="1665">
        <v>0</v>
      </c>
      <c r="BR365" s="1665">
        <v>0</v>
      </c>
      <c r="BS365" s="1667">
        <v>0</v>
      </c>
      <c r="BT365" s="1665">
        <v>0</v>
      </c>
      <c r="BU365" s="1665">
        <v>0</v>
      </c>
      <c r="BV365" s="1665">
        <v>0</v>
      </c>
      <c r="BW365" s="1665">
        <v>0</v>
      </c>
      <c r="BX365" s="1665">
        <v>0</v>
      </c>
      <c r="BY365" s="1665">
        <v>0</v>
      </c>
      <c r="BZ365" s="1663"/>
      <c r="CA365" s="1665">
        <v>0</v>
      </c>
      <c r="CB365" s="1668"/>
      <c r="CC365" s="1668"/>
      <c r="CD365" s="1665">
        <v>0</v>
      </c>
      <c r="CE365" s="1665">
        <v>0</v>
      </c>
      <c r="CF365" s="1665">
        <v>0</v>
      </c>
      <c r="CG365" s="1665">
        <v>0</v>
      </c>
      <c r="CH365" s="1665">
        <v>0</v>
      </c>
      <c r="CI365" s="1665">
        <v>0</v>
      </c>
      <c r="CJ365" s="1665">
        <v>0</v>
      </c>
      <c r="CK365" s="1665">
        <v>0</v>
      </c>
      <c r="CL365" s="1668"/>
      <c r="CM365" s="1665">
        <v>0</v>
      </c>
      <c r="CN365" s="1665">
        <v>0</v>
      </c>
      <c r="CO365" s="1665">
        <v>0</v>
      </c>
      <c r="CP365" s="1665">
        <v>0</v>
      </c>
      <c r="CQ365" s="1665">
        <v>0</v>
      </c>
      <c r="CR365" s="1665">
        <v>0</v>
      </c>
      <c r="CS365" s="1665">
        <v>0</v>
      </c>
      <c r="CT365" s="1665">
        <v>0</v>
      </c>
      <c r="CU365" s="1665">
        <v>0</v>
      </c>
      <c r="CV365" s="1665">
        <v>0</v>
      </c>
      <c r="CW365" s="1668"/>
      <c r="CX365" s="1665">
        <v>0</v>
      </c>
      <c r="CY365" s="1665">
        <v>0</v>
      </c>
      <c r="CZ365" s="1665">
        <v>0</v>
      </c>
      <c r="DA365" s="1665">
        <v>0</v>
      </c>
      <c r="DB365" s="1668"/>
      <c r="DC365" s="1662"/>
      <c r="DD365" s="1665">
        <v>0</v>
      </c>
      <c r="DE365" s="1665">
        <v>0</v>
      </c>
      <c r="DF365" s="1665">
        <v>0</v>
      </c>
      <c r="DG365" s="1665">
        <v>0</v>
      </c>
      <c r="DH365" s="1665">
        <v>0</v>
      </c>
    </row>
    <row r="366" spans="1:112" hidden="1" x14ac:dyDescent="0.25">
      <c r="A366" s="1662" t="s">
        <v>2443</v>
      </c>
      <c r="B366" s="1662" t="s">
        <v>1727</v>
      </c>
      <c r="C366" s="1662" t="s">
        <v>2648</v>
      </c>
      <c r="D366" s="1662" t="s">
        <v>2649</v>
      </c>
      <c r="E366" s="1662"/>
      <c r="F366" s="1662"/>
      <c r="G366" s="1662"/>
      <c r="H366" s="1662"/>
      <c r="I366" s="1662"/>
      <c r="J366" s="1662"/>
      <c r="K366" s="1662"/>
      <c r="L366" s="1662"/>
      <c r="M366" s="1665">
        <v>141151.5</v>
      </c>
      <c r="N366" s="1665">
        <v>0</v>
      </c>
      <c r="O366" s="1665">
        <v>141151.5</v>
      </c>
      <c r="P366" s="1665">
        <v>96317.8</v>
      </c>
      <c r="Q366" s="1665">
        <v>96317.8</v>
      </c>
      <c r="R366" s="1665">
        <v>88508.25</v>
      </c>
      <c r="S366" s="1665">
        <v>7809.55</v>
      </c>
      <c r="T366" s="1665">
        <v>44833.7</v>
      </c>
      <c r="U366" s="1665">
        <v>0</v>
      </c>
      <c r="V366" s="1665">
        <v>0</v>
      </c>
      <c r="W366" s="1665">
        <v>0</v>
      </c>
      <c r="X366" s="1665">
        <v>44833.7</v>
      </c>
      <c r="Y366" s="1668"/>
      <c r="Z366" s="1662"/>
      <c r="AA366" s="1665">
        <v>0</v>
      </c>
      <c r="AB366" s="1665">
        <v>0</v>
      </c>
      <c r="AC366" s="1680">
        <v>0</v>
      </c>
      <c r="AD366" s="1681"/>
      <c r="AE366" s="1679"/>
      <c r="AF366" s="1662"/>
      <c r="AG366" s="1666"/>
      <c r="AH366" s="1667">
        <v>28252.47</v>
      </c>
      <c r="AI366" s="1665">
        <v>28252.47</v>
      </c>
      <c r="AJ366" s="1665">
        <v>28252.47</v>
      </c>
      <c r="AK366" s="1698">
        <v>25961.72</v>
      </c>
      <c r="AL366" s="1665">
        <v>2290.75</v>
      </c>
      <c r="AM366" s="1668"/>
      <c r="AN366" s="1665">
        <v>0</v>
      </c>
      <c r="AO366" s="1665">
        <v>0</v>
      </c>
      <c r="AP366" s="1665">
        <v>0</v>
      </c>
      <c r="AQ366" s="1665">
        <v>0</v>
      </c>
      <c r="AR366" s="1665">
        <v>0</v>
      </c>
      <c r="AS366" s="1665">
        <v>0</v>
      </c>
      <c r="AT366" s="1665">
        <v>0</v>
      </c>
      <c r="AU366" s="1665">
        <v>0</v>
      </c>
      <c r="AV366" s="1665">
        <v>0</v>
      </c>
      <c r="AW366" s="1665">
        <v>0</v>
      </c>
      <c r="AX366" s="1665">
        <v>0</v>
      </c>
      <c r="AY366" s="1665">
        <v>0</v>
      </c>
      <c r="AZ366" s="1665">
        <v>0</v>
      </c>
      <c r="BA366" s="1668"/>
      <c r="BB366" s="1668"/>
      <c r="BC366" s="1665">
        <v>0</v>
      </c>
      <c r="BD366" s="1665">
        <v>0</v>
      </c>
      <c r="BE366" s="1665">
        <v>0</v>
      </c>
      <c r="BF366" s="1665">
        <v>0</v>
      </c>
      <c r="BG366" s="1665">
        <v>0</v>
      </c>
      <c r="BH366" s="1665">
        <v>0</v>
      </c>
      <c r="BI366" s="1665">
        <v>0</v>
      </c>
      <c r="BJ366" s="1665">
        <v>0</v>
      </c>
      <c r="BK366" s="1665">
        <v>0</v>
      </c>
      <c r="BL366" s="1665">
        <v>0</v>
      </c>
      <c r="BM366" s="1665">
        <v>0</v>
      </c>
      <c r="BN366" s="1665">
        <v>0</v>
      </c>
      <c r="BO366" s="1668"/>
      <c r="BP366" s="1665">
        <v>0</v>
      </c>
      <c r="BQ366" s="1665">
        <v>0</v>
      </c>
      <c r="BR366" s="1665">
        <v>0</v>
      </c>
      <c r="BS366" s="1667">
        <v>0</v>
      </c>
      <c r="BT366" s="1665">
        <v>0</v>
      </c>
      <c r="BU366" s="1665">
        <v>0</v>
      </c>
      <c r="BV366" s="1665">
        <v>0</v>
      </c>
      <c r="BW366" s="1665">
        <v>0</v>
      </c>
      <c r="BX366" s="1665">
        <v>0</v>
      </c>
      <c r="BY366" s="1665">
        <v>0</v>
      </c>
      <c r="BZ366" s="1663"/>
      <c r="CA366" s="1665">
        <v>0</v>
      </c>
      <c r="CB366" s="1668"/>
      <c r="CC366" s="1668"/>
      <c r="CD366" s="1665">
        <v>0</v>
      </c>
      <c r="CE366" s="1665">
        <v>0</v>
      </c>
      <c r="CF366" s="1665">
        <v>0</v>
      </c>
      <c r="CG366" s="1665">
        <v>0</v>
      </c>
      <c r="CH366" s="1665">
        <v>0</v>
      </c>
      <c r="CI366" s="1665">
        <v>0</v>
      </c>
      <c r="CJ366" s="1665">
        <v>0</v>
      </c>
      <c r="CK366" s="1665">
        <v>0</v>
      </c>
      <c r="CL366" s="1668"/>
      <c r="CM366" s="1665">
        <v>0</v>
      </c>
      <c r="CN366" s="1665">
        <v>0</v>
      </c>
      <c r="CO366" s="1665">
        <v>0</v>
      </c>
      <c r="CP366" s="1665">
        <v>0</v>
      </c>
      <c r="CQ366" s="1665">
        <v>0</v>
      </c>
      <c r="CR366" s="1665">
        <v>0</v>
      </c>
      <c r="CS366" s="1665">
        <v>0</v>
      </c>
      <c r="CT366" s="1665">
        <v>0</v>
      </c>
      <c r="CU366" s="1665">
        <v>0</v>
      </c>
      <c r="CV366" s="1665">
        <v>0</v>
      </c>
      <c r="CW366" s="1668"/>
      <c r="CX366" s="1665">
        <v>0</v>
      </c>
      <c r="CY366" s="1665">
        <v>0</v>
      </c>
      <c r="CZ366" s="1665">
        <v>0</v>
      </c>
      <c r="DA366" s="1665">
        <v>0</v>
      </c>
      <c r="DB366" s="1668"/>
      <c r="DC366" s="1662"/>
      <c r="DD366" s="1665">
        <v>0</v>
      </c>
      <c r="DE366" s="1665">
        <v>0</v>
      </c>
      <c r="DF366" s="1665">
        <v>0</v>
      </c>
      <c r="DG366" s="1665">
        <v>0</v>
      </c>
      <c r="DH366" s="1665">
        <v>0</v>
      </c>
    </row>
    <row r="367" spans="1:112" ht="22.5" hidden="1" x14ac:dyDescent="0.25">
      <c r="A367" s="1662" t="s">
        <v>2445</v>
      </c>
      <c r="B367" s="1662" t="s">
        <v>1727</v>
      </c>
      <c r="C367" s="1662" t="s">
        <v>2648</v>
      </c>
      <c r="D367" s="1662" t="s">
        <v>2649</v>
      </c>
      <c r="E367" s="1662" t="s">
        <v>2444</v>
      </c>
      <c r="F367" s="1662"/>
      <c r="G367" s="1662"/>
      <c r="H367" s="1662"/>
      <c r="I367" s="1662"/>
      <c r="J367" s="1662"/>
      <c r="K367" s="1662"/>
      <c r="L367" s="1662"/>
      <c r="M367" s="1665">
        <v>141151.5</v>
      </c>
      <c r="N367" s="1665">
        <v>0</v>
      </c>
      <c r="O367" s="1665">
        <v>141151.5</v>
      </c>
      <c r="P367" s="1665">
        <v>96317.8</v>
      </c>
      <c r="Q367" s="1665">
        <v>96317.8</v>
      </c>
      <c r="R367" s="1665">
        <v>88508.25</v>
      </c>
      <c r="S367" s="1665">
        <v>7809.55</v>
      </c>
      <c r="T367" s="1665">
        <v>44833.7</v>
      </c>
      <c r="U367" s="1665">
        <v>0</v>
      </c>
      <c r="V367" s="1665">
        <v>0</v>
      </c>
      <c r="W367" s="1665">
        <v>0</v>
      </c>
      <c r="X367" s="1665">
        <v>44833.7</v>
      </c>
      <c r="Y367" s="1668"/>
      <c r="Z367" s="1662"/>
      <c r="AA367" s="1665">
        <v>0</v>
      </c>
      <c r="AB367" s="1665">
        <v>0</v>
      </c>
      <c r="AC367" s="1680">
        <v>0</v>
      </c>
      <c r="AD367" s="1681"/>
      <c r="AE367" s="1679"/>
      <c r="AF367" s="1662"/>
      <c r="AG367" s="1666"/>
      <c r="AH367" s="1667">
        <v>28252.47</v>
      </c>
      <c r="AI367" s="1665">
        <v>28252.47</v>
      </c>
      <c r="AJ367" s="1665">
        <v>28252.47</v>
      </c>
      <c r="AK367" s="1698">
        <v>25961.72</v>
      </c>
      <c r="AL367" s="1665">
        <v>2290.75</v>
      </c>
      <c r="AM367" s="1668"/>
      <c r="AN367" s="1665">
        <v>0</v>
      </c>
      <c r="AO367" s="1665">
        <v>0</v>
      </c>
      <c r="AP367" s="1665">
        <v>0</v>
      </c>
      <c r="AQ367" s="1665">
        <v>0</v>
      </c>
      <c r="AR367" s="1665">
        <v>0</v>
      </c>
      <c r="AS367" s="1665">
        <v>0</v>
      </c>
      <c r="AT367" s="1665">
        <v>0</v>
      </c>
      <c r="AU367" s="1665">
        <v>0</v>
      </c>
      <c r="AV367" s="1665">
        <v>0</v>
      </c>
      <c r="AW367" s="1665">
        <v>0</v>
      </c>
      <c r="AX367" s="1665">
        <v>0</v>
      </c>
      <c r="AY367" s="1665">
        <v>0</v>
      </c>
      <c r="AZ367" s="1665">
        <v>0</v>
      </c>
      <c r="BA367" s="1668"/>
      <c r="BB367" s="1668"/>
      <c r="BC367" s="1665">
        <v>0</v>
      </c>
      <c r="BD367" s="1665">
        <v>0</v>
      </c>
      <c r="BE367" s="1665">
        <v>0</v>
      </c>
      <c r="BF367" s="1665">
        <v>0</v>
      </c>
      <c r="BG367" s="1665">
        <v>0</v>
      </c>
      <c r="BH367" s="1665">
        <v>0</v>
      </c>
      <c r="BI367" s="1665">
        <v>0</v>
      </c>
      <c r="BJ367" s="1665">
        <v>0</v>
      </c>
      <c r="BK367" s="1665">
        <v>0</v>
      </c>
      <c r="BL367" s="1665">
        <v>0</v>
      </c>
      <c r="BM367" s="1665">
        <v>0</v>
      </c>
      <c r="BN367" s="1665">
        <v>0</v>
      </c>
      <c r="BO367" s="1668"/>
      <c r="BP367" s="1665">
        <v>0</v>
      </c>
      <c r="BQ367" s="1665">
        <v>0</v>
      </c>
      <c r="BR367" s="1665">
        <v>0</v>
      </c>
      <c r="BS367" s="1667">
        <v>0</v>
      </c>
      <c r="BT367" s="1665">
        <v>0</v>
      </c>
      <c r="BU367" s="1665">
        <v>0</v>
      </c>
      <c r="BV367" s="1665">
        <v>0</v>
      </c>
      <c r="BW367" s="1665">
        <v>0</v>
      </c>
      <c r="BX367" s="1665">
        <v>0</v>
      </c>
      <c r="BY367" s="1665">
        <v>0</v>
      </c>
      <c r="BZ367" s="1663"/>
      <c r="CA367" s="1665">
        <v>0</v>
      </c>
      <c r="CB367" s="1668"/>
      <c r="CC367" s="1668"/>
      <c r="CD367" s="1665">
        <v>0</v>
      </c>
      <c r="CE367" s="1665">
        <v>0</v>
      </c>
      <c r="CF367" s="1665">
        <v>0</v>
      </c>
      <c r="CG367" s="1665">
        <v>0</v>
      </c>
      <c r="CH367" s="1665">
        <v>0</v>
      </c>
      <c r="CI367" s="1665">
        <v>0</v>
      </c>
      <c r="CJ367" s="1665">
        <v>0</v>
      </c>
      <c r="CK367" s="1665">
        <v>0</v>
      </c>
      <c r="CL367" s="1668"/>
      <c r="CM367" s="1665">
        <v>0</v>
      </c>
      <c r="CN367" s="1665">
        <v>0</v>
      </c>
      <c r="CO367" s="1665">
        <v>0</v>
      </c>
      <c r="CP367" s="1665">
        <v>0</v>
      </c>
      <c r="CQ367" s="1665">
        <v>0</v>
      </c>
      <c r="CR367" s="1665">
        <v>0</v>
      </c>
      <c r="CS367" s="1665">
        <v>0</v>
      </c>
      <c r="CT367" s="1665">
        <v>0</v>
      </c>
      <c r="CU367" s="1665">
        <v>0</v>
      </c>
      <c r="CV367" s="1665">
        <v>0</v>
      </c>
      <c r="CW367" s="1668"/>
      <c r="CX367" s="1665">
        <v>0</v>
      </c>
      <c r="CY367" s="1665">
        <v>0</v>
      </c>
      <c r="CZ367" s="1665">
        <v>0</v>
      </c>
      <c r="DA367" s="1665">
        <v>0</v>
      </c>
      <c r="DB367" s="1668"/>
      <c r="DC367" s="1662"/>
      <c r="DD367" s="1665">
        <v>0</v>
      </c>
      <c r="DE367" s="1665">
        <v>0</v>
      </c>
      <c r="DF367" s="1665">
        <v>0</v>
      </c>
      <c r="DG367" s="1665">
        <v>0</v>
      </c>
      <c r="DH367" s="1665">
        <v>0</v>
      </c>
    </row>
    <row r="368" spans="1:112" ht="33.75" hidden="1" x14ac:dyDescent="0.25">
      <c r="A368" s="1662" t="s">
        <v>2449</v>
      </c>
      <c r="B368" s="1662" t="s">
        <v>1727</v>
      </c>
      <c r="C368" s="1662" t="s">
        <v>2648</v>
      </c>
      <c r="D368" s="1662" t="s">
        <v>2649</v>
      </c>
      <c r="E368" s="1662" t="s">
        <v>2444</v>
      </c>
      <c r="F368" s="1662" t="s">
        <v>2635</v>
      </c>
      <c r="G368" s="1662" t="s">
        <v>2644</v>
      </c>
      <c r="H368" s="1662" t="s">
        <v>2645</v>
      </c>
      <c r="I368" s="1662" t="s">
        <v>2446</v>
      </c>
      <c r="J368" s="1662" t="s">
        <v>2447</v>
      </c>
      <c r="K368" s="1662" t="s">
        <v>2448</v>
      </c>
      <c r="L368" s="1662" t="s">
        <v>2109</v>
      </c>
      <c r="M368" s="1665">
        <v>44986.51</v>
      </c>
      <c r="N368" s="1665">
        <v>0</v>
      </c>
      <c r="O368" s="1665">
        <v>44986.51</v>
      </c>
      <c r="P368" s="1665">
        <v>31265.62</v>
      </c>
      <c r="Q368" s="1665">
        <v>31265.62</v>
      </c>
      <c r="R368" s="1665">
        <v>28730.57</v>
      </c>
      <c r="S368" s="1665">
        <v>2535.0500000000002</v>
      </c>
      <c r="T368" s="1665">
        <v>13720.89</v>
      </c>
      <c r="U368" s="1665">
        <v>0</v>
      </c>
      <c r="V368" s="1665">
        <v>0</v>
      </c>
      <c r="W368" s="1665">
        <v>0</v>
      </c>
      <c r="X368" s="1665">
        <v>13720.89</v>
      </c>
      <c r="Y368" s="1668"/>
      <c r="Z368" s="1662"/>
      <c r="AA368" s="1665">
        <v>0</v>
      </c>
      <c r="AB368" s="1665">
        <v>0</v>
      </c>
      <c r="AC368" s="1680">
        <v>0</v>
      </c>
      <c r="AD368" s="1681"/>
      <c r="AE368" s="1679"/>
      <c r="AF368" s="1662"/>
      <c r="AG368" s="1666"/>
      <c r="AH368" s="1667">
        <v>9379.69</v>
      </c>
      <c r="AI368" s="1665">
        <v>9379.69</v>
      </c>
      <c r="AJ368" s="1665">
        <v>9379.69</v>
      </c>
      <c r="AK368" s="1698">
        <v>8619.17</v>
      </c>
      <c r="AL368" s="1665">
        <v>760.52</v>
      </c>
      <c r="AM368" s="1668"/>
      <c r="AN368" s="1665">
        <v>0</v>
      </c>
      <c r="AO368" s="1665">
        <v>0</v>
      </c>
      <c r="AP368" s="1665">
        <v>0</v>
      </c>
      <c r="AQ368" s="1665">
        <v>0</v>
      </c>
      <c r="AR368" s="1665">
        <v>0</v>
      </c>
      <c r="AS368" s="1665">
        <v>0</v>
      </c>
      <c r="AT368" s="1665">
        <v>0</v>
      </c>
      <c r="AU368" s="1665">
        <v>0</v>
      </c>
      <c r="AV368" s="1665">
        <v>0</v>
      </c>
      <c r="AW368" s="1665">
        <v>0</v>
      </c>
      <c r="AX368" s="1665">
        <v>0</v>
      </c>
      <c r="AY368" s="1665">
        <v>0</v>
      </c>
      <c r="AZ368" s="1665">
        <v>0</v>
      </c>
      <c r="BA368" s="1668"/>
      <c r="BB368" s="1668"/>
      <c r="BC368" s="1665">
        <v>0</v>
      </c>
      <c r="BD368" s="1665">
        <v>0</v>
      </c>
      <c r="BE368" s="1665">
        <v>0</v>
      </c>
      <c r="BF368" s="1665">
        <v>0</v>
      </c>
      <c r="BG368" s="1665">
        <v>0</v>
      </c>
      <c r="BH368" s="1665">
        <v>0</v>
      </c>
      <c r="BI368" s="1665">
        <v>0</v>
      </c>
      <c r="BJ368" s="1665">
        <v>0</v>
      </c>
      <c r="BK368" s="1665">
        <v>0</v>
      </c>
      <c r="BL368" s="1665">
        <v>0</v>
      </c>
      <c r="BM368" s="1665">
        <v>0</v>
      </c>
      <c r="BN368" s="1665">
        <v>0</v>
      </c>
      <c r="BO368" s="1668"/>
      <c r="BP368" s="1665">
        <v>0</v>
      </c>
      <c r="BQ368" s="1665">
        <v>0</v>
      </c>
      <c r="BR368" s="1665">
        <v>0</v>
      </c>
      <c r="BS368" s="1667">
        <v>0</v>
      </c>
      <c r="BT368" s="1665">
        <v>0</v>
      </c>
      <c r="BU368" s="1665">
        <v>0</v>
      </c>
      <c r="BV368" s="1665">
        <v>0</v>
      </c>
      <c r="BW368" s="1665">
        <v>0</v>
      </c>
      <c r="BX368" s="1665">
        <v>0</v>
      </c>
      <c r="BY368" s="1665">
        <v>0</v>
      </c>
      <c r="BZ368" s="1663"/>
      <c r="CA368" s="1665">
        <v>0</v>
      </c>
      <c r="CB368" s="1668"/>
      <c r="CC368" s="1668"/>
      <c r="CD368" s="1665">
        <v>0</v>
      </c>
      <c r="CE368" s="1665">
        <v>0</v>
      </c>
      <c r="CF368" s="1665">
        <v>0</v>
      </c>
      <c r="CG368" s="1665">
        <v>0</v>
      </c>
      <c r="CH368" s="1665">
        <v>0</v>
      </c>
      <c r="CI368" s="1665">
        <v>0</v>
      </c>
      <c r="CJ368" s="1665">
        <v>0</v>
      </c>
      <c r="CK368" s="1665">
        <v>0</v>
      </c>
      <c r="CL368" s="1668"/>
      <c r="CM368" s="1665">
        <v>0</v>
      </c>
      <c r="CN368" s="1665">
        <v>0</v>
      </c>
      <c r="CO368" s="1665">
        <v>0</v>
      </c>
      <c r="CP368" s="1665">
        <v>0</v>
      </c>
      <c r="CQ368" s="1665">
        <v>0</v>
      </c>
      <c r="CR368" s="1665">
        <v>0</v>
      </c>
      <c r="CS368" s="1665">
        <v>0</v>
      </c>
      <c r="CT368" s="1665">
        <v>0</v>
      </c>
      <c r="CU368" s="1665">
        <v>0</v>
      </c>
      <c r="CV368" s="1665">
        <v>0</v>
      </c>
      <c r="CW368" s="1668"/>
      <c r="CX368" s="1665">
        <v>0</v>
      </c>
      <c r="CY368" s="1665">
        <v>0</v>
      </c>
      <c r="CZ368" s="1665">
        <v>0</v>
      </c>
      <c r="DA368" s="1665">
        <v>0</v>
      </c>
      <c r="DB368" s="1668"/>
      <c r="DC368" s="1662"/>
      <c r="DD368" s="1665">
        <v>0</v>
      </c>
      <c r="DE368" s="1665">
        <v>0</v>
      </c>
      <c r="DF368" s="1665">
        <v>0</v>
      </c>
      <c r="DG368" s="1665">
        <v>0</v>
      </c>
      <c r="DH368" s="1665">
        <v>0</v>
      </c>
    </row>
    <row r="369" spans="1:112" ht="33.75" hidden="1" x14ac:dyDescent="0.25">
      <c r="A369" s="1662" t="s">
        <v>2450</v>
      </c>
      <c r="B369" s="1662" t="s">
        <v>1727</v>
      </c>
      <c r="C369" s="1662" t="s">
        <v>2648</v>
      </c>
      <c r="D369" s="1662" t="s">
        <v>2649</v>
      </c>
      <c r="E369" s="1662" t="s">
        <v>2444</v>
      </c>
      <c r="F369" s="1662" t="s">
        <v>2635</v>
      </c>
      <c r="G369" s="1662" t="s">
        <v>2644</v>
      </c>
      <c r="H369" s="1662" t="s">
        <v>2645</v>
      </c>
      <c r="I369" s="1662" t="s">
        <v>2446</v>
      </c>
      <c r="J369" s="1662" t="s">
        <v>2447</v>
      </c>
      <c r="K369" s="1662" t="s">
        <v>2448</v>
      </c>
      <c r="L369" s="1662" t="s">
        <v>2109</v>
      </c>
      <c r="M369" s="1663"/>
      <c r="N369" s="1663"/>
      <c r="O369" s="1663"/>
      <c r="P369" s="1663"/>
      <c r="Q369" s="1663"/>
      <c r="R369" s="1663"/>
      <c r="S369" s="1663"/>
      <c r="T369" s="1663"/>
      <c r="U369" s="1663"/>
      <c r="V369" s="1663"/>
      <c r="W369" s="1663"/>
      <c r="X369" s="1663"/>
      <c r="Y369" s="1664">
        <v>43370</v>
      </c>
      <c r="Z369" s="1662" t="s">
        <v>2145</v>
      </c>
      <c r="AA369" s="1665">
        <v>0</v>
      </c>
      <c r="AB369" s="1665">
        <v>0</v>
      </c>
      <c r="AC369" s="1680">
        <v>0</v>
      </c>
      <c r="AD369" s="1682">
        <v>43384</v>
      </c>
      <c r="AE369" s="1679" t="s">
        <v>2122</v>
      </c>
      <c r="AF369" s="1662" t="s">
        <v>2112</v>
      </c>
      <c r="AG369" s="1666"/>
      <c r="AH369" s="1667">
        <v>9379.69</v>
      </c>
      <c r="AI369" s="1665">
        <v>9379.69</v>
      </c>
      <c r="AJ369" s="1665">
        <v>9379.69</v>
      </c>
      <c r="AK369" s="1698">
        <v>8619.17</v>
      </c>
      <c r="AL369" s="1665">
        <v>760.52</v>
      </c>
      <c r="AM369" s="1668"/>
      <c r="AN369" s="1665">
        <v>0</v>
      </c>
      <c r="AO369" s="1665">
        <v>0</v>
      </c>
      <c r="AP369" s="1665">
        <v>0</v>
      </c>
      <c r="AQ369" s="1665">
        <v>0</v>
      </c>
      <c r="AR369" s="1665">
        <v>0</v>
      </c>
      <c r="AS369" s="1665">
        <v>0</v>
      </c>
      <c r="AT369" s="1665">
        <v>0</v>
      </c>
      <c r="AU369" s="1665">
        <v>0</v>
      </c>
      <c r="AV369" s="1665">
        <v>0</v>
      </c>
      <c r="AW369" s="1665">
        <v>0</v>
      </c>
      <c r="AX369" s="1663"/>
      <c r="AY369" s="1663"/>
      <c r="AZ369" s="1663"/>
      <c r="BA369" s="1668"/>
      <c r="BB369" s="1668"/>
      <c r="BC369" s="1663"/>
      <c r="BD369" s="1663"/>
      <c r="BE369" s="1665">
        <v>0</v>
      </c>
      <c r="BF369" s="1665">
        <v>0</v>
      </c>
      <c r="BG369" s="1665">
        <v>0</v>
      </c>
      <c r="BH369" s="1665">
        <v>0</v>
      </c>
      <c r="BI369" s="1665">
        <v>0</v>
      </c>
      <c r="BJ369" s="1665">
        <v>0</v>
      </c>
      <c r="BK369" s="1665">
        <v>0</v>
      </c>
      <c r="BL369" s="1665">
        <v>0</v>
      </c>
      <c r="BM369" s="1665">
        <v>0</v>
      </c>
      <c r="BN369" s="1665">
        <v>0</v>
      </c>
      <c r="BO369" s="1668"/>
      <c r="BP369" s="1665">
        <v>0</v>
      </c>
      <c r="BQ369" s="1665">
        <v>0</v>
      </c>
      <c r="BR369" s="1665">
        <v>0</v>
      </c>
      <c r="BS369" s="1667">
        <v>0</v>
      </c>
      <c r="BT369" s="1665">
        <v>0</v>
      </c>
      <c r="BU369" s="1665">
        <v>0</v>
      </c>
      <c r="BV369" s="1665">
        <v>0</v>
      </c>
      <c r="BW369" s="1665">
        <v>0</v>
      </c>
      <c r="BX369" s="1665">
        <v>0</v>
      </c>
      <c r="BY369" s="1665">
        <v>0</v>
      </c>
      <c r="BZ369" s="1663"/>
      <c r="CA369" s="1663"/>
      <c r="CB369" s="1668"/>
      <c r="CC369" s="1668"/>
      <c r="CD369" s="1663"/>
      <c r="CE369" s="1663"/>
      <c r="CF369" s="1665">
        <v>0</v>
      </c>
      <c r="CG369" s="1665">
        <v>0</v>
      </c>
      <c r="CH369" s="1665">
        <v>0</v>
      </c>
      <c r="CI369" s="1665">
        <v>0</v>
      </c>
      <c r="CJ369" s="1665">
        <v>0</v>
      </c>
      <c r="CK369" s="1665">
        <v>0</v>
      </c>
      <c r="CL369" s="1668"/>
      <c r="CM369" s="1665">
        <v>0</v>
      </c>
      <c r="CN369" s="1665">
        <v>0</v>
      </c>
      <c r="CO369" s="1665">
        <v>0</v>
      </c>
      <c r="CP369" s="1665">
        <v>0</v>
      </c>
      <c r="CQ369" s="1665">
        <v>0</v>
      </c>
      <c r="CR369" s="1665">
        <v>0</v>
      </c>
      <c r="CS369" s="1665">
        <v>0</v>
      </c>
      <c r="CT369" s="1665">
        <v>0</v>
      </c>
      <c r="CU369" s="1665">
        <v>0</v>
      </c>
      <c r="CV369" s="1665">
        <v>0</v>
      </c>
      <c r="CW369" s="1668"/>
      <c r="CX369" s="1663"/>
      <c r="CY369" s="1663"/>
      <c r="CZ369" s="1663"/>
      <c r="DA369" s="1663"/>
      <c r="DB369" s="1668"/>
      <c r="DC369" s="1662"/>
      <c r="DD369" s="1665">
        <v>0</v>
      </c>
      <c r="DE369" s="1663"/>
      <c r="DF369" s="1663"/>
      <c r="DG369" s="1665">
        <v>0</v>
      </c>
      <c r="DH369" s="1665">
        <v>0</v>
      </c>
    </row>
    <row r="370" spans="1:112" ht="67.5" hidden="1" x14ac:dyDescent="0.25">
      <c r="A370" s="1662" t="s">
        <v>2454</v>
      </c>
      <c r="B370" s="1662" t="s">
        <v>1727</v>
      </c>
      <c r="C370" s="1662" t="s">
        <v>2648</v>
      </c>
      <c r="D370" s="1662" t="s">
        <v>2649</v>
      </c>
      <c r="E370" s="1662" t="s">
        <v>2444</v>
      </c>
      <c r="F370" s="1662" t="s">
        <v>2635</v>
      </c>
      <c r="G370" s="1662" t="s">
        <v>2644</v>
      </c>
      <c r="H370" s="1662" t="s">
        <v>2645</v>
      </c>
      <c r="I370" s="1662" t="s">
        <v>2451</v>
      </c>
      <c r="J370" s="1662" t="s">
        <v>2452</v>
      </c>
      <c r="K370" s="1662" t="s">
        <v>2453</v>
      </c>
      <c r="L370" s="1662" t="s">
        <v>2109</v>
      </c>
      <c r="M370" s="1665">
        <v>5579.99</v>
      </c>
      <c r="N370" s="1665">
        <v>0</v>
      </c>
      <c r="O370" s="1665">
        <v>5579.99</v>
      </c>
      <c r="P370" s="1665">
        <v>3553.1</v>
      </c>
      <c r="Q370" s="1665">
        <v>3553.1</v>
      </c>
      <c r="R370" s="1665">
        <v>3265.01</v>
      </c>
      <c r="S370" s="1665">
        <v>288.08999999999997</v>
      </c>
      <c r="T370" s="1665">
        <v>2026.89</v>
      </c>
      <c r="U370" s="1665">
        <v>0</v>
      </c>
      <c r="V370" s="1665">
        <v>0</v>
      </c>
      <c r="W370" s="1665">
        <v>0</v>
      </c>
      <c r="X370" s="1665">
        <v>2026.89</v>
      </c>
      <c r="Y370" s="1668"/>
      <c r="Z370" s="1662"/>
      <c r="AA370" s="1665">
        <v>0</v>
      </c>
      <c r="AB370" s="1665">
        <v>0</v>
      </c>
      <c r="AC370" s="1680">
        <v>0</v>
      </c>
      <c r="AD370" s="1681"/>
      <c r="AE370" s="1679"/>
      <c r="AF370" s="1662"/>
      <c r="AG370" s="1666"/>
      <c r="AH370" s="1667">
        <v>1065.93</v>
      </c>
      <c r="AI370" s="1665">
        <v>1065.93</v>
      </c>
      <c r="AJ370" s="1665">
        <v>1065.93</v>
      </c>
      <c r="AK370" s="1698">
        <v>979.5</v>
      </c>
      <c r="AL370" s="1665">
        <v>86.43</v>
      </c>
      <c r="AM370" s="1668"/>
      <c r="AN370" s="1665">
        <v>0</v>
      </c>
      <c r="AO370" s="1665">
        <v>0</v>
      </c>
      <c r="AP370" s="1665">
        <v>0</v>
      </c>
      <c r="AQ370" s="1665">
        <v>0</v>
      </c>
      <c r="AR370" s="1665">
        <v>0</v>
      </c>
      <c r="AS370" s="1665">
        <v>0</v>
      </c>
      <c r="AT370" s="1665">
        <v>0</v>
      </c>
      <c r="AU370" s="1665">
        <v>0</v>
      </c>
      <c r="AV370" s="1665">
        <v>0</v>
      </c>
      <c r="AW370" s="1665">
        <v>0</v>
      </c>
      <c r="AX370" s="1665">
        <v>0</v>
      </c>
      <c r="AY370" s="1665">
        <v>0</v>
      </c>
      <c r="AZ370" s="1665">
        <v>0</v>
      </c>
      <c r="BA370" s="1668"/>
      <c r="BB370" s="1668"/>
      <c r="BC370" s="1665">
        <v>0</v>
      </c>
      <c r="BD370" s="1665">
        <v>0</v>
      </c>
      <c r="BE370" s="1665">
        <v>0</v>
      </c>
      <c r="BF370" s="1665">
        <v>0</v>
      </c>
      <c r="BG370" s="1665">
        <v>0</v>
      </c>
      <c r="BH370" s="1665">
        <v>0</v>
      </c>
      <c r="BI370" s="1665">
        <v>0</v>
      </c>
      <c r="BJ370" s="1665">
        <v>0</v>
      </c>
      <c r="BK370" s="1665">
        <v>0</v>
      </c>
      <c r="BL370" s="1665">
        <v>0</v>
      </c>
      <c r="BM370" s="1665">
        <v>0</v>
      </c>
      <c r="BN370" s="1665">
        <v>0</v>
      </c>
      <c r="BO370" s="1668"/>
      <c r="BP370" s="1665">
        <v>0</v>
      </c>
      <c r="BQ370" s="1665">
        <v>0</v>
      </c>
      <c r="BR370" s="1665">
        <v>0</v>
      </c>
      <c r="BS370" s="1667">
        <v>0</v>
      </c>
      <c r="BT370" s="1665">
        <v>0</v>
      </c>
      <c r="BU370" s="1665">
        <v>0</v>
      </c>
      <c r="BV370" s="1665">
        <v>0</v>
      </c>
      <c r="BW370" s="1665">
        <v>0</v>
      </c>
      <c r="BX370" s="1665">
        <v>0</v>
      </c>
      <c r="BY370" s="1665">
        <v>0</v>
      </c>
      <c r="BZ370" s="1663"/>
      <c r="CA370" s="1665">
        <v>0</v>
      </c>
      <c r="CB370" s="1668"/>
      <c r="CC370" s="1668"/>
      <c r="CD370" s="1665">
        <v>0</v>
      </c>
      <c r="CE370" s="1665">
        <v>0</v>
      </c>
      <c r="CF370" s="1665">
        <v>0</v>
      </c>
      <c r="CG370" s="1665">
        <v>0</v>
      </c>
      <c r="CH370" s="1665">
        <v>0</v>
      </c>
      <c r="CI370" s="1665">
        <v>0</v>
      </c>
      <c r="CJ370" s="1665">
        <v>0</v>
      </c>
      <c r="CK370" s="1665">
        <v>0</v>
      </c>
      <c r="CL370" s="1668"/>
      <c r="CM370" s="1665">
        <v>0</v>
      </c>
      <c r="CN370" s="1665">
        <v>0</v>
      </c>
      <c r="CO370" s="1665">
        <v>0</v>
      </c>
      <c r="CP370" s="1665">
        <v>0</v>
      </c>
      <c r="CQ370" s="1665">
        <v>0</v>
      </c>
      <c r="CR370" s="1665">
        <v>0</v>
      </c>
      <c r="CS370" s="1665">
        <v>0</v>
      </c>
      <c r="CT370" s="1665">
        <v>0</v>
      </c>
      <c r="CU370" s="1665">
        <v>0</v>
      </c>
      <c r="CV370" s="1665">
        <v>0</v>
      </c>
      <c r="CW370" s="1668"/>
      <c r="CX370" s="1665">
        <v>0</v>
      </c>
      <c r="CY370" s="1665">
        <v>0</v>
      </c>
      <c r="CZ370" s="1665">
        <v>0</v>
      </c>
      <c r="DA370" s="1665">
        <v>0</v>
      </c>
      <c r="DB370" s="1668"/>
      <c r="DC370" s="1662"/>
      <c r="DD370" s="1665">
        <v>0</v>
      </c>
      <c r="DE370" s="1665">
        <v>0</v>
      </c>
      <c r="DF370" s="1665">
        <v>0</v>
      </c>
      <c r="DG370" s="1665">
        <v>0</v>
      </c>
      <c r="DH370" s="1665">
        <v>0</v>
      </c>
    </row>
    <row r="371" spans="1:112" ht="67.5" hidden="1" x14ac:dyDescent="0.25">
      <c r="A371" s="1662" t="s">
        <v>2455</v>
      </c>
      <c r="B371" s="1662" t="s">
        <v>1727</v>
      </c>
      <c r="C371" s="1662" t="s">
        <v>2648</v>
      </c>
      <c r="D371" s="1662" t="s">
        <v>2649</v>
      </c>
      <c r="E371" s="1662" t="s">
        <v>2444</v>
      </c>
      <c r="F371" s="1662" t="s">
        <v>2635</v>
      </c>
      <c r="G371" s="1662" t="s">
        <v>2644</v>
      </c>
      <c r="H371" s="1662" t="s">
        <v>2645</v>
      </c>
      <c r="I371" s="1662" t="s">
        <v>2451</v>
      </c>
      <c r="J371" s="1662" t="s">
        <v>2452</v>
      </c>
      <c r="K371" s="1662" t="s">
        <v>2453</v>
      </c>
      <c r="L371" s="1662" t="s">
        <v>2109</v>
      </c>
      <c r="M371" s="1663"/>
      <c r="N371" s="1663"/>
      <c r="O371" s="1663"/>
      <c r="P371" s="1663"/>
      <c r="Q371" s="1663"/>
      <c r="R371" s="1663"/>
      <c r="S371" s="1663"/>
      <c r="T371" s="1663"/>
      <c r="U371" s="1663"/>
      <c r="V371" s="1663"/>
      <c r="W371" s="1663"/>
      <c r="X371" s="1663"/>
      <c r="Y371" s="1664">
        <v>43381</v>
      </c>
      <c r="Z371" s="1662" t="s">
        <v>2145</v>
      </c>
      <c r="AA371" s="1665">
        <v>0</v>
      </c>
      <c r="AB371" s="1665">
        <v>0</v>
      </c>
      <c r="AC371" s="1680">
        <v>0</v>
      </c>
      <c r="AD371" s="1682">
        <v>43392</v>
      </c>
      <c r="AE371" s="1679" t="s">
        <v>2122</v>
      </c>
      <c r="AF371" s="1662" t="s">
        <v>2112</v>
      </c>
      <c r="AG371" s="1666"/>
      <c r="AH371" s="1667">
        <v>1065.93</v>
      </c>
      <c r="AI371" s="1665">
        <v>1065.93</v>
      </c>
      <c r="AJ371" s="1665">
        <v>1065.93</v>
      </c>
      <c r="AK371" s="1698">
        <v>979.5</v>
      </c>
      <c r="AL371" s="1665">
        <v>86.43</v>
      </c>
      <c r="AM371" s="1668"/>
      <c r="AN371" s="1665">
        <v>0</v>
      </c>
      <c r="AO371" s="1665">
        <v>0</v>
      </c>
      <c r="AP371" s="1665">
        <v>0</v>
      </c>
      <c r="AQ371" s="1665">
        <v>0</v>
      </c>
      <c r="AR371" s="1665">
        <v>0</v>
      </c>
      <c r="AS371" s="1665">
        <v>0</v>
      </c>
      <c r="AT371" s="1665">
        <v>0</v>
      </c>
      <c r="AU371" s="1665">
        <v>0</v>
      </c>
      <c r="AV371" s="1665">
        <v>0</v>
      </c>
      <c r="AW371" s="1665">
        <v>0</v>
      </c>
      <c r="AX371" s="1663"/>
      <c r="AY371" s="1663"/>
      <c r="AZ371" s="1663"/>
      <c r="BA371" s="1668"/>
      <c r="BB371" s="1668"/>
      <c r="BC371" s="1663"/>
      <c r="BD371" s="1663"/>
      <c r="BE371" s="1665">
        <v>0</v>
      </c>
      <c r="BF371" s="1665">
        <v>0</v>
      </c>
      <c r="BG371" s="1665">
        <v>0</v>
      </c>
      <c r="BH371" s="1665">
        <v>0</v>
      </c>
      <c r="BI371" s="1665">
        <v>0</v>
      </c>
      <c r="BJ371" s="1665">
        <v>0</v>
      </c>
      <c r="BK371" s="1665">
        <v>0</v>
      </c>
      <c r="BL371" s="1665">
        <v>0</v>
      </c>
      <c r="BM371" s="1665">
        <v>0</v>
      </c>
      <c r="BN371" s="1665">
        <v>0</v>
      </c>
      <c r="BO371" s="1668"/>
      <c r="BP371" s="1665">
        <v>0</v>
      </c>
      <c r="BQ371" s="1665">
        <v>0</v>
      </c>
      <c r="BR371" s="1665">
        <v>0</v>
      </c>
      <c r="BS371" s="1667">
        <v>0</v>
      </c>
      <c r="BT371" s="1665">
        <v>0</v>
      </c>
      <c r="BU371" s="1665">
        <v>0</v>
      </c>
      <c r="BV371" s="1665">
        <v>0</v>
      </c>
      <c r="BW371" s="1665">
        <v>0</v>
      </c>
      <c r="BX371" s="1665">
        <v>0</v>
      </c>
      <c r="BY371" s="1665">
        <v>0</v>
      </c>
      <c r="BZ371" s="1663"/>
      <c r="CA371" s="1663"/>
      <c r="CB371" s="1668"/>
      <c r="CC371" s="1668"/>
      <c r="CD371" s="1663"/>
      <c r="CE371" s="1663"/>
      <c r="CF371" s="1665">
        <v>0</v>
      </c>
      <c r="CG371" s="1665">
        <v>0</v>
      </c>
      <c r="CH371" s="1665">
        <v>0</v>
      </c>
      <c r="CI371" s="1665">
        <v>0</v>
      </c>
      <c r="CJ371" s="1665">
        <v>0</v>
      </c>
      <c r="CK371" s="1665">
        <v>0</v>
      </c>
      <c r="CL371" s="1668"/>
      <c r="CM371" s="1665">
        <v>0</v>
      </c>
      <c r="CN371" s="1665">
        <v>0</v>
      </c>
      <c r="CO371" s="1665">
        <v>0</v>
      </c>
      <c r="CP371" s="1665">
        <v>0</v>
      </c>
      <c r="CQ371" s="1665">
        <v>0</v>
      </c>
      <c r="CR371" s="1665">
        <v>0</v>
      </c>
      <c r="CS371" s="1665">
        <v>0</v>
      </c>
      <c r="CT371" s="1665">
        <v>0</v>
      </c>
      <c r="CU371" s="1665">
        <v>0</v>
      </c>
      <c r="CV371" s="1665">
        <v>0</v>
      </c>
      <c r="CW371" s="1668"/>
      <c r="CX371" s="1663"/>
      <c r="CY371" s="1663"/>
      <c r="CZ371" s="1663"/>
      <c r="DA371" s="1663"/>
      <c r="DB371" s="1668"/>
      <c r="DC371" s="1662"/>
      <c r="DD371" s="1665">
        <v>0</v>
      </c>
      <c r="DE371" s="1663"/>
      <c r="DF371" s="1663"/>
      <c r="DG371" s="1665">
        <v>0</v>
      </c>
      <c r="DH371" s="1665">
        <v>0</v>
      </c>
    </row>
    <row r="372" spans="1:112" ht="33.75" hidden="1" x14ac:dyDescent="0.25">
      <c r="A372" s="1662" t="s">
        <v>2458</v>
      </c>
      <c r="B372" s="1662" t="s">
        <v>1727</v>
      </c>
      <c r="C372" s="1662" t="s">
        <v>2648</v>
      </c>
      <c r="D372" s="1662" t="s">
        <v>2649</v>
      </c>
      <c r="E372" s="1662" t="s">
        <v>2444</v>
      </c>
      <c r="F372" s="1662" t="s">
        <v>2635</v>
      </c>
      <c r="G372" s="1662" t="s">
        <v>2644</v>
      </c>
      <c r="H372" s="1662" t="s">
        <v>2645</v>
      </c>
      <c r="I372" s="1662" t="s">
        <v>2456</v>
      </c>
      <c r="J372" s="1662" t="s">
        <v>2457</v>
      </c>
      <c r="K372" s="1662" t="s">
        <v>2448</v>
      </c>
      <c r="L372" s="1662" t="s">
        <v>2109</v>
      </c>
      <c r="M372" s="1665">
        <v>10446.14</v>
      </c>
      <c r="N372" s="1665">
        <v>0</v>
      </c>
      <c r="O372" s="1665">
        <v>10446.14</v>
      </c>
      <c r="P372" s="1665">
        <v>7142.92</v>
      </c>
      <c r="Q372" s="1665">
        <v>7142.92</v>
      </c>
      <c r="R372" s="1665">
        <v>6563.76</v>
      </c>
      <c r="S372" s="1665">
        <v>579.16</v>
      </c>
      <c r="T372" s="1665">
        <v>3303.22</v>
      </c>
      <c r="U372" s="1665">
        <v>0</v>
      </c>
      <c r="V372" s="1665">
        <v>0</v>
      </c>
      <c r="W372" s="1665">
        <v>0</v>
      </c>
      <c r="X372" s="1665">
        <v>3303.22</v>
      </c>
      <c r="Y372" s="1668"/>
      <c r="Z372" s="1662"/>
      <c r="AA372" s="1665">
        <v>0</v>
      </c>
      <c r="AB372" s="1665">
        <v>0</v>
      </c>
      <c r="AC372" s="1680">
        <v>0</v>
      </c>
      <c r="AD372" s="1681"/>
      <c r="AE372" s="1679"/>
      <c r="AF372" s="1662"/>
      <c r="AG372" s="1666"/>
      <c r="AH372" s="1667">
        <v>1500</v>
      </c>
      <c r="AI372" s="1665">
        <v>1500</v>
      </c>
      <c r="AJ372" s="1665">
        <v>1500</v>
      </c>
      <c r="AK372" s="1698">
        <v>1378.38</v>
      </c>
      <c r="AL372" s="1665">
        <v>121.62</v>
      </c>
      <c r="AM372" s="1668"/>
      <c r="AN372" s="1665">
        <v>0</v>
      </c>
      <c r="AO372" s="1665">
        <v>0</v>
      </c>
      <c r="AP372" s="1665">
        <v>0</v>
      </c>
      <c r="AQ372" s="1665">
        <v>0</v>
      </c>
      <c r="AR372" s="1665">
        <v>0</v>
      </c>
      <c r="AS372" s="1665">
        <v>0</v>
      </c>
      <c r="AT372" s="1665">
        <v>0</v>
      </c>
      <c r="AU372" s="1665">
        <v>0</v>
      </c>
      <c r="AV372" s="1665">
        <v>0</v>
      </c>
      <c r="AW372" s="1665">
        <v>0</v>
      </c>
      <c r="AX372" s="1665">
        <v>0</v>
      </c>
      <c r="AY372" s="1665">
        <v>0</v>
      </c>
      <c r="AZ372" s="1665">
        <v>0</v>
      </c>
      <c r="BA372" s="1668"/>
      <c r="BB372" s="1668"/>
      <c r="BC372" s="1665">
        <v>0</v>
      </c>
      <c r="BD372" s="1665">
        <v>0</v>
      </c>
      <c r="BE372" s="1665">
        <v>0</v>
      </c>
      <c r="BF372" s="1665">
        <v>0</v>
      </c>
      <c r="BG372" s="1665">
        <v>0</v>
      </c>
      <c r="BH372" s="1665">
        <v>0</v>
      </c>
      <c r="BI372" s="1665">
        <v>0</v>
      </c>
      <c r="BJ372" s="1665">
        <v>0</v>
      </c>
      <c r="BK372" s="1665">
        <v>0</v>
      </c>
      <c r="BL372" s="1665">
        <v>0</v>
      </c>
      <c r="BM372" s="1665">
        <v>0</v>
      </c>
      <c r="BN372" s="1665">
        <v>0</v>
      </c>
      <c r="BO372" s="1668"/>
      <c r="BP372" s="1665">
        <v>0</v>
      </c>
      <c r="BQ372" s="1665">
        <v>0</v>
      </c>
      <c r="BR372" s="1665">
        <v>0</v>
      </c>
      <c r="BS372" s="1667">
        <v>0</v>
      </c>
      <c r="BT372" s="1665">
        <v>0</v>
      </c>
      <c r="BU372" s="1665">
        <v>0</v>
      </c>
      <c r="BV372" s="1665">
        <v>0</v>
      </c>
      <c r="BW372" s="1665">
        <v>0</v>
      </c>
      <c r="BX372" s="1665">
        <v>0</v>
      </c>
      <c r="BY372" s="1665">
        <v>0</v>
      </c>
      <c r="BZ372" s="1663"/>
      <c r="CA372" s="1665">
        <v>0</v>
      </c>
      <c r="CB372" s="1668"/>
      <c r="CC372" s="1668"/>
      <c r="CD372" s="1665">
        <v>0</v>
      </c>
      <c r="CE372" s="1665">
        <v>0</v>
      </c>
      <c r="CF372" s="1665">
        <v>0</v>
      </c>
      <c r="CG372" s="1665">
        <v>0</v>
      </c>
      <c r="CH372" s="1665">
        <v>0</v>
      </c>
      <c r="CI372" s="1665">
        <v>0</v>
      </c>
      <c r="CJ372" s="1665">
        <v>0</v>
      </c>
      <c r="CK372" s="1665">
        <v>0</v>
      </c>
      <c r="CL372" s="1668"/>
      <c r="CM372" s="1665">
        <v>0</v>
      </c>
      <c r="CN372" s="1665">
        <v>0</v>
      </c>
      <c r="CO372" s="1665">
        <v>0</v>
      </c>
      <c r="CP372" s="1665">
        <v>0</v>
      </c>
      <c r="CQ372" s="1665">
        <v>0</v>
      </c>
      <c r="CR372" s="1665">
        <v>0</v>
      </c>
      <c r="CS372" s="1665">
        <v>0</v>
      </c>
      <c r="CT372" s="1665">
        <v>0</v>
      </c>
      <c r="CU372" s="1665">
        <v>0</v>
      </c>
      <c r="CV372" s="1665">
        <v>0</v>
      </c>
      <c r="CW372" s="1668"/>
      <c r="CX372" s="1665">
        <v>0</v>
      </c>
      <c r="CY372" s="1665">
        <v>0</v>
      </c>
      <c r="CZ372" s="1665">
        <v>0</v>
      </c>
      <c r="DA372" s="1665">
        <v>0</v>
      </c>
      <c r="DB372" s="1668"/>
      <c r="DC372" s="1662"/>
      <c r="DD372" s="1665">
        <v>0</v>
      </c>
      <c r="DE372" s="1665">
        <v>0</v>
      </c>
      <c r="DF372" s="1665">
        <v>0</v>
      </c>
      <c r="DG372" s="1665">
        <v>0</v>
      </c>
      <c r="DH372" s="1665">
        <v>0</v>
      </c>
    </row>
    <row r="373" spans="1:112" ht="33.75" hidden="1" x14ac:dyDescent="0.25">
      <c r="A373" s="1662" t="s">
        <v>2459</v>
      </c>
      <c r="B373" s="1662" t="s">
        <v>1727</v>
      </c>
      <c r="C373" s="1662" t="s">
        <v>2648</v>
      </c>
      <c r="D373" s="1662" t="s">
        <v>2649</v>
      </c>
      <c r="E373" s="1662" t="s">
        <v>2444</v>
      </c>
      <c r="F373" s="1662" t="s">
        <v>2635</v>
      </c>
      <c r="G373" s="1662" t="s">
        <v>2644</v>
      </c>
      <c r="H373" s="1662" t="s">
        <v>2645</v>
      </c>
      <c r="I373" s="1662" t="s">
        <v>2456</v>
      </c>
      <c r="J373" s="1662" t="s">
        <v>2457</v>
      </c>
      <c r="K373" s="1662" t="s">
        <v>2448</v>
      </c>
      <c r="L373" s="1662" t="s">
        <v>2109</v>
      </c>
      <c r="M373" s="1663"/>
      <c r="N373" s="1663"/>
      <c r="O373" s="1663"/>
      <c r="P373" s="1663"/>
      <c r="Q373" s="1663"/>
      <c r="R373" s="1663"/>
      <c r="S373" s="1663"/>
      <c r="T373" s="1663"/>
      <c r="U373" s="1663"/>
      <c r="V373" s="1663"/>
      <c r="W373" s="1663"/>
      <c r="X373" s="1663"/>
      <c r="Y373" s="1664">
        <v>43369</v>
      </c>
      <c r="Z373" s="1662" t="s">
        <v>2145</v>
      </c>
      <c r="AA373" s="1665">
        <v>0</v>
      </c>
      <c r="AB373" s="1665">
        <v>0</v>
      </c>
      <c r="AC373" s="1680">
        <v>0</v>
      </c>
      <c r="AD373" s="1682">
        <v>43384</v>
      </c>
      <c r="AE373" s="1679" t="s">
        <v>2122</v>
      </c>
      <c r="AF373" s="1662" t="s">
        <v>2112</v>
      </c>
      <c r="AG373" s="1666"/>
      <c r="AH373" s="1667">
        <v>1500</v>
      </c>
      <c r="AI373" s="1665">
        <v>1500</v>
      </c>
      <c r="AJ373" s="1665">
        <v>1500</v>
      </c>
      <c r="AK373" s="1698">
        <v>1378.38</v>
      </c>
      <c r="AL373" s="1665">
        <v>121.62</v>
      </c>
      <c r="AM373" s="1668"/>
      <c r="AN373" s="1665">
        <v>0</v>
      </c>
      <c r="AO373" s="1665">
        <v>0</v>
      </c>
      <c r="AP373" s="1665">
        <v>0</v>
      </c>
      <c r="AQ373" s="1665">
        <v>0</v>
      </c>
      <c r="AR373" s="1665">
        <v>0</v>
      </c>
      <c r="AS373" s="1665">
        <v>0</v>
      </c>
      <c r="AT373" s="1665">
        <v>0</v>
      </c>
      <c r="AU373" s="1665">
        <v>0</v>
      </c>
      <c r="AV373" s="1665">
        <v>0</v>
      </c>
      <c r="AW373" s="1665">
        <v>0</v>
      </c>
      <c r="AX373" s="1663"/>
      <c r="AY373" s="1663"/>
      <c r="AZ373" s="1663"/>
      <c r="BA373" s="1668"/>
      <c r="BB373" s="1668"/>
      <c r="BC373" s="1663"/>
      <c r="BD373" s="1663"/>
      <c r="BE373" s="1665">
        <v>0</v>
      </c>
      <c r="BF373" s="1665">
        <v>0</v>
      </c>
      <c r="BG373" s="1665">
        <v>0</v>
      </c>
      <c r="BH373" s="1665">
        <v>0</v>
      </c>
      <c r="BI373" s="1665">
        <v>0</v>
      </c>
      <c r="BJ373" s="1665">
        <v>0</v>
      </c>
      <c r="BK373" s="1665">
        <v>0</v>
      </c>
      <c r="BL373" s="1665">
        <v>0</v>
      </c>
      <c r="BM373" s="1665">
        <v>0</v>
      </c>
      <c r="BN373" s="1665">
        <v>0</v>
      </c>
      <c r="BO373" s="1668"/>
      <c r="BP373" s="1665">
        <v>0</v>
      </c>
      <c r="BQ373" s="1665">
        <v>0</v>
      </c>
      <c r="BR373" s="1665">
        <v>0</v>
      </c>
      <c r="BS373" s="1667">
        <v>0</v>
      </c>
      <c r="BT373" s="1665">
        <v>0</v>
      </c>
      <c r="BU373" s="1665">
        <v>0</v>
      </c>
      <c r="BV373" s="1665">
        <v>0</v>
      </c>
      <c r="BW373" s="1665">
        <v>0</v>
      </c>
      <c r="BX373" s="1665">
        <v>0</v>
      </c>
      <c r="BY373" s="1665">
        <v>0</v>
      </c>
      <c r="BZ373" s="1663"/>
      <c r="CA373" s="1663"/>
      <c r="CB373" s="1668"/>
      <c r="CC373" s="1668"/>
      <c r="CD373" s="1663"/>
      <c r="CE373" s="1663"/>
      <c r="CF373" s="1665">
        <v>0</v>
      </c>
      <c r="CG373" s="1665">
        <v>0</v>
      </c>
      <c r="CH373" s="1665">
        <v>0</v>
      </c>
      <c r="CI373" s="1665">
        <v>0</v>
      </c>
      <c r="CJ373" s="1665">
        <v>0</v>
      </c>
      <c r="CK373" s="1665">
        <v>0</v>
      </c>
      <c r="CL373" s="1668"/>
      <c r="CM373" s="1665">
        <v>0</v>
      </c>
      <c r="CN373" s="1665">
        <v>0</v>
      </c>
      <c r="CO373" s="1665">
        <v>0</v>
      </c>
      <c r="CP373" s="1665">
        <v>0</v>
      </c>
      <c r="CQ373" s="1665">
        <v>0</v>
      </c>
      <c r="CR373" s="1665">
        <v>0</v>
      </c>
      <c r="CS373" s="1665">
        <v>0</v>
      </c>
      <c r="CT373" s="1665">
        <v>0</v>
      </c>
      <c r="CU373" s="1665">
        <v>0</v>
      </c>
      <c r="CV373" s="1665">
        <v>0</v>
      </c>
      <c r="CW373" s="1668"/>
      <c r="CX373" s="1663"/>
      <c r="CY373" s="1663"/>
      <c r="CZ373" s="1663"/>
      <c r="DA373" s="1663"/>
      <c r="DB373" s="1668"/>
      <c r="DC373" s="1662"/>
      <c r="DD373" s="1665">
        <v>0</v>
      </c>
      <c r="DE373" s="1663"/>
      <c r="DF373" s="1663"/>
      <c r="DG373" s="1665">
        <v>0</v>
      </c>
      <c r="DH373" s="1665">
        <v>0</v>
      </c>
    </row>
    <row r="374" spans="1:112" ht="22.5" hidden="1" x14ac:dyDescent="0.25">
      <c r="A374" s="1662" t="s">
        <v>2463</v>
      </c>
      <c r="B374" s="1662" t="s">
        <v>1727</v>
      </c>
      <c r="C374" s="1662" t="s">
        <v>2648</v>
      </c>
      <c r="D374" s="1662" t="s">
        <v>2649</v>
      </c>
      <c r="E374" s="1662" t="s">
        <v>2444</v>
      </c>
      <c r="F374" s="1662" t="s">
        <v>2635</v>
      </c>
      <c r="G374" s="1662" t="s">
        <v>2644</v>
      </c>
      <c r="H374" s="1662" t="s">
        <v>2645</v>
      </c>
      <c r="I374" s="1662" t="s">
        <v>2460</v>
      </c>
      <c r="J374" s="1662" t="s">
        <v>2461</v>
      </c>
      <c r="K374" s="1662" t="s">
        <v>2462</v>
      </c>
      <c r="L374" s="1662" t="s">
        <v>2109</v>
      </c>
      <c r="M374" s="1665">
        <v>9096.9500000000007</v>
      </c>
      <c r="N374" s="1665">
        <v>0</v>
      </c>
      <c r="O374" s="1665">
        <v>9096.9500000000007</v>
      </c>
      <c r="P374" s="1665">
        <v>6245.66</v>
      </c>
      <c r="Q374" s="1665">
        <v>6245.66</v>
      </c>
      <c r="R374" s="1665">
        <v>5739.26</v>
      </c>
      <c r="S374" s="1665">
        <v>506.4</v>
      </c>
      <c r="T374" s="1665">
        <v>2851.29</v>
      </c>
      <c r="U374" s="1665">
        <v>0</v>
      </c>
      <c r="V374" s="1665">
        <v>0</v>
      </c>
      <c r="W374" s="1665">
        <v>0</v>
      </c>
      <c r="X374" s="1665">
        <v>2851.29</v>
      </c>
      <c r="Y374" s="1668"/>
      <c r="Z374" s="1662"/>
      <c r="AA374" s="1665">
        <v>0</v>
      </c>
      <c r="AB374" s="1665">
        <v>0</v>
      </c>
      <c r="AC374" s="1680">
        <v>0</v>
      </c>
      <c r="AD374" s="1681"/>
      <c r="AE374" s="1679"/>
      <c r="AF374" s="1662"/>
      <c r="AG374" s="1666"/>
      <c r="AH374" s="1667">
        <v>1873.7</v>
      </c>
      <c r="AI374" s="1665">
        <v>1873.7</v>
      </c>
      <c r="AJ374" s="1665">
        <v>1873.7</v>
      </c>
      <c r="AK374" s="1698">
        <v>1721.78</v>
      </c>
      <c r="AL374" s="1665">
        <v>151.91999999999999</v>
      </c>
      <c r="AM374" s="1668"/>
      <c r="AN374" s="1665">
        <v>0</v>
      </c>
      <c r="AO374" s="1665">
        <v>0</v>
      </c>
      <c r="AP374" s="1665">
        <v>0</v>
      </c>
      <c r="AQ374" s="1665">
        <v>0</v>
      </c>
      <c r="AR374" s="1665">
        <v>0</v>
      </c>
      <c r="AS374" s="1665">
        <v>0</v>
      </c>
      <c r="AT374" s="1665">
        <v>0</v>
      </c>
      <c r="AU374" s="1665">
        <v>0</v>
      </c>
      <c r="AV374" s="1665">
        <v>0</v>
      </c>
      <c r="AW374" s="1665">
        <v>0</v>
      </c>
      <c r="AX374" s="1665">
        <v>0</v>
      </c>
      <c r="AY374" s="1665">
        <v>0</v>
      </c>
      <c r="AZ374" s="1665">
        <v>0</v>
      </c>
      <c r="BA374" s="1668"/>
      <c r="BB374" s="1668"/>
      <c r="BC374" s="1665">
        <v>0</v>
      </c>
      <c r="BD374" s="1665">
        <v>0</v>
      </c>
      <c r="BE374" s="1665">
        <v>0</v>
      </c>
      <c r="BF374" s="1665">
        <v>0</v>
      </c>
      <c r="BG374" s="1665">
        <v>0</v>
      </c>
      <c r="BH374" s="1665">
        <v>0</v>
      </c>
      <c r="BI374" s="1665">
        <v>0</v>
      </c>
      <c r="BJ374" s="1665">
        <v>0</v>
      </c>
      <c r="BK374" s="1665">
        <v>0</v>
      </c>
      <c r="BL374" s="1665">
        <v>0</v>
      </c>
      <c r="BM374" s="1665">
        <v>0</v>
      </c>
      <c r="BN374" s="1665">
        <v>0</v>
      </c>
      <c r="BO374" s="1668"/>
      <c r="BP374" s="1665">
        <v>0</v>
      </c>
      <c r="BQ374" s="1665">
        <v>0</v>
      </c>
      <c r="BR374" s="1665">
        <v>0</v>
      </c>
      <c r="BS374" s="1667">
        <v>0</v>
      </c>
      <c r="BT374" s="1665">
        <v>0</v>
      </c>
      <c r="BU374" s="1665">
        <v>0</v>
      </c>
      <c r="BV374" s="1665">
        <v>0</v>
      </c>
      <c r="BW374" s="1665">
        <v>0</v>
      </c>
      <c r="BX374" s="1665">
        <v>0</v>
      </c>
      <c r="BY374" s="1665">
        <v>0</v>
      </c>
      <c r="BZ374" s="1663"/>
      <c r="CA374" s="1665">
        <v>0</v>
      </c>
      <c r="CB374" s="1668"/>
      <c r="CC374" s="1668"/>
      <c r="CD374" s="1665">
        <v>0</v>
      </c>
      <c r="CE374" s="1665">
        <v>0</v>
      </c>
      <c r="CF374" s="1665">
        <v>0</v>
      </c>
      <c r="CG374" s="1665">
        <v>0</v>
      </c>
      <c r="CH374" s="1665">
        <v>0</v>
      </c>
      <c r="CI374" s="1665">
        <v>0</v>
      </c>
      <c r="CJ374" s="1665">
        <v>0</v>
      </c>
      <c r="CK374" s="1665">
        <v>0</v>
      </c>
      <c r="CL374" s="1668"/>
      <c r="CM374" s="1665">
        <v>0</v>
      </c>
      <c r="CN374" s="1665">
        <v>0</v>
      </c>
      <c r="CO374" s="1665">
        <v>0</v>
      </c>
      <c r="CP374" s="1665">
        <v>0</v>
      </c>
      <c r="CQ374" s="1665">
        <v>0</v>
      </c>
      <c r="CR374" s="1665">
        <v>0</v>
      </c>
      <c r="CS374" s="1665">
        <v>0</v>
      </c>
      <c r="CT374" s="1665">
        <v>0</v>
      </c>
      <c r="CU374" s="1665">
        <v>0</v>
      </c>
      <c r="CV374" s="1665">
        <v>0</v>
      </c>
      <c r="CW374" s="1668"/>
      <c r="CX374" s="1665">
        <v>0</v>
      </c>
      <c r="CY374" s="1665">
        <v>0</v>
      </c>
      <c r="CZ374" s="1665">
        <v>0</v>
      </c>
      <c r="DA374" s="1665">
        <v>0</v>
      </c>
      <c r="DB374" s="1668"/>
      <c r="DC374" s="1662"/>
      <c r="DD374" s="1665">
        <v>0</v>
      </c>
      <c r="DE374" s="1665">
        <v>0</v>
      </c>
      <c r="DF374" s="1665">
        <v>0</v>
      </c>
      <c r="DG374" s="1665">
        <v>0</v>
      </c>
      <c r="DH374" s="1665">
        <v>0</v>
      </c>
    </row>
    <row r="375" spans="1:112" ht="22.5" hidden="1" x14ac:dyDescent="0.25">
      <c r="A375" s="1662" t="s">
        <v>2464</v>
      </c>
      <c r="B375" s="1662" t="s">
        <v>1727</v>
      </c>
      <c r="C375" s="1662" t="s">
        <v>2648</v>
      </c>
      <c r="D375" s="1662" t="s">
        <v>2649</v>
      </c>
      <c r="E375" s="1662" t="s">
        <v>2444</v>
      </c>
      <c r="F375" s="1662" t="s">
        <v>2635</v>
      </c>
      <c r="G375" s="1662" t="s">
        <v>2644</v>
      </c>
      <c r="H375" s="1662" t="s">
        <v>2645</v>
      </c>
      <c r="I375" s="1662" t="s">
        <v>2460</v>
      </c>
      <c r="J375" s="1662" t="s">
        <v>2461</v>
      </c>
      <c r="K375" s="1662" t="s">
        <v>2462</v>
      </c>
      <c r="L375" s="1662" t="s">
        <v>2109</v>
      </c>
      <c r="M375" s="1663"/>
      <c r="N375" s="1663"/>
      <c r="O375" s="1663"/>
      <c r="P375" s="1663"/>
      <c r="Q375" s="1663"/>
      <c r="R375" s="1663"/>
      <c r="S375" s="1663"/>
      <c r="T375" s="1663"/>
      <c r="U375" s="1663"/>
      <c r="V375" s="1663"/>
      <c r="W375" s="1663"/>
      <c r="X375" s="1663"/>
      <c r="Y375" s="1664">
        <v>43363</v>
      </c>
      <c r="Z375" s="1662" t="s">
        <v>2145</v>
      </c>
      <c r="AA375" s="1665">
        <v>0</v>
      </c>
      <c r="AB375" s="1665">
        <v>0</v>
      </c>
      <c r="AC375" s="1680">
        <v>0</v>
      </c>
      <c r="AD375" s="1682">
        <v>43382</v>
      </c>
      <c r="AE375" s="1679" t="s">
        <v>2122</v>
      </c>
      <c r="AF375" s="1662" t="s">
        <v>2112</v>
      </c>
      <c r="AG375" s="1666"/>
      <c r="AH375" s="1667">
        <v>1873.7</v>
      </c>
      <c r="AI375" s="1665">
        <v>1873.7</v>
      </c>
      <c r="AJ375" s="1665">
        <v>1873.7</v>
      </c>
      <c r="AK375" s="1698">
        <v>1721.78</v>
      </c>
      <c r="AL375" s="1665">
        <v>151.91999999999999</v>
      </c>
      <c r="AM375" s="1668"/>
      <c r="AN375" s="1665">
        <v>0</v>
      </c>
      <c r="AO375" s="1665">
        <v>0</v>
      </c>
      <c r="AP375" s="1665">
        <v>0</v>
      </c>
      <c r="AQ375" s="1665">
        <v>0</v>
      </c>
      <c r="AR375" s="1665">
        <v>0</v>
      </c>
      <c r="AS375" s="1665">
        <v>0</v>
      </c>
      <c r="AT375" s="1665">
        <v>0</v>
      </c>
      <c r="AU375" s="1665">
        <v>0</v>
      </c>
      <c r="AV375" s="1665">
        <v>0</v>
      </c>
      <c r="AW375" s="1665">
        <v>0</v>
      </c>
      <c r="AX375" s="1663"/>
      <c r="AY375" s="1663"/>
      <c r="AZ375" s="1663"/>
      <c r="BA375" s="1668"/>
      <c r="BB375" s="1668"/>
      <c r="BC375" s="1663"/>
      <c r="BD375" s="1663"/>
      <c r="BE375" s="1665">
        <v>0</v>
      </c>
      <c r="BF375" s="1665">
        <v>0</v>
      </c>
      <c r="BG375" s="1665">
        <v>0</v>
      </c>
      <c r="BH375" s="1665">
        <v>0</v>
      </c>
      <c r="BI375" s="1665">
        <v>0</v>
      </c>
      <c r="BJ375" s="1665">
        <v>0</v>
      </c>
      <c r="BK375" s="1665">
        <v>0</v>
      </c>
      <c r="BL375" s="1665">
        <v>0</v>
      </c>
      <c r="BM375" s="1665">
        <v>0</v>
      </c>
      <c r="BN375" s="1665">
        <v>0</v>
      </c>
      <c r="BO375" s="1668"/>
      <c r="BP375" s="1665">
        <v>0</v>
      </c>
      <c r="BQ375" s="1665">
        <v>0</v>
      </c>
      <c r="BR375" s="1665">
        <v>0</v>
      </c>
      <c r="BS375" s="1667">
        <v>0</v>
      </c>
      <c r="BT375" s="1665">
        <v>0</v>
      </c>
      <c r="BU375" s="1665">
        <v>0</v>
      </c>
      <c r="BV375" s="1665">
        <v>0</v>
      </c>
      <c r="BW375" s="1665">
        <v>0</v>
      </c>
      <c r="BX375" s="1665">
        <v>0</v>
      </c>
      <c r="BY375" s="1665">
        <v>0</v>
      </c>
      <c r="BZ375" s="1663"/>
      <c r="CA375" s="1663"/>
      <c r="CB375" s="1668"/>
      <c r="CC375" s="1668"/>
      <c r="CD375" s="1663"/>
      <c r="CE375" s="1663"/>
      <c r="CF375" s="1665">
        <v>0</v>
      </c>
      <c r="CG375" s="1665">
        <v>0</v>
      </c>
      <c r="CH375" s="1665">
        <v>0</v>
      </c>
      <c r="CI375" s="1665">
        <v>0</v>
      </c>
      <c r="CJ375" s="1665">
        <v>0</v>
      </c>
      <c r="CK375" s="1665">
        <v>0</v>
      </c>
      <c r="CL375" s="1668"/>
      <c r="CM375" s="1665">
        <v>0</v>
      </c>
      <c r="CN375" s="1665">
        <v>0</v>
      </c>
      <c r="CO375" s="1665">
        <v>0</v>
      </c>
      <c r="CP375" s="1665">
        <v>0</v>
      </c>
      <c r="CQ375" s="1665">
        <v>0</v>
      </c>
      <c r="CR375" s="1665">
        <v>0</v>
      </c>
      <c r="CS375" s="1665">
        <v>0</v>
      </c>
      <c r="CT375" s="1665">
        <v>0</v>
      </c>
      <c r="CU375" s="1665">
        <v>0</v>
      </c>
      <c r="CV375" s="1665">
        <v>0</v>
      </c>
      <c r="CW375" s="1668"/>
      <c r="CX375" s="1663"/>
      <c r="CY375" s="1663"/>
      <c r="CZ375" s="1663"/>
      <c r="DA375" s="1663"/>
      <c r="DB375" s="1668"/>
      <c r="DC375" s="1662"/>
      <c r="DD375" s="1665">
        <v>0</v>
      </c>
      <c r="DE375" s="1663"/>
      <c r="DF375" s="1663"/>
      <c r="DG375" s="1665">
        <v>0</v>
      </c>
      <c r="DH375" s="1665">
        <v>0</v>
      </c>
    </row>
    <row r="376" spans="1:112" ht="22.5" hidden="1" x14ac:dyDescent="0.25">
      <c r="A376" s="1662" t="s">
        <v>2468</v>
      </c>
      <c r="B376" s="1662" t="s">
        <v>1727</v>
      </c>
      <c r="C376" s="1662" t="s">
        <v>2648</v>
      </c>
      <c r="D376" s="1662" t="s">
        <v>2649</v>
      </c>
      <c r="E376" s="1662" t="s">
        <v>2444</v>
      </c>
      <c r="F376" s="1662" t="s">
        <v>2635</v>
      </c>
      <c r="G376" s="1662" t="s">
        <v>2644</v>
      </c>
      <c r="H376" s="1662" t="s">
        <v>2645</v>
      </c>
      <c r="I376" s="1662" t="s">
        <v>2465</v>
      </c>
      <c r="J376" s="1662" t="s">
        <v>2466</v>
      </c>
      <c r="K376" s="1662" t="s">
        <v>2467</v>
      </c>
      <c r="L376" s="1662" t="s">
        <v>2109</v>
      </c>
      <c r="M376" s="1665">
        <v>9832.3700000000008</v>
      </c>
      <c r="N376" s="1665">
        <v>0</v>
      </c>
      <c r="O376" s="1665">
        <v>9832.3700000000008</v>
      </c>
      <c r="P376" s="1665">
        <v>6773.3</v>
      </c>
      <c r="Q376" s="1665">
        <v>6773.3</v>
      </c>
      <c r="R376" s="1665">
        <v>6224.11</v>
      </c>
      <c r="S376" s="1665">
        <v>549.19000000000005</v>
      </c>
      <c r="T376" s="1665">
        <v>3059.07</v>
      </c>
      <c r="U376" s="1665">
        <v>0</v>
      </c>
      <c r="V376" s="1665">
        <v>0</v>
      </c>
      <c r="W376" s="1665">
        <v>0</v>
      </c>
      <c r="X376" s="1665">
        <v>3059.07</v>
      </c>
      <c r="Y376" s="1668"/>
      <c r="Z376" s="1662"/>
      <c r="AA376" s="1665">
        <v>0</v>
      </c>
      <c r="AB376" s="1665">
        <v>0</v>
      </c>
      <c r="AC376" s="1680">
        <v>0</v>
      </c>
      <c r="AD376" s="1681"/>
      <c r="AE376" s="1679"/>
      <c r="AF376" s="1662"/>
      <c r="AG376" s="1666"/>
      <c r="AH376" s="1667">
        <v>2031.99</v>
      </c>
      <c r="AI376" s="1665">
        <v>2031.99</v>
      </c>
      <c r="AJ376" s="1665">
        <v>2031.99</v>
      </c>
      <c r="AK376" s="1698">
        <v>1867.23</v>
      </c>
      <c r="AL376" s="1665">
        <v>164.76</v>
      </c>
      <c r="AM376" s="1668"/>
      <c r="AN376" s="1665">
        <v>0</v>
      </c>
      <c r="AO376" s="1665">
        <v>0</v>
      </c>
      <c r="AP376" s="1665">
        <v>0</v>
      </c>
      <c r="AQ376" s="1665">
        <v>0</v>
      </c>
      <c r="AR376" s="1665">
        <v>0</v>
      </c>
      <c r="AS376" s="1665">
        <v>0</v>
      </c>
      <c r="AT376" s="1665">
        <v>0</v>
      </c>
      <c r="AU376" s="1665">
        <v>0</v>
      </c>
      <c r="AV376" s="1665">
        <v>0</v>
      </c>
      <c r="AW376" s="1665">
        <v>0</v>
      </c>
      <c r="AX376" s="1665">
        <v>0</v>
      </c>
      <c r="AY376" s="1665">
        <v>0</v>
      </c>
      <c r="AZ376" s="1665">
        <v>0</v>
      </c>
      <c r="BA376" s="1668"/>
      <c r="BB376" s="1668"/>
      <c r="BC376" s="1665">
        <v>0</v>
      </c>
      <c r="BD376" s="1665">
        <v>0</v>
      </c>
      <c r="BE376" s="1665">
        <v>0</v>
      </c>
      <c r="BF376" s="1665">
        <v>0</v>
      </c>
      <c r="BG376" s="1665">
        <v>0</v>
      </c>
      <c r="BH376" s="1665">
        <v>0</v>
      </c>
      <c r="BI376" s="1665">
        <v>0</v>
      </c>
      <c r="BJ376" s="1665">
        <v>0</v>
      </c>
      <c r="BK376" s="1665">
        <v>0</v>
      </c>
      <c r="BL376" s="1665">
        <v>0</v>
      </c>
      <c r="BM376" s="1665">
        <v>0</v>
      </c>
      <c r="BN376" s="1665">
        <v>0</v>
      </c>
      <c r="BO376" s="1668"/>
      <c r="BP376" s="1665">
        <v>0</v>
      </c>
      <c r="BQ376" s="1665">
        <v>0</v>
      </c>
      <c r="BR376" s="1665">
        <v>0</v>
      </c>
      <c r="BS376" s="1667">
        <v>0</v>
      </c>
      <c r="BT376" s="1665">
        <v>0</v>
      </c>
      <c r="BU376" s="1665">
        <v>0</v>
      </c>
      <c r="BV376" s="1665">
        <v>0</v>
      </c>
      <c r="BW376" s="1665">
        <v>0</v>
      </c>
      <c r="BX376" s="1665">
        <v>0</v>
      </c>
      <c r="BY376" s="1665">
        <v>0</v>
      </c>
      <c r="BZ376" s="1663"/>
      <c r="CA376" s="1665">
        <v>0</v>
      </c>
      <c r="CB376" s="1668"/>
      <c r="CC376" s="1668"/>
      <c r="CD376" s="1665">
        <v>0</v>
      </c>
      <c r="CE376" s="1665">
        <v>0</v>
      </c>
      <c r="CF376" s="1665">
        <v>0</v>
      </c>
      <c r="CG376" s="1665">
        <v>0</v>
      </c>
      <c r="CH376" s="1665">
        <v>0</v>
      </c>
      <c r="CI376" s="1665">
        <v>0</v>
      </c>
      <c r="CJ376" s="1665">
        <v>0</v>
      </c>
      <c r="CK376" s="1665">
        <v>0</v>
      </c>
      <c r="CL376" s="1668"/>
      <c r="CM376" s="1665">
        <v>0</v>
      </c>
      <c r="CN376" s="1665">
        <v>0</v>
      </c>
      <c r="CO376" s="1665">
        <v>0</v>
      </c>
      <c r="CP376" s="1665">
        <v>0</v>
      </c>
      <c r="CQ376" s="1665">
        <v>0</v>
      </c>
      <c r="CR376" s="1665">
        <v>0</v>
      </c>
      <c r="CS376" s="1665">
        <v>0</v>
      </c>
      <c r="CT376" s="1665">
        <v>0</v>
      </c>
      <c r="CU376" s="1665">
        <v>0</v>
      </c>
      <c r="CV376" s="1665">
        <v>0</v>
      </c>
      <c r="CW376" s="1668"/>
      <c r="CX376" s="1665">
        <v>0</v>
      </c>
      <c r="CY376" s="1665">
        <v>0</v>
      </c>
      <c r="CZ376" s="1665">
        <v>0</v>
      </c>
      <c r="DA376" s="1665">
        <v>0</v>
      </c>
      <c r="DB376" s="1668"/>
      <c r="DC376" s="1662"/>
      <c r="DD376" s="1665">
        <v>0</v>
      </c>
      <c r="DE376" s="1665">
        <v>0</v>
      </c>
      <c r="DF376" s="1665">
        <v>0</v>
      </c>
      <c r="DG376" s="1665">
        <v>0</v>
      </c>
      <c r="DH376" s="1665">
        <v>0</v>
      </c>
    </row>
    <row r="377" spans="1:112" ht="22.5" hidden="1" x14ac:dyDescent="0.25">
      <c r="A377" s="1662" t="s">
        <v>2469</v>
      </c>
      <c r="B377" s="1662" t="s">
        <v>1727</v>
      </c>
      <c r="C377" s="1662" t="s">
        <v>2648</v>
      </c>
      <c r="D377" s="1662" t="s">
        <v>2649</v>
      </c>
      <c r="E377" s="1662" t="s">
        <v>2444</v>
      </c>
      <c r="F377" s="1662" t="s">
        <v>2635</v>
      </c>
      <c r="G377" s="1662" t="s">
        <v>2644</v>
      </c>
      <c r="H377" s="1662" t="s">
        <v>2645</v>
      </c>
      <c r="I377" s="1662" t="s">
        <v>2465</v>
      </c>
      <c r="J377" s="1662" t="s">
        <v>2466</v>
      </c>
      <c r="K377" s="1662" t="s">
        <v>2467</v>
      </c>
      <c r="L377" s="1662" t="s">
        <v>2109</v>
      </c>
      <c r="M377" s="1663"/>
      <c r="N377" s="1663"/>
      <c r="O377" s="1663"/>
      <c r="P377" s="1663"/>
      <c r="Q377" s="1663"/>
      <c r="R377" s="1663"/>
      <c r="S377" s="1663"/>
      <c r="T377" s="1663"/>
      <c r="U377" s="1663"/>
      <c r="V377" s="1663"/>
      <c r="W377" s="1663"/>
      <c r="X377" s="1663"/>
      <c r="Y377" s="1664">
        <v>43383</v>
      </c>
      <c r="Z377" s="1662" t="s">
        <v>2145</v>
      </c>
      <c r="AA377" s="1665">
        <v>0</v>
      </c>
      <c r="AB377" s="1665">
        <v>0</v>
      </c>
      <c r="AC377" s="1680">
        <v>0</v>
      </c>
      <c r="AD377" s="1682">
        <v>43392</v>
      </c>
      <c r="AE377" s="1679" t="s">
        <v>2122</v>
      </c>
      <c r="AF377" s="1662" t="s">
        <v>2112</v>
      </c>
      <c r="AG377" s="1666"/>
      <c r="AH377" s="1667">
        <v>2031.99</v>
      </c>
      <c r="AI377" s="1665">
        <v>2031.99</v>
      </c>
      <c r="AJ377" s="1665">
        <v>2031.99</v>
      </c>
      <c r="AK377" s="1698">
        <v>1867.23</v>
      </c>
      <c r="AL377" s="1665">
        <v>164.76</v>
      </c>
      <c r="AM377" s="1668"/>
      <c r="AN377" s="1665">
        <v>0</v>
      </c>
      <c r="AO377" s="1665">
        <v>0</v>
      </c>
      <c r="AP377" s="1665">
        <v>0</v>
      </c>
      <c r="AQ377" s="1665">
        <v>0</v>
      </c>
      <c r="AR377" s="1665">
        <v>0</v>
      </c>
      <c r="AS377" s="1665">
        <v>0</v>
      </c>
      <c r="AT377" s="1665">
        <v>0</v>
      </c>
      <c r="AU377" s="1665">
        <v>0</v>
      </c>
      <c r="AV377" s="1665">
        <v>0</v>
      </c>
      <c r="AW377" s="1665">
        <v>0</v>
      </c>
      <c r="AX377" s="1663"/>
      <c r="AY377" s="1663"/>
      <c r="AZ377" s="1663"/>
      <c r="BA377" s="1668"/>
      <c r="BB377" s="1668"/>
      <c r="BC377" s="1663"/>
      <c r="BD377" s="1663"/>
      <c r="BE377" s="1665">
        <v>0</v>
      </c>
      <c r="BF377" s="1665">
        <v>0</v>
      </c>
      <c r="BG377" s="1665">
        <v>0</v>
      </c>
      <c r="BH377" s="1665">
        <v>0</v>
      </c>
      <c r="BI377" s="1665">
        <v>0</v>
      </c>
      <c r="BJ377" s="1665">
        <v>0</v>
      </c>
      <c r="BK377" s="1665">
        <v>0</v>
      </c>
      <c r="BL377" s="1665">
        <v>0</v>
      </c>
      <c r="BM377" s="1665">
        <v>0</v>
      </c>
      <c r="BN377" s="1665">
        <v>0</v>
      </c>
      <c r="BO377" s="1668"/>
      <c r="BP377" s="1665">
        <v>0</v>
      </c>
      <c r="BQ377" s="1665">
        <v>0</v>
      </c>
      <c r="BR377" s="1665">
        <v>0</v>
      </c>
      <c r="BS377" s="1667">
        <v>0</v>
      </c>
      <c r="BT377" s="1665">
        <v>0</v>
      </c>
      <c r="BU377" s="1665">
        <v>0</v>
      </c>
      <c r="BV377" s="1665">
        <v>0</v>
      </c>
      <c r="BW377" s="1665">
        <v>0</v>
      </c>
      <c r="BX377" s="1665">
        <v>0</v>
      </c>
      <c r="BY377" s="1665">
        <v>0</v>
      </c>
      <c r="BZ377" s="1663"/>
      <c r="CA377" s="1663"/>
      <c r="CB377" s="1668"/>
      <c r="CC377" s="1668"/>
      <c r="CD377" s="1663"/>
      <c r="CE377" s="1663"/>
      <c r="CF377" s="1665">
        <v>0</v>
      </c>
      <c r="CG377" s="1665">
        <v>0</v>
      </c>
      <c r="CH377" s="1665">
        <v>0</v>
      </c>
      <c r="CI377" s="1665">
        <v>0</v>
      </c>
      <c r="CJ377" s="1665">
        <v>0</v>
      </c>
      <c r="CK377" s="1665">
        <v>0</v>
      </c>
      <c r="CL377" s="1668"/>
      <c r="CM377" s="1665">
        <v>0</v>
      </c>
      <c r="CN377" s="1665">
        <v>0</v>
      </c>
      <c r="CO377" s="1665">
        <v>0</v>
      </c>
      <c r="CP377" s="1665">
        <v>0</v>
      </c>
      <c r="CQ377" s="1665">
        <v>0</v>
      </c>
      <c r="CR377" s="1665">
        <v>0</v>
      </c>
      <c r="CS377" s="1665">
        <v>0</v>
      </c>
      <c r="CT377" s="1665">
        <v>0</v>
      </c>
      <c r="CU377" s="1665">
        <v>0</v>
      </c>
      <c r="CV377" s="1665">
        <v>0</v>
      </c>
      <c r="CW377" s="1668"/>
      <c r="CX377" s="1663"/>
      <c r="CY377" s="1663"/>
      <c r="CZ377" s="1663"/>
      <c r="DA377" s="1663"/>
      <c r="DB377" s="1668"/>
      <c r="DC377" s="1662"/>
      <c r="DD377" s="1665">
        <v>0</v>
      </c>
      <c r="DE377" s="1663"/>
      <c r="DF377" s="1663"/>
      <c r="DG377" s="1665">
        <v>0</v>
      </c>
      <c r="DH377" s="1665">
        <v>0</v>
      </c>
    </row>
    <row r="378" spans="1:112" ht="22.5" hidden="1" x14ac:dyDescent="0.25">
      <c r="A378" s="1662" t="s">
        <v>2473</v>
      </c>
      <c r="B378" s="1662" t="s">
        <v>1727</v>
      </c>
      <c r="C378" s="1662" t="s">
        <v>2648</v>
      </c>
      <c r="D378" s="1662" t="s">
        <v>2649</v>
      </c>
      <c r="E378" s="1662" t="s">
        <v>2444</v>
      </c>
      <c r="F378" s="1662" t="s">
        <v>2635</v>
      </c>
      <c r="G378" s="1662" t="s">
        <v>2644</v>
      </c>
      <c r="H378" s="1662" t="s">
        <v>2645</v>
      </c>
      <c r="I378" s="1662" t="s">
        <v>2470</v>
      </c>
      <c r="J378" s="1662" t="s">
        <v>2471</v>
      </c>
      <c r="K378" s="1662" t="s">
        <v>2472</v>
      </c>
      <c r="L378" s="1662" t="s">
        <v>2109</v>
      </c>
      <c r="M378" s="1665">
        <v>12926.88</v>
      </c>
      <c r="N378" s="1665">
        <v>0</v>
      </c>
      <c r="O378" s="1665">
        <v>12926.88</v>
      </c>
      <c r="P378" s="1665">
        <v>7988.96</v>
      </c>
      <c r="Q378" s="1665">
        <v>7988.96</v>
      </c>
      <c r="R378" s="1665">
        <v>7341.21</v>
      </c>
      <c r="S378" s="1665">
        <v>647.75</v>
      </c>
      <c r="T378" s="1665">
        <v>4937.92</v>
      </c>
      <c r="U378" s="1665">
        <v>0</v>
      </c>
      <c r="V378" s="1665">
        <v>0</v>
      </c>
      <c r="W378" s="1665">
        <v>0</v>
      </c>
      <c r="X378" s="1665">
        <v>4937.92</v>
      </c>
      <c r="Y378" s="1668"/>
      <c r="Z378" s="1662"/>
      <c r="AA378" s="1665">
        <v>0</v>
      </c>
      <c r="AB378" s="1665">
        <v>0</v>
      </c>
      <c r="AC378" s="1680">
        <v>0</v>
      </c>
      <c r="AD378" s="1681"/>
      <c r="AE378" s="1679"/>
      <c r="AF378" s="1662"/>
      <c r="AG378" s="1666"/>
      <c r="AH378" s="1667">
        <v>2396.69</v>
      </c>
      <c r="AI378" s="1665">
        <v>2396.69</v>
      </c>
      <c r="AJ378" s="1665">
        <v>2396.69</v>
      </c>
      <c r="AK378" s="1698">
        <v>2202.36</v>
      </c>
      <c r="AL378" s="1665">
        <v>194.33</v>
      </c>
      <c r="AM378" s="1668"/>
      <c r="AN378" s="1665">
        <v>0</v>
      </c>
      <c r="AO378" s="1665">
        <v>0</v>
      </c>
      <c r="AP378" s="1665">
        <v>0</v>
      </c>
      <c r="AQ378" s="1665">
        <v>0</v>
      </c>
      <c r="AR378" s="1665">
        <v>0</v>
      </c>
      <c r="AS378" s="1665">
        <v>0</v>
      </c>
      <c r="AT378" s="1665">
        <v>0</v>
      </c>
      <c r="AU378" s="1665">
        <v>0</v>
      </c>
      <c r="AV378" s="1665">
        <v>0</v>
      </c>
      <c r="AW378" s="1665">
        <v>0</v>
      </c>
      <c r="AX378" s="1665">
        <v>0</v>
      </c>
      <c r="AY378" s="1665">
        <v>0</v>
      </c>
      <c r="AZ378" s="1665">
        <v>0</v>
      </c>
      <c r="BA378" s="1668"/>
      <c r="BB378" s="1668"/>
      <c r="BC378" s="1665">
        <v>0</v>
      </c>
      <c r="BD378" s="1665">
        <v>0</v>
      </c>
      <c r="BE378" s="1665">
        <v>0</v>
      </c>
      <c r="BF378" s="1665">
        <v>0</v>
      </c>
      <c r="BG378" s="1665">
        <v>0</v>
      </c>
      <c r="BH378" s="1665">
        <v>0</v>
      </c>
      <c r="BI378" s="1665">
        <v>0</v>
      </c>
      <c r="BJ378" s="1665">
        <v>0</v>
      </c>
      <c r="BK378" s="1665">
        <v>0</v>
      </c>
      <c r="BL378" s="1665">
        <v>0</v>
      </c>
      <c r="BM378" s="1665">
        <v>0</v>
      </c>
      <c r="BN378" s="1665">
        <v>0</v>
      </c>
      <c r="BO378" s="1668"/>
      <c r="BP378" s="1665">
        <v>0</v>
      </c>
      <c r="BQ378" s="1665">
        <v>0</v>
      </c>
      <c r="BR378" s="1665">
        <v>0</v>
      </c>
      <c r="BS378" s="1667">
        <v>0</v>
      </c>
      <c r="BT378" s="1665">
        <v>0</v>
      </c>
      <c r="BU378" s="1665">
        <v>0</v>
      </c>
      <c r="BV378" s="1665">
        <v>0</v>
      </c>
      <c r="BW378" s="1665">
        <v>0</v>
      </c>
      <c r="BX378" s="1665">
        <v>0</v>
      </c>
      <c r="BY378" s="1665">
        <v>0</v>
      </c>
      <c r="BZ378" s="1663"/>
      <c r="CA378" s="1665">
        <v>0</v>
      </c>
      <c r="CB378" s="1668"/>
      <c r="CC378" s="1668"/>
      <c r="CD378" s="1665">
        <v>0</v>
      </c>
      <c r="CE378" s="1665">
        <v>0</v>
      </c>
      <c r="CF378" s="1665">
        <v>0</v>
      </c>
      <c r="CG378" s="1665">
        <v>0</v>
      </c>
      <c r="CH378" s="1665">
        <v>0</v>
      </c>
      <c r="CI378" s="1665">
        <v>0</v>
      </c>
      <c r="CJ378" s="1665">
        <v>0</v>
      </c>
      <c r="CK378" s="1665">
        <v>0</v>
      </c>
      <c r="CL378" s="1668"/>
      <c r="CM378" s="1665">
        <v>0</v>
      </c>
      <c r="CN378" s="1665">
        <v>0</v>
      </c>
      <c r="CO378" s="1665">
        <v>0</v>
      </c>
      <c r="CP378" s="1665">
        <v>0</v>
      </c>
      <c r="CQ378" s="1665">
        <v>0</v>
      </c>
      <c r="CR378" s="1665">
        <v>0</v>
      </c>
      <c r="CS378" s="1665">
        <v>0</v>
      </c>
      <c r="CT378" s="1665">
        <v>0</v>
      </c>
      <c r="CU378" s="1665">
        <v>0</v>
      </c>
      <c r="CV378" s="1665">
        <v>0</v>
      </c>
      <c r="CW378" s="1668"/>
      <c r="CX378" s="1665">
        <v>0</v>
      </c>
      <c r="CY378" s="1665">
        <v>0</v>
      </c>
      <c r="CZ378" s="1665">
        <v>0</v>
      </c>
      <c r="DA378" s="1665">
        <v>0</v>
      </c>
      <c r="DB378" s="1668"/>
      <c r="DC378" s="1662"/>
      <c r="DD378" s="1665">
        <v>0</v>
      </c>
      <c r="DE378" s="1665">
        <v>0</v>
      </c>
      <c r="DF378" s="1665">
        <v>0</v>
      </c>
      <c r="DG378" s="1665">
        <v>0</v>
      </c>
      <c r="DH378" s="1665">
        <v>0</v>
      </c>
    </row>
    <row r="379" spans="1:112" ht="22.5" hidden="1" x14ac:dyDescent="0.25">
      <c r="A379" s="1662" t="s">
        <v>2474</v>
      </c>
      <c r="B379" s="1662" t="s">
        <v>1727</v>
      </c>
      <c r="C379" s="1662" t="s">
        <v>2648</v>
      </c>
      <c r="D379" s="1662" t="s">
        <v>2649</v>
      </c>
      <c r="E379" s="1662" t="s">
        <v>2444</v>
      </c>
      <c r="F379" s="1662" t="s">
        <v>2635</v>
      </c>
      <c r="G379" s="1662" t="s">
        <v>2644</v>
      </c>
      <c r="H379" s="1662" t="s">
        <v>2645</v>
      </c>
      <c r="I379" s="1662" t="s">
        <v>2470</v>
      </c>
      <c r="J379" s="1662" t="s">
        <v>2471</v>
      </c>
      <c r="K379" s="1662" t="s">
        <v>2472</v>
      </c>
      <c r="L379" s="1662" t="s">
        <v>2109</v>
      </c>
      <c r="M379" s="1663"/>
      <c r="N379" s="1663"/>
      <c r="O379" s="1663"/>
      <c r="P379" s="1663"/>
      <c r="Q379" s="1663"/>
      <c r="R379" s="1663"/>
      <c r="S379" s="1663"/>
      <c r="T379" s="1663"/>
      <c r="U379" s="1663"/>
      <c r="V379" s="1663"/>
      <c r="W379" s="1663"/>
      <c r="X379" s="1663"/>
      <c r="Y379" s="1664">
        <v>43376</v>
      </c>
      <c r="Z379" s="1662" t="s">
        <v>2145</v>
      </c>
      <c r="AA379" s="1665">
        <v>0</v>
      </c>
      <c r="AB379" s="1665">
        <v>0</v>
      </c>
      <c r="AC379" s="1680">
        <v>0</v>
      </c>
      <c r="AD379" s="1682">
        <v>43384</v>
      </c>
      <c r="AE379" s="1679" t="s">
        <v>2122</v>
      </c>
      <c r="AF379" s="1662" t="s">
        <v>2112</v>
      </c>
      <c r="AG379" s="1666"/>
      <c r="AH379" s="1667">
        <v>2396.69</v>
      </c>
      <c r="AI379" s="1665">
        <v>2396.69</v>
      </c>
      <c r="AJ379" s="1665">
        <v>2396.69</v>
      </c>
      <c r="AK379" s="1698">
        <v>2202.36</v>
      </c>
      <c r="AL379" s="1665">
        <v>194.33</v>
      </c>
      <c r="AM379" s="1668"/>
      <c r="AN379" s="1665">
        <v>0</v>
      </c>
      <c r="AO379" s="1665">
        <v>0</v>
      </c>
      <c r="AP379" s="1665">
        <v>0</v>
      </c>
      <c r="AQ379" s="1665">
        <v>0</v>
      </c>
      <c r="AR379" s="1665">
        <v>0</v>
      </c>
      <c r="AS379" s="1665">
        <v>0</v>
      </c>
      <c r="AT379" s="1665">
        <v>0</v>
      </c>
      <c r="AU379" s="1665">
        <v>0</v>
      </c>
      <c r="AV379" s="1665">
        <v>0</v>
      </c>
      <c r="AW379" s="1665">
        <v>0</v>
      </c>
      <c r="AX379" s="1663"/>
      <c r="AY379" s="1663"/>
      <c r="AZ379" s="1663"/>
      <c r="BA379" s="1668"/>
      <c r="BB379" s="1668"/>
      <c r="BC379" s="1663"/>
      <c r="BD379" s="1663"/>
      <c r="BE379" s="1665">
        <v>0</v>
      </c>
      <c r="BF379" s="1665">
        <v>0</v>
      </c>
      <c r="BG379" s="1665">
        <v>0</v>
      </c>
      <c r="BH379" s="1665">
        <v>0</v>
      </c>
      <c r="BI379" s="1665">
        <v>0</v>
      </c>
      <c r="BJ379" s="1665">
        <v>0</v>
      </c>
      <c r="BK379" s="1665">
        <v>0</v>
      </c>
      <c r="BL379" s="1665">
        <v>0</v>
      </c>
      <c r="BM379" s="1665">
        <v>0</v>
      </c>
      <c r="BN379" s="1665">
        <v>0</v>
      </c>
      <c r="BO379" s="1668"/>
      <c r="BP379" s="1665">
        <v>0</v>
      </c>
      <c r="BQ379" s="1665">
        <v>0</v>
      </c>
      <c r="BR379" s="1665">
        <v>0</v>
      </c>
      <c r="BS379" s="1667">
        <v>0</v>
      </c>
      <c r="BT379" s="1665">
        <v>0</v>
      </c>
      <c r="BU379" s="1665">
        <v>0</v>
      </c>
      <c r="BV379" s="1665">
        <v>0</v>
      </c>
      <c r="BW379" s="1665">
        <v>0</v>
      </c>
      <c r="BX379" s="1665">
        <v>0</v>
      </c>
      <c r="BY379" s="1665">
        <v>0</v>
      </c>
      <c r="BZ379" s="1663"/>
      <c r="CA379" s="1663"/>
      <c r="CB379" s="1668"/>
      <c r="CC379" s="1668"/>
      <c r="CD379" s="1663"/>
      <c r="CE379" s="1663"/>
      <c r="CF379" s="1665">
        <v>0</v>
      </c>
      <c r="CG379" s="1665">
        <v>0</v>
      </c>
      <c r="CH379" s="1665">
        <v>0</v>
      </c>
      <c r="CI379" s="1665">
        <v>0</v>
      </c>
      <c r="CJ379" s="1665">
        <v>0</v>
      </c>
      <c r="CK379" s="1665">
        <v>0</v>
      </c>
      <c r="CL379" s="1668"/>
      <c r="CM379" s="1665">
        <v>0</v>
      </c>
      <c r="CN379" s="1665">
        <v>0</v>
      </c>
      <c r="CO379" s="1665">
        <v>0</v>
      </c>
      <c r="CP379" s="1665">
        <v>0</v>
      </c>
      <c r="CQ379" s="1665">
        <v>0</v>
      </c>
      <c r="CR379" s="1665">
        <v>0</v>
      </c>
      <c r="CS379" s="1665">
        <v>0</v>
      </c>
      <c r="CT379" s="1665">
        <v>0</v>
      </c>
      <c r="CU379" s="1665">
        <v>0</v>
      </c>
      <c r="CV379" s="1665">
        <v>0</v>
      </c>
      <c r="CW379" s="1668"/>
      <c r="CX379" s="1663"/>
      <c r="CY379" s="1663"/>
      <c r="CZ379" s="1663"/>
      <c r="DA379" s="1663"/>
      <c r="DB379" s="1668"/>
      <c r="DC379" s="1662"/>
      <c r="DD379" s="1665">
        <v>0</v>
      </c>
      <c r="DE379" s="1663"/>
      <c r="DF379" s="1663"/>
      <c r="DG379" s="1665">
        <v>0</v>
      </c>
      <c r="DH379" s="1665">
        <v>0</v>
      </c>
    </row>
    <row r="380" spans="1:112" ht="33.75" hidden="1" x14ac:dyDescent="0.25">
      <c r="A380" s="1662" t="s">
        <v>2478</v>
      </c>
      <c r="B380" s="1662" t="s">
        <v>1727</v>
      </c>
      <c r="C380" s="1662" t="s">
        <v>2648</v>
      </c>
      <c r="D380" s="1662" t="s">
        <v>2649</v>
      </c>
      <c r="E380" s="1662" t="s">
        <v>2444</v>
      </c>
      <c r="F380" s="1662" t="s">
        <v>2635</v>
      </c>
      <c r="G380" s="1662" t="s">
        <v>2644</v>
      </c>
      <c r="H380" s="1662" t="s">
        <v>2645</v>
      </c>
      <c r="I380" s="1662" t="s">
        <v>2475</v>
      </c>
      <c r="J380" s="1662" t="s">
        <v>2476</v>
      </c>
      <c r="K380" s="1662" t="s">
        <v>2477</v>
      </c>
      <c r="L380" s="1662" t="s">
        <v>2109</v>
      </c>
      <c r="M380" s="1665">
        <v>39491.67</v>
      </c>
      <c r="N380" s="1665">
        <v>0</v>
      </c>
      <c r="O380" s="1665">
        <v>39491.67</v>
      </c>
      <c r="P380" s="1665">
        <v>27238.5</v>
      </c>
      <c r="Q380" s="1665">
        <v>27238.5</v>
      </c>
      <c r="R380" s="1665">
        <v>25029.97</v>
      </c>
      <c r="S380" s="1665">
        <v>2208.5300000000002</v>
      </c>
      <c r="T380" s="1665">
        <v>12253.17</v>
      </c>
      <c r="U380" s="1665">
        <v>0</v>
      </c>
      <c r="V380" s="1665">
        <v>0</v>
      </c>
      <c r="W380" s="1665">
        <v>0</v>
      </c>
      <c r="X380" s="1665">
        <v>12253.17</v>
      </c>
      <c r="Y380" s="1668"/>
      <c r="Z380" s="1662"/>
      <c r="AA380" s="1665">
        <v>0</v>
      </c>
      <c r="AB380" s="1665">
        <v>0</v>
      </c>
      <c r="AC380" s="1680">
        <v>0</v>
      </c>
      <c r="AD380" s="1681"/>
      <c r="AE380" s="1679"/>
      <c r="AF380" s="1662"/>
      <c r="AG380" s="1666"/>
      <c r="AH380" s="1667">
        <v>8171.55</v>
      </c>
      <c r="AI380" s="1665">
        <v>8171.55</v>
      </c>
      <c r="AJ380" s="1665">
        <v>8171.55</v>
      </c>
      <c r="AK380" s="1698">
        <v>7508.99</v>
      </c>
      <c r="AL380" s="1665">
        <v>662.56</v>
      </c>
      <c r="AM380" s="1668"/>
      <c r="AN380" s="1665">
        <v>0</v>
      </c>
      <c r="AO380" s="1665">
        <v>0</v>
      </c>
      <c r="AP380" s="1665">
        <v>0</v>
      </c>
      <c r="AQ380" s="1665">
        <v>0</v>
      </c>
      <c r="AR380" s="1665">
        <v>0</v>
      </c>
      <c r="AS380" s="1665">
        <v>0</v>
      </c>
      <c r="AT380" s="1665">
        <v>0</v>
      </c>
      <c r="AU380" s="1665">
        <v>0</v>
      </c>
      <c r="AV380" s="1665">
        <v>0</v>
      </c>
      <c r="AW380" s="1665">
        <v>0</v>
      </c>
      <c r="AX380" s="1665">
        <v>0</v>
      </c>
      <c r="AY380" s="1665">
        <v>0</v>
      </c>
      <c r="AZ380" s="1665">
        <v>0</v>
      </c>
      <c r="BA380" s="1668"/>
      <c r="BB380" s="1668"/>
      <c r="BC380" s="1665">
        <v>0</v>
      </c>
      <c r="BD380" s="1665">
        <v>0</v>
      </c>
      <c r="BE380" s="1665">
        <v>0</v>
      </c>
      <c r="BF380" s="1665">
        <v>0</v>
      </c>
      <c r="BG380" s="1665">
        <v>0</v>
      </c>
      <c r="BH380" s="1665">
        <v>0</v>
      </c>
      <c r="BI380" s="1665">
        <v>0</v>
      </c>
      <c r="BJ380" s="1665">
        <v>0</v>
      </c>
      <c r="BK380" s="1665">
        <v>0</v>
      </c>
      <c r="BL380" s="1665">
        <v>0</v>
      </c>
      <c r="BM380" s="1665">
        <v>0</v>
      </c>
      <c r="BN380" s="1665">
        <v>0</v>
      </c>
      <c r="BO380" s="1668"/>
      <c r="BP380" s="1665">
        <v>0</v>
      </c>
      <c r="BQ380" s="1665">
        <v>0</v>
      </c>
      <c r="BR380" s="1665">
        <v>0</v>
      </c>
      <c r="BS380" s="1667">
        <v>0</v>
      </c>
      <c r="BT380" s="1665">
        <v>0</v>
      </c>
      <c r="BU380" s="1665">
        <v>0</v>
      </c>
      <c r="BV380" s="1665">
        <v>0</v>
      </c>
      <c r="BW380" s="1665">
        <v>0</v>
      </c>
      <c r="BX380" s="1665">
        <v>0</v>
      </c>
      <c r="BY380" s="1665">
        <v>0</v>
      </c>
      <c r="BZ380" s="1663"/>
      <c r="CA380" s="1665">
        <v>0</v>
      </c>
      <c r="CB380" s="1668"/>
      <c r="CC380" s="1668"/>
      <c r="CD380" s="1665">
        <v>0</v>
      </c>
      <c r="CE380" s="1665">
        <v>0</v>
      </c>
      <c r="CF380" s="1665">
        <v>0</v>
      </c>
      <c r="CG380" s="1665">
        <v>0</v>
      </c>
      <c r="CH380" s="1665">
        <v>0</v>
      </c>
      <c r="CI380" s="1665">
        <v>0</v>
      </c>
      <c r="CJ380" s="1665">
        <v>0</v>
      </c>
      <c r="CK380" s="1665">
        <v>0</v>
      </c>
      <c r="CL380" s="1668"/>
      <c r="CM380" s="1665">
        <v>0</v>
      </c>
      <c r="CN380" s="1665">
        <v>0</v>
      </c>
      <c r="CO380" s="1665">
        <v>0</v>
      </c>
      <c r="CP380" s="1665">
        <v>0</v>
      </c>
      <c r="CQ380" s="1665">
        <v>0</v>
      </c>
      <c r="CR380" s="1665">
        <v>0</v>
      </c>
      <c r="CS380" s="1665">
        <v>0</v>
      </c>
      <c r="CT380" s="1665">
        <v>0</v>
      </c>
      <c r="CU380" s="1665">
        <v>0</v>
      </c>
      <c r="CV380" s="1665">
        <v>0</v>
      </c>
      <c r="CW380" s="1668"/>
      <c r="CX380" s="1665">
        <v>0</v>
      </c>
      <c r="CY380" s="1665">
        <v>0</v>
      </c>
      <c r="CZ380" s="1665">
        <v>0</v>
      </c>
      <c r="DA380" s="1665">
        <v>0</v>
      </c>
      <c r="DB380" s="1668"/>
      <c r="DC380" s="1662"/>
      <c r="DD380" s="1665">
        <v>0</v>
      </c>
      <c r="DE380" s="1665">
        <v>0</v>
      </c>
      <c r="DF380" s="1665">
        <v>0</v>
      </c>
      <c r="DG380" s="1665">
        <v>0</v>
      </c>
      <c r="DH380" s="1665">
        <v>0</v>
      </c>
    </row>
    <row r="381" spans="1:112" ht="33.75" hidden="1" x14ac:dyDescent="0.25">
      <c r="A381" s="1662" t="s">
        <v>2479</v>
      </c>
      <c r="B381" s="1662" t="s">
        <v>1727</v>
      </c>
      <c r="C381" s="1662" t="s">
        <v>2648</v>
      </c>
      <c r="D381" s="1662" t="s">
        <v>2649</v>
      </c>
      <c r="E381" s="1662" t="s">
        <v>2444</v>
      </c>
      <c r="F381" s="1662" t="s">
        <v>2635</v>
      </c>
      <c r="G381" s="1662" t="s">
        <v>2644</v>
      </c>
      <c r="H381" s="1662" t="s">
        <v>2645</v>
      </c>
      <c r="I381" s="1662" t="s">
        <v>2475</v>
      </c>
      <c r="J381" s="1662" t="s">
        <v>2476</v>
      </c>
      <c r="K381" s="1662" t="s">
        <v>2477</v>
      </c>
      <c r="L381" s="1662" t="s">
        <v>2109</v>
      </c>
      <c r="M381" s="1663"/>
      <c r="N381" s="1663"/>
      <c r="O381" s="1663"/>
      <c r="P381" s="1663"/>
      <c r="Q381" s="1663"/>
      <c r="R381" s="1663"/>
      <c r="S381" s="1663"/>
      <c r="T381" s="1663"/>
      <c r="U381" s="1663"/>
      <c r="V381" s="1663"/>
      <c r="W381" s="1663"/>
      <c r="X381" s="1663"/>
      <c r="Y381" s="1664">
        <v>43370</v>
      </c>
      <c r="Z381" s="1662" t="s">
        <v>2145</v>
      </c>
      <c r="AA381" s="1665">
        <v>0</v>
      </c>
      <c r="AB381" s="1665">
        <v>0</v>
      </c>
      <c r="AC381" s="1680">
        <v>0</v>
      </c>
      <c r="AD381" s="1682">
        <v>43388</v>
      </c>
      <c r="AE381" s="1679" t="s">
        <v>2122</v>
      </c>
      <c r="AF381" s="1662" t="s">
        <v>2112</v>
      </c>
      <c r="AG381" s="1666"/>
      <c r="AH381" s="1667">
        <v>8171.55</v>
      </c>
      <c r="AI381" s="1665">
        <v>8171.55</v>
      </c>
      <c r="AJ381" s="1665">
        <v>8171.55</v>
      </c>
      <c r="AK381" s="1698">
        <v>7508.99</v>
      </c>
      <c r="AL381" s="1665">
        <v>662.56</v>
      </c>
      <c r="AM381" s="1668"/>
      <c r="AN381" s="1665">
        <v>0</v>
      </c>
      <c r="AO381" s="1665">
        <v>0</v>
      </c>
      <c r="AP381" s="1665">
        <v>0</v>
      </c>
      <c r="AQ381" s="1665">
        <v>0</v>
      </c>
      <c r="AR381" s="1665">
        <v>0</v>
      </c>
      <c r="AS381" s="1665">
        <v>0</v>
      </c>
      <c r="AT381" s="1665">
        <v>0</v>
      </c>
      <c r="AU381" s="1665">
        <v>0</v>
      </c>
      <c r="AV381" s="1665">
        <v>0</v>
      </c>
      <c r="AW381" s="1665">
        <v>0</v>
      </c>
      <c r="AX381" s="1663"/>
      <c r="AY381" s="1663"/>
      <c r="AZ381" s="1663"/>
      <c r="BA381" s="1668"/>
      <c r="BB381" s="1668"/>
      <c r="BC381" s="1663"/>
      <c r="BD381" s="1663"/>
      <c r="BE381" s="1665">
        <v>0</v>
      </c>
      <c r="BF381" s="1665">
        <v>0</v>
      </c>
      <c r="BG381" s="1665">
        <v>0</v>
      </c>
      <c r="BH381" s="1665">
        <v>0</v>
      </c>
      <c r="BI381" s="1665">
        <v>0</v>
      </c>
      <c r="BJ381" s="1665">
        <v>0</v>
      </c>
      <c r="BK381" s="1665">
        <v>0</v>
      </c>
      <c r="BL381" s="1665">
        <v>0</v>
      </c>
      <c r="BM381" s="1665">
        <v>0</v>
      </c>
      <c r="BN381" s="1665">
        <v>0</v>
      </c>
      <c r="BO381" s="1668"/>
      <c r="BP381" s="1665">
        <v>0</v>
      </c>
      <c r="BQ381" s="1665">
        <v>0</v>
      </c>
      <c r="BR381" s="1665">
        <v>0</v>
      </c>
      <c r="BS381" s="1667">
        <v>0</v>
      </c>
      <c r="BT381" s="1665">
        <v>0</v>
      </c>
      <c r="BU381" s="1665">
        <v>0</v>
      </c>
      <c r="BV381" s="1665">
        <v>0</v>
      </c>
      <c r="BW381" s="1665">
        <v>0</v>
      </c>
      <c r="BX381" s="1665">
        <v>0</v>
      </c>
      <c r="BY381" s="1665">
        <v>0</v>
      </c>
      <c r="BZ381" s="1663"/>
      <c r="CA381" s="1663"/>
      <c r="CB381" s="1668"/>
      <c r="CC381" s="1668"/>
      <c r="CD381" s="1663"/>
      <c r="CE381" s="1663"/>
      <c r="CF381" s="1665">
        <v>0</v>
      </c>
      <c r="CG381" s="1665">
        <v>0</v>
      </c>
      <c r="CH381" s="1665">
        <v>0</v>
      </c>
      <c r="CI381" s="1665">
        <v>0</v>
      </c>
      <c r="CJ381" s="1665">
        <v>0</v>
      </c>
      <c r="CK381" s="1665">
        <v>0</v>
      </c>
      <c r="CL381" s="1668"/>
      <c r="CM381" s="1665">
        <v>0</v>
      </c>
      <c r="CN381" s="1665">
        <v>0</v>
      </c>
      <c r="CO381" s="1665">
        <v>0</v>
      </c>
      <c r="CP381" s="1665">
        <v>0</v>
      </c>
      <c r="CQ381" s="1665">
        <v>0</v>
      </c>
      <c r="CR381" s="1665">
        <v>0</v>
      </c>
      <c r="CS381" s="1665">
        <v>0</v>
      </c>
      <c r="CT381" s="1665">
        <v>0</v>
      </c>
      <c r="CU381" s="1665">
        <v>0</v>
      </c>
      <c r="CV381" s="1665">
        <v>0</v>
      </c>
      <c r="CW381" s="1668"/>
      <c r="CX381" s="1663"/>
      <c r="CY381" s="1663"/>
      <c r="CZ381" s="1663"/>
      <c r="DA381" s="1663"/>
      <c r="DB381" s="1668"/>
      <c r="DC381" s="1662"/>
      <c r="DD381" s="1665">
        <v>0</v>
      </c>
      <c r="DE381" s="1663"/>
      <c r="DF381" s="1663"/>
      <c r="DG381" s="1665">
        <v>0</v>
      </c>
      <c r="DH381" s="1665">
        <v>0</v>
      </c>
    </row>
    <row r="382" spans="1:112" ht="22.5" hidden="1" x14ac:dyDescent="0.25">
      <c r="A382" s="1662" t="s">
        <v>2480</v>
      </c>
      <c r="B382" s="1662" t="s">
        <v>1727</v>
      </c>
      <c r="C382" s="1662" t="s">
        <v>2648</v>
      </c>
      <c r="D382" s="1662" t="s">
        <v>2649</v>
      </c>
      <c r="E382" s="1662" t="s">
        <v>2444</v>
      </c>
      <c r="F382" s="1662" t="s">
        <v>2635</v>
      </c>
      <c r="G382" s="1662" t="s">
        <v>2644</v>
      </c>
      <c r="H382" s="1662" t="s">
        <v>2645</v>
      </c>
      <c r="I382" s="1662" t="s">
        <v>2650</v>
      </c>
      <c r="J382" s="1662" t="s">
        <v>2651</v>
      </c>
      <c r="K382" s="1662" t="s">
        <v>2472</v>
      </c>
      <c r="L382" s="1662" t="s">
        <v>2109</v>
      </c>
      <c r="M382" s="1665">
        <v>8790.99</v>
      </c>
      <c r="N382" s="1665">
        <v>0</v>
      </c>
      <c r="O382" s="1665">
        <v>8790.99</v>
      </c>
      <c r="P382" s="1665">
        <v>6109.74</v>
      </c>
      <c r="Q382" s="1665">
        <v>6109.74</v>
      </c>
      <c r="R382" s="1665">
        <v>5614.36</v>
      </c>
      <c r="S382" s="1665">
        <v>495.38</v>
      </c>
      <c r="T382" s="1665">
        <v>2681.25</v>
      </c>
      <c r="U382" s="1665">
        <v>0</v>
      </c>
      <c r="V382" s="1665">
        <v>0</v>
      </c>
      <c r="W382" s="1665">
        <v>0</v>
      </c>
      <c r="X382" s="1665">
        <v>2681.25</v>
      </c>
      <c r="Y382" s="1668"/>
      <c r="Z382" s="1662"/>
      <c r="AA382" s="1665">
        <v>0</v>
      </c>
      <c r="AB382" s="1665">
        <v>0</v>
      </c>
      <c r="AC382" s="1680">
        <v>0</v>
      </c>
      <c r="AD382" s="1681"/>
      <c r="AE382" s="1679"/>
      <c r="AF382" s="1662"/>
      <c r="AG382" s="1666"/>
      <c r="AH382" s="1667">
        <v>1832.92</v>
      </c>
      <c r="AI382" s="1665">
        <v>1832.92</v>
      </c>
      <c r="AJ382" s="1665">
        <v>1832.92</v>
      </c>
      <c r="AK382" s="1698">
        <v>1684.31</v>
      </c>
      <c r="AL382" s="1665">
        <v>148.61000000000001</v>
      </c>
      <c r="AM382" s="1668"/>
      <c r="AN382" s="1665">
        <v>0</v>
      </c>
      <c r="AO382" s="1665">
        <v>0</v>
      </c>
      <c r="AP382" s="1665">
        <v>0</v>
      </c>
      <c r="AQ382" s="1665">
        <v>0</v>
      </c>
      <c r="AR382" s="1665">
        <v>0</v>
      </c>
      <c r="AS382" s="1665">
        <v>0</v>
      </c>
      <c r="AT382" s="1665">
        <v>0</v>
      </c>
      <c r="AU382" s="1665">
        <v>0</v>
      </c>
      <c r="AV382" s="1665">
        <v>0</v>
      </c>
      <c r="AW382" s="1665">
        <v>0</v>
      </c>
      <c r="AX382" s="1665">
        <v>0</v>
      </c>
      <c r="AY382" s="1665">
        <v>0</v>
      </c>
      <c r="AZ382" s="1665">
        <v>0</v>
      </c>
      <c r="BA382" s="1668"/>
      <c r="BB382" s="1668"/>
      <c r="BC382" s="1665">
        <v>0</v>
      </c>
      <c r="BD382" s="1665">
        <v>0</v>
      </c>
      <c r="BE382" s="1665">
        <v>0</v>
      </c>
      <c r="BF382" s="1665">
        <v>0</v>
      </c>
      <c r="BG382" s="1665">
        <v>0</v>
      </c>
      <c r="BH382" s="1665">
        <v>0</v>
      </c>
      <c r="BI382" s="1665">
        <v>0</v>
      </c>
      <c r="BJ382" s="1665">
        <v>0</v>
      </c>
      <c r="BK382" s="1665">
        <v>0</v>
      </c>
      <c r="BL382" s="1665">
        <v>0</v>
      </c>
      <c r="BM382" s="1665">
        <v>0</v>
      </c>
      <c r="BN382" s="1665">
        <v>0</v>
      </c>
      <c r="BO382" s="1668"/>
      <c r="BP382" s="1665">
        <v>0</v>
      </c>
      <c r="BQ382" s="1665">
        <v>0</v>
      </c>
      <c r="BR382" s="1665">
        <v>0</v>
      </c>
      <c r="BS382" s="1667">
        <v>0</v>
      </c>
      <c r="BT382" s="1665">
        <v>0</v>
      </c>
      <c r="BU382" s="1665">
        <v>0</v>
      </c>
      <c r="BV382" s="1665">
        <v>0</v>
      </c>
      <c r="BW382" s="1665">
        <v>0</v>
      </c>
      <c r="BX382" s="1665">
        <v>0</v>
      </c>
      <c r="BY382" s="1665">
        <v>0</v>
      </c>
      <c r="BZ382" s="1663"/>
      <c r="CA382" s="1665">
        <v>0</v>
      </c>
      <c r="CB382" s="1668"/>
      <c r="CC382" s="1668"/>
      <c r="CD382" s="1665">
        <v>0</v>
      </c>
      <c r="CE382" s="1665">
        <v>0</v>
      </c>
      <c r="CF382" s="1665">
        <v>0</v>
      </c>
      <c r="CG382" s="1665">
        <v>0</v>
      </c>
      <c r="CH382" s="1665">
        <v>0</v>
      </c>
      <c r="CI382" s="1665">
        <v>0</v>
      </c>
      <c r="CJ382" s="1665">
        <v>0</v>
      </c>
      <c r="CK382" s="1665">
        <v>0</v>
      </c>
      <c r="CL382" s="1668"/>
      <c r="CM382" s="1665">
        <v>0</v>
      </c>
      <c r="CN382" s="1665">
        <v>0</v>
      </c>
      <c r="CO382" s="1665">
        <v>0</v>
      </c>
      <c r="CP382" s="1665">
        <v>0</v>
      </c>
      <c r="CQ382" s="1665">
        <v>0</v>
      </c>
      <c r="CR382" s="1665">
        <v>0</v>
      </c>
      <c r="CS382" s="1665">
        <v>0</v>
      </c>
      <c r="CT382" s="1665">
        <v>0</v>
      </c>
      <c r="CU382" s="1665">
        <v>0</v>
      </c>
      <c r="CV382" s="1665">
        <v>0</v>
      </c>
      <c r="CW382" s="1668"/>
      <c r="CX382" s="1665">
        <v>0</v>
      </c>
      <c r="CY382" s="1665">
        <v>0</v>
      </c>
      <c r="CZ382" s="1665">
        <v>0</v>
      </c>
      <c r="DA382" s="1665">
        <v>0</v>
      </c>
      <c r="DB382" s="1668"/>
      <c r="DC382" s="1662"/>
      <c r="DD382" s="1665">
        <v>0</v>
      </c>
      <c r="DE382" s="1665">
        <v>0</v>
      </c>
      <c r="DF382" s="1665">
        <v>0</v>
      </c>
      <c r="DG382" s="1665">
        <v>0</v>
      </c>
      <c r="DH382" s="1665">
        <v>0</v>
      </c>
    </row>
    <row r="383" spans="1:112" ht="22.5" hidden="1" x14ac:dyDescent="0.25">
      <c r="A383" s="1662" t="s">
        <v>2481</v>
      </c>
      <c r="B383" s="1662" t="s">
        <v>1727</v>
      </c>
      <c r="C383" s="1662" t="s">
        <v>2648</v>
      </c>
      <c r="D383" s="1662" t="s">
        <v>2649</v>
      </c>
      <c r="E383" s="1662" t="s">
        <v>2444</v>
      </c>
      <c r="F383" s="1662" t="s">
        <v>2635</v>
      </c>
      <c r="G383" s="1662" t="s">
        <v>2644</v>
      </c>
      <c r="H383" s="1662" t="s">
        <v>2645</v>
      </c>
      <c r="I383" s="1662" t="s">
        <v>2650</v>
      </c>
      <c r="J383" s="1662" t="s">
        <v>2651</v>
      </c>
      <c r="K383" s="1662" t="s">
        <v>2472</v>
      </c>
      <c r="L383" s="1662" t="s">
        <v>2109</v>
      </c>
      <c r="M383" s="1663"/>
      <c r="N383" s="1663"/>
      <c r="O383" s="1663"/>
      <c r="P383" s="1663"/>
      <c r="Q383" s="1663"/>
      <c r="R383" s="1663"/>
      <c r="S383" s="1663"/>
      <c r="T383" s="1663"/>
      <c r="U383" s="1663"/>
      <c r="V383" s="1663"/>
      <c r="W383" s="1663"/>
      <c r="X383" s="1663"/>
      <c r="Y383" s="1664">
        <v>43376</v>
      </c>
      <c r="Z383" s="1662" t="s">
        <v>2145</v>
      </c>
      <c r="AA383" s="1665">
        <v>0</v>
      </c>
      <c r="AB383" s="1665">
        <v>0</v>
      </c>
      <c r="AC383" s="1680">
        <v>0</v>
      </c>
      <c r="AD383" s="1682">
        <v>43395</v>
      </c>
      <c r="AE383" s="1679" t="s">
        <v>2122</v>
      </c>
      <c r="AF383" s="1662" t="s">
        <v>2112</v>
      </c>
      <c r="AG383" s="1666"/>
      <c r="AH383" s="1667">
        <v>1832.92</v>
      </c>
      <c r="AI383" s="1665">
        <v>1832.92</v>
      </c>
      <c r="AJ383" s="1665">
        <v>1832.92</v>
      </c>
      <c r="AK383" s="1698">
        <v>1684.31</v>
      </c>
      <c r="AL383" s="1665">
        <v>148.61000000000001</v>
      </c>
      <c r="AM383" s="1668"/>
      <c r="AN383" s="1665">
        <v>0</v>
      </c>
      <c r="AO383" s="1665">
        <v>0</v>
      </c>
      <c r="AP383" s="1665">
        <v>0</v>
      </c>
      <c r="AQ383" s="1665">
        <v>0</v>
      </c>
      <c r="AR383" s="1665">
        <v>0</v>
      </c>
      <c r="AS383" s="1665">
        <v>0</v>
      </c>
      <c r="AT383" s="1665">
        <v>0</v>
      </c>
      <c r="AU383" s="1665">
        <v>0</v>
      </c>
      <c r="AV383" s="1665">
        <v>0</v>
      </c>
      <c r="AW383" s="1665">
        <v>0</v>
      </c>
      <c r="AX383" s="1663"/>
      <c r="AY383" s="1663"/>
      <c r="AZ383" s="1663"/>
      <c r="BA383" s="1668"/>
      <c r="BB383" s="1668"/>
      <c r="BC383" s="1663"/>
      <c r="BD383" s="1663"/>
      <c r="BE383" s="1665">
        <v>0</v>
      </c>
      <c r="BF383" s="1665">
        <v>0</v>
      </c>
      <c r="BG383" s="1665">
        <v>0</v>
      </c>
      <c r="BH383" s="1665">
        <v>0</v>
      </c>
      <c r="BI383" s="1665">
        <v>0</v>
      </c>
      <c r="BJ383" s="1665">
        <v>0</v>
      </c>
      <c r="BK383" s="1665">
        <v>0</v>
      </c>
      <c r="BL383" s="1665">
        <v>0</v>
      </c>
      <c r="BM383" s="1665">
        <v>0</v>
      </c>
      <c r="BN383" s="1665">
        <v>0</v>
      </c>
      <c r="BO383" s="1668"/>
      <c r="BP383" s="1665">
        <v>0</v>
      </c>
      <c r="BQ383" s="1665">
        <v>0</v>
      </c>
      <c r="BR383" s="1665">
        <v>0</v>
      </c>
      <c r="BS383" s="1667">
        <v>0</v>
      </c>
      <c r="BT383" s="1665">
        <v>0</v>
      </c>
      <c r="BU383" s="1665">
        <v>0</v>
      </c>
      <c r="BV383" s="1665">
        <v>0</v>
      </c>
      <c r="BW383" s="1665">
        <v>0</v>
      </c>
      <c r="BX383" s="1665">
        <v>0</v>
      </c>
      <c r="BY383" s="1665">
        <v>0</v>
      </c>
      <c r="BZ383" s="1663"/>
      <c r="CA383" s="1663"/>
      <c r="CB383" s="1668"/>
      <c r="CC383" s="1668"/>
      <c r="CD383" s="1663"/>
      <c r="CE383" s="1663"/>
      <c r="CF383" s="1665">
        <v>0</v>
      </c>
      <c r="CG383" s="1665">
        <v>0</v>
      </c>
      <c r="CH383" s="1665">
        <v>0</v>
      </c>
      <c r="CI383" s="1665">
        <v>0</v>
      </c>
      <c r="CJ383" s="1665">
        <v>0</v>
      </c>
      <c r="CK383" s="1665">
        <v>0</v>
      </c>
      <c r="CL383" s="1668"/>
      <c r="CM383" s="1665">
        <v>0</v>
      </c>
      <c r="CN383" s="1665">
        <v>0</v>
      </c>
      <c r="CO383" s="1665">
        <v>0</v>
      </c>
      <c r="CP383" s="1665">
        <v>0</v>
      </c>
      <c r="CQ383" s="1665">
        <v>0</v>
      </c>
      <c r="CR383" s="1665">
        <v>0</v>
      </c>
      <c r="CS383" s="1665">
        <v>0</v>
      </c>
      <c r="CT383" s="1665">
        <v>0</v>
      </c>
      <c r="CU383" s="1665">
        <v>0</v>
      </c>
      <c r="CV383" s="1665">
        <v>0</v>
      </c>
      <c r="CW383" s="1668"/>
      <c r="CX383" s="1663"/>
      <c r="CY383" s="1663"/>
      <c r="CZ383" s="1663"/>
      <c r="DA383" s="1663"/>
      <c r="DB383" s="1668"/>
      <c r="DC383" s="1662"/>
      <c r="DD383" s="1665">
        <v>0</v>
      </c>
      <c r="DE383" s="1663"/>
      <c r="DF383" s="1663"/>
      <c r="DG383" s="1665">
        <v>0</v>
      </c>
      <c r="DH383" s="1665">
        <v>0</v>
      </c>
    </row>
    <row r="384" spans="1:112" hidden="1" x14ac:dyDescent="0.25">
      <c r="A384" s="1662" t="s">
        <v>2482</v>
      </c>
      <c r="B384" s="1662" t="s">
        <v>1729</v>
      </c>
      <c r="C384" s="1662"/>
      <c r="D384" s="1662"/>
      <c r="E384" s="1662"/>
      <c r="F384" s="1662"/>
      <c r="G384" s="1662"/>
      <c r="H384" s="1662"/>
      <c r="I384" s="1662"/>
      <c r="J384" s="1662"/>
      <c r="K384" s="1662"/>
      <c r="L384" s="1662"/>
      <c r="M384" s="1665">
        <v>3958957.48</v>
      </c>
      <c r="N384" s="1665">
        <v>0</v>
      </c>
      <c r="O384" s="1665">
        <v>3958957.48</v>
      </c>
      <c r="P384" s="1665">
        <v>3958957.48</v>
      </c>
      <c r="Q384" s="1665">
        <v>3226720</v>
      </c>
      <c r="R384" s="1665">
        <v>3085580</v>
      </c>
      <c r="S384" s="1665">
        <v>141140</v>
      </c>
      <c r="T384" s="1665">
        <v>732237.48</v>
      </c>
      <c r="U384" s="1665">
        <v>0</v>
      </c>
      <c r="V384" s="1665">
        <v>732237.48</v>
      </c>
      <c r="W384" s="1665">
        <v>0</v>
      </c>
      <c r="X384" s="1665">
        <v>0</v>
      </c>
      <c r="Y384" s="1668"/>
      <c r="Z384" s="1662"/>
      <c r="AA384" s="1665">
        <v>0</v>
      </c>
      <c r="AB384" s="1665">
        <v>0</v>
      </c>
      <c r="AC384" s="1680">
        <v>0</v>
      </c>
      <c r="AD384" s="1681"/>
      <c r="AE384" s="1679"/>
      <c r="AF384" s="1662"/>
      <c r="AG384" s="1666"/>
      <c r="AH384" s="1667">
        <v>783496.91</v>
      </c>
      <c r="AI384" s="1665">
        <v>783496.91</v>
      </c>
      <c r="AJ384" s="1665">
        <v>750479.35</v>
      </c>
      <c r="AK384" s="1698">
        <v>716052.56</v>
      </c>
      <c r="AL384" s="1665">
        <v>34426.79</v>
      </c>
      <c r="AM384" s="1668"/>
      <c r="AN384" s="1665">
        <v>274647.89</v>
      </c>
      <c r="AO384" s="1665">
        <v>274647.89</v>
      </c>
      <c r="AP384" s="1665">
        <v>241630.33</v>
      </c>
      <c r="AQ384" s="1665">
        <v>231210.98</v>
      </c>
      <c r="AR384" s="1665">
        <v>10419.35</v>
      </c>
      <c r="AS384" s="1665">
        <v>33017.56</v>
      </c>
      <c r="AT384" s="1665">
        <v>0</v>
      </c>
      <c r="AU384" s="1665">
        <v>33017.56</v>
      </c>
      <c r="AV384" s="1665">
        <v>0</v>
      </c>
      <c r="AW384" s="1665">
        <v>0</v>
      </c>
      <c r="AX384" s="1665">
        <v>0</v>
      </c>
      <c r="AY384" s="1665">
        <v>0</v>
      </c>
      <c r="AZ384" s="1665">
        <v>0</v>
      </c>
      <c r="BA384" s="1668"/>
      <c r="BB384" s="1668"/>
      <c r="BC384" s="1665">
        <v>0</v>
      </c>
      <c r="BD384" s="1665">
        <v>0</v>
      </c>
      <c r="BE384" s="1665">
        <v>274647.89</v>
      </c>
      <c r="BF384" s="1665">
        <v>274647.89</v>
      </c>
      <c r="BG384" s="1665">
        <v>241630.33</v>
      </c>
      <c r="BH384" s="1665">
        <v>231210.98</v>
      </c>
      <c r="BI384" s="1665">
        <v>10419.35</v>
      </c>
      <c r="BJ384" s="1665">
        <v>33017.56</v>
      </c>
      <c r="BK384" s="1665">
        <v>0</v>
      </c>
      <c r="BL384" s="1665">
        <v>33017.56</v>
      </c>
      <c r="BM384" s="1665">
        <v>0</v>
      </c>
      <c r="BN384" s="1665">
        <v>0</v>
      </c>
      <c r="BO384" s="1668"/>
      <c r="BP384" s="1665">
        <v>74306.2</v>
      </c>
      <c r="BQ384" s="1665">
        <v>74306.2</v>
      </c>
      <c r="BR384" s="1665">
        <v>64645.279999999999</v>
      </c>
      <c r="BS384" s="1667">
        <v>63039.73</v>
      </c>
      <c r="BT384" s="1665">
        <v>1605.55</v>
      </c>
      <c r="BU384" s="1665">
        <v>9660.92</v>
      </c>
      <c r="BV384" s="1665">
        <v>0</v>
      </c>
      <c r="BW384" s="1665">
        <v>0</v>
      </c>
      <c r="BX384" s="1665">
        <v>0</v>
      </c>
      <c r="BY384" s="1665">
        <v>0</v>
      </c>
      <c r="BZ384" s="1665">
        <v>0</v>
      </c>
      <c r="CA384" s="1665">
        <v>0</v>
      </c>
      <c r="CB384" s="1668"/>
      <c r="CC384" s="1668"/>
      <c r="CD384" s="1665">
        <v>0</v>
      </c>
      <c r="CE384" s="1665">
        <v>0</v>
      </c>
      <c r="CF384" s="1665">
        <v>0</v>
      </c>
      <c r="CG384" s="1665">
        <v>0</v>
      </c>
      <c r="CH384" s="1665">
        <v>0</v>
      </c>
      <c r="CI384" s="1665">
        <v>0</v>
      </c>
      <c r="CJ384" s="1665">
        <v>185.82</v>
      </c>
      <c r="CK384" s="1665">
        <v>185.82</v>
      </c>
      <c r="CL384" s="1668"/>
      <c r="CM384" s="1665">
        <v>0</v>
      </c>
      <c r="CN384" s="1665">
        <v>0</v>
      </c>
      <c r="CO384" s="1665">
        <v>0</v>
      </c>
      <c r="CP384" s="1665">
        <v>0</v>
      </c>
      <c r="CQ384" s="1665">
        <v>0</v>
      </c>
      <c r="CR384" s="1665">
        <v>0</v>
      </c>
      <c r="CS384" s="1665">
        <v>0</v>
      </c>
      <c r="CT384" s="1665">
        <v>0</v>
      </c>
      <c r="CU384" s="1665">
        <v>0</v>
      </c>
      <c r="CV384" s="1665">
        <v>0</v>
      </c>
      <c r="CW384" s="1668"/>
      <c r="CX384" s="1665">
        <v>0</v>
      </c>
      <c r="CY384" s="1665">
        <v>0</v>
      </c>
      <c r="CZ384" s="1665">
        <v>0</v>
      </c>
      <c r="DA384" s="1665">
        <v>0</v>
      </c>
      <c r="DB384" s="1668"/>
      <c r="DC384" s="1662"/>
      <c r="DD384" s="1665">
        <v>0</v>
      </c>
      <c r="DE384" s="1665">
        <v>0</v>
      </c>
      <c r="DF384" s="1665">
        <v>0</v>
      </c>
      <c r="DG384" s="1665">
        <v>0</v>
      </c>
      <c r="DH384" s="1665">
        <v>0</v>
      </c>
    </row>
    <row r="385" spans="1:112" hidden="1" x14ac:dyDescent="0.25">
      <c r="A385" s="1662" t="s">
        <v>2483</v>
      </c>
      <c r="B385" s="1662" t="s">
        <v>1729</v>
      </c>
      <c r="C385" s="1662" t="s">
        <v>2652</v>
      </c>
      <c r="D385" s="1662"/>
      <c r="E385" s="1662"/>
      <c r="F385" s="1662"/>
      <c r="G385" s="1662"/>
      <c r="H385" s="1662"/>
      <c r="I385" s="1662"/>
      <c r="J385" s="1662"/>
      <c r="K385" s="1662"/>
      <c r="L385" s="1662"/>
      <c r="M385" s="1665">
        <v>3958957.48</v>
      </c>
      <c r="N385" s="1665">
        <v>0</v>
      </c>
      <c r="O385" s="1665">
        <v>3958957.48</v>
      </c>
      <c r="P385" s="1665">
        <v>3958957.48</v>
      </c>
      <c r="Q385" s="1665">
        <v>3226720</v>
      </c>
      <c r="R385" s="1665">
        <v>3085580</v>
      </c>
      <c r="S385" s="1665">
        <v>141140</v>
      </c>
      <c r="T385" s="1665">
        <v>732237.48</v>
      </c>
      <c r="U385" s="1665">
        <v>0</v>
      </c>
      <c r="V385" s="1665">
        <v>732237.48</v>
      </c>
      <c r="W385" s="1665">
        <v>0</v>
      </c>
      <c r="X385" s="1665">
        <v>0</v>
      </c>
      <c r="Y385" s="1668"/>
      <c r="Z385" s="1662"/>
      <c r="AA385" s="1665">
        <v>0</v>
      </c>
      <c r="AB385" s="1665">
        <v>0</v>
      </c>
      <c r="AC385" s="1680">
        <v>0</v>
      </c>
      <c r="AD385" s="1681"/>
      <c r="AE385" s="1679"/>
      <c r="AF385" s="1662"/>
      <c r="AG385" s="1666"/>
      <c r="AH385" s="1667">
        <v>783496.91</v>
      </c>
      <c r="AI385" s="1665">
        <v>783496.91</v>
      </c>
      <c r="AJ385" s="1665">
        <v>750479.35</v>
      </c>
      <c r="AK385" s="1698">
        <v>716052.56</v>
      </c>
      <c r="AL385" s="1665">
        <v>34426.79</v>
      </c>
      <c r="AM385" s="1668"/>
      <c r="AN385" s="1665">
        <v>274647.89</v>
      </c>
      <c r="AO385" s="1665">
        <v>274647.89</v>
      </c>
      <c r="AP385" s="1665">
        <v>241630.33</v>
      </c>
      <c r="AQ385" s="1665">
        <v>231210.98</v>
      </c>
      <c r="AR385" s="1665">
        <v>10419.35</v>
      </c>
      <c r="AS385" s="1665">
        <v>33017.56</v>
      </c>
      <c r="AT385" s="1665">
        <v>0</v>
      </c>
      <c r="AU385" s="1665">
        <v>33017.56</v>
      </c>
      <c r="AV385" s="1665">
        <v>0</v>
      </c>
      <c r="AW385" s="1665">
        <v>0</v>
      </c>
      <c r="AX385" s="1665">
        <v>0</v>
      </c>
      <c r="AY385" s="1665">
        <v>0</v>
      </c>
      <c r="AZ385" s="1665">
        <v>0</v>
      </c>
      <c r="BA385" s="1668"/>
      <c r="BB385" s="1668"/>
      <c r="BC385" s="1665">
        <v>0</v>
      </c>
      <c r="BD385" s="1665">
        <v>0</v>
      </c>
      <c r="BE385" s="1665">
        <v>274647.89</v>
      </c>
      <c r="BF385" s="1665">
        <v>274647.89</v>
      </c>
      <c r="BG385" s="1665">
        <v>241630.33</v>
      </c>
      <c r="BH385" s="1665">
        <v>231210.98</v>
      </c>
      <c r="BI385" s="1665">
        <v>10419.35</v>
      </c>
      <c r="BJ385" s="1665">
        <v>33017.56</v>
      </c>
      <c r="BK385" s="1665">
        <v>0</v>
      </c>
      <c r="BL385" s="1665">
        <v>33017.56</v>
      </c>
      <c r="BM385" s="1665">
        <v>0</v>
      </c>
      <c r="BN385" s="1665">
        <v>0</v>
      </c>
      <c r="BO385" s="1668"/>
      <c r="BP385" s="1665">
        <v>74306.2</v>
      </c>
      <c r="BQ385" s="1665">
        <v>74306.2</v>
      </c>
      <c r="BR385" s="1665">
        <v>64645.279999999999</v>
      </c>
      <c r="BS385" s="1667">
        <v>63039.73</v>
      </c>
      <c r="BT385" s="1665">
        <v>1605.55</v>
      </c>
      <c r="BU385" s="1665">
        <v>9660.92</v>
      </c>
      <c r="BV385" s="1665">
        <v>0</v>
      </c>
      <c r="BW385" s="1665">
        <v>0</v>
      </c>
      <c r="BX385" s="1665">
        <v>0</v>
      </c>
      <c r="BY385" s="1665">
        <v>0</v>
      </c>
      <c r="BZ385" s="1665">
        <v>0</v>
      </c>
      <c r="CA385" s="1665">
        <v>0</v>
      </c>
      <c r="CB385" s="1668"/>
      <c r="CC385" s="1668"/>
      <c r="CD385" s="1665">
        <v>0</v>
      </c>
      <c r="CE385" s="1665">
        <v>0</v>
      </c>
      <c r="CF385" s="1665">
        <v>0</v>
      </c>
      <c r="CG385" s="1665">
        <v>0</v>
      </c>
      <c r="CH385" s="1665">
        <v>0</v>
      </c>
      <c r="CI385" s="1665">
        <v>0</v>
      </c>
      <c r="CJ385" s="1665">
        <v>185.82</v>
      </c>
      <c r="CK385" s="1665">
        <v>185.82</v>
      </c>
      <c r="CL385" s="1668"/>
      <c r="CM385" s="1665">
        <v>0</v>
      </c>
      <c r="CN385" s="1665">
        <v>0</v>
      </c>
      <c r="CO385" s="1665">
        <v>0</v>
      </c>
      <c r="CP385" s="1665">
        <v>0</v>
      </c>
      <c r="CQ385" s="1665">
        <v>0</v>
      </c>
      <c r="CR385" s="1665">
        <v>0</v>
      </c>
      <c r="CS385" s="1665">
        <v>0</v>
      </c>
      <c r="CT385" s="1665">
        <v>0</v>
      </c>
      <c r="CU385" s="1665">
        <v>0</v>
      </c>
      <c r="CV385" s="1665">
        <v>0</v>
      </c>
      <c r="CW385" s="1668"/>
      <c r="CX385" s="1665">
        <v>0</v>
      </c>
      <c r="CY385" s="1665">
        <v>0</v>
      </c>
      <c r="CZ385" s="1665">
        <v>0</v>
      </c>
      <c r="DA385" s="1665">
        <v>0</v>
      </c>
      <c r="DB385" s="1668"/>
      <c r="DC385" s="1662"/>
      <c r="DD385" s="1665">
        <v>0</v>
      </c>
      <c r="DE385" s="1665">
        <v>0</v>
      </c>
      <c r="DF385" s="1665">
        <v>0</v>
      </c>
      <c r="DG385" s="1665">
        <v>0</v>
      </c>
      <c r="DH385" s="1665">
        <v>0</v>
      </c>
    </row>
    <row r="386" spans="1:112" hidden="1" x14ac:dyDescent="0.25">
      <c r="A386" s="1662" t="s">
        <v>2485</v>
      </c>
      <c r="B386" s="1662" t="s">
        <v>1729</v>
      </c>
      <c r="C386" s="1662" t="s">
        <v>2652</v>
      </c>
      <c r="D386" s="1662" t="s">
        <v>2653</v>
      </c>
      <c r="E386" s="1662"/>
      <c r="F386" s="1662"/>
      <c r="G386" s="1662"/>
      <c r="H386" s="1662"/>
      <c r="I386" s="1662"/>
      <c r="J386" s="1662"/>
      <c r="K386" s="1662"/>
      <c r="L386" s="1662"/>
      <c r="M386" s="1665">
        <v>3958957.48</v>
      </c>
      <c r="N386" s="1665">
        <v>0</v>
      </c>
      <c r="O386" s="1665">
        <v>3958957.48</v>
      </c>
      <c r="P386" s="1665">
        <v>3958957.48</v>
      </c>
      <c r="Q386" s="1665">
        <v>3226720</v>
      </c>
      <c r="R386" s="1665">
        <v>3085580</v>
      </c>
      <c r="S386" s="1665">
        <v>141140</v>
      </c>
      <c r="T386" s="1665">
        <v>732237.48</v>
      </c>
      <c r="U386" s="1665">
        <v>0</v>
      </c>
      <c r="V386" s="1665">
        <v>732237.48</v>
      </c>
      <c r="W386" s="1665">
        <v>0</v>
      </c>
      <c r="X386" s="1665">
        <v>0</v>
      </c>
      <c r="Y386" s="1668"/>
      <c r="Z386" s="1662"/>
      <c r="AA386" s="1665">
        <v>0</v>
      </c>
      <c r="AB386" s="1665">
        <v>0</v>
      </c>
      <c r="AC386" s="1680">
        <v>0</v>
      </c>
      <c r="AD386" s="1681"/>
      <c r="AE386" s="1679"/>
      <c r="AF386" s="1662"/>
      <c r="AG386" s="1666"/>
      <c r="AH386" s="1667">
        <v>783496.91</v>
      </c>
      <c r="AI386" s="1665">
        <v>783496.91</v>
      </c>
      <c r="AJ386" s="1665">
        <v>750479.35</v>
      </c>
      <c r="AK386" s="1698">
        <v>716052.56</v>
      </c>
      <c r="AL386" s="1665">
        <v>34426.79</v>
      </c>
      <c r="AM386" s="1668"/>
      <c r="AN386" s="1665">
        <v>274647.89</v>
      </c>
      <c r="AO386" s="1665">
        <v>274647.89</v>
      </c>
      <c r="AP386" s="1665">
        <v>241630.33</v>
      </c>
      <c r="AQ386" s="1665">
        <v>231210.98</v>
      </c>
      <c r="AR386" s="1665">
        <v>10419.35</v>
      </c>
      <c r="AS386" s="1665">
        <v>33017.56</v>
      </c>
      <c r="AT386" s="1665">
        <v>0</v>
      </c>
      <c r="AU386" s="1665">
        <v>33017.56</v>
      </c>
      <c r="AV386" s="1665">
        <v>0</v>
      </c>
      <c r="AW386" s="1665">
        <v>0</v>
      </c>
      <c r="AX386" s="1665">
        <v>0</v>
      </c>
      <c r="AY386" s="1665">
        <v>0</v>
      </c>
      <c r="AZ386" s="1665">
        <v>0</v>
      </c>
      <c r="BA386" s="1668"/>
      <c r="BB386" s="1668"/>
      <c r="BC386" s="1665">
        <v>0</v>
      </c>
      <c r="BD386" s="1665">
        <v>0</v>
      </c>
      <c r="BE386" s="1665">
        <v>274647.89</v>
      </c>
      <c r="BF386" s="1665">
        <v>274647.89</v>
      </c>
      <c r="BG386" s="1665">
        <v>241630.33</v>
      </c>
      <c r="BH386" s="1665">
        <v>231210.98</v>
      </c>
      <c r="BI386" s="1665">
        <v>10419.35</v>
      </c>
      <c r="BJ386" s="1665">
        <v>33017.56</v>
      </c>
      <c r="BK386" s="1665">
        <v>0</v>
      </c>
      <c r="BL386" s="1665">
        <v>33017.56</v>
      </c>
      <c r="BM386" s="1665">
        <v>0</v>
      </c>
      <c r="BN386" s="1665">
        <v>0</v>
      </c>
      <c r="BO386" s="1668"/>
      <c r="BP386" s="1665">
        <v>74306.2</v>
      </c>
      <c r="BQ386" s="1665">
        <v>74306.2</v>
      </c>
      <c r="BR386" s="1665">
        <v>64645.279999999999</v>
      </c>
      <c r="BS386" s="1667">
        <v>63039.73</v>
      </c>
      <c r="BT386" s="1665">
        <v>1605.55</v>
      </c>
      <c r="BU386" s="1665">
        <v>9660.92</v>
      </c>
      <c r="BV386" s="1665">
        <v>0</v>
      </c>
      <c r="BW386" s="1665">
        <v>0</v>
      </c>
      <c r="BX386" s="1665">
        <v>0</v>
      </c>
      <c r="BY386" s="1665">
        <v>0</v>
      </c>
      <c r="BZ386" s="1665">
        <v>0</v>
      </c>
      <c r="CA386" s="1665">
        <v>0</v>
      </c>
      <c r="CB386" s="1668"/>
      <c r="CC386" s="1668"/>
      <c r="CD386" s="1665">
        <v>0</v>
      </c>
      <c r="CE386" s="1665">
        <v>0</v>
      </c>
      <c r="CF386" s="1665">
        <v>0</v>
      </c>
      <c r="CG386" s="1665">
        <v>0</v>
      </c>
      <c r="CH386" s="1665">
        <v>0</v>
      </c>
      <c r="CI386" s="1665">
        <v>0</v>
      </c>
      <c r="CJ386" s="1665">
        <v>185.82</v>
      </c>
      <c r="CK386" s="1665">
        <v>185.82</v>
      </c>
      <c r="CL386" s="1668"/>
      <c r="CM386" s="1665">
        <v>0</v>
      </c>
      <c r="CN386" s="1665">
        <v>0</v>
      </c>
      <c r="CO386" s="1665">
        <v>0</v>
      </c>
      <c r="CP386" s="1665">
        <v>0</v>
      </c>
      <c r="CQ386" s="1665">
        <v>0</v>
      </c>
      <c r="CR386" s="1665">
        <v>0</v>
      </c>
      <c r="CS386" s="1665">
        <v>0</v>
      </c>
      <c r="CT386" s="1665">
        <v>0</v>
      </c>
      <c r="CU386" s="1665">
        <v>0</v>
      </c>
      <c r="CV386" s="1665">
        <v>0</v>
      </c>
      <c r="CW386" s="1668"/>
      <c r="CX386" s="1665">
        <v>0</v>
      </c>
      <c r="CY386" s="1665">
        <v>0</v>
      </c>
      <c r="CZ386" s="1665">
        <v>0</v>
      </c>
      <c r="DA386" s="1665">
        <v>0</v>
      </c>
      <c r="DB386" s="1668"/>
      <c r="DC386" s="1662"/>
      <c r="DD386" s="1665">
        <v>0</v>
      </c>
      <c r="DE386" s="1665">
        <v>0</v>
      </c>
      <c r="DF386" s="1665">
        <v>0</v>
      </c>
      <c r="DG386" s="1665">
        <v>0</v>
      </c>
      <c r="DH386" s="1665">
        <v>0</v>
      </c>
    </row>
    <row r="387" spans="1:112" ht="22.5" hidden="1" x14ac:dyDescent="0.25">
      <c r="A387" s="1662" t="s">
        <v>2486</v>
      </c>
      <c r="B387" s="1662" t="s">
        <v>1729</v>
      </c>
      <c r="C387" s="1662" t="s">
        <v>2652</v>
      </c>
      <c r="D387" s="1662" t="s">
        <v>2653</v>
      </c>
      <c r="E387" s="1662" t="s">
        <v>140</v>
      </c>
      <c r="F387" s="1662"/>
      <c r="G387" s="1662"/>
      <c r="H387" s="1662"/>
      <c r="I387" s="1662"/>
      <c r="J387" s="1662"/>
      <c r="K387" s="1662"/>
      <c r="L387" s="1662"/>
      <c r="M387" s="1665">
        <v>861564.89</v>
      </c>
      <c r="N387" s="1665">
        <v>0</v>
      </c>
      <c r="O387" s="1665">
        <v>861564.89</v>
      </c>
      <c r="P387" s="1665">
        <v>861564.89</v>
      </c>
      <c r="Q387" s="1665">
        <v>701456</v>
      </c>
      <c r="R387" s="1665">
        <v>644581</v>
      </c>
      <c r="S387" s="1665">
        <v>56875</v>
      </c>
      <c r="T387" s="1665">
        <v>160108.89000000001</v>
      </c>
      <c r="U387" s="1665">
        <v>0</v>
      </c>
      <c r="V387" s="1665">
        <v>160108.89000000001</v>
      </c>
      <c r="W387" s="1665">
        <v>0</v>
      </c>
      <c r="X387" s="1665">
        <v>0</v>
      </c>
      <c r="Y387" s="1668"/>
      <c r="Z387" s="1662"/>
      <c r="AA387" s="1665">
        <v>0</v>
      </c>
      <c r="AB387" s="1665">
        <v>0</v>
      </c>
      <c r="AC387" s="1680">
        <v>0</v>
      </c>
      <c r="AD387" s="1681"/>
      <c r="AE387" s="1679"/>
      <c r="AF387" s="1662"/>
      <c r="AG387" s="1666"/>
      <c r="AH387" s="1667">
        <v>82538.11</v>
      </c>
      <c r="AI387" s="1665">
        <v>82538.11</v>
      </c>
      <c r="AJ387" s="1665">
        <v>79587.28</v>
      </c>
      <c r="AK387" s="1698">
        <v>73134.19</v>
      </c>
      <c r="AL387" s="1665">
        <v>6453.09</v>
      </c>
      <c r="AM387" s="1668"/>
      <c r="AN387" s="1665">
        <v>8500.7099999999991</v>
      </c>
      <c r="AO387" s="1665">
        <v>8500.7099999999991</v>
      </c>
      <c r="AP387" s="1665">
        <v>5549.88</v>
      </c>
      <c r="AQ387" s="1665">
        <v>5099.8999999999996</v>
      </c>
      <c r="AR387" s="1665">
        <v>449.98</v>
      </c>
      <c r="AS387" s="1665">
        <v>2950.83</v>
      </c>
      <c r="AT387" s="1665">
        <v>0</v>
      </c>
      <c r="AU387" s="1665">
        <v>2950.83</v>
      </c>
      <c r="AV387" s="1665">
        <v>0</v>
      </c>
      <c r="AW387" s="1665">
        <v>0</v>
      </c>
      <c r="AX387" s="1665">
        <v>0</v>
      </c>
      <c r="AY387" s="1665">
        <v>0</v>
      </c>
      <c r="AZ387" s="1665">
        <v>0</v>
      </c>
      <c r="BA387" s="1668"/>
      <c r="BB387" s="1668"/>
      <c r="BC387" s="1665">
        <v>0</v>
      </c>
      <c r="BD387" s="1665">
        <v>0</v>
      </c>
      <c r="BE387" s="1665">
        <v>8500.7099999999991</v>
      </c>
      <c r="BF387" s="1665">
        <v>8500.7099999999991</v>
      </c>
      <c r="BG387" s="1665">
        <v>5549.88</v>
      </c>
      <c r="BH387" s="1665">
        <v>5099.8999999999996</v>
      </c>
      <c r="BI387" s="1665">
        <v>449.98</v>
      </c>
      <c r="BJ387" s="1665">
        <v>2950.83</v>
      </c>
      <c r="BK387" s="1665">
        <v>0</v>
      </c>
      <c r="BL387" s="1665">
        <v>2950.83</v>
      </c>
      <c r="BM387" s="1665">
        <v>0</v>
      </c>
      <c r="BN387" s="1665">
        <v>0</v>
      </c>
      <c r="BO387" s="1668"/>
      <c r="BP387" s="1665">
        <v>2518.71</v>
      </c>
      <c r="BQ387" s="1665">
        <v>2518.71</v>
      </c>
      <c r="BR387" s="1665">
        <v>2255.7199999999998</v>
      </c>
      <c r="BS387" s="1667">
        <v>2072.8200000000002</v>
      </c>
      <c r="BT387" s="1665">
        <v>182.9</v>
      </c>
      <c r="BU387" s="1665">
        <v>262.99</v>
      </c>
      <c r="BV387" s="1665">
        <v>0</v>
      </c>
      <c r="BW387" s="1665">
        <v>0</v>
      </c>
      <c r="BX387" s="1665">
        <v>0</v>
      </c>
      <c r="BY387" s="1665">
        <v>0</v>
      </c>
      <c r="BZ387" s="1665">
        <v>0</v>
      </c>
      <c r="CA387" s="1665">
        <v>0</v>
      </c>
      <c r="CB387" s="1668"/>
      <c r="CC387" s="1668"/>
      <c r="CD387" s="1665">
        <v>0</v>
      </c>
      <c r="CE387" s="1665">
        <v>0</v>
      </c>
      <c r="CF387" s="1665">
        <v>0</v>
      </c>
      <c r="CG387" s="1665">
        <v>0</v>
      </c>
      <c r="CH387" s="1665">
        <v>0</v>
      </c>
      <c r="CI387" s="1665">
        <v>0</v>
      </c>
      <c r="CJ387" s="1665">
        <v>30.98</v>
      </c>
      <c r="CK387" s="1665">
        <v>30.98</v>
      </c>
      <c r="CL387" s="1668"/>
      <c r="CM387" s="1665">
        <v>0</v>
      </c>
      <c r="CN387" s="1665">
        <v>0</v>
      </c>
      <c r="CO387" s="1665">
        <v>0</v>
      </c>
      <c r="CP387" s="1665">
        <v>0</v>
      </c>
      <c r="CQ387" s="1665">
        <v>0</v>
      </c>
      <c r="CR387" s="1665">
        <v>0</v>
      </c>
      <c r="CS387" s="1665">
        <v>0</v>
      </c>
      <c r="CT387" s="1665">
        <v>0</v>
      </c>
      <c r="CU387" s="1665">
        <v>0</v>
      </c>
      <c r="CV387" s="1665">
        <v>0</v>
      </c>
      <c r="CW387" s="1668"/>
      <c r="CX387" s="1665">
        <v>0</v>
      </c>
      <c r="CY387" s="1665">
        <v>0</v>
      </c>
      <c r="CZ387" s="1665">
        <v>0</v>
      </c>
      <c r="DA387" s="1665">
        <v>0</v>
      </c>
      <c r="DB387" s="1668"/>
      <c r="DC387" s="1662"/>
      <c r="DD387" s="1665">
        <v>0</v>
      </c>
      <c r="DE387" s="1665">
        <v>0</v>
      </c>
      <c r="DF387" s="1665">
        <v>0</v>
      </c>
      <c r="DG387" s="1665">
        <v>0</v>
      </c>
      <c r="DH387" s="1665">
        <v>0</v>
      </c>
    </row>
    <row r="388" spans="1:112" ht="45" hidden="1" x14ac:dyDescent="0.25">
      <c r="A388" s="1662" t="s">
        <v>2487</v>
      </c>
      <c r="B388" s="1662" t="s">
        <v>1729</v>
      </c>
      <c r="C388" s="1662" t="s">
        <v>2652</v>
      </c>
      <c r="D388" s="1662" t="s">
        <v>2653</v>
      </c>
      <c r="E388" s="1662" t="s">
        <v>140</v>
      </c>
      <c r="F388" s="1662" t="s">
        <v>2654</v>
      </c>
      <c r="G388" s="1662" t="s">
        <v>2628</v>
      </c>
      <c r="H388" s="1662" t="s">
        <v>2613</v>
      </c>
      <c r="I388" s="1662" t="s">
        <v>1257</v>
      </c>
      <c r="J388" s="1662" t="s">
        <v>2484</v>
      </c>
      <c r="K388" s="1662" t="s">
        <v>2120</v>
      </c>
      <c r="L388" s="1662" t="s">
        <v>2109</v>
      </c>
      <c r="M388" s="1665">
        <v>181986</v>
      </c>
      <c r="N388" s="1665">
        <v>0</v>
      </c>
      <c r="O388" s="1665">
        <v>181986</v>
      </c>
      <c r="P388" s="1665">
        <v>181986</v>
      </c>
      <c r="Q388" s="1665">
        <v>168337</v>
      </c>
      <c r="R388" s="1665">
        <v>154688</v>
      </c>
      <c r="S388" s="1665">
        <v>13649</v>
      </c>
      <c r="T388" s="1665">
        <v>13649</v>
      </c>
      <c r="U388" s="1665">
        <v>0</v>
      </c>
      <c r="V388" s="1665">
        <v>13649</v>
      </c>
      <c r="W388" s="1665">
        <v>0</v>
      </c>
      <c r="X388" s="1665">
        <v>0</v>
      </c>
      <c r="Y388" s="1668"/>
      <c r="Z388" s="1662"/>
      <c r="AA388" s="1665">
        <v>0</v>
      </c>
      <c r="AB388" s="1665">
        <v>0</v>
      </c>
      <c r="AC388" s="1680">
        <v>0</v>
      </c>
      <c r="AD388" s="1681"/>
      <c r="AE388" s="1679"/>
      <c r="AF388" s="1662"/>
      <c r="AG388" s="1666"/>
      <c r="AH388" s="1667">
        <v>36979</v>
      </c>
      <c r="AI388" s="1665">
        <v>36979</v>
      </c>
      <c r="AJ388" s="1665">
        <v>36979</v>
      </c>
      <c r="AK388" s="1698">
        <v>33980.69</v>
      </c>
      <c r="AL388" s="1665">
        <v>2998.31</v>
      </c>
      <c r="AM388" s="1668"/>
      <c r="AN388" s="1665">
        <v>0</v>
      </c>
      <c r="AO388" s="1665">
        <v>0</v>
      </c>
      <c r="AP388" s="1665">
        <v>0</v>
      </c>
      <c r="AQ388" s="1665">
        <v>0</v>
      </c>
      <c r="AR388" s="1665">
        <v>0</v>
      </c>
      <c r="AS388" s="1665">
        <v>0</v>
      </c>
      <c r="AT388" s="1665">
        <v>0</v>
      </c>
      <c r="AU388" s="1665">
        <v>0</v>
      </c>
      <c r="AV388" s="1665">
        <v>0</v>
      </c>
      <c r="AW388" s="1665">
        <v>0</v>
      </c>
      <c r="AX388" s="1665">
        <v>0</v>
      </c>
      <c r="AY388" s="1665">
        <v>0</v>
      </c>
      <c r="AZ388" s="1665">
        <v>0</v>
      </c>
      <c r="BA388" s="1668"/>
      <c r="BB388" s="1668"/>
      <c r="BC388" s="1665">
        <v>0</v>
      </c>
      <c r="BD388" s="1665">
        <v>0</v>
      </c>
      <c r="BE388" s="1665">
        <v>0</v>
      </c>
      <c r="BF388" s="1665">
        <v>0</v>
      </c>
      <c r="BG388" s="1665">
        <v>0</v>
      </c>
      <c r="BH388" s="1665">
        <v>0</v>
      </c>
      <c r="BI388" s="1665">
        <v>0</v>
      </c>
      <c r="BJ388" s="1665">
        <v>0</v>
      </c>
      <c r="BK388" s="1665">
        <v>0</v>
      </c>
      <c r="BL388" s="1665">
        <v>0</v>
      </c>
      <c r="BM388" s="1665">
        <v>0</v>
      </c>
      <c r="BN388" s="1665">
        <v>0</v>
      </c>
      <c r="BO388" s="1668"/>
      <c r="BP388" s="1665">
        <v>0</v>
      </c>
      <c r="BQ388" s="1665">
        <v>0</v>
      </c>
      <c r="BR388" s="1665">
        <v>0</v>
      </c>
      <c r="BS388" s="1667">
        <v>0</v>
      </c>
      <c r="BT388" s="1665">
        <v>0</v>
      </c>
      <c r="BU388" s="1665">
        <v>0</v>
      </c>
      <c r="BV388" s="1665">
        <v>0</v>
      </c>
      <c r="BW388" s="1665">
        <v>0</v>
      </c>
      <c r="BX388" s="1665">
        <v>0</v>
      </c>
      <c r="BY388" s="1665">
        <v>0</v>
      </c>
      <c r="BZ388" s="1663"/>
      <c r="CA388" s="1665">
        <v>0</v>
      </c>
      <c r="CB388" s="1668"/>
      <c r="CC388" s="1668"/>
      <c r="CD388" s="1665">
        <v>0</v>
      </c>
      <c r="CE388" s="1665">
        <v>0</v>
      </c>
      <c r="CF388" s="1665">
        <v>0</v>
      </c>
      <c r="CG388" s="1665">
        <v>0</v>
      </c>
      <c r="CH388" s="1665">
        <v>0</v>
      </c>
      <c r="CI388" s="1665">
        <v>0</v>
      </c>
      <c r="CJ388" s="1665">
        <v>0</v>
      </c>
      <c r="CK388" s="1665">
        <v>0</v>
      </c>
      <c r="CL388" s="1668"/>
      <c r="CM388" s="1665">
        <v>0</v>
      </c>
      <c r="CN388" s="1665">
        <v>0</v>
      </c>
      <c r="CO388" s="1665">
        <v>0</v>
      </c>
      <c r="CP388" s="1665">
        <v>0</v>
      </c>
      <c r="CQ388" s="1665">
        <v>0</v>
      </c>
      <c r="CR388" s="1665">
        <v>0</v>
      </c>
      <c r="CS388" s="1665">
        <v>0</v>
      </c>
      <c r="CT388" s="1665">
        <v>0</v>
      </c>
      <c r="CU388" s="1665">
        <v>0</v>
      </c>
      <c r="CV388" s="1665">
        <v>0</v>
      </c>
      <c r="CW388" s="1668"/>
      <c r="CX388" s="1665">
        <v>0</v>
      </c>
      <c r="CY388" s="1665">
        <v>0</v>
      </c>
      <c r="CZ388" s="1665">
        <v>0</v>
      </c>
      <c r="DA388" s="1665">
        <v>0</v>
      </c>
      <c r="DB388" s="1668"/>
      <c r="DC388" s="1662"/>
      <c r="DD388" s="1665">
        <v>0</v>
      </c>
      <c r="DE388" s="1665">
        <v>0</v>
      </c>
      <c r="DF388" s="1665">
        <v>0</v>
      </c>
      <c r="DG388" s="1665">
        <v>0</v>
      </c>
      <c r="DH388" s="1665">
        <v>0</v>
      </c>
    </row>
    <row r="389" spans="1:112" ht="45" hidden="1" x14ac:dyDescent="0.25">
      <c r="A389" s="1662" t="s">
        <v>2488</v>
      </c>
      <c r="B389" s="1662" t="s">
        <v>1729</v>
      </c>
      <c r="C389" s="1662" t="s">
        <v>2652</v>
      </c>
      <c r="D389" s="1662" t="s">
        <v>2653</v>
      </c>
      <c r="E389" s="1662" t="s">
        <v>140</v>
      </c>
      <c r="F389" s="1662" t="s">
        <v>2654</v>
      </c>
      <c r="G389" s="1662" t="s">
        <v>2628</v>
      </c>
      <c r="H389" s="1662" t="s">
        <v>2613</v>
      </c>
      <c r="I389" s="1662" t="s">
        <v>1257</v>
      </c>
      <c r="J389" s="1662" t="s">
        <v>2484</v>
      </c>
      <c r="K389" s="1662" t="s">
        <v>2120</v>
      </c>
      <c r="L389" s="1662" t="s">
        <v>2109</v>
      </c>
      <c r="M389" s="1663"/>
      <c r="N389" s="1663"/>
      <c r="O389" s="1663"/>
      <c r="P389" s="1663"/>
      <c r="Q389" s="1663"/>
      <c r="R389" s="1663"/>
      <c r="S389" s="1663"/>
      <c r="T389" s="1663"/>
      <c r="U389" s="1663"/>
      <c r="V389" s="1663"/>
      <c r="W389" s="1663"/>
      <c r="X389" s="1663"/>
      <c r="Y389" s="1664">
        <v>43210</v>
      </c>
      <c r="Z389" s="1662" t="s">
        <v>2145</v>
      </c>
      <c r="AA389" s="1665">
        <v>0</v>
      </c>
      <c r="AB389" s="1665">
        <v>0</v>
      </c>
      <c r="AC389" s="1680">
        <v>0</v>
      </c>
      <c r="AD389" s="1682">
        <v>43222</v>
      </c>
      <c r="AE389" s="1679" t="s">
        <v>2122</v>
      </c>
      <c r="AF389" s="1662" t="s">
        <v>2112</v>
      </c>
      <c r="AG389" s="1666"/>
      <c r="AH389" s="1667">
        <v>1979</v>
      </c>
      <c r="AI389" s="1665">
        <v>1979</v>
      </c>
      <c r="AJ389" s="1665">
        <v>1979</v>
      </c>
      <c r="AK389" s="1698">
        <v>1818.54</v>
      </c>
      <c r="AL389" s="1665">
        <v>160.46</v>
      </c>
      <c r="AM389" s="1668"/>
      <c r="AN389" s="1665">
        <v>0</v>
      </c>
      <c r="AO389" s="1665">
        <v>0</v>
      </c>
      <c r="AP389" s="1665">
        <v>0</v>
      </c>
      <c r="AQ389" s="1665">
        <v>0</v>
      </c>
      <c r="AR389" s="1665">
        <v>0</v>
      </c>
      <c r="AS389" s="1665">
        <v>0</v>
      </c>
      <c r="AT389" s="1665">
        <v>0</v>
      </c>
      <c r="AU389" s="1665">
        <v>0</v>
      </c>
      <c r="AV389" s="1665">
        <v>0</v>
      </c>
      <c r="AW389" s="1665">
        <v>0</v>
      </c>
      <c r="AX389" s="1663"/>
      <c r="AY389" s="1663"/>
      <c r="AZ389" s="1663"/>
      <c r="BA389" s="1668"/>
      <c r="BB389" s="1668"/>
      <c r="BC389" s="1663"/>
      <c r="BD389" s="1663"/>
      <c r="BE389" s="1665">
        <v>0</v>
      </c>
      <c r="BF389" s="1665">
        <v>0</v>
      </c>
      <c r="BG389" s="1665">
        <v>0</v>
      </c>
      <c r="BH389" s="1665">
        <v>0</v>
      </c>
      <c r="BI389" s="1665">
        <v>0</v>
      </c>
      <c r="BJ389" s="1665">
        <v>0</v>
      </c>
      <c r="BK389" s="1665">
        <v>0</v>
      </c>
      <c r="BL389" s="1665">
        <v>0</v>
      </c>
      <c r="BM389" s="1665">
        <v>0</v>
      </c>
      <c r="BN389" s="1665">
        <v>0</v>
      </c>
      <c r="BO389" s="1668"/>
      <c r="BP389" s="1665">
        <v>0</v>
      </c>
      <c r="BQ389" s="1665">
        <v>0</v>
      </c>
      <c r="BR389" s="1665">
        <v>0</v>
      </c>
      <c r="BS389" s="1667">
        <v>0</v>
      </c>
      <c r="BT389" s="1665">
        <v>0</v>
      </c>
      <c r="BU389" s="1665">
        <v>0</v>
      </c>
      <c r="BV389" s="1665">
        <v>0</v>
      </c>
      <c r="BW389" s="1665">
        <v>0</v>
      </c>
      <c r="BX389" s="1665">
        <v>0</v>
      </c>
      <c r="BY389" s="1665">
        <v>0</v>
      </c>
      <c r="BZ389" s="1663"/>
      <c r="CA389" s="1663"/>
      <c r="CB389" s="1668"/>
      <c r="CC389" s="1668"/>
      <c r="CD389" s="1663"/>
      <c r="CE389" s="1663"/>
      <c r="CF389" s="1665">
        <v>0</v>
      </c>
      <c r="CG389" s="1665">
        <v>0</v>
      </c>
      <c r="CH389" s="1665">
        <v>0</v>
      </c>
      <c r="CI389" s="1665">
        <v>0</v>
      </c>
      <c r="CJ389" s="1665">
        <v>0</v>
      </c>
      <c r="CK389" s="1665">
        <v>0</v>
      </c>
      <c r="CL389" s="1668"/>
      <c r="CM389" s="1665">
        <v>0</v>
      </c>
      <c r="CN389" s="1665">
        <v>0</v>
      </c>
      <c r="CO389" s="1665">
        <v>0</v>
      </c>
      <c r="CP389" s="1665">
        <v>0</v>
      </c>
      <c r="CQ389" s="1665">
        <v>0</v>
      </c>
      <c r="CR389" s="1665">
        <v>0</v>
      </c>
      <c r="CS389" s="1665">
        <v>0</v>
      </c>
      <c r="CT389" s="1665">
        <v>0</v>
      </c>
      <c r="CU389" s="1665">
        <v>0</v>
      </c>
      <c r="CV389" s="1665">
        <v>0</v>
      </c>
      <c r="CW389" s="1668"/>
      <c r="CX389" s="1663"/>
      <c r="CY389" s="1663"/>
      <c r="CZ389" s="1663"/>
      <c r="DA389" s="1663"/>
      <c r="DB389" s="1668"/>
      <c r="DC389" s="1662"/>
      <c r="DD389" s="1665">
        <v>0</v>
      </c>
      <c r="DE389" s="1663"/>
      <c r="DF389" s="1663"/>
      <c r="DG389" s="1665">
        <v>0</v>
      </c>
      <c r="DH389" s="1665">
        <v>0</v>
      </c>
    </row>
    <row r="390" spans="1:112" ht="45" hidden="1" x14ac:dyDescent="0.25">
      <c r="A390" s="1662" t="s">
        <v>2489</v>
      </c>
      <c r="B390" s="1662" t="s">
        <v>1729</v>
      </c>
      <c r="C390" s="1662" t="s">
        <v>2652</v>
      </c>
      <c r="D390" s="1662" t="s">
        <v>2653</v>
      </c>
      <c r="E390" s="1662" t="s">
        <v>140</v>
      </c>
      <c r="F390" s="1662" t="s">
        <v>2654</v>
      </c>
      <c r="G390" s="1662" t="s">
        <v>2628</v>
      </c>
      <c r="H390" s="1662" t="s">
        <v>2613</v>
      </c>
      <c r="I390" s="1662" t="s">
        <v>1257</v>
      </c>
      <c r="J390" s="1662" t="s">
        <v>2484</v>
      </c>
      <c r="K390" s="1662" t="s">
        <v>2120</v>
      </c>
      <c r="L390" s="1662" t="s">
        <v>2109</v>
      </c>
      <c r="M390" s="1663"/>
      <c r="N390" s="1663"/>
      <c r="O390" s="1663"/>
      <c r="P390" s="1663"/>
      <c r="Q390" s="1663"/>
      <c r="R390" s="1663"/>
      <c r="S390" s="1663"/>
      <c r="T390" s="1663"/>
      <c r="U390" s="1663"/>
      <c r="V390" s="1663"/>
      <c r="W390" s="1663"/>
      <c r="X390" s="1663"/>
      <c r="Y390" s="1664">
        <v>43315</v>
      </c>
      <c r="Z390" s="1662" t="s">
        <v>2145</v>
      </c>
      <c r="AA390" s="1665">
        <v>0</v>
      </c>
      <c r="AB390" s="1665">
        <v>0</v>
      </c>
      <c r="AC390" s="1680">
        <v>0</v>
      </c>
      <c r="AD390" s="1682">
        <v>43328</v>
      </c>
      <c r="AE390" s="1679" t="s">
        <v>2114</v>
      </c>
      <c r="AF390" s="1662" t="s">
        <v>2112</v>
      </c>
      <c r="AG390" s="1666"/>
      <c r="AH390" s="1667">
        <v>35000</v>
      </c>
      <c r="AI390" s="1665">
        <v>35000</v>
      </c>
      <c r="AJ390" s="1665">
        <v>35000</v>
      </c>
      <c r="AK390" s="1698">
        <v>32162.15</v>
      </c>
      <c r="AL390" s="1665">
        <v>2837.85</v>
      </c>
      <c r="AM390" s="1668"/>
      <c r="AN390" s="1665">
        <v>0</v>
      </c>
      <c r="AO390" s="1665">
        <v>0</v>
      </c>
      <c r="AP390" s="1665">
        <v>0</v>
      </c>
      <c r="AQ390" s="1665">
        <v>0</v>
      </c>
      <c r="AR390" s="1665">
        <v>0</v>
      </c>
      <c r="AS390" s="1665">
        <v>0</v>
      </c>
      <c r="AT390" s="1665">
        <v>0</v>
      </c>
      <c r="AU390" s="1665">
        <v>0</v>
      </c>
      <c r="AV390" s="1665">
        <v>0</v>
      </c>
      <c r="AW390" s="1665">
        <v>0</v>
      </c>
      <c r="AX390" s="1663"/>
      <c r="AY390" s="1663"/>
      <c r="AZ390" s="1663"/>
      <c r="BA390" s="1668"/>
      <c r="BB390" s="1668"/>
      <c r="BC390" s="1663"/>
      <c r="BD390" s="1663"/>
      <c r="BE390" s="1665">
        <v>0</v>
      </c>
      <c r="BF390" s="1665">
        <v>0</v>
      </c>
      <c r="BG390" s="1665">
        <v>0</v>
      </c>
      <c r="BH390" s="1665">
        <v>0</v>
      </c>
      <c r="BI390" s="1665">
        <v>0</v>
      </c>
      <c r="BJ390" s="1665">
        <v>0</v>
      </c>
      <c r="BK390" s="1665">
        <v>0</v>
      </c>
      <c r="BL390" s="1665">
        <v>0</v>
      </c>
      <c r="BM390" s="1665">
        <v>0</v>
      </c>
      <c r="BN390" s="1665">
        <v>0</v>
      </c>
      <c r="BO390" s="1668"/>
      <c r="BP390" s="1665">
        <v>0</v>
      </c>
      <c r="BQ390" s="1665">
        <v>0</v>
      </c>
      <c r="BR390" s="1665">
        <v>0</v>
      </c>
      <c r="BS390" s="1667">
        <v>0</v>
      </c>
      <c r="BT390" s="1665">
        <v>0</v>
      </c>
      <c r="BU390" s="1665">
        <v>0</v>
      </c>
      <c r="BV390" s="1665">
        <v>0</v>
      </c>
      <c r="BW390" s="1665">
        <v>0</v>
      </c>
      <c r="BX390" s="1665">
        <v>0</v>
      </c>
      <c r="BY390" s="1665">
        <v>0</v>
      </c>
      <c r="BZ390" s="1663"/>
      <c r="CA390" s="1663"/>
      <c r="CB390" s="1668"/>
      <c r="CC390" s="1668"/>
      <c r="CD390" s="1663"/>
      <c r="CE390" s="1663"/>
      <c r="CF390" s="1665">
        <v>0</v>
      </c>
      <c r="CG390" s="1665">
        <v>0</v>
      </c>
      <c r="CH390" s="1665">
        <v>0</v>
      </c>
      <c r="CI390" s="1665">
        <v>0</v>
      </c>
      <c r="CJ390" s="1665">
        <v>0</v>
      </c>
      <c r="CK390" s="1665">
        <v>0</v>
      </c>
      <c r="CL390" s="1668"/>
      <c r="CM390" s="1665">
        <v>0</v>
      </c>
      <c r="CN390" s="1665">
        <v>0</v>
      </c>
      <c r="CO390" s="1665">
        <v>0</v>
      </c>
      <c r="CP390" s="1665">
        <v>0</v>
      </c>
      <c r="CQ390" s="1665">
        <v>0</v>
      </c>
      <c r="CR390" s="1665">
        <v>0</v>
      </c>
      <c r="CS390" s="1665">
        <v>0</v>
      </c>
      <c r="CT390" s="1665">
        <v>0</v>
      </c>
      <c r="CU390" s="1665">
        <v>0</v>
      </c>
      <c r="CV390" s="1665">
        <v>0</v>
      </c>
      <c r="CW390" s="1668"/>
      <c r="CX390" s="1663"/>
      <c r="CY390" s="1663"/>
      <c r="CZ390" s="1663"/>
      <c r="DA390" s="1663"/>
      <c r="DB390" s="1668"/>
      <c r="DC390" s="1662"/>
      <c r="DD390" s="1665">
        <v>0</v>
      </c>
      <c r="DE390" s="1663"/>
      <c r="DF390" s="1663"/>
      <c r="DG390" s="1665">
        <v>0</v>
      </c>
      <c r="DH390" s="1665">
        <v>0</v>
      </c>
    </row>
    <row r="391" spans="1:112" ht="67.5" hidden="1" x14ac:dyDescent="0.25">
      <c r="A391" s="1662" t="s">
        <v>2490</v>
      </c>
      <c r="B391" s="1662" t="s">
        <v>1729</v>
      </c>
      <c r="C391" s="1662" t="s">
        <v>2652</v>
      </c>
      <c r="D391" s="1662" t="s">
        <v>2653</v>
      </c>
      <c r="E391" s="1662" t="s">
        <v>140</v>
      </c>
      <c r="F391" s="1662" t="s">
        <v>2654</v>
      </c>
      <c r="G391" s="1662" t="s">
        <v>2628</v>
      </c>
      <c r="H391" s="1662" t="s">
        <v>2613</v>
      </c>
      <c r="I391" s="1662" t="s">
        <v>1258</v>
      </c>
      <c r="J391" s="1662" t="s">
        <v>650</v>
      </c>
      <c r="K391" s="1662" t="s">
        <v>2117</v>
      </c>
      <c r="L391" s="1662" t="s">
        <v>2109</v>
      </c>
      <c r="M391" s="1665">
        <v>133554.21</v>
      </c>
      <c r="N391" s="1665">
        <v>0</v>
      </c>
      <c r="O391" s="1665">
        <v>133554.21</v>
      </c>
      <c r="P391" s="1665">
        <v>133554.21</v>
      </c>
      <c r="Q391" s="1665">
        <v>123528</v>
      </c>
      <c r="R391" s="1665">
        <v>113512</v>
      </c>
      <c r="S391" s="1665">
        <v>10016</v>
      </c>
      <c r="T391" s="1665">
        <v>10026.209999999999</v>
      </c>
      <c r="U391" s="1665">
        <v>0</v>
      </c>
      <c r="V391" s="1665">
        <v>10026.209999999999</v>
      </c>
      <c r="W391" s="1665">
        <v>0</v>
      </c>
      <c r="X391" s="1665">
        <v>0</v>
      </c>
      <c r="Y391" s="1668"/>
      <c r="Z391" s="1662"/>
      <c r="AA391" s="1665">
        <v>0</v>
      </c>
      <c r="AB391" s="1665">
        <v>0</v>
      </c>
      <c r="AC391" s="1680">
        <v>0</v>
      </c>
      <c r="AD391" s="1681"/>
      <c r="AE391" s="1679"/>
      <c r="AF391" s="1662"/>
      <c r="AG391" s="1666"/>
      <c r="AH391" s="1667">
        <v>38652.32</v>
      </c>
      <c r="AI391" s="1665">
        <v>38652.32</v>
      </c>
      <c r="AJ391" s="1665">
        <v>38532.660000000003</v>
      </c>
      <c r="AK391" s="1698">
        <v>35408.32</v>
      </c>
      <c r="AL391" s="1665">
        <v>3124.34</v>
      </c>
      <c r="AM391" s="1668"/>
      <c r="AN391" s="1665">
        <v>1593.92</v>
      </c>
      <c r="AO391" s="1665">
        <v>1593.92</v>
      </c>
      <c r="AP391" s="1665">
        <v>1474.26</v>
      </c>
      <c r="AQ391" s="1665">
        <v>1354.72</v>
      </c>
      <c r="AR391" s="1665">
        <v>119.54</v>
      </c>
      <c r="AS391" s="1665">
        <v>119.66</v>
      </c>
      <c r="AT391" s="1665">
        <v>0</v>
      </c>
      <c r="AU391" s="1665">
        <v>119.66</v>
      </c>
      <c r="AV391" s="1665">
        <v>0</v>
      </c>
      <c r="AW391" s="1665">
        <v>0</v>
      </c>
      <c r="AX391" s="1665">
        <v>0</v>
      </c>
      <c r="AY391" s="1665">
        <v>0</v>
      </c>
      <c r="AZ391" s="1665">
        <v>0</v>
      </c>
      <c r="BA391" s="1668"/>
      <c r="BB391" s="1668"/>
      <c r="BC391" s="1665">
        <v>0</v>
      </c>
      <c r="BD391" s="1665">
        <v>0</v>
      </c>
      <c r="BE391" s="1665">
        <v>1593.92</v>
      </c>
      <c r="BF391" s="1665">
        <v>1593.92</v>
      </c>
      <c r="BG391" s="1665">
        <v>1474.26</v>
      </c>
      <c r="BH391" s="1665">
        <v>1354.72</v>
      </c>
      <c r="BI391" s="1665">
        <v>119.54</v>
      </c>
      <c r="BJ391" s="1665">
        <v>119.66</v>
      </c>
      <c r="BK391" s="1665">
        <v>0</v>
      </c>
      <c r="BL391" s="1665">
        <v>119.66</v>
      </c>
      <c r="BM391" s="1665">
        <v>0</v>
      </c>
      <c r="BN391" s="1665">
        <v>0</v>
      </c>
      <c r="BO391" s="1668"/>
      <c r="BP391" s="1665">
        <v>1593.92</v>
      </c>
      <c r="BQ391" s="1665">
        <v>1593.92</v>
      </c>
      <c r="BR391" s="1665">
        <v>1474.26</v>
      </c>
      <c r="BS391" s="1667">
        <v>1354.72</v>
      </c>
      <c r="BT391" s="1665">
        <v>119.54</v>
      </c>
      <c r="BU391" s="1665">
        <v>119.66</v>
      </c>
      <c r="BV391" s="1665">
        <v>0</v>
      </c>
      <c r="BW391" s="1665">
        <v>0</v>
      </c>
      <c r="BX391" s="1665">
        <v>0</v>
      </c>
      <c r="BY391" s="1665">
        <v>0</v>
      </c>
      <c r="BZ391" s="1665">
        <v>0</v>
      </c>
      <c r="CA391" s="1665">
        <v>0</v>
      </c>
      <c r="CB391" s="1668"/>
      <c r="CC391" s="1668"/>
      <c r="CD391" s="1665">
        <v>0</v>
      </c>
      <c r="CE391" s="1665">
        <v>0</v>
      </c>
      <c r="CF391" s="1665">
        <v>0</v>
      </c>
      <c r="CG391" s="1665">
        <v>0</v>
      </c>
      <c r="CH391" s="1665">
        <v>0</v>
      </c>
      <c r="CI391" s="1665">
        <v>0</v>
      </c>
      <c r="CJ391" s="1665">
        <v>20.92</v>
      </c>
      <c r="CK391" s="1665">
        <v>20.92</v>
      </c>
      <c r="CL391" s="1668"/>
      <c r="CM391" s="1665">
        <v>0</v>
      </c>
      <c r="CN391" s="1665">
        <v>0</v>
      </c>
      <c r="CO391" s="1665">
        <v>0</v>
      </c>
      <c r="CP391" s="1665">
        <v>0</v>
      </c>
      <c r="CQ391" s="1665">
        <v>0</v>
      </c>
      <c r="CR391" s="1665">
        <v>0</v>
      </c>
      <c r="CS391" s="1665">
        <v>0</v>
      </c>
      <c r="CT391" s="1665">
        <v>0</v>
      </c>
      <c r="CU391" s="1665">
        <v>0</v>
      </c>
      <c r="CV391" s="1665">
        <v>0</v>
      </c>
      <c r="CW391" s="1668"/>
      <c r="CX391" s="1665">
        <v>0</v>
      </c>
      <c r="CY391" s="1665">
        <v>0</v>
      </c>
      <c r="CZ391" s="1665">
        <v>0</v>
      </c>
      <c r="DA391" s="1665">
        <v>0</v>
      </c>
      <c r="DB391" s="1668"/>
      <c r="DC391" s="1662"/>
      <c r="DD391" s="1665">
        <v>0</v>
      </c>
      <c r="DE391" s="1665">
        <v>0</v>
      </c>
      <c r="DF391" s="1665">
        <v>0</v>
      </c>
      <c r="DG391" s="1665">
        <v>0</v>
      </c>
      <c r="DH391" s="1665">
        <v>0</v>
      </c>
    </row>
    <row r="392" spans="1:112" ht="67.5" hidden="1" x14ac:dyDescent="0.25">
      <c r="A392" s="1662" t="s">
        <v>2491</v>
      </c>
      <c r="B392" s="1662" t="s">
        <v>1729</v>
      </c>
      <c r="C392" s="1662" t="s">
        <v>2652</v>
      </c>
      <c r="D392" s="1662" t="s">
        <v>2653</v>
      </c>
      <c r="E392" s="1662" t="s">
        <v>140</v>
      </c>
      <c r="F392" s="1662" t="s">
        <v>2654</v>
      </c>
      <c r="G392" s="1662" t="s">
        <v>2628</v>
      </c>
      <c r="H392" s="1662" t="s">
        <v>2613</v>
      </c>
      <c r="I392" s="1662" t="s">
        <v>1258</v>
      </c>
      <c r="J392" s="1662" t="s">
        <v>650</v>
      </c>
      <c r="K392" s="1662" t="s">
        <v>2117</v>
      </c>
      <c r="L392" s="1662" t="s">
        <v>2109</v>
      </c>
      <c r="M392" s="1663"/>
      <c r="N392" s="1663"/>
      <c r="O392" s="1663"/>
      <c r="P392" s="1663"/>
      <c r="Q392" s="1663"/>
      <c r="R392" s="1663"/>
      <c r="S392" s="1663"/>
      <c r="T392" s="1663"/>
      <c r="U392" s="1663"/>
      <c r="V392" s="1663"/>
      <c r="W392" s="1663"/>
      <c r="X392" s="1663"/>
      <c r="Y392" s="1664">
        <v>43259</v>
      </c>
      <c r="Z392" s="1662" t="s">
        <v>2110</v>
      </c>
      <c r="AA392" s="1665">
        <v>0</v>
      </c>
      <c r="AB392" s="1665">
        <v>0</v>
      </c>
      <c r="AC392" s="1680">
        <v>0</v>
      </c>
      <c r="AD392" s="1682">
        <v>43285</v>
      </c>
      <c r="AE392" s="1679" t="s">
        <v>2122</v>
      </c>
      <c r="AF392" s="1662" t="s">
        <v>2112</v>
      </c>
      <c r="AG392" s="1666"/>
      <c r="AH392" s="1667">
        <v>1593.92</v>
      </c>
      <c r="AI392" s="1665">
        <v>1593.92</v>
      </c>
      <c r="AJ392" s="1665">
        <v>1474.26</v>
      </c>
      <c r="AK392" s="1698">
        <v>1354.72</v>
      </c>
      <c r="AL392" s="1665">
        <v>119.54</v>
      </c>
      <c r="AM392" s="1664">
        <v>43285</v>
      </c>
      <c r="AN392" s="1665">
        <v>1593.92</v>
      </c>
      <c r="AO392" s="1665">
        <v>1593.92</v>
      </c>
      <c r="AP392" s="1665">
        <v>1474.26</v>
      </c>
      <c r="AQ392" s="1665">
        <v>1354.72</v>
      </c>
      <c r="AR392" s="1665">
        <v>119.54</v>
      </c>
      <c r="AS392" s="1665">
        <v>119.66</v>
      </c>
      <c r="AT392" s="1665">
        <v>0</v>
      </c>
      <c r="AU392" s="1665">
        <v>119.66</v>
      </c>
      <c r="AV392" s="1665">
        <v>0</v>
      </c>
      <c r="AW392" s="1665">
        <v>0</v>
      </c>
      <c r="AX392" s="1663"/>
      <c r="AY392" s="1663"/>
      <c r="AZ392" s="1663"/>
      <c r="BA392" s="1668"/>
      <c r="BB392" s="1668"/>
      <c r="BC392" s="1663"/>
      <c r="BD392" s="1663"/>
      <c r="BE392" s="1665">
        <v>1593.92</v>
      </c>
      <c r="BF392" s="1665">
        <v>1593.92</v>
      </c>
      <c r="BG392" s="1665">
        <v>1474.26</v>
      </c>
      <c r="BH392" s="1665">
        <v>1354.72</v>
      </c>
      <c r="BI392" s="1665">
        <v>119.54</v>
      </c>
      <c r="BJ392" s="1665">
        <v>119.66</v>
      </c>
      <c r="BK392" s="1665">
        <v>0</v>
      </c>
      <c r="BL392" s="1665">
        <v>119.66</v>
      </c>
      <c r="BM392" s="1665">
        <v>0</v>
      </c>
      <c r="BN392" s="1665">
        <v>0</v>
      </c>
      <c r="BO392" s="1664">
        <v>43364</v>
      </c>
      <c r="BP392" s="1665">
        <v>1593.92</v>
      </c>
      <c r="BQ392" s="1665">
        <v>1593.92</v>
      </c>
      <c r="BR392" s="1665">
        <v>1474.26</v>
      </c>
      <c r="BS392" s="1667">
        <v>1354.72</v>
      </c>
      <c r="BT392" s="1665">
        <v>119.54</v>
      </c>
      <c r="BU392" s="1665">
        <v>119.66</v>
      </c>
      <c r="BV392" s="1665">
        <v>0</v>
      </c>
      <c r="BW392" s="1665">
        <v>0</v>
      </c>
      <c r="BX392" s="1665">
        <v>0</v>
      </c>
      <c r="BY392" s="1665">
        <v>0</v>
      </c>
      <c r="BZ392" s="1665">
        <v>0</v>
      </c>
      <c r="CA392" s="1663"/>
      <c r="CB392" s="1668"/>
      <c r="CC392" s="1668"/>
      <c r="CD392" s="1663"/>
      <c r="CE392" s="1663"/>
      <c r="CF392" s="1665">
        <v>0</v>
      </c>
      <c r="CG392" s="1665">
        <v>0</v>
      </c>
      <c r="CH392" s="1665">
        <v>0</v>
      </c>
      <c r="CI392" s="1665">
        <v>0</v>
      </c>
      <c r="CJ392" s="1665">
        <v>20.92</v>
      </c>
      <c r="CK392" s="1665">
        <v>20.92</v>
      </c>
      <c r="CL392" s="1668"/>
      <c r="CM392" s="1665">
        <v>0</v>
      </c>
      <c r="CN392" s="1665">
        <v>0</v>
      </c>
      <c r="CO392" s="1665">
        <v>0</v>
      </c>
      <c r="CP392" s="1665">
        <v>0</v>
      </c>
      <c r="CQ392" s="1665">
        <v>0</v>
      </c>
      <c r="CR392" s="1665">
        <v>0</v>
      </c>
      <c r="CS392" s="1665">
        <v>0</v>
      </c>
      <c r="CT392" s="1665">
        <v>0</v>
      </c>
      <c r="CU392" s="1665">
        <v>0</v>
      </c>
      <c r="CV392" s="1665">
        <v>0</v>
      </c>
      <c r="CW392" s="1668"/>
      <c r="CX392" s="1663"/>
      <c r="CY392" s="1663"/>
      <c r="CZ392" s="1663"/>
      <c r="DA392" s="1663"/>
      <c r="DB392" s="1668"/>
      <c r="DC392" s="1662"/>
      <c r="DD392" s="1665">
        <v>0</v>
      </c>
      <c r="DE392" s="1663"/>
      <c r="DF392" s="1663"/>
      <c r="DG392" s="1665">
        <v>0</v>
      </c>
      <c r="DH392" s="1665">
        <v>0</v>
      </c>
    </row>
    <row r="393" spans="1:112" ht="67.5" hidden="1" x14ac:dyDescent="0.25">
      <c r="A393" s="1662" t="s">
        <v>2492</v>
      </c>
      <c r="B393" s="1662" t="s">
        <v>1729</v>
      </c>
      <c r="C393" s="1662" t="s">
        <v>2652</v>
      </c>
      <c r="D393" s="1662" t="s">
        <v>2653</v>
      </c>
      <c r="E393" s="1662" t="s">
        <v>140</v>
      </c>
      <c r="F393" s="1662" t="s">
        <v>2654</v>
      </c>
      <c r="G393" s="1662" t="s">
        <v>2628</v>
      </c>
      <c r="H393" s="1662" t="s">
        <v>2613</v>
      </c>
      <c r="I393" s="1662" t="s">
        <v>1258</v>
      </c>
      <c r="J393" s="1662" t="s">
        <v>650</v>
      </c>
      <c r="K393" s="1662" t="s">
        <v>2117</v>
      </c>
      <c r="L393" s="1662" t="s">
        <v>2109</v>
      </c>
      <c r="M393" s="1663"/>
      <c r="N393" s="1663"/>
      <c r="O393" s="1663"/>
      <c r="P393" s="1663"/>
      <c r="Q393" s="1663"/>
      <c r="R393" s="1663"/>
      <c r="S393" s="1663"/>
      <c r="T393" s="1663"/>
      <c r="U393" s="1663"/>
      <c r="V393" s="1663"/>
      <c r="W393" s="1663"/>
      <c r="X393" s="1663"/>
      <c r="Y393" s="1664">
        <v>43350</v>
      </c>
      <c r="Z393" s="1662" t="s">
        <v>2145</v>
      </c>
      <c r="AA393" s="1665">
        <v>0</v>
      </c>
      <c r="AB393" s="1665">
        <v>0</v>
      </c>
      <c r="AC393" s="1680">
        <v>0</v>
      </c>
      <c r="AD393" s="1682">
        <v>43356</v>
      </c>
      <c r="AE393" s="1679" t="s">
        <v>2111</v>
      </c>
      <c r="AF393" s="1662" t="s">
        <v>2112</v>
      </c>
      <c r="AG393" s="1666"/>
      <c r="AH393" s="1667">
        <v>37058.400000000001</v>
      </c>
      <c r="AI393" s="1665">
        <v>37058.400000000001</v>
      </c>
      <c r="AJ393" s="1665">
        <v>37058.400000000001</v>
      </c>
      <c r="AK393" s="1698">
        <v>34053.599999999999</v>
      </c>
      <c r="AL393" s="1665">
        <v>3004.8</v>
      </c>
      <c r="AM393" s="1668"/>
      <c r="AN393" s="1665">
        <v>0</v>
      </c>
      <c r="AO393" s="1665">
        <v>0</v>
      </c>
      <c r="AP393" s="1665">
        <v>0</v>
      </c>
      <c r="AQ393" s="1665">
        <v>0</v>
      </c>
      <c r="AR393" s="1665">
        <v>0</v>
      </c>
      <c r="AS393" s="1665">
        <v>0</v>
      </c>
      <c r="AT393" s="1665">
        <v>0</v>
      </c>
      <c r="AU393" s="1665">
        <v>0</v>
      </c>
      <c r="AV393" s="1665">
        <v>0</v>
      </c>
      <c r="AW393" s="1665">
        <v>0</v>
      </c>
      <c r="AX393" s="1663"/>
      <c r="AY393" s="1663"/>
      <c r="AZ393" s="1663"/>
      <c r="BA393" s="1668"/>
      <c r="BB393" s="1668"/>
      <c r="BC393" s="1663"/>
      <c r="BD393" s="1663"/>
      <c r="BE393" s="1665">
        <v>0</v>
      </c>
      <c r="BF393" s="1665">
        <v>0</v>
      </c>
      <c r="BG393" s="1665">
        <v>0</v>
      </c>
      <c r="BH393" s="1665">
        <v>0</v>
      </c>
      <c r="BI393" s="1665">
        <v>0</v>
      </c>
      <c r="BJ393" s="1665">
        <v>0</v>
      </c>
      <c r="BK393" s="1665">
        <v>0</v>
      </c>
      <c r="BL393" s="1665">
        <v>0</v>
      </c>
      <c r="BM393" s="1665">
        <v>0</v>
      </c>
      <c r="BN393" s="1665">
        <v>0</v>
      </c>
      <c r="BO393" s="1668"/>
      <c r="BP393" s="1665">
        <v>0</v>
      </c>
      <c r="BQ393" s="1665">
        <v>0</v>
      </c>
      <c r="BR393" s="1665">
        <v>0</v>
      </c>
      <c r="BS393" s="1667">
        <v>0</v>
      </c>
      <c r="BT393" s="1665">
        <v>0</v>
      </c>
      <c r="BU393" s="1665">
        <v>0</v>
      </c>
      <c r="BV393" s="1665">
        <v>0</v>
      </c>
      <c r="BW393" s="1665">
        <v>0</v>
      </c>
      <c r="BX393" s="1665">
        <v>0</v>
      </c>
      <c r="BY393" s="1665">
        <v>0</v>
      </c>
      <c r="BZ393" s="1663"/>
      <c r="CA393" s="1663"/>
      <c r="CB393" s="1668"/>
      <c r="CC393" s="1668"/>
      <c r="CD393" s="1663"/>
      <c r="CE393" s="1663"/>
      <c r="CF393" s="1665">
        <v>0</v>
      </c>
      <c r="CG393" s="1665">
        <v>0</v>
      </c>
      <c r="CH393" s="1665">
        <v>0</v>
      </c>
      <c r="CI393" s="1665">
        <v>0</v>
      </c>
      <c r="CJ393" s="1665">
        <v>0</v>
      </c>
      <c r="CK393" s="1665">
        <v>0</v>
      </c>
      <c r="CL393" s="1668"/>
      <c r="CM393" s="1665">
        <v>0</v>
      </c>
      <c r="CN393" s="1665">
        <v>0</v>
      </c>
      <c r="CO393" s="1665">
        <v>0</v>
      </c>
      <c r="CP393" s="1665">
        <v>0</v>
      </c>
      <c r="CQ393" s="1665">
        <v>0</v>
      </c>
      <c r="CR393" s="1665">
        <v>0</v>
      </c>
      <c r="CS393" s="1665">
        <v>0</v>
      </c>
      <c r="CT393" s="1665">
        <v>0</v>
      </c>
      <c r="CU393" s="1665">
        <v>0</v>
      </c>
      <c r="CV393" s="1665">
        <v>0</v>
      </c>
      <c r="CW393" s="1668"/>
      <c r="CX393" s="1663"/>
      <c r="CY393" s="1663"/>
      <c r="CZ393" s="1663"/>
      <c r="DA393" s="1663"/>
      <c r="DB393" s="1668"/>
      <c r="DC393" s="1662"/>
      <c r="DD393" s="1665">
        <v>0</v>
      </c>
      <c r="DE393" s="1663"/>
      <c r="DF393" s="1663"/>
      <c r="DG393" s="1665">
        <v>0</v>
      </c>
      <c r="DH393" s="1665">
        <v>0</v>
      </c>
    </row>
    <row r="394" spans="1:112" ht="45" hidden="1" x14ac:dyDescent="0.25">
      <c r="A394" s="1662" t="s">
        <v>2495</v>
      </c>
      <c r="B394" s="1662" t="s">
        <v>1729</v>
      </c>
      <c r="C394" s="1662" t="s">
        <v>2652</v>
      </c>
      <c r="D394" s="1662" t="s">
        <v>2653</v>
      </c>
      <c r="E394" s="1662" t="s">
        <v>140</v>
      </c>
      <c r="F394" s="1662" t="s">
        <v>2654</v>
      </c>
      <c r="G394" s="1662" t="s">
        <v>2628</v>
      </c>
      <c r="H394" s="1662" t="s">
        <v>2613</v>
      </c>
      <c r="I394" s="1662" t="s">
        <v>1259</v>
      </c>
      <c r="J394" s="1662" t="s">
        <v>138</v>
      </c>
      <c r="K394" s="1662" t="s">
        <v>2108</v>
      </c>
      <c r="L394" s="1662" t="s">
        <v>2109</v>
      </c>
      <c r="M394" s="1665">
        <v>370000</v>
      </c>
      <c r="N394" s="1665">
        <v>0</v>
      </c>
      <c r="O394" s="1665">
        <v>370000</v>
      </c>
      <c r="P394" s="1665">
        <v>370000</v>
      </c>
      <c r="Q394" s="1665">
        <v>312658</v>
      </c>
      <c r="R394" s="1665">
        <v>287307</v>
      </c>
      <c r="S394" s="1665">
        <v>25351</v>
      </c>
      <c r="T394" s="1665">
        <v>57342</v>
      </c>
      <c r="U394" s="1665">
        <v>0</v>
      </c>
      <c r="V394" s="1665">
        <v>57342</v>
      </c>
      <c r="W394" s="1665">
        <v>0</v>
      </c>
      <c r="X394" s="1665">
        <v>0</v>
      </c>
      <c r="Y394" s="1668"/>
      <c r="Z394" s="1662"/>
      <c r="AA394" s="1665">
        <v>0</v>
      </c>
      <c r="AB394" s="1665">
        <v>0</v>
      </c>
      <c r="AC394" s="1680">
        <v>0</v>
      </c>
      <c r="AD394" s="1681"/>
      <c r="AE394" s="1679"/>
      <c r="AF394" s="1662"/>
      <c r="AG394" s="1666"/>
      <c r="AH394" s="1667">
        <v>924.79</v>
      </c>
      <c r="AI394" s="1665">
        <v>924.79</v>
      </c>
      <c r="AJ394" s="1665">
        <v>781.46</v>
      </c>
      <c r="AK394" s="1698">
        <v>718.1</v>
      </c>
      <c r="AL394" s="1665">
        <v>63.36</v>
      </c>
      <c r="AM394" s="1668"/>
      <c r="AN394" s="1665">
        <v>924.79</v>
      </c>
      <c r="AO394" s="1665">
        <v>924.79</v>
      </c>
      <c r="AP394" s="1665">
        <v>781.46</v>
      </c>
      <c r="AQ394" s="1665">
        <v>718.1</v>
      </c>
      <c r="AR394" s="1665">
        <v>63.36</v>
      </c>
      <c r="AS394" s="1665">
        <v>143.33000000000001</v>
      </c>
      <c r="AT394" s="1665">
        <v>0</v>
      </c>
      <c r="AU394" s="1665">
        <v>143.33000000000001</v>
      </c>
      <c r="AV394" s="1665">
        <v>0</v>
      </c>
      <c r="AW394" s="1665">
        <v>0</v>
      </c>
      <c r="AX394" s="1665">
        <v>0</v>
      </c>
      <c r="AY394" s="1665">
        <v>0</v>
      </c>
      <c r="AZ394" s="1665">
        <v>0</v>
      </c>
      <c r="BA394" s="1668"/>
      <c r="BB394" s="1668"/>
      <c r="BC394" s="1665">
        <v>0</v>
      </c>
      <c r="BD394" s="1665">
        <v>0</v>
      </c>
      <c r="BE394" s="1665">
        <v>924.79</v>
      </c>
      <c r="BF394" s="1665">
        <v>924.79</v>
      </c>
      <c r="BG394" s="1665">
        <v>781.46</v>
      </c>
      <c r="BH394" s="1665">
        <v>718.1</v>
      </c>
      <c r="BI394" s="1665">
        <v>63.36</v>
      </c>
      <c r="BJ394" s="1665">
        <v>143.33000000000001</v>
      </c>
      <c r="BK394" s="1665">
        <v>0</v>
      </c>
      <c r="BL394" s="1665">
        <v>143.33000000000001</v>
      </c>
      <c r="BM394" s="1665">
        <v>0</v>
      </c>
      <c r="BN394" s="1665">
        <v>0</v>
      </c>
      <c r="BO394" s="1668"/>
      <c r="BP394" s="1665">
        <v>924.79</v>
      </c>
      <c r="BQ394" s="1665">
        <v>924.79</v>
      </c>
      <c r="BR394" s="1665">
        <v>781.46</v>
      </c>
      <c r="BS394" s="1667">
        <v>718.1</v>
      </c>
      <c r="BT394" s="1665">
        <v>63.36</v>
      </c>
      <c r="BU394" s="1665">
        <v>143.33000000000001</v>
      </c>
      <c r="BV394" s="1665">
        <v>0</v>
      </c>
      <c r="BW394" s="1665">
        <v>0</v>
      </c>
      <c r="BX394" s="1665">
        <v>0</v>
      </c>
      <c r="BY394" s="1665">
        <v>0</v>
      </c>
      <c r="BZ394" s="1665">
        <v>0</v>
      </c>
      <c r="CA394" s="1665">
        <v>0</v>
      </c>
      <c r="CB394" s="1668"/>
      <c r="CC394" s="1668"/>
      <c r="CD394" s="1665">
        <v>0</v>
      </c>
      <c r="CE394" s="1665">
        <v>0</v>
      </c>
      <c r="CF394" s="1665">
        <v>0</v>
      </c>
      <c r="CG394" s="1665">
        <v>0</v>
      </c>
      <c r="CH394" s="1665">
        <v>0</v>
      </c>
      <c r="CI394" s="1665">
        <v>0</v>
      </c>
      <c r="CJ394" s="1665">
        <v>10.06</v>
      </c>
      <c r="CK394" s="1665">
        <v>10.06</v>
      </c>
      <c r="CL394" s="1668"/>
      <c r="CM394" s="1665">
        <v>0</v>
      </c>
      <c r="CN394" s="1665">
        <v>0</v>
      </c>
      <c r="CO394" s="1665">
        <v>0</v>
      </c>
      <c r="CP394" s="1665">
        <v>0</v>
      </c>
      <c r="CQ394" s="1665">
        <v>0</v>
      </c>
      <c r="CR394" s="1665">
        <v>0</v>
      </c>
      <c r="CS394" s="1665">
        <v>0</v>
      </c>
      <c r="CT394" s="1665">
        <v>0</v>
      </c>
      <c r="CU394" s="1665">
        <v>0</v>
      </c>
      <c r="CV394" s="1665">
        <v>0</v>
      </c>
      <c r="CW394" s="1668"/>
      <c r="CX394" s="1665">
        <v>0</v>
      </c>
      <c r="CY394" s="1665">
        <v>0</v>
      </c>
      <c r="CZ394" s="1665">
        <v>0</v>
      </c>
      <c r="DA394" s="1665">
        <v>0</v>
      </c>
      <c r="DB394" s="1668"/>
      <c r="DC394" s="1662"/>
      <c r="DD394" s="1665">
        <v>0</v>
      </c>
      <c r="DE394" s="1665">
        <v>0</v>
      </c>
      <c r="DF394" s="1665">
        <v>0</v>
      </c>
      <c r="DG394" s="1665">
        <v>0</v>
      </c>
      <c r="DH394" s="1665">
        <v>0</v>
      </c>
    </row>
    <row r="395" spans="1:112" ht="45" hidden="1" x14ac:dyDescent="0.25">
      <c r="A395" s="1662" t="s">
        <v>2496</v>
      </c>
      <c r="B395" s="1662" t="s">
        <v>1729</v>
      </c>
      <c r="C395" s="1662" t="s">
        <v>2652</v>
      </c>
      <c r="D395" s="1662" t="s">
        <v>2653</v>
      </c>
      <c r="E395" s="1662" t="s">
        <v>140</v>
      </c>
      <c r="F395" s="1662" t="s">
        <v>2654</v>
      </c>
      <c r="G395" s="1662" t="s">
        <v>2628</v>
      </c>
      <c r="H395" s="1662" t="s">
        <v>2613</v>
      </c>
      <c r="I395" s="1662" t="s">
        <v>1259</v>
      </c>
      <c r="J395" s="1662" t="s">
        <v>138</v>
      </c>
      <c r="K395" s="1662" t="s">
        <v>2108</v>
      </c>
      <c r="L395" s="1662" t="s">
        <v>2109</v>
      </c>
      <c r="M395" s="1663"/>
      <c r="N395" s="1663"/>
      <c r="O395" s="1663"/>
      <c r="P395" s="1663"/>
      <c r="Q395" s="1663"/>
      <c r="R395" s="1663"/>
      <c r="S395" s="1663"/>
      <c r="T395" s="1663"/>
      <c r="U395" s="1663"/>
      <c r="V395" s="1663"/>
      <c r="W395" s="1663"/>
      <c r="X395" s="1663"/>
      <c r="Y395" s="1664">
        <v>43269</v>
      </c>
      <c r="Z395" s="1662" t="s">
        <v>2110</v>
      </c>
      <c r="AA395" s="1665">
        <v>0</v>
      </c>
      <c r="AB395" s="1665">
        <v>0</v>
      </c>
      <c r="AC395" s="1680">
        <v>0</v>
      </c>
      <c r="AD395" s="1682">
        <v>43297</v>
      </c>
      <c r="AE395" s="1679" t="s">
        <v>2122</v>
      </c>
      <c r="AF395" s="1662" t="s">
        <v>2112</v>
      </c>
      <c r="AG395" s="1666"/>
      <c r="AH395" s="1667">
        <v>924.79</v>
      </c>
      <c r="AI395" s="1665">
        <v>924.79</v>
      </c>
      <c r="AJ395" s="1665">
        <v>781.46</v>
      </c>
      <c r="AK395" s="1698">
        <v>718.1</v>
      </c>
      <c r="AL395" s="1665">
        <v>63.36</v>
      </c>
      <c r="AM395" s="1664">
        <v>43297</v>
      </c>
      <c r="AN395" s="1665">
        <v>924.79</v>
      </c>
      <c r="AO395" s="1665">
        <v>924.79</v>
      </c>
      <c r="AP395" s="1665">
        <v>781.46</v>
      </c>
      <c r="AQ395" s="1665">
        <v>718.1</v>
      </c>
      <c r="AR395" s="1665">
        <v>63.36</v>
      </c>
      <c r="AS395" s="1665">
        <v>143.33000000000001</v>
      </c>
      <c r="AT395" s="1665">
        <v>0</v>
      </c>
      <c r="AU395" s="1665">
        <v>143.33000000000001</v>
      </c>
      <c r="AV395" s="1665">
        <v>0</v>
      </c>
      <c r="AW395" s="1665">
        <v>0</v>
      </c>
      <c r="AX395" s="1663"/>
      <c r="AY395" s="1663"/>
      <c r="AZ395" s="1663"/>
      <c r="BA395" s="1668"/>
      <c r="BB395" s="1668"/>
      <c r="BC395" s="1663"/>
      <c r="BD395" s="1663"/>
      <c r="BE395" s="1665">
        <v>924.79</v>
      </c>
      <c r="BF395" s="1665">
        <v>924.79</v>
      </c>
      <c r="BG395" s="1665">
        <v>781.46</v>
      </c>
      <c r="BH395" s="1665">
        <v>718.1</v>
      </c>
      <c r="BI395" s="1665">
        <v>63.36</v>
      </c>
      <c r="BJ395" s="1665">
        <v>143.33000000000001</v>
      </c>
      <c r="BK395" s="1665">
        <v>0</v>
      </c>
      <c r="BL395" s="1665">
        <v>143.33000000000001</v>
      </c>
      <c r="BM395" s="1665">
        <v>0</v>
      </c>
      <c r="BN395" s="1665">
        <v>0</v>
      </c>
      <c r="BO395" s="1664">
        <v>43364</v>
      </c>
      <c r="BP395" s="1665">
        <v>924.79</v>
      </c>
      <c r="BQ395" s="1665">
        <v>924.79</v>
      </c>
      <c r="BR395" s="1665">
        <v>781.46</v>
      </c>
      <c r="BS395" s="1667">
        <v>718.1</v>
      </c>
      <c r="BT395" s="1665">
        <v>63.36</v>
      </c>
      <c r="BU395" s="1665">
        <v>143.33000000000001</v>
      </c>
      <c r="BV395" s="1665">
        <v>0</v>
      </c>
      <c r="BW395" s="1665">
        <v>0</v>
      </c>
      <c r="BX395" s="1665">
        <v>0</v>
      </c>
      <c r="BY395" s="1665">
        <v>0</v>
      </c>
      <c r="BZ395" s="1665">
        <v>0</v>
      </c>
      <c r="CA395" s="1663"/>
      <c r="CB395" s="1668"/>
      <c r="CC395" s="1668"/>
      <c r="CD395" s="1663"/>
      <c r="CE395" s="1663"/>
      <c r="CF395" s="1665">
        <v>0</v>
      </c>
      <c r="CG395" s="1665">
        <v>0</v>
      </c>
      <c r="CH395" s="1665">
        <v>0</v>
      </c>
      <c r="CI395" s="1665">
        <v>0</v>
      </c>
      <c r="CJ395" s="1665">
        <v>10.06</v>
      </c>
      <c r="CK395" s="1665">
        <v>10.06</v>
      </c>
      <c r="CL395" s="1668"/>
      <c r="CM395" s="1665">
        <v>0</v>
      </c>
      <c r="CN395" s="1665">
        <v>0</v>
      </c>
      <c r="CO395" s="1665">
        <v>0</v>
      </c>
      <c r="CP395" s="1665">
        <v>0</v>
      </c>
      <c r="CQ395" s="1665">
        <v>0</v>
      </c>
      <c r="CR395" s="1665">
        <v>0</v>
      </c>
      <c r="CS395" s="1665">
        <v>0</v>
      </c>
      <c r="CT395" s="1665">
        <v>0</v>
      </c>
      <c r="CU395" s="1665">
        <v>0</v>
      </c>
      <c r="CV395" s="1665">
        <v>0</v>
      </c>
      <c r="CW395" s="1668"/>
      <c r="CX395" s="1663"/>
      <c r="CY395" s="1663"/>
      <c r="CZ395" s="1663"/>
      <c r="DA395" s="1663"/>
      <c r="DB395" s="1668"/>
      <c r="DC395" s="1662"/>
      <c r="DD395" s="1665">
        <v>0</v>
      </c>
      <c r="DE395" s="1663"/>
      <c r="DF395" s="1663"/>
      <c r="DG395" s="1665">
        <v>0</v>
      </c>
      <c r="DH395" s="1665">
        <v>0</v>
      </c>
    </row>
    <row r="396" spans="1:112" ht="78.75" hidden="1" x14ac:dyDescent="0.25">
      <c r="A396" s="1662" t="s">
        <v>2497</v>
      </c>
      <c r="B396" s="1662" t="s">
        <v>1729</v>
      </c>
      <c r="C396" s="1662" t="s">
        <v>2652</v>
      </c>
      <c r="D396" s="1662" t="s">
        <v>2653</v>
      </c>
      <c r="E396" s="1662" t="s">
        <v>140</v>
      </c>
      <c r="F396" s="1662" t="s">
        <v>2654</v>
      </c>
      <c r="G396" s="1662" t="s">
        <v>2628</v>
      </c>
      <c r="H396" s="1662" t="s">
        <v>2613</v>
      </c>
      <c r="I396" s="1662" t="s">
        <v>2493</v>
      </c>
      <c r="J396" s="1662" t="s">
        <v>2494</v>
      </c>
      <c r="K396" s="1662" t="s">
        <v>2159</v>
      </c>
      <c r="L396" s="1662" t="s">
        <v>2109</v>
      </c>
      <c r="M396" s="1665">
        <v>176024.68</v>
      </c>
      <c r="N396" s="1665">
        <v>0</v>
      </c>
      <c r="O396" s="1665">
        <v>176024.68</v>
      </c>
      <c r="P396" s="1665">
        <v>176024.68</v>
      </c>
      <c r="Q396" s="1665">
        <v>96933</v>
      </c>
      <c r="R396" s="1665">
        <v>89074</v>
      </c>
      <c r="S396" s="1665">
        <v>7859</v>
      </c>
      <c r="T396" s="1665">
        <v>79091.679999999993</v>
      </c>
      <c r="U396" s="1665">
        <v>0</v>
      </c>
      <c r="V396" s="1665">
        <v>79091.679999999993</v>
      </c>
      <c r="W396" s="1665">
        <v>0</v>
      </c>
      <c r="X396" s="1665">
        <v>0</v>
      </c>
      <c r="Y396" s="1668"/>
      <c r="Z396" s="1662"/>
      <c r="AA396" s="1665">
        <v>0</v>
      </c>
      <c r="AB396" s="1665">
        <v>0</v>
      </c>
      <c r="AC396" s="1680">
        <v>0</v>
      </c>
      <c r="AD396" s="1681"/>
      <c r="AE396" s="1679"/>
      <c r="AF396" s="1662"/>
      <c r="AG396" s="1666"/>
      <c r="AH396" s="1667">
        <v>5982</v>
      </c>
      <c r="AI396" s="1665">
        <v>5982</v>
      </c>
      <c r="AJ396" s="1665">
        <v>3294.16</v>
      </c>
      <c r="AK396" s="1698">
        <v>3027.08</v>
      </c>
      <c r="AL396" s="1665">
        <v>267.08</v>
      </c>
      <c r="AM396" s="1668"/>
      <c r="AN396" s="1665">
        <v>5982</v>
      </c>
      <c r="AO396" s="1665">
        <v>5982</v>
      </c>
      <c r="AP396" s="1665">
        <v>3294.16</v>
      </c>
      <c r="AQ396" s="1665">
        <v>3027.08</v>
      </c>
      <c r="AR396" s="1665">
        <v>267.08</v>
      </c>
      <c r="AS396" s="1665">
        <v>2687.84</v>
      </c>
      <c r="AT396" s="1665">
        <v>0</v>
      </c>
      <c r="AU396" s="1665">
        <v>2687.84</v>
      </c>
      <c r="AV396" s="1665">
        <v>0</v>
      </c>
      <c r="AW396" s="1665">
        <v>0</v>
      </c>
      <c r="AX396" s="1665">
        <v>0</v>
      </c>
      <c r="AY396" s="1665">
        <v>0</v>
      </c>
      <c r="AZ396" s="1665">
        <v>0</v>
      </c>
      <c r="BA396" s="1668"/>
      <c r="BB396" s="1668"/>
      <c r="BC396" s="1665">
        <v>0</v>
      </c>
      <c r="BD396" s="1665">
        <v>0</v>
      </c>
      <c r="BE396" s="1665">
        <v>5982</v>
      </c>
      <c r="BF396" s="1665">
        <v>5982</v>
      </c>
      <c r="BG396" s="1665">
        <v>3294.16</v>
      </c>
      <c r="BH396" s="1665">
        <v>3027.08</v>
      </c>
      <c r="BI396" s="1665">
        <v>267.08</v>
      </c>
      <c r="BJ396" s="1665">
        <v>2687.84</v>
      </c>
      <c r="BK396" s="1665">
        <v>0</v>
      </c>
      <c r="BL396" s="1665">
        <v>2687.84</v>
      </c>
      <c r="BM396" s="1665">
        <v>0</v>
      </c>
      <c r="BN396" s="1665">
        <v>0</v>
      </c>
      <c r="BO396" s="1668"/>
      <c r="BP396" s="1665">
        <v>0</v>
      </c>
      <c r="BQ396" s="1665">
        <v>0</v>
      </c>
      <c r="BR396" s="1665">
        <v>0</v>
      </c>
      <c r="BS396" s="1667">
        <v>0</v>
      </c>
      <c r="BT396" s="1665">
        <v>0</v>
      </c>
      <c r="BU396" s="1665">
        <v>0</v>
      </c>
      <c r="BV396" s="1665">
        <v>0</v>
      </c>
      <c r="BW396" s="1665">
        <v>0</v>
      </c>
      <c r="BX396" s="1665">
        <v>0</v>
      </c>
      <c r="BY396" s="1665">
        <v>0</v>
      </c>
      <c r="BZ396" s="1663"/>
      <c r="CA396" s="1665">
        <v>0</v>
      </c>
      <c r="CB396" s="1668"/>
      <c r="CC396" s="1668"/>
      <c r="CD396" s="1665">
        <v>0</v>
      </c>
      <c r="CE396" s="1665">
        <v>0</v>
      </c>
      <c r="CF396" s="1665">
        <v>0</v>
      </c>
      <c r="CG396" s="1665">
        <v>0</v>
      </c>
      <c r="CH396" s="1665">
        <v>0</v>
      </c>
      <c r="CI396" s="1665">
        <v>0</v>
      </c>
      <c r="CJ396" s="1665">
        <v>0</v>
      </c>
      <c r="CK396" s="1665">
        <v>0</v>
      </c>
      <c r="CL396" s="1668"/>
      <c r="CM396" s="1665">
        <v>0</v>
      </c>
      <c r="CN396" s="1665">
        <v>0</v>
      </c>
      <c r="CO396" s="1665">
        <v>0</v>
      </c>
      <c r="CP396" s="1665">
        <v>0</v>
      </c>
      <c r="CQ396" s="1665">
        <v>0</v>
      </c>
      <c r="CR396" s="1665">
        <v>0</v>
      </c>
      <c r="CS396" s="1665">
        <v>0</v>
      </c>
      <c r="CT396" s="1665">
        <v>0</v>
      </c>
      <c r="CU396" s="1665">
        <v>0</v>
      </c>
      <c r="CV396" s="1665">
        <v>0</v>
      </c>
      <c r="CW396" s="1668"/>
      <c r="CX396" s="1665">
        <v>0</v>
      </c>
      <c r="CY396" s="1665">
        <v>0</v>
      </c>
      <c r="CZ396" s="1665">
        <v>0</v>
      </c>
      <c r="DA396" s="1665">
        <v>0</v>
      </c>
      <c r="DB396" s="1668"/>
      <c r="DC396" s="1662"/>
      <c r="DD396" s="1665">
        <v>0</v>
      </c>
      <c r="DE396" s="1665">
        <v>0</v>
      </c>
      <c r="DF396" s="1665">
        <v>0</v>
      </c>
      <c r="DG396" s="1665">
        <v>0</v>
      </c>
      <c r="DH396" s="1665">
        <v>0</v>
      </c>
    </row>
    <row r="397" spans="1:112" ht="78.75" hidden="1" x14ac:dyDescent="0.25">
      <c r="A397" s="1662" t="s">
        <v>2499</v>
      </c>
      <c r="B397" s="1662" t="s">
        <v>1729</v>
      </c>
      <c r="C397" s="1662" t="s">
        <v>2652</v>
      </c>
      <c r="D397" s="1662" t="s">
        <v>2653</v>
      </c>
      <c r="E397" s="1662" t="s">
        <v>140</v>
      </c>
      <c r="F397" s="1662" t="s">
        <v>2654</v>
      </c>
      <c r="G397" s="1662" t="s">
        <v>2628</v>
      </c>
      <c r="H397" s="1662" t="s">
        <v>2613</v>
      </c>
      <c r="I397" s="1662" t="s">
        <v>2493</v>
      </c>
      <c r="J397" s="1662" t="s">
        <v>2494</v>
      </c>
      <c r="K397" s="1662" t="s">
        <v>2159</v>
      </c>
      <c r="L397" s="1662" t="s">
        <v>2109</v>
      </c>
      <c r="M397" s="1663"/>
      <c r="N397" s="1663"/>
      <c r="O397" s="1663"/>
      <c r="P397" s="1663"/>
      <c r="Q397" s="1663"/>
      <c r="R397" s="1663"/>
      <c r="S397" s="1663"/>
      <c r="T397" s="1663"/>
      <c r="U397" s="1663"/>
      <c r="V397" s="1663"/>
      <c r="W397" s="1663"/>
      <c r="X397" s="1663"/>
      <c r="Y397" s="1664">
        <v>43356</v>
      </c>
      <c r="Z397" s="1662" t="s">
        <v>2110</v>
      </c>
      <c r="AA397" s="1665">
        <v>0</v>
      </c>
      <c r="AB397" s="1665">
        <v>0</v>
      </c>
      <c r="AC397" s="1680">
        <v>0</v>
      </c>
      <c r="AD397" s="1682">
        <v>43376</v>
      </c>
      <c r="AE397" s="1679" t="s">
        <v>2122</v>
      </c>
      <c r="AF397" s="1662" t="s">
        <v>2115</v>
      </c>
      <c r="AG397" s="1666"/>
      <c r="AH397" s="1667">
        <v>5982</v>
      </c>
      <c r="AI397" s="1665">
        <v>5982</v>
      </c>
      <c r="AJ397" s="1665">
        <v>3294.16</v>
      </c>
      <c r="AK397" s="1698">
        <v>3027.08</v>
      </c>
      <c r="AL397" s="1665">
        <v>267.08</v>
      </c>
      <c r="AM397" s="1664">
        <v>43382</v>
      </c>
      <c r="AN397" s="1665">
        <v>5982</v>
      </c>
      <c r="AO397" s="1665">
        <v>5982</v>
      </c>
      <c r="AP397" s="1665">
        <v>3294.16</v>
      </c>
      <c r="AQ397" s="1665">
        <v>3027.08</v>
      </c>
      <c r="AR397" s="1665">
        <v>267.08</v>
      </c>
      <c r="AS397" s="1665">
        <v>2687.84</v>
      </c>
      <c r="AT397" s="1665">
        <v>0</v>
      </c>
      <c r="AU397" s="1665">
        <v>2687.84</v>
      </c>
      <c r="AV397" s="1665">
        <v>0</v>
      </c>
      <c r="AW397" s="1665">
        <v>0</v>
      </c>
      <c r="AX397" s="1663"/>
      <c r="AY397" s="1663"/>
      <c r="AZ397" s="1663"/>
      <c r="BA397" s="1668"/>
      <c r="BB397" s="1668"/>
      <c r="BC397" s="1663"/>
      <c r="BD397" s="1663"/>
      <c r="BE397" s="1665">
        <v>5982</v>
      </c>
      <c r="BF397" s="1665">
        <v>5982</v>
      </c>
      <c r="BG397" s="1665">
        <v>3294.16</v>
      </c>
      <c r="BH397" s="1665">
        <v>3027.08</v>
      </c>
      <c r="BI397" s="1665">
        <v>267.08</v>
      </c>
      <c r="BJ397" s="1665">
        <v>2687.84</v>
      </c>
      <c r="BK397" s="1665">
        <v>0</v>
      </c>
      <c r="BL397" s="1665">
        <v>2687.84</v>
      </c>
      <c r="BM397" s="1665">
        <v>0</v>
      </c>
      <c r="BN397" s="1665">
        <v>0</v>
      </c>
      <c r="BO397" s="1668"/>
      <c r="BP397" s="1665">
        <v>0</v>
      </c>
      <c r="BQ397" s="1665">
        <v>0</v>
      </c>
      <c r="BR397" s="1665">
        <v>0</v>
      </c>
      <c r="BS397" s="1667">
        <v>0</v>
      </c>
      <c r="BT397" s="1665">
        <v>0</v>
      </c>
      <c r="BU397" s="1665">
        <v>0</v>
      </c>
      <c r="BV397" s="1665">
        <v>0</v>
      </c>
      <c r="BW397" s="1665">
        <v>0</v>
      </c>
      <c r="BX397" s="1665">
        <v>0</v>
      </c>
      <c r="BY397" s="1665">
        <v>0</v>
      </c>
      <c r="BZ397" s="1663"/>
      <c r="CA397" s="1663"/>
      <c r="CB397" s="1668"/>
      <c r="CC397" s="1668"/>
      <c r="CD397" s="1663"/>
      <c r="CE397" s="1663"/>
      <c r="CF397" s="1665">
        <v>0</v>
      </c>
      <c r="CG397" s="1665">
        <v>0</v>
      </c>
      <c r="CH397" s="1665">
        <v>0</v>
      </c>
      <c r="CI397" s="1665">
        <v>0</v>
      </c>
      <c r="CJ397" s="1665">
        <v>0</v>
      </c>
      <c r="CK397" s="1665">
        <v>0</v>
      </c>
      <c r="CL397" s="1668"/>
      <c r="CM397" s="1665">
        <v>0</v>
      </c>
      <c r="CN397" s="1665">
        <v>0</v>
      </c>
      <c r="CO397" s="1665">
        <v>0</v>
      </c>
      <c r="CP397" s="1665">
        <v>0</v>
      </c>
      <c r="CQ397" s="1665">
        <v>0</v>
      </c>
      <c r="CR397" s="1665">
        <v>0</v>
      </c>
      <c r="CS397" s="1665">
        <v>0</v>
      </c>
      <c r="CT397" s="1665">
        <v>0</v>
      </c>
      <c r="CU397" s="1665">
        <v>0</v>
      </c>
      <c r="CV397" s="1665">
        <v>0</v>
      </c>
      <c r="CW397" s="1668"/>
      <c r="CX397" s="1663"/>
      <c r="CY397" s="1663"/>
      <c r="CZ397" s="1663"/>
      <c r="DA397" s="1663"/>
      <c r="DB397" s="1668"/>
      <c r="DC397" s="1662"/>
      <c r="DD397" s="1665">
        <v>0</v>
      </c>
      <c r="DE397" s="1663"/>
      <c r="DF397" s="1663"/>
      <c r="DG397" s="1665">
        <v>0</v>
      </c>
      <c r="DH397" s="1665">
        <v>0</v>
      </c>
    </row>
    <row r="398" spans="1:112" ht="22.5" hidden="1" x14ac:dyDescent="0.25">
      <c r="A398" s="1662" t="s">
        <v>2500</v>
      </c>
      <c r="B398" s="1662" t="s">
        <v>1729</v>
      </c>
      <c r="C398" s="1662" t="s">
        <v>2652</v>
      </c>
      <c r="D398" s="1662" t="s">
        <v>2653</v>
      </c>
      <c r="E398" s="1662" t="s">
        <v>136</v>
      </c>
      <c r="F398" s="1662"/>
      <c r="G398" s="1662"/>
      <c r="H398" s="1662"/>
      <c r="I398" s="1662"/>
      <c r="J398" s="1662"/>
      <c r="K398" s="1662"/>
      <c r="L398" s="1662"/>
      <c r="M398" s="1665">
        <v>1123522.4099999999</v>
      </c>
      <c r="N398" s="1665">
        <v>0</v>
      </c>
      <c r="O398" s="1665">
        <v>1123522.4099999999</v>
      </c>
      <c r="P398" s="1665">
        <v>1123522.4099999999</v>
      </c>
      <c r="Q398" s="1665">
        <v>1039257</v>
      </c>
      <c r="R398" s="1665">
        <v>954992</v>
      </c>
      <c r="S398" s="1665">
        <v>84265</v>
      </c>
      <c r="T398" s="1665">
        <v>84265.41</v>
      </c>
      <c r="U398" s="1665">
        <v>0</v>
      </c>
      <c r="V398" s="1665">
        <v>84265.41</v>
      </c>
      <c r="W398" s="1665">
        <v>0</v>
      </c>
      <c r="X398" s="1665">
        <v>0</v>
      </c>
      <c r="Y398" s="1668"/>
      <c r="Z398" s="1662"/>
      <c r="AA398" s="1665">
        <v>0</v>
      </c>
      <c r="AB398" s="1665">
        <v>0</v>
      </c>
      <c r="AC398" s="1680">
        <v>0</v>
      </c>
      <c r="AD398" s="1681"/>
      <c r="AE398" s="1679"/>
      <c r="AF398" s="1662"/>
      <c r="AG398" s="1666"/>
      <c r="AH398" s="1667">
        <v>354976.44</v>
      </c>
      <c r="AI398" s="1665">
        <v>354976.44</v>
      </c>
      <c r="AJ398" s="1665">
        <v>345006.94</v>
      </c>
      <c r="AK398" s="1698">
        <v>317033.24</v>
      </c>
      <c r="AL398" s="1665">
        <v>27973.7</v>
      </c>
      <c r="AM398" s="1668"/>
      <c r="AN398" s="1665">
        <v>132923.64000000001</v>
      </c>
      <c r="AO398" s="1665">
        <v>132923.64000000001</v>
      </c>
      <c r="AP398" s="1665">
        <v>122954.14</v>
      </c>
      <c r="AQ398" s="1665">
        <v>112984.77</v>
      </c>
      <c r="AR398" s="1665">
        <v>9969.3700000000008</v>
      </c>
      <c r="AS398" s="1665">
        <v>9969.5</v>
      </c>
      <c r="AT398" s="1665">
        <v>0</v>
      </c>
      <c r="AU398" s="1665">
        <v>9969.5</v>
      </c>
      <c r="AV398" s="1665">
        <v>0</v>
      </c>
      <c r="AW398" s="1665">
        <v>0</v>
      </c>
      <c r="AX398" s="1665">
        <v>0</v>
      </c>
      <c r="AY398" s="1665">
        <v>0</v>
      </c>
      <c r="AZ398" s="1665">
        <v>0</v>
      </c>
      <c r="BA398" s="1668"/>
      <c r="BB398" s="1668"/>
      <c r="BC398" s="1665">
        <v>0</v>
      </c>
      <c r="BD398" s="1665">
        <v>0</v>
      </c>
      <c r="BE398" s="1665">
        <v>132923.64000000001</v>
      </c>
      <c r="BF398" s="1665">
        <v>132923.64000000001</v>
      </c>
      <c r="BG398" s="1665">
        <v>122954.14</v>
      </c>
      <c r="BH398" s="1665">
        <v>112984.77</v>
      </c>
      <c r="BI398" s="1665">
        <v>9969.3700000000008</v>
      </c>
      <c r="BJ398" s="1665">
        <v>9969.5</v>
      </c>
      <c r="BK398" s="1665">
        <v>0</v>
      </c>
      <c r="BL398" s="1665">
        <v>9969.5</v>
      </c>
      <c r="BM398" s="1665">
        <v>0</v>
      </c>
      <c r="BN398" s="1665">
        <v>0</v>
      </c>
      <c r="BO398" s="1668"/>
      <c r="BP398" s="1665">
        <v>18968.560000000001</v>
      </c>
      <c r="BQ398" s="1665">
        <v>18968.560000000001</v>
      </c>
      <c r="BR398" s="1665">
        <v>17545.89</v>
      </c>
      <c r="BS398" s="1667">
        <v>16123.24</v>
      </c>
      <c r="BT398" s="1665">
        <v>1422.65</v>
      </c>
      <c r="BU398" s="1665">
        <v>1422.67</v>
      </c>
      <c r="BV398" s="1665">
        <v>0</v>
      </c>
      <c r="BW398" s="1665">
        <v>0</v>
      </c>
      <c r="BX398" s="1665">
        <v>0</v>
      </c>
      <c r="BY398" s="1665">
        <v>0</v>
      </c>
      <c r="BZ398" s="1665">
        <v>0</v>
      </c>
      <c r="CA398" s="1665">
        <v>0</v>
      </c>
      <c r="CB398" s="1668"/>
      <c r="CC398" s="1668"/>
      <c r="CD398" s="1665">
        <v>0</v>
      </c>
      <c r="CE398" s="1665">
        <v>0</v>
      </c>
      <c r="CF398" s="1665">
        <v>0</v>
      </c>
      <c r="CG398" s="1665">
        <v>0</v>
      </c>
      <c r="CH398" s="1665">
        <v>0</v>
      </c>
      <c r="CI398" s="1665">
        <v>0</v>
      </c>
      <c r="CJ398" s="1665">
        <v>61.24</v>
      </c>
      <c r="CK398" s="1665">
        <v>61.24</v>
      </c>
      <c r="CL398" s="1668"/>
      <c r="CM398" s="1665">
        <v>0</v>
      </c>
      <c r="CN398" s="1665">
        <v>0</v>
      </c>
      <c r="CO398" s="1665">
        <v>0</v>
      </c>
      <c r="CP398" s="1665">
        <v>0</v>
      </c>
      <c r="CQ398" s="1665">
        <v>0</v>
      </c>
      <c r="CR398" s="1665">
        <v>0</v>
      </c>
      <c r="CS398" s="1665">
        <v>0</v>
      </c>
      <c r="CT398" s="1665">
        <v>0</v>
      </c>
      <c r="CU398" s="1665">
        <v>0</v>
      </c>
      <c r="CV398" s="1665">
        <v>0</v>
      </c>
      <c r="CW398" s="1668"/>
      <c r="CX398" s="1665">
        <v>0</v>
      </c>
      <c r="CY398" s="1665">
        <v>0</v>
      </c>
      <c r="CZ398" s="1665">
        <v>0</v>
      </c>
      <c r="DA398" s="1665">
        <v>0</v>
      </c>
      <c r="DB398" s="1668"/>
      <c r="DC398" s="1662"/>
      <c r="DD398" s="1665">
        <v>0</v>
      </c>
      <c r="DE398" s="1665">
        <v>0</v>
      </c>
      <c r="DF398" s="1665">
        <v>0</v>
      </c>
      <c r="DG398" s="1665">
        <v>0</v>
      </c>
      <c r="DH398" s="1665">
        <v>0</v>
      </c>
    </row>
    <row r="399" spans="1:112" ht="56.25" hidden="1" x14ac:dyDescent="0.25">
      <c r="A399" s="1662" t="s">
        <v>2501</v>
      </c>
      <c r="B399" s="1662" t="s">
        <v>1729</v>
      </c>
      <c r="C399" s="1662" t="s">
        <v>2652</v>
      </c>
      <c r="D399" s="1662" t="s">
        <v>2653</v>
      </c>
      <c r="E399" s="1662" t="s">
        <v>136</v>
      </c>
      <c r="F399" s="1662" t="s">
        <v>2654</v>
      </c>
      <c r="G399" s="1662" t="s">
        <v>2628</v>
      </c>
      <c r="H399" s="1662" t="s">
        <v>2613</v>
      </c>
      <c r="I399" s="1662" t="s">
        <v>2498</v>
      </c>
      <c r="J399" s="1662" t="s">
        <v>281</v>
      </c>
      <c r="K399" s="1662" t="s">
        <v>2117</v>
      </c>
      <c r="L399" s="1662" t="s">
        <v>2109</v>
      </c>
      <c r="M399" s="1665">
        <v>195779</v>
      </c>
      <c r="N399" s="1665">
        <v>0</v>
      </c>
      <c r="O399" s="1665">
        <v>195779</v>
      </c>
      <c r="P399" s="1665">
        <v>195779</v>
      </c>
      <c r="Q399" s="1665">
        <v>181095</v>
      </c>
      <c r="R399" s="1665">
        <v>166412</v>
      </c>
      <c r="S399" s="1665">
        <v>14683</v>
      </c>
      <c r="T399" s="1665">
        <v>14684</v>
      </c>
      <c r="U399" s="1665">
        <v>0</v>
      </c>
      <c r="V399" s="1665">
        <v>14684</v>
      </c>
      <c r="W399" s="1665">
        <v>0</v>
      </c>
      <c r="X399" s="1665">
        <v>0</v>
      </c>
      <c r="Y399" s="1668"/>
      <c r="Z399" s="1662"/>
      <c r="AA399" s="1665">
        <v>0</v>
      </c>
      <c r="AB399" s="1665">
        <v>0</v>
      </c>
      <c r="AC399" s="1680">
        <v>0</v>
      </c>
      <c r="AD399" s="1681"/>
      <c r="AE399" s="1679"/>
      <c r="AF399" s="1662"/>
      <c r="AG399" s="1666"/>
      <c r="AH399" s="1667">
        <v>100263.69</v>
      </c>
      <c r="AI399" s="1665">
        <v>100263.69</v>
      </c>
      <c r="AJ399" s="1665">
        <v>96818.38</v>
      </c>
      <c r="AK399" s="1698">
        <v>88968.44</v>
      </c>
      <c r="AL399" s="1665">
        <v>7849.94</v>
      </c>
      <c r="AM399" s="1668"/>
      <c r="AN399" s="1665">
        <v>45935.69</v>
      </c>
      <c r="AO399" s="1665">
        <v>45935.69</v>
      </c>
      <c r="AP399" s="1665">
        <v>42490.38</v>
      </c>
      <c r="AQ399" s="1665">
        <v>39045.300000000003</v>
      </c>
      <c r="AR399" s="1665">
        <v>3445.08</v>
      </c>
      <c r="AS399" s="1665">
        <v>3445.31</v>
      </c>
      <c r="AT399" s="1665">
        <v>0</v>
      </c>
      <c r="AU399" s="1665">
        <v>3445.31</v>
      </c>
      <c r="AV399" s="1665">
        <v>0</v>
      </c>
      <c r="AW399" s="1665">
        <v>0</v>
      </c>
      <c r="AX399" s="1665">
        <v>0</v>
      </c>
      <c r="AY399" s="1665">
        <v>0</v>
      </c>
      <c r="AZ399" s="1665">
        <v>0</v>
      </c>
      <c r="BA399" s="1668"/>
      <c r="BB399" s="1668"/>
      <c r="BC399" s="1665">
        <v>0</v>
      </c>
      <c r="BD399" s="1665">
        <v>0</v>
      </c>
      <c r="BE399" s="1665">
        <v>45935.69</v>
      </c>
      <c r="BF399" s="1665">
        <v>45935.69</v>
      </c>
      <c r="BG399" s="1665">
        <v>42490.38</v>
      </c>
      <c r="BH399" s="1665">
        <v>39045.300000000003</v>
      </c>
      <c r="BI399" s="1665">
        <v>3445.08</v>
      </c>
      <c r="BJ399" s="1665">
        <v>3445.31</v>
      </c>
      <c r="BK399" s="1665">
        <v>0</v>
      </c>
      <c r="BL399" s="1665">
        <v>3445.31</v>
      </c>
      <c r="BM399" s="1665">
        <v>0</v>
      </c>
      <c r="BN399" s="1665">
        <v>0</v>
      </c>
      <c r="BO399" s="1668"/>
      <c r="BP399" s="1665">
        <v>2579.8200000000002</v>
      </c>
      <c r="BQ399" s="1665">
        <v>2579.8200000000002</v>
      </c>
      <c r="BR399" s="1665">
        <v>2386.33</v>
      </c>
      <c r="BS399" s="1667">
        <v>2192.85</v>
      </c>
      <c r="BT399" s="1665">
        <v>193.48</v>
      </c>
      <c r="BU399" s="1665">
        <v>193.49</v>
      </c>
      <c r="BV399" s="1665">
        <v>0</v>
      </c>
      <c r="BW399" s="1665">
        <v>0</v>
      </c>
      <c r="BX399" s="1665">
        <v>0</v>
      </c>
      <c r="BY399" s="1665">
        <v>0</v>
      </c>
      <c r="BZ399" s="1665">
        <v>0</v>
      </c>
      <c r="CA399" s="1665">
        <v>0</v>
      </c>
      <c r="CB399" s="1668"/>
      <c r="CC399" s="1668"/>
      <c r="CD399" s="1665">
        <v>0</v>
      </c>
      <c r="CE399" s="1665">
        <v>0</v>
      </c>
      <c r="CF399" s="1665">
        <v>0</v>
      </c>
      <c r="CG399" s="1665">
        <v>0</v>
      </c>
      <c r="CH399" s="1665">
        <v>0</v>
      </c>
      <c r="CI399" s="1665">
        <v>0</v>
      </c>
      <c r="CJ399" s="1665">
        <v>25.8</v>
      </c>
      <c r="CK399" s="1665">
        <v>25.8</v>
      </c>
      <c r="CL399" s="1668"/>
      <c r="CM399" s="1665">
        <v>0</v>
      </c>
      <c r="CN399" s="1665">
        <v>0</v>
      </c>
      <c r="CO399" s="1665">
        <v>0</v>
      </c>
      <c r="CP399" s="1665">
        <v>0</v>
      </c>
      <c r="CQ399" s="1665">
        <v>0</v>
      </c>
      <c r="CR399" s="1665">
        <v>0</v>
      </c>
      <c r="CS399" s="1665">
        <v>0</v>
      </c>
      <c r="CT399" s="1665">
        <v>0</v>
      </c>
      <c r="CU399" s="1665">
        <v>0</v>
      </c>
      <c r="CV399" s="1665">
        <v>0</v>
      </c>
      <c r="CW399" s="1668"/>
      <c r="CX399" s="1665">
        <v>0</v>
      </c>
      <c r="CY399" s="1665">
        <v>0</v>
      </c>
      <c r="CZ399" s="1665">
        <v>0</v>
      </c>
      <c r="DA399" s="1665">
        <v>0</v>
      </c>
      <c r="DB399" s="1668"/>
      <c r="DC399" s="1662"/>
      <c r="DD399" s="1665">
        <v>0</v>
      </c>
      <c r="DE399" s="1665">
        <v>0</v>
      </c>
      <c r="DF399" s="1665">
        <v>0</v>
      </c>
      <c r="DG399" s="1665">
        <v>0</v>
      </c>
      <c r="DH399" s="1665">
        <v>0</v>
      </c>
    </row>
    <row r="400" spans="1:112" ht="56.25" hidden="1" x14ac:dyDescent="0.25">
      <c r="A400" s="1662" t="s">
        <v>2502</v>
      </c>
      <c r="B400" s="1662" t="s">
        <v>1729</v>
      </c>
      <c r="C400" s="1662" t="s">
        <v>2652</v>
      </c>
      <c r="D400" s="1662" t="s">
        <v>2653</v>
      </c>
      <c r="E400" s="1662" t="s">
        <v>136</v>
      </c>
      <c r="F400" s="1662" t="s">
        <v>2654</v>
      </c>
      <c r="G400" s="1662" t="s">
        <v>2628</v>
      </c>
      <c r="H400" s="1662" t="s">
        <v>2613</v>
      </c>
      <c r="I400" s="1662" t="s">
        <v>2498</v>
      </c>
      <c r="J400" s="1662" t="s">
        <v>281</v>
      </c>
      <c r="K400" s="1662" t="s">
        <v>2117</v>
      </c>
      <c r="L400" s="1662" t="s">
        <v>2109</v>
      </c>
      <c r="M400" s="1663"/>
      <c r="N400" s="1663"/>
      <c r="O400" s="1663"/>
      <c r="P400" s="1663"/>
      <c r="Q400" s="1663"/>
      <c r="R400" s="1663"/>
      <c r="S400" s="1663"/>
      <c r="T400" s="1663"/>
      <c r="U400" s="1663"/>
      <c r="V400" s="1663"/>
      <c r="W400" s="1663"/>
      <c r="X400" s="1663"/>
      <c r="Y400" s="1664">
        <v>43237</v>
      </c>
      <c r="Z400" s="1662" t="s">
        <v>2110</v>
      </c>
      <c r="AA400" s="1665">
        <v>0</v>
      </c>
      <c r="AB400" s="1665">
        <v>0</v>
      </c>
      <c r="AC400" s="1680">
        <v>0</v>
      </c>
      <c r="AD400" s="1682">
        <v>43271</v>
      </c>
      <c r="AE400" s="1679" t="s">
        <v>2122</v>
      </c>
      <c r="AF400" s="1662" t="s">
        <v>2115</v>
      </c>
      <c r="AG400" s="1666"/>
      <c r="AH400" s="1667">
        <v>2579.8200000000002</v>
      </c>
      <c r="AI400" s="1665">
        <v>2579.8200000000002</v>
      </c>
      <c r="AJ400" s="1665">
        <v>2386.33</v>
      </c>
      <c r="AK400" s="1698">
        <v>2192.85</v>
      </c>
      <c r="AL400" s="1665">
        <v>193.48</v>
      </c>
      <c r="AM400" s="1664">
        <v>43278</v>
      </c>
      <c r="AN400" s="1665">
        <v>2579.8200000000002</v>
      </c>
      <c r="AO400" s="1665">
        <v>2579.8200000000002</v>
      </c>
      <c r="AP400" s="1665">
        <v>2386.33</v>
      </c>
      <c r="AQ400" s="1665">
        <v>2192.85</v>
      </c>
      <c r="AR400" s="1665">
        <v>193.48</v>
      </c>
      <c r="AS400" s="1665">
        <v>193.49</v>
      </c>
      <c r="AT400" s="1665">
        <v>0</v>
      </c>
      <c r="AU400" s="1665">
        <v>193.49</v>
      </c>
      <c r="AV400" s="1665">
        <v>0</v>
      </c>
      <c r="AW400" s="1665">
        <v>0</v>
      </c>
      <c r="AX400" s="1663"/>
      <c r="AY400" s="1663"/>
      <c r="AZ400" s="1663"/>
      <c r="BA400" s="1668"/>
      <c r="BB400" s="1668"/>
      <c r="BC400" s="1663"/>
      <c r="BD400" s="1663"/>
      <c r="BE400" s="1665">
        <v>2579.8200000000002</v>
      </c>
      <c r="BF400" s="1665">
        <v>2579.8200000000002</v>
      </c>
      <c r="BG400" s="1665">
        <v>2386.33</v>
      </c>
      <c r="BH400" s="1665">
        <v>2192.85</v>
      </c>
      <c r="BI400" s="1665">
        <v>193.48</v>
      </c>
      <c r="BJ400" s="1665">
        <v>193.49</v>
      </c>
      <c r="BK400" s="1665">
        <v>0</v>
      </c>
      <c r="BL400" s="1665">
        <v>193.49</v>
      </c>
      <c r="BM400" s="1665">
        <v>0</v>
      </c>
      <c r="BN400" s="1665">
        <v>0</v>
      </c>
      <c r="BO400" s="1664">
        <v>43364</v>
      </c>
      <c r="BP400" s="1665">
        <v>2579.8200000000002</v>
      </c>
      <c r="BQ400" s="1665">
        <v>2579.8200000000002</v>
      </c>
      <c r="BR400" s="1665">
        <v>2386.33</v>
      </c>
      <c r="BS400" s="1667">
        <v>2192.85</v>
      </c>
      <c r="BT400" s="1665">
        <v>193.48</v>
      </c>
      <c r="BU400" s="1665">
        <v>193.49</v>
      </c>
      <c r="BV400" s="1665">
        <v>0</v>
      </c>
      <c r="BW400" s="1665">
        <v>0</v>
      </c>
      <c r="BX400" s="1665">
        <v>0</v>
      </c>
      <c r="BY400" s="1665">
        <v>0</v>
      </c>
      <c r="BZ400" s="1665">
        <v>0</v>
      </c>
      <c r="CA400" s="1663"/>
      <c r="CB400" s="1668"/>
      <c r="CC400" s="1668"/>
      <c r="CD400" s="1663"/>
      <c r="CE400" s="1663"/>
      <c r="CF400" s="1665">
        <v>0</v>
      </c>
      <c r="CG400" s="1665">
        <v>0</v>
      </c>
      <c r="CH400" s="1665">
        <v>0</v>
      </c>
      <c r="CI400" s="1665">
        <v>0</v>
      </c>
      <c r="CJ400" s="1665">
        <v>25.8</v>
      </c>
      <c r="CK400" s="1665">
        <v>25.8</v>
      </c>
      <c r="CL400" s="1668"/>
      <c r="CM400" s="1665">
        <v>0</v>
      </c>
      <c r="CN400" s="1665">
        <v>0</v>
      </c>
      <c r="CO400" s="1665">
        <v>0</v>
      </c>
      <c r="CP400" s="1665">
        <v>0</v>
      </c>
      <c r="CQ400" s="1665">
        <v>0</v>
      </c>
      <c r="CR400" s="1665">
        <v>0</v>
      </c>
      <c r="CS400" s="1665">
        <v>0</v>
      </c>
      <c r="CT400" s="1665">
        <v>0</v>
      </c>
      <c r="CU400" s="1665">
        <v>0</v>
      </c>
      <c r="CV400" s="1665">
        <v>0</v>
      </c>
      <c r="CW400" s="1668"/>
      <c r="CX400" s="1663"/>
      <c r="CY400" s="1663"/>
      <c r="CZ400" s="1663"/>
      <c r="DA400" s="1663"/>
      <c r="DB400" s="1668"/>
      <c r="DC400" s="1662"/>
      <c r="DD400" s="1665">
        <v>0</v>
      </c>
      <c r="DE400" s="1663"/>
      <c r="DF400" s="1663"/>
      <c r="DG400" s="1665">
        <v>0</v>
      </c>
      <c r="DH400" s="1665">
        <v>0</v>
      </c>
    </row>
    <row r="401" spans="1:112" ht="56.25" hidden="1" x14ac:dyDescent="0.25">
      <c r="A401" s="1662" t="s">
        <v>2504</v>
      </c>
      <c r="B401" s="1662" t="s">
        <v>1729</v>
      </c>
      <c r="C401" s="1662" t="s">
        <v>2652</v>
      </c>
      <c r="D401" s="1662" t="s">
        <v>2653</v>
      </c>
      <c r="E401" s="1662" t="s">
        <v>136</v>
      </c>
      <c r="F401" s="1662" t="s">
        <v>2654</v>
      </c>
      <c r="G401" s="1662" t="s">
        <v>2628</v>
      </c>
      <c r="H401" s="1662" t="s">
        <v>2613</v>
      </c>
      <c r="I401" s="1662" t="s">
        <v>2498</v>
      </c>
      <c r="J401" s="1662" t="s">
        <v>281</v>
      </c>
      <c r="K401" s="1662" t="s">
        <v>2117</v>
      </c>
      <c r="L401" s="1662" t="s">
        <v>2109</v>
      </c>
      <c r="M401" s="1663"/>
      <c r="N401" s="1663"/>
      <c r="O401" s="1663"/>
      <c r="P401" s="1663"/>
      <c r="Q401" s="1663"/>
      <c r="R401" s="1663"/>
      <c r="S401" s="1663"/>
      <c r="T401" s="1663"/>
      <c r="U401" s="1663"/>
      <c r="V401" s="1663"/>
      <c r="W401" s="1663"/>
      <c r="X401" s="1663"/>
      <c r="Y401" s="1664">
        <v>43291</v>
      </c>
      <c r="Z401" s="1662" t="s">
        <v>2145</v>
      </c>
      <c r="AA401" s="1665">
        <v>0</v>
      </c>
      <c r="AB401" s="1665">
        <v>0</v>
      </c>
      <c r="AC401" s="1680">
        <v>0</v>
      </c>
      <c r="AD401" s="1682">
        <v>43297</v>
      </c>
      <c r="AE401" s="1679" t="s">
        <v>2111</v>
      </c>
      <c r="AF401" s="1662" t="s">
        <v>2112</v>
      </c>
      <c r="AG401" s="1666"/>
      <c r="AH401" s="1667">
        <v>54328</v>
      </c>
      <c r="AI401" s="1665">
        <v>54328</v>
      </c>
      <c r="AJ401" s="1665">
        <v>54328</v>
      </c>
      <c r="AK401" s="1698">
        <v>49923.14</v>
      </c>
      <c r="AL401" s="1665">
        <v>4404.8599999999997</v>
      </c>
      <c r="AM401" s="1668"/>
      <c r="AN401" s="1665">
        <v>0</v>
      </c>
      <c r="AO401" s="1665">
        <v>0</v>
      </c>
      <c r="AP401" s="1665">
        <v>0</v>
      </c>
      <c r="AQ401" s="1665">
        <v>0</v>
      </c>
      <c r="AR401" s="1665">
        <v>0</v>
      </c>
      <c r="AS401" s="1665">
        <v>0</v>
      </c>
      <c r="AT401" s="1665">
        <v>0</v>
      </c>
      <c r="AU401" s="1665">
        <v>0</v>
      </c>
      <c r="AV401" s="1665">
        <v>0</v>
      </c>
      <c r="AW401" s="1665">
        <v>0</v>
      </c>
      <c r="AX401" s="1663"/>
      <c r="AY401" s="1663"/>
      <c r="AZ401" s="1663"/>
      <c r="BA401" s="1668"/>
      <c r="BB401" s="1668"/>
      <c r="BC401" s="1663"/>
      <c r="BD401" s="1663"/>
      <c r="BE401" s="1665">
        <v>0</v>
      </c>
      <c r="BF401" s="1665">
        <v>0</v>
      </c>
      <c r="BG401" s="1665">
        <v>0</v>
      </c>
      <c r="BH401" s="1665">
        <v>0</v>
      </c>
      <c r="BI401" s="1665">
        <v>0</v>
      </c>
      <c r="BJ401" s="1665">
        <v>0</v>
      </c>
      <c r="BK401" s="1665">
        <v>0</v>
      </c>
      <c r="BL401" s="1665">
        <v>0</v>
      </c>
      <c r="BM401" s="1665">
        <v>0</v>
      </c>
      <c r="BN401" s="1665">
        <v>0</v>
      </c>
      <c r="BO401" s="1668"/>
      <c r="BP401" s="1665">
        <v>0</v>
      </c>
      <c r="BQ401" s="1665">
        <v>0</v>
      </c>
      <c r="BR401" s="1665">
        <v>0</v>
      </c>
      <c r="BS401" s="1667">
        <v>0</v>
      </c>
      <c r="BT401" s="1665">
        <v>0</v>
      </c>
      <c r="BU401" s="1665">
        <v>0</v>
      </c>
      <c r="BV401" s="1665">
        <v>0</v>
      </c>
      <c r="BW401" s="1665">
        <v>0</v>
      </c>
      <c r="BX401" s="1665">
        <v>0</v>
      </c>
      <c r="BY401" s="1665">
        <v>0</v>
      </c>
      <c r="BZ401" s="1663"/>
      <c r="CA401" s="1663"/>
      <c r="CB401" s="1668"/>
      <c r="CC401" s="1668"/>
      <c r="CD401" s="1663"/>
      <c r="CE401" s="1663"/>
      <c r="CF401" s="1665">
        <v>0</v>
      </c>
      <c r="CG401" s="1665">
        <v>0</v>
      </c>
      <c r="CH401" s="1665">
        <v>0</v>
      </c>
      <c r="CI401" s="1665">
        <v>0</v>
      </c>
      <c r="CJ401" s="1665">
        <v>0</v>
      </c>
      <c r="CK401" s="1665">
        <v>0</v>
      </c>
      <c r="CL401" s="1668"/>
      <c r="CM401" s="1665">
        <v>0</v>
      </c>
      <c r="CN401" s="1665">
        <v>0</v>
      </c>
      <c r="CO401" s="1665">
        <v>0</v>
      </c>
      <c r="CP401" s="1665">
        <v>0</v>
      </c>
      <c r="CQ401" s="1665">
        <v>0</v>
      </c>
      <c r="CR401" s="1665">
        <v>0</v>
      </c>
      <c r="CS401" s="1665">
        <v>0</v>
      </c>
      <c r="CT401" s="1665">
        <v>0</v>
      </c>
      <c r="CU401" s="1665">
        <v>0</v>
      </c>
      <c r="CV401" s="1665">
        <v>0</v>
      </c>
      <c r="CW401" s="1668"/>
      <c r="CX401" s="1663"/>
      <c r="CY401" s="1663"/>
      <c r="CZ401" s="1663"/>
      <c r="DA401" s="1663"/>
      <c r="DB401" s="1668"/>
      <c r="DC401" s="1662"/>
      <c r="DD401" s="1665">
        <v>0</v>
      </c>
      <c r="DE401" s="1663"/>
      <c r="DF401" s="1663"/>
      <c r="DG401" s="1665">
        <v>0</v>
      </c>
      <c r="DH401" s="1665">
        <v>0</v>
      </c>
    </row>
    <row r="402" spans="1:112" ht="56.25" hidden="1" x14ac:dyDescent="0.25">
      <c r="A402" s="1662" t="s">
        <v>2505</v>
      </c>
      <c r="B402" s="1662" t="s">
        <v>1729</v>
      </c>
      <c r="C402" s="1662" t="s">
        <v>2652</v>
      </c>
      <c r="D402" s="1662" t="s">
        <v>2653</v>
      </c>
      <c r="E402" s="1662" t="s">
        <v>136</v>
      </c>
      <c r="F402" s="1662" t="s">
        <v>2654</v>
      </c>
      <c r="G402" s="1662" t="s">
        <v>2628</v>
      </c>
      <c r="H402" s="1662" t="s">
        <v>2613</v>
      </c>
      <c r="I402" s="1662" t="s">
        <v>2498</v>
      </c>
      <c r="J402" s="1662" t="s">
        <v>281</v>
      </c>
      <c r="K402" s="1662" t="s">
        <v>2117</v>
      </c>
      <c r="L402" s="1662" t="s">
        <v>2109</v>
      </c>
      <c r="M402" s="1663"/>
      <c r="N402" s="1663"/>
      <c r="O402" s="1663"/>
      <c r="P402" s="1663"/>
      <c r="Q402" s="1663"/>
      <c r="R402" s="1663"/>
      <c r="S402" s="1663"/>
      <c r="T402" s="1663"/>
      <c r="U402" s="1663"/>
      <c r="V402" s="1663"/>
      <c r="W402" s="1663"/>
      <c r="X402" s="1663"/>
      <c r="Y402" s="1664">
        <v>43326</v>
      </c>
      <c r="Z402" s="1662" t="s">
        <v>2110</v>
      </c>
      <c r="AA402" s="1665">
        <v>0</v>
      </c>
      <c r="AB402" s="1665">
        <v>0</v>
      </c>
      <c r="AC402" s="1680">
        <v>0</v>
      </c>
      <c r="AD402" s="1682">
        <v>43361</v>
      </c>
      <c r="AE402" s="1679" t="s">
        <v>2114</v>
      </c>
      <c r="AF402" s="1662" t="s">
        <v>2112</v>
      </c>
      <c r="AG402" s="1666"/>
      <c r="AH402" s="1667">
        <v>43355.87</v>
      </c>
      <c r="AI402" s="1665">
        <v>43355.87</v>
      </c>
      <c r="AJ402" s="1665">
        <v>40104.050000000003</v>
      </c>
      <c r="AK402" s="1698">
        <v>36852.449999999997</v>
      </c>
      <c r="AL402" s="1665">
        <v>3251.6</v>
      </c>
      <c r="AM402" s="1664">
        <v>43361</v>
      </c>
      <c r="AN402" s="1665">
        <v>43355.87</v>
      </c>
      <c r="AO402" s="1665">
        <v>43355.87</v>
      </c>
      <c r="AP402" s="1665">
        <v>40104.050000000003</v>
      </c>
      <c r="AQ402" s="1665">
        <v>36852.449999999997</v>
      </c>
      <c r="AR402" s="1665">
        <v>3251.6</v>
      </c>
      <c r="AS402" s="1665">
        <v>3251.82</v>
      </c>
      <c r="AT402" s="1665">
        <v>0</v>
      </c>
      <c r="AU402" s="1665">
        <v>3251.82</v>
      </c>
      <c r="AV402" s="1665">
        <v>0</v>
      </c>
      <c r="AW402" s="1665">
        <v>0</v>
      </c>
      <c r="AX402" s="1663"/>
      <c r="AY402" s="1663"/>
      <c r="AZ402" s="1663"/>
      <c r="BA402" s="1668"/>
      <c r="BB402" s="1668"/>
      <c r="BC402" s="1663"/>
      <c r="BD402" s="1663"/>
      <c r="BE402" s="1665">
        <v>43355.87</v>
      </c>
      <c r="BF402" s="1665">
        <v>43355.87</v>
      </c>
      <c r="BG402" s="1665">
        <v>40104.050000000003</v>
      </c>
      <c r="BH402" s="1665">
        <v>36852.449999999997</v>
      </c>
      <c r="BI402" s="1665">
        <v>3251.6</v>
      </c>
      <c r="BJ402" s="1665">
        <v>3251.82</v>
      </c>
      <c r="BK402" s="1665">
        <v>0</v>
      </c>
      <c r="BL402" s="1665">
        <v>3251.82</v>
      </c>
      <c r="BM402" s="1665">
        <v>0</v>
      </c>
      <c r="BN402" s="1665">
        <v>0</v>
      </c>
      <c r="BO402" s="1668"/>
      <c r="BP402" s="1665">
        <v>0</v>
      </c>
      <c r="BQ402" s="1665">
        <v>0</v>
      </c>
      <c r="BR402" s="1665">
        <v>0</v>
      </c>
      <c r="BS402" s="1667">
        <v>0</v>
      </c>
      <c r="BT402" s="1665">
        <v>0</v>
      </c>
      <c r="BU402" s="1665">
        <v>0</v>
      </c>
      <c r="BV402" s="1665">
        <v>0</v>
      </c>
      <c r="BW402" s="1665">
        <v>0</v>
      </c>
      <c r="BX402" s="1665">
        <v>0</v>
      </c>
      <c r="BY402" s="1665">
        <v>0</v>
      </c>
      <c r="BZ402" s="1665">
        <v>0</v>
      </c>
      <c r="CA402" s="1663"/>
      <c r="CB402" s="1668"/>
      <c r="CC402" s="1668"/>
      <c r="CD402" s="1663"/>
      <c r="CE402" s="1663"/>
      <c r="CF402" s="1665">
        <v>0</v>
      </c>
      <c r="CG402" s="1665">
        <v>0</v>
      </c>
      <c r="CH402" s="1665">
        <v>0</v>
      </c>
      <c r="CI402" s="1665">
        <v>0</v>
      </c>
      <c r="CJ402" s="1665">
        <v>0</v>
      </c>
      <c r="CK402" s="1665">
        <v>0</v>
      </c>
      <c r="CL402" s="1668"/>
      <c r="CM402" s="1665">
        <v>0</v>
      </c>
      <c r="CN402" s="1665">
        <v>0</v>
      </c>
      <c r="CO402" s="1665">
        <v>0</v>
      </c>
      <c r="CP402" s="1665">
        <v>0</v>
      </c>
      <c r="CQ402" s="1665">
        <v>0</v>
      </c>
      <c r="CR402" s="1665">
        <v>0</v>
      </c>
      <c r="CS402" s="1665">
        <v>0</v>
      </c>
      <c r="CT402" s="1665">
        <v>0</v>
      </c>
      <c r="CU402" s="1665">
        <v>0</v>
      </c>
      <c r="CV402" s="1665">
        <v>0</v>
      </c>
      <c r="CW402" s="1668"/>
      <c r="CX402" s="1663"/>
      <c r="CY402" s="1663"/>
      <c r="CZ402" s="1663"/>
      <c r="DA402" s="1663"/>
      <c r="DB402" s="1668"/>
      <c r="DC402" s="1662"/>
      <c r="DD402" s="1665">
        <v>0</v>
      </c>
      <c r="DE402" s="1663"/>
      <c r="DF402" s="1663"/>
      <c r="DG402" s="1665">
        <v>0</v>
      </c>
      <c r="DH402" s="1665">
        <v>0</v>
      </c>
    </row>
    <row r="403" spans="1:112" ht="45" hidden="1" x14ac:dyDescent="0.25">
      <c r="A403" s="1662" t="s">
        <v>2506</v>
      </c>
      <c r="B403" s="1662" t="s">
        <v>1729</v>
      </c>
      <c r="C403" s="1662" t="s">
        <v>2652</v>
      </c>
      <c r="D403" s="1662" t="s">
        <v>2653</v>
      </c>
      <c r="E403" s="1662" t="s">
        <v>136</v>
      </c>
      <c r="F403" s="1662" t="s">
        <v>2654</v>
      </c>
      <c r="G403" s="1662" t="s">
        <v>2628</v>
      </c>
      <c r="H403" s="1662" t="s">
        <v>2613</v>
      </c>
      <c r="I403" s="1662" t="s">
        <v>2503</v>
      </c>
      <c r="J403" s="1662" t="s">
        <v>644</v>
      </c>
      <c r="K403" s="1662" t="s">
        <v>2120</v>
      </c>
      <c r="L403" s="1662" t="s">
        <v>2109</v>
      </c>
      <c r="M403" s="1665">
        <v>657021</v>
      </c>
      <c r="N403" s="1665">
        <v>0</v>
      </c>
      <c r="O403" s="1665">
        <v>657021</v>
      </c>
      <c r="P403" s="1665">
        <v>657021</v>
      </c>
      <c r="Q403" s="1665">
        <v>607744</v>
      </c>
      <c r="R403" s="1665">
        <v>558467</v>
      </c>
      <c r="S403" s="1665">
        <v>49277</v>
      </c>
      <c r="T403" s="1665">
        <v>49277</v>
      </c>
      <c r="U403" s="1665">
        <v>0</v>
      </c>
      <c r="V403" s="1665">
        <v>49277</v>
      </c>
      <c r="W403" s="1665">
        <v>0</v>
      </c>
      <c r="X403" s="1665">
        <v>0</v>
      </c>
      <c r="Y403" s="1668"/>
      <c r="Z403" s="1662"/>
      <c r="AA403" s="1665">
        <v>0</v>
      </c>
      <c r="AB403" s="1665">
        <v>0</v>
      </c>
      <c r="AC403" s="1680">
        <v>0</v>
      </c>
      <c r="AD403" s="1681"/>
      <c r="AE403" s="1679"/>
      <c r="AF403" s="1662"/>
      <c r="AG403" s="1666"/>
      <c r="AH403" s="1667">
        <v>127094.44</v>
      </c>
      <c r="AI403" s="1665">
        <v>127094.44</v>
      </c>
      <c r="AJ403" s="1665">
        <v>126731.03</v>
      </c>
      <c r="AK403" s="1698">
        <v>116455.45</v>
      </c>
      <c r="AL403" s="1665">
        <v>10275.58</v>
      </c>
      <c r="AM403" s="1668"/>
      <c r="AN403" s="1665">
        <v>4845.4399999999996</v>
      </c>
      <c r="AO403" s="1665">
        <v>4845.4399999999996</v>
      </c>
      <c r="AP403" s="1665">
        <v>4482.03</v>
      </c>
      <c r="AQ403" s="1665">
        <v>4118.62</v>
      </c>
      <c r="AR403" s="1665">
        <v>363.41</v>
      </c>
      <c r="AS403" s="1665">
        <v>363.41</v>
      </c>
      <c r="AT403" s="1665">
        <v>0</v>
      </c>
      <c r="AU403" s="1665">
        <v>363.41</v>
      </c>
      <c r="AV403" s="1665">
        <v>0</v>
      </c>
      <c r="AW403" s="1665">
        <v>0</v>
      </c>
      <c r="AX403" s="1665">
        <v>0</v>
      </c>
      <c r="AY403" s="1665">
        <v>0</v>
      </c>
      <c r="AZ403" s="1665">
        <v>0</v>
      </c>
      <c r="BA403" s="1668"/>
      <c r="BB403" s="1668"/>
      <c r="BC403" s="1665">
        <v>0</v>
      </c>
      <c r="BD403" s="1665">
        <v>0</v>
      </c>
      <c r="BE403" s="1665">
        <v>4845.4399999999996</v>
      </c>
      <c r="BF403" s="1665">
        <v>4845.4399999999996</v>
      </c>
      <c r="BG403" s="1665">
        <v>4482.03</v>
      </c>
      <c r="BH403" s="1665">
        <v>4118.62</v>
      </c>
      <c r="BI403" s="1665">
        <v>363.41</v>
      </c>
      <c r="BJ403" s="1665">
        <v>363.41</v>
      </c>
      <c r="BK403" s="1665">
        <v>0</v>
      </c>
      <c r="BL403" s="1665">
        <v>363.41</v>
      </c>
      <c r="BM403" s="1665">
        <v>0</v>
      </c>
      <c r="BN403" s="1665">
        <v>0</v>
      </c>
      <c r="BO403" s="1668"/>
      <c r="BP403" s="1665">
        <v>4845.4399999999996</v>
      </c>
      <c r="BQ403" s="1665">
        <v>4845.4399999999996</v>
      </c>
      <c r="BR403" s="1665">
        <v>4482.03</v>
      </c>
      <c r="BS403" s="1667">
        <v>4118.62</v>
      </c>
      <c r="BT403" s="1665">
        <v>363.41</v>
      </c>
      <c r="BU403" s="1665">
        <v>363.41</v>
      </c>
      <c r="BV403" s="1665">
        <v>0</v>
      </c>
      <c r="BW403" s="1665">
        <v>0</v>
      </c>
      <c r="BX403" s="1665">
        <v>0</v>
      </c>
      <c r="BY403" s="1665">
        <v>0</v>
      </c>
      <c r="BZ403" s="1665">
        <v>0</v>
      </c>
      <c r="CA403" s="1665">
        <v>0</v>
      </c>
      <c r="CB403" s="1668"/>
      <c r="CC403" s="1668"/>
      <c r="CD403" s="1665">
        <v>0</v>
      </c>
      <c r="CE403" s="1665">
        <v>0</v>
      </c>
      <c r="CF403" s="1665">
        <v>0</v>
      </c>
      <c r="CG403" s="1665">
        <v>0</v>
      </c>
      <c r="CH403" s="1665">
        <v>0</v>
      </c>
      <c r="CI403" s="1665">
        <v>0</v>
      </c>
      <c r="CJ403" s="1665">
        <v>35.44</v>
      </c>
      <c r="CK403" s="1665">
        <v>35.44</v>
      </c>
      <c r="CL403" s="1668"/>
      <c r="CM403" s="1665">
        <v>0</v>
      </c>
      <c r="CN403" s="1665">
        <v>0</v>
      </c>
      <c r="CO403" s="1665">
        <v>0</v>
      </c>
      <c r="CP403" s="1665">
        <v>0</v>
      </c>
      <c r="CQ403" s="1665">
        <v>0</v>
      </c>
      <c r="CR403" s="1665">
        <v>0</v>
      </c>
      <c r="CS403" s="1665">
        <v>0</v>
      </c>
      <c r="CT403" s="1665">
        <v>0</v>
      </c>
      <c r="CU403" s="1665">
        <v>0</v>
      </c>
      <c r="CV403" s="1665">
        <v>0</v>
      </c>
      <c r="CW403" s="1668"/>
      <c r="CX403" s="1665">
        <v>0</v>
      </c>
      <c r="CY403" s="1665">
        <v>0</v>
      </c>
      <c r="CZ403" s="1665">
        <v>0</v>
      </c>
      <c r="DA403" s="1665">
        <v>0</v>
      </c>
      <c r="DB403" s="1668"/>
      <c r="DC403" s="1662"/>
      <c r="DD403" s="1665">
        <v>0</v>
      </c>
      <c r="DE403" s="1665">
        <v>0</v>
      </c>
      <c r="DF403" s="1665">
        <v>0</v>
      </c>
      <c r="DG403" s="1665">
        <v>0</v>
      </c>
      <c r="DH403" s="1665">
        <v>0</v>
      </c>
    </row>
    <row r="404" spans="1:112" ht="45" hidden="1" x14ac:dyDescent="0.25">
      <c r="A404" s="1662" t="s">
        <v>2507</v>
      </c>
      <c r="B404" s="1662" t="s">
        <v>1729</v>
      </c>
      <c r="C404" s="1662" t="s">
        <v>2652</v>
      </c>
      <c r="D404" s="1662" t="s">
        <v>2653</v>
      </c>
      <c r="E404" s="1662" t="s">
        <v>136</v>
      </c>
      <c r="F404" s="1662" t="s">
        <v>2654</v>
      </c>
      <c r="G404" s="1662" t="s">
        <v>2628</v>
      </c>
      <c r="H404" s="1662" t="s">
        <v>2613</v>
      </c>
      <c r="I404" s="1662" t="s">
        <v>2503</v>
      </c>
      <c r="J404" s="1662" t="s">
        <v>644</v>
      </c>
      <c r="K404" s="1662" t="s">
        <v>2120</v>
      </c>
      <c r="L404" s="1662" t="s">
        <v>2109</v>
      </c>
      <c r="M404" s="1663"/>
      <c r="N404" s="1663"/>
      <c r="O404" s="1663"/>
      <c r="P404" s="1663"/>
      <c r="Q404" s="1663"/>
      <c r="R404" s="1663"/>
      <c r="S404" s="1663"/>
      <c r="T404" s="1663"/>
      <c r="U404" s="1663"/>
      <c r="V404" s="1663"/>
      <c r="W404" s="1663"/>
      <c r="X404" s="1663"/>
      <c r="Y404" s="1664">
        <v>43180</v>
      </c>
      <c r="Z404" s="1662" t="s">
        <v>2145</v>
      </c>
      <c r="AA404" s="1665">
        <v>0</v>
      </c>
      <c r="AB404" s="1665">
        <v>0</v>
      </c>
      <c r="AC404" s="1680">
        <v>0</v>
      </c>
      <c r="AD404" s="1682">
        <v>43188</v>
      </c>
      <c r="AE404" s="1679" t="s">
        <v>2122</v>
      </c>
      <c r="AF404" s="1662" t="s">
        <v>2112</v>
      </c>
      <c r="AG404" s="1666"/>
      <c r="AH404" s="1667">
        <v>2000</v>
      </c>
      <c r="AI404" s="1665">
        <v>2000</v>
      </c>
      <c r="AJ404" s="1665">
        <v>2000</v>
      </c>
      <c r="AK404" s="1698">
        <v>1837.84</v>
      </c>
      <c r="AL404" s="1665">
        <v>162.16</v>
      </c>
      <c r="AM404" s="1668"/>
      <c r="AN404" s="1665">
        <v>0</v>
      </c>
      <c r="AO404" s="1665">
        <v>0</v>
      </c>
      <c r="AP404" s="1665">
        <v>0</v>
      </c>
      <c r="AQ404" s="1665">
        <v>0</v>
      </c>
      <c r="AR404" s="1665">
        <v>0</v>
      </c>
      <c r="AS404" s="1665">
        <v>0</v>
      </c>
      <c r="AT404" s="1665">
        <v>0</v>
      </c>
      <c r="AU404" s="1665">
        <v>0</v>
      </c>
      <c r="AV404" s="1665">
        <v>0</v>
      </c>
      <c r="AW404" s="1665">
        <v>0</v>
      </c>
      <c r="AX404" s="1663"/>
      <c r="AY404" s="1663"/>
      <c r="AZ404" s="1663"/>
      <c r="BA404" s="1668"/>
      <c r="BB404" s="1668"/>
      <c r="BC404" s="1663"/>
      <c r="BD404" s="1663"/>
      <c r="BE404" s="1665">
        <v>0</v>
      </c>
      <c r="BF404" s="1665">
        <v>0</v>
      </c>
      <c r="BG404" s="1665">
        <v>0</v>
      </c>
      <c r="BH404" s="1665">
        <v>0</v>
      </c>
      <c r="BI404" s="1665">
        <v>0</v>
      </c>
      <c r="BJ404" s="1665">
        <v>0</v>
      </c>
      <c r="BK404" s="1665">
        <v>0</v>
      </c>
      <c r="BL404" s="1665">
        <v>0</v>
      </c>
      <c r="BM404" s="1665">
        <v>0</v>
      </c>
      <c r="BN404" s="1665">
        <v>0</v>
      </c>
      <c r="BO404" s="1668"/>
      <c r="BP404" s="1665">
        <v>0</v>
      </c>
      <c r="BQ404" s="1665">
        <v>0</v>
      </c>
      <c r="BR404" s="1665">
        <v>0</v>
      </c>
      <c r="BS404" s="1667">
        <v>0</v>
      </c>
      <c r="BT404" s="1665">
        <v>0</v>
      </c>
      <c r="BU404" s="1665">
        <v>0</v>
      </c>
      <c r="BV404" s="1665">
        <v>0</v>
      </c>
      <c r="BW404" s="1665">
        <v>0</v>
      </c>
      <c r="BX404" s="1665">
        <v>0</v>
      </c>
      <c r="BY404" s="1665">
        <v>0</v>
      </c>
      <c r="BZ404" s="1663"/>
      <c r="CA404" s="1663"/>
      <c r="CB404" s="1668"/>
      <c r="CC404" s="1668"/>
      <c r="CD404" s="1663"/>
      <c r="CE404" s="1663"/>
      <c r="CF404" s="1665">
        <v>0</v>
      </c>
      <c r="CG404" s="1665">
        <v>0</v>
      </c>
      <c r="CH404" s="1665">
        <v>0</v>
      </c>
      <c r="CI404" s="1665">
        <v>0</v>
      </c>
      <c r="CJ404" s="1665">
        <v>0</v>
      </c>
      <c r="CK404" s="1665">
        <v>0</v>
      </c>
      <c r="CL404" s="1668"/>
      <c r="CM404" s="1665">
        <v>0</v>
      </c>
      <c r="CN404" s="1665">
        <v>0</v>
      </c>
      <c r="CO404" s="1665">
        <v>0</v>
      </c>
      <c r="CP404" s="1665">
        <v>0</v>
      </c>
      <c r="CQ404" s="1665">
        <v>0</v>
      </c>
      <c r="CR404" s="1665">
        <v>0</v>
      </c>
      <c r="CS404" s="1665">
        <v>0</v>
      </c>
      <c r="CT404" s="1665">
        <v>0</v>
      </c>
      <c r="CU404" s="1665">
        <v>0</v>
      </c>
      <c r="CV404" s="1665">
        <v>0</v>
      </c>
      <c r="CW404" s="1668"/>
      <c r="CX404" s="1663"/>
      <c r="CY404" s="1663"/>
      <c r="CZ404" s="1663"/>
      <c r="DA404" s="1663"/>
      <c r="DB404" s="1668"/>
      <c r="DC404" s="1662"/>
      <c r="DD404" s="1665">
        <v>0</v>
      </c>
      <c r="DE404" s="1663"/>
      <c r="DF404" s="1663"/>
      <c r="DG404" s="1665">
        <v>0</v>
      </c>
      <c r="DH404" s="1665">
        <v>0</v>
      </c>
    </row>
    <row r="405" spans="1:112" ht="45" hidden="1" x14ac:dyDescent="0.25">
      <c r="A405" s="1662" t="s">
        <v>2508</v>
      </c>
      <c r="B405" s="1662" t="s">
        <v>1729</v>
      </c>
      <c r="C405" s="1662" t="s">
        <v>2652</v>
      </c>
      <c r="D405" s="1662" t="s">
        <v>2653</v>
      </c>
      <c r="E405" s="1662" t="s">
        <v>136</v>
      </c>
      <c r="F405" s="1662" t="s">
        <v>2654</v>
      </c>
      <c r="G405" s="1662" t="s">
        <v>2628</v>
      </c>
      <c r="H405" s="1662" t="s">
        <v>2613</v>
      </c>
      <c r="I405" s="1662" t="s">
        <v>2503</v>
      </c>
      <c r="J405" s="1662" t="s">
        <v>644</v>
      </c>
      <c r="K405" s="1662" t="s">
        <v>2120</v>
      </c>
      <c r="L405" s="1662" t="s">
        <v>2109</v>
      </c>
      <c r="M405" s="1663"/>
      <c r="N405" s="1663"/>
      <c r="O405" s="1663"/>
      <c r="P405" s="1663"/>
      <c r="Q405" s="1663"/>
      <c r="R405" s="1663"/>
      <c r="S405" s="1663"/>
      <c r="T405" s="1663"/>
      <c r="U405" s="1663"/>
      <c r="V405" s="1663"/>
      <c r="W405" s="1663"/>
      <c r="X405" s="1663"/>
      <c r="Y405" s="1664">
        <v>43193</v>
      </c>
      <c r="Z405" s="1662" t="s">
        <v>2110</v>
      </c>
      <c r="AA405" s="1665">
        <v>0</v>
      </c>
      <c r="AB405" s="1665">
        <v>0</v>
      </c>
      <c r="AC405" s="1680">
        <v>0</v>
      </c>
      <c r="AD405" s="1682">
        <v>43208</v>
      </c>
      <c r="AE405" s="1679" t="s">
        <v>2111</v>
      </c>
      <c r="AF405" s="1662" t="s">
        <v>2112</v>
      </c>
      <c r="AG405" s="1666"/>
      <c r="AH405" s="1667">
        <v>3544.44</v>
      </c>
      <c r="AI405" s="1665">
        <v>3544.44</v>
      </c>
      <c r="AJ405" s="1665">
        <v>3278.61</v>
      </c>
      <c r="AK405" s="1698">
        <v>3012.77</v>
      </c>
      <c r="AL405" s="1665">
        <v>265.83999999999997</v>
      </c>
      <c r="AM405" s="1664">
        <v>43208</v>
      </c>
      <c r="AN405" s="1665">
        <v>3544.44</v>
      </c>
      <c r="AO405" s="1665">
        <v>3544.44</v>
      </c>
      <c r="AP405" s="1665">
        <v>3278.61</v>
      </c>
      <c r="AQ405" s="1665">
        <v>3012.77</v>
      </c>
      <c r="AR405" s="1665">
        <v>265.83999999999997</v>
      </c>
      <c r="AS405" s="1665">
        <v>265.83</v>
      </c>
      <c r="AT405" s="1665">
        <v>0</v>
      </c>
      <c r="AU405" s="1665">
        <v>265.83</v>
      </c>
      <c r="AV405" s="1665">
        <v>0</v>
      </c>
      <c r="AW405" s="1665">
        <v>0</v>
      </c>
      <c r="AX405" s="1663"/>
      <c r="AY405" s="1663"/>
      <c r="AZ405" s="1663"/>
      <c r="BA405" s="1668"/>
      <c r="BB405" s="1668"/>
      <c r="BC405" s="1663"/>
      <c r="BD405" s="1663"/>
      <c r="BE405" s="1665">
        <v>3544.44</v>
      </c>
      <c r="BF405" s="1665">
        <v>3544.44</v>
      </c>
      <c r="BG405" s="1665">
        <v>3278.61</v>
      </c>
      <c r="BH405" s="1665">
        <v>3012.77</v>
      </c>
      <c r="BI405" s="1665">
        <v>265.83999999999997</v>
      </c>
      <c r="BJ405" s="1665">
        <v>265.83</v>
      </c>
      <c r="BK405" s="1665">
        <v>0</v>
      </c>
      <c r="BL405" s="1665">
        <v>265.83</v>
      </c>
      <c r="BM405" s="1665">
        <v>0</v>
      </c>
      <c r="BN405" s="1665">
        <v>0</v>
      </c>
      <c r="BO405" s="1664">
        <v>43364</v>
      </c>
      <c r="BP405" s="1665">
        <v>3544.44</v>
      </c>
      <c r="BQ405" s="1665">
        <v>3544.44</v>
      </c>
      <c r="BR405" s="1665">
        <v>3278.61</v>
      </c>
      <c r="BS405" s="1667">
        <v>3012.77</v>
      </c>
      <c r="BT405" s="1665">
        <v>265.83999999999997</v>
      </c>
      <c r="BU405" s="1665">
        <v>265.83</v>
      </c>
      <c r="BV405" s="1665">
        <v>0</v>
      </c>
      <c r="BW405" s="1665">
        <v>0</v>
      </c>
      <c r="BX405" s="1665">
        <v>0</v>
      </c>
      <c r="BY405" s="1665">
        <v>0</v>
      </c>
      <c r="BZ405" s="1665">
        <v>0</v>
      </c>
      <c r="CA405" s="1663"/>
      <c r="CB405" s="1668"/>
      <c r="CC405" s="1668"/>
      <c r="CD405" s="1663"/>
      <c r="CE405" s="1663"/>
      <c r="CF405" s="1665">
        <v>0</v>
      </c>
      <c r="CG405" s="1665">
        <v>0</v>
      </c>
      <c r="CH405" s="1665">
        <v>0</v>
      </c>
      <c r="CI405" s="1665">
        <v>0</v>
      </c>
      <c r="CJ405" s="1665">
        <v>35.44</v>
      </c>
      <c r="CK405" s="1665">
        <v>35.44</v>
      </c>
      <c r="CL405" s="1668"/>
      <c r="CM405" s="1665">
        <v>0</v>
      </c>
      <c r="CN405" s="1665">
        <v>0</v>
      </c>
      <c r="CO405" s="1665">
        <v>0</v>
      </c>
      <c r="CP405" s="1665">
        <v>0</v>
      </c>
      <c r="CQ405" s="1665">
        <v>0</v>
      </c>
      <c r="CR405" s="1665">
        <v>0</v>
      </c>
      <c r="CS405" s="1665">
        <v>0</v>
      </c>
      <c r="CT405" s="1665">
        <v>0</v>
      </c>
      <c r="CU405" s="1665">
        <v>0</v>
      </c>
      <c r="CV405" s="1665">
        <v>0</v>
      </c>
      <c r="CW405" s="1668"/>
      <c r="CX405" s="1663"/>
      <c r="CY405" s="1663"/>
      <c r="CZ405" s="1663"/>
      <c r="DA405" s="1663"/>
      <c r="DB405" s="1668"/>
      <c r="DC405" s="1662"/>
      <c r="DD405" s="1665">
        <v>0</v>
      </c>
      <c r="DE405" s="1663"/>
      <c r="DF405" s="1663"/>
      <c r="DG405" s="1665">
        <v>0</v>
      </c>
      <c r="DH405" s="1665">
        <v>0</v>
      </c>
    </row>
    <row r="406" spans="1:112" ht="45" hidden="1" x14ac:dyDescent="0.25">
      <c r="A406" s="1662" t="s">
        <v>2509</v>
      </c>
      <c r="B406" s="1662" t="s">
        <v>1729</v>
      </c>
      <c r="C406" s="1662" t="s">
        <v>2652</v>
      </c>
      <c r="D406" s="1662" t="s">
        <v>2653</v>
      </c>
      <c r="E406" s="1662" t="s">
        <v>136</v>
      </c>
      <c r="F406" s="1662" t="s">
        <v>2654</v>
      </c>
      <c r="G406" s="1662" t="s">
        <v>2628</v>
      </c>
      <c r="H406" s="1662" t="s">
        <v>2613</v>
      </c>
      <c r="I406" s="1662" t="s">
        <v>2503</v>
      </c>
      <c r="J406" s="1662" t="s">
        <v>644</v>
      </c>
      <c r="K406" s="1662" t="s">
        <v>2120</v>
      </c>
      <c r="L406" s="1662" t="s">
        <v>2109</v>
      </c>
      <c r="M406" s="1663"/>
      <c r="N406" s="1663"/>
      <c r="O406" s="1663"/>
      <c r="P406" s="1663"/>
      <c r="Q406" s="1663"/>
      <c r="R406" s="1663"/>
      <c r="S406" s="1663"/>
      <c r="T406" s="1663"/>
      <c r="U406" s="1663"/>
      <c r="V406" s="1663"/>
      <c r="W406" s="1663"/>
      <c r="X406" s="1663"/>
      <c r="Y406" s="1664">
        <v>43286</v>
      </c>
      <c r="Z406" s="1662" t="s">
        <v>2110</v>
      </c>
      <c r="AA406" s="1665">
        <v>0</v>
      </c>
      <c r="AB406" s="1665">
        <v>0</v>
      </c>
      <c r="AC406" s="1680">
        <v>0</v>
      </c>
      <c r="AD406" s="1682">
        <v>43300</v>
      </c>
      <c r="AE406" s="1679" t="s">
        <v>2114</v>
      </c>
      <c r="AF406" s="1662" t="s">
        <v>2115</v>
      </c>
      <c r="AG406" s="1666"/>
      <c r="AH406" s="1667">
        <v>1301</v>
      </c>
      <c r="AI406" s="1665">
        <v>1301</v>
      </c>
      <c r="AJ406" s="1665">
        <v>1203.42</v>
      </c>
      <c r="AK406" s="1698">
        <v>1105.8499999999999</v>
      </c>
      <c r="AL406" s="1665">
        <v>97.57</v>
      </c>
      <c r="AM406" s="1664">
        <v>43300</v>
      </c>
      <c r="AN406" s="1665">
        <v>1301</v>
      </c>
      <c r="AO406" s="1665">
        <v>1301</v>
      </c>
      <c r="AP406" s="1665">
        <v>1203.42</v>
      </c>
      <c r="AQ406" s="1665">
        <v>1105.8499999999999</v>
      </c>
      <c r="AR406" s="1665">
        <v>97.57</v>
      </c>
      <c r="AS406" s="1665">
        <v>97.58</v>
      </c>
      <c r="AT406" s="1665">
        <v>0</v>
      </c>
      <c r="AU406" s="1665">
        <v>97.58</v>
      </c>
      <c r="AV406" s="1665">
        <v>0</v>
      </c>
      <c r="AW406" s="1665">
        <v>0</v>
      </c>
      <c r="AX406" s="1663"/>
      <c r="AY406" s="1663"/>
      <c r="AZ406" s="1663"/>
      <c r="BA406" s="1668"/>
      <c r="BB406" s="1668"/>
      <c r="BC406" s="1663"/>
      <c r="BD406" s="1663"/>
      <c r="BE406" s="1665">
        <v>1301</v>
      </c>
      <c r="BF406" s="1665">
        <v>1301</v>
      </c>
      <c r="BG406" s="1665">
        <v>1203.42</v>
      </c>
      <c r="BH406" s="1665">
        <v>1105.8499999999999</v>
      </c>
      <c r="BI406" s="1665">
        <v>97.57</v>
      </c>
      <c r="BJ406" s="1665">
        <v>97.58</v>
      </c>
      <c r="BK406" s="1665">
        <v>0</v>
      </c>
      <c r="BL406" s="1665">
        <v>97.58</v>
      </c>
      <c r="BM406" s="1665">
        <v>0</v>
      </c>
      <c r="BN406" s="1665">
        <v>0</v>
      </c>
      <c r="BO406" s="1664">
        <v>43364</v>
      </c>
      <c r="BP406" s="1665">
        <v>1301</v>
      </c>
      <c r="BQ406" s="1665">
        <v>1301</v>
      </c>
      <c r="BR406" s="1665">
        <v>1203.42</v>
      </c>
      <c r="BS406" s="1667">
        <v>1105.8499999999999</v>
      </c>
      <c r="BT406" s="1665">
        <v>97.57</v>
      </c>
      <c r="BU406" s="1665">
        <v>97.58</v>
      </c>
      <c r="BV406" s="1665">
        <v>0</v>
      </c>
      <c r="BW406" s="1665">
        <v>0</v>
      </c>
      <c r="BX406" s="1665">
        <v>0</v>
      </c>
      <c r="BY406" s="1665">
        <v>0</v>
      </c>
      <c r="BZ406" s="1665">
        <v>0</v>
      </c>
      <c r="CA406" s="1663"/>
      <c r="CB406" s="1668"/>
      <c r="CC406" s="1668"/>
      <c r="CD406" s="1663"/>
      <c r="CE406" s="1663"/>
      <c r="CF406" s="1665">
        <v>0</v>
      </c>
      <c r="CG406" s="1665">
        <v>0</v>
      </c>
      <c r="CH406" s="1665">
        <v>0</v>
      </c>
      <c r="CI406" s="1665">
        <v>0</v>
      </c>
      <c r="CJ406" s="1665">
        <v>0</v>
      </c>
      <c r="CK406" s="1665">
        <v>0</v>
      </c>
      <c r="CL406" s="1668"/>
      <c r="CM406" s="1665">
        <v>0</v>
      </c>
      <c r="CN406" s="1665">
        <v>0</v>
      </c>
      <c r="CO406" s="1665">
        <v>0</v>
      </c>
      <c r="CP406" s="1665">
        <v>0</v>
      </c>
      <c r="CQ406" s="1665">
        <v>0</v>
      </c>
      <c r="CR406" s="1665">
        <v>0</v>
      </c>
      <c r="CS406" s="1665">
        <v>0</v>
      </c>
      <c r="CT406" s="1665">
        <v>0</v>
      </c>
      <c r="CU406" s="1665">
        <v>0</v>
      </c>
      <c r="CV406" s="1665">
        <v>0</v>
      </c>
      <c r="CW406" s="1668"/>
      <c r="CX406" s="1663"/>
      <c r="CY406" s="1663"/>
      <c r="CZ406" s="1663"/>
      <c r="DA406" s="1663"/>
      <c r="DB406" s="1668"/>
      <c r="DC406" s="1662"/>
      <c r="DD406" s="1665">
        <v>0</v>
      </c>
      <c r="DE406" s="1663"/>
      <c r="DF406" s="1663"/>
      <c r="DG406" s="1665">
        <v>0</v>
      </c>
      <c r="DH406" s="1665">
        <v>0</v>
      </c>
    </row>
    <row r="407" spans="1:112" ht="45" hidden="1" x14ac:dyDescent="0.25">
      <c r="A407" s="1662" t="s">
        <v>2510</v>
      </c>
      <c r="B407" s="1662" t="s">
        <v>1729</v>
      </c>
      <c r="C407" s="1662" t="s">
        <v>2652</v>
      </c>
      <c r="D407" s="1662" t="s">
        <v>2653</v>
      </c>
      <c r="E407" s="1662" t="s">
        <v>136</v>
      </c>
      <c r="F407" s="1662" t="s">
        <v>2654</v>
      </c>
      <c r="G407" s="1662" t="s">
        <v>2628</v>
      </c>
      <c r="H407" s="1662" t="s">
        <v>2613</v>
      </c>
      <c r="I407" s="1662" t="s">
        <v>2503</v>
      </c>
      <c r="J407" s="1662" t="s">
        <v>644</v>
      </c>
      <c r="K407" s="1662" t="s">
        <v>2120</v>
      </c>
      <c r="L407" s="1662" t="s">
        <v>2109</v>
      </c>
      <c r="M407" s="1663"/>
      <c r="N407" s="1663"/>
      <c r="O407" s="1663"/>
      <c r="P407" s="1663"/>
      <c r="Q407" s="1663"/>
      <c r="R407" s="1663"/>
      <c r="S407" s="1663"/>
      <c r="T407" s="1663"/>
      <c r="U407" s="1663"/>
      <c r="V407" s="1663"/>
      <c r="W407" s="1663"/>
      <c r="X407" s="1663"/>
      <c r="Y407" s="1664">
        <v>43343</v>
      </c>
      <c r="Z407" s="1662" t="s">
        <v>2145</v>
      </c>
      <c r="AA407" s="1665">
        <v>0</v>
      </c>
      <c r="AB407" s="1665">
        <v>0</v>
      </c>
      <c r="AC407" s="1680">
        <v>0</v>
      </c>
      <c r="AD407" s="1682">
        <v>43353</v>
      </c>
      <c r="AE407" s="1679" t="s">
        <v>2128</v>
      </c>
      <c r="AF407" s="1662" t="s">
        <v>2112</v>
      </c>
      <c r="AG407" s="1666"/>
      <c r="AH407" s="1667">
        <v>120249</v>
      </c>
      <c r="AI407" s="1665">
        <v>120249</v>
      </c>
      <c r="AJ407" s="1665">
        <v>120249</v>
      </c>
      <c r="AK407" s="1698">
        <v>110498.99</v>
      </c>
      <c r="AL407" s="1665">
        <v>9750.01</v>
      </c>
      <c r="AM407" s="1668"/>
      <c r="AN407" s="1665">
        <v>0</v>
      </c>
      <c r="AO407" s="1665">
        <v>0</v>
      </c>
      <c r="AP407" s="1665">
        <v>0</v>
      </c>
      <c r="AQ407" s="1665">
        <v>0</v>
      </c>
      <c r="AR407" s="1665">
        <v>0</v>
      </c>
      <c r="AS407" s="1665">
        <v>0</v>
      </c>
      <c r="AT407" s="1665">
        <v>0</v>
      </c>
      <c r="AU407" s="1665">
        <v>0</v>
      </c>
      <c r="AV407" s="1665">
        <v>0</v>
      </c>
      <c r="AW407" s="1665">
        <v>0</v>
      </c>
      <c r="AX407" s="1663"/>
      <c r="AY407" s="1663"/>
      <c r="AZ407" s="1663"/>
      <c r="BA407" s="1668"/>
      <c r="BB407" s="1668"/>
      <c r="BC407" s="1663"/>
      <c r="BD407" s="1663"/>
      <c r="BE407" s="1665">
        <v>0</v>
      </c>
      <c r="BF407" s="1665">
        <v>0</v>
      </c>
      <c r="BG407" s="1665">
        <v>0</v>
      </c>
      <c r="BH407" s="1665">
        <v>0</v>
      </c>
      <c r="BI407" s="1665">
        <v>0</v>
      </c>
      <c r="BJ407" s="1665">
        <v>0</v>
      </c>
      <c r="BK407" s="1665">
        <v>0</v>
      </c>
      <c r="BL407" s="1665">
        <v>0</v>
      </c>
      <c r="BM407" s="1665">
        <v>0</v>
      </c>
      <c r="BN407" s="1665">
        <v>0</v>
      </c>
      <c r="BO407" s="1668"/>
      <c r="BP407" s="1665">
        <v>0</v>
      </c>
      <c r="BQ407" s="1665">
        <v>0</v>
      </c>
      <c r="BR407" s="1665">
        <v>0</v>
      </c>
      <c r="BS407" s="1667">
        <v>0</v>
      </c>
      <c r="BT407" s="1665">
        <v>0</v>
      </c>
      <c r="BU407" s="1665">
        <v>0</v>
      </c>
      <c r="BV407" s="1665">
        <v>0</v>
      </c>
      <c r="BW407" s="1665">
        <v>0</v>
      </c>
      <c r="BX407" s="1665">
        <v>0</v>
      </c>
      <c r="BY407" s="1665">
        <v>0</v>
      </c>
      <c r="BZ407" s="1663"/>
      <c r="CA407" s="1663"/>
      <c r="CB407" s="1668"/>
      <c r="CC407" s="1668"/>
      <c r="CD407" s="1663"/>
      <c r="CE407" s="1663"/>
      <c r="CF407" s="1665">
        <v>0</v>
      </c>
      <c r="CG407" s="1665">
        <v>0</v>
      </c>
      <c r="CH407" s="1665">
        <v>0</v>
      </c>
      <c r="CI407" s="1665">
        <v>0</v>
      </c>
      <c r="CJ407" s="1665">
        <v>0</v>
      </c>
      <c r="CK407" s="1665">
        <v>0</v>
      </c>
      <c r="CL407" s="1668"/>
      <c r="CM407" s="1665">
        <v>0</v>
      </c>
      <c r="CN407" s="1665">
        <v>0</v>
      </c>
      <c r="CO407" s="1665">
        <v>0</v>
      </c>
      <c r="CP407" s="1665">
        <v>0</v>
      </c>
      <c r="CQ407" s="1665">
        <v>0</v>
      </c>
      <c r="CR407" s="1665">
        <v>0</v>
      </c>
      <c r="CS407" s="1665">
        <v>0</v>
      </c>
      <c r="CT407" s="1665">
        <v>0</v>
      </c>
      <c r="CU407" s="1665">
        <v>0</v>
      </c>
      <c r="CV407" s="1665">
        <v>0</v>
      </c>
      <c r="CW407" s="1668"/>
      <c r="CX407" s="1663"/>
      <c r="CY407" s="1663"/>
      <c r="CZ407" s="1663"/>
      <c r="DA407" s="1663"/>
      <c r="DB407" s="1668"/>
      <c r="DC407" s="1662"/>
      <c r="DD407" s="1665">
        <v>0</v>
      </c>
      <c r="DE407" s="1663"/>
      <c r="DF407" s="1663"/>
      <c r="DG407" s="1665">
        <v>0</v>
      </c>
      <c r="DH407" s="1665">
        <v>0</v>
      </c>
    </row>
    <row r="408" spans="1:112" ht="56.25" hidden="1" x14ac:dyDescent="0.25">
      <c r="A408" s="1662" t="s">
        <v>2511</v>
      </c>
      <c r="B408" s="1662" t="s">
        <v>1729</v>
      </c>
      <c r="C408" s="1662" t="s">
        <v>2652</v>
      </c>
      <c r="D408" s="1662" t="s">
        <v>2653</v>
      </c>
      <c r="E408" s="1662" t="s">
        <v>136</v>
      </c>
      <c r="F408" s="1662" t="s">
        <v>2654</v>
      </c>
      <c r="G408" s="1662" t="s">
        <v>2628</v>
      </c>
      <c r="H408" s="1662" t="s">
        <v>2613</v>
      </c>
      <c r="I408" s="1662" t="s">
        <v>820</v>
      </c>
      <c r="J408" s="1662" t="s">
        <v>232</v>
      </c>
      <c r="K408" s="1662" t="s">
        <v>2159</v>
      </c>
      <c r="L408" s="1662" t="s">
        <v>2109</v>
      </c>
      <c r="M408" s="1665">
        <v>163877</v>
      </c>
      <c r="N408" s="1665">
        <v>0</v>
      </c>
      <c r="O408" s="1665">
        <v>163877</v>
      </c>
      <c r="P408" s="1665">
        <v>163877</v>
      </c>
      <c r="Q408" s="1665">
        <v>151586</v>
      </c>
      <c r="R408" s="1665">
        <v>139295</v>
      </c>
      <c r="S408" s="1665">
        <v>12291</v>
      </c>
      <c r="T408" s="1665">
        <v>12291</v>
      </c>
      <c r="U408" s="1665">
        <v>0</v>
      </c>
      <c r="V408" s="1665">
        <v>12291</v>
      </c>
      <c r="W408" s="1665">
        <v>0</v>
      </c>
      <c r="X408" s="1665">
        <v>0</v>
      </c>
      <c r="Y408" s="1668"/>
      <c r="Z408" s="1662"/>
      <c r="AA408" s="1665">
        <v>0</v>
      </c>
      <c r="AB408" s="1665">
        <v>0</v>
      </c>
      <c r="AC408" s="1680">
        <v>0</v>
      </c>
      <c r="AD408" s="1681"/>
      <c r="AE408" s="1679"/>
      <c r="AF408" s="1662"/>
      <c r="AG408" s="1666"/>
      <c r="AH408" s="1667">
        <v>106596.08</v>
      </c>
      <c r="AI408" s="1665">
        <v>106596.08</v>
      </c>
      <c r="AJ408" s="1665">
        <v>102011.97</v>
      </c>
      <c r="AK408" s="1698">
        <v>93740.57</v>
      </c>
      <c r="AL408" s="1665">
        <v>8271.4</v>
      </c>
      <c r="AM408" s="1668"/>
      <c r="AN408" s="1665">
        <v>61120.28</v>
      </c>
      <c r="AO408" s="1665">
        <v>61120.28</v>
      </c>
      <c r="AP408" s="1665">
        <v>56536.17</v>
      </c>
      <c r="AQ408" s="1665">
        <v>51952.07</v>
      </c>
      <c r="AR408" s="1665">
        <v>4584.1000000000004</v>
      </c>
      <c r="AS408" s="1665">
        <v>4584.1099999999997</v>
      </c>
      <c r="AT408" s="1665">
        <v>0</v>
      </c>
      <c r="AU408" s="1665">
        <v>4584.1099999999997</v>
      </c>
      <c r="AV408" s="1665">
        <v>0</v>
      </c>
      <c r="AW408" s="1665">
        <v>0</v>
      </c>
      <c r="AX408" s="1665">
        <v>0</v>
      </c>
      <c r="AY408" s="1665">
        <v>0</v>
      </c>
      <c r="AZ408" s="1665">
        <v>0</v>
      </c>
      <c r="BA408" s="1668"/>
      <c r="BB408" s="1668"/>
      <c r="BC408" s="1665">
        <v>0</v>
      </c>
      <c r="BD408" s="1665">
        <v>0</v>
      </c>
      <c r="BE408" s="1665">
        <v>61120.28</v>
      </c>
      <c r="BF408" s="1665">
        <v>61120.28</v>
      </c>
      <c r="BG408" s="1665">
        <v>56536.17</v>
      </c>
      <c r="BH408" s="1665">
        <v>51952.07</v>
      </c>
      <c r="BI408" s="1665">
        <v>4584.1000000000004</v>
      </c>
      <c r="BJ408" s="1665">
        <v>4584.1099999999997</v>
      </c>
      <c r="BK408" s="1665">
        <v>0</v>
      </c>
      <c r="BL408" s="1665">
        <v>4584.1099999999997</v>
      </c>
      <c r="BM408" s="1665">
        <v>0</v>
      </c>
      <c r="BN408" s="1665">
        <v>0</v>
      </c>
      <c r="BO408" s="1668"/>
      <c r="BP408" s="1665">
        <v>11543.3</v>
      </c>
      <c r="BQ408" s="1665">
        <v>11543.3</v>
      </c>
      <c r="BR408" s="1665">
        <v>10677.53</v>
      </c>
      <c r="BS408" s="1667">
        <v>9811.77</v>
      </c>
      <c r="BT408" s="1665">
        <v>865.76</v>
      </c>
      <c r="BU408" s="1665">
        <v>865.77</v>
      </c>
      <c r="BV408" s="1665">
        <v>0</v>
      </c>
      <c r="BW408" s="1665">
        <v>0</v>
      </c>
      <c r="BX408" s="1665">
        <v>0</v>
      </c>
      <c r="BY408" s="1665">
        <v>0</v>
      </c>
      <c r="BZ408" s="1665">
        <v>0</v>
      </c>
      <c r="CA408" s="1665">
        <v>0</v>
      </c>
      <c r="CB408" s="1668"/>
      <c r="CC408" s="1668"/>
      <c r="CD408" s="1665">
        <v>0</v>
      </c>
      <c r="CE408" s="1665">
        <v>0</v>
      </c>
      <c r="CF408" s="1665">
        <v>0</v>
      </c>
      <c r="CG408" s="1665">
        <v>0</v>
      </c>
      <c r="CH408" s="1665">
        <v>0</v>
      </c>
      <c r="CI408" s="1665">
        <v>0</v>
      </c>
      <c r="CJ408" s="1665">
        <v>0</v>
      </c>
      <c r="CK408" s="1665">
        <v>0</v>
      </c>
      <c r="CL408" s="1668"/>
      <c r="CM408" s="1665">
        <v>0</v>
      </c>
      <c r="CN408" s="1665">
        <v>0</v>
      </c>
      <c r="CO408" s="1665">
        <v>0</v>
      </c>
      <c r="CP408" s="1665">
        <v>0</v>
      </c>
      <c r="CQ408" s="1665">
        <v>0</v>
      </c>
      <c r="CR408" s="1665">
        <v>0</v>
      </c>
      <c r="CS408" s="1665">
        <v>0</v>
      </c>
      <c r="CT408" s="1665">
        <v>0</v>
      </c>
      <c r="CU408" s="1665">
        <v>0</v>
      </c>
      <c r="CV408" s="1665">
        <v>0</v>
      </c>
      <c r="CW408" s="1668"/>
      <c r="CX408" s="1665">
        <v>0</v>
      </c>
      <c r="CY408" s="1665">
        <v>0</v>
      </c>
      <c r="CZ408" s="1665">
        <v>0</v>
      </c>
      <c r="DA408" s="1665">
        <v>0</v>
      </c>
      <c r="DB408" s="1668"/>
      <c r="DC408" s="1662"/>
      <c r="DD408" s="1665">
        <v>0</v>
      </c>
      <c r="DE408" s="1665">
        <v>0</v>
      </c>
      <c r="DF408" s="1665">
        <v>0</v>
      </c>
      <c r="DG408" s="1665">
        <v>0</v>
      </c>
      <c r="DH408" s="1665">
        <v>0</v>
      </c>
    </row>
    <row r="409" spans="1:112" ht="56.25" hidden="1" x14ac:dyDescent="0.25">
      <c r="A409" s="1662" t="s">
        <v>2512</v>
      </c>
      <c r="B409" s="1662" t="s">
        <v>1729</v>
      </c>
      <c r="C409" s="1662" t="s">
        <v>2652</v>
      </c>
      <c r="D409" s="1662" t="s">
        <v>2653</v>
      </c>
      <c r="E409" s="1662" t="s">
        <v>136</v>
      </c>
      <c r="F409" s="1662" t="s">
        <v>2654</v>
      </c>
      <c r="G409" s="1662" t="s">
        <v>2628</v>
      </c>
      <c r="H409" s="1662" t="s">
        <v>2613</v>
      </c>
      <c r="I409" s="1662" t="s">
        <v>820</v>
      </c>
      <c r="J409" s="1662" t="s">
        <v>232</v>
      </c>
      <c r="K409" s="1662" t="s">
        <v>2159</v>
      </c>
      <c r="L409" s="1662" t="s">
        <v>2109</v>
      </c>
      <c r="M409" s="1663"/>
      <c r="N409" s="1663"/>
      <c r="O409" s="1663"/>
      <c r="P409" s="1663"/>
      <c r="Q409" s="1663"/>
      <c r="R409" s="1663"/>
      <c r="S409" s="1663"/>
      <c r="T409" s="1663"/>
      <c r="U409" s="1663"/>
      <c r="V409" s="1663"/>
      <c r="W409" s="1663"/>
      <c r="X409" s="1663"/>
      <c r="Y409" s="1664">
        <v>43251</v>
      </c>
      <c r="Z409" s="1662" t="s">
        <v>2110</v>
      </c>
      <c r="AA409" s="1665">
        <v>0</v>
      </c>
      <c r="AB409" s="1665">
        <v>0</v>
      </c>
      <c r="AC409" s="1680">
        <v>0</v>
      </c>
      <c r="AD409" s="1682">
        <v>43284</v>
      </c>
      <c r="AE409" s="1679" t="s">
        <v>2122</v>
      </c>
      <c r="AF409" s="1662" t="s">
        <v>2115</v>
      </c>
      <c r="AG409" s="1666"/>
      <c r="AH409" s="1667">
        <v>11543.3</v>
      </c>
      <c r="AI409" s="1665">
        <v>11543.3</v>
      </c>
      <c r="AJ409" s="1665">
        <v>10677.53</v>
      </c>
      <c r="AK409" s="1698">
        <v>9811.77</v>
      </c>
      <c r="AL409" s="1665">
        <v>865.76</v>
      </c>
      <c r="AM409" s="1664">
        <v>43284</v>
      </c>
      <c r="AN409" s="1665">
        <v>11543.3</v>
      </c>
      <c r="AO409" s="1665">
        <v>11543.3</v>
      </c>
      <c r="AP409" s="1665">
        <v>10677.53</v>
      </c>
      <c r="AQ409" s="1665">
        <v>9811.77</v>
      </c>
      <c r="AR409" s="1665">
        <v>865.76</v>
      </c>
      <c r="AS409" s="1665">
        <v>865.77</v>
      </c>
      <c r="AT409" s="1665">
        <v>0</v>
      </c>
      <c r="AU409" s="1665">
        <v>865.77</v>
      </c>
      <c r="AV409" s="1665">
        <v>0</v>
      </c>
      <c r="AW409" s="1665">
        <v>0</v>
      </c>
      <c r="AX409" s="1663"/>
      <c r="AY409" s="1663"/>
      <c r="AZ409" s="1663"/>
      <c r="BA409" s="1668"/>
      <c r="BB409" s="1668"/>
      <c r="BC409" s="1663"/>
      <c r="BD409" s="1663"/>
      <c r="BE409" s="1665">
        <v>11543.3</v>
      </c>
      <c r="BF409" s="1665">
        <v>11543.3</v>
      </c>
      <c r="BG409" s="1665">
        <v>10677.53</v>
      </c>
      <c r="BH409" s="1665">
        <v>9811.77</v>
      </c>
      <c r="BI409" s="1665">
        <v>865.76</v>
      </c>
      <c r="BJ409" s="1665">
        <v>865.77</v>
      </c>
      <c r="BK409" s="1665">
        <v>0</v>
      </c>
      <c r="BL409" s="1665">
        <v>865.77</v>
      </c>
      <c r="BM409" s="1665">
        <v>0</v>
      </c>
      <c r="BN409" s="1665">
        <v>0</v>
      </c>
      <c r="BO409" s="1664">
        <v>43364</v>
      </c>
      <c r="BP409" s="1665">
        <v>11543.3</v>
      </c>
      <c r="BQ409" s="1665">
        <v>11543.3</v>
      </c>
      <c r="BR409" s="1665">
        <v>10677.53</v>
      </c>
      <c r="BS409" s="1667">
        <v>9811.77</v>
      </c>
      <c r="BT409" s="1665">
        <v>865.76</v>
      </c>
      <c r="BU409" s="1665">
        <v>865.77</v>
      </c>
      <c r="BV409" s="1665">
        <v>0</v>
      </c>
      <c r="BW409" s="1665">
        <v>0</v>
      </c>
      <c r="BX409" s="1665">
        <v>0</v>
      </c>
      <c r="BY409" s="1665">
        <v>0</v>
      </c>
      <c r="BZ409" s="1665">
        <v>0</v>
      </c>
      <c r="CA409" s="1663"/>
      <c r="CB409" s="1668"/>
      <c r="CC409" s="1668"/>
      <c r="CD409" s="1663"/>
      <c r="CE409" s="1663"/>
      <c r="CF409" s="1665">
        <v>0</v>
      </c>
      <c r="CG409" s="1665">
        <v>0</v>
      </c>
      <c r="CH409" s="1665">
        <v>0</v>
      </c>
      <c r="CI409" s="1665">
        <v>0</v>
      </c>
      <c r="CJ409" s="1665">
        <v>0</v>
      </c>
      <c r="CK409" s="1665">
        <v>0</v>
      </c>
      <c r="CL409" s="1668"/>
      <c r="CM409" s="1665">
        <v>0</v>
      </c>
      <c r="CN409" s="1665">
        <v>0</v>
      </c>
      <c r="CO409" s="1665">
        <v>0</v>
      </c>
      <c r="CP409" s="1665">
        <v>0</v>
      </c>
      <c r="CQ409" s="1665">
        <v>0</v>
      </c>
      <c r="CR409" s="1665">
        <v>0</v>
      </c>
      <c r="CS409" s="1665">
        <v>0</v>
      </c>
      <c r="CT409" s="1665">
        <v>0</v>
      </c>
      <c r="CU409" s="1665">
        <v>0</v>
      </c>
      <c r="CV409" s="1665">
        <v>0</v>
      </c>
      <c r="CW409" s="1668"/>
      <c r="CX409" s="1663"/>
      <c r="CY409" s="1663"/>
      <c r="CZ409" s="1663"/>
      <c r="DA409" s="1663"/>
      <c r="DB409" s="1668"/>
      <c r="DC409" s="1662"/>
      <c r="DD409" s="1665">
        <v>0</v>
      </c>
      <c r="DE409" s="1663"/>
      <c r="DF409" s="1663"/>
      <c r="DG409" s="1665">
        <v>0</v>
      </c>
      <c r="DH409" s="1665">
        <v>0</v>
      </c>
    </row>
    <row r="410" spans="1:112" ht="56.25" hidden="1" x14ac:dyDescent="0.25">
      <c r="A410" s="1662" t="s">
        <v>2513</v>
      </c>
      <c r="B410" s="1662" t="s">
        <v>1729</v>
      </c>
      <c r="C410" s="1662" t="s">
        <v>2652</v>
      </c>
      <c r="D410" s="1662" t="s">
        <v>2653</v>
      </c>
      <c r="E410" s="1662" t="s">
        <v>136</v>
      </c>
      <c r="F410" s="1662" t="s">
        <v>2654</v>
      </c>
      <c r="G410" s="1662" t="s">
        <v>2628</v>
      </c>
      <c r="H410" s="1662" t="s">
        <v>2613</v>
      </c>
      <c r="I410" s="1662" t="s">
        <v>820</v>
      </c>
      <c r="J410" s="1662" t="s">
        <v>232</v>
      </c>
      <c r="K410" s="1662" t="s">
        <v>2159</v>
      </c>
      <c r="L410" s="1662" t="s">
        <v>2109</v>
      </c>
      <c r="M410" s="1663"/>
      <c r="N410" s="1663"/>
      <c r="O410" s="1663"/>
      <c r="P410" s="1663"/>
      <c r="Q410" s="1663"/>
      <c r="R410" s="1663"/>
      <c r="S410" s="1663"/>
      <c r="T410" s="1663"/>
      <c r="U410" s="1663"/>
      <c r="V410" s="1663"/>
      <c r="W410" s="1663"/>
      <c r="X410" s="1663"/>
      <c r="Y410" s="1664">
        <v>43269</v>
      </c>
      <c r="Z410" s="1662" t="s">
        <v>2145</v>
      </c>
      <c r="AA410" s="1665">
        <v>0</v>
      </c>
      <c r="AB410" s="1665">
        <v>0</v>
      </c>
      <c r="AC410" s="1680">
        <v>0</v>
      </c>
      <c r="AD410" s="1682">
        <v>43276</v>
      </c>
      <c r="AE410" s="1679" t="s">
        <v>2111</v>
      </c>
      <c r="AF410" s="1662" t="s">
        <v>2112</v>
      </c>
      <c r="AG410" s="1666"/>
      <c r="AH410" s="1667">
        <v>45475.8</v>
      </c>
      <c r="AI410" s="1665">
        <v>45475.8</v>
      </c>
      <c r="AJ410" s="1665">
        <v>45475.8</v>
      </c>
      <c r="AK410" s="1698">
        <v>41788.5</v>
      </c>
      <c r="AL410" s="1665">
        <v>3687.3</v>
      </c>
      <c r="AM410" s="1668"/>
      <c r="AN410" s="1665">
        <v>0</v>
      </c>
      <c r="AO410" s="1665">
        <v>0</v>
      </c>
      <c r="AP410" s="1665">
        <v>0</v>
      </c>
      <c r="AQ410" s="1665">
        <v>0</v>
      </c>
      <c r="AR410" s="1665">
        <v>0</v>
      </c>
      <c r="AS410" s="1665">
        <v>0</v>
      </c>
      <c r="AT410" s="1665">
        <v>0</v>
      </c>
      <c r="AU410" s="1665">
        <v>0</v>
      </c>
      <c r="AV410" s="1665">
        <v>0</v>
      </c>
      <c r="AW410" s="1665">
        <v>0</v>
      </c>
      <c r="AX410" s="1663"/>
      <c r="AY410" s="1663"/>
      <c r="AZ410" s="1663"/>
      <c r="BA410" s="1668"/>
      <c r="BB410" s="1668"/>
      <c r="BC410" s="1663"/>
      <c r="BD410" s="1663"/>
      <c r="BE410" s="1665">
        <v>0</v>
      </c>
      <c r="BF410" s="1665">
        <v>0</v>
      </c>
      <c r="BG410" s="1665">
        <v>0</v>
      </c>
      <c r="BH410" s="1665">
        <v>0</v>
      </c>
      <c r="BI410" s="1665">
        <v>0</v>
      </c>
      <c r="BJ410" s="1665">
        <v>0</v>
      </c>
      <c r="BK410" s="1665">
        <v>0</v>
      </c>
      <c r="BL410" s="1665">
        <v>0</v>
      </c>
      <c r="BM410" s="1665">
        <v>0</v>
      </c>
      <c r="BN410" s="1665">
        <v>0</v>
      </c>
      <c r="BO410" s="1668"/>
      <c r="BP410" s="1665">
        <v>0</v>
      </c>
      <c r="BQ410" s="1665">
        <v>0</v>
      </c>
      <c r="BR410" s="1665">
        <v>0</v>
      </c>
      <c r="BS410" s="1667">
        <v>0</v>
      </c>
      <c r="BT410" s="1665">
        <v>0</v>
      </c>
      <c r="BU410" s="1665">
        <v>0</v>
      </c>
      <c r="BV410" s="1665">
        <v>0</v>
      </c>
      <c r="BW410" s="1665">
        <v>0</v>
      </c>
      <c r="BX410" s="1665">
        <v>0</v>
      </c>
      <c r="BY410" s="1665">
        <v>0</v>
      </c>
      <c r="BZ410" s="1663"/>
      <c r="CA410" s="1663"/>
      <c r="CB410" s="1668"/>
      <c r="CC410" s="1668"/>
      <c r="CD410" s="1663"/>
      <c r="CE410" s="1663"/>
      <c r="CF410" s="1665">
        <v>0</v>
      </c>
      <c r="CG410" s="1665">
        <v>0</v>
      </c>
      <c r="CH410" s="1665">
        <v>0</v>
      </c>
      <c r="CI410" s="1665">
        <v>0</v>
      </c>
      <c r="CJ410" s="1665">
        <v>0</v>
      </c>
      <c r="CK410" s="1665">
        <v>0</v>
      </c>
      <c r="CL410" s="1668"/>
      <c r="CM410" s="1665">
        <v>0</v>
      </c>
      <c r="CN410" s="1665">
        <v>0</v>
      </c>
      <c r="CO410" s="1665">
        <v>0</v>
      </c>
      <c r="CP410" s="1665">
        <v>0</v>
      </c>
      <c r="CQ410" s="1665">
        <v>0</v>
      </c>
      <c r="CR410" s="1665">
        <v>0</v>
      </c>
      <c r="CS410" s="1665">
        <v>0</v>
      </c>
      <c r="CT410" s="1665">
        <v>0</v>
      </c>
      <c r="CU410" s="1665">
        <v>0</v>
      </c>
      <c r="CV410" s="1665">
        <v>0</v>
      </c>
      <c r="CW410" s="1668"/>
      <c r="CX410" s="1663"/>
      <c r="CY410" s="1663"/>
      <c r="CZ410" s="1663"/>
      <c r="DA410" s="1663"/>
      <c r="DB410" s="1668"/>
      <c r="DC410" s="1662"/>
      <c r="DD410" s="1665">
        <v>0</v>
      </c>
      <c r="DE410" s="1663"/>
      <c r="DF410" s="1663"/>
      <c r="DG410" s="1665">
        <v>0</v>
      </c>
      <c r="DH410" s="1665">
        <v>0</v>
      </c>
    </row>
    <row r="411" spans="1:112" ht="56.25" hidden="1" x14ac:dyDescent="0.25">
      <c r="A411" s="1662" t="s">
        <v>2514</v>
      </c>
      <c r="B411" s="1662" t="s">
        <v>1729</v>
      </c>
      <c r="C411" s="1662" t="s">
        <v>2652</v>
      </c>
      <c r="D411" s="1662" t="s">
        <v>2653</v>
      </c>
      <c r="E411" s="1662" t="s">
        <v>136</v>
      </c>
      <c r="F411" s="1662" t="s">
        <v>2654</v>
      </c>
      <c r="G411" s="1662" t="s">
        <v>2628</v>
      </c>
      <c r="H411" s="1662" t="s">
        <v>2613</v>
      </c>
      <c r="I411" s="1662" t="s">
        <v>820</v>
      </c>
      <c r="J411" s="1662" t="s">
        <v>232</v>
      </c>
      <c r="K411" s="1662" t="s">
        <v>2159</v>
      </c>
      <c r="L411" s="1662" t="s">
        <v>2109</v>
      </c>
      <c r="M411" s="1663"/>
      <c r="N411" s="1663"/>
      <c r="O411" s="1663"/>
      <c r="P411" s="1663"/>
      <c r="Q411" s="1663"/>
      <c r="R411" s="1663"/>
      <c r="S411" s="1663"/>
      <c r="T411" s="1663"/>
      <c r="U411" s="1663"/>
      <c r="V411" s="1663"/>
      <c r="W411" s="1663"/>
      <c r="X411" s="1663"/>
      <c r="Y411" s="1664">
        <v>43321</v>
      </c>
      <c r="Z411" s="1662" t="s">
        <v>2110</v>
      </c>
      <c r="AA411" s="1665">
        <v>0</v>
      </c>
      <c r="AB411" s="1665">
        <v>0</v>
      </c>
      <c r="AC411" s="1680">
        <v>0</v>
      </c>
      <c r="AD411" s="1682">
        <v>43356</v>
      </c>
      <c r="AE411" s="1679" t="s">
        <v>2114</v>
      </c>
      <c r="AF411" s="1662" t="s">
        <v>2115</v>
      </c>
      <c r="AG411" s="1666"/>
      <c r="AH411" s="1667">
        <v>3864.24</v>
      </c>
      <c r="AI411" s="1665">
        <v>3864.24</v>
      </c>
      <c r="AJ411" s="1665">
        <v>3574.43</v>
      </c>
      <c r="AK411" s="1698">
        <v>3284.6</v>
      </c>
      <c r="AL411" s="1665">
        <v>289.83</v>
      </c>
      <c r="AM411" s="1664">
        <v>43357</v>
      </c>
      <c r="AN411" s="1665">
        <v>3864.24</v>
      </c>
      <c r="AO411" s="1665">
        <v>3864.24</v>
      </c>
      <c r="AP411" s="1665">
        <v>3574.43</v>
      </c>
      <c r="AQ411" s="1665">
        <v>3284.6</v>
      </c>
      <c r="AR411" s="1665">
        <v>289.83</v>
      </c>
      <c r="AS411" s="1665">
        <v>289.81</v>
      </c>
      <c r="AT411" s="1665">
        <v>0</v>
      </c>
      <c r="AU411" s="1665">
        <v>289.81</v>
      </c>
      <c r="AV411" s="1665">
        <v>0</v>
      </c>
      <c r="AW411" s="1665">
        <v>0</v>
      </c>
      <c r="AX411" s="1663"/>
      <c r="AY411" s="1663"/>
      <c r="AZ411" s="1663"/>
      <c r="BA411" s="1668"/>
      <c r="BB411" s="1668"/>
      <c r="BC411" s="1663"/>
      <c r="BD411" s="1663"/>
      <c r="BE411" s="1665">
        <v>3864.24</v>
      </c>
      <c r="BF411" s="1665">
        <v>3864.24</v>
      </c>
      <c r="BG411" s="1665">
        <v>3574.43</v>
      </c>
      <c r="BH411" s="1665">
        <v>3284.6</v>
      </c>
      <c r="BI411" s="1665">
        <v>289.83</v>
      </c>
      <c r="BJ411" s="1665">
        <v>289.81</v>
      </c>
      <c r="BK411" s="1665">
        <v>0</v>
      </c>
      <c r="BL411" s="1665">
        <v>289.81</v>
      </c>
      <c r="BM411" s="1665">
        <v>0</v>
      </c>
      <c r="BN411" s="1665">
        <v>0</v>
      </c>
      <c r="BO411" s="1668"/>
      <c r="BP411" s="1665">
        <v>0</v>
      </c>
      <c r="BQ411" s="1665">
        <v>0</v>
      </c>
      <c r="BR411" s="1665">
        <v>0</v>
      </c>
      <c r="BS411" s="1667">
        <v>0</v>
      </c>
      <c r="BT411" s="1665">
        <v>0</v>
      </c>
      <c r="BU411" s="1665">
        <v>0</v>
      </c>
      <c r="BV411" s="1665">
        <v>0</v>
      </c>
      <c r="BW411" s="1665">
        <v>0</v>
      </c>
      <c r="BX411" s="1665">
        <v>0</v>
      </c>
      <c r="BY411" s="1665">
        <v>0</v>
      </c>
      <c r="BZ411" s="1665">
        <v>0</v>
      </c>
      <c r="CA411" s="1663"/>
      <c r="CB411" s="1668"/>
      <c r="CC411" s="1668"/>
      <c r="CD411" s="1663"/>
      <c r="CE411" s="1663"/>
      <c r="CF411" s="1665">
        <v>0</v>
      </c>
      <c r="CG411" s="1665">
        <v>0</v>
      </c>
      <c r="CH411" s="1665">
        <v>0</v>
      </c>
      <c r="CI411" s="1665">
        <v>0</v>
      </c>
      <c r="CJ411" s="1665">
        <v>0</v>
      </c>
      <c r="CK411" s="1665">
        <v>0</v>
      </c>
      <c r="CL411" s="1668"/>
      <c r="CM411" s="1665">
        <v>0</v>
      </c>
      <c r="CN411" s="1665">
        <v>0</v>
      </c>
      <c r="CO411" s="1665">
        <v>0</v>
      </c>
      <c r="CP411" s="1665">
        <v>0</v>
      </c>
      <c r="CQ411" s="1665">
        <v>0</v>
      </c>
      <c r="CR411" s="1665">
        <v>0</v>
      </c>
      <c r="CS411" s="1665">
        <v>0</v>
      </c>
      <c r="CT411" s="1665">
        <v>0</v>
      </c>
      <c r="CU411" s="1665">
        <v>0</v>
      </c>
      <c r="CV411" s="1665">
        <v>0</v>
      </c>
      <c r="CW411" s="1668"/>
      <c r="CX411" s="1663"/>
      <c r="CY411" s="1663"/>
      <c r="CZ411" s="1663"/>
      <c r="DA411" s="1663"/>
      <c r="DB411" s="1668"/>
      <c r="DC411" s="1662"/>
      <c r="DD411" s="1665">
        <v>0</v>
      </c>
      <c r="DE411" s="1663"/>
      <c r="DF411" s="1663"/>
      <c r="DG411" s="1665">
        <v>0</v>
      </c>
      <c r="DH411" s="1665">
        <v>0</v>
      </c>
    </row>
    <row r="412" spans="1:112" ht="56.25" hidden="1" x14ac:dyDescent="0.25">
      <c r="A412" s="1662" t="s">
        <v>2515</v>
      </c>
      <c r="B412" s="1662" t="s">
        <v>1729</v>
      </c>
      <c r="C412" s="1662" t="s">
        <v>2652</v>
      </c>
      <c r="D412" s="1662" t="s">
        <v>2653</v>
      </c>
      <c r="E412" s="1662" t="s">
        <v>136</v>
      </c>
      <c r="F412" s="1662" t="s">
        <v>2654</v>
      </c>
      <c r="G412" s="1662" t="s">
        <v>2628</v>
      </c>
      <c r="H412" s="1662" t="s">
        <v>2613</v>
      </c>
      <c r="I412" s="1662" t="s">
        <v>820</v>
      </c>
      <c r="J412" s="1662" t="s">
        <v>232</v>
      </c>
      <c r="K412" s="1662" t="s">
        <v>2159</v>
      </c>
      <c r="L412" s="1662" t="s">
        <v>2109</v>
      </c>
      <c r="M412" s="1663"/>
      <c r="N412" s="1663"/>
      <c r="O412" s="1663"/>
      <c r="P412" s="1663"/>
      <c r="Q412" s="1663"/>
      <c r="R412" s="1663"/>
      <c r="S412" s="1663"/>
      <c r="T412" s="1663"/>
      <c r="U412" s="1663"/>
      <c r="V412" s="1663"/>
      <c r="W412" s="1663"/>
      <c r="X412" s="1663"/>
      <c r="Y412" s="1664">
        <v>43321</v>
      </c>
      <c r="Z412" s="1662" t="s">
        <v>2110</v>
      </c>
      <c r="AA412" s="1665">
        <v>0</v>
      </c>
      <c r="AB412" s="1665">
        <v>0</v>
      </c>
      <c r="AC412" s="1680">
        <v>0</v>
      </c>
      <c r="AD412" s="1682">
        <v>43356</v>
      </c>
      <c r="AE412" s="1679" t="s">
        <v>2114</v>
      </c>
      <c r="AF412" s="1662" t="s">
        <v>2112</v>
      </c>
      <c r="AG412" s="1666"/>
      <c r="AH412" s="1667">
        <v>45712.74</v>
      </c>
      <c r="AI412" s="1665">
        <v>45712.74</v>
      </c>
      <c r="AJ412" s="1665">
        <v>42284.21</v>
      </c>
      <c r="AK412" s="1698">
        <v>38855.699999999997</v>
      </c>
      <c r="AL412" s="1665">
        <v>3428.51</v>
      </c>
      <c r="AM412" s="1664">
        <v>43356</v>
      </c>
      <c r="AN412" s="1665">
        <v>45712.74</v>
      </c>
      <c r="AO412" s="1665">
        <v>45712.74</v>
      </c>
      <c r="AP412" s="1665">
        <v>42284.21</v>
      </c>
      <c r="AQ412" s="1665">
        <v>38855.699999999997</v>
      </c>
      <c r="AR412" s="1665">
        <v>3428.51</v>
      </c>
      <c r="AS412" s="1665">
        <v>3428.53</v>
      </c>
      <c r="AT412" s="1665">
        <v>0</v>
      </c>
      <c r="AU412" s="1665">
        <v>3428.53</v>
      </c>
      <c r="AV412" s="1665">
        <v>0</v>
      </c>
      <c r="AW412" s="1665">
        <v>0</v>
      </c>
      <c r="AX412" s="1663"/>
      <c r="AY412" s="1663"/>
      <c r="AZ412" s="1663"/>
      <c r="BA412" s="1668"/>
      <c r="BB412" s="1668"/>
      <c r="BC412" s="1663"/>
      <c r="BD412" s="1663"/>
      <c r="BE412" s="1665">
        <v>45712.74</v>
      </c>
      <c r="BF412" s="1665">
        <v>45712.74</v>
      </c>
      <c r="BG412" s="1665">
        <v>42284.21</v>
      </c>
      <c r="BH412" s="1665">
        <v>38855.699999999997</v>
      </c>
      <c r="BI412" s="1665">
        <v>3428.51</v>
      </c>
      <c r="BJ412" s="1665">
        <v>3428.53</v>
      </c>
      <c r="BK412" s="1665">
        <v>0</v>
      </c>
      <c r="BL412" s="1665">
        <v>3428.53</v>
      </c>
      <c r="BM412" s="1665">
        <v>0</v>
      </c>
      <c r="BN412" s="1665">
        <v>0</v>
      </c>
      <c r="BO412" s="1668"/>
      <c r="BP412" s="1665">
        <v>0</v>
      </c>
      <c r="BQ412" s="1665">
        <v>0</v>
      </c>
      <c r="BR412" s="1665">
        <v>0</v>
      </c>
      <c r="BS412" s="1667">
        <v>0</v>
      </c>
      <c r="BT412" s="1665">
        <v>0</v>
      </c>
      <c r="BU412" s="1665">
        <v>0</v>
      </c>
      <c r="BV412" s="1665">
        <v>0</v>
      </c>
      <c r="BW412" s="1665">
        <v>0</v>
      </c>
      <c r="BX412" s="1665">
        <v>0</v>
      </c>
      <c r="BY412" s="1665">
        <v>0</v>
      </c>
      <c r="BZ412" s="1665">
        <v>0</v>
      </c>
      <c r="CA412" s="1663"/>
      <c r="CB412" s="1668"/>
      <c r="CC412" s="1668"/>
      <c r="CD412" s="1663"/>
      <c r="CE412" s="1663"/>
      <c r="CF412" s="1665">
        <v>0</v>
      </c>
      <c r="CG412" s="1665">
        <v>0</v>
      </c>
      <c r="CH412" s="1665">
        <v>0</v>
      </c>
      <c r="CI412" s="1665">
        <v>0</v>
      </c>
      <c r="CJ412" s="1665">
        <v>0</v>
      </c>
      <c r="CK412" s="1665">
        <v>0</v>
      </c>
      <c r="CL412" s="1668"/>
      <c r="CM412" s="1665">
        <v>0</v>
      </c>
      <c r="CN412" s="1665">
        <v>0</v>
      </c>
      <c r="CO412" s="1665">
        <v>0</v>
      </c>
      <c r="CP412" s="1665">
        <v>0</v>
      </c>
      <c r="CQ412" s="1665">
        <v>0</v>
      </c>
      <c r="CR412" s="1665">
        <v>0</v>
      </c>
      <c r="CS412" s="1665">
        <v>0</v>
      </c>
      <c r="CT412" s="1665">
        <v>0</v>
      </c>
      <c r="CU412" s="1665">
        <v>0</v>
      </c>
      <c r="CV412" s="1665">
        <v>0</v>
      </c>
      <c r="CW412" s="1668"/>
      <c r="CX412" s="1663"/>
      <c r="CY412" s="1663"/>
      <c r="CZ412" s="1663"/>
      <c r="DA412" s="1663"/>
      <c r="DB412" s="1668"/>
      <c r="DC412" s="1662"/>
      <c r="DD412" s="1665">
        <v>0</v>
      </c>
      <c r="DE412" s="1663"/>
      <c r="DF412" s="1663"/>
      <c r="DG412" s="1665">
        <v>0</v>
      </c>
      <c r="DH412" s="1665">
        <v>0</v>
      </c>
    </row>
    <row r="413" spans="1:112" ht="67.5" hidden="1" x14ac:dyDescent="0.25">
      <c r="A413" s="1662" t="s">
        <v>2517</v>
      </c>
      <c r="B413" s="1662" t="s">
        <v>1729</v>
      </c>
      <c r="C413" s="1662" t="s">
        <v>2652</v>
      </c>
      <c r="D413" s="1662" t="s">
        <v>2653</v>
      </c>
      <c r="E413" s="1662" t="s">
        <v>136</v>
      </c>
      <c r="F413" s="1662" t="s">
        <v>2654</v>
      </c>
      <c r="G413" s="1662" t="s">
        <v>2628</v>
      </c>
      <c r="H413" s="1662" t="s">
        <v>2613</v>
      </c>
      <c r="I413" s="1662" t="s">
        <v>823</v>
      </c>
      <c r="J413" s="1662" t="s">
        <v>187</v>
      </c>
      <c r="K413" s="1662" t="s">
        <v>2126</v>
      </c>
      <c r="L413" s="1662" t="s">
        <v>2109</v>
      </c>
      <c r="M413" s="1665">
        <v>106845.41</v>
      </c>
      <c r="N413" s="1665">
        <v>0</v>
      </c>
      <c r="O413" s="1665">
        <v>106845.41</v>
      </c>
      <c r="P413" s="1665">
        <v>106845.41</v>
      </c>
      <c r="Q413" s="1665">
        <v>98832</v>
      </c>
      <c r="R413" s="1665">
        <v>90818</v>
      </c>
      <c r="S413" s="1665">
        <v>8014</v>
      </c>
      <c r="T413" s="1665">
        <v>8013.41</v>
      </c>
      <c r="U413" s="1665">
        <v>0</v>
      </c>
      <c r="V413" s="1665">
        <v>8013.41</v>
      </c>
      <c r="W413" s="1665">
        <v>0</v>
      </c>
      <c r="X413" s="1665">
        <v>0</v>
      </c>
      <c r="Y413" s="1668"/>
      <c r="Z413" s="1662"/>
      <c r="AA413" s="1665">
        <v>0</v>
      </c>
      <c r="AB413" s="1665">
        <v>0</v>
      </c>
      <c r="AC413" s="1680">
        <v>0</v>
      </c>
      <c r="AD413" s="1681"/>
      <c r="AE413" s="1679"/>
      <c r="AF413" s="1662"/>
      <c r="AG413" s="1666"/>
      <c r="AH413" s="1667">
        <v>21022.23</v>
      </c>
      <c r="AI413" s="1665">
        <v>21022.23</v>
      </c>
      <c r="AJ413" s="1665">
        <v>19445.560000000001</v>
      </c>
      <c r="AK413" s="1698">
        <v>17868.78</v>
      </c>
      <c r="AL413" s="1665">
        <v>1576.78</v>
      </c>
      <c r="AM413" s="1668"/>
      <c r="AN413" s="1665">
        <v>21022.23</v>
      </c>
      <c r="AO413" s="1665">
        <v>21022.23</v>
      </c>
      <c r="AP413" s="1665">
        <v>19445.560000000001</v>
      </c>
      <c r="AQ413" s="1665">
        <v>17868.78</v>
      </c>
      <c r="AR413" s="1665">
        <v>1576.78</v>
      </c>
      <c r="AS413" s="1665">
        <v>1576.67</v>
      </c>
      <c r="AT413" s="1665">
        <v>0</v>
      </c>
      <c r="AU413" s="1665">
        <v>1576.67</v>
      </c>
      <c r="AV413" s="1665">
        <v>0</v>
      </c>
      <c r="AW413" s="1665">
        <v>0</v>
      </c>
      <c r="AX413" s="1665">
        <v>0</v>
      </c>
      <c r="AY413" s="1665">
        <v>0</v>
      </c>
      <c r="AZ413" s="1665">
        <v>0</v>
      </c>
      <c r="BA413" s="1668"/>
      <c r="BB413" s="1668"/>
      <c r="BC413" s="1665">
        <v>0</v>
      </c>
      <c r="BD413" s="1665">
        <v>0</v>
      </c>
      <c r="BE413" s="1665">
        <v>21022.23</v>
      </c>
      <c r="BF413" s="1665">
        <v>21022.23</v>
      </c>
      <c r="BG413" s="1665">
        <v>19445.560000000001</v>
      </c>
      <c r="BH413" s="1665">
        <v>17868.78</v>
      </c>
      <c r="BI413" s="1665">
        <v>1576.78</v>
      </c>
      <c r="BJ413" s="1665">
        <v>1576.67</v>
      </c>
      <c r="BK413" s="1665">
        <v>0</v>
      </c>
      <c r="BL413" s="1665">
        <v>1576.67</v>
      </c>
      <c r="BM413" s="1665">
        <v>0</v>
      </c>
      <c r="BN413" s="1665">
        <v>0</v>
      </c>
      <c r="BO413" s="1668"/>
      <c r="BP413" s="1665">
        <v>0</v>
      </c>
      <c r="BQ413" s="1665">
        <v>0</v>
      </c>
      <c r="BR413" s="1665">
        <v>0</v>
      </c>
      <c r="BS413" s="1667">
        <v>0</v>
      </c>
      <c r="BT413" s="1665">
        <v>0</v>
      </c>
      <c r="BU413" s="1665">
        <v>0</v>
      </c>
      <c r="BV413" s="1665">
        <v>0</v>
      </c>
      <c r="BW413" s="1665">
        <v>0</v>
      </c>
      <c r="BX413" s="1665">
        <v>0</v>
      </c>
      <c r="BY413" s="1665">
        <v>0</v>
      </c>
      <c r="BZ413" s="1665">
        <v>0</v>
      </c>
      <c r="CA413" s="1665">
        <v>0</v>
      </c>
      <c r="CB413" s="1668"/>
      <c r="CC413" s="1668"/>
      <c r="CD413" s="1665">
        <v>0</v>
      </c>
      <c r="CE413" s="1665">
        <v>0</v>
      </c>
      <c r="CF413" s="1665">
        <v>0</v>
      </c>
      <c r="CG413" s="1665">
        <v>0</v>
      </c>
      <c r="CH413" s="1665">
        <v>0</v>
      </c>
      <c r="CI413" s="1665">
        <v>0</v>
      </c>
      <c r="CJ413" s="1665">
        <v>0</v>
      </c>
      <c r="CK413" s="1665">
        <v>0</v>
      </c>
      <c r="CL413" s="1668"/>
      <c r="CM413" s="1665">
        <v>0</v>
      </c>
      <c r="CN413" s="1665">
        <v>0</v>
      </c>
      <c r="CO413" s="1665">
        <v>0</v>
      </c>
      <c r="CP413" s="1665">
        <v>0</v>
      </c>
      <c r="CQ413" s="1665">
        <v>0</v>
      </c>
      <c r="CR413" s="1665">
        <v>0</v>
      </c>
      <c r="CS413" s="1665">
        <v>0</v>
      </c>
      <c r="CT413" s="1665">
        <v>0</v>
      </c>
      <c r="CU413" s="1665">
        <v>0</v>
      </c>
      <c r="CV413" s="1665">
        <v>0</v>
      </c>
      <c r="CW413" s="1668"/>
      <c r="CX413" s="1665">
        <v>0</v>
      </c>
      <c r="CY413" s="1665">
        <v>0</v>
      </c>
      <c r="CZ413" s="1665">
        <v>0</v>
      </c>
      <c r="DA413" s="1665">
        <v>0</v>
      </c>
      <c r="DB413" s="1668"/>
      <c r="DC413" s="1662"/>
      <c r="DD413" s="1665">
        <v>0</v>
      </c>
      <c r="DE413" s="1665">
        <v>0</v>
      </c>
      <c r="DF413" s="1665">
        <v>0</v>
      </c>
      <c r="DG413" s="1665">
        <v>0</v>
      </c>
      <c r="DH413" s="1665">
        <v>0</v>
      </c>
    </row>
    <row r="414" spans="1:112" ht="67.5" hidden="1" x14ac:dyDescent="0.25">
      <c r="A414" s="1662" t="s">
        <v>2519</v>
      </c>
      <c r="B414" s="1662" t="s">
        <v>1729</v>
      </c>
      <c r="C414" s="1662" t="s">
        <v>2652</v>
      </c>
      <c r="D414" s="1662" t="s">
        <v>2653</v>
      </c>
      <c r="E414" s="1662" t="s">
        <v>136</v>
      </c>
      <c r="F414" s="1662" t="s">
        <v>2654</v>
      </c>
      <c r="G414" s="1662" t="s">
        <v>2628</v>
      </c>
      <c r="H414" s="1662" t="s">
        <v>2613</v>
      </c>
      <c r="I414" s="1662" t="s">
        <v>823</v>
      </c>
      <c r="J414" s="1662" t="s">
        <v>187</v>
      </c>
      <c r="K414" s="1662" t="s">
        <v>2126</v>
      </c>
      <c r="L414" s="1662" t="s">
        <v>2109</v>
      </c>
      <c r="M414" s="1663"/>
      <c r="N414" s="1663"/>
      <c r="O414" s="1663"/>
      <c r="P414" s="1663"/>
      <c r="Q414" s="1663"/>
      <c r="R414" s="1663"/>
      <c r="S414" s="1663"/>
      <c r="T414" s="1663"/>
      <c r="U414" s="1663"/>
      <c r="V414" s="1663"/>
      <c r="W414" s="1663"/>
      <c r="X414" s="1663"/>
      <c r="Y414" s="1664">
        <v>43290</v>
      </c>
      <c r="Z414" s="1662" t="s">
        <v>2110</v>
      </c>
      <c r="AA414" s="1665">
        <v>0</v>
      </c>
      <c r="AB414" s="1665">
        <v>0</v>
      </c>
      <c r="AC414" s="1680">
        <v>0</v>
      </c>
      <c r="AD414" s="1682">
        <v>43328</v>
      </c>
      <c r="AE414" s="1679" t="s">
        <v>2122</v>
      </c>
      <c r="AF414" s="1662" t="s">
        <v>2112</v>
      </c>
      <c r="AG414" s="1666"/>
      <c r="AH414" s="1667">
        <v>21022.23</v>
      </c>
      <c r="AI414" s="1665">
        <v>21022.23</v>
      </c>
      <c r="AJ414" s="1665">
        <v>19445.560000000001</v>
      </c>
      <c r="AK414" s="1698">
        <v>17868.78</v>
      </c>
      <c r="AL414" s="1665">
        <v>1576.78</v>
      </c>
      <c r="AM414" s="1664">
        <v>43328</v>
      </c>
      <c r="AN414" s="1665">
        <v>21022.23</v>
      </c>
      <c r="AO414" s="1665">
        <v>21022.23</v>
      </c>
      <c r="AP414" s="1665">
        <v>19445.560000000001</v>
      </c>
      <c r="AQ414" s="1665">
        <v>17868.78</v>
      </c>
      <c r="AR414" s="1665">
        <v>1576.78</v>
      </c>
      <c r="AS414" s="1665">
        <v>1576.67</v>
      </c>
      <c r="AT414" s="1665">
        <v>0</v>
      </c>
      <c r="AU414" s="1665">
        <v>1576.67</v>
      </c>
      <c r="AV414" s="1665">
        <v>0</v>
      </c>
      <c r="AW414" s="1665">
        <v>0</v>
      </c>
      <c r="AX414" s="1663"/>
      <c r="AY414" s="1663"/>
      <c r="AZ414" s="1663"/>
      <c r="BA414" s="1668"/>
      <c r="BB414" s="1668"/>
      <c r="BC414" s="1663"/>
      <c r="BD414" s="1663"/>
      <c r="BE414" s="1665">
        <v>21022.23</v>
      </c>
      <c r="BF414" s="1665">
        <v>21022.23</v>
      </c>
      <c r="BG414" s="1665">
        <v>19445.560000000001</v>
      </c>
      <c r="BH414" s="1665">
        <v>17868.78</v>
      </c>
      <c r="BI414" s="1665">
        <v>1576.78</v>
      </c>
      <c r="BJ414" s="1665">
        <v>1576.67</v>
      </c>
      <c r="BK414" s="1665">
        <v>0</v>
      </c>
      <c r="BL414" s="1665">
        <v>1576.67</v>
      </c>
      <c r="BM414" s="1665">
        <v>0</v>
      </c>
      <c r="BN414" s="1665">
        <v>0</v>
      </c>
      <c r="BO414" s="1668"/>
      <c r="BP414" s="1665">
        <v>0</v>
      </c>
      <c r="BQ414" s="1665">
        <v>0</v>
      </c>
      <c r="BR414" s="1665">
        <v>0</v>
      </c>
      <c r="BS414" s="1667">
        <v>0</v>
      </c>
      <c r="BT414" s="1665">
        <v>0</v>
      </c>
      <c r="BU414" s="1665">
        <v>0</v>
      </c>
      <c r="BV414" s="1665">
        <v>0</v>
      </c>
      <c r="BW414" s="1665">
        <v>0</v>
      </c>
      <c r="BX414" s="1665">
        <v>0</v>
      </c>
      <c r="BY414" s="1665">
        <v>0</v>
      </c>
      <c r="BZ414" s="1665">
        <v>0</v>
      </c>
      <c r="CA414" s="1663"/>
      <c r="CB414" s="1668"/>
      <c r="CC414" s="1668"/>
      <c r="CD414" s="1663"/>
      <c r="CE414" s="1663"/>
      <c r="CF414" s="1665">
        <v>0</v>
      </c>
      <c r="CG414" s="1665">
        <v>0</v>
      </c>
      <c r="CH414" s="1665">
        <v>0</v>
      </c>
      <c r="CI414" s="1665">
        <v>0</v>
      </c>
      <c r="CJ414" s="1665">
        <v>0</v>
      </c>
      <c r="CK414" s="1665">
        <v>0</v>
      </c>
      <c r="CL414" s="1668"/>
      <c r="CM414" s="1665">
        <v>0</v>
      </c>
      <c r="CN414" s="1665">
        <v>0</v>
      </c>
      <c r="CO414" s="1665">
        <v>0</v>
      </c>
      <c r="CP414" s="1665">
        <v>0</v>
      </c>
      <c r="CQ414" s="1665">
        <v>0</v>
      </c>
      <c r="CR414" s="1665">
        <v>0</v>
      </c>
      <c r="CS414" s="1665">
        <v>0</v>
      </c>
      <c r="CT414" s="1665">
        <v>0</v>
      </c>
      <c r="CU414" s="1665">
        <v>0</v>
      </c>
      <c r="CV414" s="1665">
        <v>0</v>
      </c>
      <c r="CW414" s="1668"/>
      <c r="CX414" s="1663"/>
      <c r="CY414" s="1663"/>
      <c r="CZ414" s="1663"/>
      <c r="DA414" s="1663"/>
      <c r="DB414" s="1668"/>
      <c r="DC414" s="1662"/>
      <c r="DD414" s="1665">
        <v>0</v>
      </c>
      <c r="DE414" s="1663"/>
      <c r="DF414" s="1663"/>
      <c r="DG414" s="1665">
        <v>0</v>
      </c>
      <c r="DH414" s="1665">
        <v>0</v>
      </c>
    </row>
    <row r="415" spans="1:112" ht="22.5" hidden="1" x14ac:dyDescent="0.25">
      <c r="A415" s="1662" t="s">
        <v>2520</v>
      </c>
      <c r="B415" s="1662" t="s">
        <v>1729</v>
      </c>
      <c r="C415" s="1662" t="s">
        <v>2652</v>
      </c>
      <c r="D415" s="1662" t="s">
        <v>2653</v>
      </c>
      <c r="E415" s="1662" t="s">
        <v>2516</v>
      </c>
      <c r="F415" s="1662"/>
      <c r="G415" s="1662"/>
      <c r="H415" s="1662"/>
      <c r="I415" s="1662"/>
      <c r="J415" s="1662"/>
      <c r="K415" s="1662"/>
      <c r="L415" s="1662"/>
      <c r="M415" s="1665">
        <v>1973870.18</v>
      </c>
      <c r="N415" s="1665">
        <v>0</v>
      </c>
      <c r="O415" s="1665">
        <v>1973870.18</v>
      </c>
      <c r="P415" s="1665">
        <v>1973870.18</v>
      </c>
      <c r="Q415" s="1665">
        <v>1486007</v>
      </c>
      <c r="R415" s="1665">
        <v>1486007</v>
      </c>
      <c r="S415" s="1665">
        <v>0</v>
      </c>
      <c r="T415" s="1665">
        <v>487863.18</v>
      </c>
      <c r="U415" s="1665">
        <v>0</v>
      </c>
      <c r="V415" s="1665">
        <v>487863.18</v>
      </c>
      <c r="W415" s="1665">
        <v>0</v>
      </c>
      <c r="X415" s="1665">
        <v>0</v>
      </c>
      <c r="Y415" s="1668"/>
      <c r="Z415" s="1662"/>
      <c r="AA415" s="1665">
        <v>0</v>
      </c>
      <c r="AB415" s="1665">
        <v>0</v>
      </c>
      <c r="AC415" s="1680">
        <v>0</v>
      </c>
      <c r="AD415" s="1681"/>
      <c r="AE415" s="1679"/>
      <c r="AF415" s="1662"/>
      <c r="AG415" s="1666"/>
      <c r="AH415" s="1667">
        <v>345982.36</v>
      </c>
      <c r="AI415" s="1665">
        <v>345982.36</v>
      </c>
      <c r="AJ415" s="1665">
        <v>325885.13</v>
      </c>
      <c r="AK415" s="1698">
        <v>325885.13</v>
      </c>
      <c r="AL415" s="1665">
        <v>0</v>
      </c>
      <c r="AM415" s="1668"/>
      <c r="AN415" s="1665">
        <v>133223.54</v>
      </c>
      <c r="AO415" s="1665">
        <v>133223.54</v>
      </c>
      <c r="AP415" s="1665">
        <v>113126.31</v>
      </c>
      <c r="AQ415" s="1665">
        <v>113126.31</v>
      </c>
      <c r="AR415" s="1665">
        <v>0</v>
      </c>
      <c r="AS415" s="1665">
        <v>20097.23</v>
      </c>
      <c r="AT415" s="1665">
        <v>0</v>
      </c>
      <c r="AU415" s="1665">
        <v>20097.23</v>
      </c>
      <c r="AV415" s="1665">
        <v>0</v>
      </c>
      <c r="AW415" s="1665">
        <v>0</v>
      </c>
      <c r="AX415" s="1665">
        <v>0</v>
      </c>
      <c r="AY415" s="1665">
        <v>0</v>
      </c>
      <c r="AZ415" s="1665">
        <v>0</v>
      </c>
      <c r="BA415" s="1668"/>
      <c r="BB415" s="1668"/>
      <c r="BC415" s="1665">
        <v>0</v>
      </c>
      <c r="BD415" s="1665">
        <v>0</v>
      </c>
      <c r="BE415" s="1665">
        <v>133223.54</v>
      </c>
      <c r="BF415" s="1665">
        <v>133223.54</v>
      </c>
      <c r="BG415" s="1665">
        <v>113126.31</v>
      </c>
      <c r="BH415" s="1665">
        <v>113126.31</v>
      </c>
      <c r="BI415" s="1665">
        <v>0</v>
      </c>
      <c r="BJ415" s="1665">
        <v>20097.23</v>
      </c>
      <c r="BK415" s="1665">
        <v>0</v>
      </c>
      <c r="BL415" s="1665">
        <v>20097.23</v>
      </c>
      <c r="BM415" s="1665">
        <v>0</v>
      </c>
      <c r="BN415" s="1665">
        <v>0</v>
      </c>
      <c r="BO415" s="1668"/>
      <c r="BP415" s="1665">
        <v>52818.93</v>
      </c>
      <c r="BQ415" s="1665">
        <v>52818.93</v>
      </c>
      <c r="BR415" s="1665">
        <v>44843.67</v>
      </c>
      <c r="BS415" s="1667">
        <v>44843.67</v>
      </c>
      <c r="BT415" s="1665">
        <v>0</v>
      </c>
      <c r="BU415" s="1665">
        <v>7975.26</v>
      </c>
      <c r="BV415" s="1665">
        <v>0</v>
      </c>
      <c r="BW415" s="1665">
        <v>0</v>
      </c>
      <c r="BX415" s="1665">
        <v>0</v>
      </c>
      <c r="BY415" s="1665">
        <v>0</v>
      </c>
      <c r="BZ415" s="1665">
        <v>0</v>
      </c>
      <c r="CA415" s="1665">
        <v>0</v>
      </c>
      <c r="CB415" s="1668"/>
      <c r="CC415" s="1668"/>
      <c r="CD415" s="1665">
        <v>0</v>
      </c>
      <c r="CE415" s="1665">
        <v>0</v>
      </c>
      <c r="CF415" s="1665">
        <v>0</v>
      </c>
      <c r="CG415" s="1665">
        <v>0</v>
      </c>
      <c r="CH415" s="1665">
        <v>0</v>
      </c>
      <c r="CI415" s="1665">
        <v>0</v>
      </c>
      <c r="CJ415" s="1665">
        <v>93.6</v>
      </c>
      <c r="CK415" s="1665">
        <v>93.6</v>
      </c>
      <c r="CL415" s="1668"/>
      <c r="CM415" s="1665">
        <v>0</v>
      </c>
      <c r="CN415" s="1665">
        <v>0</v>
      </c>
      <c r="CO415" s="1665">
        <v>0</v>
      </c>
      <c r="CP415" s="1665">
        <v>0</v>
      </c>
      <c r="CQ415" s="1665">
        <v>0</v>
      </c>
      <c r="CR415" s="1665">
        <v>0</v>
      </c>
      <c r="CS415" s="1665">
        <v>0</v>
      </c>
      <c r="CT415" s="1665">
        <v>0</v>
      </c>
      <c r="CU415" s="1665">
        <v>0</v>
      </c>
      <c r="CV415" s="1665">
        <v>0</v>
      </c>
      <c r="CW415" s="1668"/>
      <c r="CX415" s="1665">
        <v>0</v>
      </c>
      <c r="CY415" s="1665">
        <v>0</v>
      </c>
      <c r="CZ415" s="1665">
        <v>0</v>
      </c>
      <c r="DA415" s="1665">
        <v>0</v>
      </c>
      <c r="DB415" s="1668"/>
      <c r="DC415" s="1662"/>
      <c r="DD415" s="1665">
        <v>0</v>
      </c>
      <c r="DE415" s="1665">
        <v>0</v>
      </c>
      <c r="DF415" s="1665">
        <v>0</v>
      </c>
      <c r="DG415" s="1665">
        <v>0</v>
      </c>
      <c r="DH415" s="1665">
        <v>0</v>
      </c>
    </row>
    <row r="416" spans="1:112" ht="56.25" hidden="1" x14ac:dyDescent="0.25">
      <c r="A416" s="1662" t="s">
        <v>2521</v>
      </c>
      <c r="B416" s="1662" t="s">
        <v>1729</v>
      </c>
      <c r="C416" s="1662" t="s">
        <v>2652</v>
      </c>
      <c r="D416" s="1662" t="s">
        <v>2653</v>
      </c>
      <c r="E416" s="1662" t="s">
        <v>2516</v>
      </c>
      <c r="F416" s="1662" t="s">
        <v>2654</v>
      </c>
      <c r="G416" s="1662" t="s">
        <v>2628</v>
      </c>
      <c r="H416" s="1662" t="s">
        <v>2613</v>
      </c>
      <c r="I416" s="1662" t="s">
        <v>804</v>
      </c>
      <c r="J416" s="1662" t="s">
        <v>282</v>
      </c>
      <c r="K416" s="1662" t="s">
        <v>2518</v>
      </c>
      <c r="L416" s="1662" t="s">
        <v>2109</v>
      </c>
      <c r="M416" s="1665">
        <v>135814</v>
      </c>
      <c r="N416" s="1665">
        <v>0</v>
      </c>
      <c r="O416" s="1665">
        <v>135814</v>
      </c>
      <c r="P416" s="1665">
        <v>135814</v>
      </c>
      <c r="Q416" s="1665">
        <v>115441</v>
      </c>
      <c r="R416" s="1665">
        <v>115441</v>
      </c>
      <c r="S416" s="1665">
        <v>0</v>
      </c>
      <c r="T416" s="1665">
        <v>20373</v>
      </c>
      <c r="U416" s="1665">
        <v>0</v>
      </c>
      <c r="V416" s="1665">
        <v>20373</v>
      </c>
      <c r="W416" s="1665">
        <v>0</v>
      </c>
      <c r="X416" s="1665">
        <v>0</v>
      </c>
      <c r="Y416" s="1668"/>
      <c r="Z416" s="1662"/>
      <c r="AA416" s="1665">
        <v>0</v>
      </c>
      <c r="AB416" s="1665">
        <v>0</v>
      </c>
      <c r="AC416" s="1680">
        <v>0</v>
      </c>
      <c r="AD416" s="1681"/>
      <c r="AE416" s="1679"/>
      <c r="AF416" s="1662"/>
      <c r="AG416" s="1666"/>
      <c r="AH416" s="1667">
        <v>116009.60000000001</v>
      </c>
      <c r="AI416" s="1665">
        <v>116009.60000000001</v>
      </c>
      <c r="AJ416" s="1665">
        <v>103092.59</v>
      </c>
      <c r="AK416" s="1698">
        <v>103092.59</v>
      </c>
      <c r="AL416" s="1665">
        <v>0</v>
      </c>
      <c r="AM416" s="1668"/>
      <c r="AN416" s="1665">
        <v>86109.6</v>
      </c>
      <c r="AO416" s="1665">
        <v>86109.6</v>
      </c>
      <c r="AP416" s="1665">
        <v>73192.59</v>
      </c>
      <c r="AQ416" s="1665">
        <v>73192.59</v>
      </c>
      <c r="AR416" s="1665">
        <v>0</v>
      </c>
      <c r="AS416" s="1665">
        <v>12917.01</v>
      </c>
      <c r="AT416" s="1665">
        <v>0</v>
      </c>
      <c r="AU416" s="1665">
        <v>12917.01</v>
      </c>
      <c r="AV416" s="1665">
        <v>0</v>
      </c>
      <c r="AW416" s="1665">
        <v>0</v>
      </c>
      <c r="AX416" s="1665">
        <v>0</v>
      </c>
      <c r="AY416" s="1665">
        <v>0</v>
      </c>
      <c r="AZ416" s="1665">
        <v>0</v>
      </c>
      <c r="BA416" s="1668"/>
      <c r="BB416" s="1668"/>
      <c r="BC416" s="1665">
        <v>0</v>
      </c>
      <c r="BD416" s="1665">
        <v>0</v>
      </c>
      <c r="BE416" s="1665">
        <v>86109.6</v>
      </c>
      <c r="BF416" s="1665">
        <v>86109.6</v>
      </c>
      <c r="BG416" s="1665">
        <v>73192.59</v>
      </c>
      <c r="BH416" s="1665">
        <v>73192.59</v>
      </c>
      <c r="BI416" s="1665">
        <v>0</v>
      </c>
      <c r="BJ416" s="1665">
        <v>12917.01</v>
      </c>
      <c r="BK416" s="1665">
        <v>0</v>
      </c>
      <c r="BL416" s="1665">
        <v>12917.01</v>
      </c>
      <c r="BM416" s="1665">
        <v>0</v>
      </c>
      <c r="BN416" s="1665">
        <v>0</v>
      </c>
      <c r="BO416" s="1668"/>
      <c r="BP416" s="1665">
        <v>26431.98</v>
      </c>
      <c r="BQ416" s="1665">
        <v>26431.98</v>
      </c>
      <c r="BR416" s="1665">
        <v>22467.01</v>
      </c>
      <c r="BS416" s="1667">
        <v>22467.01</v>
      </c>
      <c r="BT416" s="1665">
        <v>0</v>
      </c>
      <c r="BU416" s="1665">
        <v>3964.97</v>
      </c>
      <c r="BV416" s="1665">
        <v>0</v>
      </c>
      <c r="BW416" s="1665">
        <v>0</v>
      </c>
      <c r="BX416" s="1665">
        <v>0</v>
      </c>
      <c r="BY416" s="1665">
        <v>0</v>
      </c>
      <c r="BZ416" s="1665">
        <v>0</v>
      </c>
      <c r="CA416" s="1665">
        <v>0</v>
      </c>
      <c r="CB416" s="1668"/>
      <c r="CC416" s="1668"/>
      <c r="CD416" s="1665">
        <v>0</v>
      </c>
      <c r="CE416" s="1665">
        <v>0</v>
      </c>
      <c r="CF416" s="1665">
        <v>0</v>
      </c>
      <c r="CG416" s="1665">
        <v>0</v>
      </c>
      <c r="CH416" s="1665">
        <v>0</v>
      </c>
      <c r="CI416" s="1665">
        <v>0</v>
      </c>
      <c r="CJ416" s="1665">
        <v>0</v>
      </c>
      <c r="CK416" s="1665">
        <v>0</v>
      </c>
      <c r="CL416" s="1668"/>
      <c r="CM416" s="1665">
        <v>0</v>
      </c>
      <c r="CN416" s="1665">
        <v>0</v>
      </c>
      <c r="CO416" s="1665">
        <v>0</v>
      </c>
      <c r="CP416" s="1665">
        <v>0</v>
      </c>
      <c r="CQ416" s="1665">
        <v>0</v>
      </c>
      <c r="CR416" s="1665">
        <v>0</v>
      </c>
      <c r="CS416" s="1665">
        <v>0</v>
      </c>
      <c r="CT416" s="1665">
        <v>0</v>
      </c>
      <c r="CU416" s="1665">
        <v>0</v>
      </c>
      <c r="CV416" s="1665">
        <v>0</v>
      </c>
      <c r="CW416" s="1668"/>
      <c r="CX416" s="1665">
        <v>0</v>
      </c>
      <c r="CY416" s="1665">
        <v>0</v>
      </c>
      <c r="CZ416" s="1665">
        <v>0</v>
      </c>
      <c r="DA416" s="1665">
        <v>0</v>
      </c>
      <c r="DB416" s="1668"/>
      <c r="DC416" s="1662"/>
      <c r="DD416" s="1665">
        <v>0</v>
      </c>
      <c r="DE416" s="1665">
        <v>0</v>
      </c>
      <c r="DF416" s="1665">
        <v>0</v>
      </c>
      <c r="DG416" s="1665">
        <v>0</v>
      </c>
      <c r="DH416" s="1665">
        <v>0</v>
      </c>
    </row>
    <row r="417" spans="1:112" ht="56.25" hidden="1" x14ac:dyDescent="0.25">
      <c r="A417" s="1662" t="s">
        <v>2522</v>
      </c>
      <c r="B417" s="1662" t="s">
        <v>1729</v>
      </c>
      <c r="C417" s="1662" t="s">
        <v>2652</v>
      </c>
      <c r="D417" s="1662" t="s">
        <v>2653</v>
      </c>
      <c r="E417" s="1662" t="s">
        <v>2516</v>
      </c>
      <c r="F417" s="1662" t="s">
        <v>2654</v>
      </c>
      <c r="G417" s="1662" t="s">
        <v>2628</v>
      </c>
      <c r="H417" s="1662" t="s">
        <v>2613</v>
      </c>
      <c r="I417" s="1662" t="s">
        <v>804</v>
      </c>
      <c r="J417" s="1662" t="s">
        <v>282</v>
      </c>
      <c r="K417" s="1662" t="s">
        <v>2518</v>
      </c>
      <c r="L417" s="1662" t="s">
        <v>2109</v>
      </c>
      <c r="M417" s="1663"/>
      <c r="N417" s="1663"/>
      <c r="O417" s="1663"/>
      <c r="P417" s="1663"/>
      <c r="Q417" s="1663"/>
      <c r="R417" s="1663"/>
      <c r="S417" s="1663"/>
      <c r="T417" s="1663"/>
      <c r="U417" s="1663"/>
      <c r="V417" s="1663"/>
      <c r="W417" s="1663"/>
      <c r="X417" s="1663"/>
      <c r="Y417" s="1664">
        <v>43076</v>
      </c>
      <c r="Z417" s="1662" t="s">
        <v>2145</v>
      </c>
      <c r="AA417" s="1665">
        <v>0</v>
      </c>
      <c r="AB417" s="1665">
        <v>0</v>
      </c>
      <c r="AC417" s="1680">
        <v>0</v>
      </c>
      <c r="AD417" s="1682">
        <v>43130</v>
      </c>
      <c r="AE417" s="1679" t="s">
        <v>2122</v>
      </c>
      <c r="AF417" s="1662" t="s">
        <v>2112</v>
      </c>
      <c r="AG417" s="1666"/>
      <c r="AH417" s="1667">
        <v>29900</v>
      </c>
      <c r="AI417" s="1665">
        <v>29900</v>
      </c>
      <c r="AJ417" s="1665">
        <v>29900</v>
      </c>
      <c r="AK417" s="1698">
        <v>29900</v>
      </c>
      <c r="AL417" s="1665">
        <v>0</v>
      </c>
      <c r="AM417" s="1668"/>
      <c r="AN417" s="1665">
        <v>0</v>
      </c>
      <c r="AO417" s="1665">
        <v>0</v>
      </c>
      <c r="AP417" s="1665">
        <v>0</v>
      </c>
      <c r="AQ417" s="1665">
        <v>0</v>
      </c>
      <c r="AR417" s="1665">
        <v>0</v>
      </c>
      <c r="AS417" s="1665">
        <v>0</v>
      </c>
      <c r="AT417" s="1665">
        <v>0</v>
      </c>
      <c r="AU417" s="1665">
        <v>0</v>
      </c>
      <c r="AV417" s="1665">
        <v>0</v>
      </c>
      <c r="AW417" s="1665">
        <v>0</v>
      </c>
      <c r="AX417" s="1663"/>
      <c r="AY417" s="1663"/>
      <c r="AZ417" s="1663"/>
      <c r="BA417" s="1668"/>
      <c r="BB417" s="1668"/>
      <c r="BC417" s="1663"/>
      <c r="BD417" s="1663"/>
      <c r="BE417" s="1665">
        <v>0</v>
      </c>
      <c r="BF417" s="1665">
        <v>0</v>
      </c>
      <c r="BG417" s="1665">
        <v>0</v>
      </c>
      <c r="BH417" s="1665">
        <v>0</v>
      </c>
      <c r="BI417" s="1665">
        <v>0</v>
      </c>
      <c r="BJ417" s="1665">
        <v>0</v>
      </c>
      <c r="BK417" s="1665">
        <v>0</v>
      </c>
      <c r="BL417" s="1665">
        <v>0</v>
      </c>
      <c r="BM417" s="1665">
        <v>0</v>
      </c>
      <c r="BN417" s="1665">
        <v>0</v>
      </c>
      <c r="BO417" s="1668"/>
      <c r="BP417" s="1665">
        <v>0</v>
      </c>
      <c r="BQ417" s="1665">
        <v>0</v>
      </c>
      <c r="BR417" s="1665">
        <v>0</v>
      </c>
      <c r="BS417" s="1667">
        <v>0</v>
      </c>
      <c r="BT417" s="1665">
        <v>0</v>
      </c>
      <c r="BU417" s="1665">
        <v>0</v>
      </c>
      <c r="BV417" s="1665">
        <v>0</v>
      </c>
      <c r="BW417" s="1665">
        <v>0</v>
      </c>
      <c r="BX417" s="1665">
        <v>0</v>
      </c>
      <c r="BY417" s="1665">
        <v>0</v>
      </c>
      <c r="BZ417" s="1663"/>
      <c r="CA417" s="1663"/>
      <c r="CB417" s="1668"/>
      <c r="CC417" s="1668"/>
      <c r="CD417" s="1663"/>
      <c r="CE417" s="1663"/>
      <c r="CF417" s="1665">
        <v>0</v>
      </c>
      <c r="CG417" s="1665">
        <v>0</v>
      </c>
      <c r="CH417" s="1665">
        <v>0</v>
      </c>
      <c r="CI417" s="1665">
        <v>0</v>
      </c>
      <c r="CJ417" s="1665">
        <v>0</v>
      </c>
      <c r="CK417" s="1665">
        <v>0</v>
      </c>
      <c r="CL417" s="1668"/>
      <c r="CM417" s="1665">
        <v>0</v>
      </c>
      <c r="CN417" s="1665">
        <v>0</v>
      </c>
      <c r="CO417" s="1665">
        <v>0</v>
      </c>
      <c r="CP417" s="1665">
        <v>0</v>
      </c>
      <c r="CQ417" s="1665">
        <v>0</v>
      </c>
      <c r="CR417" s="1665">
        <v>0</v>
      </c>
      <c r="CS417" s="1665">
        <v>0</v>
      </c>
      <c r="CT417" s="1665">
        <v>0</v>
      </c>
      <c r="CU417" s="1665">
        <v>0</v>
      </c>
      <c r="CV417" s="1665">
        <v>0</v>
      </c>
      <c r="CW417" s="1668"/>
      <c r="CX417" s="1663"/>
      <c r="CY417" s="1663"/>
      <c r="CZ417" s="1663"/>
      <c r="DA417" s="1663"/>
      <c r="DB417" s="1668"/>
      <c r="DC417" s="1662"/>
      <c r="DD417" s="1665">
        <v>0</v>
      </c>
      <c r="DE417" s="1663"/>
      <c r="DF417" s="1663"/>
      <c r="DG417" s="1665">
        <v>0</v>
      </c>
      <c r="DH417" s="1665">
        <v>0</v>
      </c>
    </row>
    <row r="418" spans="1:112" ht="56.25" hidden="1" x14ac:dyDescent="0.25">
      <c r="A418" s="1662" t="s">
        <v>2523</v>
      </c>
      <c r="B418" s="1662" t="s">
        <v>1729</v>
      </c>
      <c r="C418" s="1662" t="s">
        <v>2652</v>
      </c>
      <c r="D418" s="1662" t="s">
        <v>2653</v>
      </c>
      <c r="E418" s="1662" t="s">
        <v>2516</v>
      </c>
      <c r="F418" s="1662" t="s">
        <v>2654</v>
      </c>
      <c r="G418" s="1662" t="s">
        <v>2628</v>
      </c>
      <c r="H418" s="1662" t="s">
        <v>2613</v>
      </c>
      <c r="I418" s="1662" t="s">
        <v>804</v>
      </c>
      <c r="J418" s="1662" t="s">
        <v>282</v>
      </c>
      <c r="K418" s="1662" t="s">
        <v>2518</v>
      </c>
      <c r="L418" s="1662" t="s">
        <v>2109</v>
      </c>
      <c r="M418" s="1663"/>
      <c r="N418" s="1663"/>
      <c r="O418" s="1663"/>
      <c r="P418" s="1663"/>
      <c r="Q418" s="1663"/>
      <c r="R418" s="1663"/>
      <c r="S418" s="1663"/>
      <c r="T418" s="1663"/>
      <c r="U418" s="1663"/>
      <c r="V418" s="1663"/>
      <c r="W418" s="1663"/>
      <c r="X418" s="1663"/>
      <c r="Y418" s="1664">
        <v>43098</v>
      </c>
      <c r="Z418" s="1662" t="s">
        <v>2110</v>
      </c>
      <c r="AA418" s="1665">
        <v>0</v>
      </c>
      <c r="AB418" s="1665">
        <v>0</v>
      </c>
      <c r="AC418" s="1680">
        <v>0</v>
      </c>
      <c r="AD418" s="1682">
        <v>43129</v>
      </c>
      <c r="AE418" s="1679" t="s">
        <v>2111</v>
      </c>
      <c r="AF418" s="1662" t="s">
        <v>2112</v>
      </c>
      <c r="AG418" s="1666"/>
      <c r="AH418" s="1667">
        <v>26431.98</v>
      </c>
      <c r="AI418" s="1665">
        <v>26431.98</v>
      </c>
      <c r="AJ418" s="1665">
        <v>22467.01</v>
      </c>
      <c r="AK418" s="1698">
        <v>22467.01</v>
      </c>
      <c r="AL418" s="1665">
        <v>0</v>
      </c>
      <c r="AM418" s="1664">
        <v>43129</v>
      </c>
      <c r="AN418" s="1665">
        <v>26431.98</v>
      </c>
      <c r="AO418" s="1665">
        <v>26431.98</v>
      </c>
      <c r="AP418" s="1665">
        <v>22467.01</v>
      </c>
      <c r="AQ418" s="1665">
        <v>22467.01</v>
      </c>
      <c r="AR418" s="1665">
        <v>0</v>
      </c>
      <c r="AS418" s="1665">
        <v>3964.97</v>
      </c>
      <c r="AT418" s="1665">
        <v>0</v>
      </c>
      <c r="AU418" s="1665">
        <v>3964.97</v>
      </c>
      <c r="AV418" s="1665">
        <v>0</v>
      </c>
      <c r="AW418" s="1665">
        <v>0</v>
      </c>
      <c r="AX418" s="1663"/>
      <c r="AY418" s="1663"/>
      <c r="AZ418" s="1663"/>
      <c r="BA418" s="1668"/>
      <c r="BB418" s="1668"/>
      <c r="BC418" s="1663"/>
      <c r="BD418" s="1663"/>
      <c r="BE418" s="1665">
        <v>26431.98</v>
      </c>
      <c r="BF418" s="1665">
        <v>26431.98</v>
      </c>
      <c r="BG418" s="1665">
        <v>22467.01</v>
      </c>
      <c r="BH418" s="1665">
        <v>22467.01</v>
      </c>
      <c r="BI418" s="1665">
        <v>0</v>
      </c>
      <c r="BJ418" s="1665">
        <v>3964.97</v>
      </c>
      <c r="BK418" s="1665">
        <v>0</v>
      </c>
      <c r="BL418" s="1665">
        <v>3964.97</v>
      </c>
      <c r="BM418" s="1665">
        <v>0</v>
      </c>
      <c r="BN418" s="1665">
        <v>0</v>
      </c>
      <c r="BO418" s="1664">
        <v>43206</v>
      </c>
      <c r="BP418" s="1665">
        <v>26431.98</v>
      </c>
      <c r="BQ418" s="1665">
        <v>26431.98</v>
      </c>
      <c r="BR418" s="1665">
        <v>22467.01</v>
      </c>
      <c r="BS418" s="1667">
        <v>22467.01</v>
      </c>
      <c r="BT418" s="1665">
        <v>0</v>
      </c>
      <c r="BU418" s="1665">
        <v>3964.97</v>
      </c>
      <c r="BV418" s="1665">
        <v>0</v>
      </c>
      <c r="BW418" s="1665">
        <v>0</v>
      </c>
      <c r="BX418" s="1665">
        <v>0</v>
      </c>
      <c r="BY418" s="1665">
        <v>0</v>
      </c>
      <c r="BZ418" s="1665">
        <v>0</v>
      </c>
      <c r="CA418" s="1663"/>
      <c r="CB418" s="1668"/>
      <c r="CC418" s="1668"/>
      <c r="CD418" s="1663"/>
      <c r="CE418" s="1663"/>
      <c r="CF418" s="1665">
        <v>0</v>
      </c>
      <c r="CG418" s="1665">
        <v>0</v>
      </c>
      <c r="CH418" s="1665">
        <v>0</v>
      </c>
      <c r="CI418" s="1665">
        <v>0</v>
      </c>
      <c r="CJ418" s="1665">
        <v>0</v>
      </c>
      <c r="CK418" s="1665">
        <v>0</v>
      </c>
      <c r="CL418" s="1668"/>
      <c r="CM418" s="1665">
        <v>0</v>
      </c>
      <c r="CN418" s="1665">
        <v>0</v>
      </c>
      <c r="CO418" s="1665">
        <v>0</v>
      </c>
      <c r="CP418" s="1665">
        <v>0</v>
      </c>
      <c r="CQ418" s="1665">
        <v>0</v>
      </c>
      <c r="CR418" s="1665">
        <v>0</v>
      </c>
      <c r="CS418" s="1665">
        <v>0</v>
      </c>
      <c r="CT418" s="1665">
        <v>0</v>
      </c>
      <c r="CU418" s="1665">
        <v>0</v>
      </c>
      <c r="CV418" s="1665">
        <v>0</v>
      </c>
      <c r="CW418" s="1668"/>
      <c r="CX418" s="1663"/>
      <c r="CY418" s="1663"/>
      <c r="CZ418" s="1663"/>
      <c r="DA418" s="1663"/>
      <c r="DB418" s="1668"/>
      <c r="DC418" s="1662"/>
      <c r="DD418" s="1665">
        <v>0</v>
      </c>
      <c r="DE418" s="1663"/>
      <c r="DF418" s="1663"/>
      <c r="DG418" s="1665">
        <v>0</v>
      </c>
      <c r="DH418" s="1665">
        <v>0</v>
      </c>
    </row>
    <row r="419" spans="1:112" ht="56.25" hidden="1" x14ac:dyDescent="0.25">
      <c r="A419" s="1662" t="s">
        <v>2524</v>
      </c>
      <c r="B419" s="1662" t="s">
        <v>1729</v>
      </c>
      <c r="C419" s="1662" t="s">
        <v>2652</v>
      </c>
      <c r="D419" s="1662" t="s">
        <v>2653</v>
      </c>
      <c r="E419" s="1662" t="s">
        <v>2516</v>
      </c>
      <c r="F419" s="1662" t="s">
        <v>2654</v>
      </c>
      <c r="G419" s="1662" t="s">
        <v>2628</v>
      </c>
      <c r="H419" s="1662" t="s">
        <v>2613</v>
      </c>
      <c r="I419" s="1662" t="s">
        <v>804</v>
      </c>
      <c r="J419" s="1662" t="s">
        <v>282</v>
      </c>
      <c r="K419" s="1662" t="s">
        <v>2518</v>
      </c>
      <c r="L419" s="1662" t="s">
        <v>2109</v>
      </c>
      <c r="M419" s="1663"/>
      <c r="N419" s="1663"/>
      <c r="O419" s="1663"/>
      <c r="P419" s="1663"/>
      <c r="Q419" s="1663"/>
      <c r="R419" s="1663"/>
      <c r="S419" s="1663"/>
      <c r="T419" s="1663"/>
      <c r="U419" s="1663"/>
      <c r="V419" s="1663"/>
      <c r="W419" s="1663"/>
      <c r="X419" s="1663"/>
      <c r="Y419" s="1664">
        <v>43369</v>
      </c>
      <c r="Z419" s="1662" t="s">
        <v>2110</v>
      </c>
      <c r="AA419" s="1665">
        <v>0</v>
      </c>
      <c r="AB419" s="1665">
        <v>0</v>
      </c>
      <c r="AC419" s="1680">
        <v>0</v>
      </c>
      <c r="AD419" s="1682">
        <v>43383</v>
      </c>
      <c r="AE419" s="1679" t="s">
        <v>2129</v>
      </c>
      <c r="AF419" s="1662" t="s">
        <v>2112</v>
      </c>
      <c r="AG419" s="1666"/>
      <c r="AH419" s="1667">
        <v>23521.82</v>
      </c>
      <c r="AI419" s="1665">
        <v>23521.82</v>
      </c>
      <c r="AJ419" s="1665">
        <v>19993.39</v>
      </c>
      <c r="AK419" s="1698">
        <v>19993.39</v>
      </c>
      <c r="AL419" s="1665">
        <v>0</v>
      </c>
      <c r="AM419" s="1664">
        <v>43383</v>
      </c>
      <c r="AN419" s="1665">
        <v>23521.82</v>
      </c>
      <c r="AO419" s="1665">
        <v>23521.82</v>
      </c>
      <c r="AP419" s="1665">
        <v>19993.39</v>
      </c>
      <c r="AQ419" s="1665">
        <v>19993.39</v>
      </c>
      <c r="AR419" s="1665">
        <v>0</v>
      </c>
      <c r="AS419" s="1665">
        <v>3528.43</v>
      </c>
      <c r="AT419" s="1665">
        <v>0</v>
      </c>
      <c r="AU419" s="1665">
        <v>3528.43</v>
      </c>
      <c r="AV419" s="1665">
        <v>0</v>
      </c>
      <c r="AW419" s="1665">
        <v>0</v>
      </c>
      <c r="AX419" s="1663"/>
      <c r="AY419" s="1663"/>
      <c r="AZ419" s="1663"/>
      <c r="BA419" s="1668"/>
      <c r="BB419" s="1668"/>
      <c r="BC419" s="1663"/>
      <c r="BD419" s="1663"/>
      <c r="BE419" s="1665">
        <v>23521.82</v>
      </c>
      <c r="BF419" s="1665">
        <v>23521.82</v>
      </c>
      <c r="BG419" s="1665">
        <v>19993.39</v>
      </c>
      <c r="BH419" s="1665">
        <v>19993.39</v>
      </c>
      <c r="BI419" s="1665">
        <v>0</v>
      </c>
      <c r="BJ419" s="1665">
        <v>3528.43</v>
      </c>
      <c r="BK419" s="1665">
        <v>0</v>
      </c>
      <c r="BL419" s="1665">
        <v>3528.43</v>
      </c>
      <c r="BM419" s="1665">
        <v>0</v>
      </c>
      <c r="BN419" s="1665">
        <v>0</v>
      </c>
      <c r="BO419" s="1668"/>
      <c r="BP419" s="1665">
        <v>0</v>
      </c>
      <c r="BQ419" s="1665">
        <v>0</v>
      </c>
      <c r="BR419" s="1665">
        <v>0</v>
      </c>
      <c r="BS419" s="1667">
        <v>0</v>
      </c>
      <c r="BT419" s="1665">
        <v>0</v>
      </c>
      <c r="BU419" s="1665">
        <v>0</v>
      </c>
      <c r="BV419" s="1665">
        <v>0</v>
      </c>
      <c r="BW419" s="1665">
        <v>0</v>
      </c>
      <c r="BX419" s="1665">
        <v>0</v>
      </c>
      <c r="BY419" s="1665">
        <v>0</v>
      </c>
      <c r="BZ419" s="1663"/>
      <c r="CA419" s="1663"/>
      <c r="CB419" s="1668"/>
      <c r="CC419" s="1668"/>
      <c r="CD419" s="1663"/>
      <c r="CE419" s="1663"/>
      <c r="CF419" s="1665">
        <v>0</v>
      </c>
      <c r="CG419" s="1665">
        <v>0</v>
      </c>
      <c r="CH419" s="1665">
        <v>0</v>
      </c>
      <c r="CI419" s="1665">
        <v>0</v>
      </c>
      <c r="CJ419" s="1665">
        <v>0</v>
      </c>
      <c r="CK419" s="1665">
        <v>0</v>
      </c>
      <c r="CL419" s="1668"/>
      <c r="CM419" s="1665">
        <v>0</v>
      </c>
      <c r="CN419" s="1665">
        <v>0</v>
      </c>
      <c r="CO419" s="1665">
        <v>0</v>
      </c>
      <c r="CP419" s="1665">
        <v>0</v>
      </c>
      <c r="CQ419" s="1665">
        <v>0</v>
      </c>
      <c r="CR419" s="1665">
        <v>0</v>
      </c>
      <c r="CS419" s="1665">
        <v>0</v>
      </c>
      <c r="CT419" s="1665">
        <v>0</v>
      </c>
      <c r="CU419" s="1665">
        <v>0</v>
      </c>
      <c r="CV419" s="1665">
        <v>0</v>
      </c>
      <c r="CW419" s="1668"/>
      <c r="CX419" s="1663"/>
      <c r="CY419" s="1663"/>
      <c r="CZ419" s="1663"/>
      <c r="DA419" s="1663"/>
      <c r="DB419" s="1668"/>
      <c r="DC419" s="1662"/>
      <c r="DD419" s="1665">
        <v>0</v>
      </c>
      <c r="DE419" s="1663"/>
      <c r="DF419" s="1663"/>
      <c r="DG419" s="1665">
        <v>0</v>
      </c>
      <c r="DH419" s="1665">
        <v>0</v>
      </c>
    </row>
    <row r="420" spans="1:112" ht="56.25" hidden="1" x14ac:dyDescent="0.25">
      <c r="A420" s="1662" t="s">
        <v>2525</v>
      </c>
      <c r="B420" s="1662" t="s">
        <v>1729</v>
      </c>
      <c r="C420" s="1662" t="s">
        <v>2652</v>
      </c>
      <c r="D420" s="1662" t="s">
        <v>2653</v>
      </c>
      <c r="E420" s="1662" t="s">
        <v>2516</v>
      </c>
      <c r="F420" s="1662" t="s">
        <v>2654</v>
      </c>
      <c r="G420" s="1662" t="s">
        <v>2628</v>
      </c>
      <c r="H420" s="1662" t="s">
        <v>2613</v>
      </c>
      <c r="I420" s="1662" t="s">
        <v>804</v>
      </c>
      <c r="J420" s="1662" t="s">
        <v>282</v>
      </c>
      <c r="K420" s="1662" t="s">
        <v>2518</v>
      </c>
      <c r="L420" s="1662" t="s">
        <v>2109</v>
      </c>
      <c r="M420" s="1663"/>
      <c r="N420" s="1663"/>
      <c r="O420" s="1663"/>
      <c r="P420" s="1663"/>
      <c r="Q420" s="1663"/>
      <c r="R420" s="1663"/>
      <c r="S420" s="1663"/>
      <c r="T420" s="1663"/>
      <c r="U420" s="1663"/>
      <c r="V420" s="1663"/>
      <c r="W420" s="1663"/>
      <c r="X420" s="1663"/>
      <c r="Y420" s="1664">
        <v>43376</v>
      </c>
      <c r="Z420" s="1662" t="s">
        <v>2110</v>
      </c>
      <c r="AA420" s="1665">
        <v>0</v>
      </c>
      <c r="AB420" s="1665">
        <v>0</v>
      </c>
      <c r="AC420" s="1680">
        <v>0</v>
      </c>
      <c r="AD420" s="1682">
        <v>43388</v>
      </c>
      <c r="AE420" s="1679" t="s">
        <v>2130</v>
      </c>
      <c r="AF420" s="1662" t="s">
        <v>2112</v>
      </c>
      <c r="AG420" s="1666"/>
      <c r="AH420" s="1667">
        <v>36155.800000000003</v>
      </c>
      <c r="AI420" s="1665">
        <v>36155.800000000003</v>
      </c>
      <c r="AJ420" s="1665">
        <v>30732.19</v>
      </c>
      <c r="AK420" s="1698">
        <v>30732.19</v>
      </c>
      <c r="AL420" s="1665">
        <v>0</v>
      </c>
      <c r="AM420" s="1664">
        <v>43388</v>
      </c>
      <c r="AN420" s="1665">
        <v>36155.800000000003</v>
      </c>
      <c r="AO420" s="1665">
        <v>36155.800000000003</v>
      </c>
      <c r="AP420" s="1665">
        <v>30732.19</v>
      </c>
      <c r="AQ420" s="1665">
        <v>30732.19</v>
      </c>
      <c r="AR420" s="1665">
        <v>0</v>
      </c>
      <c r="AS420" s="1665">
        <v>5423.61</v>
      </c>
      <c r="AT420" s="1665">
        <v>0</v>
      </c>
      <c r="AU420" s="1665">
        <v>5423.61</v>
      </c>
      <c r="AV420" s="1665">
        <v>0</v>
      </c>
      <c r="AW420" s="1665">
        <v>0</v>
      </c>
      <c r="AX420" s="1663"/>
      <c r="AY420" s="1663"/>
      <c r="AZ420" s="1663"/>
      <c r="BA420" s="1668"/>
      <c r="BB420" s="1668"/>
      <c r="BC420" s="1663"/>
      <c r="BD420" s="1663"/>
      <c r="BE420" s="1665">
        <v>36155.800000000003</v>
      </c>
      <c r="BF420" s="1665">
        <v>36155.800000000003</v>
      </c>
      <c r="BG420" s="1665">
        <v>30732.19</v>
      </c>
      <c r="BH420" s="1665">
        <v>30732.19</v>
      </c>
      <c r="BI420" s="1665">
        <v>0</v>
      </c>
      <c r="BJ420" s="1665">
        <v>5423.61</v>
      </c>
      <c r="BK420" s="1665">
        <v>0</v>
      </c>
      <c r="BL420" s="1665">
        <v>5423.61</v>
      </c>
      <c r="BM420" s="1665">
        <v>0</v>
      </c>
      <c r="BN420" s="1665">
        <v>0</v>
      </c>
      <c r="BO420" s="1668"/>
      <c r="BP420" s="1665">
        <v>0</v>
      </c>
      <c r="BQ420" s="1665">
        <v>0</v>
      </c>
      <c r="BR420" s="1665">
        <v>0</v>
      </c>
      <c r="BS420" s="1667">
        <v>0</v>
      </c>
      <c r="BT420" s="1665">
        <v>0</v>
      </c>
      <c r="BU420" s="1665">
        <v>0</v>
      </c>
      <c r="BV420" s="1665">
        <v>0</v>
      </c>
      <c r="BW420" s="1665">
        <v>0</v>
      </c>
      <c r="BX420" s="1665">
        <v>0</v>
      </c>
      <c r="BY420" s="1665">
        <v>0</v>
      </c>
      <c r="BZ420" s="1663"/>
      <c r="CA420" s="1663"/>
      <c r="CB420" s="1668"/>
      <c r="CC420" s="1668"/>
      <c r="CD420" s="1663"/>
      <c r="CE420" s="1663"/>
      <c r="CF420" s="1665">
        <v>0</v>
      </c>
      <c r="CG420" s="1665">
        <v>0</v>
      </c>
      <c r="CH420" s="1665">
        <v>0</v>
      </c>
      <c r="CI420" s="1665">
        <v>0</v>
      </c>
      <c r="CJ420" s="1665">
        <v>0</v>
      </c>
      <c r="CK420" s="1665">
        <v>0</v>
      </c>
      <c r="CL420" s="1668"/>
      <c r="CM420" s="1665">
        <v>0</v>
      </c>
      <c r="CN420" s="1665">
        <v>0</v>
      </c>
      <c r="CO420" s="1665">
        <v>0</v>
      </c>
      <c r="CP420" s="1665">
        <v>0</v>
      </c>
      <c r="CQ420" s="1665">
        <v>0</v>
      </c>
      <c r="CR420" s="1665">
        <v>0</v>
      </c>
      <c r="CS420" s="1665">
        <v>0</v>
      </c>
      <c r="CT420" s="1665">
        <v>0</v>
      </c>
      <c r="CU420" s="1665">
        <v>0</v>
      </c>
      <c r="CV420" s="1665">
        <v>0</v>
      </c>
      <c r="CW420" s="1668"/>
      <c r="CX420" s="1663"/>
      <c r="CY420" s="1663"/>
      <c r="CZ420" s="1663"/>
      <c r="DA420" s="1663"/>
      <c r="DB420" s="1668"/>
      <c r="DC420" s="1662"/>
      <c r="DD420" s="1665">
        <v>0</v>
      </c>
      <c r="DE420" s="1663"/>
      <c r="DF420" s="1663"/>
      <c r="DG420" s="1665">
        <v>0</v>
      </c>
      <c r="DH420" s="1665">
        <v>0</v>
      </c>
    </row>
    <row r="421" spans="1:112" ht="56.25" hidden="1" x14ac:dyDescent="0.25">
      <c r="A421" s="1662" t="s">
        <v>2526</v>
      </c>
      <c r="B421" s="1662" t="s">
        <v>1729</v>
      </c>
      <c r="C421" s="1662" t="s">
        <v>2652</v>
      </c>
      <c r="D421" s="1662" t="s">
        <v>2653</v>
      </c>
      <c r="E421" s="1662" t="s">
        <v>2516</v>
      </c>
      <c r="F421" s="1662" t="s">
        <v>2654</v>
      </c>
      <c r="G421" s="1662" t="s">
        <v>2628</v>
      </c>
      <c r="H421" s="1662" t="s">
        <v>2613</v>
      </c>
      <c r="I421" s="1662" t="s">
        <v>821</v>
      </c>
      <c r="J421" s="1662" t="s">
        <v>234</v>
      </c>
      <c r="K421" s="1662" t="s">
        <v>2159</v>
      </c>
      <c r="L421" s="1662" t="s">
        <v>2109</v>
      </c>
      <c r="M421" s="1665">
        <v>146702.29999999999</v>
      </c>
      <c r="N421" s="1665">
        <v>0</v>
      </c>
      <c r="O421" s="1665">
        <v>146702.29999999999</v>
      </c>
      <c r="P421" s="1665">
        <v>146702.29999999999</v>
      </c>
      <c r="Q421" s="1665">
        <v>124266</v>
      </c>
      <c r="R421" s="1665">
        <v>124266</v>
      </c>
      <c r="S421" s="1665">
        <v>0</v>
      </c>
      <c r="T421" s="1665">
        <v>22436.3</v>
      </c>
      <c r="U421" s="1665">
        <v>0</v>
      </c>
      <c r="V421" s="1665">
        <v>22436.3</v>
      </c>
      <c r="W421" s="1665">
        <v>0</v>
      </c>
      <c r="X421" s="1665">
        <v>0</v>
      </c>
      <c r="Y421" s="1668"/>
      <c r="Z421" s="1662"/>
      <c r="AA421" s="1665">
        <v>0</v>
      </c>
      <c r="AB421" s="1665">
        <v>0</v>
      </c>
      <c r="AC421" s="1680">
        <v>0</v>
      </c>
      <c r="AD421" s="1681"/>
      <c r="AE421" s="1679"/>
      <c r="AF421" s="1662"/>
      <c r="AG421" s="1666"/>
      <c r="AH421" s="1667">
        <v>60570.16</v>
      </c>
      <c r="AI421" s="1665">
        <v>60570.16</v>
      </c>
      <c r="AJ421" s="1665">
        <v>54680.33</v>
      </c>
      <c r="AK421" s="1698">
        <v>54680.33</v>
      </c>
      <c r="AL421" s="1665">
        <v>0</v>
      </c>
      <c r="AM421" s="1668"/>
      <c r="AN421" s="1665">
        <v>38511.339999999997</v>
      </c>
      <c r="AO421" s="1665">
        <v>38511.339999999997</v>
      </c>
      <c r="AP421" s="1665">
        <v>32621.51</v>
      </c>
      <c r="AQ421" s="1665">
        <v>32621.51</v>
      </c>
      <c r="AR421" s="1665">
        <v>0</v>
      </c>
      <c r="AS421" s="1665">
        <v>5889.83</v>
      </c>
      <c r="AT421" s="1665">
        <v>0</v>
      </c>
      <c r="AU421" s="1665">
        <v>5889.83</v>
      </c>
      <c r="AV421" s="1665">
        <v>0</v>
      </c>
      <c r="AW421" s="1665">
        <v>0</v>
      </c>
      <c r="AX421" s="1665">
        <v>0</v>
      </c>
      <c r="AY421" s="1665">
        <v>0</v>
      </c>
      <c r="AZ421" s="1665">
        <v>0</v>
      </c>
      <c r="BA421" s="1668"/>
      <c r="BB421" s="1668"/>
      <c r="BC421" s="1665">
        <v>0</v>
      </c>
      <c r="BD421" s="1665">
        <v>0</v>
      </c>
      <c r="BE421" s="1665">
        <v>38511.339999999997</v>
      </c>
      <c r="BF421" s="1665">
        <v>38511.339999999997</v>
      </c>
      <c r="BG421" s="1665">
        <v>32621.51</v>
      </c>
      <c r="BH421" s="1665">
        <v>32621.51</v>
      </c>
      <c r="BI421" s="1665">
        <v>0</v>
      </c>
      <c r="BJ421" s="1665">
        <v>5889.83</v>
      </c>
      <c r="BK421" s="1665">
        <v>0</v>
      </c>
      <c r="BL421" s="1665">
        <v>5889.83</v>
      </c>
      <c r="BM421" s="1665">
        <v>0</v>
      </c>
      <c r="BN421" s="1665">
        <v>0</v>
      </c>
      <c r="BO421" s="1668"/>
      <c r="BP421" s="1665">
        <v>17784.349999999999</v>
      </c>
      <c r="BQ421" s="1665">
        <v>17784.349999999999</v>
      </c>
      <c r="BR421" s="1665">
        <v>15064.45</v>
      </c>
      <c r="BS421" s="1667">
        <v>15064.45</v>
      </c>
      <c r="BT421" s="1665">
        <v>0</v>
      </c>
      <c r="BU421" s="1665">
        <v>2719.9</v>
      </c>
      <c r="BV421" s="1665">
        <v>0</v>
      </c>
      <c r="BW421" s="1665">
        <v>0</v>
      </c>
      <c r="BX421" s="1665">
        <v>0</v>
      </c>
      <c r="BY421" s="1665">
        <v>0</v>
      </c>
      <c r="BZ421" s="1665">
        <v>0</v>
      </c>
      <c r="CA421" s="1665">
        <v>0</v>
      </c>
      <c r="CB421" s="1668"/>
      <c r="CC421" s="1668"/>
      <c r="CD421" s="1665">
        <v>0</v>
      </c>
      <c r="CE421" s="1665">
        <v>0</v>
      </c>
      <c r="CF421" s="1665">
        <v>0</v>
      </c>
      <c r="CG421" s="1665">
        <v>0</v>
      </c>
      <c r="CH421" s="1665">
        <v>0</v>
      </c>
      <c r="CI421" s="1665">
        <v>0</v>
      </c>
      <c r="CJ421" s="1665">
        <v>0</v>
      </c>
      <c r="CK421" s="1665">
        <v>0</v>
      </c>
      <c r="CL421" s="1668"/>
      <c r="CM421" s="1665">
        <v>0</v>
      </c>
      <c r="CN421" s="1665">
        <v>0</v>
      </c>
      <c r="CO421" s="1665">
        <v>0</v>
      </c>
      <c r="CP421" s="1665">
        <v>0</v>
      </c>
      <c r="CQ421" s="1665">
        <v>0</v>
      </c>
      <c r="CR421" s="1665">
        <v>0</v>
      </c>
      <c r="CS421" s="1665">
        <v>0</v>
      </c>
      <c r="CT421" s="1665">
        <v>0</v>
      </c>
      <c r="CU421" s="1665">
        <v>0</v>
      </c>
      <c r="CV421" s="1665">
        <v>0</v>
      </c>
      <c r="CW421" s="1668"/>
      <c r="CX421" s="1665">
        <v>0</v>
      </c>
      <c r="CY421" s="1665">
        <v>0</v>
      </c>
      <c r="CZ421" s="1665">
        <v>0</v>
      </c>
      <c r="DA421" s="1665">
        <v>0</v>
      </c>
      <c r="DB421" s="1668"/>
      <c r="DC421" s="1662"/>
      <c r="DD421" s="1665">
        <v>0</v>
      </c>
      <c r="DE421" s="1665">
        <v>0</v>
      </c>
      <c r="DF421" s="1665">
        <v>0</v>
      </c>
      <c r="DG421" s="1665">
        <v>0</v>
      </c>
      <c r="DH421" s="1665">
        <v>0</v>
      </c>
    </row>
    <row r="422" spans="1:112" ht="56.25" hidden="1" x14ac:dyDescent="0.25">
      <c r="A422" s="1662" t="s">
        <v>2527</v>
      </c>
      <c r="B422" s="1662" t="s">
        <v>1729</v>
      </c>
      <c r="C422" s="1662" t="s">
        <v>2652</v>
      </c>
      <c r="D422" s="1662" t="s">
        <v>2653</v>
      </c>
      <c r="E422" s="1662" t="s">
        <v>2516</v>
      </c>
      <c r="F422" s="1662" t="s">
        <v>2654</v>
      </c>
      <c r="G422" s="1662" t="s">
        <v>2628</v>
      </c>
      <c r="H422" s="1662" t="s">
        <v>2613</v>
      </c>
      <c r="I422" s="1662" t="s">
        <v>821</v>
      </c>
      <c r="J422" s="1662" t="s">
        <v>234</v>
      </c>
      <c r="K422" s="1662" t="s">
        <v>2159</v>
      </c>
      <c r="L422" s="1662" t="s">
        <v>2109</v>
      </c>
      <c r="M422" s="1663"/>
      <c r="N422" s="1663"/>
      <c r="O422" s="1663"/>
      <c r="P422" s="1663"/>
      <c r="Q422" s="1663"/>
      <c r="R422" s="1663"/>
      <c r="S422" s="1663"/>
      <c r="T422" s="1663"/>
      <c r="U422" s="1663"/>
      <c r="V422" s="1663"/>
      <c r="W422" s="1663"/>
      <c r="X422" s="1663"/>
      <c r="Y422" s="1664">
        <v>43126</v>
      </c>
      <c r="Z422" s="1662" t="s">
        <v>2145</v>
      </c>
      <c r="AA422" s="1665">
        <v>0</v>
      </c>
      <c r="AB422" s="1665">
        <v>0</v>
      </c>
      <c r="AC422" s="1680">
        <v>0</v>
      </c>
      <c r="AD422" s="1682">
        <v>43139</v>
      </c>
      <c r="AE422" s="1679" t="s">
        <v>2122</v>
      </c>
      <c r="AF422" s="1662" t="s">
        <v>2112</v>
      </c>
      <c r="AG422" s="1666"/>
      <c r="AH422" s="1667">
        <v>3529.41</v>
      </c>
      <c r="AI422" s="1665">
        <v>3529.41</v>
      </c>
      <c r="AJ422" s="1665">
        <v>3529.41</v>
      </c>
      <c r="AK422" s="1698">
        <v>3529.41</v>
      </c>
      <c r="AL422" s="1665">
        <v>0</v>
      </c>
      <c r="AM422" s="1668"/>
      <c r="AN422" s="1665">
        <v>0</v>
      </c>
      <c r="AO422" s="1665">
        <v>0</v>
      </c>
      <c r="AP422" s="1665">
        <v>0</v>
      </c>
      <c r="AQ422" s="1665">
        <v>0</v>
      </c>
      <c r="AR422" s="1665">
        <v>0</v>
      </c>
      <c r="AS422" s="1665">
        <v>0</v>
      </c>
      <c r="AT422" s="1665">
        <v>0</v>
      </c>
      <c r="AU422" s="1665">
        <v>0</v>
      </c>
      <c r="AV422" s="1665">
        <v>0</v>
      </c>
      <c r="AW422" s="1665">
        <v>0</v>
      </c>
      <c r="AX422" s="1663"/>
      <c r="AY422" s="1663"/>
      <c r="AZ422" s="1663"/>
      <c r="BA422" s="1668"/>
      <c r="BB422" s="1668"/>
      <c r="BC422" s="1663"/>
      <c r="BD422" s="1663"/>
      <c r="BE422" s="1665">
        <v>0</v>
      </c>
      <c r="BF422" s="1665">
        <v>0</v>
      </c>
      <c r="BG422" s="1665">
        <v>0</v>
      </c>
      <c r="BH422" s="1665">
        <v>0</v>
      </c>
      <c r="BI422" s="1665">
        <v>0</v>
      </c>
      <c r="BJ422" s="1665">
        <v>0</v>
      </c>
      <c r="BK422" s="1665">
        <v>0</v>
      </c>
      <c r="BL422" s="1665">
        <v>0</v>
      </c>
      <c r="BM422" s="1665">
        <v>0</v>
      </c>
      <c r="BN422" s="1665">
        <v>0</v>
      </c>
      <c r="BO422" s="1668"/>
      <c r="BP422" s="1665">
        <v>0</v>
      </c>
      <c r="BQ422" s="1665">
        <v>0</v>
      </c>
      <c r="BR422" s="1665">
        <v>0</v>
      </c>
      <c r="BS422" s="1667">
        <v>0</v>
      </c>
      <c r="BT422" s="1665">
        <v>0</v>
      </c>
      <c r="BU422" s="1665">
        <v>0</v>
      </c>
      <c r="BV422" s="1665">
        <v>0</v>
      </c>
      <c r="BW422" s="1665">
        <v>0</v>
      </c>
      <c r="BX422" s="1665">
        <v>0</v>
      </c>
      <c r="BY422" s="1665">
        <v>0</v>
      </c>
      <c r="BZ422" s="1663"/>
      <c r="CA422" s="1663"/>
      <c r="CB422" s="1668"/>
      <c r="CC422" s="1668"/>
      <c r="CD422" s="1663"/>
      <c r="CE422" s="1663"/>
      <c r="CF422" s="1665">
        <v>0</v>
      </c>
      <c r="CG422" s="1665">
        <v>0</v>
      </c>
      <c r="CH422" s="1665">
        <v>0</v>
      </c>
      <c r="CI422" s="1665">
        <v>0</v>
      </c>
      <c r="CJ422" s="1665">
        <v>0</v>
      </c>
      <c r="CK422" s="1665">
        <v>0</v>
      </c>
      <c r="CL422" s="1668"/>
      <c r="CM422" s="1665">
        <v>0</v>
      </c>
      <c r="CN422" s="1665">
        <v>0</v>
      </c>
      <c r="CO422" s="1665">
        <v>0</v>
      </c>
      <c r="CP422" s="1665">
        <v>0</v>
      </c>
      <c r="CQ422" s="1665">
        <v>0</v>
      </c>
      <c r="CR422" s="1665">
        <v>0</v>
      </c>
      <c r="CS422" s="1665">
        <v>0</v>
      </c>
      <c r="CT422" s="1665">
        <v>0</v>
      </c>
      <c r="CU422" s="1665">
        <v>0</v>
      </c>
      <c r="CV422" s="1665">
        <v>0</v>
      </c>
      <c r="CW422" s="1668"/>
      <c r="CX422" s="1663"/>
      <c r="CY422" s="1663"/>
      <c r="CZ422" s="1663"/>
      <c r="DA422" s="1663"/>
      <c r="DB422" s="1668"/>
      <c r="DC422" s="1662"/>
      <c r="DD422" s="1665">
        <v>0</v>
      </c>
      <c r="DE422" s="1663"/>
      <c r="DF422" s="1663"/>
      <c r="DG422" s="1665">
        <v>0</v>
      </c>
      <c r="DH422" s="1665">
        <v>0</v>
      </c>
    </row>
    <row r="423" spans="1:112" ht="56.25" hidden="1" x14ac:dyDescent="0.25">
      <c r="A423" s="1662" t="s">
        <v>2528</v>
      </c>
      <c r="B423" s="1662" t="s">
        <v>1729</v>
      </c>
      <c r="C423" s="1662" t="s">
        <v>2652</v>
      </c>
      <c r="D423" s="1662" t="s">
        <v>2653</v>
      </c>
      <c r="E423" s="1662" t="s">
        <v>2516</v>
      </c>
      <c r="F423" s="1662" t="s">
        <v>2654</v>
      </c>
      <c r="G423" s="1662" t="s">
        <v>2628</v>
      </c>
      <c r="H423" s="1662" t="s">
        <v>2613</v>
      </c>
      <c r="I423" s="1662" t="s">
        <v>821</v>
      </c>
      <c r="J423" s="1662" t="s">
        <v>234</v>
      </c>
      <c r="K423" s="1662" t="s">
        <v>2159</v>
      </c>
      <c r="L423" s="1662" t="s">
        <v>2109</v>
      </c>
      <c r="M423" s="1663"/>
      <c r="N423" s="1663"/>
      <c r="O423" s="1663"/>
      <c r="P423" s="1663"/>
      <c r="Q423" s="1663"/>
      <c r="R423" s="1663"/>
      <c r="S423" s="1663"/>
      <c r="T423" s="1663"/>
      <c r="U423" s="1663"/>
      <c r="V423" s="1663"/>
      <c r="W423" s="1663"/>
      <c r="X423" s="1663"/>
      <c r="Y423" s="1664">
        <v>43140</v>
      </c>
      <c r="Z423" s="1662" t="s">
        <v>2145</v>
      </c>
      <c r="AA423" s="1665">
        <v>0</v>
      </c>
      <c r="AB423" s="1665">
        <v>0</v>
      </c>
      <c r="AC423" s="1680">
        <v>0</v>
      </c>
      <c r="AD423" s="1682">
        <v>43150</v>
      </c>
      <c r="AE423" s="1679" t="s">
        <v>2111</v>
      </c>
      <c r="AF423" s="1662" t="s">
        <v>2112</v>
      </c>
      <c r="AG423" s="1666"/>
      <c r="AH423" s="1667">
        <v>3529.41</v>
      </c>
      <c r="AI423" s="1665">
        <v>3529.41</v>
      </c>
      <c r="AJ423" s="1665">
        <v>3529.41</v>
      </c>
      <c r="AK423" s="1698">
        <v>3529.41</v>
      </c>
      <c r="AL423" s="1665">
        <v>0</v>
      </c>
      <c r="AM423" s="1668"/>
      <c r="AN423" s="1665">
        <v>0</v>
      </c>
      <c r="AO423" s="1665">
        <v>0</v>
      </c>
      <c r="AP423" s="1665">
        <v>0</v>
      </c>
      <c r="AQ423" s="1665">
        <v>0</v>
      </c>
      <c r="AR423" s="1665">
        <v>0</v>
      </c>
      <c r="AS423" s="1665">
        <v>0</v>
      </c>
      <c r="AT423" s="1665">
        <v>0</v>
      </c>
      <c r="AU423" s="1665">
        <v>0</v>
      </c>
      <c r="AV423" s="1665">
        <v>0</v>
      </c>
      <c r="AW423" s="1665">
        <v>0</v>
      </c>
      <c r="AX423" s="1663"/>
      <c r="AY423" s="1663"/>
      <c r="AZ423" s="1663"/>
      <c r="BA423" s="1668"/>
      <c r="BB423" s="1668"/>
      <c r="BC423" s="1663"/>
      <c r="BD423" s="1663"/>
      <c r="BE423" s="1665">
        <v>0</v>
      </c>
      <c r="BF423" s="1665">
        <v>0</v>
      </c>
      <c r="BG423" s="1665">
        <v>0</v>
      </c>
      <c r="BH423" s="1665">
        <v>0</v>
      </c>
      <c r="BI423" s="1665">
        <v>0</v>
      </c>
      <c r="BJ423" s="1665">
        <v>0</v>
      </c>
      <c r="BK423" s="1665">
        <v>0</v>
      </c>
      <c r="BL423" s="1665">
        <v>0</v>
      </c>
      <c r="BM423" s="1665">
        <v>0</v>
      </c>
      <c r="BN423" s="1665">
        <v>0</v>
      </c>
      <c r="BO423" s="1668"/>
      <c r="BP423" s="1665">
        <v>0</v>
      </c>
      <c r="BQ423" s="1665">
        <v>0</v>
      </c>
      <c r="BR423" s="1665">
        <v>0</v>
      </c>
      <c r="BS423" s="1667">
        <v>0</v>
      </c>
      <c r="BT423" s="1665">
        <v>0</v>
      </c>
      <c r="BU423" s="1665">
        <v>0</v>
      </c>
      <c r="BV423" s="1665">
        <v>0</v>
      </c>
      <c r="BW423" s="1665">
        <v>0</v>
      </c>
      <c r="BX423" s="1665">
        <v>0</v>
      </c>
      <c r="BY423" s="1665">
        <v>0</v>
      </c>
      <c r="BZ423" s="1663"/>
      <c r="CA423" s="1663"/>
      <c r="CB423" s="1668"/>
      <c r="CC423" s="1668"/>
      <c r="CD423" s="1663"/>
      <c r="CE423" s="1663"/>
      <c r="CF423" s="1665">
        <v>0</v>
      </c>
      <c r="CG423" s="1665">
        <v>0</v>
      </c>
      <c r="CH423" s="1665">
        <v>0</v>
      </c>
      <c r="CI423" s="1665">
        <v>0</v>
      </c>
      <c r="CJ423" s="1665">
        <v>0</v>
      </c>
      <c r="CK423" s="1665">
        <v>0</v>
      </c>
      <c r="CL423" s="1668"/>
      <c r="CM423" s="1665">
        <v>0</v>
      </c>
      <c r="CN423" s="1665">
        <v>0</v>
      </c>
      <c r="CO423" s="1665">
        <v>0</v>
      </c>
      <c r="CP423" s="1665">
        <v>0</v>
      </c>
      <c r="CQ423" s="1665">
        <v>0</v>
      </c>
      <c r="CR423" s="1665">
        <v>0</v>
      </c>
      <c r="CS423" s="1665">
        <v>0</v>
      </c>
      <c r="CT423" s="1665">
        <v>0</v>
      </c>
      <c r="CU423" s="1665">
        <v>0</v>
      </c>
      <c r="CV423" s="1665">
        <v>0</v>
      </c>
      <c r="CW423" s="1668"/>
      <c r="CX423" s="1663"/>
      <c r="CY423" s="1663"/>
      <c r="CZ423" s="1663"/>
      <c r="DA423" s="1663"/>
      <c r="DB423" s="1668"/>
      <c r="DC423" s="1662"/>
      <c r="DD423" s="1665">
        <v>0</v>
      </c>
      <c r="DE423" s="1663"/>
      <c r="DF423" s="1663"/>
      <c r="DG423" s="1665">
        <v>0</v>
      </c>
      <c r="DH423" s="1665">
        <v>0</v>
      </c>
    </row>
    <row r="424" spans="1:112" ht="56.25" hidden="1" x14ac:dyDescent="0.25">
      <c r="A424" s="1662" t="s">
        <v>2529</v>
      </c>
      <c r="B424" s="1662" t="s">
        <v>1729</v>
      </c>
      <c r="C424" s="1662" t="s">
        <v>2652</v>
      </c>
      <c r="D424" s="1662" t="s">
        <v>2653</v>
      </c>
      <c r="E424" s="1662" t="s">
        <v>2516</v>
      </c>
      <c r="F424" s="1662" t="s">
        <v>2654</v>
      </c>
      <c r="G424" s="1662" t="s">
        <v>2628</v>
      </c>
      <c r="H424" s="1662" t="s">
        <v>2613</v>
      </c>
      <c r="I424" s="1662" t="s">
        <v>821</v>
      </c>
      <c r="J424" s="1662" t="s">
        <v>234</v>
      </c>
      <c r="K424" s="1662" t="s">
        <v>2159</v>
      </c>
      <c r="L424" s="1662" t="s">
        <v>2109</v>
      </c>
      <c r="M424" s="1663"/>
      <c r="N424" s="1663"/>
      <c r="O424" s="1663"/>
      <c r="P424" s="1663"/>
      <c r="Q424" s="1663"/>
      <c r="R424" s="1663"/>
      <c r="S424" s="1663"/>
      <c r="T424" s="1663"/>
      <c r="U424" s="1663"/>
      <c r="V424" s="1663"/>
      <c r="W424" s="1663"/>
      <c r="X424" s="1663"/>
      <c r="Y424" s="1664">
        <v>43159</v>
      </c>
      <c r="Z424" s="1662" t="s">
        <v>2110</v>
      </c>
      <c r="AA424" s="1665">
        <v>0</v>
      </c>
      <c r="AB424" s="1665">
        <v>0</v>
      </c>
      <c r="AC424" s="1680">
        <v>0</v>
      </c>
      <c r="AD424" s="1682">
        <v>43193</v>
      </c>
      <c r="AE424" s="1679" t="s">
        <v>2114</v>
      </c>
      <c r="AF424" s="1662" t="s">
        <v>2115</v>
      </c>
      <c r="AG424" s="1666"/>
      <c r="AH424" s="1667">
        <v>2352.94</v>
      </c>
      <c r="AI424" s="1665">
        <v>2352.94</v>
      </c>
      <c r="AJ424" s="1665">
        <v>1993.09</v>
      </c>
      <c r="AK424" s="1698">
        <v>1993.09</v>
      </c>
      <c r="AL424" s="1665">
        <v>0</v>
      </c>
      <c r="AM424" s="1664">
        <v>43196</v>
      </c>
      <c r="AN424" s="1665">
        <v>2352.94</v>
      </c>
      <c r="AO424" s="1665">
        <v>2352.94</v>
      </c>
      <c r="AP424" s="1665">
        <v>1993.09</v>
      </c>
      <c r="AQ424" s="1665">
        <v>1993.09</v>
      </c>
      <c r="AR424" s="1665">
        <v>0</v>
      </c>
      <c r="AS424" s="1665">
        <v>359.85</v>
      </c>
      <c r="AT424" s="1665">
        <v>0</v>
      </c>
      <c r="AU424" s="1665">
        <v>359.85</v>
      </c>
      <c r="AV424" s="1665">
        <v>0</v>
      </c>
      <c r="AW424" s="1665">
        <v>0</v>
      </c>
      <c r="AX424" s="1663"/>
      <c r="AY424" s="1663"/>
      <c r="AZ424" s="1663"/>
      <c r="BA424" s="1668"/>
      <c r="BB424" s="1668"/>
      <c r="BC424" s="1663"/>
      <c r="BD424" s="1663"/>
      <c r="BE424" s="1665">
        <v>2352.94</v>
      </c>
      <c r="BF424" s="1665">
        <v>2352.94</v>
      </c>
      <c r="BG424" s="1665">
        <v>1993.09</v>
      </c>
      <c r="BH424" s="1665">
        <v>1993.09</v>
      </c>
      <c r="BI424" s="1665">
        <v>0</v>
      </c>
      <c r="BJ424" s="1665">
        <v>359.85</v>
      </c>
      <c r="BK424" s="1665">
        <v>0</v>
      </c>
      <c r="BL424" s="1665">
        <v>359.85</v>
      </c>
      <c r="BM424" s="1665">
        <v>0</v>
      </c>
      <c r="BN424" s="1665">
        <v>0</v>
      </c>
      <c r="BO424" s="1664">
        <v>43364</v>
      </c>
      <c r="BP424" s="1665">
        <v>2352.94</v>
      </c>
      <c r="BQ424" s="1665">
        <v>2352.94</v>
      </c>
      <c r="BR424" s="1665">
        <v>1993.09</v>
      </c>
      <c r="BS424" s="1667">
        <v>1993.09</v>
      </c>
      <c r="BT424" s="1665">
        <v>0</v>
      </c>
      <c r="BU424" s="1665">
        <v>359.85</v>
      </c>
      <c r="BV424" s="1665">
        <v>0</v>
      </c>
      <c r="BW424" s="1665">
        <v>0</v>
      </c>
      <c r="BX424" s="1665">
        <v>0</v>
      </c>
      <c r="BY424" s="1665">
        <v>0</v>
      </c>
      <c r="BZ424" s="1665">
        <v>0</v>
      </c>
      <c r="CA424" s="1663"/>
      <c r="CB424" s="1668"/>
      <c r="CC424" s="1668"/>
      <c r="CD424" s="1663"/>
      <c r="CE424" s="1663"/>
      <c r="CF424" s="1665">
        <v>0</v>
      </c>
      <c r="CG424" s="1665">
        <v>0</v>
      </c>
      <c r="CH424" s="1665">
        <v>0</v>
      </c>
      <c r="CI424" s="1665">
        <v>0</v>
      </c>
      <c r="CJ424" s="1665">
        <v>0</v>
      </c>
      <c r="CK424" s="1665">
        <v>0</v>
      </c>
      <c r="CL424" s="1668"/>
      <c r="CM424" s="1665">
        <v>0</v>
      </c>
      <c r="CN424" s="1665">
        <v>0</v>
      </c>
      <c r="CO424" s="1665">
        <v>0</v>
      </c>
      <c r="CP424" s="1665">
        <v>0</v>
      </c>
      <c r="CQ424" s="1665">
        <v>0</v>
      </c>
      <c r="CR424" s="1665">
        <v>0</v>
      </c>
      <c r="CS424" s="1665">
        <v>0</v>
      </c>
      <c r="CT424" s="1665">
        <v>0</v>
      </c>
      <c r="CU424" s="1665">
        <v>0</v>
      </c>
      <c r="CV424" s="1665">
        <v>0</v>
      </c>
      <c r="CW424" s="1668"/>
      <c r="CX424" s="1663"/>
      <c r="CY424" s="1663"/>
      <c r="CZ424" s="1663"/>
      <c r="DA424" s="1663"/>
      <c r="DB424" s="1668"/>
      <c r="DC424" s="1662"/>
      <c r="DD424" s="1665">
        <v>0</v>
      </c>
      <c r="DE424" s="1663"/>
      <c r="DF424" s="1663"/>
      <c r="DG424" s="1665">
        <v>0</v>
      </c>
      <c r="DH424" s="1665">
        <v>0</v>
      </c>
    </row>
    <row r="425" spans="1:112" ht="56.25" hidden="1" x14ac:dyDescent="0.25">
      <c r="A425" s="1662" t="s">
        <v>2530</v>
      </c>
      <c r="B425" s="1662" t="s">
        <v>1729</v>
      </c>
      <c r="C425" s="1662" t="s">
        <v>2652</v>
      </c>
      <c r="D425" s="1662" t="s">
        <v>2653</v>
      </c>
      <c r="E425" s="1662" t="s">
        <v>2516</v>
      </c>
      <c r="F425" s="1662" t="s">
        <v>2654</v>
      </c>
      <c r="G425" s="1662" t="s">
        <v>2628</v>
      </c>
      <c r="H425" s="1662" t="s">
        <v>2613</v>
      </c>
      <c r="I425" s="1662" t="s">
        <v>821</v>
      </c>
      <c r="J425" s="1662" t="s">
        <v>234</v>
      </c>
      <c r="K425" s="1662" t="s">
        <v>2159</v>
      </c>
      <c r="L425" s="1662" t="s">
        <v>2109</v>
      </c>
      <c r="M425" s="1663"/>
      <c r="N425" s="1663"/>
      <c r="O425" s="1663"/>
      <c r="P425" s="1663"/>
      <c r="Q425" s="1663"/>
      <c r="R425" s="1663"/>
      <c r="S425" s="1663"/>
      <c r="T425" s="1663"/>
      <c r="U425" s="1663"/>
      <c r="V425" s="1663"/>
      <c r="W425" s="1663"/>
      <c r="X425" s="1663"/>
      <c r="Y425" s="1664">
        <v>43159</v>
      </c>
      <c r="Z425" s="1662" t="s">
        <v>2110</v>
      </c>
      <c r="AA425" s="1665">
        <v>0</v>
      </c>
      <c r="AB425" s="1665">
        <v>0</v>
      </c>
      <c r="AC425" s="1680">
        <v>0</v>
      </c>
      <c r="AD425" s="1682">
        <v>43193</v>
      </c>
      <c r="AE425" s="1679" t="s">
        <v>2114</v>
      </c>
      <c r="AF425" s="1662" t="s">
        <v>2112</v>
      </c>
      <c r="AG425" s="1666"/>
      <c r="AH425" s="1667">
        <v>7058.82</v>
      </c>
      <c r="AI425" s="1665">
        <v>7058.82</v>
      </c>
      <c r="AJ425" s="1665">
        <v>5979.26</v>
      </c>
      <c r="AK425" s="1698">
        <v>5979.26</v>
      </c>
      <c r="AL425" s="1665">
        <v>0</v>
      </c>
      <c r="AM425" s="1664">
        <v>43193</v>
      </c>
      <c r="AN425" s="1665">
        <v>7058.82</v>
      </c>
      <c r="AO425" s="1665">
        <v>7058.82</v>
      </c>
      <c r="AP425" s="1665">
        <v>5979.26</v>
      </c>
      <c r="AQ425" s="1665">
        <v>5979.26</v>
      </c>
      <c r="AR425" s="1665">
        <v>0</v>
      </c>
      <c r="AS425" s="1665">
        <v>1079.56</v>
      </c>
      <c r="AT425" s="1665">
        <v>0</v>
      </c>
      <c r="AU425" s="1665">
        <v>1079.56</v>
      </c>
      <c r="AV425" s="1665">
        <v>0</v>
      </c>
      <c r="AW425" s="1665">
        <v>0</v>
      </c>
      <c r="AX425" s="1663"/>
      <c r="AY425" s="1663"/>
      <c r="AZ425" s="1663"/>
      <c r="BA425" s="1668"/>
      <c r="BB425" s="1668"/>
      <c r="BC425" s="1663"/>
      <c r="BD425" s="1663"/>
      <c r="BE425" s="1665">
        <v>7058.82</v>
      </c>
      <c r="BF425" s="1665">
        <v>7058.82</v>
      </c>
      <c r="BG425" s="1665">
        <v>5979.26</v>
      </c>
      <c r="BH425" s="1665">
        <v>5979.26</v>
      </c>
      <c r="BI425" s="1665">
        <v>0</v>
      </c>
      <c r="BJ425" s="1665">
        <v>1079.56</v>
      </c>
      <c r="BK425" s="1665">
        <v>0</v>
      </c>
      <c r="BL425" s="1665">
        <v>1079.56</v>
      </c>
      <c r="BM425" s="1665">
        <v>0</v>
      </c>
      <c r="BN425" s="1665">
        <v>0</v>
      </c>
      <c r="BO425" s="1664">
        <v>43364</v>
      </c>
      <c r="BP425" s="1665">
        <v>7058.82</v>
      </c>
      <c r="BQ425" s="1665">
        <v>7058.82</v>
      </c>
      <c r="BR425" s="1665">
        <v>5979.26</v>
      </c>
      <c r="BS425" s="1667">
        <v>5979.26</v>
      </c>
      <c r="BT425" s="1665">
        <v>0</v>
      </c>
      <c r="BU425" s="1665">
        <v>1079.56</v>
      </c>
      <c r="BV425" s="1665">
        <v>0</v>
      </c>
      <c r="BW425" s="1665">
        <v>0</v>
      </c>
      <c r="BX425" s="1665">
        <v>0</v>
      </c>
      <c r="BY425" s="1665">
        <v>0</v>
      </c>
      <c r="BZ425" s="1665">
        <v>0</v>
      </c>
      <c r="CA425" s="1663"/>
      <c r="CB425" s="1668"/>
      <c r="CC425" s="1668"/>
      <c r="CD425" s="1663"/>
      <c r="CE425" s="1663"/>
      <c r="CF425" s="1665">
        <v>0</v>
      </c>
      <c r="CG425" s="1665">
        <v>0</v>
      </c>
      <c r="CH425" s="1665">
        <v>0</v>
      </c>
      <c r="CI425" s="1665">
        <v>0</v>
      </c>
      <c r="CJ425" s="1665">
        <v>0</v>
      </c>
      <c r="CK425" s="1665">
        <v>0</v>
      </c>
      <c r="CL425" s="1668"/>
      <c r="CM425" s="1665">
        <v>0</v>
      </c>
      <c r="CN425" s="1665">
        <v>0</v>
      </c>
      <c r="CO425" s="1665">
        <v>0</v>
      </c>
      <c r="CP425" s="1665">
        <v>0</v>
      </c>
      <c r="CQ425" s="1665">
        <v>0</v>
      </c>
      <c r="CR425" s="1665">
        <v>0</v>
      </c>
      <c r="CS425" s="1665">
        <v>0</v>
      </c>
      <c r="CT425" s="1665">
        <v>0</v>
      </c>
      <c r="CU425" s="1665">
        <v>0</v>
      </c>
      <c r="CV425" s="1665">
        <v>0</v>
      </c>
      <c r="CW425" s="1668"/>
      <c r="CX425" s="1663"/>
      <c r="CY425" s="1663"/>
      <c r="CZ425" s="1663"/>
      <c r="DA425" s="1663"/>
      <c r="DB425" s="1668"/>
      <c r="DC425" s="1662"/>
      <c r="DD425" s="1665">
        <v>0</v>
      </c>
      <c r="DE425" s="1663"/>
      <c r="DF425" s="1663"/>
      <c r="DG425" s="1665">
        <v>0</v>
      </c>
      <c r="DH425" s="1665">
        <v>0</v>
      </c>
    </row>
    <row r="426" spans="1:112" ht="56.25" hidden="1" x14ac:dyDescent="0.25">
      <c r="A426" s="1662" t="s">
        <v>2531</v>
      </c>
      <c r="B426" s="1662" t="s">
        <v>1729</v>
      </c>
      <c r="C426" s="1662" t="s">
        <v>2652</v>
      </c>
      <c r="D426" s="1662" t="s">
        <v>2653</v>
      </c>
      <c r="E426" s="1662" t="s">
        <v>2516</v>
      </c>
      <c r="F426" s="1662" t="s">
        <v>2654</v>
      </c>
      <c r="G426" s="1662" t="s">
        <v>2628</v>
      </c>
      <c r="H426" s="1662" t="s">
        <v>2613</v>
      </c>
      <c r="I426" s="1662" t="s">
        <v>821</v>
      </c>
      <c r="J426" s="1662" t="s">
        <v>234</v>
      </c>
      <c r="K426" s="1662" t="s">
        <v>2159</v>
      </c>
      <c r="L426" s="1662" t="s">
        <v>2109</v>
      </c>
      <c r="M426" s="1663"/>
      <c r="N426" s="1663"/>
      <c r="O426" s="1663"/>
      <c r="P426" s="1663"/>
      <c r="Q426" s="1663"/>
      <c r="R426" s="1663"/>
      <c r="S426" s="1663"/>
      <c r="T426" s="1663"/>
      <c r="U426" s="1663"/>
      <c r="V426" s="1663"/>
      <c r="W426" s="1663"/>
      <c r="X426" s="1663"/>
      <c r="Y426" s="1664">
        <v>43213</v>
      </c>
      <c r="Z426" s="1662" t="s">
        <v>2145</v>
      </c>
      <c r="AA426" s="1665">
        <v>0</v>
      </c>
      <c r="AB426" s="1665">
        <v>0</v>
      </c>
      <c r="AC426" s="1680">
        <v>0</v>
      </c>
      <c r="AD426" s="1682">
        <v>43222</v>
      </c>
      <c r="AE426" s="1679" t="s">
        <v>2128</v>
      </c>
      <c r="AF426" s="1662" t="s">
        <v>2112</v>
      </c>
      <c r="AG426" s="1666"/>
      <c r="AH426" s="1667">
        <v>15000</v>
      </c>
      <c r="AI426" s="1665">
        <v>15000</v>
      </c>
      <c r="AJ426" s="1665">
        <v>15000</v>
      </c>
      <c r="AK426" s="1698">
        <v>15000</v>
      </c>
      <c r="AL426" s="1665">
        <v>0</v>
      </c>
      <c r="AM426" s="1668"/>
      <c r="AN426" s="1665">
        <v>0</v>
      </c>
      <c r="AO426" s="1665">
        <v>0</v>
      </c>
      <c r="AP426" s="1665">
        <v>0</v>
      </c>
      <c r="AQ426" s="1665">
        <v>0</v>
      </c>
      <c r="AR426" s="1665">
        <v>0</v>
      </c>
      <c r="AS426" s="1665">
        <v>0</v>
      </c>
      <c r="AT426" s="1665">
        <v>0</v>
      </c>
      <c r="AU426" s="1665">
        <v>0</v>
      </c>
      <c r="AV426" s="1665">
        <v>0</v>
      </c>
      <c r="AW426" s="1665">
        <v>0</v>
      </c>
      <c r="AX426" s="1663"/>
      <c r="AY426" s="1663"/>
      <c r="AZ426" s="1663"/>
      <c r="BA426" s="1668"/>
      <c r="BB426" s="1668"/>
      <c r="BC426" s="1663"/>
      <c r="BD426" s="1663"/>
      <c r="BE426" s="1665">
        <v>0</v>
      </c>
      <c r="BF426" s="1665">
        <v>0</v>
      </c>
      <c r="BG426" s="1665">
        <v>0</v>
      </c>
      <c r="BH426" s="1665">
        <v>0</v>
      </c>
      <c r="BI426" s="1665">
        <v>0</v>
      </c>
      <c r="BJ426" s="1665">
        <v>0</v>
      </c>
      <c r="BK426" s="1665">
        <v>0</v>
      </c>
      <c r="BL426" s="1665">
        <v>0</v>
      </c>
      <c r="BM426" s="1665">
        <v>0</v>
      </c>
      <c r="BN426" s="1665">
        <v>0</v>
      </c>
      <c r="BO426" s="1668"/>
      <c r="BP426" s="1665">
        <v>0</v>
      </c>
      <c r="BQ426" s="1665">
        <v>0</v>
      </c>
      <c r="BR426" s="1665">
        <v>0</v>
      </c>
      <c r="BS426" s="1667">
        <v>0</v>
      </c>
      <c r="BT426" s="1665">
        <v>0</v>
      </c>
      <c r="BU426" s="1665">
        <v>0</v>
      </c>
      <c r="BV426" s="1665">
        <v>0</v>
      </c>
      <c r="BW426" s="1665">
        <v>0</v>
      </c>
      <c r="BX426" s="1665">
        <v>0</v>
      </c>
      <c r="BY426" s="1665">
        <v>0</v>
      </c>
      <c r="BZ426" s="1663"/>
      <c r="CA426" s="1663"/>
      <c r="CB426" s="1668"/>
      <c r="CC426" s="1668"/>
      <c r="CD426" s="1663"/>
      <c r="CE426" s="1663"/>
      <c r="CF426" s="1665">
        <v>0</v>
      </c>
      <c r="CG426" s="1665">
        <v>0</v>
      </c>
      <c r="CH426" s="1665">
        <v>0</v>
      </c>
      <c r="CI426" s="1665">
        <v>0</v>
      </c>
      <c r="CJ426" s="1665">
        <v>0</v>
      </c>
      <c r="CK426" s="1665">
        <v>0</v>
      </c>
      <c r="CL426" s="1668"/>
      <c r="CM426" s="1665">
        <v>0</v>
      </c>
      <c r="CN426" s="1665">
        <v>0</v>
      </c>
      <c r="CO426" s="1665">
        <v>0</v>
      </c>
      <c r="CP426" s="1665">
        <v>0</v>
      </c>
      <c r="CQ426" s="1665">
        <v>0</v>
      </c>
      <c r="CR426" s="1665">
        <v>0</v>
      </c>
      <c r="CS426" s="1665">
        <v>0</v>
      </c>
      <c r="CT426" s="1665">
        <v>0</v>
      </c>
      <c r="CU426" s="1665">
        <v>0</v>
      </c>
      <c r="CV426" s="1665">
        <v>0</v>
      </c>
      <c r="CW426" s="1668"/>
      <c r="CX426" s="1663"/>
      <c r="CY426" s="1663"/>
      <c r="CZ426" s="1663"/>
      <c r="DA426" s="1663"/>
      <c r="DB426" s="1668"/>
      <c r="DC426" s="1662"/>
      <c r="DD426" s="1665">
        <v>0</v>
      </c>
      <c r="DE426" s="1663"/>
      <c r="DF426" s="1663"/>
      <c r="DG426" s="1665">
        <v>0</v>
      </c>
      <c r="DH426" s="1665">
        <v>0</v>
      </c>
    </row>
    <row r="427" spans="1:112" ht="56.25" hidden="1" x14ac:dyDescent="0.25">
      <c r="A427" s="1662" t="s">
        <v>2532</v>
      </c>
      <c r="B427" s="1662" t="s">
        <v>1729</v>
      </c>
      <c r="C427" s="1662" t="s">
        <v>2652</v>
      </c>
      <c r="D427" s="1662" t="s">
        <v>2653</v>
      </c>
      <c r="E427" s="1662" t="s">
        <v>2516</v>
      </c>
      <c r="F427" s="1662" t="s">
        <v>2654</v>
      </c>
      <c r="G427" s="1662" t="s">
        <v>2628</v>
      </c>
      <c r="H427" s="1662" t="s">
        <v>2613</v>
      </c>
      <c r="I427" s="1662" t="s">
        <v>821</v>
      </c>
      <c r="J427" s="1662" t="s">
        <v>234</v>
      </c>
      <c r="K427" s="1662" t="s">
        <v>2159</v>
      </c>
      <c r="L427" s="1662" t="s">
        <v>2109</v>
      </c>
      <c r="M427" s="1663"/>
      <c r="N427" s="1663"/>
      <c r="O427" s="1663"/>
      <c r="P427" s="1663"/>
      <c r="Q427" s="1663"/>
      <c r="R427" s="1663"/>
      <c r="S427" s="1663"/>
      <c r="T427" s="1663"/>
      <c r="U427" s="1663"/>
      <c r="V427" s="1663"/>
      <c r="W427" s="1663"/>
      <c r="X427" s="1663"/>
      <c r="Y427" s="1664">
        <v>43245</v>
      </c>
      <c r="Z427" s="1662" t="s">
        <v>2110</v>
      </c>
      <c r="AA427" s="1665">
        <v>0</v>
      </c>
      <c r="AB427" s="1665">
        <v>0</v>
      </c>
      <c r="AC427" s="1680">
        <v>0</v>
      </c>
      <c r="AD427" s="1682">
        <v>43273</v>
      </c>
      <c r="AE427" s="1679" t="s">
        <v>2129</v>
      </c>
      <c r="AF427" s="1662" t="s">
        <v>2112</v>
      </c>
      <c r="AG427" s="1666"/>
      <c r="AH427" s="1667">
        <v>8372.59</v>
      </c>
      <c r="AI427" s="1665">
        <v>8372.59</v>
      </c>
      <c r="AJ427" s="1665">
        <v>7092.1</v>
      </c>
      <c r="AK427" s="1698">
        <v>7092.1</v>
      </c>
      <c r="AL427" s="1665">
        <v>0</v>
      </c>
      <c r="AM427" s="1664">
        <v>43273</v>
      </c>
      <c r="AN427" s="1665">
        <v>8372.59</v>
      </c>
      <c r="AO427" s="1665">
        <v>8372.59</v>
      </c>
      <c r="AP427" s="1665">
        <v>7092.1</v>
      </c>
      <c r="AQ427" s="1665">
        <v>7092.1</v>
      </c>
      <c r="AR427" s="1665">
        <v>0</v>
      </c>
      <c r="AS427" s="1665">
        <v>1280.49</v>
      </c>
      <c r="AT427" s="1665">
        <v>0</v>
      </c>
      <c r="AU427" s="1665">
        <v>1280.49</v>
      </c>
      <c r="AV427" s="1665">
        <v>0</v>
      </c>
      <c r="AW427" s="1665">
        <v>0</v>
      </c>
      <c r="AX427" s="1663"/>
      <c r="AY427" s="1663"/>
      <c r="AZ427" s="1663"/>
      <c r="BA427" s="1668"/>
      <c r="BB427" s="1668"/>
      <c r="BC427" s="1663"/>
      <c r="BD427" s="1663"/>
      <c r="BE427" s="1665">
        <v>8372.59</v>
      </c>
      <c r="BF427" s="1665">
        <v>8372.59</v>
      </c>
      <c r="BG427" s="1665">
        <v>7092.1</v>
      </c>
      <c r="BH427" s="1665">
        <v>7092.1</v>
      </c>
      <c r="BI427" s="1665">
        <v>0</v>
      </c>
      <c r="BJ427" s="1665">
        <v>1280.49</v>
      </c>
      <c r="BK427" s="1665">
        <v>0</v>
      </c>
      <c r="BL427" s="1665">
        <v>1280.49</v>
      </c>
      <c r="BM427" s="1665">
        <v>0</v>
      </c>
      <c r="BN427" s="1665">
        <v>0</v>
      </c>
      <c r="BO427" s="1664">
        <v>43364</v>
      </c>
      <c r="BP427" s="1665">
        <v>8372.59</v>
      </c>
      <c r="BQ427" s="1665">
        <v>8372.59</v>
      </c>
      <c r="BR427" s="1665">
        <v>7092.1</v>
      </c>
      <c r="BS427" s="1667">
        <v>7092.1</v>
      </c>
      <c r="BT427" s="1665">
        <v>0</v>
      </c>
      <c r="BU427" s="1665">
        <v>1280.49</v>
      </c>
      <c r="BV427" s="1665">
        <v>0</v>
      </c>
      <c r="BW427" s="1665">
        <v>0</v>
      </c>
      <c r="BX427" s="1665">
        <v>0</v>
      </c>
      <c r="BY427" s="1665">
        <v>0</v>
      </c>
      <c r="BZ427" s="1665">
        <v>0</v>
      </c>
      <c r="CA427" s="1663"/>
      <c r="CB427" s="1668"/>
      <c r="CC427" s="1668"/>
      <c r="CD427" s="1663"/>
      <c r="CE427" s="1663"/>
      <c r="CF427" s="1665">
        <v>0</v>
      </c>
      <c r="CG427" s="1665">
        <v>0</v>
      </c>
      <c r="CH427" s="1665">
        <v>0</v>
      </c>
      <c r="CI427" s="1665">
        <v>0</v>
      </c>
      <c r="CJ427" s="1665">
        <v>0</v>
      </c>
      <c r="CK427" s="1665">
        <v>0</v>
      </c>
      <c r="CL427" s="1668"/>
      <c r="CM427" s="1665">
        <v>0</v>
      </c>
      <c r="CN427" s="1665">
        <v>0</v>
      </c>
      <c r="CO427" s="1665">
        <v>0</v>
      </c>
      <c r="CP427" s="1665">
        <v>0</v>
      </c>
      <c r="CQ427" s="1665">
        <v>0</v>
      </c>
      <c r="CR427" s="1665">
        <v>0</v>
      </c>
      <c r="CS427" s="1665">
        <v>0</v>
      </c>
      <c r="CT427" s="1665">
        <v>0</v>
      </c>
      <c r="CU427" s="1665">
        <v>0</v>
      </c>
      <c r="CV427" s="1665">
        <v>0</v>
      </c>
      <c r="CW427" s="1668"/>
      <c r="CX427" s="1663"/>
      <c r="CY427" s="1663"/>
      <c r="CZ427" s="1663"/>
      <c r="DA427" s="1663"/>
      <c r="DB427" s="1668"/>
      <c r="DC427" s="1662"/>
      <c r="DD427" s="1665">
        <v>0</v>
      </c>
      <c r="DE427" s="1663"/>
      <c r="DF427" s="1663"/>
      <c r="DG427" s="1665">
        <v>0</v>
      </c>
      <c r="DH427" s="1665">
        <v>0</v>
      </c>
    </row>
    <row r="428" spans="1:112" ht="56.25" hidden="1" x14ac:dyDescent="0.25">
      <c r="A428" s="1662" t="s">
        <v>2534</v>
      </c>
      <c r="B428" s="1662" t="s">
        <v>1729</v>
      </c>
      <c r="C428" s="1662" t="s">
        <v>2652</v>
      </c>
      <c r="D428" s="1662" t="s">
        <v>2653</v>
      </c>
      <c r="E428" s="1662" t="s">
        <v>2516</v>
      </c>
      <c r="F428" s="1662" t="s">
        <v>2654</v>
      </c>
      <c r="G428" s="1662" t="s">
        <v>2628</v>
      </c>
      <c r="H428" s="1662" t="s">
        <v>2613</v>
      </c>
      <c r="I428" s="1662" t="s">
        <v>821</v>
      </c>
      <c r="J428" s="1662" t="s">
        <v>234</v>
      </c>
      <c r="K428" s="1662" t="s">
        <v>2159</v>
      </c>
      <c r="L428" s="1662" t="s">
        <v>2109</v>
      </c>
      <c r="M428" s="1663"/>
      <c r="N428" s="1663"/>
      <c r="O428" s="1663"/>
      <c r="P428" s="1663"/>
      <c r="Q428" s="1663"/>
      <c r="R428" s="1663"/>
      <c r="S428" s="1663"/>
      <c r="T428" s="1663"/>
      <c r="U428" s="1663"/>
      <c r="V428" s="1663"/>
      <c r="W428" s="1663"/>
      <c r="X428" s="1663"/>
      <c r="Y428" s="1664">
        <v>43332</v>
      </c>
      <c r="Z428" s="1662" t="s">
        <v>2110</v>
      </c>
      <c r="AA428" s="1665">
        <v>0</v>
      </c>
      <c r="AB428" s="1665">
        <v>0</v>
      </c>
      <c r="AC428" s="1680">
        <v>0</v>
      </c>
      <c r="AD428" s="1682">
        <v>43363</v>
      </c>
      <c r="AE428" s="1679" t="s">
        <v>2130</v>
      </c>
      <c r="AF428" s="1662" t="s">
        <v>2115</v>
      </c>
      <c r="AG428" s="1666"/>
      <c r="AH428" s="1667">
        <v>1388.07</v>
      </c>
      <c r="AI428" s="1665">
        <v>1388.07</v>
      </c>
      <c r="AJ428" s="1665">
        <v>1175.79</v>
      </c>
      <c r="AK428" s="1698">
        <v>1175.79</v>
      </c>
      <c r="AL428" s="1665">
        <v>0</v>
      </c>
      <c r="AM428" s="1664">
        <v>43368</v>
      </c>
      <c r="AN428" s="1665">
        <v>1388.07</v>
      </c>
      <c r="AO428" s="1665">
        <v>1388.07</v>
      </c>
      <c r="AP428" s="1665">
        <v>1175.79</v>
      </c>
      <c r="AQ428" s="1665">
        <v>1175.79</v>
      </c>
      <c r="AR428" s="1665">
        <v>0</v>
      </c>
      <c r="AS428" s="1665">
        <v>212.28</v>
      </c>
      <c r="AT428" s="1665">
        <v>0</v>
      </c>
      <c r="AU428" s="1665">
        <v>212.28</v>
      </c>
      <c r="AV428" s="1665">
        <v>0</v>
      </c>
      <c r="AW428" s="1665">
        <v>0</v>
      </c>
      <c r="AX428" s="1663"/>
      <c r="AY428" s="1663"/>
      <c r="AZ428" s="1663"/>
      <c r="BA428" s="1668"/>
      <c r="BB428" s="1668"/>
      <c r="BC428" s="1663"/>
      <c r="BD428" s="1663"/>
      <c r="BE428" s="1665">
        <v>1388.07</v>
      </c>
      <c r="BF428" s="1665">
        <v>1388.07</v>
      </c>
      <c r="BG428" s="1665">
        <v>1175.79</v>
      </c>
      <c r="BH428" s="1665">
        <v>1175.79</v>
      </c>
      <c r="BI428" s="1665">
        <v>0</v>
      </c>
      <c r="BJ428" s="1665">
        <v>212.28</v>
      </c>
      <c r="BK428" s="1665">
        <v>0</v>
      </c>
      <c r="BL428" s="1665">
        <v>212.28</v>
      </c>
      <c r="BM428" s="1665">
        <v>0</v>
      </c>
      <c r="BN428" s="1665">
        <v>0</v>
      </c>
      <c r="BO428" s="1668"/>
      <c r="BP428" s="1665">
        <v>0</v>
      </c>
      <c r="BQ428" s="1665">
        <v>0</v>
      </c>
      <c r="BR428" s="1665">
        <v>0</v>
      </c>
      <c r="BS428" s="1667">
        <v>0</v>
      </c>
      <c r="BT428" s="1665">
        <v>0</v>
      </c>
      <c r="BU428" s="1665">
        <v>0</v>
      </c>
      <c r="BV428" s="1665">
        <v>0</v>
      </c>
      <c r="BW428" s="1665">
        <v>0</v>
      </c>
      <c r="BX428" s="1665">
        <v>0</v>
      </c>
      <c r="BY428" s="1665">
        <v>0</v>
      </c>
      <c r="BZ428" s="1665">
        <v>0</v>
      </c>
      <c r="CA428" s="1663"/>
      <c r="CB428" s="1668"/>
      <c r="CC428" s="1668"/>
      <c r="CD428" s="1663"/>
      <c r="CE428" s="1663"/>
      <c r="CF428" s="1665">
        <v>0</v>
      </c>
      <c r="CG428" s="1665">
        <v>0</v>
      </c>
      <c r="CH428" s="1665">
        <v>0</v>
      </c>
      <c r="CI428" s="1665">
        <v>0</v>
      </c>
      <c r="CJ428" s="1665">
        <v>0</v>
      </c>
      <c r="CK428" s="1665">
        <v>0</v>
      </c>
      <c r="CL428" s="1668"/>
      <c r="CM428" s="1665">
        <v>0</v>
      </c>
      <c r="CN428" s="1665">
        <v>0</v>
      </c>
      <c r="CO428" s="1665">
        <v>0</v>
      </c>
      <c r="CP428" s="1665">
        <v>0</v>
      </c>
      <c r="CQ428" s="1665">
        <v>0</v>
      </c>
      <c r="CR428" s="1665">
        <v>0</v>
      </c>
      <c r="CS428" s="1665">
        <v>0</v>
      </c>
      <c r="CT428" s="1665">
        <v>0</v>
      </c>
      <c r="CU428" s="1665">
        <v>0</v>
      </c>
      <c r="CV428" s="1665">
        <v>0</v>
      </c>
      <c r="CW428" s="1668"/>
      <c r="CX428" s="1663"/>
      <c r="CY428" s="1663"/>
      <c r="CZ428" s="1663"/>
      <c r="DA428" s="1663"/>
      <c r="DB428" s="1668"/>
      <c r="DC428" s="1662"/>
      <c r="DD428" s="1665">
        <v>0</v>
      </c>
      <c r="DE428" s="1663"/>
      <c r="DF428" s="1663"/>
      <c r="DG428" s="1665">
        <v>0</v>
      </c>
      <c r="DH428" s="1665">
        <v>0</v>
      </c>
    </row>
    <row r="429" spans="1:112" ht="56.25" hidden="1" x14ac:dyDescent="0.25">
      <c r="A429" s="1662" t="s">
        <v>2535</v>
      </c>
      <c r="B429" s="1662" t="s">
        <v>1729</v>
      </c>
      <c r="C429" s="1662" t="s">
        <v>2652</v>
      </c>
      <c r="D429" s="1662" t="s">
        <v>2653</v>
      </c>
      <c r="E429" s="1662" t="s">
        <v>2516</v>
      </c>
      <c r="F429" s="1662" t="s">
        <v>2654</v>
      </c>
      <c r="G429" s="1662" t="s">
        <v>2628</v>
      </c>
      <c r="H429" s="1662" t="s">
        <v>2613</v>
      </c>
      <c r="I429" s="1662" t="s">
        <v>821</v>
      </c>
      <c r="J429" s="1662" t="s">
        <v>234</v>
      </c>
      <c r="K429" s="1662" t="s">
        <v>2159</v>
      </c>
      <c r="L429" s="1662" t="s">
        <v>2109</v>
      </c>
      <c r="M429" s="1663"/>
      <c r="N429" s="1663"/>
      <c r="O429" s="1663"/>
      <c r="P429" s="1663"/>
      <c r="Q429" s="1663"/>
      <c r="R429" s="1663"/>
      <c r="S429" s="1663"/>
      <c r="T429" s="1663"/>
      <c r="U429" s="1663"/>
      <c r="V429" s="1663"/>
      <c r="W429" s="1663"/>
      <c r="X429" s="1663"/>
      <c r="Y429" s="1664">
        <v>43332</v>
      </c>
      <c r="Z429" s="1662" t="s">
        <v>2110</v>
      </c>
      <c r="AA429" s="1665">
        <v>0</v>
      </c>
      <c r="AB429" s="1665">
        <v>0</v>
      </c>
      <c r="AC429" s="1680">
        <v>0</v>
      </c>
      <c r="AD429" s="1682">
        <v>43363</v>
      </c>
      <c r="AE429" s="1679" t="s">
        <v>2130</v>
      </c>
      <c r="AF429" s="1662" t="s">
        <v>2112</v>
      </c>
      <c r="AG429" s="1666"/>
      <c r="AH429" s="1667">
        <v>19338.919999999998</v>
      </c>
      <c r="AI429" s="1665">
        <v>19338.919999999998</v>
      </c>
      <c r="AJ429" s="1665">
        <v>16381.27</v>
      </c>
      <c r="AK429" s="1698">
        <v>16381.27</v>
      </c>
      <c r="AL429" s="1665">
        <v>0</v>
      </c>
      <c r="AM429" s="1664">
        <v>43363</v>
      </c>
      <c r="AN429" s="1665">
        <v>19338.919999999998</v>
      </c>
      <c r="AO429" s="1665">
        <v>19338.919999999998</v>
      </c>
      <c r="AP429" s="1665">
        <v>16381.27</v>
      </c>
      <c r="AQ429" s="1665">
        <v>16381.27</v>
      </c>
      <c r="AR429" s="1665">
        <v>0</v>
      </c>
      <c r="AS429" s="1665">
        <v>2957.65</v>
      </c>
      <c r="AT429" s="1665">
        <v>0</v>
      </c>
      <c r="AU429" s="1665">
        <v>2957.65</v>
      </c>
      <c r="AV429" s="1665">
        <v>0</v>
      </c>
      <c r="AW429" s="1665">
        <v>0</v>
      </c>
      <c r="AX429" s="1663"/>
      <c r="AY429" s="1663"/>
      <c r="AZ429" s="1663"/>
      <c r="BA429" s="1668"/>
      <c r="BB429" s="1668"/>
      <c r="BC429" s="1663"/>
      <c r="BD429" s="1663"/>
      <c r="BE429" s="1665">
        <v>19338.919999999998</v>
      </c>
      <c r="BF429" s="1665">
        <v>19338.919999999998</v>
      </c>
      <c r="BG429" s="1665">
        <v>16381.27</v>
      </c>
      <c r="BH429" s="1665">
        <v>16381.27</v>
      </c>
      <c r="BI429" s="1665">
        <v>0</v>
      </c>
      <c r="BJ429" s="1665">
        <v>2957.65</v>
      </c>
      <c r="BK429" s="1665">
        <v>0</v>
      </c>
      <c r="BL429" s="1665">
        <v>2957.65</v>
      </c>
      <c r="BM429" s="1665">
        <v>0</v>
      </c>
      <c r="BN429" s="1665">
        <v>0</v>
      </c>
      <c r="BO429" s="1668"/>
      <c r="BP429" s="1665">
        <v>0</v>
      </c>
      <c r="BQ429" s="1665">
        <v>0</v>
      </c>
      <c r="BR429" s="1665">
        <v>0</v>
      </c>
      <c r="BS429" s="1667">
        <v>0</v>
      </c>
      <c r="BT429" s="1665">
        <v>0</v>
      </c>
      <c r="BU429" s="1665">
        <v>0</v>
      </c>
      <c r="BV429" s="1665">
        <v>0</v>
      </c>
      <c r="BW429" s="1665">
        <v>0</v>
      </c>
      <c r="BX429" s="1665">
        <v>0</v>
      </c>
      <c r="BY429" s="1665">
        <v>0</v>
      </c>
      <c r="BZ429" s="1665">
        <v>0</v>
      </c>
      <c r="CA429" s="1663"/>
      <c r="CB429" s="1668"/>
      <c r="CC429" s="1668"/>
      <c r="CD429" s="1663"/>
      <c r="CE429" s="1663"/>
      <c r="CF429" s="1665">
        <v>0</v>
      </c>
      <c r="CG429" s="1665">
        <v>0</v>
      </c>
      <c r="CH429" s="1665">
        <v>0</v>
      </c>
      <c r="CI429" s="1665">
        <v>0</v>
      </c>
      <c r="CJ429" s="1665">
        <v>0</v>
      </c>
      <c r="CK429" s="1665">
        <v>0</v>
      </c>
      <c r="CL429" s="1668"/>
      <c r="CM429" s="1665">
        <v>0</v>
      </c>
      <c r="CN429" s="1665">
        <v>0</v>
      </c>
      <c r="CO429" s="1665">
        <v>0</v>
      </c>
      <c r="CP429" s="1665">
        <v>0</v>
      </c>
      <c r="CQ429" s="1665">
        <v>0</v>
      </c>
      <c r="CR429" s="1665">
        <v>0</v>
      </c>
      <c r="CS429" s="1665">
        <v>0</v>
      </c>
      <c r="CT429" s="1665">
        <v>0</v>
      </c>
      <c r="CU429" s="1665">
        <v>0</v>
      </c>
      <c r="CV429" s="1665">
        <v>0</v>
      </c>
      <c r="CW429" s="1668"/>
      <c r="CX429" s="1663"/>
      <c r="CY429" s="1663"/>
      <c r="CZ429" s="1663"/>
      <c r="DA429" s="1663"/>
      <c r="DB429" s="1668"/>
      <c r="DC429" s="1662"/>
      <c r="DD429" s="1665">
        <v>0</v>
      </c>
      <c r="DE429" s="1663"/>
      <c r="DF429" s="1663"/>
      <c r="DG429" s="1665">
        <v>0</v>
      </c>
      <c r="DH429" s="1665">
        <v>0</v>
      </c>
    </row>
    <row r="430" spans="1:112" ht="67.5" hidden="1" x14ac:dyDescent="0.25">
      <c r="A430" s="1662" t="s">
        <v>2536</v>
      </c>
      <c r="B430" s="1662" t="s">
        <v>1729</v>
      </c>
      <c r="C430" s="1662" t="s">
        <v>2652</v>
      </c>
      <c r="D430" s="1662" t="s">
        <v>2653</v>
      </c>
      <c r="E430" s="1662" t="s">
        <v>2516</v>
      </c>
      <c r="F430" s="1662" t="s">
        <v>2654</v>
      </c>
      <c r="G430" s="1662" t="s">
        <v>2628</v>
      </c>
      <c r="H430" s="1662" t="s">
        <v>2613</v>
      </c>
      <c r="I430" s="1662" t="s">
        <v>824</v>
      </c>
      <c r="J430" s="1662" t="s">
        <v>2533</v>
      </c>
      <c r="K430" s="1662" t="s">
        <v>2108</v>
      </c>
      <c r="L430" s="1662" t="s">
        <v>2109</v>
      </c>
      <c r="M430" s="1665">
        <v>437551</v>
      </c>
      <c r="N430" s="1665">
        <v>0</v>
      </c>
      <c r="O430" s="1665">
        <v>437551</v>
      </c>
      <c r="P430" s="1665">
        <v>437551</v>
      </c>
      <c r="Q430" s="1665">
        <v>371918</v>
      </c>
      <c r="R430" s="1665">
        <v>371918</v>
      </c>
      <c r="S430" s="1665">
        <v>0</v>
      </c>
      <c r="T430" s="1665">
        <v>65633</v>
      </c>
      <c r="U430" s="1665">
        <v>0</v>
      </c>
      <c r="V430" s="1665">
        <v>65633</v>
      </c>
      <c r="W430" s="1665">
        <v>0</v>
      </c>
      <c r="X430" s="1665">
        <v>0</v>
      </c>
      <c r="Y430" s="1668"/>
      <c r="Z430" s="1662"/>
      <c r="AA430" s="1665">
        <v>0</v>
      </c>
      <c r="AB430" s="1665">
        <v>0</v>
      </c>
      <c r="AC430" s="1680">
        <v>0</v>
      </c>
      <c r="AD430" s="1681"/>
      <c r="AE430" s="1679"/>
      <c r="AF430" s="1662"/>
      <c r="AG430" s="1666"/>
      <c r="AH430" s="1667">
        <v>22355</v>
      </c>
      <c r="AI430" s="1665">
        <v>22355</v>
      </c>
      <c r="AJ430" s="1665">
        <v>21596.75</v>
      </c>
      <c r="AK430" s="1698">
        <v>21596.75</v>
      </c>
      <c r="AL430" s="1665">
        <v>0</v>
      </c>
      <c r="AM430" s="1668"/>
      <c r="AN430" s="1665">
        <v>5055</v>
      </c>
      <c r="AO430" s="1665">
        <v>5055</v>
      </c>
      <c r="AP430" s="1665">
        <v>4296.75</v>
      </c>
      <c r="AQ430" s="1665">
        <v>4296.75</v>
      </c>
      <c r="AR430" s="1665">
        <v>0</v>
      </c>
      <c r="AS430" s="1665">
        <v>758.25</v>
      </c>
      <c r="AT430" s="1665">
        <v>0</v>
      </c>
      <c r="AU430" s="1665">
        <v>758.25</v>
      </c>
      <c r="AV430" s="1665">
        <v>0</v>
      </c>
      <c r="AW430" s="1665">
        <v>0</v>
      </c>
      <c r="AX430" s="1665">
        <v>0</v>
      </c>
      <c r="AY430" s="1665">
        <v>0</v>
      </c>
      <c r="AZ430" s="1665">
        <v>0</v>
      </c>
      <c r="BA430" s="1668"/>
      <c r="BB430" s="1668"/>
      <c r="BC430" s="1665">
        <v>0</v>
      </c>
      <c r="BD430" s="1665">
        <v>0</v>
      </c>
      <c r="BE430" s="1665">
        <v>5055</v>
      </c>
      <c r="BF430" s="1665">
        <v>5055</v>
      </c>
      <c r="BG430" s="1665">
        <v>4296.75</v>
      </c>
      <c r="BH430" s="1665">
        <v>4296.75</v>
      </c>
      <c r="BI430" s="1665">
        <v>0</v>
      </c>
      <c r="BJ430" s="1665">
        <v>758.25</v>
      </c>
      <c r="BK430" s="1665">
        <v>0</v>
      </c>
      <c r="BL430" s="1665">
        <v>758.25</v>
      </c>
      <c r="BM430" s="1665">
        <v>0</v>
      </c>
      <c r="BN430" s="1665">
        <v>0</v>
      </c>
      <c r="BO430" s="1668"/>
      <c r="BP430" s="1665">
        <v>5055</v>
      </c>
      <c r="BQ430" s="1665">
        <v>5055</v>
      </c>
      <c r="BR430" s="1665">
        <v>4296.75</v>
      </c>
      <c r="BS430" s="1667">
        <v>4296.75</v>
      </c>
      <c r="BT430" s="1665">
        <v>0</v>
      </c>
      <c r="BU430" s="1665">
        <v>758.25</v>
      </c>
      <c r="BV430" s="1665">
        <v>0</v>
      </c>
      <c r="BW430" s="1665">
        <v>0</v>
      </c>
      <c r="BX430" s="1665">
        <v>0</v>
      </c>
      <c r="BY430" s="1665">
        <v>0</v>
      </c>
      <c r="BZ430" s="1665">
        <v>0</v>
      </c>
      <c r="CA430" s="1665">
        <v>0</v>
      </c>
      <c r="CB430" s="1668"/>
      <c r="CC430" s="1668"/>
      <c r="CD430" s="1665">
        <v>0</v>
      </c>
      <c r="CE430" s="1665">
        <v>0</v>
      </c>
      <c r="CF430" s="1665">
        <v>0</v>
      </c>
      <c r="CG430" s="1665">
        <v>0</v>
      </c>
      <c r="CH430" s="1665">
        <v>0</v>
      </c>
      <c r="CI430" s="1665">
        <v>0</v>
      </c>
      <c r="CJ430" s="1665">
        <v>55</v>
      </c>
      <c r="CK430" s="1665">
        <v>55</v>
      </c>
      <c r="CL430" s="1668"/>
      <c r="CM430" s="1665">
        <v>0</v>
      </c>
      <c r="CN430" s="1665">
        <v>0</v>
      </c>
      <c r="CO430" s="1665">
        <v>0</v>
      </c>
      <c r="CP430" s="1665">
        <v>0</v>
      </c>
      <c r="CQ430" s="1665">
        <v>0</v>
      </c>
      <c r="CR430" s="1665">
        <v>0</v>
      </c>
      <c r="CS430" s="1665">
        <v>0</v>
      </c>
      <c r="CT430" s="1665">
        <v>0</v>
      </c>
      <c r="CU430" s="1665">
        <v>0</v>
      </c>
      <c r="CV430" s="1665">
        <v>0</v>
      </c>
      <c r="CW430" s="1668"/>
      <c r="CX430" s="1665">
        <v>0</v>
      </c>
      <c r="CY430" s="1665">
        <v>0</v>
      </c>
      <c r="CZ430" s="1665">
        <v>0</v>
      </c>
      <c r="DA430" s="1665">
        <v>0</v>
      </c>
      <c r="DB430" s="1668"/>
      <c r="DC430" s="1662"/>
      <c r="DD430" s="1665">
        <v>0</v>
      </c>
      <c r="DE430" s="1665">
        <v>0</v>
      </c>
      <c r="DF430" s="1665">
        <v>0</v>
      </c>
      <c r="DG430" s="1665">
        <v>0</v>
      </c>
      <c r="DH430" s="1665">
        <v>0</v>
      </c>
    </row>
    <row r="431" spans="1:112" ht="67.5" hidden="1" x14ac:dyDescent="0.25">
      <c r="A431" s="1662" t="s">
        <v>2537</v>
      </c>
      <c r="B431" s="1662" t="s">
        <v>1729</v>
      </c>
      <c r="C431" s="1662" t="s">
        <v>2652</v>
      </c>
      <c r="D431" s="1662" t="s">
        <v>2653</v>
      </c>
      <c r="E431" s="1662" t="s">
        <v>2516</v>
      </c>
      <c r="F431" s="1662" t="s">
        <v>2654</v>
      </c>
      <c r="G431" s="1662" t="s">
        <v>2628</v>
      </c>
      <c r="H431" s="1662" t="s">
        <v>2613</v>
      </c>
      <c r="I431" s="1662" t="s">
        <v>824</v>
      </c>
      <c r="J431" s="1662" t="s">
        <v>2533</v>
      </c>
      <c r="K431" s="1662" t="s">
        <v>2108</v>
      </c>
      <c r="L431" s="1662" t="s">
        <v>2109</v>
      </c>
      <c r="M431" s="1663"/>
      <c r="N431" s="1663"/>
      <c r="O431" s="1663"/>
      <c r="P431" s="1663"/>
      <c r="Q431" s="1663"/>
      <c r="R431" s="1663"/>
      <c r="S431" s="1663"/>
      <c r="T431" s="1663"/>
      <c r="U431" s="1663"/>
      <c r="V431" s="1663"/>
      <c r="W431" s="1663"/>
      <c r="X431" s="1663"/>
      <c r="Y431" s="1664">
        <v>43150</v>
      </c>
      <c r="Z431" s="1662" t="s">
        <v>2145</v>
      </c>
      <c r="AA431" s="1665">
        <v>0</v>
      </c>
      <c r="AB431" s="1665">
        <v>0</v>
      </c>
      <c r="AC431" s="1680">
        <v>0</v>
      </c>
      <c r="AD431" s="1682">
        <v>43158</v>
      </c>
      <c r="AE431" s="1679" t="s">
        <v>2122</v>
      </c>
      <c r="AF431" s="1662" t="s">
        <v>2112</v>
      </c>
      <c r="AG431" s="1666"/>
      <c r="AH431" s="1667">
        <v>2000</v>
      </c>
      <c r="AI431" s="1665">
        <v>2000</v>
      </c>
      <c r="AJ431" s="1665">
        <v>2000</v>
      </c>
      <c r="AK431" s="1698">
        <v>2000</v>
      </c>
      <c r="AL431" s="1665">
        <v>0</v>
      </c>
      <c r="AM431" s="1668"/>
      <c r="AN431" s="1665">
        <v>0</v>
      </c>
      <c r="AO431" s="1665">
        <v>0</v>
      </c>
      <c r="AP431" s="1665">
        <v>0</v>
      </c>
      <c r="AQ431" s="1665">
        <v>0</v>
      </c>
      <c r="AR431" s="1665">
        <v>0</v>
      </c>
      <c r="AS431" s="1665">
        <v>0</v>
      </c>
      <c r="AT431" s="1665">
        <v>0</v>
      </c>
      <c r="AU431" s="1665">
        <v>0</v>
      </c>
      <c r="AV431" s="1665">
        <v>0</v>
      </c>
      <c r="AW431" s="1665">
        <v>0</v>
      </c>
      <c r="AX431" s="1663"/>
      <c r="AY431" s="1663"/>
      <c r="AZ431" s="1663"/>
      <c r="BA431" s="1668"/>
      <c r="BB431" s="1668"/>
      <c r="BC431" s="1663"/>
      <c r="BD431" s="1663"/>
      <c r="BE431" s="1665">
        <v>0</v>
      </c>
      <c r="BF431" s="1665">
        <v>0</v>
      </c>
      <c r="BG431" s="1665">
        <v>0</v>
      </c>
      <c r="BH431" s="1665">
        <v>0</v>
      </c>
      <c r="BI431" s="1665">
        <v>0</v>
      </c>
      <c r="BJ431" s="1665">
        <v>0</v>
      </c>
      <c r="BK431" s="1665">
        <v>0</v>
      </c>
      <c r="BL431" s="1665">
        <v>0</v>
      </c>
      <c r="BM431" s="1665">
        <v>0</v>
      </c>
      <c r="BN431" s="1665">
        <v>0</v>
      </c>
      <c r="BO431" s="1668"/>
      <c r="BP431" s="1665">
        <v>0</v>
      </c>
      <c r="BQ431" s="1665">
        <v>0</v>
      </c>
      <c r="BR431" s="1665">
        <v>0</v>
      </c>
      <c r="BS431" s="1667">
        <v>0</v>
      </c>
      <c r="BT431" s="1665">
        <v>0</v>
      </c>
      <c r="BU431" s="1665">
        <v>0</v>
      </c>
      <c r="BV431" s="1665">
        <v>0</v>
      </c>
      <c r="BW431" s="1665">
        <v>0</v>
      </c>
      <c r="BX431" s="1665">
        <v>0</v>
      </c>
      <c r="BY431" s="1665">
        <v>0</v>
      </c>
      <c r="BZ431" s="1663"/>
      <c r="CA431" s="1663"/>
      <c r="CB431" s="1668"/>
      <c r="CC431" s="1668"/>
      <c r="CD431" s="1663"/>
      <c r="CE431" s="1663"/>
      <c r="CF431" s="1665">
        <v>0</v>
      </c>
      <c r="CG431" s="1665">
        <v>0</v>
      </c>
      <c r="CH431" s="1665">
        <v>0</v>
      </c>
      <c r="CI431" s="1665">
        <v>0</v>
      </c>
      <c r="CJ431" s="1665">
        <v>0</v>
      </c>
      <c r="CK431" s="1665">
        <v>0</v>
      </c>
      <c r="CL431" s="1668"/>
      <c r="CM431" s="1665">
        <v>0</v>
      </c>
      <c r="CN431" s="1665">
        <v>0</v>
      </c>
      <c r="CO431" s="1665">
        <v>0</v>
      </c>
      <c r="CP431" s="1665">
        <v>0</v>
      </c>
      <c r="CQ431" s="1665">
        <v>0</v>
      </c>
      <c r="CR431" s="1665">
        <v>0</v>
      </c>
      <c r="CS431" s="1665">
        <v>0</v>
      </c>
      <c r="CT431" s="1665">
        <v>0</v>
      </c>
      <c r="CU431" s="1665">
        <v>0</v>
      </c>
      <c r="CV431" s="1665">
        <v>0</v>
      </c>
      <c r="CW431" s="1668"/>
      <c r="CX431" s="1663"/>
      <c r="CY431" s="1663"/>
      <c r="CZ431" s="1663"/>
      <c r="DA431" s="1663"/>
      <c r="DB431" s="1668"/>
      <c r="DC431" s="1662"/>
      <c r="DD431" s="1665">
        <v>0</v>
      </c>
      <c r="DE431" s="1663"/>
      <c r="DF431" s="1663"/>
      <c r="DG431" s="1665">
        <v>0</v>
      </c>
      <c r="DH431" s="1665">
        <v>0</v>
      </c>
    </row>
    <row r="432" spans="1:112" ht="67.5" hidden="1" x14ac:dyDescent="0.25">
      <c r="A432" s="1662" t="s">
        <v>2539</v>
      </c>
      <c r="B432" s="1662" t="s">
        <v>1729</v>
      </c>
      <c r="C432" s="1662" t="s">
        <v>2652</v>
      </c>
      <c r="D432" s="1662" t="s">
        <v>2653</v>
      </c>
      <c r="E432" s="1662" t="s">
        <v>2516</v>
      </c>
      <c r="F432" s="1662" t="s">
        <v>2654</v>
      </c>
      <c r="G432" s="1662" t="s">
        <v>2628</v>
      </c>
      <c r="H432" s="1662" t="s">
        <v>2613</v>
      </c>
      <c r="I432" s="1662" t="s">
        <v>824</v>
      </c>
      <c r="J432" s="1662" t="s">
        <v>2533</v>
      </c>
      <c r="K432" s="1662" t="s">
        <v>2108</v>
      </c>
      <c r="L432" s="1662" t="s">
        <v>2109</v>
      </c>
      <c r="M432" s="1663"/>
      <c r="N432" s="1663"/>
      <c r="O432" s="1663"/>
      <c r="P432" s="1663"/>
      <c r="Q432" s="1663"/>
      <c r="R432" s="1663"/>
      <c r="S432" s="1663"/>
      <c r="T432" s="1663"/>
      <c r="U432" s="1663"/>
      <c r="V432" s="1663"/>
      <c r="W432" s="1663"/>
      <c r="X432" s="1663"/>
      <c r="Y432" s="1664">
        <v>43188</v>
      </c>
      <c r="Z432" s="1662" t="s">
        <v>2110</v>
      </c>
      <c r="AA432" s="1665">
        <v>0</v>
      </c>
      <c r="AB432" s="1665">
        <v>0</v>
      </c>
      <c r="AC432" s="1680">
        <v>0</v>
      </c>
      <c r="AD432" s="1682">
        <v>43209</v>
      </c>
      <c r="AE432" s="1679" t="s">
        <v>2111</v>
      </c>
      <c r="AF432" s="1662" t="s">
        <v>2112</v>
      </c>
      <c r="AG432" s="1666"/>
      <c r="AH432" s="1667">
        <v>5055</v>
      </c>
      <c r="AI432" s="1665">
        <v>5055</v>
      </c>
      <c r="AJ432" s="1665">
        <v>4296.75</v>
      </c>
      <c r="AK432" s="1698">
        <v>4296.75</v>
      </c>
      <c r="AL432" s="1665">
        <v>0</v>
      </c>
      <c r="AM432" s="1664">
        <v>43209</v>
      </c>
      <c r="AN432" s="1665">
        <v>5055</v>
      </c>
      <c r="AO432" s="1665">
        <v>5055</v>
      </c>
      <c r="AP432" s="1665">
        <v>4296.75</v>
      </c>
      <c r="AQ432" s="1665">
        <v>4296.75</v>
      </c>
      <c r="AR432" s="1665">
        <v>0</v>
      </c>
      <c r="AS432" s="1665">
        <v>758.25</v>
      </c>
      <c r="AT432" s="1665">
        <v>0</v>
      </c>
      <c r="AU432" s="1665">
        <v>758.25</v>
      </c>
      <c r="AV432" s="1665">
        <v>0</v>
      </c>
      <c r="AW432" s="1665">
        <v>0</v>
      </c>
      <c r="AX432" s="1663"/>
      <c r="AY432" s="1663"/>
      <c r="AZ432" s="1663"/>
      <c r="BA432" s="1668"/>
      <c r="BB432" s="1668"/>
      <c r="BC432" s="1663"/>
      <c r="BD432" s="1663"/>
      <c r="BE432" s="1665">
        <v>5055</v>
      </c>
      <c r="BF432" s="1665">
        <v>5055</v>
      </c>
      <c r="BG432" s="1665">
        <v>4296.75</v>
      </c>
      <c r="BH432" s="1665">
        <v>4296.75</v>
      </c>
      <c r="BI432" s="1665">
        <v>0</v>
      </c>
      <c r="BJ432" s="1665">
        <v>758.25</v>
      </c>
      <c r="BK432" s="1665">
        <v>0</v>
      </c>
      <c r="BL432" s="1665">
        <v>758.25</v>
      </c>
      <c r="BM432" s="1665">
        <v>0</v>
      </c>
      <c r="BN432" s="1665">
        <v>0</v>
      </c>
      <c r="BO432" s="1664">
        <v>43364</v>
      </c>
      <c r="BP432" s="1665">
        <v>5055</v>
      </c>
      <c r="BQ432" s="1665">
        <v>5055</v>
      </c>
      <c r="BR432" s="1665">
        <v>4296.75</v>
      </c>
      <c r="BS432" s="1667">
        <v>4296.75</v>
      </c>
      <c r="BT432" s="1665">
        <v>0</v>
      </c>
      <c r="BU432" s="1665">
        <v>758.25</v>
      </c>
      <c r="BV432" s="1665">
        <v>0</v>
      </c>
      <c r="BW432" s="1665">
        <v>0</v>
      </c>
      <c r="BX432" s="1665">
        <v>0</v>
      </c>
      <c r="BY432" s="1665">
        <v>0</v>
      </c>
      <c r="BZ432" s="1665">
        <v>0</v>
      </c>
      <c r="CA432" s="1663"/>
      <c r="CB432" s="1668"/>
      <c r="CC432" s="1668"/>
      <c r="CD432" s="1663"/>
      <c r="CE432" s="1663"/>
      <c r="CF432" s="1665">
        <v>0</v>
      </c>
      <c r="CG432" s="1665">
        <v>0</v>
      </c>
      <c r="CH432" s="1665">
        <v>0</v>
      </c>
      <c r="CI432" s="1665">
        <v>0</v>
      </c>
      <c r="CJ432" s="1665">
        <v>55</v>
      </c>
      <c r="CK432" s="1665">
        <v>55</v>
      </c>
      <c r="CL432" s="1668"/>
      <c r="CM432" s="1665">
        <v>0</v>
      </c>
      <c r="CN432" s="1665">
        <v>0</v>
      </c>
      <c r="CO432" s="1665">
        <v>0</v>
      </c>
      <c r="CP432" s="1665">
        <v>0</v>
      </c>
      <c r="CQ432" s="1665">
        <v>0</v>
      </c>
      <c r="CR432" s="1665">
        <v>0</v>
      </c>
      <c r="CS432" s="1665">
        <v>0</v>
      </c>
      <c r="CT432" s="1665">
        <v>0</v>
      </c>
      <c r="CU432" s="1665">
        <v>0</v>
      </c>
      <c r="CV432" s="1665">
        <v>0</v>
      </c>
      <c r="CW432" s="1668"/>
      <c r="CX432" s="1663"/>
      <c r="CY432" s="1663"/>
      <c r="CZ432" s="1663"/>
      <c r="DA432" s="1663"/>
      <c r="DB432" s="1668"/>
      <c r="DC432" s="1662"/>
      <c r="DD432" s="1665">
        <v>0</v>
      </c>
      <c r="DE432" s="1663"/>
      <c r="DF432" s="1663"/>
      <c r="DG432" s="1665">
        <v>0</v>
      </c>
      <c r="DH432" s="1665">
        <v>0</v>
      </c>
    </row>
    <row r="433" spans="1:112" ht="67.5" hidden="1" x14ac:dyDescent="0.25">
      <c r="A433" s="1662" t="s">
        <v>2540</v>
      </c>
      <c r="B433" s="1662" t="s">
        <v>1729</v>
      </c>
      <c r="C433" s="1662" t="s">
        <v>2652</v>
      </c>
      <c r="D433" s="1662" t="s">
        <v>2653</v>
      </c>
      <c r="E433" s="1662" t="s">
        <v>2516</v>
      </c>
      <c r="F433" s="1662" t="s">
        <v>2654</v>
      </c>
      <c r="G433" s="1662" t="s">
        <v>2628</v>
      </c>
      <c r="H433" s="1662" t="s">
        <v>2613</v>
      </c>
      <c r="I433" s="1662" t="s">
        <v>824</v>
      </c>
      <c r="J433" s="1662" t="s">
        <v>2533</v>
      </c>
      <c r="K433" s="1662" t="s">
        <v>2108</v>
      </c>
      <c r="L433" s="1662" t="s">
        <v>2109</v>
      </c>
      <c r="M433" s="1663"/>
      <c r="N433" s="1663"/>
      <c r="O433" s="1663"/>
      <c r="P433" s="1663"/>
      <c r="Q433" s="1663"/>
      <c r="R433" s="1663"/>
      <c r="S433" s="1663"/>
      <c r="T433" s="1663"/>
      <c r="U433" s="1663"/>
      <c r="V433" s="1663"/>
      <c r="W433" s="1663"/>
      <c r="X433" s="1663"/>
      <c r="Y433" s="1664">
        <v>43367</v>
      </c>
      <c r="Z433" s="1662" t="s">
        <v>2145</v>
      </c>
      <c r="AA433" s="1665">
        <v>0</v>
      </c>
      <c r="AB433" s="1665">
        <v>0</v>
      </c>
      <c r="AC433" s="1680">
        <v>0</v>
      </c>
      <c r="AD433" s="1682">
        <v>43376</v>
      </c>
      <c r="AE433" s="1679" t="s">
        <v>2128</v>
      </c>
      <c r="AF433" s="1662" t="s">
        <v>2112</v>
      </c>
      <c r="AG433" s="1666"/>
      <c r="AH433" s="1667">
        <v>15300</v>
      </c>
      <c r="AI433" s="1665">
        <v>15300</v>
      </c>
      <c r="AJ433" s="1665">
        <v>15300</v>
      </c>
      <c r="AK433" s="1698">
        <v>15300</v>
      </c>
      <c r="AL433" s="1665">
        <v>0</v>
      </c>
      <c r="AM433" s="1668"/>
      <c r="AN433" s="1665">
        <v>0</v>
      </c>
      <c r="AO433" s="1665">
        <v>0</v>
      </c>
      <c r="AP433" s="1665">
        <v>0</v>
      </c>
      <c r="AQ433" s="1665">
        <v>0</v>
      </c>
      <c r="AR433" s="1665">
        <v>0</v>
      </c>
      <c r="AS433" s="1665">
        <v>0</v>
      </c>
      <c r="AT433" s="1665">
        <v>0</v>
      </c>
      <c r="AU433" s="1665">
        <v>0</v>
      </c>
      <c r="AV433" s="1665">
        <v>0</v>
      </c>
      <c r="AW433" s="1665">
        <v>0</v>
      </c>
      <c r="AX433" s="1663"/>
      <c r="AY433" s="1663"/>
      <c r="AZ433" s="1663"/>
      <c r="BA433" s="1668"/>
      <c r="BB433" s="1668"/>
      <c r="BC433" s="1663"/>
      <c r="BD433" s="1663"/>
      <c r="BE433" s="1665">
        <v>0</v>
      </c>
      <c r="BF433" s="1665">
        <v>0</v>
      </c>
      <c r="BG433" s="1665">
        <v>0</v>
      </c>
      <c r="BH433" s="1665">
        <v>0</v>
      </c>
      <c r="BI433" s="1665">
        <v>0</v>
      </c>
      <c r="BJ433" s="1665">
        <v>0</v>
      </c>
      <c r="BK433" s="1665">
        <v>0</v>
      </c>
      <c r="BL433" s="1665">
        <v>0</v>
      </c>
      <c r="BM433" s="1665">
        <v>0</v>
      </c>
      <c r="BN433" s="1665">
        <v>0</v>
      </c>
      <c r="BO433" s="1668"/>
      <c r="BP433" s="1665">
        <v>0</v>
      </c>
      <c r="BQ433" s="1665">
        <v>0</v>
      </c>
      <c r="BR433" s="1665">
        <v>0</v>
      </c>
      <c r="BS433" s="1667">
        <v>0</v>
      </c>
      <c r="BT433" s="1665">
        <v>0</v>
      </c>
      <c r="BU433" s="1665">
        <v>0</v>
      </c>
      <c r="BV433" s="1665">
        <v>0</v>
      </c>
      <c r="BW433" s="1665">
        <v>0</v>
      </c>
      <c r="BX433" s="1665">
        <v>0</v>
      </c>
      <c r="BY433" s="1665">
        <v>0</v>
      </c>
      <c r="BZ433" s="1663"/>
      <c r="CA433" s="1663"/>
      <c r="CB433" s="1668"/>
      <c r="CC433" s="1668"/>
      <c r="CD433" s="1663"/>
      <c r="CE433" s="1663"/>
      <c r="CF433" s="1665">
        <v>0</v>
      </c>
      <c r="CG433" s="1665">
        <v>0</v>
      </c>
      <c r="CH433" s="1665">
        <v>0</v>
      </c>
      <c r="CI433" s="1665">
        <v>0</v>
      </c>
      <c r="CJ433" s="1665">
        <v>0</v>
      </c>
      <c r="CK433" s="1665">
        <v>0</v>
      </c>
      <c r="CL433" s="1668"/>
      <c r="CM433" s="1665">
        <v>0</v>
      </c>
      <c r="CN433" s="1665">
        <v>0</v>
      </c>
      <c r="CO433" s="1665">
        <v>0</v>
      </c>
      <c r="CP433" s="1665">
        <v>0</v>
      </c>
      <c r="CQ433" s="1665">
        <v>0</v>
      </c>
      <c r="CR433" s="1665">
        <v>0</v>
      </c>
      <c r="CS433" s="1665">
        <v>0</v>
      </c>
      <c r="CT433" s="1665">
        <v>0</v>
      </c>
      <c r="CU433" s="1665">
        <v>0</v>
      </c>
      <c r="CV433" s="1665">
        <v>0</v>
      </c>
      <c r="CW433" s="1668"/>
      <c r="CX433" s="1663"/>
      <c r="CY433" s="1663"/>
      <c r="CZ433" s="1663"/>
      <c r="DA433" s="1663"/>
      <c r="DB433" s="1668"/>
      <c r="DC433" s="1662"/>
      <c r="DD433" s="1665">
        <v>0</v>
      </c>
      <c r="DE433" s="1663"/>
      <c r="DF433" s="1663"/>
      <c r="DG433" s="1665">
        <v>0</v>
      </c>
      <c r="DH433" s="1665">
        <v>0</v>
      </c>
    </row>
    <row r="434" spans="1:112" ht="56.25" hidden="1" x14ac:dyDescent="0.25">
      <c r="A434" s="1662" t="s">
        <v>2541</v>
      </c>
      <c r="B434" s="1662" t="s">
        <v>1729</v>
      </c>
      <c r="C434" s="1662" t="s">
        <v>2652</v>
      </c>
      <c r="D434" s="1662" t="s">
        <v>2653</v>
      </c>
      <c r="E434" s="1662" t="s">
        <v>2516</v>
      </c>
      <c r="F434" s="1662" t="s">
        <v>2654</v>
      </c>
      <c r="G434" s="1662" t="s">
        <v>2628</v>
      </c>
      <c r="H434" s="1662" t="s">
        <v>2613</v>
      </c>
      <c r="I434" s="1662" t="s">
        <v>825</v>
      </c>
      <c r="J434" s="1662" t="s">
        <v>2538</v>
      </c>
      <c r="K434" s="1662" t="s">
        <v>2120</v>
      </c>
      <c r="L434" s="1662" t="s">
        <v>2109</v>
      </c>
      <c r="M434" s="1665">
        <v>397378</v>
      </c>
      <c r="N434" s="1665">
        <v>0</v>
      </c>
      <c r="O434" s="1665">
        <v>397378</v>
      </c>
      <c r="P434" s="1665">
        <v>397378</v>
      </c>
      <c r="Q434" s="1665">
        <v>337771</v>
      </c>
      <c r="R434" s="1665">
        <v>337771</v>
      </c>
      <c r="S434" s="1665">
        <v>0</v>
      </c>
      <c r="T434" s="1665">
        <v>59607</v>
      </c>
      <c r="U434" s="1665">
        <v>0</v>
      </c>
      <c r="V434" s="1665">
        <v>59607</v>
      </c>
      <c r="W434" s="1665">
        <v>0</v>
      </c>
      <c r="X434" s="1665">
        <v>0</v>
      </c>
      <c r="Y434" s="1668"/>
      <c r="Z434" s="1662"/>
      <c r="AA434" s="1665">
        <v>0</v>
      </c>
      <c r="AB434" s="1665">
        <v>0</v>
      </c>
      <c r="AC434" s="1680">
        <v>0</v>
      </c>
      <c r="AD434" s="1681"/>
      <c r="AE434" s="1679"/>
      <c r="AF434" s="1662"/>
      <c r="AG434" s="1666"/>
      <c r="AH434" s="1667">
        <v>7047.6</v>
      </c>
      <c r="AI434" s="1665">
        <v>7047.6</v>
      </c>
      <c r="AJ434" s="1665">
        <v>6515.46</v>
      </c>
      <c r="AK434" s="1698">
        <v>6515.46</v>
      </c>
      <c r="AL434" s="1665">
        <v>0</v>
      </c>
      <c r="AM434" s="1668"/>
      <c r="AN434" s="1665">
        <v>3547.6</v>
      </c>
      <c r="AO434" s="1665">
        <v>3547.6</v>
      </c>
      <c r="AP434" s="1665">
        <v>3015.46</v>
      </c>
      <c r="AQ434" s="1665">
        <v>3015.46</v>
      </c>
      <c r="AR434" s="1665">
        <v>0</v>
      </c>
      <c r="AS434" s="1665">
        <v>532.14</v>
      </c>
      <c r="AT434" s="1665">
        <v>0</v>
      </c>
      <c r="AU434" s="1665">
        <v>532.14</v>
      </c>
      <c r="AV434" s="1665">
        <v>0</v>
      </c>
      <c r="AW434" s="1665">
        <v>0</v>
      </c>
      <c r="AX434" s="1665">
        <v>0</v>
      </c>
      <c r="AY434" s="1665">
        <v>0</v>
      </c>
      <c r="AZ434" s="1665">
        <v>0</v>
      </c>
      <c r="BA434" s="1668"/>
      <c r="BB434" s="1668"/>
      <c r="BC434" s="1665">
        <v>0</v>
      </c>
      <c r="BD434" s="1665">
        <v>0</v>
      </c>
      <c r="BE434" s="1665">
        <v>3547.6</v>
      </c>
      <c r="BF434" s="1665">
        <v>3547.6</v>
      </c>
      <c r="BG434" s="1665">
        <v>3015.46</v>
      </c>
      <c r="BH434" s="1665">
        <v>3015.46</v>
      </c>
      <c r="BI434" s="1665">
        <v>0</v>
      </c>
      <c r="BJ434" s="1665">
        <v>532.14</v>
      </c>
      <c r="BK434" s="1665">
        <v>0</v>
      </c>
      <c r="BL434" s="1665">
        <v>532.14</v>
      </c>
      <c r="BM434" s="1665">
        <v>0</v>
      </c>
      <c r="BN434" s="1665">
        <v>0</v>
      </c>
      <c r="BO434" s="1668"/>
      <c r="BP434" s="1665">
        <v>3547.6</v>
      </c>
      <c r="BQ434" s="1665">
        <v>3547.6</v>
      </c>
      <c r="BR434" s="1665">
        <v>3015.46</v>
      </c>
      <c r="BS434" s="1667">
        <v>3015.46</v>
      </c>
      <c r="BT434" s="1665">
        <v>0</v>
      </c>
      <c r="BU434" s="1665">
        <v>532.14</v>
      </c>
      <c r="BV434" s="1665">
        <v>0</v>
      </c>
      <c r="BW434" s="1665">
        <v>0</v>
      </c>
      <c r="BX434" s="1665">
        <v>0</v>
      </c>
      <c r="BY434" s="1665">
        <v>0</v>
      </c>
      <c r="BZ434" s="1665">
        <v>0</v>
      </c>
      <c r="CA434" s="1665">
        <v>0</v>
      </c>
      <c r="CB434" s="1668"/>
      <c r="CC434" s="1668"/>
      <c r="CD434" s="1665">
        <v>0</v>
      </c>
      <c r="CE434" s="1665">
        <v>0</v>
      </c>
      <c r="CF434" s="1665">
        <v>0</v>
      </c>
      <c r="CG434" s="1665">
        <v>0</v>
      </c>
      <c r="CH434" s="1665">
        <v>0</v>
      </c>
      <c r="CI434" s="1665">
        <v>0</v>
      </c>
      <c r="CJ434" s="1665">
        <v>38.6</v>
      </c>
      <c r="CK434" s="1665">
        <v>38.6</v>
      </c>
      <c r="CL434" s="1668"/>
      <c r="CM434" s="1665">
        <v>0</v>
      </c>
      <c r="CN434" s="1665">
        <v>0</v>
      </c>
      <c r="CO434" s="1665">
        <v>0</v>
      </c>
      <c r="CP434" s="1665">
        <v>0</v>
      </c>
      <c r="CQ434" s="1665">
        <v>0</v>
      </c>
      <c r="CR434" s="1665">
        <v>0</v>
      </c>
      <c r="CS434" s="1665">
        <v>0</v>
      </c>
      <c r="CT434" s="1665">
        <v>0</v>
      </c>
      <c r="CU434" s="1665">
        <v>0</v>
      </c>
      <c r="CV434" s="1665">
        <v>0</v>
      </c>
      <c r="CW434" s="1668"/>
      <c r="CX434" s="1665">
        <v>0</v>
      </c>
      <c r="CY434" s="1665">
        <v>0</v>
      </c>
      <c r="CZ434" s="1665">
        <v>0</v>
      </c>
      <c r="DA434" s="1665">
        <v>0</v>
      </c>
      <c r="DB434" s="1668"/>
      <c r="DC434" s="1662"/>
      <c r="DD434" s="1665">
        <v>0</v>
      </c>
      <c r="DE434" s="1665">
        <v>0</v>
      </c>
      <c r="DF434" s="1665">
        <v>0</v>
      </c>
      <c r="DG434" s="1665">
        <v>0</v>
      </c>
      <c r="DH434" s="1665">
        <v>0</v>
      </c>
    </row>
    <row r="435" spans="1:112" ht="56.25" hidden="1" x14ac:dyDescent="0.25">
      <c r="A435" s="1662" t="s">
        <v>2542</v>
      </c>
      <c r="B435" s="1662" t="s">
        <v>1729</v>
      </c>
      <c r="C435" s="1662" t="s">
        <v>2652</v>
      </c>
      <c r="D435" s="1662" t="s">
        <v>2653</v>
      </c>
      <c r="E435" s="1662" t="s">
        <v>2516</v>
      </c>
      <c r="F435" s="1662" t="s">
        <v>2654</v>
      </c>
      <c r="G435" s="1662" t="s">
        <v>2628</v>
      </c>
      <c r="H435" s="1662" t="s">
        <v>2613</v>
      </c>
      <c r="I435" s="1662" t="s">
        <v>825</v>
      </c>
      <c r="J435" s="1662" t="s">
        <v>2538</v>
      </c>
      <c r="K435" s="1662" t="s">
        <v>2120</v>
      </c>
      <c r="L435" s="1662" t="s">
        <v>2109</v>
      </c>
      <c r="M435" s="1663"/>
      <c r="N435" s="1663"/>
      <c r="O435" s="1663"/>
      <c r="P435" s="1663"/>
      <c r="Q435" s="1663"/>
      <c r="R435" s="1663"/>
      <c r="S435" s="1663"/>
      <c r="T435" s="1663"/>
      <c r="U435" s="1663"/>
      <c r="V435" s="1663"/>
      <c r="W435" s="1663"/>
      <c r="X435" s="1663"/>
      <c r="Y435" s="1664">
        <v>43186</v>
      </c>
      <c r="Z435" s="1662" t="s">
        <v>2145</v>
      </c>
      <c r="AA435" s="1665">
        <v>0</v>
      </c>
      <c r="AB435" s="1665">
        <v>0</v>
      </c>
      <c r="AC435" s="1680">
        <v>0</v>
      </c>
      <c r="AD435" s="1682">
        <v>43216</v>
      </c>
      <c r="AE435" s="1679" t="s">
        <v>2122</v>
      </c>
      <c r="AF435" s="1662" t="s">
        <v>2112</v>
      </c>
      <c r="AG435" s="1666"/>
      <c r="AH435" s="1667">
        <v>3500</v>
      </c>
      <c r="AI435" s="1665">
        <v>3500</v>
      </c>
      <c r="AJ435" s="1665">
        <v>3500</v>
      </c>
      <c r="AK435" s="1698">
        <v>3500</v>
      </c>
      <c r="AL435" s="1665">
        <v>0</v>
      </c>
      <c r="AM435" s="1668"/>
      <c r="AN435" s="1665">
        <v>0</v>
      </c>
      <c r="AO435" s="1665">
        <v>0</v>
      </c>
      <c r="AP435" s="1665">
        <v>0</v>
      </c>
      <c r="AQ435" s="1665">
        <v>0</v>
      </c>
      <c r="AR435" s="1665">
        <v>0</v>
      </c>
      <c r="AS435" s="1665">
        <v>0</v>
      </c>
      <c r="AT435" s="1665">
        <v>0</v>
      </c>
      <c r="AU435" s="1665">
        <v>0</v>
      </c>
      <c r="AV435" s="1665">
        <v>0</v>
      </c>
      <c r="AW435" s="1665">
        <v>0</v>
      </c>
      <c r="AX435" s="1663"/>
      <c r="AY435" s="1663"/>
      <c r="AZ435" s="1663"/>
      <c r="BA435" s="1668"/>
      <c r="BB435" s="1668"/>
      <c r="BC435" s="1663"/>
      <c r="BD435" s="1663"/>
      <c r="BE435" s="1665">
        <v>0</v>
      </c>
      <c r="BF435" s="1665">
        <v>0</v>
      </c>
      <c r="BG435" s="1665">
        <v>0</v>
      </c>
      <c r="BH435" s="1665">
        <v>0</v>
      </c>
      <c r="BI435" s="1665">
        <v>0</v>
      </c>
      <c r="BJ435" s="1665">
        <v>0</v>
      </c>
      <c r="BK435" s="1665">
        <v>0</v>
      </c>
      <c r="BL435" s="1665">
        <v>0</v>
      </c>
      <c r="BM435" s="1665">
        <v>0</v>
      </c>
      <c r="BN435" s="1665">
        <v>0</v>
      </c>
      <c r="BO435" s="1668"/>
      <c r="BP435" s="1665">
        <v>0</v>
      </c>
      <c r="BQ435" s="1665">
        <v>0</v>
      </c>
      <c r="BR435" s="1665">
        <v>0</v>
      </c>
      <c r="BS435" s="1667">
        <v>0</v>
      </c>
      <c r="BT435" s="1665">
        <v>0</v>
      </c>
      <c r="BU435" s="1665">
        <v>0</v>
      </c>
      <c r="BV435" s="1665">
        <v>0</v>
      </c>
      <c r="BW435" s="1665">
        <v>0</v>
      </c>
      <c r="BX435" s="1665">
        <v>0</v>
      </c>
      <c r="BY435" s="1665">
        <v>0</v>
      </c>
      <c r="BZ435" s="1663"/>
      <c r="CA435" s="1663"/>
      <c r="CB435" s="1668"/>
      <c r="CC435" s="1668"/>
      <c r="CD435" s="1663"/>
      <c r="CE435" s="1663"/>
      <c r="CF435" s="1665">
        <v>0</v>
      </c>
      <c r="CG435" s="1665">
        <v>0</v>
      </c>
      <c r="CH435" s="1665">
        <v>0</v>
      </c>
      <c r="CI435" s="1665">
        <v>0</v>
      </c>
      <c r="CJ435" s="1665">
        <v>0</v>
      </c>
      <c r="CK435" s="1665">
        <v>0</v>
      </c>
      <c r="CL435" s="1668"/>
      <c r="CM435" s="1665">
        <v>0</v>
      </c>
      <c r="CN435" s="1665">
        <v>0</v>
      </c>
      <c r="CO435" s="1665">
        <v>0</v>
      </c>
      <c r="CP435" s="1665">
        <v>0</v>
      </c>
      <c r="CQ435" s="1665">
        <v>0</v>
      </c>
      <c r="CR435" s="1665">
        <v>0</v>
      </c>
      <c r="CS435" s="1665">
        <v>0</v>
      </c>
      <c r="CT435" s="1665">
        <v>0</v>
      </c>
      <c r="CU435" s="1665">
        <v>0</v>
      </c>
      <c r="CV435" s="1665">
        <v>0</v>
      </c>
      <c r="CW435" s="1668"/>
      <c r="CX435" s="1663"/>
      <c r="CY435" s="1663"/>
      <c r="CZ435" s="1663"/>
      <c r="DA435" s="1663"/>
      <c r="DB435" s="1668"/>
      <c r="DC435" s="1662"/>
      <c r="DD435" s="1665">
        <v>0</v>
      </c>
      <c r="DE435" s="1663"/>
      <c r="DF435" s="1663"/>
      <c r="DG435" s="1665">
        <v>0</v>
      </c>
      <c r="DH435" s="1665">
        <v>0</v>
      </c>
    </row>
    <row r="436" spans="1:112" ht="56.25" hidden="1" x14ac:dyDescent="0.25">
      <c r="A436" s="1662" t="s">
        <v>2543</v>
      </c>
      <c r="B436" s="1662" t="s">
        <v>1729</v>
      </c>
      <c r="C436" s="1662" t="s">
        <v>2652</v>
      </c>
      <c r="D436" s="1662" t="s">
        <v>2653</v>
      </c>
      <c r="E436" s="1662" t="s">
        <v>2516</v>
      </c>
      <c r="F436" s="1662" t="s">
        <v>2654</v>
      </c>
      <c r="G436" s="1662" t="s">
        <v>2628</v>
      </c>
      <c r="H436" s="1662" t="s">
        <v>2613</v>
      </c>
      <c r="I436" s="1662" t="s">
        <v>825</v>
      </c>
      <c r="J436" s="1662" t="s">
        <v>2538</v>
      </c>
      <c r="K436" s="1662" t="s">
        <v>2120</v>
      </c>
      <c r="L436" s="1662" t="s">
        <v>2109</v>
      </c>
      <c r="M436" s="1663"/>
      <c r="N436" s="1663"/>
      <c r="O436" s="1663"/>
      <c r="P436" s="1663"/>
      <c r="Q436" s="1663"/>
      <c r="R436" s="1663"/>
      <c r="S436" s="1663"/>
      <c r="T436" s="1663"/>
      <c r="U436" s="1663"/>
      <c r="V436" s="1663"/>
      <c r="W436" s="1663"/>
      <c r="X436" s="1663"/>
      <c r="Y436" s="1664">
        <v>43208</v>
      </c>
      <c r="Z436" s="1662" t="s">
        <v>2110</v>
      </c>
      <c r="AA436" s="1665">
        <v>0</v>
      </c>
      <c r="AB436" s="1665">
        <v>0</v>
      </c>
      <c r="AC436" s="1680">
        <v>0</v>
      </c>
      <c r="AD436" s="1682">
        <v>43223</v>
      </c>
      <c r="AE436" s="1679" t="s">
        <v>2111</v>
      </c>
      <c r="AF436" s="1662" t="s">
        <v>2112</v>
      </c>
      <c r="AG436" s="1666"/>
      <c r="AH436" s="1667">
        <v>3547.6</v>
      </c>
      <c r="AI436" s="1665">
        <v>3547.6</v>
      </c>
      <c r="AJ436" s="1665">
        <v>3015.46</v>
      </c>
      <c r="AK436" s="1698">
        <v>3015.46</v>
      </c>
      <c r="AL436" s="1665">
        <v>0</v>
      </c>
      <c r="AM436" s="1664">
        <v>43223</v>
      </c>
      <c r="AN436" s="1665">
        <v>3547.6</v>
      </c>
      <c r="AO436" s="1665">
        <v>3547.6</v>
      </c>
      <c r="AP436" s="1665">
        <v>3015.46</v>
      </c>
      <c r="AQ436" s="1665">
        <v>3015.46</v>
      </c>
      <c r="AR436" s="1665">
        <v>0</v>
      </c>
      <c r="AS436" s="1665">
        <v>532.14</v>
      </c>
      <c r="AT436" s="1665">
        <v>0</v>
      </c>
      <c r="AU436" s="1665">
        <v>532.14</v>
      </c>
      <c r="AV436" s="1665">
        <v>0</v>
      </c>
      <c r="AW436" s="1665">
        <v>0</v>
      </c>
      <c r="AX436" s="1663"/>
      <c r="AY436" s="1663"/>
      <c r="AZ436" s="1663"/>
      <c r="BA436" s="1668"/>
      <c r="BB436" s="1668"/>
      <c r="BC436" s="1663"/>
      <c r="BD436" s="1663"/>
      <c r="BE436" s="1665">
        <v>3547.6</v>
      </c>
      <c r="BF436" s="1665">
        <v>3547.6</v>
      </c>
      <c r="BG436" s="1665">
        <v>3015.46</v>
      </c>
      <c r="BH436" s="1665">
        <v>3015.46</v>
      </c>
      <c r="BI436" s="1665">
        <v>0</v>
      </c>
      <c r="BJ436" s="1665">
        <v>532.14</v>
      </c>
      <c r="BK436" s="1665">
        <v>0</v>
      </c>
      <c r="BL436" s="1665">
        <v>532.14</v>
      </c>
      <c r="BM436" s="1665">
        <v>0</v>
      </c>
      <c r="BN436" s="1665">
        <v>0</v>
      </c>
      <c r="BO436" s="1664">
        <v>43364</v>
      </c>
      <c r="BP436" s="1665">
        <v>3547.6</v>
      </c>
      <c r="BQ436" s="1665">
        <v>3547.6</v>
      </c>
      <c r="BR436" s="1665">
        <v>3015.46</v>
      </c>
      <c r="BS436" s="1667">
        <v>3015.46</v>
      </c>
      <c r="BT436" s="1665">
        <v>0</v>
      </c>
      <c r="BU436" s="1665">
        <v>532.14</v>
      </c>
      <c r="BV436" s="1665">
        <v>0</v>
      </c>
      <c r="BW436" s="1665">
        <v>0</v>
      </c>
      <c r="BX436" s="1665">
        <v>0</v>
      </c>
      <c r="BY436" s="1665">
        <v>0</v>
      </c>
      <c r="BZ436" s="1665">
        <v>0</v>
      </c>
      <c r="CA436" s="1663"/>
      <c r="CB436" s="1668"/>
      <c r="CC436" s="1668"/>
      <c r="CD436" s="1663"/>
      <c r="CE436" s="1663"/>
      <c r="CF436" s="1665">
        <v>0</v>
      </c>
      <c r="CG436" s="1665">
        <v>0</v>
      </c>
      <c r="CH436" s="1665">
        <v>0</v>
      </c>
      <c r="CI436" s="1665">
        <v>0</v>
      </c>
      <c r="CJ436" s="1665">
        <v>38.6</v>
      </c>
      <c r="CK436" s="1665">
        <v>38.6</v>
      </c>
      <c r="CL436" s="1668"/>
      <c r="CM436" s="1665">
        <v>0</v>
      </c>
      <c r="CN436" s="1665">
        <v>0</v>
      </c>
      <c r="CO436" s="1665">
        <v>0</v>
      </c>
      <c r="CP436" s="1665">
        <v>0</v>
      </c>
      <c r="CQ436" s="1665">
        <v>0</v>
      </c>
      <c r="CR436" s="1665">
        <v>0</v>
      </c>
      <c r="CS436" s="1665">
        <v>0</v>
      </c>
      <c r="CT436" s="1665">
        <v>0</v>
      </c>
      <c r="CU436" s="1665">
        <v>0</v>
      </c>
      <c r="CV436" s="1665">
        <v>0</v>
      </c>
      <c r="CW436" s="1668"/>
      <c r="CX436" s="1663"/>
      <c r="CY436" s="1663"/>
      <c r="CZ436" s="1663"/>
      <c r="DA436" s="1663"/>
      <c r="DB436" s="1668"/>
      <c r="DC436" s="1662"/>
      <c r="DD436" s="1665">
        <v>0</v>
      </c>
      <c r="DE436" s="1663"/>
      <c r="DF436" s="1663"/>
      <c r="DG436" s="1665">
        <v>0</v>
      </c>
      <c r="DH436" s="1665">
        <v>0</v>
      </c>
    </row>
    <row r="437" spans="1:112" ht="56.25" hidden="1" x14ac:dyDescent="0.25">
      <c r="A437" s="1662" t="s">
        <v>2544</v>
      </c>
      <c r="B437" s="1662" t="s">
        <v>1729</v>
      </c>
      <c r="C437" s="1662" t="s">
        <v>2652</v>
      </c>
      <c r="D437" s="1662" t="s">
        <v>2653</v>
      </c>
      <c r="E437" s="1662" t="s">
        <v>2516</v>
      </c>
      <c r="F437" s="1662" t="s">
        <v>2654</v>
      </c>
      <c r="G437" s="1662" t="s">
        <v>2628</v>
      </c>
      <c r="H437" s="1662" t="s">
        <v>2613</v>
      </c>
      <c r="I437" s="1662" t="s">
        <v>826</v>
      </c>
      <c r="J437" s="1662" t="s">
        <v>645</v>
      </c>
      <c r="K437" s="1662" t="s">
        <v>2126</v>
      </c>
      <c r="L437" s="1662" t="s">
        <v>2109</v>
      </c>
      <c r="M437" s="1665">
        <v>856424.88</v>
      </c>
      <c r="N437" s="1665">
        <v>0</v>
      </c>
      <c r="O437" s="1665">
        <v>856424.88</v>
      </c>
      <c r="P437" s="1665">
        <v>856424.88</v>
      </c>
      <c r="Q437" s="1665">
        <v>536611</v>
      </c>
      <c r="R437" s="1665">
        <v>536611</v>
      </c>
      <c r="S437" s="1665">
        <v>0</v>
      </c>
      <c r="T437" s="1665">
        <v>319813.88</v>
      </c>
      <c r="U437" s="1665">
        <v>0</v>
      </c>
      <c r="V437" s="1665">
        <v>319813.88</v>
      </c>
      <c r="W437" s="1665">
        <v>0</v>
      </c>
      <c r="X437" s="1665">
        <v>0</v>
      </c>
      <c r="Y437" s="1668"/>
      <c r="Z437" s="1662"/>
      <c r="AA437" s="1665">
        <v>0</v>
      </c>
      <c r="AB437" s="1665">
        <v>0</v>
      </c>
      <c r="AC437" s="1680">
        <v>0</v>
      </c>
      <c r="AD437" s="1681"/>
      <c r="AE437" s="1679"/>
      <c r="AF437" s="1662"/>
      <c r="AG437" s="1666"/>
      <c r="AH437" s="1667">
        <v>140000</v>
      </c>
      <c r="AI437" s="1665">
        <v>140000</v>
      </c>
      <c r="AJ437" s="1665">
        <v>140000</v>
      </c>
      <c r="AK437" s="1698">
        <v>140000</v>
      </c>
      <c r="AL437" s="1665">
        <v>0</v>
      </c>
      <c r="AM437" s="1668"/>
      <c r="AN437" s="1665">
        <v>0</v>
      </c>
      <c r="AO437" s="1665">
        <v>0</v>
      </c>
      <c r="AP437" s="1665">
        <v>0</v>
      </c>
      <c r="AQ437" s="1665">
        <v>0</v>
      </c>
      <c r="AR437" s="1665">
        <v>0</v>
      </c>
      <c r="AS437" s="1665">
        <v>0</v>
      </c>
      <c r="AT437" s="1665">
        <v>0</v>
      </c>
      <c r="AU437" s="1665">
        <v>0</v>
      </c>
      <c r="AV437" s="1665">
        <v>0</v>
      </c>
      <c r="AW437" s="1665">
        <v>0</v>
      </c>
      <c r="AX437" s="1665">
        <v>0</v>
      </c>
      <c r="AY437" s="1665">
        <v>0</v>
      </c>
      <c r="AZ437" s="1665">
        <v>0</v>
      </c>
      <c r="BA437" s="1668"/>
      <c r="BB437" s="1668"/>
      <c r="BC437" s="1665">
        <v>0</v>
      </c>
      <c r="BD437" s="1665">
        <v>0</v>
      </c>
      <c r="BE437" s="1665">
        <v>0</v>
      </c>
      <c r="BF437" s="1665">
        <v>0</v>
      </c>
      <c r="BG437" s="1665">
        <v>0</v>
      </c>
      <c r="BH437" s="1665">
        <v>0</v>
      </c>
      <c r="BI437" s="1665">
        <v>0</v>
      </c>
      <c r="BJ437" s="1665">
        <v>0</v>
      </c>
      <c r="BK437" s="1665">
        <v>0</v>
      </c>
      <c r="BL437" s="1665">
        <v>0</v>
      </c>
      <c r="BM437" s="1665">
        <v>0</v>
      </c>
      <c r="BN437" s="1665">
        <v>0</v>
      </c>
      <c r="BO437" s="1668"/>
      <c r="BP437" s="1665">
        <v>0</v>
      </c>
      <c r="BQ437" s="1665">
        <v>0</v>
      </c>
      <c r="BR437" s="1665">
        <v>0</v>
      </c>
      <c r="BS437" s="1667">
        <v>0</v>
      </c>
      <c r="BT437" s="1665">
        <v>0</v>
      </c>
      <c r="BU437" s="1665">
        <v>0</v>
      </c>
      <c r="BV437" s="1665">
        <v>0</v>
      </c>
      <c r="BW437" s="1665">
        <v>0</v>
      </c>
      <c r="BX437" s="1665">
        <v>0</v>
      </c>
      <c r="BY437" s="1665">
        <v>0</v>
      </c>
      <c r="BZ437" s="1663"/>
      <c r="CA437" s="1665">
        <v>0</v>
      </c>
      <c r="CB437" s="1668"/>
      <c r="CC437" s="1668"/>
      <c r="CD437" s="1665">
        <v>0</v>
      </c>
      <c r="CE437" s="1665">
        <v>0</v>
      </c>
      <c r="CF437" s="1665">
        <v>0</v>
      </c>
      <c r="CG437" s="1665">
        <v>0</v>
      </c>
      <c r="CH437" s="1665">
        <v>0</v>
      </c>
      <c r="CI437" s="1665">
        <v>0</v>
      </c>
      <c r="CJ437" s="1665">
        <v>0</v>
      </c>
      <c r="CK437" s="1665">
        <v>0</v>
      </c>
      <c r="CL437" s="1668"/>
      <c r="CM437" s="1665">
        <v>0</v>
      </c>
      <c r="CN437" s="1665">
        <v>0</v>
      </c>
      <c r="CO437" s="1665">
        <v>0</v>
      </c>
      <c r="CP437" s="1665">
        <v>0</v>
      </c>
      <c r="CQ437" s="1665">
        <v>0</v>
      </c>
      <c r="CR437" s="1665">
        <v>0</v>
      </c>
      <c r="CS437" s="1665">
        <v>0</v>
      </c>
      <c r="CT437" s="1665">
        <v>0</v>
      </c>
      <c r="CU437" s="1665">
        <v>0</v>
      </c>
      <c r="CV437" s="1665">
        <v>0</v>
      </c>
      <c r="CW437" s="1668"/>
      <c r="CX437" s="1665">
        <v>0</v>
      </c>
      <c r="CY437" s="1665">
        <v>0</v>
      </c>
      <c r="CZ437" s="1665">
        <v>0</v>
      </c>
      <c r="DA437" s="1665">
        <v>0</v>
      </c>
      <c r="DB437" s="1668"/>
      <c r="DC437" s="1662"/>
      <c r="DD437" s="1665">
        <v>0</v>
      </c>
      <c r="DE437" s="1665">
        <v>0</v>
      </c>
      <c r="DF437" s="1665">
        <v>0</v>
      </c>
      <c r="DG437" s="1665">
        <v>0</v>
      </c>
      <c r="DH437" s="1665">
        <v>0</v>
      </c>
    </row>
    <row r="438" spans="1:112" ht="56.25" hidden="1" x14ac:dyDescent="0.25">
      <c r="A438" s="1662" t="s">
        <v>2545</v>
      </c>
      <c r="B438" s="1662" t="s">
        <v>1729</v>
      </c>
      <c r="C438" s="1662" t="s">
        <v>2652</v>
      </c>
      <c r="D438" s="1662" t="s">
        <v>2653</v>
      </c>
      <c r="E438" s="1662" t="s">
        <v>2516</v>
      </c>
      <c r="F438" s="1662" t="s">
        <v>2654</v>
      </c>
      <c r="G438" s="1662" t="s">
        <v>2628</v>
      </c>
      <c r="H438" s="1662" t="s">
        <v>2613</v>
      </c>
      <c r="I438" s="1662" t="s">
        <v>826</v>
      </c>
      <c r="J438" s="1662" t="s">
        <v>645</v>
      </c>
      <c r="K438" s="1662" t="s">
        <v>2126</v>
      </c>
      <c r="L438" s="1662" t="s">
        <v>2109</v>
      </c>
      <c r="M438" s="1663"/>
      <c r="N438" s="1663"/>
      <c r="O438" s="1663"/>
      <c r="P438" s="1663"/>
      <c r="Q438" s="1663"/>
      <c r="R438" s="1663"/>
      <c r="S438" s="1663"/>
      <c r="T438" s="1663"/>
      <c r="U438" s="1663"/>
      <c r="V438" s="1663"/>
      <c r="W438" s="1663"/>
      <c r="X438" s="1663"/>
      <c r="Y438" s="1664">
        <v>43264</v>
      </c>
      <c r="Z438" s="1662" t="s">
        <v>2145</v>
      </c>
      <c r="AA438" s="1665">
        <v>0</v>
      </c>
      <c r="AB438" s="1665">
        <v>0</v>
      </c>
      <c r="AC438" s="1680">
        <v>0</v>
      </c>
      <c r="AD438" s="1682">
        <v>43272</v>
      </c>
      <c r="AE438" s="1679" t="s">
        <v>2111</v>
      </c>
      <c r="AF438" s="1662" t="s">
        <v>2112</v>
      </c>
      <c r="AG438" s="1666"/>
      <c r="AH438" s="1667">
        <v>17562.78</v>
      </c>
      <c r="AI438" s="1665">
        <v>17562.78</v>
      </c>
      <c r="AJ438" s="1665">
        <v>17562.78</v>
      </c>
      <c r="AK438" s="1698">
        <v>17562.78</v>
      </c>
      <c r="AL438" s="1665">
        <v>0</v>
      </c>
      <c r="AM438" s="1668"/>
      <c r="AN438" s="1665">
        <v>0</v>
      </c>
      <c r="AO438" s="1665">
        <v>0</v>
      </c>
      <c r="AP438" s="1665">
        <v>0</v>
      </c>
      <c r="AQ438" s="1665">
        <v>0</v>
      </c>
      <c r="AR438" s="1665">
        <v>0</v>
      </c>
      <c r="AS438" s="1665">
        <v>0</v>
      </c>
      <c r="AT438" s="1665">
        <v>0</v>
      </c>
      <c r="AU438" s="1665">
        <v>0</v>
      </c>
      <c r="AV438" s="1665">
        <v>0</v>
      </c>
      <c r="AW438" s="1665">
        <v>0</v>
      </c>
      <c r="AX438" s="1663"/>
      <c r="AY438" s="1663"/>
      <c r="AZ438" s="1663"/>
      <c r="BA438" s="1668"/>
      <c r="BB438" s="1668"/>
      <c r="BC438" s="1663"/>
      <c r="BD438" s="1663"/>
      <c r="BE438" s="1665">
        <v>0</v>
      </c>
      <c r="BF438" s="1665">
        <v>0</v>
      </c>
      <c r="BG438" s="1665">
        <v>0</v>
      </c>
      <c r="BH438" s="1665">
        <v>0</v>
      </c>
      <c r="BI438" s="1665">
        <v>0</v>
      </c>
      <c r="BJ438" s="1665">
        <v>0</v>
      </c>
      <c r="BK438" s="1665">
        <v>0</v>
      </c>
      <c r="BL438" s="1665">
        <v>0</v>
      </c>
      <c r="BM438" s="1665">
        <v>0</v>
      </c>
      <c r="BN438" s="1665">
        <v>0</v>
      </c>
      <c r="BO438" s="1668"/>
      <c r="BP438" s="1665">
        <v>0</v>
      </c>
      <c r="BQ438" s="1665">
        <v>0</v>
      </c>
      <c r="BR438" s="1665">
        <v>0</v>
      </c>
      <c r="BS438" s="1667">
        <v>0</v>
      </c>
      <c r="BT438" s="1665">
        <v>0</v>
      </c>
      <c r="BU438" s="1665">
        <v>0</v>
      </c>
      <c r="BV438" s="1665">
        <v>0</v>
      </c>
      <c r="BW438" s="1665">
        <v>0</v>
      </c>
      <c r="BX438" s="1665">
        <v>0</v>
      </c>
      <c r="BY438" s="1665">
        <v>0</v>
      </c>
      <c r="BZ438" s="1663"/>
      <c r="CA438" s="1663"/>
      <c r="CB438" s="1668"/>
      <c r="CC438" s="1668"/>
      <c r="CD438" s="1663"/>
      <c r="CE438" s="1663"/>
      <c r="CF438" s="1665">
        <v>0</v>
      </c>
      <c r="CG438" s="1665">
        <v>0</v>
      </c>
      <c r="CH438" s="1665">
        <v>0</v>
      </c>
      <c r="CI438" s="1665">
        <v>0</v>
      </c>
      <c r="CJ438" s="1665">
        <v>0</v>
      </c>
      <c r="CK438" s="1665">
        <v>0</v>
      </c>
      <c r="CL438" s="1668"/>
      <c r="CM438" s="1665">
        <v>0</v>
      </c>
      <c r="CN438" s="1665">
        <v>0</v>
      </c>
      <c r="CO438" s="1665">
        <v>0</v>
      </c>
      <c r="CP438" s="1665">
        <v>0</v>
      </c>
      <c r="CQ438" s="1665">
        <v>0</v>
      </c>
      <c r="CR438" s="1665">
        <v>0</v>
      </c>
      <c r="CS438" s="1665">
        <v>0</v>
      </c>
      <c r="CT438" s="1665">
        <v>0</v>
      </c>
      <c r="CU438" s="1665">
        <v>0</v>
      </c>
      <c r="CV438" s="1665">
        <v>0</v>
      </c>
      <c r="CW438" s="1668"/>
      <c r="CX438" s="1663"/>
      <c r="CY438" s="1663"/>
      <c r="CZ438" s="1663"/>
      <c r="DA438" s="1663"/>
      <c r="DB438" s="1668"/>
      <c r="DC438" s="1662"/>
      <c r="DD438" s="1665">
        <v>0</v>
      </c>
      <c r="DE438" s="1663"/>
      <c r="DF438" s="1663"/>
      <c r="DG438" s="1665">
        <v>0</v>
      </c>
      <c r="DH438" s="1665">
        <v>0</v>
      </c>
    </row>
    <row r="439" spans="1:112" ht="56.25" hidden="1" x14ac:dyDescent="0.25">
      <c r="A439" s="1662" t="s">
        <v>2546</v>
      </c>
      <c r="B439" s="1662" t="s">
        <v>1729</v>
      </c>
      <c r="C439" s="1662" t="s">
        <v>2652</v>
      </c>
      <c r="D439" s="1662" t="s">
        <v>2653</v>
      </c>
      <c r="E439" s="1662" t="s">
        <v>2516</v>
      </c>
      <c r="F439" s="1662" t="s">
        <v>2654</v>
      </c>
      <c r="G439" s="1662" t="s">
        <v>2628</v>
      </c>
      <c r="H439" s="1662" t="s">
        <v>2613</v>
      </c>
      <c r="I439" s="1662" t="s">
        <v>826</v>
      </c>
      <c r="J439" s="1662" t="s">
        <v>645</v>
      </c>
      <c r="K439" s="1662" t="s">
        <v>2126</v>
      </c>
      <c r="L439" s="1662" t="s">
        <v>2109</v>
      </c>
      <c r="M439" s="1663"/>
      <c r="N439" s="1663"/>
      <c r="O439" s="1663"/>
      <c r="P439" s="1663"/>
      <c r="Q439" s="1663"/>
      <c r="R439" s="1663"/>
      <c r="S439" s="1663"/>
      <c r="T439" s="1663"/>
      <c r="U439" s="1663"/>
      <c r="V439" s="1663"/>
      <c r="W439" s="1663"/>
      <c r="X439" s="1663"/>
      <c r="Y439" s="1664">
        <v>43294</v>
      </c>
      <c r="Z439" s="1662" t="s">
        <v>2145</v>
      </c>
      <c r="AA439" s="1665">
        <v>0</v>
      </c>
      <c r="AB439" s="1665">
        <v>0</v>
      </c>
      <c r="AC439" s="1680">
        <v>0</v>
      </c>
      <c r="AD439" s="1682">
        <v>43301</v>
      </c>
      <c r="AE439" s="1679" t="s">
        <v>2114</v>
      </c>
      <c r="AF439" s="1662" t="s">
        <v>2112</v>
      </c>
      <c r="AG439" s="1666"/>
      <c r="AH439" s="1667">
        <v>122437.22</v>
      </c>
      <c r="AI439" s="1665">
        <v>122437.22</v>
      </c>
      <c r="AJ439" s="1665">
        <v>122437.22</v>
      </c>
      <c r="AK439" s="1698">
        <v>122437.22</v>
      </c>
      <c r="AL439" s="1665">
        <v>0</v>
      </c>
      <c r="AM439" s="1668"/>
      <c r="AN439" s="1665">
        <v>0</v>
      </c>
      <c r="AO439" s="1665">
        <v>0</v>
      </c>
      <c r="AP439" s="1665">
        <v>0</v>
      </c>
      <c r="AQ439" s="1665">
        <v>0</v>
      </c>
      <c r="AR439" s="1665">
        <v>0</v>
      </c>
      <c r="AS439" s="1665">
        <v>0</v>
      </c>
      <c r="AT439" s="1665">
        <v>0</v>
      </c>
      <c r="AU439" s="1665">
        <v>0</v>
      </c>
      <c r="AV439" s="1665">
        <v>0</v>
      </c>
      <c r="AW439" s="1665">
        <v>0</v>
      </c>
      <c r="AX439" s="1663"/>
      <c r="AY439" s="1663"/>
      <c r="AZ439" s="1663"/>
      <c r="BA439" s="1668"/>
      <c r="BB439" s="1668"/>
      <c r="BC439" s="1663"/>
      <c r="BD439" s="1663"/>
      <c r="BE439" s="1665">
        <v>0</v>
      </c>
      <c r="BF439" s="1665">
        <v>0</v>
      </c>
      <c r="BG439" s="1665">
        <v>0</v>
      </c>
      <c r="BH439" s="1665">
        <v>0</v>
      </c>
      <c r="BI439" s="1665">
        <v>0</v>
      </c>
      <c r="BJ439" s="1665">
        <v>0</v>
      </c>
      <c r="BK439" s="1665">
        <v>0</v>
      </c>
      <c r="BL439" s="1665">
        <v>0</v>
      </c>
      <c r="BM439" s="1665">
        <v>0</v>
      </c>
      <c r="BN439" s="1665">
        <v>0</v>
      </c>
      <c r="BO439" s="1668"/>
      <c r="BP439" s="1665">
        <v>0</v>
      </c>
      <c r="BQ439" s="1665">
        <v>0</v>
      </c>
      <c r="BR439" s="1665">
        <v>0</v>
      </c>
      <c r="BS439" s="1667">
        <v>0</v>
      </c>
      <c r="BT439" s="1665">
        <v>0</v>
      </c>
      <c r="BU439" s="1665">
        <v>0</v>
      </c>
      <c r="BV439" s="1665">
        <v>0</v>
      </c>
      <c r="BW439" s="1665">
        <v>0</v>
      </c>
      <c r="BX439" s="1665">
        <v>0</v>
      </c>
      <c r="BY439" s="1665">
        <v>0</v>
      </c>
      <c r="BZ439" s="1663"/>
      <c r="CA439" s="1663"/>
      <c r="CB439" s="1668"/>
      <c r="CC439" s="1668"/>
      <c r="CD439" s="1663"/>
      <c r="CE439" s="1663"/>
      <c r="CF439" s="1665">
        <v>0</v>
      </c>
      <c r="CG439" s="1665">
        <v>0</v>
      </c>
      <c r="CH439" s="1665">
        <v>0</v>
      </c>
      <c r="CI439" s="1665">
        <v>0</v>
      </c>
      <c r="CJ439" s="1665">
        <v>0</v>
      </c>
      <c r="CK439" s="1665">
        <v>0</v>
      </c>
      <c r="CL439" s="1668"/>
      <c r="CM439" s="1665">
        <v>0</v>
      </c>
      <c r="CN439" s="1665">
        <v>0</v>
      </c>
      <c r="CO439" s="1665">
        <v>0</v>
      </c>
      <c r="CP439" s="1665">
        <v>0</v>
      </c>
      <c r="CQ439" s="1665">
        <v>0</v>
      </c>
      <c r="CR439" s="1665">
        <v>0</v>
      </c>
      <c r="CS439" s="1665">
        <v>0</v>
      </c>
      <c r="CT439" s="1665">
        <v>0</v>
      </c>
      <c r="CU439" s="1665">
        <v>0</v>
      </c>
      <c r="CV439" s="1665">
        <v>0</v>
      </c>
      <c r="CW439" s="1668"/>
      <c r="CX439" s="1663"/>
      <c r="CY439" s="1663"/>
      <c r="CZ439" s="1663"/>
      <c r="DA439" s="1663"/>
      <c r="DB439" s="1668"/>
      <c r="DC439" s="1662"/>
      <c r="DD439" s="1665">
        <v>0</v>
      </c>
      <c r="DE439" s="1663"/>
      <c r="DF439" s="1663"/>
      <c r="DG439" s="1665">
        <v>0</v>
      </c>
      <c r="DH439" s="1665">
        <v>0</v>
      </c>
    </row>
    <row r="440" spans="1:112" hidden="1" x14ac:dyDescent="0.25">
      <c r="A440" s="1662" t="s">
        <v>2547</v>
      </c>
      <c r="B440" s="1662" t="s">
        <v>1731</v>
      </c>
      <c r="C440" s="1662"/>
      <c r="D440" s="1662"/>
      <c r="E440" s="1662"/>
      <c r="F440" s="1662"/>
      <c r="G440" s="1662"/>
      <c r="H440" s="1662"/>
      <c r="I440" s="1662"/>
      <c r="J440" s="1662"/>
      <c r="K440" s="1662"/>
      <c r="L440" s="1662"/>
      <c r="M440" s="1665">
        <v>906987.73</v>
      </c>
      <c r="N440" s="1665">
        <v>0</v>
      </c>
      <c r="O440" s="1665">
        <v>906987.73</v>
      </c>
      <c r="P440" s="1665">
        <v>906987.73</v>
      </c>
      <c r="Q440" s="1665">
        <v>770807.84</v>
      </c>
      <c r="R440" s="1665">
        <v>770807.84</v>
      </c>
      <c r="S440" s="1665">
        <v>0</v>
      </c>
      <c r="T440" s="1665">
        <v>136179.89000000001</v>
      </c>
      <c r="U440" s="1665">
        <v>0</v>
      </c>
      <c r="V440" s="1665">
        <v>136179.89000000001</v>
      </c>
      <c r="W440" s="1665">
        <v>0</v>
      </c>
      <c r="X440" s="1665">
        <v>0</v>
      </c>
      <c r="Y440" s="1668"/>
      <c r="Z440" s="1662"/>
      <c r="AA440" s="1665">
        <v>0</v>
      </c>
      <c r="AB440" s="1665">
        <v>0</v>
      </c>
      <c r="AC440" s="1680">
        <v>0</v>
      </c>
      <c r="AD440" s="1681"/>
      <c r="AE440" s="1679"/>
      <c r="AF440" s="1662"/>
      <c r="AG440" s="1666"/>
      <c r="AH440" s="1667">
        <v>162650.93</v>
      </c>
      <c r="AI440" s="1665">
        <v>162650.93</v>
      </c>
      <c r="AJ440" s="1665">
        <v>145599.47</v>
      </c>
      <c r="AK440" s="1698">
        <v>145599.47</v>
      </c>
      <c r="AL440" s="1665">
        <v>0</v>
      </c>
      <c r="AM440" s="1668"/>
      <c r="AN440" s="1665">
        <v>113493.36</v>
      </c>
      <c r="AO440" s="1665">
        <v>113493.36</v>
      </c>
      <c r="AP440" s="1665">
        <v>96441.9</v>
      </c>
      <c r="AQ440" s="1665">
        <v>96441.9</v>
      </c>
      <c r="AR440" s="1665">
        <v>0</v>
      </c>
      <c r="AS440" s="1665">
        <v>17051.46</v>
      </c>
      <c r="AT440" s="1665">
        <v>0</v>
      </c>
      <c r="AU440" s="1665">
        <v>17051.46</v>
      </c>
      <c r="AV440" s="1665">
        <v>0</v>
      </c>
      <c r="AW440" s="1665">
        <v>0</v>
      </c>
      <c r="AX440" s="1665">
        <v>0</v>
      </c>
      <c r="AY440" s="1665">
        <v>0</v>
      </c>
      <c r="AZ440" s="1665">
        <v>0</v>
      </c>
      <c r="BA440" s="1668"/>
      <c r="BB440" s="1668"/>
      <c r="BC440" s="1665">
        <v>0</v>
      </c>
      <c r="BD440" s="1665">
        <v>0</v>
      </c>
      <c r="BE440" s="1665">
        <v>113493.36</v>
      </c>
      <c r="BF440" s="1665">
        <v>113493.36</v>
      </c>
      <c r="BG440" s="1665">
        <v>96441.9</v>
      </c>
      <c r="BH440" s="1665">
        <v>96441.9</v>
      </c>
      <c r="BI440" s="1665">
        <v>0</v>
      </c>
      <c r="BJ440" s="1665">
        <v>17051.46</v>
      </c>
      <c r="BK440" s="1665">
        <v>0</v>
      </c>
      <c r="BL440" s="1665">
        <v>17051.46</v>
      </c>
      <c r="BM440" s="1665">
        <v>0</v>
      </c>
      <c r="BN440" s="1665">
        <v>0</v>
      </c>
      <c r="BO440" s="1668"/>
      <c r="BP440" s="1665">
        <v>50654.11</v>
      </c>
      <c r="BQ440" s="1665">
        <v>50654.11</v>
      </c>
      <c r="BR440" s="1665">
        <v>43055.81</v>
      </c>
      <c r="BS440" s="1667">
        <v>43055.81</v>
      </c>
      <c r="BT440" s="1665">
        <v>0</v>
      </c>
      <c r="BU440" s="1665">
        <v>7598.3</v>
      </c>
      <c r="BV440" s="1665">
        <v>0</v>
      </c>
      <c r="BW440" s="1665">
        <v>0</v>
      </c>
      <c r="BX440" s="1665">
        <v>0</v>
      </c>
      <c r="BY440" s="1665">
        <v>0</v>
      </c>
      <c r="BZ440" s="1665">
        <v>0</v>
      </c>
      <c r="CA440" s="1665">
        <v>0</v>
      </c>
      <c r="CB440" s="1668"/>
      <c r="CC440" s="1668"/>
      <c r="CD440" s="1665">
        <v>-6189.4</v>
      </c>
      <c r="CE440" s="1665">
        <v>-6189.4</v>
      </c>
      <c r="CF440" s="1665">
        <v>0</v>
      </c>
      <c r="CG440" s="1665">
        <v>0</v>
      </c>
      <c r="CH440" s="1665">
        <v>0</v>
      </c>
      <c r="CI440" s="1665">
        <v>0</v>
      </c>
      <c r="CJ440" s="1665">
        <v>6189.4</v>
      </c>
      <c r="CK440" s="1665">
        <v>6189.4</v>
      </c>
      <c r="CL440" s="1668"/>
      <c r="CM440" s="1665">
        <v>0</v>
      </c>
      <c r="CN440" s="1665">
        <v>0</v>
      </c>
      <c r="CO440" s="1665">
        <v>0</v>
      </c>
      <c r="CP440" s="1665">
        <v>0</v>
      </c>
      <c r="CQ440" s="1665">
        <v>0</v>
      </c>
      <c r="CR440" s="1665">
        <v>0</v>
      </c>
      <c r="CS440" s="1665">
        <v>0</v>
      </c>
      <c r="CT440" s="1665">
        <v>0</v>
      </c>
      <c r="CU440" s="1665">
        <v>0</v>
      </c>
      <c r="CV440" s="1665">
        <v>0</v>
      </c>
      <c r="CW440" s="1668"/>
      <c r="CX440" s="1665">
        <v>0</v>
      </c>
      <c r="CY440" s="1665">
        <v>0</v>
      </c>
      <c r="CZ440" s="1665">
        <v>0</v>
      </c>
      <c r="DA440" s="1665">
        <v>0</v>
      </c>
      <c r="DB440" s="1668"/>
      <c r="DC440" s="1662"/>
      <c r="DD440" s="1665">
        <v>29301.16</v>
      </c>
      <c r="DE440" s="1665">
        <v>0</v>
      </c>
      <c r="DF440" s="1665">
        <v>0</v>
      </c>
      <c r="DG440" s="1665">
        <v>0</v>
      </c>
      <c r="DH440" s="1665">
        <v>0</v>
      </c>
    </row>
    <row r="441" spans="1:112" hidden="1" x14ac:dyDescent="0.25">
      <c r="A441" s="1662" t="s">
        <v>2548</v>
      </c>
      <c r="B441" s="1662" t="s">
        <v>1731</v>
      </c>
      <c r="C441" s="1662" t="s">
        <v>2655</v>
      </c>
      <c r="D441" s="1662"/>
      <c r="E441" s="1662"/>
      <c r="F441" s="1662"/>
      <c r="G441" s="1662"/>
      <c r="H441" s="1662"/>
      <c r="I441" s="1662"/>
      <c r="J441" s="1662"/>
      <c r="K441" s="1662"/>
      <c r="L441" s="1662"/>
      <c r="M441" s="1665">
        <v>906987.73</v>
      </c>
      <c r="N441" s="1665">
        <v>0</v>
      </c>
      <c r="O441" s="1665">
        <v>906987.73</v>
      </c>
      <c r="P441" s="1665">
        <v>906987.73</v>
      </c>
      <c r="Q441" s="1665">
        <v>770807.84</v>
      </c>
      <c r="R441" s="1665">
        <v>770807.84</v>
      </c>
      <c r="S441" s="1665">
        <v>0</v>
      </c>
      <c r="T441" s="1665">
        <v>136179.89000000001</v>
      </c>
      <c r="U441" s="1665">
        <v>0</v>
      </c>
      <c r="V441" s="1665">
        <v>136179.89000000001</v>
      </c>
      <c r="W441" s="1665">
        <v>0</v>
      </c>
      <c r="X441" s="1665">
        <v>0</v>
      </c>
      <c r="Y441" s="1668"/>
      <c r="Z441" s="1662"/>
      <c r="AA441" s="1665">
        <v>0</v>
      </c>
      <c r="AB441" s="1665">
        <v>0</v>
      </c>
      <c r="AC441" s="1680">
        <v>0</v>
      </c>
      <c r="AD441" s="1681"/>
      <c r="AE441" s="1679"/>
      <c r="AF441" s="1662"/>
      <c r="AG441" s="1666"/>
      <c r="AH441" s="1667">
        <v>162650.93</v>
      </c>
      <c r="AI441" s="1665">
        <v>162650.93</v>
      </c>
      <c r="AJ441" s="1665">
        <v>145599.47</v>
      </c>
      <c r="AK441" s="1698">
        <v>145599.47</v>
      </c>
      <c r="AL441" s="1665">
        <v>0</v>
      </c>
      <c r="AM441" s="1668"/>
      <c r="AN441" s="1665">
        <v>113493.36</v>
      </c>
      <c r="AO441" s="1665">
        <v>113493.36</v>
      </c>
      <c r="AP441" s="1665">
        <v>96441.9</v>
      </c>
      <c r="AQ441" s="1665">
        <v>96441.9</v>
      </c>
      <c r="AR441" s="1665">
        <v>0</v>
      </c>
      <c r="AS441" s="1665">
        <v>17051.46</v>
      </c>
      <c r="AT441" s="1665">
        <v>0</v>
      </c>
      <c r="AU441" s="1665">
        <v>17051.46</v>
      </c>
      <c r="AV441" s="1665">
        <v>0</v>
      </c>
      <c r="AW441" s="1665">
        <v>0</v>
      </c>
      <c r="AX441" s="1665">
        <v>0</v>
      </c>
      <c r="AY441" s="1665">
        <v>0</v>
      </c>
      <c r="AZ441" s="1665">
        <v>0</v>
      </c>
      <c r="BA441" s="1668"/>
      <c r="BB441" s="1668"/>
      <c r="BC441" s="1665">
        <v>0</v>
      </c>
      <c r="BD441" s="1665">
        <v>0</v>
      </c>
      <c r="BE441" s="1665">
        <v>113493.36</v>
      </c>
      <c r="BF441" s="1665">
        <v>113493.36</v>
      </c>
      <c r="BG441" s="1665">
        <v>96441.9</v>
      </c>
      <c r="BH441" s="1665">
        <v>96441.9</v>
      </c>
      <c r="BI441" s="1665">
        <v>0</v>
      </c>
      <c r="BJ441" s="1665">
        <v>17051.46</v>
      </c>
      <c r="BK441" s="1665">
        <v>0</v>
      </c>
      <c r="BL441" s="1665">
        <v>17051.46</v>
      </c>
      <c r="BM441" s="1665">
        <v>0</v>
      </c>
      <c r="BN441" s="1665">
        <v>0</v>
      </c>
      <c r="BO441" s="1668"/>
      <c r="BP441" s="1665">
        <v>50654.11</v>
      </c>
      <c r="BQ441" s="1665">
        <v>50654.11</v>
      </c>
      <c r="BR441" s="1665">
        <v>43055.81</v>
      </c>
      <c r="BS441" s="1667">
        <v>43055.81</v>
      </c>
      <c r="BT441" s="1665">
        <v>0</v>
      </c>
      <c r="BU441" s="1665">
        <v>7598.3</v>
      </c>
      <c r="BV441" s="1665">
        <v>0</v>
      </c>
      <c r="BW441" s="1665">
        <v>0</v>
      </c>
      <c r="BX441" s="1665">
        <v>0</v>
      </c>
      <c r="BY441" s="1665">
        <v>0</v>
      </c>
      <c r="BZ441" s="1665">
        <v>0</v>
      </c>
      <c r="CA441" s="1665">
        <v>0</v>
      </c>
      <c r="CB441" s="1668"/>
      <c r="CC441" s="1668"/>
      <c r="CD441" s="1665">
        <v>-6189.4</v>
      </c>
      <c r="CE441" s="1665">
        <v>-6189.4</v>
      </c>
      <c r="CF441" s="1665">
        <v>0</v>
      </c>
      <c r="CG441" s="1665">
        <v>0</v>
      </c>
      <c r="CH441" s="1665">
        <v>0</v>
      </c>
      <c r="CI441" s="1665">
        <v>0</v>
      </c>
      <c r="CJ441" s="1665">
        <v>6189.4</v>
      </c>
      <c r="CK441" s="1665">
        <v>6189.4</v>
      </c>
      <c r="CL441" s="1668"/>
      <c r="CM441" s="1665">
        <v>0</v>
      </c>
      <c r="CN441" s="1665">
        <v>0</v>
      </c>
      <c r="CO441" s="1665">
        <v>0</v>
      </c>
      <c r="CP441" s="1665">
        <v>0</v>
      </c>
      <c r="CQ441" s="1665">
        <v>0</v>
      </c>
      <c r="CR441" s="1665">
        <v>0</v>
      </c>
      <c r="CS441" s="1665">
        <v>0</v>
      </c>
      <c r="CT441" s="1665">
        <v>0</v>
      </c>
      <c r="CU441" s="1665">
        <v>0</v>
      </c>
      <c r="CV441" s="1665">
        <v>0</v>
      </c>
      <c r="CW441" s="1668"/>
      <c r="CX441" s="1665">
        <v>0</v>
      </c>
      <c r="CY441" s="1665">
        <v>0</v>
      </c>
      <c r="CZ441" s="1665">
        <v>0</v>
      </c>
      <c r="DA441" s="1665">
        <v>0</v>
      </c>
      <c r="DB441" s="1668"/>
      <c r="DC441" s="1662"/>
      <c r="DD441" s="1665">
        <v>29301.16</v>
      </c>
      <c r="DE441" s="1665">
        <v>0</v>
      </c>
      <c r="DF441" s="1665">
        <v>0</v>
      </c>
      <c r="DG441" s="1665">
        <v>0</v>
      </c>
      <c r="DH441" s="1665">
        <v>0</v>
      </c>
    </row>
    <row r="442" spans="1:112" hidden="1" x14ac:dyDescent="0.25">
      <c r="A442" s="1662" t="s">
        <v>2549</v>
      </c>
      <c r="B442" s="1662" t="s">
        <v>1731</v>
      </c>
      <c r="C442" s="1662" t="s">
        <v>2655</v>
      </c>
      <c r="D442" s="1662" t="s">
        <v>2656</v>
      </c>
      <c r="E442" s="1662"/>
      <c r="F442" s="1662"/>
      <c r="G442" s="1662"/>
      <c r="H442" s="1662"/>
      <c r="I442" s="1662"/>
      <c r="J442" s="1662"/>
      <c r="K442" s="1662"/>
      <c r="L442" s="1662"/>
      <c r="M442" s="1665">
        <v>906987.73</v>
      </c>
      <c r="N442" s="1665">
        <v>0</v>
      </c>
      <c r="O442" s="1665">
        <v>906987.73</v>
      </c>
      <c r="P442" s="1665">
        <v>906987.73</v>
      </c>
      <c r="Q442" s="1665">
        <v>770807.84</v>
      </c>
      <c r="R442" s="1665">
        <v>770807.84</v>
      </c>
      <c r="S442" s="1665">
        <v>0</v>
      </c>
      <c r="T442" s="1665">
        <v>136179.89000000001</v>
      </c>
      <c r="U442" s="1665">
        <v>0</v>
      </c>
      <c r="V442" s="1665">
        <v>136179.89000000001</v>
      </c>
      <c r="W442" s="1665">
        <v>0</v>
      </c>
      <c r="X442" s="1665">
        <v>0</v>
      </c>
      <c r="Y442" s="1668"/>
      <c r="Z442" s="1662"/>
      <c r="AA442" s="1665">
        <v>0</v>
      </c>
      <c r="AB442" s="1665">
        <v>0</v>
      </c>
      <c r="AC442" s="1680">
        <v>0</v>
      </c>
      <c r="AD442" s="1681"/>
      <c r="AE442" s="1679"/>
      <c r="AF442" s="1662"/>
      <c r="AG442" s="1666"/>
      <c r="AH442" s="1667">
        <v>162650.93</v>
      </c>
      <c r="AI442" s="1665">
        <v>162650.93</v>
      </c>
      <c r="AJ442" s="1665">
        <v>145599.47</v>
      </c>
      <c r="AK442" s="1698">
        <v>145599.47</v>
      </c>
      <c r="AL442" s="1665">
        <v>0</v>
      </c>
      <c r="AM442" s="1668"/>
      <c r="AN442" s="1665">
        <v>113493.36</v>
      </c>
      <c r="AO442" s="1665">
        <v>113493.36</v>
      </c>
      <c r="AP442" s="1665">
        <v>96441.9</v>
      </c>
      <c r="AQ442" s="1665">
        <v>96441.9</v>
      </c>
      <c r="AR442" s="1665">
        <v>0</v>
      </c>
      <c r="AS442" s="1665">
        <v>17051.46</v>
      </c>
      <c r="AT442" s="1665">
        <v>0</v>
      </c>
      <c r="AU442" s="1665">
        <v>17051.46</v>
      </c>
      <c r="AV442" s="1665">
        <v>0</v>
      </c>
      <c r="AW442" s="1665">
        <v>0</v>
      </c>
      <c r="AX442" s="1665">
        <v>0</v>
      </c>
      <c r="AY442" s="1665">
        <v>0</v>
      </c>
      <c r="AZ442" s="1665">
        <v>0</v>
      </c>
      <c r="BA442" s="1668"/>
      <c r="BB442" s="1668"/>
      <c r="BC442" s="1665">
        <v>0</v>
      </c>
      <c r="BD442" s="1665">
        <v>0</v>
      </c>
      <c r="BE442" s="1665">
        <v>113493.36</v>
      </c>
      <c r="BF442" s="1665">
        <v>113493.36</v>
      </c>
      <c r="BG442" s="1665">
        <v>96441.9</v>
      </c>
      <c r="BH442" s="1665">
        <v>96441.9</v>
      </c>
      <c r="BI442" s="1665">
        <v>0</v>
      </c>
      <c r="BJ442" s="1665">
        <v>17051.46</v>
      </c>
      <c r="BK442" s="1665">
        <v>0</v>
      </c>
      <c r="BL442" s="1665">
        <v>17051.46</v>
      </c>
      <c r="BM442" s="1665">
        <v>0</v>
      </c>
      <c r="BN442" s="1665">
        <v>0</v>
      </c>
      <c r="BO442" s="1668"/>
      <c r="BP442" s="1665">
        <v>50654.11</v>
      </c>
      <c r="BQ442" s="1665">
        <v>50654.11</v>
      </c>
      <c r="BR442" s="1665">
        <v>43055.81</v>
      </c>
      <c r="BS442" s="1667">
        <v>43055.81</v>
      </c>
      <c r="BT442" s="1665">
        <v>0</v>
      </c>
      <c r="BU442" s="1665">
        <v>7598.3</v>
      </c>
      <c r="BV442" s="1665">
        <v>0</v>
      </c>
      <c r="BW442" s="1665">
        <v>0</v>
      </c>
      <c r="BX442" s="1665">
        <v>0</v>
      </c>
      <c r="BY442" s="1665">
        <v>0</v>
      </c>
      <c r="BZ442" s="1665">
        <v>0</v>
      </c>
      <c r="CA442" s="1665">
        <v>0</v>
      </c>
      <c r="CB442" s="1668"/>
      <c r="CC442" s="1668"/>
      <c r="CD442" s="1665">
        <v>-6189.4</v>
      </c>
      <c r="CE442" s="1665">
        <v>-6189.4</v>
      </c>
      <c r="CF442" s="1665">
        <v>0</v>
      </c>
      <c r="CG442" s="1665">
        <v>0</v>
      </c>
      <c r="CH442" s="1665">
        <v>0</v>
      </c>
      <c r="CI442" s="1665">
        <v>0</v>
      </c>
      <c r="CJ442" s="1665">
        <v>6189.4</v>
      </c>
      <c r="CK442" s="1665">
        <v>6189.4</v>
      </c>
      <c r="CL442" s="1668"/>
      <c r="CM442" s="1665">
        <v>0</v>
      </c>
      <c r="CN442" s="1665">
        <v>0</v>
      </c>
      <c r="CO442" s="1665">
        <v>0</v>
      </c>
      <c r="CP442" s="1665">
        <v>0</v>
      </c>
      <c r="CQ442" s="1665">
        <v>0</v>
      </c>
      <c r="CR442" s="1665">
        <v>0</v>
      </c>
      <c r="CS442" s="1665">
        <v>0</v>
      </c>
      <c r="CT442" s="1665">
        <v>0</v>
      </c>
      <c r="CU442" s="1665">
        <v>0</v>
      </c>
      <c r="CV442" s="1665">
        <v>0</v>
      </c>
      <c r="CW442" s="1668"/>
      <c r="CX442" s="1665">
        <v>0</v>
      </c>
      <c r="CY442" s="1665">
        <v>0</v>
      </c>
      <c r="CZ442" s="1665">
        <v>0</v>
      </c>
      <c r="DA442" s="1665">
        <v>0</v>
      </c>
      <c r="DB442" s="1668"/>
      <c r="DC442" s="1662"/>
      <c r="DD442" s="1665">
        <v>29301.16</v>
      </c>
      <c r="DE442" s="1665">
        <v>0</v>
      </c>
      <c r="DF442" s="1665">
        <v>0</v>
      </c>
      <c r="DG442" s="1665">
        <v>0</v>
      </c>
      <c r="DH442" s="1665">
        <v>0</v>
      </c>
    </row>
    <row r="443" spans="1:112" ht="22.5" hidden="1" x14ac:dyDescent="0.25">
      <c r="A443" s="1662" t="s">
        <v>2107</v>
      </c>
      <c r="B443" s="1662" t="s">
        <v>1731</v>
      </c>
      <c r="C443" s="1662" t="s">
        <v>2655</v>
      </c>
      <c r="D443" s="1662" t="s">
        <v>2656</v>
      </c>
      <c r="E443" s="1662" t="s">
        <v>1138</v>
      </c>
      <c r="F443" s="1662"/>
      <c r="G443" s="1662"/>
      <c r="H443" s="1662"/>
      <c r="I443" s="1662"/>
      <c r="J443" s="1662"/>
      <c r="K443" s="1662"/>
      <c r="L443" s="1662"/>
      <c r="M443" s="1665">
        <v>906987.73</v>
      </c>
      <c r="N443" s="1665">
        <v>0</v>
      </c>
      <c r="O443" s="1665">
        <v>906987.73</v>
      </c>
      <c r="P443" s="1665">
        <v>906987.73</v>
      </c>
      <c r="Q443" s="1665">
        <v>770807.84</v>
      </c>
      <c r="R443" s="1665">
        <v>770807.84</v>
      </c>
      <c r="S443" s="1665">
        <v>0</v>
      </c>
      <c r="T443" s="1665">
        <v>136179.89000000001</v>
      </c>
      <c r="U443" s="1665">
        <v>0</v>
      </c>
      <c r="V443" s="1665">
        <v>136179.89000000001</v>
      </c>
      <c r="W443" s="1665">
        <v>0</v>
      </c>
      <c r="X443" s="1665">
        <v>0</v>
      </c>
      <c r="Y443" s="1668"/>
      <c r="Z443" s="1662"/>
      <c r="AA443" s="1665">
        <v>0</v>
      </c>
      <c r="AB443" s="1665">
        <v>0</v>
      </c>
      <c r="AC443" s="1680">
        <v>0</v>
      </c>
      <c r="AD443" s="1681"/>
      <c r="AE443" s="1679"/>
      <c r="AF443" s="1662"/>
      <c r="AG443" s="1666"/>
      <c r="AH443" s="1667">
        <v>162650.93</v>
      </c>
      <c r="AI443" s="1665">
        <v>162650.93</v>
      </c>
      <c r="AJ443" s="1665">
        <v>145599.47</v>
      </c>
      <c r="AK443" s="1698">
        <v>145599.47</v>
      </c>
      <c r="AL443" s="1665">
        <v>0</v>
      </c>
      <c r="AM443" s="1668"/>
      <c r="AN443" s="1665">
        <v>113493.36</v>
      </c>
      <c r="AO443" s="1665">
        <v>113493.36</v>
      </c>
      <c r="AP443" s="1665">
        <v>96441.9</v>
      </c>
      <c r="AQ443" s="1665">
        <v>96441.9</v>
      </c>
      <c r="AR443" s="1665">
        <v>0</v>
      </c>
      <c r="AS443" s="1665">
        <v>17051.46</v>
      </c>
      <c r="AT443" s="1665">
        <v>0</v>
      </c>
      <c r="AU443" s="1665">
        <v>17051.46</v>
      </c>
      <c r="AV443" s="1665">
        <v>0</v>
      </c>
      <c r="AW443" s="1665">
        <v>0</v>
      </c>
      <c r="AX443" s="1665">
        <v>0</v>
      </c>
      <c r="AY443" s="1665">
        <v>0</v>
      </c>
      <c r="AZ443" s="1665">
        <v>0</v>
      </c>
      <c r="BA443" s="1668"/>
      <c r="BB443" s="1668"/>
      <c r="BC443" s="1665">
        <v>0</v>
      </c>
      <c r="BD443" s="1665">
        <v>0</v>
      </c>
      <c r="BE443" s="1665">
        <v>113493.36</v>
      </c>
      <c r="BF443" s="1665">
        <v>113493.36</v>
      </c>
      <c r="BG443" s="1665">
        <v>96441.9</v>
      </c>
      <c r="BH443" s="1665">
        <v>96441.9</v>
      </c>
      <c r="BI443" s="1665">
        <v>0</v>
      </c>
      <c r="BJ443" s="1665">
        <v>17051.46</v>
      </c>
      <c r="BK443" s="1665">
        <v>0</v>
      </c>
      <c r="BL443" s="1665">
        <v>17051.46</v>
      </c>
      <c r="BM443" s="1665">
        <v>0</v>
      </c>
      <c r="BN443" s="1665">
        <v>0</v>
      </c>
      <c r="BO443" s="1668"/>
      <c r="BP443" s="1665">
        <v>50654.11</v>
      </c>
      <c r="BQ443" s="1665">
        <v>50654.11</v>
      </c>
      <c r="BR443" s="1665">
        <v>43055.81</v>
      </c>
      <c r="BS443" s="1667">
        <v>43055.81</v>
      </c>
      <c r="BT443" s="1665">
        <v>0</v>
      </c>
      <c r="BU443" s="1665">
        <v>7598.3</v>
      </c>
      <c r="BV443" s="1665">
        <v>0</v>
      </c>
      <c r="BW443" s="1665">
        <v>0</v>
      </c>
      <c r="BX443" s="1665">
        <v>0</v>
      </c>
      <c r="BY443" s="1665">
        <v>0</v>
      </c>
      <c r="BZ443" s="1665">
        <v>0</v>
      </c>
      <c r="CA443" s="1665">
        <v>0</v>
      </c>
      <c r="CB443" s="1668"/>
      <c r="CC443" s="1668"/>
      <c r="CD443" s="1665">
        <v>-6189.4</v>
      </c>
      <c r="CE443" s="1665">
        <v>-6189.4</v>
      </c>
      <c r="CF443" s="1665">
        <v>0</v>
      </c>
      <c r="CG443" s="1665">
        <v>0</v>
      </c>
      <c r="CH443" s="1665">
        <v>0</v>
      </c>
      <c r="CI443" s="1665">
        <v>0</v>
      </c>
      <c r="CJ443" s="1665">
        <v>6189.4</v>
      </c>
      <c r="CK443" s="1665">
        <v>6189.4</v>
      </c>
      <c r="CL443" s="1668"/>
      <c r="CM443" s="1665">
        <v>0</v>
      </c>
      <c r="CN443" s="1665">
        <v>0</v>
      </c>
      <c r="CO443" s="1665">
        <v>0</v>
      </c>
      <c r="CP443" s="1665">
        <v>0</v>
      </c>
      <c r="CQ443" s="1665">
        <v>0</v>
      </c>
      <c r="CR443" s="1665">
        <v>0</v>
      </c>
      <c r="CS443" s="1665">
        <v>0</v>
      </c>
      <c r="CT443" s="1665">
        <v>0</v>
      </c>
      <c r="CU443" s="1665">
        <v>0</v>
      </c>
      <c r="CV443" s="1665">
        <v>0</v>
      </c>
      <c r="CW443" s="1668"/>
      <c r="CX443" s="1665">
        <v>0</v>
      </c>
      <c r="CY443" s="1665">
        <v>0</v>
      </c>
      <c r="CZ443" s="1665">
        <v>0</v>
      </c>
      <c r="DA443" s="1665">
        <v>0</v>
      </c>
      <c r="DB443" s="1668"/>
      <c r="DC443" s="1662"/>
      <c r="DD443" s="1665">
        <v>29301.16</v>
      </c>
      <c r="DE443" s="1665">
        <v>0</v>
      </c>
      <c r="DF443" s="1665">
        <v>0</v>
      </c>
      <c r="DG443" s="1665">
        <v>0</v>
      </c>
      <c r="DH443" s="1665">
        <v>0</v>
      </c>
    </row>
    <row r="444" spans="1:112" ht="56.25" hidden="1" x14ac:dyDescent="0.25">
      <c r="A444" s="1662" t="s">
        <v>2113</v>
      </c>
      <c r="B444" s="1662" t="s">
        <v>1731</v>
      </c>
      <c r="C444" s="1662" t="s">
        <v>2655</v>
      </c>
      <c r="D444" s="1662" t="s">
        <v>2656</v>
      </c>
      <c r="E444" s="1662" t="s">
        <v>1138</v>
      </c>
      <c r="F444" s="1662" t="s">
        <v>2635</v>
      </c>
      <c r="G444" s="1662" t="s">
        <v>2644</v>
      </c>
      <c r="H444" s="1662" t="s">
        <v>2645</v>
      </c>
      <c r="I444" s="1662" t="s">
        <v>1228</v>
      </c>
      <c r="J444" s="1662" t="s">
        <v>274</v>
      </c>
      <c r="K444" s="1662" t="s">
        <v>2108</v>
      </c>
      <c r="L444" s="1662" t="s">
        <v>2109</v>
      </c>
      <c r="M444" s="1665">
        <v>172733.52</v>
      </c>
      <c r="N444" s="1665">
        <v>0</v>
      </c>
      <c r="O444" s="1665">
        <v>172733.52</v>
      </c>
      <c r="P444" s="1665">
        <v>172733.52</v>
      </c>
      <c r="Q444" s="1665">
        <v>146823.49</v>
      </c>
      <c r="R444" s="1665">
        <v>146823.49</v>
      </c>
      <c r="S444" s="1665">
        <v>0</v>
      </c>
      <c r="T444" s="1665">
        <v>25910.03</v>
      </c>
      <c r="U444" s="1665">
        <v>0</v>
      </c>
      <c r="V444" s="1665">
        <v>25910.03</v>
      </c>
      <c r="W444" s="1665">
        <v>0</v>
      </c>
      <c r="X444" s="1665">
        <v>0</v>
      </c>
      <c r="Y444" s="1668"/>
      <c r="Z444" s="1662"/>
      <c r="AA444" s="1665">
        <v>0</v>
      </c>
      <c r="AB444" s="1665">
        <v>0</v>
      </c>
      <c r="AC444" s="1680">
        <v>0</v>
      </c>
      <c r="AD444" s="1681"/>
      <c r="AE444" s="1679"/>
      <c r="AF444" s="1662"/>
      <c r="AG444" s="1666"/>
      <c r="AH444" s="1667">
        <v>41509.26</v>
      </c>
      <c r="AI444" s="1665">
        <v>41509.26</v>
      </c>
      <c r="AJ444" s="1665">
        <v>36384.050000000003</v>
      </c>
      <c r="AK444" s="1698">
        <v>36384.050000000003</v>
      </c>
      <c r="AL444" s="1665">
        <v>0</v>
      </c>
      <c r="AM444" s="1668"/>
      <c r="AN444" s="1665">
        <v>34168.089999999997</v>
      </c>
      <c r="AO444" s="1665">
        <v>34168.089999999997</v>
      </c>
      <c r="AP444" s="1665">
        <v>29042.880000000001</v>
      </c>
      <c r="AQ444" s="1665">
        <v>29042.880000000001</v>
      </c>
      <c r="AR444" s="1665">
        <v>0</v>
      </c>
      <c r="AS444" s="1665">
        <v>5125.21</v>
      </c>
      <c r="AT444" s="1665">
        <v>0</v>
      </c>
      <c r="AU444" s="1665">
        <v>5125.21</v>
      </c>
      <c r="AV444" s="1665">
        <v>0</v>
      </c>
      <c r="AW444" s="1665">
        <v>0</v>
      </c>
      <c r="AX444" s="1665">
        <v>0</v>
      </c>
      <c r="AY444" s="1665">
        <v>0</v>
      </c>
      <c r="AZ444" s="1665">
        <v>0</v>
      </c>
      <c r="BA444" s="1668"/>
      <c r="BB444" s="1668"/>
      <c r="BC444" s="1665">
        <v>0</v>
      </c>
      <c r="BD444" s="1665">
        <v>0</v>
      </c>
      <c r="BE444" s="1665">
        <v>34168.089999999997</v>
      </c>
      <c r="BF444" s="1665">
        <v>34168.089999999997</v>
      </c>
      <c r="BG444" s="1665">
        <v>29042.880000000001</v>
      </c>
      <c r="BH444" s="1665">
        <v>29042.880000000001</v>
      </c>
      <c r="BI444" s="1665">
        <v>0</v>
      </c>
      <c r="BJ444" s="1665">
        <v>5125.21</v>
      </c>
      <c r="BK444" s="1665">
        <v>0</v>
      </c>
      <c r="BL444" s="1665">
        <v>5125.21</v>
      </c>
      <c r="BM444" s="1665">
        <v>0</v>
      </c>
      <c r="BN444" s="1665">
        <v>0</v>
      </c>
      <c r="BO444" s="1668"/>
      <c r="BP444" s="1665">
        <v>14903.99</v>
      </c>
      <c r="BQ444" s="1665">
        <v>14903.99</v>
      </c>
      <c r="BR444" s="1665">
        <v>12668.39</v>
      </c>
      <c r="BS444" s="1667">
        <v>12668.39</v>
      </c>
      <c r="BT444" s="1665">
        <v>0</v>
      </c>
      <c r="BU444" s="1665">
        <v>2235.6</v>
      </c>
      <c r="BV444" s="1665">
        <v>0</v>
      </c>
      <c r="BW444" s="1665">
        <v>0</v>
      </c>
      <c r="BX444" s="1665">
        <v>0</v>
      </c>
      <c r="BY444" s="1665">
        <v>0</v>
      </c>
      <c r="BZ444" s="1665">
        <v>0</v>
      </c>
      <c r="CA444" s="1665">
        <v>0</v>
      </c>
      <c r="CB444" s="1664">
        <v>43364</v>
      </c>
      <c r="CC444" s="1668"/>
      <c r="CD444" s="1665">
        <v>-1596.78</v>
      </c>
      <c r="CE444" s="1665">
        <v>-1596.78</v>
      </c>
      <c r="CF444" s="1665">
        <v>0</v>
      </c>
      <c r="CG444" s="1665">
        <v>0</v>
      </c>
      <c r="CH444" s="1665">
        <v>0</v>
      </c>
      <c r="CI444" s="1665">
        <v>0</v>
      </c>
      <c r="CJ444" s="1665">
        <v>1596.78</v>
      </c>
      <c r="CK444" s="1665">
        <v>1596.78</v>
      </c>
      <c r="CL444" s="1668"/>
      <c r="CM444" s="1665">
        <v>0</v>
      </c>
      <c r="CN444" s="1665">
        <v>0</v>
      </c>
      <c r="CO444" s="1665">
        <v>0</v>
      </c>
      <c r="CP444" s="1665">
        <v>0</v>
      </c>
      <c r="CQ444" s="1665">
        <v>0</v>
      </c>
      <c r="CR444" s="1665">
        <v>0</v>
      </c>
      <c r="CS444" s="1665">
        <v>0</v>
      </c>
      <c r="CT444" s="1665">
        <v>0</v>
      </c>
      <c r="CU444" s="1665">
        <v>0</v>
      </c>
      <c r="CV444" s="1665">
        <v>0</v>
      </c>
      <c r="CW444" s="1668"/>
      <c r="CX444" s="1665">
        <v>0</v>
      </c>
      <c r="CY444" s="1665">
        <v>0</v>
      </c>
      <c r="CZ444" s="1665">
        <v>0</v>
      </c>
      <c r="DA444" s="1665">
        <v>0</v>
      </c>
      <c r="DB444" s="1668"/>
      <c r="DC444" s="1662"/>
      <c r="DD444" s="1665">
        <v>16187.68</v>
      </c>
      <c r="DE444" s="1665">
        <v>0</v>
      </c>
      <c r="DF444" s="1665">
        <v>0</v>
      </c>
      <c r="DG444" s="1665">
        <v>0</v>
      </c>
      <c r="DH444" s="1665">
        <v>0</v>
      </c>
    </row>
    <row r="445" spans="1:112" ht="56.25" hidden="1" x14ac:dyDescent="0.25">
      <c r="A445" s="1662" t="s">
        <v>2550</v>
      </c>
      <c r="B445" s="1662" t="s">
        <v>1731</v>
      </c>
      <c r="C445" s="1662" t="s">
        <v>2655</v>
      </c>
      <c r="D445" s="1662" t="s">
        <v>2656</v>
      </c>
      <c r="E445" s="1662" t="s">
        <v>1138</v>
      </c>
      <c r="F445" s="1662" t="s">
        <v>2635</v>
      </c>
      <c r="G445" s="1662" t="s">
        <v>2644</v>
      </c>
      <c r="H445" s="1662" t="s">
        <v>2645</v>
      </c>
      <c r="I445" s="1662" t="s">
        <v>1228</v>
      </c>
      <c r="J445" s="1662" t="s">
        <v>274</v>
      </c>
      <c r="K445" s="1662" t="s">
        <v>2108</v>
      </c>
      <c r="L445" s="1662" t="s">
        <v>2109</v>
      </c>
      <c r="M445" s="1663"/>
      <c r="N445" s="1663"/>
      <c r="O445" s="1663"/>
      <c r="P445" s="1663"/>
      <c r="Q445" s="1663"/>
      <c r="R445" s="1663"/>
      <c r="S445" s="1663"/>
      <c r="T445" s="1663"/>
      <c r="U445" s="1663"/>
      <c r="V445" s="1663"/>
      <c r="W445" s="1663"/>
      <c r="X445" s="1663"/>
      <c r="Y445" s="1664">
        <v>43161</v>
      </c>
      <c r="Z445" s="1662" t="s">
        <v>2145</v>
      </c>
      <c r="AA445" s="1665">
        <v>0</v>
      </c>
      <c r="AB445" s="1665">
        <v>0</v>
      </c>
      <c r="AC445" s="1680">
        <v>0</v>
      </c>
      <c r="AD445" s="1682">
        <v>43175</v>
      </c>
      <c r="AE445" s="1679" t="s">
        <v>2122</v>
      </c>
      <c r="AF445" s="1662" t="s">
        <v>2112</v>
      </c>
      <c r="AG445" s="1666"/>
      <c r="AH445" s="1667">
        <v>7341.17</v>
      </c>
      <c r="AI445" s="1665">
        <v>7341.17</v>
      </c>
      <c r="AJ445" s="1665">
        <v>7341.17</v>
      </c>
      <c r="AK445" s="1698">
        <v>7341.17</v>
      </c>
      <c r="AL445" s="1665">
        <v>0</v>
      </c>
      <c r="AM445" s="1668"/>
      <c r="AN445" s="1665">
        <v>0</v>
      </c>
      <c r="AO445" s="1665">
        <v>0</v>
      </c>
      <c r="AP445" s="1665">
        <v>0</v>
      </c>
      <c r="AQ445" s="1665">
        <v>0</v>
      </c>
      <c r="AR445" s="1665">
        <v>0</v>
      </c>
      <c r="AS445" s="1665">
        <v>0</v>
      </c>
      <c r="AT445" s="1665">
        <v>0</v>
      </c>
      <c r="AU445" s="1665">
        <v>0</v>
      </c>
      <c r="AV445" s="1665">
        <v>0</v>
      </c>
      <c r="AW445" s="1665">
        <v>0</v>
      </c>
      <c r="AX445" s="1663"/>
      <c r="AY445" s="1663"/>
      <c r="AZ445" s="1663"/>
      <c r="BA445" s="1668"/>
      <c r="BB445" s="1668"/>
      <c r="BC445" s="1663"/>
      <c r="BD445" s="1663"/>
      <c r="BE445" s="1665">
        <v>0</v>
      </c>
      <c r="BF445" s="1665">
        <v>0</v>
      </c>
      <c r="BG445" s="1665">
        <v>0</v>
      </c>
      <c r="BH445" s="1665">
        <v>0</v>
      </c>
      <c r="BI445" s="1665">
        <v>0</v>
      </c>
      <c r="BJ445" s="1665">
        <v>0</v>
      </c>
      <c r="BK445" s="1665">
        <v>0</v>
      </c>
      <c r="BL445" s="1665">
        <v>0</v>
      </c>
      <c r="BM445" s="1665">
        <v>0</v>
      </c>
      <c r="BN445" s="1665">
        <v>0</v>
      </c>
      <c r="BO445" s="1668"/>
      <c r="BP445" s="1665">
        <v>0</v>
      </c>
      <c r="BQ445" s="1665">
        <v>0</v>
      </c>
      <c r="BR445" s="1665">
        <v>0</v>
      </c>
      <c r="BS445" s="1667">
        <v>0</v>
      </c>
      <c r="BT445" s="1665">
        <v>0</v>
      </c>
      <c r="BU445" s="1665">
        <v>0</v>
      </c>
      <c r="BV445" s="1665">
        <v>0</v>
      </c>
      <c r="BW445" s="1665">
        <v>0</v>
      </c>
      <c r="BX445" s="1665">
        <v>0</v>
      </c>
      <c r="BY445" s="1665">
        <v>0</v>
      </c>
      <c r="BZ445" s="1663"/>
      <c r="CA445" s="1663"/>
      <c r="CB445" s="1668"/>
      <c r="CC445" s="1668"/>
      <c r="CD445" s="1663"/>
      <c r="CE445" s="1663"/>
      <c r="CF445" s="1665">
        <v>0</v>
      </c>
      <c r="CG445" s="1665">
        <v>0</v>
      </c>
      <c r="CH445" s="1665">
        <v>0</v>
      </c>
      <c r="CI445" s="1665">
        <v>0</v>
      </c>
      <c r="CJ445" s="1665">
        <v>0</v>
      </c>
      <c r="CK445" s="1665">
        <v>0</v>
      </c>
      <c r="CL445" s="1668"/>
      <c r="CM445" s="1665">
        <v>0</v>
      </c>
      <c r="CN445" s="1665">
        <v>0</v>
      </c>
      <c r="CO445" s="1665">
        <v>0</v>
      </c>
      <c r="CP445" s="1665">
        <v>0</v>
      </c>
      <c r="CQ445" s="1665">
        <v>0</v>
      </c>
      <c r="CR445" s="1665">
        <v>0</v>
      </c>
      <c r="CS445" s="1665">
        <v>0</v>
      </c>
      <c r="CT445" s="1665">
        <v>0</v>
      </c>
      <c r="CU445" s="1665">
        <v>0</v>
      </c>
      <c r="CV445" s="1665">
        <v>0</v>
      </c>
      <c r="CW445" s="1668"/>
      <c r="CX445" s="1663"/>
      <c r="CY445" s="1663"/>
      <c r="CZ445" s="1663"/>
      <c r="DA445" s="1663"/>
      <c r="DB445" s="1668"/>
      <c r="DC445" s="1662"/>
      <c r="DD445" s="1665">
        <v>0</v>
      </c>
      <c r="DE445" s="1663"/>
      <c r="DF445" s="1663"/>
      <c r="DG445" s="1665">
        <v>0</v>
      </c>
      <c r="DH445" s="1665">
        <v>0</v>
      </c>
    </row>
    <row r="446" spans="1:112" ht="56.25" hidden="1" x14ac:dyDescent="0.25">
      <c r="A446" s="1662" t="s">
        <v>2551</v>
      </c>
      <c r="B446" s="1662" t="s">
        <v>1731</v>
      </c>
      <c r="C446" s="1662" t="s">
        <v>2655</v>
      </c>
      <c r="D446" s="1662" t="s">
        <v>2656</v>
      </c>
      <c r="E446" s="1662" t="s">
        <v>1138</v>
      </c>
      <c r="F446" s="1662" t="s">
        <v>2635</v>
      </c>
      <c r="G446" s="1662" t="s">
        <v>2644</v>
      </c>
      <c r="H446" s="1662" t="s">
        <v>2645</v>
      </c>
      <c r="I446" s="1662" t="s">
        <v>1228</v>
      </c>
      <c r="J446" s="1662" t="s">
        <v>274</v>
      </c>
      <c r="K446" s="1662" t="s">
        <v>2108</v>
      </c>
      <c r="L446" s="1662" t="s">
        <v>2109</v>
      </c>
      <c r="M446" s="1663"/>
      <c r="N446" s="1663"/>
      <c r="O446" s="1663"/>
      <c r="P446" s="1663"/>
      <c r="Q446" s="1663"/>
      <c r="R446" s="1663"/>
      <c r="S446" s="1663"/>
      <c r="T446" s="1663"/>
      <c r="U446" s="1663"/>
      <c r="V446" s="1663"/>
      <c r="W446" s="1663"/>
      <c r="X446" s="1663"/>
      <c r="Y446" s="1664">
        <v>43161</v>
      </c>
      <c r="Z446" s="1662" t="s">
        <v>2110</v>
      </c>
      <c r="AA446" s="1665">
        <v>0</v>
      </c>
      <c r="AB446" s="1665">
        <v>0</v>
      </c>
      <c r="AC446" s="1680">
        <v>0</v>
      </c>
      <c r="AD446" s="1682">
        <v>43175</v>
      </c>
      <c r="AE446" s="1679" t="s">
        <v>2111</v>
      </c>
      <c r="AF446" s="1662" t="s">
        <v>2112</v>
      </c>
      <c r="AG446" s="1666"/>
      <c r="AH446" s="1667">
        <v>3247.98</v>
      </c>
      <c r="AI446" s="1665">
        <v>3247.98</v>
      </c>
      <c r="AJ446" s="1665">
        <v>2760.78</v>
      </c>
      <c r="AK446" s="1698">
        <v>2760.78</v>
      </c>
      <c r="AL446" s="1665">
        <v>0</v>
      </c>
      <c r="AM446" s="1664">
        <v>43175</v>
      </c>
      <c r="AN446" s="1665">
        <v>3247.98</v>
      </c>
      <c r="AO446" s="1665">
        <v>3247.98</v>
      </c>
      <c r="AP446" s="1665">
        <v>2760.78</v>
      </c>
      <c r="AQ446" s="1665">
        <v>2760.78</v>
      </c>
      <c r="AR446" s="1665">
        <v>0</v>
      </c>
      <c r="AS446" s="1665">
        <v>487.2</v>
      </c>
      <c r="AT446" s="1665">
        <v>0</v>
      </c>
      <c r="AU446" s="1665">
        <v>487.2</v>
      </c>
      <c r="AV446" s="1665">
        <v>0</v>
      </c>
      <c r="AW446" s="1665">
        <v>0</v>
      </c>
      <c r="AX446" s="1663"/>
      <c r="AY446" s="1663"/>
      <c r="AZ446" s="1663"/>
      <c r="BA446" s="1668"/>
      <c r="BB446" s="1668"/>
      <c r="BC446" s="1663"/>
      <c r="BD446" s="1663"/>
      <c r="BE446" s="1665">
        <v>3247.98</v>
      </c>
      <c r="BF446" s="1665">
        <v>3247.98</v>
      </c>
      <c r="BG446" s="1665">
        <v>2760.78</v>
      </c>
      <c r="BH446" s="1665">
        <v>2760.78</v>
      </c>
      <c r="BI446" s="1665">
        <v>0</v>
      </c>
      <c r="BJ446" s="1665">
        <v>487.2</v>
      </c>
      <c r="BK446" s="1665">
        <v>0</v>
      </c>
      <c r="BL446" s="1665">
        <v>487.2</v>
      </c>
      <c r="BM446" s="1665">
        <v>0</v>
      </c>
      <c r="BN446" s="1665">
        <v>0</v>
      </c>
      <c r="BO446" s="1664">
        <v>43241</v>
      </c>
      <c r="BP446" s="1665">
        <v>3247.98</v>
      </c>
      <c r="BQ446" s="1665">
        <v>3247.98</v>
      </c>
      <c r="BR446" s="1665">
        <v>2760.78</v>
      </c>
      <c r="BS446" s="1667">
        <v>2760.78</v>
      </c>
      <c r="BT446" s="1665">
        <v>0</v>
      </c>
      <c r="BU446" s="1665">
        <v>487.2</v>
      </c>
      <c r="BV446" s="1665">
        <v>0</v>
      </c>
      <c r="BW446" s="1665">
        <v>0</v>
      </c>
      <c r="BX446" s="1665">
        <v>0</v>
      </c>
      <c r="BY446" s="1665">
        <v>0</v>
      </c>
      <c r="BZ446" s="1665">
        <v>0</v>
      </c>
      <c r="CA446" s="1663"/>
      <c r="CB446" s="1668"/>
      <c r="CC446" s="1668"/>
      <c r="CD446" s="1663"/>
      <c r="CE446" s="1663"/>
      <c r="CF446" s="1665">
        <v>0</v>
      </c>
      <c r="CG446" s="1665">
        <v>0</v>
      </c>
      <c r="CH446" s="1665">
        <v>0</v>
      </c>
      <c r="CI446" s="1665">
        <v>0</v>
      </c>
      <c r="CJ446" s="1665">
        <v>347.98</v>
      </c>
      <c r="CK446" s="1665">
        <v>347.98</v>
      </c>
      <c r="CL446" s="1668"/>
      <c r="CM446" s="1665">
        <v>0</v>
      </c>
      <c r="CN446" s="1665">
        <v>0</v>
      </c>
      <c r="CO446" s="1665">
        <v>0</v>
      </c>
      <c r="CP446" s="1665">
        <v>0</v>
      </c>
      <c r="CQ446" s="1665">
        <v>0</v>
      </c>
      <c r="CR446" s="1665">
        <v>0</v>
      </c>
      <c r="CS446" s="1665">
        <v>0</v>
      </c>
      <c r="CT446" s="1665">
        <v>0</v>
      </c>
      <c r="CU446" s="1665">
        <v>0</v>
      </c>
      <c r="CV446" s="1665">
        <v>0</v>
      </c>
      <c r="CW446" s="1668"/>
      <c r="CX446" s="1663"/>
      <c r="CY446" s="1663"/>
      <c r="CZ446" s="1663"/>
      <c r="DA446" s="1663"/>
      <c r="DB446" s="1668"/>
      <c r="DC446" s="1662"/>
      <c r="DD446" s="1665">
        <v>0</v>
      </c>
      <c r="DE446" s="1663"/>
      <c r="DF446" s="1663"/>
      <c r="DG446" s="1665">
        <v>0</v>
      </c>
      <c r="DH446" s="1665">
        <v>0</v>
      </c>
    </row>
    <row r="447" spans="1:112" ht="56.25" hidden="1" x14ac:dyDescent="0.25">
      <c r="A447" s="1662" t="s">
        <v>2552</v>
      </c>
      <c r="B447" s="1662" t="s">
        <v>1731</v>
      </c>
      <c r="C447" s="1662" t="s">
        <v>2655</v>
      </c>
      <c r="D447" s="1662" t="s">
        <v>2656</v>
      </c>
      <c r="E447" s="1662" t="s">
        <v>1138</v>
      </c>
      <c r="F447" s="1662" t="s">
        <v>2635</v>
      </c>
      <c r="G447" s="1662" t="s">
        <v>2644</v>
      </c>
      <c r="H447" s="1662" t="s">
        <v>2645</v>
      </c>
      <c r="I447" s="1662" t="s">
        <v>1228</v>
      </c>
      <c r="J447" s="1662" t="s">
        <v>274</v>
      </c>
      <c r="K447" s="1662" t="s">
        <v>2108</v>
      </c>
      <c r="L447" s="1662" t="s">
        <v>2109</v>
      </c>
      <c r="M447" s="1663"/>
      <c r="N447" s="1663"/>
      <c r="O447" s="1663"/>
      <c r="P447" s="1663"/>
      <c r="Q447" s="1663"/>
      <c r="R447" s="1663"/>
      <c r="S447" s="1663"/>
      <c r="T447" s="1663"/>
      <c r="U447" s="1663"/>
      <c r="V447" s="1663"/>
      <c r="W447" s="1663"/>
      <c r="X447" s="1663"/>
      <c r="Y447" s="1664">
        <v>43250</v>
      </c>
      <c r="Z447" s="1662" t="s">
        <v>2110</v>
      </c>
      <c r="AA447" s="1665">
        <v>0</v>
      </c>
      <c r="AB447" s="1665">
        <v>0</v>
      </c>
      <c r="AC447" s="1680">
        <v>0</v>
      </c>
      <c r="AD447" s="1682">
        <v>43266</v>
      </c>
      <c r="AE447" s="1679" t="s">
        <v>2114</v>
      </c>
      <c r="AF447" s="1662" t="s">
        <v>2115</v>
      </c>
      <c r="AG447" s="1666"/>
      <c r="AH447" s="1667">
        <v>11656.01</v>
      </c>
      <c r="AI447" s="1665">
        <v>11656.01</v>
      </c>
      <c r="AJ447" s="1665">
        <v>9907.61</v>
      </c>
      <c r="AK447" s="1698">
        <v>9907.61</v>
      </c>
      <c r="AL447" s="1665">
        <v>0</v>
      </c>
      <c r="AM447" s="1664">
        <v>43269</v>
      </c>
      <c r="AN447" s="1665">
        <v>11656.01</v>
      </c>
      <c r="AO447" s="1665">
        <v>11656.01</v>
      </c>
      <c r="AP447" s="1665">
        <v>9907.61</v>
      </c>
      <c r="AQ447" s="1665">
        <v>9907.61</v>
      </c>
      <c r="AR447" s="1665">
        <v>0</v>
      </c>
      <c r="AS447" s="1665">
        <v>1748.4</v>
      </c>
      <c r="AT447" s="1665">
        <v>0</v>
      </c>
      <c r="AU447" s="1665">
        <v>1748.4</v>
      </c>
      <c r="AV447" s="1665">
        <v>0</v>
      </c>
      <c r="AW447" s="1665">
        <v>0</v>
      </c>
      <c r="AX447" s="1663"/>
      <c r="AY447" s="1663"/>
      <c r="AZ447" s="1663"/>
      <c r="BA447" s="1668"/>
      <c r="BB447" s="1668"/>
      <c r="BC447" s="1663"/>
      <c r="BD447" s="1663"/>
      <c r="BE447" s="1665">
        <v>11656.01</v>
      </c>
      <c r="BF447" s="1665">
        <v>11656.01</v>
      </c>
      <c r="BG447" s="1665">
        <v>9907.61</v>
      </c>
      <c r="BH447" s="1665">
        <v>9907.61</v>
      </c>
      <c r="BI447" s="1665">
        <v>0</v>
      </c>
      <c r="BJ447" s="1665">
        <v>1748.4</v>
      </c>
      <c r="BK447" s="1665">
        <v>0</v>
      </c>
      <c r="BL447" s="1665">
        <v>1748.4</v>
      </c>
      <c r="BM447" s="1665">
        <v>0</v>
      </c>
      <c r="BN447" s="1665">
        <v>0</v>
      </c>
      <c r="BO447" s="1664">
        <v>43364</v>
      </c>
      <c r="BP447" s="1665">
        <v>11656.01</v>
      </c>
      <c r="BQ447" s="1665">
        <v>11656.01</v>
      </c>
      <c r="BR447" s="1665">
        <v>9907.61</v>
      </c>
      <c r="BS447" s="1667">
        <v>9907.61</v>
      </c>
      <c r="BT447" s="1665">
        <v>0</v>
      </c>
      <c r="BU447" s="1665">
        <v>1748.4</v>
      </c>
      <c r="BV447" s="1665">
        <v>0</v>
      </c>
      <c r="BW447" s="1665">
        <v>0</v>
      </c>
      <c r="BX447" s="1665">
        <v>0</v>
      </c>
      <c r="BY447" s="1665">
        <v>0</v>
      </c>
      <c r="BZ447" s="1665">
        <v>0</v>
      </c>
      <c r="CA447" s="1663"/>
      <c r="CB447" s="1668"/>
      <c r="CC447" s="1668"/>
      <c r="CD447" s="1663"/>
      <c r="CE447" s="1663"/>
      <c r="CF447" s="1665">
        <v>0</v>
      </c>
      <c r="CG447" s="1665">
        <v>0</v>
      </c>
      <c r="CH447" s="1665">
        <v>0</v>
      </c>
      <c r="CI447" s="1665">
        <v>0</v>
      </c>
      <c r="CJ447" s="1665">
        <v>1248.8</v>
      </c>
      <c r="CK447" s="1665">
        <v>1248.8</v>
      </c>
      <c r="CL447" s="1668"/>
      <c r="CM447" s="1665">
        <v>0</v>
      </c>
      <c r="CN447" s="1665">
        <v>0</v>
      </c>
      <c r="CO447" s="1665">
        <v>0</v>
      </c>
      <c r="CP447" s="1665">
        <v>0</v>
      </c>
      <c r="CQ447" s="1665">
        <v>0</v>
      </c>
      <c r="CR447" s="1665">
        <v>0</v>
      </c>
      <c r="CS447" s="1665">
        <v>0</v>
      </c>
      <c r="CT447" s="1665">
        <v>0</v>
      </c>
      <c r="CU447" s="1665">
        <v>0</v>
      </c>
      <c r="CV447" s="1665">
        <v>0</v>
      </c>
      <c r="CW447" s="1668"/>
      <c r="CX447" s="1663"/>
      <c r="CY447" s="1663"/>
      <c r="CZ447" s="1663"/>
      <c r="DA447" s="1663"/>
      <c r="DB447" s="1668"/>
      <c r="DC447" s="1662"/>
      <c r="DD447" s="1665">
        <v>0</v>
      </c>
      <c r="DE447" s="1663"/>
      <c r="DF447" s="1663"/>
      <c r="DG447" s="1665">
        <v>0</v>
      </c>
      <c r="DH447" s="1665">
        <v>0</v>
      </c>
    </row>
    <row r="448" spans="1:112" ht="56.25" hidden="1" x14ac:dyDescent="0.25">
      <c r="A448" s="1662" t="s">
        <v>2553</v>
      </c>
      <c r="B448" s="1662" t="s">
        <v>1731</v>
      </c>
      <c r="C448" s="1662" t="s">
        <v>2655</v>
      </c>
      <c r="D448" s="1662" t="s">
        <v>2656</v>
      </c>
      <c r="E448" s="1662" t="s">
        <v>1138</v>
      </c>
      <c r="F448" s="1662" t="s">
        <v>2635</v>
      </c>
      <c r="G448" s="1662" t="s">
        <v>2644</v>
      </c>
      <c r="H448" s="1662" t="s">
        <v>2645</v>
      </c>
      <c r="I448" s="1662" t="s">
        <v>1228</v>
      </c>
      <c r="J448" s="1662" t="s">
        <v>274</v>
      </c>
      <c r="K448" s="1662" t="s">
        <v>2108</v>
      </c>
      <c r="L448" s="1662" t="s">
        <v>2109</v>
      </c>
      <c r="M448" s="1663"/>
      <c r="N448" s="1663"/>
      <c r="O448" s="1663"/>
      <c r="P448" s="1663"/>
      <c r="Q448" s="1663"/>
      <c r="R448" s="1663"/>
      <c r="S448" s="1663"/>
      <c r="T448" s="1663"/>
      <c r="U448" s="1663"/>
      <c r="V448" s="1663"/>
      <c r="W448" s="1663"/>
      <c r="X448" s="1663"/>
      <c r="Y448" s="1664">
        <v>43311</v>
      </c>
      <c r="Z448" s="1662" t="s">
        <v>2110</v>
      </c>
      <c r="AA448" s="1665">
        <v>0</v>
      </c>
      <c r="AB448" s="1665">
        <v>0</v>
      </c>
      <c r="AC448" s="1680">
        <v>0</v>
      </c>
      <c r="AD448" s="1682">
        <v>43336</v>
      </c>
      <c r="AE448" s="1679" t="s">
        <v>2128</v>
      </c>
      <c r="AF448" s="1662" t="s">
        <v>2115</v>
      </c>
      <c r="AG448" s="1666"/>
      <c r="AH448" s="1667">
        <v>11187.68</v>
      </c>
      <c r="AI448" s="1665">
        <v>11187.68</v>
      </c>
      <c r="AJ448" s="1665">
        <v>9509.5300000000007</v>
      </c>
      <c r="AK448" s="1698">
        <v>9509.5300000000007</v>
      </c>
      <c r="AL448" s="1665">
        <v>0</v>
      </c>
      <c r="AM448" s="1664">
        <v>43341</v>
      </c>
      <c r="AN448" s="1665">
        <v>11187.68</v>
      </c>
      <c r="AO448" s="1665">
        <v>11187.68</v>
      </c>
      <c r="AP448" s="1665">
        <v>9509.5300000000007</v>
      </c>
      <c r="AQ448" s="1665">
        <v>9509.5300000000007</v>
      </c>
      <c r="AR448" s="1665">
        <v>0</v>
      </c>
      <c r="AS448" s="1665">
        <v>1678.15</v>
      </c>
      <c r="AT448" s="1665">
        <v>0</v>
      </c>
      <c r="AU448" s="1665">
        <v>1678.15</v>
      </c>
      <c r="AV448" s="1665">
        <v>0</v>
      </c>
      <c r="AW448" s="1665">
        <v>0</v>
      </c>
      <c r="AX448" s="1663"/>
      <c r="AY448" s="1663"/>
      <c r="AZ448" s="1663"/>
      <c r="BA448" s="1668"/>
      <c r="BB448" s="1668"/>
      <c r="BC448" s="1663"/>
      <c r="BD448" s="1663"/>
      <c r="BE448" s="1665">
        <v>11187.68</v>
      </c>
      <c r="BF448" s="1665">
        <v>11187.68</v>
      </c>
      <c r="BG448" s="1665">
        <v>9509.5300000000007</v>
      </c>
      <c r="BH448" s="1665">
        <v>9509.5300000000007</v>
      </c>
      <c r="BI448" s="1665">
        <v>0</v>
      </c>
      <c r="BJ448" s="1665">
        <v>1678.15</v>
      </c>
      <c r="BK448" s="1665">
        <v>0</v>
      </c>
      <c r="BL448" s="1665">
        <v>1678.15</v>
      </c>
      <c r="BM448" s="1665">
        <v>0</v>
      </c>
      <c r="BN448" s="1665">
        <v>0</v>
      </c>
      <c r="BO448" s="1668"/>
      <c r="BP448" s="1665">
        <v>0</v>
      </c>
      <c r="BQ448" s="1665">
        <v>0</v>
      </c>
      <c r="BR448" s="1665">
        <v>0</v>
      </c>
      <c r="BS448" s="1667">
        <v>0</v>
      </c>
      <c r="BT448" s="1665">
        <v>0</v>
      </c>
      <c r="BU448" s="1665">
        <v>0</v>
      </c>
      <c r="BV448" s="1665">
        <v>0</v>
      </c>
      <c r="BW448" s="1665">
        <v>0</v>
      </c>
      <c r="BX448" s="1665">
        <v>0</v>
      </c>
      <c r="BY448" s="1665">
        <v>0</v>
      </c>
      <c r="BZ448" s="1665">
        <v>0</v>
      </c>
      <c r="CA448" s="1663"/>
      <c r="CB448" s="1668"/>
      <c r="CC448" s="1668"/>
      <c r="CD448" s="1663"/>
      <c r="CE448" s="1663"/>
      <c r="CF448" s="1665">
        <v>0</v>
      </c>
      <c r="CG448" s="1665">
        <v>0</v>
      </c>
      <c r="CH448" s="1665">
        <v>0</v>
      </c>
      <c r="CI448" s="1665">
        <v>0</v>
      </c>
      <c r="CJ448" s="1665">
        <v>0</v>
      </c>
      <c r="CK448" s="1665">
        <v>0</v>
      </c>
      <c r="CL448" s="1668"/>
      <c r="CM448" s="1665">
        <v>0</v>
      </c>
      <c r="CN448" s="1665">
        <v>0</v>
      </c>
      <c r="CO448" s="1665">
        <v>0</v>
      </c>
      <c r="CP448" s="1665">
        <v>0</v>
      </c>
      <c r="CQ448" s="1665">
        <v>0</v>
      </c>
      <c r="CR448" s="1665">
        <v>0</v>
      </c>
      <c r="CS448" s="1665">
        <v>0</v>
      </c>
      <c r="CT448" s="1665">
        <v>0</v>
      </c>
      <c r="CU448" s="1665">
        <v>0</v>
      </c>
      <c r="CV448" s="1665">
        <v>0</v>
      </c>
      <c r="CW448" s="1668"/>
      <c r="CX448" s="1663"/>
      <c r="CY448" s="1663"/>
      <c r="CZ448" s="1663"/>
      <c r="DA448" s="1663"/>
      <c r="DB448" s="1668"/>
      <c r="DC448" s="1662"/>
      <c r="DD448" s="1665">
        <v>11187.68</v>
      </c>
      <c r="DE448" s="1663"/>
      <c r="DF448" s="1663"/>
      <c r="DG448" s="1665">
        <v>0</v>
      </c>
      <c r="DH448" s="1665">
        <v>0</v>
      </c>
    </row>
    <row r="449" spans="1:112" ht="56.25" hidden="1" x14ac:dyDescent="0.25">
      <c r="A449" s="1662" t="s">
        <v>2554</v>
      </c>
      <c r="B449" s="1662" t="s">
        <v>1731</v>
      </c>
      <c r="C449" s="1662" t="s">
        <v>2655</v>
      </c>
      <c r="D449" s="1662" t="s">
        <v>2656</v>
      </c>
      <c r="E449" s="1662" t="s">
        <v>1138</v>
      </c>
      <c r="F449" s="1662" t="s">
        <v>2635</v>
      </c>
      <c r="G449" s="1662" t="s">
        <v>2644</v>
      </c>
      <c r="H449" s="1662" t="s">
        <v>2645</v>
      </c>
      <c r="I449" s="1662" t="s">
        <v>1228</v>
      </c>
      <c r="J449" s="1662" t="s">
        <v>274</v>
      </c>
      <c r="K449" s="1662" t="s">
        <v>2108</v>
      </c>
      <c r="L449" s="1662" t="s">
        <v>2109</v>
      </c>
      <c r="M449" s="1663"/>
      <c r="N449" s="1663"/>
      <c r="O449" s="1663"/>
      <c r="P449" s="1663"/>
      <c r="Q449" s="1663"/>
      <c r="R449" s="1663"/>
      <c r="S449" s="1663"/>
      <c r="T449" s="1663"/>
      <c r="U449" s="1663"/>
      <c r="V449" s="1663"/>
      <c r="W449" s="1663"/>
      <c r="X449" s="1663"/>
      <c r="Y449" s="1664">
        <v>43311</v>
      </c>
      <c r="Z449" s="1662" t="s">
        <v>2110</v>
      </c>
      <c r="AA449" s="1665">
        <v>0</v>
      </c>
      <c r="AB449" s="1665">
        <v>0</v>
      </c>
      <c r="AC449" s="1680">
        <v>0</v>
      </c>
      <c r="AD449" s="1682">
        <v>43336</v>
      </c>
      <c r="AE449" s="1679" t="s">
        <v>2128</v>
      </c>
      <c r="AF449" s="1662" t="s">
        <v>2112</v>
      </c>
      <c r="AG449" s="1666"/>
      <c r="AH449" s="1667">
        <v>5000</v>
      </c>
      <c r="AI449" s="1665">
        <v>5000</v>
      </c>
      <c r="AJ449" s="1665">
        <v>4250</v>
      </c>
      <c r="AK449" s="1698">
        <v>4250</v>
      </c>
      <c r="AL449" s="1665">
        <v>0</v>
      </c>
      <c r="AM449" s="1664">
        <v>43336</v>
      </c>
      <c r="AN449" s="1665">
        <v>5000</v>
      </c>
      <c r="AO449" s="1665">
        <v>5000</v>
      </c>
      <c r="AP449" s="1665">
        <v>4250</v>
      </c>
      <c r="AQ449" s="1665">
        <v>4250</v>
      </c>
      <c r="AR449" s="1665">
        <v>0</v>
      </c>
      <c r="AS449" s="1665">
        <v>750</v>
      </c>
      <c r="AT449" s="1665">
        <v>0</v>
      </c>
      <c r="AU449" s="1665">
        <v>750</v>
      </c>
      <c r="AV449" s="1665">
        <v>0</v>
      </c>
      <c r="AW449" s="1665">
        <v>0</v>
      </c>
      <c r="AX449" s="1663"/>
      <c r="AY449" s="1663"/>
      <c r="AZ449" s="1663"/>
      <c r="BA449" s="1668"/>
      <c r="BB449" s="1668"/>
      <c r="BC449" s="1663"/>
      <c r="BD449" s="1663"/>
      <c r="BE449" s="1665">
        <v>5000</v>
      </c>
      <c r="BF449" s="1665">
        <v>5000</v>
      </c>
      <c r="BG449" s="1665">
        <v>4250</v>
      </c>
      <c r="BH449" s="1665">
        <v>4250</v>
      </c>
      <c r="BI449" s="1665">
        <v>0</v>
      </c>
      <c r="BJ449" s="1665">
        <v>750</v>
      </c>
      <c r="BK449" s="1665">
        <v>0</v>
      </c>
      <c r="BL449" s="1665">
        <v>750</v>
      </c>
      <c r="BM449" s="1665">
        <v>0</v>
      </c>
      <c r="BN449" s="1665">
        <v>0</v>
      </c>
      <c r="BO449" s="1668"/>
      <c r="BP449" s="1665">
        <v>0</v>
      </c>
      <c r="BQ449" s="1665">
        <v>0</v>
      </c>
      <c r="BR449" s="1665">
        <v>0</v>
      </c>
      <c r="BS449" s="1667">
        <v>0</v>
      </c>
      <c r="BT449" s="1665">
        <v>0</v>
      </c>
      <c r="BU449" s="1665">
        <v>0</v>
      </c>
      <c r="BV449" s="1665">
        <v>0</v>
      </c>
      <c r="BW449" s="1665">
        <v>0</v>
      </c>
      <c r="BX449" s="1665">
        <v>0</v>
      </c>
      <c r="BY449" s="1665">
        <v>0</v>
      </c>
      <c r="BZ449" s="1665">
        <v>0</v>
      </c>
      <c r="CA449" s="1663"/>
      <c r="CB449" s="1668"/>
      <c r="CC449" s="1668"/>
      <c r="CD449" s="1663"/>
      <c r="CE449" s="1663"/>
      <c r="CF449" s="1665">
        <v>0</v>
      </c>
      <c r="CG449" s="1665">
        <v>0</v>
      </c>
      <c r="CH449" s="1665">
        <v>0</v>
      </c>
      <c r="CI449" s="1665">
        <v>0</v>
      </c>
      <c r="CJ449" s="1665">
        <v>0</v>
      </c>
      <c r="CK449" s="1665">
        <v>0</v>
      </c>
      <c r="CL449" s="1668"/>
      <c r="CM449" s="1665">
        <v>0</v>
      </c>
      <c r="CN449" s="1665">
        <v>0</v>
      </c>
      <c r="CO449" s="1665">
        <v>0</v>
      </c>
      <c r="CP449" s="1665">
        <v>0</v>
      </c>
      <c r="CQ449" s="1665">
        <v>0</v>
      </c>
      <c r="CR449" s="1665">
        <v>0</v>
      </c>
      <c r="CS449" s="1665">
        <v>0</v>
      </c>
      <c r="CT449" s="1665">
        <v>0</v>
      </c>
      <c r="CU449" s="1665">
        <v>0</v>
      </c>
      <c r="CV449" s="1665">
        <v>0</v>
      </c>
      <c r="CW449" s="1668"/>
      <c r="CX449" s="1663"/>
      <c r="CY449" s="1663"/>
      <c r="CZ449" s="1663"/>
      <c r="DA449" s="1663"/>
      <c r="DB449" s="1668"/>
      <c r="DC449" s="1662"/>
      <c r="DD449" s="1665">
        <v>5000</v>
      </c>
      <c r="DE449" s="1663"/>
      <c r="DF449" s="1663"/>
      <c r="DG449" s="1665">
        <v>0</v>
      </c>
      <c r="DH449" s="1665">
        <v>0</v>
      </c>
    </row>
    <row r="450" spans="1:112" ht="56.25" hidden="1" x14ac:dyDescent="0.25">
      <c r="A450" s="1662" t="s">
        <v>2116</v>
      </c>
      <c r="B450" s="1662" t="s">
        <v>1731</v>
      </c>
      <c r="C450" s="1662" t="s">
        <v>2655</v>
      </c>
      <c r="D450" s="1662" t="s">
        <v>2656</v>
      </c>
      <c r="E450" s="1662" t="s">
        <v>1138</v>
      </c>
      <c r="F450" s="1662" t="s">
        <v>2635</v>
      </c>
      <c r="G450" s="1662" t="s">
        <v>2644</v>
      </c>
      <c r="H450" s="1662" t="s">
        <v>2645</v>
      </c>
      <c r="I450" s="1662" t="s">
        <v>1228</v>
      </c>
      <c r="J450" s="1662" t="s">
        <v>274</v>
      </c>
      <c r="K450" s="1662" t="s">
        <v>2108</v>
      </c>
      <c r="L450" s="1662" t="s">
        <v>2109</v>
      </c>
      <c r="M450" s="1663"/>
      <c r="N450" s="1663"/>
      <c r="O450" s="1663"/>
      <c r="P450" s="1663"/>
      <c r="Q450" s="1663"/>
      <c r="R450" s="1663"/>
      <c r="S450" s="1663"/>
      <c r="T450" s="1663"/>
      <c r="U450" s="1663"/>
      <c r="V450" s="1663"/>
      <c r="W450" s="1663"/>
      <c r="X450" s="1663"/>
      <c r="Y450" s="1664">
        <v>43353</v>
      </c>
      <c r="Z450" s="1662" t="s">
        <v>2110</v>
      </c>
      <c r="AA450" s="1665">
        <v>0</v>
      </c>
      <c r="AB450" s="1665">
        <v>0</v>
      </c>
      <c r="AC450" s="1680">
        <v>0</v>
      </c>
      <c r="AD450" s="1682">
        <v>43388</v>
      </c>
      <c r="AE450" s="1679" t="s">
        <v>2129</v>
      </c>
      <c r="AF450" s="1662" t="s">
        <v>2112</v>
      </c>
      <c r="AG450" s="1666"/>
      <c r="AH450" s="1667">
        <v>3076.42</v>
      </c>
      <c r="AI450" s="1665">
        <v>3076.42</v>
      </c>
      <c r="AJ450" s="1665">
        <v>2614.96</v>
      </c>
      <c r="AK450" s="1698">
        <v>2614.96</v>
      </c>
      <c r="AL450" s="1665">
        <v>0</v>
      </c>
      <c r="AM450" s="1664">
        <v>43388</v>
      </c>
      <c r="AN450" s="1665">
        <v>3076.42</v>
      </c>
      <c r="AO450" s="1665">
        <v>3076.42</v>
      </c>
      <c r="AP450" s="1665">
        <v>2614.96</v>
      </c>
      <c r="AQ450" s="1665">
        <v>2614.96</v>
      </c>
      <c r="AR450" s="1665">
        <v>0</v>
      </c>
      <c r="AS450" s="1665">
        <v>461.46</v>
      </c>
      <c r="AT450" s="1665">
        <v>0</v>
      </c>
      <c r="AU450" s="1665">
        <v>461.46</v>
      </c>
      <c r="AV450" s="1665">
        <v>0</v>
      </c>
      <c r="AW450" s="1665">
        <v>0</v>
      </c>
      <c r="AX450" s="1663"/>
      <c r="AY450" s="1663"/>
      <c r="AZ450" s="1663"/>
      <c r="BA450" s="1668"/>
      <c r="BB450" s="1668"/>
      <c r="BC450" s="1663"/>
      <c r="BD450" s="1663"/>
      <c r="BE450" s="1665">
        <v>3076.42</v>
      </c>
      <c r="BF450" s="1665">
        <v>3076.42</v>
      </c>
      <c r="BG450" s="1665">
        <v>2614.96</v>
      </c>
      <c r="BH450" s="1665">
        <v>2614.96</v>
      </c>
      <c r="BI450" s="1665">
        <v>0</v>
      </c>
      <c r="BJ450" s="1665">
        <v>461.46</v>
      </c>
      <c r="BK450" s="1665">
        <v>0</v>
      </c>
      <c r="BL450" s="1665">
        <v>461.46</v>
      </c>
      <c r="BM450" s="1665">
        <v>0</v>
      </c>
      <c r="BN450" s="1665">
        <v>0</v>
      </c>
      <c r="BO450" s="1668"/>
      <c r="BP450" s="1665">
        <v>0</v>
      </c>
      <c r="BQ450" s="1665">
        <v>0</v>
      </c>
      <c r="BR450" s="1665">
        <v>0</v>
      </c>
      <c r="BS450" s="1667">
        <v>0</v>
      </c>
      <c r="BT450" s="1665">
        <v>0</v>
      </c>
      <c r="BU450" s="1665">
        <v>0</v>
      </c>
      <c r="BV450" s="1665">
        <v>0</v>
      </c>
      <c r="BW450" s="1665">
        <v>0</v>
      </c>
      <c r="BX450" s="1665">
        <v>0</v>
      </c>
      <c r="BY450" s="1665">
        <v>0</v>
      </c>
      <c r="BZ450" s="1663"/>
      <c r="CA450" s="1663"/>
      <c r="CB450" s="1668"/>
      <c r="CC450" s="1668"/>
      <c r="CD450" s="1663"/>
      <c r="CE450" s="1663"/>
      <c r="CF450" s="1665">
        <v>0</v>
      </c>
      <c r="CG450" s="1665">
        <v>0</v>
      </c>
      <c r="CH450" s="1665">
        <v>0</v>
      </c>
      <c r="CI450" s="1665">
        <v>0</v>
      </c>
      <c r="CJ450" s="1665">
        <v>0</v>
      </c>
      <c r="CK450" s="1665">
        <v>0</v>
      </c>
      <c r="CL450" s="1668"/>
      <c r="CM450" s="1665">
        <v>0</v>
      </c>
      <c r="CN450" s="1665">
        <v>0</v>
      </c>
      <c r="CO450" s="1665">
        <v>0</v>
      </c>
      <c r="CP450" s="1665">
        <v>0</v>
      </c>
      <c r="CQ450" s="1665">
        <v>0</v>
      </c>
      <c r="CR450" s="1665">
        <v>0</v>
      </c>
      <c r="CS450" s="1665">
        <v>0</v>
      </c>
      <c r="CT450" s="1665">
        <v>0</v>
      </c>
      <c r="CU450" s="1665">
        <v>0</v>
      </c>
      <c r="CV450" s="1665">
        <v>0</v>
      </c>
      <c r="CW450" s="1668"/>
      <c r="CX450" s="1663"/>
      <c r="CY450" s="1663"/>
      <c r="CZ450" s="1663"/>
      <c r="DA450" s="1663"/>
      <c r="DB450" s="1668"/>
      <c r="DC450" s="1662"/>
      <c r="DD450" s="1665">
        <v>0</v>
      </c>
      <c r="DE450" s="1663"/>
      <c r="DF450" s="1663"/>
      <c r="DG450" s="1665">
        <v>0</v>
      </c>
      <c r="DH450" s="1665">
        <v>0</v>
      </c>
    </row>
    <row r="451" spans="1:112" ht="78.75" hidden="1" x14ac:dyDescent="0.25">
      <c r="A451" s="1662" t="s">
        <v>2118</v>
      </c>
      <c r="B451" s="1662" t="s">
        <v>1731</v>
      </c>
      <c r="C451" s="1662" t="s">
        <v>2655</v>
      </c>
      <c r="D451" s="1662" t="s">
        <v>2656</v>
      </c>
      <c r="E451" s="1662" t="s">
        <v>1138</v>
      </c>
      <c r="F451" s="1662" t="s">
        <v>2635</v>
      </c>
      <c r="G451" s="1662" t="s">
        <v>2644</v>
      </c>
      <c r="H451" s="1662" t="s">
        <v>2645</v>
      </c>
      <c r="I451" s="1662" t="s">
        <v>1229</v>
      </c>
      <c r="J451" s="1662" t="s">
        <v>399</v>
      </c>
      <c r="K451" s="1662" t="s">
        <v>2117</v>
      </c>
      <c r="L451" s="1662" t="s">
        <v>2109</v>
      </c>
      <c r="M451" s="1665">
        <v>163986.88</v>
      </c>
      <c r="N451" s="1665">
        <v>0</v>
      </c>
      <c r="O451" s="1665">
        <v>163986.88</v>
      </c>
      <c r="P451" s="1665">
        <v>163986.88</v>
      </c>
      <c r="Q451" s="1665">
        <v>139388</v>
      </c>
      <c r="R451" s="1665">
        <v>139388</v>
      </c>
      <c r="S451" s="1665">
        <v>0</v>
      </c>
      <c r="T451" s="1665">
        <v>24598.880000000001</v>
      </c>
      <c r="U451" s="1665">
        <v>0</v>
      </c>
      <c r="V451" s="1665">
        <v>24598.880000000001</v>
      </c>
      <c r="W451" s="1665">
        <v>0</v>
      </c>
      <c r="X451" s="1665">
        <v>0</v>
      </c>
      <c r="Y451" s="1668"/>
      <c r="Z451" s="1662"/>
      <c r="AA451" s="1665">
        <v>0</v>
      </c>
      <c r="AB451" s="1665">
        <v>0</v>
      </c>
      <c r="AC451" s="1680">
        <v>0</v>
      </c>
      <c r="AD451" s="1681"/>
      <c r="AE451" s="1679"/>
      <c r="AF451" s="1662"/>
      <c r="AG451" s="1666"/>
      <c r="AH451" s="1667">
        <v>77566.52</v>
      </c>
      <c r="AI451" s="1665">
        <v>77566.52</v>
      </c>
      <c r="AJ451" s="1665">
        <v>72203.820000000007</v>
      </c>
      <c r="AK451" s="1698">
        <v>72203.820000000007</v>
      </c>
      <c r="AL451" s="1665">
        <v>0</v>
      </c>
      <c r="AM451" s="1668"/>
      <c r="AN451" s="1665">
        <v>35750.120000000003</v>
      </c>
      <c r="AO451" s="1665">
        <v>35750.120000000003</v>
      </c>
      <c r="AP451" s="1665">
        <v>30387.42</v>
      </c>
      <c r="AQ451" s="1665">
        <v>30387.42</v>
      </c>
      <c r="AR451" s="1665">
        <v>0</v>
      </c>
      <c r="AS451" s="1665">
        <v>5362.7</v>
      </c>
      <c r="AT451" s="1665">
        <v>0</v>
      </c>
      <c r="AU451" s="1665">
        <v>5362.7</v>
      </c>
      <c r="AV451" s="1665">
        <v>0</v>
      </c>
      <c r="AW451" s="1665">
        <v>0</v>
      </c>
      <c r="AX451" s="1665">
        <v>0</v>
      </c>
      <c r="AY451" s="1665">
        <v>0</v>
      </c>
      <c r="AZ451" s="1665">
        <v>0</v>
      </c>
      <c r="BA451" s="1668"/>
      <c r="BB451" s="1668"/>
      <c r="BC451" s="1665">
        <v>0</v>
      </c>
      <c r="BD451" s="1665">
        <v>0</v>
      </c>
      <c r="BE451" s="1665">
        <v>35750.120000000003</v>
      </c>
      <c r="BF451" s="1665">
        <v>35750.120000000003</v>
      </c>
      <c r="BG451" s="1665">
        <v>30387.42</v>
      </c>
      <c r="BH451" s="1665">
        <v>30387.42</v>
      </c>
      <c r="BI451" s="1665">
        <v>0</v>
      </c>
      <c r="BJ451" s="1665">
        <v>5362.7</v>
      </c>
      <c r="BK451" s="1665">
        <v>0</v>
      </c>
      <c r="BL451" s="1665">
        <v>5362.7</v>
      </c>
      <c r="BM451" s="1665">
        <v>0</v>
      </c>
      <c r="BN451" s="1665">
        <v>0</v>
      </c>
      <c r="BO451" s="1668"/>
      <c r="BP451" s="1665">
        <v>35750.120000000003</v>
      </c>
      <c r="BQ451" s="1665">
        <v>35750.120000000003</v>
      </c>
      <c r="BR451" s="1665">
        <v>30387.42</v>
      </c>
      <c r="BS451" s="1667">
        <v>30387.42</v>
      </c>
      <c r="BT451" s="1665">
        <v>0</v>
      </c>
      <c r="BU451" s="1665">
        <v>5362.7</v>
      </c>
      <c r="BV451" s="1665">
        <v>0</v>
      </c>
      <c r="BW451" s="1665">
        <v>0</v>
      </c>
      <c r="BX451" s="1665">
        <v>0</v>
      </c>
      <c r="BY451" s="1665">
        <v>0</v>
      </c>
      <c r="BZ451" s="1665">
        <v>0</v>
      </c>
      <c r="CA451" s="1665">
        <v>0</v>
      </c>
      <c r="CB451" s="1664">
        <v>43364</v>
      </c>
      <c r="CC451" s="1668"/>
      <c r="CD451" s="1665">
        <v>-4592.62</v>
      </c>
      <c r="CE451" s="1665">
        <v>-4592.62</v>
      </c>
      <c r="CF451" s="1665">
        <v>0</v>
      </c>
      <c r="CG451" s="1665">
        <v>0</v>
      </c>
      <c r="CH451" s="1665">
        <v>0</v>
      </c>
      <c r="CI451" s="1665">
        <v>0</v>
      </c>
      <c r="CJ451" s="1665">
        <v>4592.62</v>
      </c>
      <c r="CK451" s="1665">
        <v>4592.62</v>
      </c>
      <c r="CL451" s="1668"/>
      <c r="CM451" s="1665">
        <v>0</v>
      </c>
      <c r="CN451" s="1665">
        <v>0</v>
      </c>
      <c r="CO451" s="1665">
        <v>0</v>
      </c>
      <c r="CP451" s="1665">
        <v>0</v>
      </c>
      <c r="CQ451" s="1665">
        <v>0</v>
      </c>
      <c r="CR451" s="1665">
        <v>0</v>
      </c>
      <c r="CS451" s="1665">
        <v>0</v>
      </c>
      <c r="CT451" s="1665">
        <v>0</v>
      </c>
      <c r="CU451" s="1665">
        <v>0</v>
      </c>
      <c r="CV451" s="1665">
        <v>0</v>
      </c>
      <c r="CW451" s="1668"/>
      <c r="CX451" s="1665">
        <v>0</v>
      </c>
      <c r="CY451" s="1665">
        <v>0</v>
      </c>
      <c r="CZ451" s="1665">
        <v>0</v>
      </c>
      <c r="DA451" s="1665">
        <v>0</v>
      </c>
      <c r="DB451" s="1668"/>
      <c r="DC451" s="1662"/>
      <c r="DD451" s="1665">
        <v>0</v>
      </c>
      <c r="DE451" s="1665">
        <v>0</v>
      </c>
      <c r="DF451" s="1665">
        <v>0</v>
      </c>
      <c r="DG451" s="1665">
        <v>0</v>
      </c>
      <c r="DH451" s="1665">
        <v>0</v>
      </c>
    </row>
    <row r="452" spans="1:112" ht="78.75" hidden="1" x14ac:dyDescent="0.25">
      <c r="A452" s="1662" t="s">
        <v>2555</v>
      </c>
      <c r="B452" s="1662" t="s">
        <v>1731</v>
      </c>
      <c r="C452" s="1662" t="s">
        <v>2655</v>
      </c>
      <c r="D452" s="1662" t="s">
        <v>2656</v>
      </c>
      <c r="E452" s="1662" t="s">
        <v>1138</v>
      </c>
      <c r="F452" s="1662" t="s">
        <v>2635</v>
      </c>
      <c r="G452" s="1662" t="s">
        <v>2644</v>
      </c>
      <c r="H452" s="1662" t="s">
        <v>2645</v>
      </c>
      <c r="I452" s="1662" t="s">
        <v>1229</v>
      </c>
      <c r="J452" s="1662" t="s">
        <v>399</v>
      </c>
      <c r="K452" s="1662" t="s">
        <v>2117</v>
      </c>
      <c r="L452" s="1662" t="s">
        <v>2109</v>
      </c>
      <c r="M452" s="1663"/>
      <c r="N452" s="1663"/>
      <c r="O452" s="1663"/>
      <c r="P452" s="1663"/>
      <c r="Q452" s="1663"/>
      <c r="R452" s="1663"/>
      <c r="S452" s="1663"/>
      <c r="T452" s="1663"/>
      <c r="U452" s="1663"/>
      <c r="V452" s="1663"/>
      <c r="W452" s="1663"/>
      <c r="X452" s="1663"/>
      <c r="Y452" s="1664">
        <v>43180</v>
      </c>
      <c r="Z452" s="1662" t="s">
        <v>2145</v>
      </c>
      <c r="AA452" s="1665">
        <v>0</v>
      </c>
      <c r="AB452" s="1665">
        <v>0</v>
      </c>
      <c r="AC452" s="1680">
        <v>0</v>
      </c>
      <c r="AD452" s="1682">
        <v>43199</v>
      </c>
      <c r="AE452" s="1679" t="s">
        <v>2122</v>
      </c>
      <c r="AF452" s="1662" t="s">
        <v>2112</v>
      </c>
      <c r="AG452" s="1666"/>
      <c r="AH452" s="1667">
        <v>41816.400000000001</v>
      </c>
      <c r="AI452" s="1665">
        <v>41816.400000000001</v>
      </c>
      <c r="AJ452" s="1665">
        <v>41816.400000000001</v>
      </c>
      <c r="AK452" s="1698">
        <v>41816.400000000001</v>
      </c>
      <c r="AL452" s="1665">
        <v>0</v>
      </c>
      <c r="AM452" s="1668"/>
      <c r="AN452" s="1665">
        <v>0</v>
      </c>
      <c r="AO452" s="1665">
        <v>0</v>
      </c>
      <c r="AP452" s="1665">
        <v>0</v>
      </c>
      <c r="AQ452" s="1665">
        <v>0</v>
      </c>
      <c r="AR452" s="1665">
        <v>0</v>
      </c>
      <c r="AS452" s="1665">
        <v>0</v>
      </c>
      <c r="AT452" s="1665">
        <v>0</v>
      </c>
      <c r="AU452" s="1665">
        <v>0</v>
      </c>
      <c r="AV452" s="1665">
        <v>0</v>
      </c>
      <c r="AW452" s="1665">
        <v>0</v>
      </c>
      <c r="AX452" s="1663"/>
      <c r="AY452" s="1663"/>
      <c r="AZ452" s="1663"/>
      <c r="BA452" s="1668"/>
      <c r="BB452" s="1668"/>
      <c r="BC452" s="1663"/>
      <c r="BD452" s="1663"/>
      <c r="BE452" s="1665">
        <v>0</v>
      </c>
      <c r="BF452" s="1665">
        <v>0</v>
      </c>
      <c r="BG452" s="1665">
        <v>0</v>
      </c>
      <c r="BH452" s="1665">
        <v>0</v>
      </c>
      <c r="BI452" s="1665">
        <v>0</v>
      </c>
      <c r="BJ452" s="1665">
        <v>0</v>
      </c>
      <c r="BK452" s="1665">
        <v>0</v>
      </c>
      <c r="BL452" s="1665">
        <v>0</v>
      </c>
      <c r="BM452" s="1665">
        <v>0</v>
      </c>
      <c r="BN452" s="1665">
        <v>0</v>
      </c>
      <c r="BO452" s="1668"/>
      <c r="BP452" s="1665">
        <v>0</v>
      </c>
      <c r="BQ452" s="1665">
        <v>0</v>
      </c>
      <c r="BR452" s="1665">
        <v>0</v>
      </c>
      <c r="BS452" s="1667">
        <v>0</v>
      </c>
      <c r="BT452" s="1665">
        <v>0</v>
      </c>
      <c r="BU452" s="1665">
        <v>0</v>
      </c>
      <c r="BV452" s="1665">
        <v>0</v>
      </c>
      <c r="BW452" s="1665">
        <v>0</v>
      </c>
      <c r="BX452" s="1665">
        <v>0</v>
      </c>
      <c r="BY452" s="1665">
        <v>0</v>
      </c>
      <c r="BZ452" s="1663"/>
      <c r="CA452" s="1663"/>
      <c r="CB452" s="1668"/>
      <c r="CC452" s="1668"/>
      <c r="CD452" s="1663"/>
      <c r="CE452" s="1663"/>
      <c r="CF452" s="1665">
        <v>0</v>
      </c>
      <c r="CG452" s="1665">
        <v>0</v>
      </c>
      <c r="CH452" s="1665">
        <v>0</v>
      </c>
      <c r="CI452" s="1665">
        <v>0</v>
      </c>
      <c r="CJ452" s="1665">
        <v>0</v>
      </c>
      <c r="CK452" s="1665">
        <v>0</v>
      </c>
      <c r="CL452" s="1668"/>
      <c r="CM452" s="1665">
        <v>0</v>
      </c>
      <c r="CN452" s="1665">
        <v>0</v>
      </c>
      <c r="CO452" s="1665">
        <v>0</v>
      </c>
      <c r="CP452" s="1665">
        <v>0</v>
      </c>
      <c r="CQ452" s="1665">
        <v>0</v>
      </c>
      <c r="CR452" s="1665">
        <v>0</v>
      </c>
      <c r="CS452" s="1665">
        <v>0</v>
      </c>
      <c r="CT452" s="1665">
        <v>0</v>
      </c>
      <c r="CU452" s="1665">
        <v>0</v>
      </c>
      <c r="CV452" s="1665">
        <v>0</v>
      </c>
      <c r="CW452" s="1668"/>
      <c r="CX452" s="1663"/>
      <c r="CY452" s="1663"/>
      <c r="CZ452" s="1663"/>
      <c r="DA452" s="1663"/>
      <c r="DB452" s="1668"/>
      <c r="DC452" s="1662"/>
      <c r="DD452" s="1665">
        <v>0</v>
      </c>
      <c r="DE452" s="1663"/>
      <c r="DF452" s="1663"/>
      <c r="DG452" s="1665">
        <v>0</v>
      </c>
      <c r="DH452" s="1665">
        <v>0</v>
      </c>
    </row>
    <row r="453" spans="1:112" ht="78.75" hidden="1" x14ac:dyDescent="0.25">
      <c r="A453" s="1662" t="s">
        <v>2556</v>
      </c>
      <c r="B453" s="1662" t="s">
        <v>1731</v>
      </c>
      <c r="C453" s="1662" t="s">
        <v>2655</v>
      </c>
      <c r="D453" s="1662" t="s">
        <v>2656</v>
      </c>
      <c r="E453" s="1662" t="s">
        <v>1138</v>
      </c>
      <c r="F453" s="1662" t="s">
        <v>2635</v>
      </c>
      <c r="G453" s="1662" t="s">
        <v>2644</v>
      </c>
      <c r="H453" s="1662" t="s">
        <v>2645</v>
      </c>
      <c r="I453" s="1662" t="s">
        <v>1229</v>
      </c>
      <c r="J453" s="1662" t="s">
        <v>399</v>
      </c>
      <c r="K453" s="1662" t="s">
        <v>2117</v>
      </c>
      <c r="L453" s="1662" t="s">
        <v>2109</v>
      </c>
      <c r="M453" s="1663"/>
      <c r="N453" s="1663"/>
      <c r="O453" s="1663"/>
      <c r="P453" s="1663"/>
      <c r="Q453" s="1663"/>
      <c r="R453" s="1663"/>
      <c r="S453" s="1663"/>
      <c r="T453" s="1663"/>
      <c r="U453" s="1663"/>
      <c r="V453" s="1663"/>
      <c r="W453" s="1663"/>
      <c r="X453" s="1663"/>
      <c r="Y453" s="1664">
        <v>43237</v>
      </c>
      <c r="Z453" s="1662" t="s">
        <v>2110</v>
      </c>
      <c r="AA453" s="1665">
        <v>0</v>
      </c>
      <c r="AB453" s="1665">
        <v>0</v>
      </c>
      <c r="AC453" s="1680">
        <v>0</v>
      </c>
      <c r="AD453" s="1682">
        <v>43270</v>
      </c>
      <c r="AE453" s="1679" t="s">
        <v>2111</v>
      </c>
      <c r="AF453" s="1662" t="s">
        <v>2115</v>
      </c>
      <c r="AG453" s="1666"/>
      <c r="AH453" s="1667">
        <v>27628.25</v>
      </c>
      <c r="AI453" s="1665">
        <v>27628.25</v>
      </c>
      <c r="AJ453" s="1665">
        <v>23483.87</v>
      </c>
      <c r="AK453" s="1698">
        <v>23483.87</v>
      </c>
      <c r="AL453" s="1665">
        <v>0</v>
      </c>
      <c r="AM453" s="1664">
        <v>43271</v>
      </c>
      <c r="AN453" s="1665">
        <v>27628.25</v>
      </c>
      <c r="AO453" s="1665">
        <v>27628.25</v>
      </c>
      <c r="AP453" s="1665">
        <v>23483.87</v>
      </c>
      <c r="AQ453" s="1665">
        <v>23483.87</v>
      </c>
      <c r="AR453" s="1665">
        <v>0</v>
      </c>
      <c r="AS453" s="1665">
        <v>4144.38</v>
      </c>
      <c r="AT453" s="1665">
        <v>0</v>
      </c>
      <c r="AU453" s="1665">
        <v>4144.38</v>
      </c>
      <c r="AV453" s="1665">
        <v>0</v>
      </c>
      <c r="AW453" s="1665">
        <v>0</v>
      </c>
      <c r="AX453" s="1663"/>
      <c r="AY453" s="1663"/>
      <c r="AZ453" s="1663"/>
      <c r="BA453" s="1668"/>
      <c r="BB453" s="1668"/>
      <c r="BC453" s="1663"/>
      <c r="BD453" s="1663"/>
      <c r="BE453" s="1665">
        <v>27628.25</v>
      </c>
      <c r="BF453" s="1665">
        <v>27628.25</v>
      </c>
      <c r="BG453" s="1665">
        <v>23483.87</v>
      </c>
      <c r="BH453" s="1665">
        <v>23483.87</v>
      </c>
      <c r="BI453" s="1665">
        <v>0</v>
      </c>
      <c r="BJ453" s="1665">
        <v>4144.38</v>
      </c>
      <c r="BK453" s="1665">
        <v>0</v>
      </c>
      <c r="BL453" s="1665">
        <v>4144.38</v>
      </c>
      <c r="BM453" s="1665">
        <v>0</v>
      </c>
      <c r="BN453" s="1665">
        <v>0</v>
      </c>
      <c r="BO453" s="1664">
        <v>43364</v>
      </c>
      <c r="BP453" s="1665">
        <v>27628.25</v>
      </c>
      <c r="BQ453" s="1665">
        <v>27628.25</v>
      </c>
      <c r="BR453" s="1665">
        <v>23483.87</v>
      </c>
      <c r="BS453" s="1667">
        <v>23483.87</v>
      </c>
      <c r="BT453" s="1665">
        <v>0</v>
      </c>
      <c r="BU453" s="1665">
        <v>4144.38</v>
      </c>
      <c r="BV453" s="1665">
        <v>0</v>
      </c>
      <c r="BW453" s="1665">
        <v>0</v>
      </c>
      <c r="BX453" s="1665">
        <v>0</v>
      </c>
      <c r="BY453" s="1665">
        <v>0</v>
      </c>
      <c r="BZ453" s="1665">
        <v>0</v>
      </c>
      <c r="CA453" s="1663"/>
      <c r="CB453" s="1668"/>
      <c r="CC453" s="1668"/>
      <c r="CD453" s="1663"/>
      <c r="CE453" s="1663"/>
      <c r="CF453" s="1665">
        <v>0</v>
      </c>
      <c r="CG453" s="1665">
        <v>0</v>
      </c>
      <c r="CH453" s="1665">
        <v>0</v>
      </c>
      <c r="CI453" s="1665">
        <v>0</v>
      </c>
      <c r="CJ453" s="1665">
        <v>3549.25</v>
      </c>
      <c r="CK453" s="1665">
        <v>3549.25</v>
      </c>
      <c r="CL453" s="1668"/>
      <c r="CM453" s="1665">
        <v>0</v>
      </c>
      <c r="CN453" s="1665">
        <v>0</v>
      </c>
      <c r="CO453" s="1665">
        <v>0</v>
      </c>
      <c r="CP453" s="1665">
        <v>0</v>
      </c>
      <c r="CQ453" s="1665">
        <v>0</v>
      </c>
      <c r="CR453" s="1665">
        <v>0</v>
      </c>
      <c r="CS453" s="1665">
        <v>0</v>
      </c>
      <c r="CT453" s="1665">
        <v>0</v>
      </c>
      <c r="CU453" s="1665">
        <v>0</v>
      </c>
      <c r="CV453" s="1665">
        <v>0</v>
      </c>
      <c r="CW453" s="1668"/>
      <c r="CX453" s="1663"/>
      <c r="CY453" s="1663"/>
      <c r="CZ453" s="1663"/>
      <c r="DA453" s="1663"/>
      <c r="DB453" s="1668"/>
      <c r="DC453" s="1662"/>
      <c r="DD453" s="1665">
        <v>0</v>
      </c>
      <c r="DE453" s="1663"/>
      <c r="DF453" s="1663"/>
      <c r="DG453" s="1665">
        <v>0</v>
      </c>
      <c r="DH453" s="1665">
        <v>0</v>
      </c>
    </row>
    <row r="454" spans="1:112" ht="78.75" hidden="1" x14ac:dyDescent="0.25">
      <c r="A454" s="1662" t="s">
        <v>2557</v>
      </c>
      <c r="B454" s="1662" t="s">
        <v>1731</v>
      </c>
      <c r="C454" s="1662" t="s">
        <v>2655</v>
      </c>
      <c r="D454" s="1662" t="s">
        <v>2656</v>
      </c>
      <c r="E454" s="1662" t="s">
        <v>1138</v>
      </c>
      <c r="F454" s="1662" t="s">
        <v>2635</v>
      </c>
      <c r="G454" s="1662" t="s">
        <v>2644</v>
      </c>
      <c r="H454" s="1662" t="s">
        <v>2645</v>
      </c>
      <c r="I454" s="1662" t="s">
        <v>1229</v>
      </c>
      <c r="J454" s="1662" t="s">
        <v>399</v>
      </c>
      <c r="K454" s="1662" t="s">
        <v>2117</v>
      </c>
      <c r="L454" s="1662" t="s">
        <v>2109</v>
      </c>
      <c r="M454" s="1663"/>
      <c r="N454" s="1663"/>
      <c r="O454" s="1663"/>
      <c r="P454" s="1663"/>
      <c r="Q454" s="1663"/>
      <c r="R454" s="1663"/>
      <c r="S454" s="1663"/>
      <c r="T454" s="1663"/>
      <c r="U454" s="1663"/>
      <c r="V454" s="1663"/>
      <c r="W454" s="1663"/>
      <c r="X454" s="1663"/>
      <c r="Y454" s="1664">
        <v>43237</v>
      </c>
      <c r="Z454" s="1662" t="s">
        <v>2110</v>
      </c>
      <c r="AA454" s="1665">
        <v>0</v>
      </c>
      <c r="AB454" s="1665">
        <v>0</v>
      </c>
      <c r="AC454" s="1680">
        <v>0</v>
      </c>
      <c r="AD454" s="1682">
        <v>43270</v>
      </c>
      <c r="AE454" s="1679" t="s">
        <v>2111</v>
      </c>
      <c r="AF454" s="1662" t="s">
        <v>2112</v>
      </c>
      <c r="AG454" s="1666"/>
      <c r="AH454" s="1667">
        <v>8121.87</v>
      </c>
      <c r="AI454" s="1665">
        <v>8121.87</v>
      </c>
      <c r="AJ454" s="1665">
        <v>6903.55</v>
      </c>
      <c r="AK454" s="1698">
        <v>6903.55</v>
      </c>
      <c r="AL454" s="1665">
        <v>0</v>
      </c>
      <c r="AM454" s="1664">
        <v>43270</v>
      </c>
      <c r="AN454" s="1665">
        <v>8121.87</v>
      </c>
      <c r="AO454" s="1665">
        <v>8121.87</v>
      </c>
      <c r="AP454" s="1665">
        <v>6903.55</v>
      </c>
      <c r="AQ454" s="1665">
        <v>6903.55</v>
      </c>
      <c r="AR454" s="1665">
        <v>0</v>
      </c>
      <c r="AS454" s="1665">
        <v>1218.32</v>
      </c>
      <c r="AT454" s="1665">
        <v>0</v>
      </c>
      <c r="AU454" s="1665">
        <v>1218.32</v>
      </c>
      <c r="AV454" s="1665">
        <v>0</v>
      </c>
      <c r="AW454" s="1665">
        <v>0</v>
      </c>
      <c r="AX454" s="1663"/>
      <c r="AY454" s="1663"/>
      <c r="AZ454" s="1663"/>
      <c r="BA454" s="1668"/>
      <c r="BB454" s="1668"/>
      <c r="BC454" s="1663"/>
      <c r="BD454" s="1663"/>
      <c r="BE454" s="1665">
        <v>8121.87</v>
      </c>
      <c r="BF454" s="1665">
        <v>8121.87</v>
      </c>
      <c r="BG454" s="1665">
        <v>6903.55</v>
      </c>
      <c r="BH454" s="1665">
        <v>6903.55</v>
      </c>
      <c r="BI454" s="1665">
        <v>0</v>
      </c>
      <c r="BJ454" s="1665">
        <v>1218.32</v>
      </c>
      <c r="BK454" s="1665">
        <v>0</v>
      </c>
      <c r="BL454" s="1665">
        <v>1218.32</v>
      </c>
      <c r="BM454" s="1665">
        <v>0</v>
      </c>
      <c r="BN454" s="1665">
        <v>0</v>
      </c>
      <c r="BO454" s="1664">
        <v>43364</v>
      </c>
      <c r="BP454" s="1665">
        <v>8121.87</v>
      </c>
      <c r="BQ454" s="1665">
        <v>8121.87</v>
      </c>
      <c r="BR454" s="1665">
        <v>6903.55</v>
      </c>
      <c r="BS454" s="1667">
        <v>6903.55</v>
      </c>
      <c r="BT454" s="1665">
        <v>0</v>
      </c>
      <c r="BU454" s="1665">
        <v>1218.32</v>
      </c>
      <c r="BV454" s="1665">
        <v>0</v>
      </c>
      <c r="BW454" s="1665">
        <v>0</v>
      </c>
      <c r="BX454" s="1665">
        <v>0</v>
      </c>
      <c r="BY454" s="1665">
        <v>0</v>
      </c>
      <c r="BZ454" s="1665">
        <v>0</v>
      </c>
      <c r="CA454" s="1663"/>
      <c r="CB454" s="1668"/>
      <c r="CC454" s="1668"/>
      <c r="CD454" s="1663"/>
      <c r="CE454" s="1663"/>
      <c r="CF454" s="1665">
        <v>0</v>
      </c>
      <c r="CG454" s="1665">
        <v>0</v>
      </c>
      <c r="CH454" s="1665">
        <v>0</v>
      </c>
      <c r="CI454" s="1665">
        <v>0</v>
      </c>
      <c r="CJ454" s="1665">
        <v>1043.3699999999999</v>
      </c>
      <c r="CK454" s="1665">
        <v>1043.3699999999999</v>
      </c>
      <c r="CL454" s="1668"/>
      <c r="CM454" s="1665">
        <v>0</v>
      </c>
      <c r="CN454" s="1665">
        <v>0</v>
      </c>
      <c r="CO454" s="1665">
        <v>0</v>
      </c>
      <c r="CP454" s="1665">
        <v>0</v>
      </c>
      <c r="CQ454" s="1665">
        <v>0</v>
      </c>
      <c r="CR454" s="1665">
        <v>0</v>
      </c>
      <c r="CS454" s="1665">
        <v>0</v>
      </c>
      <c r="CT454" s="1665">
        <v>0</v>
      </c>
      <c r="CU454" s="1665">
        <v>0</v>
      </c>
      <c r="CV454" s="1665">
        <v>0</v>
      </c>
      <c r="CW454" s="1668"/>
      <c r="CX454" s="1663"/>
      <c r="CY454" s="1663"/>
      <c r="CZ454" s="1663"/>
      <c r="DA454" s="1663"/>
      <c r="DB454" s="1668"/>
      <c r="DC454" s="1662"/>
      <c r="DD454" s="1665">
        <v>0</v>
      </c>
      <c r="DE454" s="1663"/>
      <c r="DF454" s="1663"/>
      <c r="DG454" s="1665">
        <v>0</v>
      </c>
      <c r="DH454" s="1665">
        <v>0</v>
      </c>
    </row>
    <row r="455" spans="1:112" ht="45" hidden="1" x14ac:dyDescent="0.25">
      <c r="A455" s="1662" t="s">
        <v>2558</v>
      </c>
      <c r="B455" s="1662" t="s">
        <v>1731</v>
      </c>
      <c r="C455" s="1662" t="s">
        <v>2655</v>
      </c>
      <c r="D455" s="1662" t="s">
        <v>2656</v>
      </c>
      <c r="E455" s="1662" t="s">
        <v>1138</v>
      </c>
      <c r="F455" s="1662" t="s">
        <v>2635</v>
      </c>
      <c r="G455" s="1662" t="s">
        <v>2644</v>
      </c>
      <c r="H455" s="1662" t="s">
        <v>2645</v>
      </c>
      <c r="I455" s="1662" t="s">
        <v>1635</v>
      </c>
      <c r="J455" s="1662" t="s">
        <v>398</v>
      </c>
      <c r="K455" s="1662" t="s">
        <v>2126</v>
      </c>
      <c r="L455" s="1662" t="s">
        <v>2109</v>
      </c>
      <c r="M455" s="1665">
        <v>192832.21</v>
      </c>
      <c r="N455" s="1665">
        <v>0</v>
      </c>
      <c r="O455" s="1665">
        <v>192832.21</v>
      </c>
      <c r="P455" s="1665">
        <v>192832.21</v>
      </c>
      <c r="Q455" s="1665">
        <v>163907.37</v>
      </c>
      <c r="R455" s="1665">
        <v>163907.37</v>
      </c>
      <c r="S455" s="1665">
        <v>0</v>
      </c>
      <c r="T455" s="1665">
        <v>28924.84</v>
      </c>
      <c r="U455" s="1665">
        <v>0</v>
      </c>
      <c r="V455" s="1665">
        <v>28924.84</v>
      </c>
      <c r="W455" s="1665">
        <v>0</v>
      </c>
      <c r="X455" s="1665">
        <v>0</v>
      </c>
      <c r="Y455" s="1668"/>
      <c r="Z455" s="1662"/>
      <c r="AA455" s="1665">
        <v>0</v>
      </c>
      <c r="AB455" s="1665">
        <v>0</v>
      </c>
      <c r="AC455" s="1680">
        <v>0</v>
      </c>
      <c r="AD455" s="1681"/>
      <c r="AE455" s="1679"/>
      <c r="AF455" s="1662"/>
      <c r="AG455" s="1666"/>
      <c r="AH455" s="1667">
        <v>3057.91</v>
      </c>
      <c r="AI455" s="1665">
        <v>3057.91</v>
      </c>
      <c r="AJ455" s="1665">
        <v>2599.2199999999998</v>
      </c>
      <c r="AK455" s="1698">
        <v>2599.2199999999998</v>
      </c>
      <c r="AL455" s="1665">
        <v>0</v>
      </c>
      <c r="AM455" s="1668"/>
      <c r="AN455" s="1665">
        <v>3057.91</v>
      </c>
      <c r="AO455" s="1665">
        <v>3057.91</v>
      </c>
      <c r="AP455" s="1665">
        <v>2599.2199999999998</v>
      </c>
      <c r="AQ455" s="1665">
        <v>2599.2199999999998</v>
      </c>
      <c r="AR455" s="1665">
        <v>0</v>
      </c>
      <c r="AS455" s="1665">
        <v>458.69</v>
      </c>
      <c r="AT455" s="1665">
        <v>0</v>
      </c>
      <c r="AU455" s="1665">
        <v>458.69</v>
      </c>
      <c r="AV455" s="1665">
        <v>0</v>
      </c>
      <c r="AW455" s="1665">
        <v>0</v>
      </c>
      <c r="AX455" s="1665">
        <v>0</v>
      </c>
      <c r="AY455" s="1665">
        <v>0</v>
      </c>
      <c r="AZ455" s="1665">
        <v>0</v>
      </c>
      <c r="BA455" s="1668"/>
      <c r="BB455" s="1668"/>
      <c r="BC455" s="1665">
        <v>0</v>
      </c>
      <c r="BD455" s="1665">
        <v>0</v>
      </c>
      <c r="BE455" s="1665">
        <v>3057.91</v>
      </c>
      <c r="BF455" s="1665">
        <v>3057.91</v>
      </c>
      <c r="BG455" s="1665">
        <v>2599.2199999999998</v>
      </c>
      <c r="BH455" s="1665">
        <v>2599.2199999999998</v>
      </c>
      <c r="BI455" s="1665">
        <v>0</v>
      </c>
      <c r="BJ455" s="1665">
        <v>458.69</v>
      </c>
      <c r="BK455" s="1665">
        <v>0</v>
      </c>
      <c r="BL455" s="1665">
        <v>458.69</v>
      </c>
      <c r="BM455" s="1665">
        <v>0</v>
      </c>
      <c r="BN455" s="1665">
        <v>0</v>
      </c>
      <c r="BO455" s="1668"/>
      <c r="BP455" s="1665">
        <v>0</v>
      </c>
      <c r="BQ455" s="1665">
        <v>0</v>
      </c>
      <c r="BR455" s="1665">
        <v>0</v>
      </c>
      <c r="BS455" s="1667">
        <v>0</v>
      </c>
      <c r="BT455" s="1665">
        <v>0</v>
      </c>
      <c r="BU455" s="1665">
        <v>0</v>
      </c>
      <c r="BV455" s="1665">
        <v>0</v>
      </c>
      <c r="BW455" s="1665">
        <v>0</v>
      </c>
      <c r="BX455" s="1665">
        <v>0</v>
      </c>
      <c r="BY455" s="1665">
        <v>0</v>
      </c>
      <c r="BZ455" s="1665">
        <v>0</v>
      </c>
      <c r="CA455" s="1665">
        <v>0</v>
      </c>
      <c r="CB455" s="1668"/>
      <c r="CC455" s="1668"/>
      <c r="CD455" s="1665">
        <v>0</v>
      </c>
      <c r="CE455" s="1665">
        <v>0</v>
      </c>
      <c r="CF455" s="1665">
        <v>0</v>
      </c>
      <c r="CG455" s="1665">
        <v>0</v>
      </c>
      <c r="CH455" s="1665">
        <v>0</v>
      </c>
      <c r="CI455" s="1665">
        <v>0</v>
      </c>
      <c r="CJ455" s="1665">
        <v>0</v>
      </c>
      <c r="CK455" s="1665">
        <v>0</v>
      </c>
      <c r="CL455" s="1668"/>
      <c r="CM455" s="1665">
        <v>0</v>
      </c>
      <c r="CN455" s="1665">
        <v>0</v>
      </c>
      <c r="CO455" s="1665">
        <v>0</v>
      </c>
      <c r="CP455" s="1665">
        <v>0</v>
      </c>
      <c r="CQ455" s="1665">
        <v>0</v>
      </c>
      <c r="CR455" s="1665">
        <v>0</v>
      </c>
      <c r="CS455" s="1665">
        <v>0</v>
      </c>
      <c r="CT455" s="1665">
        <v>0</v>
      </c>
      <c r="CU455" s="1665">
        <v>0</v>
      </c>
      <c r="CV455" s="1665">
        <v>0</v>
      </c>
      <c r="CW455" s="1668"/>
      <c r="CX455" s="1665">
        <v>0</v>
      </c>
      <c r="CY455" s="1665">
        <v>0</v>
      </c>
      <c r="CZ455" s="1665">
        <v>0</v>
      </c>
      <c r="DA455" s="1665">
        <v>0</v>
      </c>
      <c r="DB455" s="1668"/>
      <c r="DC455" s="1662"/>
      <c r="DD455" s="1665">
        <v>0</v>
      </c>
      <c r="DE455" s="1665">
        <v>0</v>
      </c>
      <c r="DF455" s="1665">
        <v>0</v>
      </c>
      <c r="DG455" s="1665">
        <v>0</v>
      </c>
      <c r="DH455" s="1665">
        <v>0</v>
      </c>
    </row>
    <row r="456" spans="1:112" ht="45" hidden="1" x14ac:dyDescent="0.25">
      <c r="A456" s="1662" t="s">
        <v>2559</v>
      </c>
      <c r="B456" s="1662" t="s">
        <v>1731</v>
      </c>
      <c r="C456" s="1662" t="s">
        <v>2655</v>
      </c>
      <c r="D456" s="1662" t="s">
        <v>2656</v>
      </c>
      <c r="E456" s="1662" t="s">
        <v>1138</v>
      </c>
      <c r="F456" s="1662" t="s">
        <v>2635</v>
      </c>
      <c r="G456" s="1662" t="s">
        <v>2644</v>
      </c>
      <c r="H456" s="1662" t="s">
        <v>2645</v>
      </c>
      <c r="I456" s="1662" t="s">
        <v>1635</v>
      </c>
      <c r="J456" s="1662" t="s">
        <v>398</v>
      </c>
      <c r="K456" s="1662" t="s">
        <v>2126</v>
      </c>
      <c r="L456" s="1662" t="s">
        <v>2109</v>
      </c>
      <c r="M456" s="1663"/>
      <c r="N456" s="1663"/>
      <c r="O456" s="1663"/>
      <c r="P456" s="1663"/>
      <c r="Q456" s="1663"/>
      <c r="R456" s="1663"/>
      <c r="S456" s="1663"/>
      <c r="T456" s="1663"/>
      <c r="U456" s="1663"/>
      <c r="V456" s="1663"/>
      <c r="W456" s="1663"/>
      <c r="X456" s="1663"/>
      <c r="Y456" s="1664">
        <v>43308</v>
      </c>
      <c r="Z456" s="1662" t="s">
        <v>2110</v>
      </c>
      <c r="AA456" s="1665">
        <v>0</v>
      </c>
      <c r="AB456" s="1665">
        <v>0</v>
      </c>
      <c r="AC456" s="1680">
        <v>0</v>
      </c>
      <c r="AD456" s="1682">
        <v>43329</v>
      </c>
      <c r="AE456" s="1679" t="s">
        <v>2122</v>
      </c>
      <c r="AF456" s="1662" t="s">
        <v>2112</v>
      </c>
      <c r="AG456" s="1666"/>
      <c r="AH456" s="1667">
        <v>3057.91</v>
      </c>
      <c r="AI456" s="1665">
        <v>3057.91</v>
      </c>
      <c r="AJ456" s="1665">
        <v>2599.2199999999998</v>
      </c>
      <c r="AK456" s="1698">
        <v>2599.2199999999998</v>
      </c>
      <c r="AL456" s="1665">
        <v>0</v>
      </c>
      <c r="AM456" s="1664">
        <v>43329</v>
      </c>
      <c r="AN456" s="1665">
        <v>3057.91</v>
      </c>
      <c r="AO456" s="1665">
        <v>3057.91</v>
      </c>
      <c r="AP456" s="1665">
        <v>2599.2199999999998</v>
      </c>
      <c r="AQ456" s="1665">
        <v>2599.2199999999998</v>
      </c>
      <c r="AR456" s="1665">
        <v>0</v>
      </c>
      <c r="AS456" s="1665">
        <v>458.69</v>
      </c>
      <c r="AT456" s="1665">
        <v>0</v>
      </c>
      <c r="AU456" s="1665">
        <v>458.69</v>
      </c>
      <c r="AV456" s="1665">
        <v>0</v>
      </c>
      <c r="AW456" s="1665">
        <v>0</v>
      </c>
      <c r="AX456" s="1663"/>
      <c r="AY456" s="1663"/>
      <c r="AZ456" s="1663"/>
      <c r="BA456" s="1668"/>
      <c r="BB456" s="1668"/>
      <c r="BC456" s="1663"/>
      <c r="BD456" s="1663"/>
      <c r="BE456" s="1665">
        <v>3057.91</v>
      </c>
      <c r="BF456" s="1665">
        <v>3057.91</v>
      </c>
      <c r="BG456" s="1665">
        <v>2599.2199999999998</v>
      </c>
      <c r="BH456" s="1665">
        <v>2599.2199999999998</v>
      </c>
      <c r="BI456" s="1665">
        <v>0</v>
      </c>
      <c r="BJ456" s="1665">
        <v>458.69</v>
      </c>
      <c r="BK456" s="1665">
        <v>0</v>
      </c>
      <c r="BL456" s="1665">
        <v>458.69</v>
      </c>
      <c r="BM456" s="1665">
        <v>0</v>
      </c>
      <c r="BN456" s="1665">
        <v>0</v>
      </c>
      <c r="BO456" s="1668"/>
      <c r="BP456" s="1665">
        <v>0</v>
      </c>
      <c r="BQ456" s="1665">
        <v>0</v>
      </c>
      <c r="BR456" s="1665">
        <v>0</v>
      </c>
      <c r="BS456" s="1667">
        <v>0</v>
      </c>
      <c r="BT456" s="1665">
        <v>0</v>
      </c>
      <c r="BU456" s="1665">
        <v>0</v>
      </c>
      <c r="BV456" s="1665">
        <v>0</v>
      </c>
      <c r="BW456" s="1665">
        <v>0</v>
      </c>
      <c r="BX456" s="1665">
        <v>0</v>
      </c>
      <c r="BY456" s="1665">
        <v>0</v>
      </c>
      <c r="BZ456" s="1665">
        <v>0</v>
      </c>
      <c r="CA456" s="1663"/>
      <c r="CB456" s="1668"/>
      <c r="CC456" s="1668"/>
      <c r="CD456" s="1663"/>
      <c r="CE456" s="1663"/>
      <c r="CF456" s="1665">
        <v>0</v>
      </c>
      <c r="CG456" s="1665">
        <v>0</v>
      </c>
      <c r="CH456" s="1665">
        <v>0</v>
      </c>
      <c r="CI456" s="1665">
        <v>0</v>
      </c>
      <c r="CJ456" s="1665">
        <v>0</v>
      </c>
      <c r="CK456" s="1665">
        <v>0</v>
      </c>
      <c r="CL456" s="1668"/>
      <c r="CM456" s="1665">
        <v>0</v>
      </c>
      <c r="CN456" s="1665">
        <v>0</v>
      </c>
      <c r="CO456" s="1665">
        <v>0</v>
      </c>
      <c r="CP456" s="1665">
        <v>0</v>
      </c>
      <c r="CQ456" s="1665">
        <v>0</v>
      </c>
      <c r="CR456" s="1665">
        <v>0</v>
      </c>
      <c r="CS456" s="1665">
        <v>0</v>
      </c>
      <c r="CT456" s="1665">
        <v>0</v>
      </c>
      <c r="CU456" s="1665">
        <v>0</v>
      </c>
      <c r="CV456" s="1665">
        <v>0</v>
      </c>
      <c r="CW456" s="1668"/>
      <c r="CX456" s="1663"/>
      <c r="CY456" s="1663"/>
      <c r="CZ456" s="1663"/>
      <c r="DA456" s="1663"/>
      <c r="DB456" s="1668"/>
      <c r="DC456" s="1662"/>
      <c r="DD456" s="1665">
        <v>0</v>
      </c>
      <c r="DE456" s="1663"/>
      <c r="DF456" s="1663"/>
      <c r="DG456" s="1665">
        <v>0</v>
      </c>
      <c r="DH456" s="1665">
        <v>0</v>
      </c>
    </row>
    <row r="457" spans="1:112" ht="56.25" hidden="1" x14ac:dyDescent="0.25">
      <c r="A457" s="1662" t="s">
        <v>2560</v>
      </c>
      <c r="B457" s="1662" t="s">
        <v>1731</v>
      </c>
      <c r="C457" s="1662" t="s">
        <v>2655</v>
      </c>
      <c r="D457" s="1662" t="s">
        <v>2656</v>
      </c>
      <c r="E457" s="1662" t="s">
        <v>1138</v>
      </c>
      <c r="F457" s="1662" t="s">
        <v>2635</v>
      </c>
      <c r="G457" s="1662" t="s">
        <v>2644</v>
      </c>
      <c r="H457" s="1662" t="s">
        <v>2645</v>
      </c>
      <c r="I457" s="1662" t="s">
        <v>1636</v>
      </c>
      <c r="J457" s="1662" t="s">
        <v>240</v>
      </c>
      <c r="K457" s="1662" t="s">
        <v>2159</v>
      </c>
      <c r="L457" s="1662" t="s">
        <v>2109</v>
      </c>
      <c r="M457" s="1665">
        <v>161741.96</v>
      </c>
      <c r="N457" s="1665">
        <v>0</v>
      </c>
      <c r="O457" s="1665">
        <v>161741.96</v>
      </c>
      <c r="P457" s="1665">
        <v>161741.96</v>
      </c>
      <c r="Q457" s="1665">
        <v>137349.79999999999</v>
      </c>
      <c r="R457" s="1665">
        <v>137349.79999999999</v>
      </c>
      <c r="S457" s="1665">
        <v>0</v>
      </c>
      <c r="T457" s="1665">
        <v>24392.16</v>
      </c>
      <c r="U457" s="1665">
        <v>0</v>
      </c>
      <c r="V457" s="1665">
        <v>24392.16</v>
      </c>
      <c r="W457" s="1665">
        <v>0</v>
      </c>
      <c r="X457" s="1665">
        <v>0</v>
      </c>
      <c r="Y457" s="1668"/>
      <c r="Z457" s="1662"/>
      <c r="AA457" s="1665">
        <v>0</v>
      </c>
      <c r="AB457" s="1665">
        <v>0</v>
      </c>
      <c r="AC457" s="1680">
        <v>0</v>
      </c>
      <c r="AD457" s="1681"/>
      <c r="AE457" s="1679"/>
      <c r="AF457" s="1662"/>
      <c r="AG457" s="1666"/>
      <c r="AH457" s="1667">
        <v>33715.56</v>
      </c>
      <c r="AI457" s="1665">
        <v>33715.56</v>
      </c>
      <c r="AJ457" s="1665">
        <v>28630.95</v>
      </c>
      <c r="AK457" s="1698">
        <v>28630.95</v>
      </c>
      <c r="AL457" s="1665">
        <v>0</v>
      </c>
      <c r="AM457" s="1668"/>
      <c r="AN457" s="1665">
        <v>33715.56</v>
      </c>
      <c r="AO457" s="1665">
        <v>33715.56</v>
      </c>
      <c r="AP457" s="1665">
        <v>28630.95</v>
      </c>
      <c r="AQ457" s="1665">
        <v>28630.95</v>
      </c>
      <c r="AR457" s="1665">
        <v>0</v>
      </c>
      <c r="AS457" s="1665">
        <v>5084.6099999999997</v>
      </c>
      <c r="AT457" s="1665">
        <v>0</v>
      </c>
      <c r="AU457" s="1665">
        <v>5084.6099999999997</v>
      </c>
      <c r="AV457" s="1665">
        <v>0</v>
      </c>
      <c r="AW457" s="1665">
        <v>0</v>
      </c>
      <c r="AX457" s="1665">
        <v>0</v>
      </c>
      <c r="AY457" s="1665">
        <v>0</v>
      </c>
      <c r="AZ457" s="1665">
        <v>0</v>
      </c>
      <c r="BA457" s="1668"/>
      <c r="BB457" s="1668"/>
      <c r="BC457" s="1665">
        <v>0</v>
      </c>
      <c r="BD457" s="1665">
        <v>0</v>
      </c>
      <c r="BE457" s="1665">
        <v>33715.56</v>
      </c>
      <c r="BF457" s="1665">
        <v>33715.56</v>
      </c>
      <c r="BG457" s="1665">
        <v>28630.95</v>
      </c>
      <c r="BH457" s="1665">
        <v>28630.95</v>
      </c>
      <c r="BI457" s="1665">
        <v>0</v>
      </c>
      <c r="BJ457" s="1665">
        <v>5084.6099999999997</v>
      </c>
      <c r="BK457" s="1665">
        <v>0</v>
      </c>
      <c r="BL457" s="1665">
        <v>5084.6099999999997</v>
      </c>
      <c r="BM457" s="1665">
        <v>0</v>
      </c>
      <c r="BN457" s="1665">
        <v>0</v>
      </c>
      <c r="BO457" s="1668"/>
      <c r="BP457" s="1665">
        <v>0</v>
      </c>
      <c r="BQ457" s="1665">
        <v>0</v>
      </c>
      <c r="BR457" s="1665">
        <v>0</v>
      </c>
      <c r="BS457" s="1667">
        <v>0</v>
      </c>
      <c r="BT457" s="1665">
        <v>0</v>
      </c>
      <c r="BU457" s="1665">
        <v>0</v>
      </c>
      <c r="BV457" s="1665">
        <v>0</v>
      </c>
      <c r="BW457" s="1665">
        <v>0</v>
      </c>
      <c r="BX457" s="1665">
        <v>0</v>
      </c>
      <c r="BY457" s="1665">
        <v>0</v>
      </c>
      <c r="BZ457" s="1665">
        <v>0</v>
      </c>
      <c r="CA457" s="1665">
        <v>0</v>
      </c>
      <c r="CB457" s="1668"/>
      <c r="CC457" s="1668"/>
      <c r="CD457" s="1665">
        <v>0</v>
      </c>
      <c r="CE457" s="1665">
        <v>0</v>
      </c>
      <c r="CF457" s="1665">
        <v>0</v>
      </c>
      <c r="CG457" s="1665">
        <v>0</v>
      </c>
      <c r="CH457" s="1665">
        <v>0</v>
      </c>
      <c r="CI457" s="1665">
        <v>0</v>
      </c>
      <c r="CJ457" s="1665">
        <v>0</v>
      </c>
      <c r="CK457" s="1665">
        <v>0</v>
      </c>
      <c r="CL457" s="1668"/>
      <c r="CM457" s="1665">
        <v>0</v>
      </c>
      <c r="CN457" s="1665">
        <v>0</v>
      </c>
      <c r="CO457" s="1665">
        <v>0</v>
      </c>
      <c r="CP457" s="1665">
        <v>0</v>
      </c>
      <c r="CQ457" s="1665">
        <v>0</v>
      </c>
      <c r="CR457" s="1665">
        <v>0</v>
      </c>
      <c r="CS457" s="1665">
        <v>0</v>
      </c>
      <c r="CT457" s="1665">
        <v>0</v>
      </c>
      <c r="CU457" s="1665">
        <v>0</v>
      </c>
      <c r="CV457" s="1665">
        <v>0</v>
      </c>
      <c r="CW457" s="1668"/>
      <c r="CX457" s="1665">
        <v>0</v>
      </c>
      <c r="CY457" s="1665">
        <v>0</v>
      </c>
      <c r="CZ457" s="1665">
        <v>0</v>
      </c>
      <c r="DA457" s="1665">
        <v>0</v>
      </c>
      <c r="DB457" s="1668"/>
      <c r="DC457" s="1662"/>
      <c r="DD457" s="1665">
        <v>13113.48</v>
      </c>
      <c r="DE457" s="1665">
        <v>0</v>
      </c>
      <c r="DF457" s="1665">
        <v>0</v>
      </c>
      <c r="DG457" s="1665">
        <v>0</v>
      </c>
      <c r="DH457" s="1665">
        <v>0</v>
      </c>
    </row>
    <row r="458" spans="1:112" ht="56.25" hidden="1" x14ac:dyDescent="0.25">
      <c r="A458" s="1662" t="s">
        <v>2657</v>
      </c>
      <c r="B458" s="1662" t="s">
        <v>1731</v>
      </c>
      <c r="C458" s="1662" t="s">
        <v>2655</v>
      </c>
      <c r="D458" s="1662" t="s">
        <v>2656</v>
      </c>
      <c r="E458" s="1662" t="s">
        <v>1138</v>
      </c>
      <c r="F458" s="1662" t="s">
        <v>2635</v>
      </c>
      <c r="G458" s="1662" t="s">
        <v>2644</v>
      </c>
      <c r="H458" s="1662" t="s">
        <v>2645</v>
      </c>
      <c r="I458" s="1662" t="s">
        <v>1636</v>
      </c>
      <c r="J458" s="1662" t="s">
        <v>240</v>
      </c>
      <c r="K458" s="1662" t="s">
        <v>2159</v>
      </c>
      <c r="L458" s="1662" t="s">
        <v>2109</v>
      </c>
      <c r="M458" s="1663"/>
      <c r="N458" s="1663"/>
      <c r="O458" s="1663"/>
      <c r="P458" s="1663"/>
      <c r="Q458" s="1663"/>
      <c r="R458" s="1663"/>
      <c r="S458" s="1663"/>
      <c r="T458" s="1663"/>
      <c r="U458" s="1663"/>
      <c r="V458" s="1663"/>
      <c r="W458" s="1663"/>
      <c r="X458" s="1663"/>
      <c r="Y458" s="1664">
        <v>43322</v>
      </c>
      <c r="Z458" s="1662" t="s">
        <v>2110</v>
      </c>
      <c r="AA458" s="1665">
        <v>0</v>
      </c>
      <c r="AB458" s="1665">
        <v>0</v>
      </c>
      <c r="AC458" s="1680">
        <v>0</v>
      </c>
      <c r="AD458" s="1682">
        <v>43355</v>
      </c>
      <c r="AE458" s="1679" t="s">
        <v>2122</v>
      </c>
      <c r="AF458" s="1662" t="s">
        <v>2112</v>
      </c>
      <c r="AG458" s="1666"/>
      <c r="AH458" s="1667">
        <v>33715.56</v>
      </c>
      <c r="AI458" s="1665">
        <v>33715.56</v>
      </c>
      <c r="AJ458" s="1665">
        <v>28630.95</v>
      </c>
      <c r="AK458" s="1698">
        <v>28630.95</v>
      </c>
      <c r="AL458" s="1665">
        <v>0</v>
      </c>
      <c r="AM458" s="1664">
        <v>43355</v>
      </c>
      <c r="AN458" s="1665">
        <v>33715.56</v>
      </c>
      <c r="AO458" s="1665">
        <v>33715.56</v>
      </c>
      <c r="AP458" s="1665">
        <v>28630.95</v>
      </c>
      <c r="AQ458" s="1665">
        <v>28630.95</v>
      </c>
      <c r="AR458" s="1665">
        <v>0</v>
      </c>
      <c r="AS458" s="1665">
        <v>5084.6099999999997</v>
      </c>
      <c r="AT458" s="1665">
        <v>0</v>
      </c>
      <c r="AU458" s="1665">
        <v>5084.6099999999997</v>
      </c>
      <c r="AV458" s="1665">
        <v>0</v>
      </c>
      <c r="AW458" s="1665">
        <v>0</v>
      </c>
      <c r="AX458" s="1663"/>
      <c r="AY458" s="1663"/>
      <c r="AZ458" s="1663"/>
      <c r="BA458" s="1668"/>
      <c r="BB458" s="1668"/>
      <c r="BC458" s="1663"/>
      <c r="BD458" s="1663"/>
      <c r="BE458" s="1665">
        <v>33715.56</v>
      </c>
      <c r="BF458" s="1665">
        <v>33715.56</v>
      </c>
      <c r="BG458" s="1665">
        <v>28630.95</v>
      </c>
      <c r="BH458" s="1665">
        <v>28630.95</v>
      </c>
      <c r="BI458" s="1665">
        <v>0</v>
      </c>
      <c r="BJ458" s="1665">
        <v>5084.6099999999997</v>
      </c>
      <c r="BK458" s="1665">
        <v>0</v>
      </c>
      <c r="BL458" s="1665">
        <v>5084.6099999999997</v>
      </c>
      <c r="BM458" s="1665">
        <v>0</v>
      </c>
      <c r="BN458" s="1665">
        <v>0</v>
      </c>
      <c r="BO458" s="1668"/>
      <c r="BP458" s="1665">
        <v>0</v>
      </c>
      <c r="BQ458" s="1665">
        <v>0</v>
      </c>
      <c r="BR458" s="1665">
        <v>0</v>
      </c>
      <c r="BS458" s="1667">
        <v>0</v>
      </c>
      <c r="BT458" s="1665">
        <v>0</v>
      </c>
      <c r="BU458" s="1665">
        <v>0</v>
      </c>
      <c r="BV458" s="1665">
        <v>0</v>
      </c>
      <c r="BW458" s="1665">
        <v>0</v>
      </c>
      <c r="BX458" s="1665">
        <v>0</v>
      </c>
      <c r="BY458" s="1665">
        <v>0</v>
      </c>
      <c r="BZ458" s="1665">
        <v>0</v>
      </c>
      <c r="CA458" s="1663"/>
      <c r="CB458" s="1668"/>
      <c r="CC458" s="1668"/>
      <c r="CD458" s="1663"/>
      <c r="CE458" s="1663"/>
      <c r="CF458" s="1665">
        <v>0</v>
      </c>
      <c r="CG458" s="1665">
        <v>0</v>
      </c>
      <c r="CH458" s="1665">
        <v>0</v>
      </c>
      <c r="CI458" s="1665">
        <v>0</v>
      </c>
      <c r="CJ458" s="1665">
        <v>0</v>
      </c>
      <c r="CK458" s="1665">
        <v>0</v>
      </c>
      <c r="CL458" s="1668"/>
      <c r="CM458" s="1665">
        <v>0</v>
      </c>
      <c r="CN458" s="1665">
        <v>0</v>
      </c>
      <c r="CO458" s="1665">
        <v>0</v>
      </c>
      <c r="CP458" s="1665">
        <v>0</v>
      </c>
      <c r="CQ458" s="1665">
        <v>0</v>
      </c>
      <c r="CR458" s="1665">
        <v>0</v>
      </c>
      <c r="CS458" s="1665">
        <v>0</v>
      </c>
      <c r="CT458" s="1665">
        <v>0</v>
      </c>
      <c r="CU458" s="1665">
        <v>0</v>
      </c>
      <c r="CV458" s="1665">
        <v>0</v>
      </c>
      <c r="CW458" s="1668"/>
      <c r="CX458" s="1663"/>
      <c r="CY458" s="1663"/>
      <c r="CZ458" s="1663"/>
      <c r="DA458" s="1663"/>
      <c r="DB458" s="1668"/>
      <c r="DC458" s="1662"/>
      <c r="DD458" s="1665">
        <v>13113.48</v>
      </c>
      <c r="DE458" s="1663"/>
      <c r="DF458" s="1663"/>
      <c r="DG458" s="1665">
        <v>0</v>
      </c>
      <c r="DH458" s="1665">
        <v>0</v>
      </c>
    </row>
    <row r="459" spans="1:112" ht="90" hidden="1" x14ac:dyDescent="0.25">
      <c r="A459" s="1662" t="s">
        <v>2658</v>
      </c>
      <c r="B459" s="1662" t="s">
        <v>1731</v>
      </c>
      <c r="C459" s="1662" t="s">
        <v>2655</v>
      </c>
      <c r="D459" s="1662" t="s">
        <v>2656</v>
      </c>
      <c r="E459" s="1662" t="s">
        <v>1138</v>
      </c>
      <c r="F459" s="1662" t="s">
        <v>2635</v>
      </c>
      <c r="G459" s="1662" t="s">
        <v>2644</v>
      </c>
      <c r="H459" s="1662" t="s">
        <v>2645</v>
      </c>
      <c r="I459" s="1662" t="s">
        <v>1637</v>
      </c>
      <c r="J459" s="1662" t="s">
        <v>1785</v>
      </c>
      <c r="K459" s="1662" t="s">
        <v>2120</v>
      </c>
      <c r="L459" s="1662" t="s">
        <v>2109</v>
      </c>
      <c r="M459" s="1665">
        <v>215693.16</v>
      </c>
      <c r="N459" s="1665">
        <v>0</v>
      </c>
      <c r="O459" s="1665">
        <v>215693.16</v>
      </c>
      <c r="P459" s="1665">
        <v>215693.16</v>
      </c>
      <c r="Q459" s="1665">
        <v>183339.18</v>
      </c>
      <c r="R459" s="1665">
        <v>183339.18</v>
      </c>
      <c r="S459" s="1665">
        <v>0</v>
      </c>
      <c r="T459" s="1665">
        <v>32353.98</v>
      </c>
      <c r="U459" s="1665">
        <v>0</v>
      </c>
      <c r="V459" s="1665">
        <v>32353.98</v>
      </c>
      <c r="W459" s="1665">
        <v>0</v>
      </c>
      <c r="X459" s="1665">
        <v>0</v>
      </c>
      <c r="Y459" s="1668"/>
      <c r="Z459" s="1662"/>
      <c r="AA459" s="1665">
        <v>0</v>
      </c>
      <c r="AB459" s="1665">
        <v>0</v>
      </c>
      <c r="AC459" s="1680">
        <v>0</v>
      </c>
      <c r="AD459" s="1681"/>
      <c r="AE459" s="1679"/>
      <c r="AF459" s="1662"/>
      <c r="AG459" s="1666"/>
      <c r="AH459" s="1667">
        <v>6801.68</v>
      </c>
      <c r="AI459" s="1665">
        <v>6801.68</v>
      </c>
      <c r="AJ459" s="1665">
        <v>5781.43</v>
      </c>
      <c r="AK459" s="1698">
        <v>5781.43</v>
      </c>
      <c r="AL459" s="1665">
        <v>0</v>
      </c>
      <c r="AM459" s="1668"/>
      <c r="AN459" s="1665">
        <v>6801.68</v>
      </c>
      <c r="AO459" s="1665">
        <v>6801.68</v>
      </c>
      <c r="AP459" s="1665">
        <v>5781.43</v>
      </c>
      <c r="AQ459" s="1665">
        <v>5781.43</v>
      </c>
      <c r="AR459" s="1665">
        <v>0</v>
      </c>
      <c r="AS459" s="1665">
        <v>1020.25</v>
      </c>
      <c r="AT459" s="1665">
        <v>0</v>
      </c>
      <c r="AU459" s="1665">
        <v>1020.25</v>
      </c>
      <c r="AV459" s="1665">
        <v>0</v>
      </c>
      <c r="AW459" s="1665">
        <v>0</v>
      </c>
      <c r="AX459" s="1665">
        <v>0</v>
      </c>
      <c r="AY459" s="1665">
        <v>0</v>
      </c>
      <c r="AZ459" s="1665">
        <v>0</v>
      </c>
      <c r="BA459" s="1668"/>
      <c r="BB459" s="1668"/>
      <c r="BC459" s="1665">
        <v>0</v>
      </c>
      <c r="BD459" s="1665">
        <v>0</v>
      </c>
      <c r="BE459" s="1665">
        <v>6801.68</v>
      </c>
      <c r="BF459" s="1665">
        <v>6801.68</v>
      </c>
      <c r="BG459" s="1665">
        <v>5781.43</v>
      </c>
      <c r="BH459" s="1665">
        <v>5781.43</v>
      </c>
      <c r="BI459" s="1665">
        <v>0</v>
      </c>
      <c r="BJ459" s="1665">
        <v>1020.25</v>
      </c>
      <c r="BK459" s="1665">
        <v>0</v>
      </c>
      <c r="BL459" s="1665">
        <v>1020.25</v>
      </c>
      <c r="BM459" s="1665">
        <v>0</v>
      </c>
      <c r="BN459" s="1665">
        <v>0</v>
      </c>
      <c r="BO459" s="1668"/>
      <c r="BP459" s="1665">
        <v>0</v>
      </c>
      <c r="BQ459" s="1665">
        <v>0</v>
      </c>
      <c r="BR459" s="1665">
        <v>0</v>
      </c>
      <c r="BS459" s="1667">
        <v>0</v>
      </c>
      <c r="BT459" s="1665">
        <v>0</v>
      </c>
      <c r="BU459" s="1665">
        <v>0</v>
      </c>
      <c r="BV459" s="1665">
        <v>0</v>
      </c>
      <c r="BW459" s="1665">
        <v>0</v>
      </c>
      <c r="BX459" s="1665">
        <v>0</v>
      </c>
      <c r="BY459" s="1665">
        <v>0</v>
      </c>
      <c r="BZ459" s="1665">
        <v>0</v>
      </c>
      <c r="CA459" s="1665">
        <v>0</v>
      </c>
      <c r="CB459" s="1668"/>
      <c r="CC459" s="1668"/>
      <c r="CD459" s="1665">
        <v>0</v>
      </c>
      <c r="CE459" s="1665">
        <v>0</v>
      </c>
      <c r="CF459" s="1665">
        <v>0</v>
      </c>
      <c r="CG459" s="1665">
        <v>0</v>
      </c>
      <c r="CH459" s="1665">
        <v>0</v>
      </c>
      <c r="CI459" s="1665">
        <v>0</v>
      </c>
      <c r="CJ459" s="1665">
        <v>0</v>
      </c>
      <c r="CK459" s="1665">
        <v>0</v>
      </c>
      <c r="CL459" s="1668"/>
      <c r="CM459" s="1665">
        <v>0</v>
      </c>
      <c r="CN459" s="1665">
        <v>0</v>
      </c>
      <c r="CO459" s="1665">
        <v>0</v>
      </c>
      <c r="CP459" s="1665">
        <v>0</v>
      </c>
      <c r="CQ459" s="1665">
        <v>0</v>
      </c>
      <c r="CR459" s="1665">
        <v>0</v>
      </c>
      <c r="CS459" s="1665">
        <v>0</v>
      </c>
      <c r="CT459" s="1665">
        <v>0</v>
      </c>
      <c r="CU459" s="1665">
        <v>0</v>
      </c>
      <c r="CV459" s="1665">
        <v>0</v>
      </c>
      <c r="CW459" s="1668"/>
      <c r="CX459" s="1665">
        <v>0</v>
      </c>
      <c r="CY459" s="1665">
        <v>0</v>
      </c>
      <c r="CZ459" s="1665">
        <v>0</v>
      </c>
      <c r="DA459" s="1665">
        <v>0</v>
      </c>
      <c r="DB459" s="1668"/>
      <c r="DC459" s="1662"/>
      <c r="DD459" s="1665">
        <v>0</v>
      </c>
      <c r="DE459" s="1663"/>
      <c r="DF459" s="1665">
        <v>0</v>
      </c>
      <c r="DG459" s="1665">
        <v>0</v>
      </c>
      <c r="DH459" s="1665">
        <v>0</v>
      </c>
    </row>
    <row r="460" spans="1:112" ht="90" hidden="1" x14ac:dyDescent="0.25">
      <c r="A460" s="1662" t="s">
        <v>2659</v>
      </c>
      <c r="B460" s="1662" t="s">
        <v>1731</v>
      </c>
      <c r="C460" s="1662" t="s">
        <v>2655</v>
      </c>
      <c r="D460" s="1662" t="s">
        <v>2656</v>
      </c>
      <c r="E460" s="1662" t="s">
        <v>1138</v>
      </c>
      <c r="F460" s="1662" t="s">
        <v>2635</v>
      </c>
      <c r="G460" s="1662" t="s">
        <v>2644</v>
      </c>
      <c r="H460" s="1662" t="s">
        <v>2645</v>
      </c>
      <c r="I460" s="1662" t="s">
        <v>1637</v>
      </c>
      <c r="J460" s="1662" t="s">
        <v>1785</v>
      </c>
      <c r="K460" s="1662" t="s">
        <v>2120</v>
      </c>
      <c r="L460" s="1662" t="s">
        <v>2109</v>
      </c>
      <c r="M460" s="1663"/>
      <c r="N460" s="1663"/>
      <c r="O460" s="1663"/>
      <c r="P460" s="1663"/>
      <c r="Q460" s="1663"/>
      <c r="R460" s="1663"/>
      <c r="S460" s="1663"/>
      <c r="T460" s="1663"/>
      <c r="U460" s="1663"/>
      <c r="V460" s="1663"/>
      <c r="W460" s="1663"/>
      <c r="X460" s="1663"/>
      <c r="Y460" s="1664">
        <v>43326</v>
      </c>
      <c r="Z460" s="1662" t="s">
        <v>2110</v>
      </c>
      <c r="AA460" s="1665">
        <v>0</v>
      </c>
      <c r="AB460" s="1665">
        <v>0</v>
      </c>
      <c r="AC460" s="1680">
        <v>0</v>
      </c>
      <c r="AD460" s="1682">
        <v>43355</v>
      </c>
      <c r="AE460" s="1679" t="s">
        <v>2122</v>
      </c>
      <c r="AF460" s="1662" t="s">
        <v>2112</v>
      </c>
      <c r="AG460" s="1666"/>
      <c r="AH460" s="1667">
        <v>6801.68</v>
      </c>
      <c r="AI460" s="1665">
        <v>6801.68</v>
      </c>
      <c r="AJ460" s="1665">
        <v>5781.43</v>
      </c>
      <c r="AK460" s="1698">
        <v>5781.43</v>
      </c>
      <c r="AL460" s="1665">
        <v>0</v>
      </c>
      <c r="AM460" s="1664">
        <v>43355</v>
      </c>
      <c r="AN460" s="1665">
        <v>6801.68</v>
      </c>
      <c r="AO460" s="1665">
        <v>6801.68</v>
      </c>
      <c r="AP460" s="1665">
        <v>5781.43</v>
      </c>
      <c r="AQ460" s="1665">
        <v>5781.43</v>
      </c>
      <c r="AR460" s="1665">
        <v>0</v>
      </c>
      <c r="AS460" s="1665">
        <v>1020.25</v>
      </c>
      <c r="AT460" s="1665">
        <v>0</v>
      </c>
      <c r="AU460" s="1665">
        <v>1020.25</v>
      </c>
      <c r="AV460" s="1665">
        <v>0</v>
      </c>
      <c r="AW460" s="1665">
        <v>0</v>
      </c>
      <c r="AX460" s="1663"/>
      <c r="AY460" s="1663"/>
      <c r="AZ460" s="1663"/>
      <c r="BA460" s="1668"/>
      <c r="BB460" s="1668"/>
      <c r="BC460" s="1663"/>
      <c r="BD460" s="1663"/>
      <c r="BE460" s="1665">
        <v>6801.68</v>
      </c>
      <c r="BF460" s="1665">
        <v>6801.68</v>
      </c>
      <c r="BG460" s="1665">
        <v>5781.43</v>
      </c>
      <c r="BH460" s="1665">
        <v>5781.43</v>
      </c>
      <c r="BI460" s="1665">
        <v>0</v>
      </c>
      <c r="BJ460" s="1665">
        <v>1020.25</v>
      </c>
      <c r="BK460" s="1665">
        <v>0</v>
      </c>
      <c r="BL460" s="1665">
        <v>1020.25</v>
      </c>
      <c r="BM460" s="1665">
        <v>0</v>
      </c>
      <c r="BN460" s="1665">
        <v>0</v>
      </c>
      <c r="BO460" s="1668"/>
      <c r="BP460" s="1665">
        <v>0</v>
      </c>
      <c r="BQ460" s="1665">
        <v>0</v>
      </c>
      <c r="BR460" s="1665">
        <v>0</v>
      </c>
      <c r="BS460" s="1667">
        <v>0</v>
      </c>
      <c r="BT460" s="1665">
        <v>0</v>
      </c>
      <c r="BU460" s="1665">
        <v>0</v>
      </c>
      <c r="BV460" s="1665">
        <v>0</v>
      </c>
      <c r="BW460" s="1665">
        <v>0</v>
      </c>
      <c r="BX460" s="1665">
        <v>0</v>
      </c>
      <c r="BY460" s="1665">
        <v>0</v>
      </c>
      <c r="BZ460" s="1665">
        <v>0</v>
      </c>
      <c r="CA460" s="1663"/>
      <c r="CB460" s="1668"/>
      <c r="CC460" s="1668"/>
      <c r="CD460" s="1663"/>
      <c r="CE460" s="1663"/>
      <c r="CF460" s="1665">
        <v>0</v>
      </c>
      <c r="CG460" s="1665">
        <v>0</v>
      </c>
      <c r="CH460" s="1665">
        <v>0</v>
      </c>
      <c r="CI460" s="1665">
        <v>0</v>
      </c>
      <c r="CJ460" s="1665">
        <v>0</v>
      </c>
      <c r="CK460" s="1665">
        <v>0</v>
      </c>
      <c r="CL460" s="1668"/>
      <c r="CM460" s="1665">
        <v>0</v>
      </c>
      <c r="CN460" s="1665">
        <v>0</v>
      </c>
      <c r="CO460" s="1665">
        <v>0</v>
      </c>
      <c r="CP460" s="1665">
        <v>0</v>
      </c>
      <c r="CQ460" s="1665">
        <v>0</v>
      </c>
      <c r="CR460" s="1665">
        <v>0</v>
      </c>
      <c r="CS460" s="1665">
        <v>0</v>
      </c>
      <c r="CT460" s="1665">
        <v>0</v>
      </c>
      <c r="CU460" s="1665">
        <v>0</v>
      </c>
      <c r="CV460" s="1665">
        <v>0</v>
      </c>
      <c r="CW460" s="1668"/>
      <c r="CX460" s="1663"/>
      <c r="CY460" s="1663"/>
      <c r="CZ460" s="1663"/>
      <c r="DA460" s="1663"/>
      <c r="DB460" s="1668"/>
      <c r="DC460" s="1662"/>
      <c r="DD460" s="1665">
        <v>0</v>
      </c>
      <c r="DE460" s="1663"/>
      <c r="DF460" s="1663"/>
      <c r="DG460" s="1665">
        <v>0</v>
      </c>
      <c r="DH460" s="1665">
        <v>0</v>
      </c>
    </row>
    <row r="461" spans="1:112" x14ac:dyDescent="0.25">
      <c r="AH461" s="1696"/>
    </row>
    <row r="462" spans="1:112" x14ac:dyDescent="0.25">
      <c r="AH462" s="1696"/>
    </row>
    <row r="463" spans="1:112" x14ac:dyDescent="0.25">
      <c r="AH463" s="1696"/>
    </row>
    <row r="464" spans="1:112" x14ac:dyDescent="0.25">
      <c r="AH464" s="1696"/>
    </row>
    <row r="465" spans="34:34" x14ac:dyDescent="0.25">
      <c r="AH465" s="1696"/>
    </row>
    <row r="466" spans="34:34" x14ac:dyDescent="0.25">
      <c r="AH466" s="1696"/>
    </row>
    <row r="467" spans="34:34" x14ac:dyDescent="0.25">
      <c r="AH467" s="1696"/>
    </row>
    <row r="468" spans="34:34" x14ac:dyDescent="0.25">
      <c r="AH468" s="1696"/>
    </row>
    <row r="469" spans="34:34" x14ac:dyDescent="0.25">
      <c r="AH469" s="1696"/>
    </row>
    <row r="470" spans="34:34" x14ac:dyDescent="0.25">
      <c r="AH470" s="1696"/>
    </row>
    <row r="471" spans="34:34" x14ac:dyDescent="0.25">
      <c r="AH471" s="1696"/>
    </row>
    <row r="472" spans="34:34" x14ac:dyDescent="0.25">
      <c r="AH472" s="1696"/>
    </row>
    <row r="473" spans="34:34" x14ac:dyDescent="0.25">
      <c r="AH473" s="1696"/>
    </row>
    <row r="474" spans="34:34" x14ac:dyDescent="0.25">
      <c r="AH474" s="1696"/>
    </row>
    <row r="475" spans="34:34" x14ac:dyDescent="0.25">
      <c r="AH475" s="1696"/>
    </row>
    <row r="476" spans="34:34" x14ac:dyDescent="0.25">
      <c r="AH476" s="1696"/>
    </row>
    <row r="477" spans="34:34" x14ac:dyDescent="0.25">
      <c r="AH477" s="1696"/>
    </row>
    <row r="478" spans="34:34" x14ac:dyDescent="0.25">
      <c r="AH478" s="1696"/>
    </row>
    <row r="479" spans="34:34" x14ac:dyDescent="0.25">
      <c r="AH479" s="1696"/>
    </row>
    <row r="480" spans="34:34" x14ac:dyDescent="0.25">
      <c r="AH480" s="1696"/>
    </row>
    <row r="481" spans="34:34" x14ac:dyDescent="0.25">
      <c r="AH481" s="1696"/>
    </row>
    <row r="482" spans="34:34" x14ac:dyDescent="0.25">
      <c r="AH482" s="1696"/>
    </row>
    <row r="483" spans="34:34" x14ac:dyDescent="0.25">
      <c r="AH483" s="1696"/>
    </row>
    <row r="484" spans="34:34" x14ac:dyDescent="0.25">
      <c r="AH484" s="1696"/>
    </row>
    <row r="485" spans="34:34" x14ac:dyDescent="0.25">
      <c r="AH485" s="1696"/>
    </row>
    <row r="486" spans="34:34" x14ac:dyDescent="0.25">
      <c r="AH486" s="1696"/>
    </row>
    <row r="487" spans="34:34" x14ac:dyDescent="0.25">
      <c r="AH487" s="1696"/>
    </row>
    <row r="488" spans="34:34" x14ac:dyDescent="0.25">
      <c r="AH488" s="1696"/>
    </row>
    <row r="489" spans="34:34" x14ac:dyDescent="0.25">
      <c r="AH489" s="1696"/>
    </row>
    <row r="490" spans="34:34" x14ac:dyDescent="0.25">
      <c r="AH490" s="1696"/>
    </row>
    <row r="491" spans="34:34" x14ac:dyDescent="0.25">
      <c r="AH491" s="1696"/>
    </row>
    <row r="492" spans="34:34" x14ac:dyDescent="0.25">
      <c r="AH492" s="1696"/>
    </row>
    <row r="493" spans="34:34" x14ac:dyDescent="0.25">
      <c r="AH493" s="1696"/>
    </row>
    <row r="494" spans="34:34" x14ac:dyDescent="0.25">
      <c r="AH494" s="1696"/>
    </row>
    <row r="495" spans="34:34" x14ac:dyDescent="0.25">
      <c r="AH495" s="1696"/>
    </row>
    <row r="496" spans="34:34" x14ac:dyDescent="0.25">
      <c r="AH496" s="1696"/>
    </row>
    <row r="497" spans="34:34" x14ac:dyDescent="0.25">
      <c r="AH497" s="1696"/>
    </row>
    <row r="498" spans="34:34" x14ac:dyDescent="0.25">
      <c r="AH498" s="1696"/>
    </row>
    <row r="499" spans="34:34" x14ac:dyDescent="0.25">
      <c r="AH499" s="1696"/>
    </row>
    <row r="500" spans="34:34" x14ac:dyDescent="0.25">
      <c r="AH500" s="1696"/>
    </row>
    <row r="501" spans="34:34" x14ac:dyDescent="0.25">
      <c r="AH501" s="1696"/>
    </row>
    <row r="502" spans="34:34" x14ac:dyDescent="0.25">
      <c r="AH502" s="1696"/>
    </row>
    <row r="503" spans="34:34" x14ac:dyDescent="0.25">
      <c r="AH503" s="1696"/>
    </row>
    <row r="504" spans="34:34" x14ac:dyDescent="0.25">
      <c r="AH504" s="1696"/>
    </row>
    <row r="505" spans="34:34" x14ac:dyDescent="0.25">
      <c r="AH505" s="1696"/>
    </row>
    <row r="506" spans="34:34" x14ac:dyDescent="0.25">
      <c r="AH506" s="1696"/>
    </row>
    <row r="507" spans="34:34" x14ac:dyDescent="0.25">
      <c r="AH507" s="1696"/>
    </row>
    <row r="508" spans="34:34" x14ac:dyDescent="0.25">
      <c r="AH508" s="1696"/>
    </row>
    <row r="509" spans="34:34" x14ac:dyDescent="0.25">
      <c r="AH509" s="1696"/>
    </row>
    <row r="510" spans="34:34" x14ac:dyDescent="0.25">
      <c r="AH510" s="1696"/>
    </row>
    <row r="511" spans="34:34" x14ac:dyDescent="0.25">
      <c r="AH511" s="1696"/>
    </row>
    <row r="512" spans="34:34" x14ac:dyDescent="0.25">
      <c r="AH512" s="1696"/>
    </row>
    <row r="513" spans="34:34" x14ac:dyDescent="0.25">
      <c r="AH513" s="1696"/>
    </row>
    <row r="514" spans="34:34" x14ac:dyDescent="0.25">
      <c r="AH514" s="1696"/>
    </row>
    <row r="515" spans="34:34" x14ac:dyDescent="0.25">
      <c r="AH515" s="1696"/>
    </row>
    <row r="516" spans="34:34" x14ac:dyDescent="0.25">
      <c r="AH516" s="1696"/>
    </row>
    <row r="517" spans="34:34" x14ac:dyDescent="0.25">
      <c r="AH517" s="1696"/>
    </row>
    <row r="518" spans="34:34" x14ac:dyDescent="0.25">
      <c r="AH518" s="1696"/>
    </row>
    <row r="519" spans="34:34" x14ac:dyDescent="0.25">
      <c r="AH519" s="1696"/>
    </row>
    <row r="520" spans="34:34" x14ac:dyDescent="0.25">
      <c r="AH520" s="1696"/>
    </row>
    <row r="521" spans="34:34" x14ac:dyDescent="0.25">
      <c r="AH521" s="1696"/>
    </row>
    <row r="522" spans="34:34" x14ac:dyDescent="0.25">
      <c r="AH522" s="1696"/>
    </row>
    <row r="523" spans="34:34" x14ac:dyDescent="0.25">
      <c r="AH523" s="1696"/>
    </row>
    <row r="524" spans="34:34" x14ac:dyDescent="0.25">
      <c r="AH524" s="1696"/>
    </row>
    <row r="525" spans="34:34" x14ac:dyDescent="0.25">
      <c r="AH525" s="1696"/>
    </row>
    <row r="526" spans="34:34" x14ac:dyDescent="0.25">
      <c r="AH526" s="1696"/>
    </row>
    <row r="527" spans="34:34" x14ac:dyDescent="0.25">
      <c r="AH527" s="1696"/>
    </row>
    <row r="528" spans="34:34" x14ac:dyDescent="0.25">
      <c r="AH528" s="1696"/>
    </row>
    <row r="529" spans="34:34" x14ac:dyDescent="0.25">
      <c r="AH529" s="1696"/>
    </row>
    <row r="530" spans="34:34" x14ac:dyDescent="0.25">
      <c r="AH530" s="1696"/>
    </row>
    <row r="531" spans="34:34" x14ac:dyDescent="0.25">
      <c r="AH531" s="1696"/>
    </row>
    <row r="532" spans="34:34" x14ac:dyDescent="0.25">
      <c r="AH532" s="1696"/>
    </row>
    <row r="533" spans="34:34" x14ac:dyDescent="0.25">
      <c r="AH533" s="1696"/>
    </row>
    <row r="534" spans="34:34" x14ac:dyDescent="0.25">
      <c r="AH534" s="1696"/>
    </row>
    <row r="535" spans="34:34" x14ac:dyDescent="0.25">
      <c r="AH535" s="1696"/>
    </row>
    <row r="536" spans="34:34" x14ac:dyDescent="0.25">
      <c r="AH536" s="1696"/>
    </row>
    <row r="537" spans="34:34" x14ac:dyDescent="0.25">
      <c r="AH537" s="1696"/>
    </row>
    <row r="538" spans="34:34" x14ac:dyDescent="0.25">
      <c r="AH538" s="1696"/>
    </row>
    <row r="539" spans="34:34" x14ac:dyDescent="0.25">
      <c r="AH539" s="1696"/>
    </row>
    <row r="540" spans="34:34" x14ac:dyDescent="0.25">
      <c r="AH540" s="1696"/>
    </row>
    <row r="541" spans="34:34" x14ac:dyDescent="0.25">
      <c r="AH541" s="1696"/>
    </row>
    <row r="542" spans="34:34" x14ac:dyDescent="0.25">
      <c r="AH542" s="1696"/>
    </row>
    <row r="543" spans="34:34" x14ac:dyDescent="0.25">
      <c r="AH543" s="1696"/>
    </row>
    <row r="544" spans="34:34" x14ac:dyDescent="0.25">
      <c r="AH544" s="1696"/>
    </row>
    <row r="545" spans="34:34" x14ac:dyDescent="0.25">
      <c r="AH545" s="1696"/>
    </row>
    <row r="546" spans="34:34" x14ac:dyDescent="0.25">
      <c r="AH546" s="1696"/>
    </row>
    <row r="547" spans="34:34" x14ac:dyDescent="0.25">
      <c r="AH547" s="1696"/>
    </row>
    <row r="548" spans="34:34" x14ac:dyDescent="0.25">
      <c r="AH548" s="1696"/>
    </row>
    <row r="549" spans="34:34" x14ac:dyDescent="0.25">
      <c r="AH549" s="1696"/>
    </row>
    <row r="550" spans="34:34" x14ac:dyDescent="0.25">
      <c r="AH550" s="1696"/>
    </row>
    <row r="551" spans="34:34" x14ac:dyDescent="0.25">
      <c r="AH551" s="1696"/>
    </row>
    <row r="552" spans="34:34" x14ac:dyDescent="0.25">
      <c r="AH552" s="1696"/>
    </row>
    <row r="553" spans="34:34" x14ac:dyDescent="0.25">
      <c r="AH553" s="1696"/>
    </row>
    <row r="554" spans="34:34" x14ac:dyDescent="0.25">
      <c r="AH554" s="1696"/>
    </row>
    <row r="555" spans="34:34" x14ac:dyDescent="0.25">
      <c r="AH555" s="1696"/>
    </row>
    <row r="556" spans="34:34" x14ac:dyDescent="0.25">
      <c r="AH556" s="1696"/>
    </row>
    <row r="557" spans="34:34" x14ac:dyDescent="0.25">
      <c r="AH557" s="1696"/>
    </row>
    <row r="558" spans="34:34" x14ac:dyDescent="0.25">
      <c r="AH558" s="1696"/>
    </row>
    <row r="559" spans="34:34" x14ac:dyDescent="0.25">
      <c r="AH559" s="1696"/>
    </row>
    <row r="560" spans="34:34" x14ac:dyDescent="0.25">
      <c r="AH560" s="1696"/>
    </row>
    <row r="561" spans="34:34" x14ac:dyDescent="0.25">
      <c r="AH561" s="1696"/>
    </row>
    <row r="562" spans="34:34" x14ac:dyDescent="0.25">
      <c r="AH562" s="1696"/>
    </row>
    <row r="563" spans="34:34" x14ac:dyDescent="0.25">
      <c r="AH563" s="1696"/>
    </row>
    <row r="564" spans="34:34" x14ac:dyDescent="0.25">
      <c r="AH564" s="1696"/>
    </row>
    <row r="565" spans="34:34" x14ac:dyDescent="0.25">
      <c r="AH565" s="1696"/>
    </row>
    <row r="566" spans="34:34" x14ac:dyDescent="0.25">
      <c r="AH566" s="1696"/>
    </row>
    <row r="567" spans="34:34" x14ac:dyDescent="0.25">
      <c r="AH567" s="1696"/>
    </row>
    <row r="568" spans="34:34" x14ac:dyDescent="0.25">
      <c r="AH568" s="1696"/>
    </row>
    <row r="569" spans="34:34" x14ac:dyDescent="0.25">
      <c r="AH569" s="1696"/>
    </row>
    <row r="570" spans="34:34" x14ac:dyDescent="0.25">
      <c r="AH570" s="1696"/>
    </row>
    <row r="571" spans="34:34" x14ac:dyDescent="0.25">
      <c r="AH571" s="1696"/>
    </row>
    <row r="572" spans="34:34" x14ac:dyDescent="0.25">
      <c r="AH572" s="1696"/>
    </row>
    <row r="573" spans="34:34" x14ac:dyDescent="0.25">
      <c r="AH573" s="1696"/>
    </row>
    <row r="574" spans="34:34" x14ac:dyDescent="0.25">
      <c r="AH574" s="1696"/>
    </row>
    <row r="575" spans="34:34" x14ac:dyDescent="0.25">
      <c r="AH575" s="1696"/>
    </row>
    <row r="576" spans="34:34" x14ac:dyDescent="0.25">
      <c r="AH576" s="1696"/>
    </row>
    <row r="577" spans="34:34" x14ac:dyDescent="0.25">
      <c r="AH577" s="1696"/>
    </row>
    <row r="578" spans="34:34" x14ac:dyDescent="0.25">
      <c r="AH578" s="1696"/>
    </row>
    <row r="579" spans="34:34" x14ac:dyDescent="0.25">
      <c r="AH579" s="1696"/>
    </row>
    <row r="580" spans="34:34" x14ac:dyDescent="0.25">
      <c r="AH580" s="1696"/>
    </row>
    <row r="581" spans="34:34" x14ac:dyDescent="0.25">
      <c r="AH581" s="1696"/>
    </row>
    <row r="582" spans="34:34" x14ac:dyDescent="0.25">
      <c r="AH582" s="1696"/>
    </row>
    <row r="583" spans="34:34" x14ac:dyDescent="0.25">
      <c r="AH583" s="1696"/>
    </row>
    <row r="584" spans="34:34" x14ac:dyDescent="0.25">
      <c r="AH584" s="1696"/>
    </row>
    <row r="585" spans="34:34" x14ac:dyDescent="0.25">
      <c r="AH585" s="1696"/>
    </row>
    <row r="586" spans="34:34" x14ac:dyDescent="0.25">
      <c r="AH586" s="1696"/>
    </row>
    <row r="587" spans="34:34" x14ac:dyDescent="0.25">
      <c r="AH587" s="1696"/>
    </row>
    <row r="588" spans="34:34" x14ac:dyDescent="0.25">
      <c r="AH588" s="1696"/>
    </row>
    <row r="589" spans="34:34" x14ac:dyDescent="0.25">
      <c r="AH589" s="1696"/>
    </row>
    <row r="590" spans="34:34" x14ac:dyDescent="0.25">
      <c r="AH590" s="1696"/>
    </row>
    <row r="591" spans="34:34" x14ac:dyDescent="0.25">
      <c r="AH591" s="1696"/>
    </row>
    <row r="592" spans="34:34" x14ac:dyDescent="0.25">
      <c r="AH592" s="1696"/>
    </row>
    <row r="593" spans="34:34" x14ac:dyDescent="0.25">
      <c r="AH593" s="1696"/>
    </row>
    <row r="594" spans="34:34" x14ac:dyDescent="0.25">
      <c r="AH594" s="1696"/>
    </row>
    <row r="595" spans="34:34" x14ac:dyDescent="0.25">
      <c r="AH595" s="1696"/>
    </row>
    <row r="596" spans="34:34" x14ac:dyDescent="0.25">
      <c r="AH596" s="1696"/>
    </row>
    <row r="597" spans="34:34" x14ac:dyDescent="0.25">
      <c r="AH597" s="1696"/>
    </row>
    <row r="598" spans="34:34" x14ac:dyDescent="0.25">
      <c r="AH598" s="1696"/>
    </row>
    <row r="599" spans="34:34" x14ac:dyDescent="0.25">
      <c r="AH599" s="1696"/>
    </row>
    <row r="600" spans="34:34" x14ac:dyDescent="0.25">
      <c r="AH600" s="1696"/>
    </row>
    <row r="601" spans="34:34" x14ac:dyDescent="0.25">
      <c r="AH601" s="1696"/>
    </row>
    <row r="602" spans="34:34" x14ac:dyDescent="0.25">
      <c r="AH602" s="1696"/>
    </row>
    <row r="603" spans="34:34" x14ac:dyDescent="0.25">
      <c r="AH603" s="1696"/>
    </row>
    <row r="604" spans="34:34" x14ac:dyDescent="0.25">
      <c r="AH604" s="1696"/>
    </row>
    <row r="605" spans="34:34" x14ac:dyDescent="0.25">
      <c r="AH605" s="1696"/>
    </row>
    <row r="606" spans="34:34" x14ac:dyDescent="0.25">
      <c r="AH606" s="1696"/>
    </row>
    <row r="607" spans="34:34" x14ac:dyDescent="0.25">
      <c r="AH607" s="1696"/>
    </row>
    <row r="608" spans="34:34" x14ac:dyDescent="0.25">
      <c r="AH608" s="1696"/>
    </row>
    <row r="609" spans="34:34" x14ac:dyDescent="0.25">
      <c r="AH609" s="1696"/>
    </row>
    <row r="610" spans="34:34" x14ac:dyDescent="0.25">
      <c r="AH610" s="1696"/>
    </row>
    <row r="611" spans="34:34" x14ac:dyDescent="0.25">
      <c r="AH611" s="1696"/>
    </row>
    <row r="612" spans="34:34" x14ac:dyDescent="0.25">
      <c r="AH612" s="1696"/>
    </row>
    <row r="613" spans="34:34" x14ac:dyDescent="0.25">
      <c r="AH613" s="1696"/>
    </row>
    <row r="614" spans="34:34" x14ac:dyDescent="0.25">
      <c r="AH614" s="1696"/>
    </row>
    <row r="615" spans="34:34" x14ac:dyDescent="0.25">
      <c r="AH615" s="1696"/>
    </row>
    <row r="616" spans="34:34" x14ac:dyDescent="0.25">
      <c r="AH616" s="1696"/>
    </row>
    <row r="617" spans="34:34" x14ac:dyDescent="0.25">
      <c r="AH617" s="1696"/>
    </row>
    <row r="618" spans="34:34" x14ac:dyDescent="0.25">
      <c r="AH618" s="1696"/>
    </row>
    <row r="619" spans="34:34" x14ac:dyDescent="0.25">
      <c r="AH619" s="1696"/>
    </row>
    <row r="620" spans="34:34" x14ac:dyDescent="0.25">
      <c r="AH620" s="1696"/>
    </row>
    <row r="621" spans="34:34" x14ac:dyDescent="0.25">
      <c r="AH621" s="1696"/>
    </row>
    <row r="622" spans="34:34" x14ac:dyDescent="0.25">
      <c r="AH622" s="1696"/>
    </row>
    <row r="623" spans="34:34" x14ac:dyDescent="0.25">
      <c r="AH623" s="1696"/>
    </row>
    <row r="624" spans="34:34" x14ac:dyDescent="0.25">
      <c r="AH624" s="1696"/>
    </row>
    <row r="625" spans="34:34" x14ac:dyDescent="0.25">
      <c r="AH625" s="1696"/>
    </row>
    <row r="626" spans="34:34" x14ac:dyDescent="0.25">
      <c r="AH626" s="1696"/>
    </row>
    <row r="627" spans="34:34" x14ac:dyDescent="0.25">
      <c r="AH627" s="1696"/>
    </row>
    <row r="628" spans="34:34" x14ac:dyDescent="0.25">
      <c r="AH628" s="1696"/>
    </row>
    <row r="629" spans="34:34" x14ac:dyDescent="0.25">
      <c r="AH629" s="1696"/>
    </row>
    <row r="630" spans="34:34" x14ac:dyDescent="0.25">
      <c r="AH630" s="1696"/>
    </row>
    <row r="631" spans="34:34" x14ac:dyDescent="0.25">
      <c r="AH631" s="1696"/>
    </row>
    <row r="632" spans="34:34" x14ac:dyDescent="0.25">
      <c r="AH632" s="1696"/>
    </row>
    <row r="633" spans="34:34" x14ac:dyDescent="0.25">
      <c r="AH633" s="1696"/>
    </row>
    <row r="634" spans="34:34" x14ac:dyDescent="0.25">
      <c r="AH634" s="1696"/>
    </row>
    <row r="635" spans="34:34" x14ac:dyDescent="0.25">
      <c r="AH635" s="1696"/>
    </row>
    <row r="636" spans="34:34" x14ac:dyDescent="0.25">
      <c r="AH636" s="1696"/>
    </row>
    <row r="637" spans="34:34" x14ac:dyDescent="0.25">
      <c r="AH637" s="1696"/>
    </row>
    <row r="638" spans="34:34" x14ac:dyDescent="0.25">
      <c r="AH638" s="1696"/>
    </row>
    <row r="639" spans="34:34" x14ac:dyDescent="0.25">
      <c r="AH639" s="1696"/>
    </row>
    <row r="640" spans="34:34" x14ac:dyDescent="0.25">
      <c r="AH640" s="1696"/>
    </row>
    <row r="641" spans="34:34" x14ac:dyDescent="0.25">
      <c r="AH641" s="1696"/>
    </row>
    <row r="642" spans="34:34" x14ac:dyDescent="0.25">
      <c r="AH642" s="1696"/>
    </row>
    <row r="643" spans="34:34" x14ac:dyDescent="0.25">
      <c r="AH643" s="1696"/>
    </row>
    <row r="644" spans="34:34" x14ac:dyDescent="0.25">
      <c r="AH644" s="1696"/>
    </row>
    <row r="645" spans="34:34" x14ac:dyDescent="0.25">
      <c r="AH645" s="1696"/>
    </row>
    <row r="646" spans="34:34" x14ac:dyDescent="0.25">
      <c r="AH646" s="1696"/>
    </row>
    <row r="647" spans="34:34" x14ac:dyDescent="0.25">
      <c r="AH647" s="1696"/>
    </row>
    <row r="648" spans="34:34" x14ac:dyDescent="0.25">
      <c r="AH648" s="1696"/>
    </row>
    <row r="649" spans="34:34" x14ac:dyDescent="0.25">
      <c r="AH649" s="1696"/>
    </row>
    <row r="650" spans="34:34" x14ac:dyDescent="0.25">
      <c r="AH650" s="1696"/>
    </row>
    <row r="651" spans="34:34" x14ac:dyDescent="0.25">
      <c r="AH651" s="1696"/>
    </row>
    <row r="652" spans="34:34" x14ac:dyDescent="0.25">
      <c r="AH652" s="1696"/>
    </row>
    <row r="653" spans="34:34" x14ac:dyDescent="0.25">
      <c r="AH653" s="1696"/>
    </row>
    <row r="654" spans="34:34" x14ac:dyDescent="0.25">
      <c r="AH654" s="1696"/>
    </row>
    <row r="655" spans="34:34" x14ac:dyDescent="0.25">
      <c r="AH655" s="1696"/>
    </row>
    <row r="656" spans="34:34" x14ac:dyDescent="0.25">
      <c r="AH656" s="1696"/>
    </row>
    <row r="657" spans="34:34" x14ac:dyDescent="0.25">
      <c r="AH657" s="1696"/>
    </row>
    <row r="658" spans="34:34" x14ac:dyDescent="0.25">
      <c r="AH658" s="1696"/>
    </row>
    <row r="659" spans="34:34" x14ac:dyDescent="0.25">
      <c r="AH659" s="1696"/>
    </row>
    <row r="660" spans="34:34" x14ac:dyDescent="0.25">
      <c r="AH660" s="1696"/>
    </row>
    <row r="661" spans="34:34" x14ac:dyDescent="0.25">
      <c r="AH661" s="1696"/>
    </row>
    <row r="662" spans="34:34" x14ac:dyDescent="0.25">
      <c r="AH662" s="1696"/>
    </row>
    <row r="663" spans="34:34" x14ac:dyDescent="0.25">
      <c r="AH663" s="1696"/>
    </row>
    <row r="664" spans="34:34" x14ac:dyDescent="0.25">
      <c r="AH664" s="1696"/>
    </row>
    <row r="665" spans="34:34" x14ac:dyDescent="0.25">
      <c r="AH665" s="1696"/>
    </row>
    <row r="666" spans="34:34" x14ac:dyDescent="0.25">
      <c r="AH666" s="1696"/>
    </row>
    <row r="667" spans="34:34" x14ac:dyDescent="0.25">
      <c r="AH667" s="1696"/>
    </row>
    <row r="668" spans="34:34" x14ac:dyDescent="0.25">
      <c r="AH668" s="1696"/>
    </row>
    <row r="669" spans="34:34" x14ac:dyDescent="0.25">
      <c r="AH669" s="1696"/>
    </row>
    <row r="670" spans="34:34" x14ac:dyDescent="0.25">
      <c r="AH670" s="1696"/>
    </row>
    <row r="671" spans="34:34" x14ac:dyDescent="0.25">
      <c r="AH671" s="1696"/>
    </row>
    <row r="672" spans="34:34" x14ac:dyDescent="0.25">
      <c r="AH672" s="1696"/>
    </row>
    <row r="673" spans="34:34" x14ac:dyDescent="0.25">
      <c r="AH673" s="1696"/>
    </row>
    <row r="674" spans="34:34" x14ac:dyDescent="0.25">
      <c r="AH674" s="1696"/>
    </row>
    <row r="675" spans="34:34" x14ac:dyDescent="0.25">
      <c r="AH675" s="1696"/>
    </row>
    <row r="676" spans="34:34" x14ac:dyDescent="0.25">
      <c r="AH676" s="1696"/>
    </row>
    <row r="677" spans="34:34" x14ac:dyDescent="0.25">
      <c r="AH677" s="1696"/>
    </row>
    <row r="678" spans="34:34" x14ac:dyDescent="0.25">
      <c r="AH678" s="1696"/>
    </row>
    <row r="679" spans="34:34" x14ac:dyDescent="0.25">
      <c r="AH679" s="1696"/>
    </row>
    <row r="680" spans="34:34" x14ac:dyDescent="0.25">
      <c r="AH680" s="1696"/>
    </row>
    <row r="681" spans="34:34" x14ac:dyDescent="0.25">
      <c r="AH681" s="1696"/>
    </row>
    <row r="682" spans="34:34" x14ac:dyDescent="0.25">
      <c r="AH682" s="1696"/>
    </row>
    <row r="683" spans="34:34" x14ac:dyDescent="0.25">
      <c r="AH683" s="1696"/>
    </row>
    <row r="684" spans="34:34" x14ac:dyDescent="0.25">
      <c r="AH684" s="1696"/>
    </row>
    <row r="685" spans="34:34" x14ac:dyDescent="0.25">
      <c r="AH685" s="1696"/>
    </row>
    <row r="686" spans="34:34" x14ac:dyDescent="0.25">
      <c r="AH686" s="1696"/>
    </row>
    <row r="687" spans="34:34" x14ac:dyDescent="0.25">
      <c r="AH687" s="1696"/>
    </row>
    <row r="688" spans="34:34" x14ac:dyDescent="0.25">
      <c r="AH688" s="1696"/>
    </row>
    <row r="689" spans="34:34" x14ac:dyDescent="0.25">
      <c r="AH689" s="1696"/>
    </row>
    <row r="690" spans="34:34" x14ac:dyDescent="0.25">
      <c r="AH690" s="1696"/>
    </row>
    <row r="691" spans="34:34" x14ac:dyDescent="0.25">
      <c r="AH691" s="1696"/>
    </row>
    <row r="692" spans="34:34" x14ac:dyDescent="0.25">
      <c r="AH692" s="1696"/>
    </row>
    <row r="693" spans="34:34" x14ac:dyDescent="0.25">
      <c r="AH693" s="1696"/>
    </row>
    <row r="694" spans="34:34" x14ac:dyDescent="0.25">
      <c r="AH694" s="1696"/>
    </row>
    <row r="695" spans="34:34" x14ac:dyDescent="0.25">
      <c r="AH695" s="1696"/>
    </row>
    <row r="696" spans="34:34" x14ac:dyDescent="0.25">
      <c r="AH696" s="1696"/>
    </row>
    <row r="697" spans="34:34" x14ac:dyDescent="0.25">
      <c r="AH697" s="1696"/>
    </row>
    <row r="698" spans="34:34" x14ac:dyDescent="0.25">
      <c r="AH698" s="1696"/>
    </row>
    <row r="699" spans="34:34" x14ac:dyDescent="0.25">
      <c r="AH699" s="1696"/>
    </row>
    <row r="700" spans="34:34" x14ac:dyDescent="0.25">
      <c r="AH700" s="1696"/>
    </row>
    <row r="701" spans="34:34" x14ac:dyDescent="0.25">
      <c r="AH701" s="1696"/>
    </row>
    <row r="702" spans="34:34" x14ac:dyDescent="0.25">
      <c r="AH702" s="1696"/>
    </row>
    <row r="703" spans="34:34" x14ac:dyDescent="0.25">
      <c r="AH703" s="1696"/>
    </row>
    <row r="704" spans="34:34" x14ac:dyDescent="0.25">
      <c r="AH704" s="1696"/>
    </row>
    <row r="705" spans="34:34" x14ac:dyDescent="0.25">
      <c r="AH705" s="1696"/>
    </row>
    <row r="706" spans="34:34" x14ac:dyDescent="0.25">
      <c r="AH706" s="1696"/>
    </row>
    <row r="707" spans="34:34" x14ac:dyDescent="0.25">
      <c r="AH707" s="1696"/>
    </row>
    <row r="708" spans="34:34" x14ac:dyDescent="0.25">
      <c r="AH708" s="1696"/>
    </row>
    <row r="709" spans="34:34" x14ac:dyDescent="0.25">
      <c r="AH709" s="1696"/>
    </row>
    <row r="710" spans="34:34" x14ac:dyDescent="0.25">
      <c r="AH710" s="1696"/>
    </row>
    <row r="711" spans="34:34" x14ac:dyDescent="0.25">
      <c r="AH711" s="1696"/>
    </row>
    <row r="712" spans="34:34" x14ac:dyDescent="0.25">
      <c r="AH712" s="1696"/>
    </row>
    <row r="713" spans="34:34" x14ac:dyDescent="0.25">
      <c r="AH713" s="1696"/>
    </row>
    <row r="714" spans="34:34" x14ac:dyDescent="0.25">
      <c r="AH714" s="1696"/>
    </row>
    <row r="715" spans="34:34" x14ac:dyDescent="0.25">
      <c r="AH715" s="1696"/>
    </row>
    <row r="716" spans="34:34" x14ac:dyDescent="0.25">
      <c r="AH716" s="1696"/>
    </row>
    <row r="717" spans="34:34" x14ac:dyDescent="0.25">
      <c r="AH717" s="1696"/>
    </row>
    <row r="718" spans="34:34" x14ac:dyDescent="0.25">
      <c r="AH718" s="1696"/>
    </row>
    <row r="719" spans="34:34" x14ac:dyDescent="0.25">
      <c r="AH719" s="1696"/>
    </row>
    <row r="720" spans="34:34" x14ac:dyDescent="0.25">
      <c r="AH720" s="1696"/>
    </row>
    <row r="721" spans="34:34" x14ac:dyDescent="0.25">
      <c r="AH721" s="1696"/>
    </row>
    <row r="722" spans="34:34" x14ac:dyDescent="0.25">
      <c r="AH722" s="1696"/>
    </row>
    <row r="723" spans="34:34" x14ac:dyDescent="0.25">
      <c r="AH723" s="1696"/>
    </row>
    <row r="724" spans="34:34" x14ac:dyDescent="0.25">
      <c r="AH724" s="1696"/>
    </row>
    <row r="725" spans="34:34" x14ac:dyDescent="0.25">
      <c r="AH725" s="1696"/>
    </row>
    <row r="726" spans="34:34" x14ac:dyDescent="0.25">
      <c r="AH726" s="1696"/>
    </row>
    <row r="727" spans="34:34" x14ac:dyDescent="0.25">
      <c r="AH727" s="1696"/>
    </row>
    <row r="728" spans="34:34" x14ac:dyDescent="0.25">
      <c r="AH728" s="1696"/>
    </row>
    <row r="729" spans="34:34" x14ac:dyDescent="0.25">
      <c r="AH729" s="1696"/>
    </row>
    <row r="730" spans="34:34" x14ac:dyDescent="0.25">
      <c r="AH730" s="1696"/>
    </row>
    <row r="731" spans="34:34" x14ac:dyDescent="0.25">
      <c r="AH731" s="1696"/>
    </row>
    <row r="732" spans="34:34" x14ac:dyDescent="0.25">
      <c r="AH732" s="1696"/>
    </row>
    <row r="733" spans="34:34" x14ac:dyDescent="0.25">
      <c r="AH733" s="1696"/>
    </row>
    <row r="734" spans="34:34" x14ac:dyDescent="0.25">
      <c r="AH734" s="1696"/>
    </row>
    <row r="735" spans="34:34" x14ac:dyDescent="0.25">
      <c r="AH735" s="1696"/>
    </row>
    <row r="736" spans="34:34" x14ac:dyDescent="0.25">
      <c r="AH736" s="1696"/>
    </row>
    <row r="737" spans="34:34" x14ac:dyDescent="0.25">
      <c r="AH737" s="1696"/>
    </row>
    <row r="738" spans="34:34" x14ac:dyDescent="0.25">
      <c r="AH738" s="1696"/>
    </row>
    <row r="739" spans="34:34" x14ac:dyDescent="0.25">
      <c r="AH739" s="1696"/>
    </row>
    <row r="740" spans="34:34" x14ac:dyDescent="0.25">
      <c r="AH740" s="1696"/>
    </row>
    <row r="741" spans="34:34" x14ac:dyDescent="0.25">
      <c r="AH741" s="1696"/>
    </row>
    <row r="742" spans="34:34" x14ac:dyDescent="0.25">
      <c r="AH742" s="1696"/>
    </row>
    <row r="743" spans="34:34" x14ac:dyDescent="0.25">
      <c r="AH743" s="1696"/>
    </row>
    <row r="744" spans="34:34" x14ac:dyDescent="0.25">
      <c r="AH744" s="1696"/>
    </row>
    <row r="745" spans="34:34" x14ac:dyDescent="0.25">
      <c r="AH745" s="1696"/>
    </row>
    <row r="746" spans="34:34" x14ac:dyDescent="0.25">
      <c r="AH746" s="1696"/>
    </row>
    <row r="747" spans="34:34" x14ac:dyDescent="0.25">
      <c r="AH747" s="1696"/>
    </row>
    <row r="748" spans="34:34" x14ac:dyDescent="0.25">
      <c r="AH748" s="1696"/>
    </row>
    <row r="749" spans="34:34" x14ac:dyDescent="0.25">
      <c r="AH749" s="1696"/>
    </row>
    <row r="750" spans="34:34" x14ac:dyDescent="0.25">
      <c r="AH750" s="1696"/>
    </row>
    <row r="751" spans="34:34" x14ac:dyDescent="0.25">
      <c r="AH751" s="1696"/>
    </row>
    <row r="752" spans="34:34" x14ac:dyDescent="0.25">
      <c r="AH752" s="1696"/>
    </row>
    <row r="753" spans="34:34" x14ac:dyDescent="0.25">
      <c r="AH753" s="1696"/>
    </row>
    <row r="754" spans="34:34" x14ac:dyDescent="0.25">
      <c r="AH754" s="1696"/>
    </row>
    <row r="755" spans="34:34" x14ac:dyDescent="0.25">
      <c r="AH755" s="1696"/>
    </row>
    <row r="756" spans="34:34" x14ac:dyDescent="0.25">
      <c r="AH756" s="1696"/>
    </row>
    <row r="757" spans="34:34" x14ac:dyDescent="0.25">
      <c r="AH757" s="1696"/>
    </row>
    <row r="758" spans="34:34" x14ac:dyDescent="0.25">
      <c r="AH758" s="1696"/>
    </row>
    <row r="759" spans="34:34" x14ac:dyDescent="0.25">
      <c r="AH759" s="1696"/>
    </row>
    <row r="760" spans="34:34" x14ac:dyDescent="0.25">
      <c r="AH760" s="1696"/>
    </row>
    <row r="761" spans="34:34" x14ac:dyDescent="0.25">
      <c r="AH761" s="1696"/>
    </row>
    <row r="762" spans="34:34" x14ac:dyDescent="0.25">
      <c r="AH762" s="1696"/>
    </row>
    <row r="763" spans="34:34" x14ac:dyDescent="0.25">
      <c r="AH763" s="1696"/>
    </row>
    <row r="764" spans="34:34" x14ac:dyDescent="0.25">
      <c r="AH764" s="1696"/>
    </row>
    <row r="765" spans="34:34" x14ac:dyDescent="0.25">
      <c r="AH765" s="1696"/>
    </row>
    <row r="766" spans="34:34" x14ac:dyDescent="0.25">
      <c r="AH766" s="1696"/>
    </row>
    <row r="767" spans="34:34" x14ac:dyDescent="0.25">
      <c r="AH767" s="1696"/>
    </row>
    <row r="768" spans="34:34" x14ac:dyDescent="0.25">
      <c r="AH768" s="1696"/>
    </row>
    <row r="769" spans="34:34" x14ac:dyDescent="0.25">
      <c r="AH769" s="1696"/>
    </row>
    <row r="770" spans="34:34" x14ac:dyDescent="0.25">
      <c r="AH770" s="1696"/>
    </row>
    <row r="771" spans="34:34" x14ac:dyDescent="0.25">
      <c r="AH771" s="1696"/>
    </row>
    <row r="772" spans="34:34" x14ac:dyDescent="0.25">
      <c r="AH772" s="1696"/>
    </row>
    <row r="773" spans="34:34" x14ac:dyDescent="0.25">
      <c r="AH773" s="1696"/>
    </row>
    <row r="774" spans="34:34" x14ac:dyDescent="0.25">
      <c r="AH774" s="1696"/>
    </row>
    <row r="775" spans="34:34" x14ac:dyDescent="0.25">
      <c r="AH775" s="1696"/>
    </row>
    <row r="776" spans="34:34" x14ac:dyDescent="0.25">
      <c r="AH776" s="1696"/>
    </row>
    <row r="777" spans="34:34" x14ac:dyDescent="0.25">
      <c r="AH777" s="1696"/>
    </row>
    <row r="778" spans="34:34" x14ac:dyDescent="0.25">
      <c r="AH778" s="1696"/>
    </row>
    <row r="779" spans="34:34" x14ac:dyDescent="0.25">
      <c r="AH779" s="1696"/>
    </row>
    <row r="780" spans="34:34" x14ac:dyDescent="0.25">
      <c r="AH780" s="1696"/>
    </row>
    <row r="781" spans="34:34" x14ac:dyDescent="0.25">
      <c r="AH781" s="1696"/>
    </row>
    <row r="782" spans="34:34" x14ac:dyDescent="0.25">
      <c r="AH782" s="1696"/>
    </row>
    <row r="783" spans="34:34" x14ac:dyDescent="0.25">
      <c r="AH783" s="1696"/>
    </row>
    <row r="784" spans="34:34" x14ac:dyDescent="0.25">
      <c r="AH784" s="1696"/>
    </row>
    <row r="785" spans="34:34" x14ac:dyDescent="0.25">
      <c r="AH785" s="1696"/>
    </row>
    <row r="786" spans="34:34" x14ac:dyDescent="0.25">
      <c r="AH786" s="1696"/>
    </row>
    <row r="787" spans="34:34" x14ac:dyDescent="0.25">
      <c r="AH787" s="1696"/>
    </row>
    <row r="788" spans="34:34" x14ac:dyDescent="0.25">
      <c r="AH788" s="1696"/>
    </row>
    <row r="789" spans="34:34" x14ac:dyDescent="0.25">
      <c r="AH789" s="1696"/>
    </row>
    <row r="790" spans="34:34" x14ac:dyDescent="0.25">
      <c r="AH790" s="1696"/>
    </row>
    <row r="791" spans="34:34" x14ac:dyDescent="0.25">
      <c r="AH791" s="1696"/>
    </row>
    <row r="792" spans="34:34" x14ac:dyDescent="0.25">
      <c r="AH792" s="1696"/>
    </row>
    <row r="793" spans="34:34" x14ac:dyDescent="0.25">
      <c r="AH793" s="1696"/>
    </row>
    <row r="794" spans="34:34" x14ac:dyDescent="0.25">
      <c r="AH794" s="1696"/>
    </row>
    <row r="795" spans="34:34" x14ac:dyDescent="0.25">
      <c r="AH795" s="1696"/>
    </row>
    <row r="796" spans="34:34" x14ac:dyDescent="0.25">
      <c r="AH796" s="1696"/>
    </row>
    <row r="797" spans="34:34" x14ac:dyDescent="0.25">
      <c r="AH797" s="1696"/>
    </row>
    <row r="798" spans="34:34" x14ac:dyDescent="0.25">
      <c r="AH798" s="1696"/>
    </row>
    <row r="799" spans="34:34" x14ac:dyDescent="0.25">
      <c r="AH799" s="1696"/>
    </row>
    <row r="800" spans="34:34" x14ac:dyDescent="0.25">
      <c r="AH800" s="1696"/>
    </row>
    <row r="801" spans="34:34" x14ac:dyDescent="0.25">
      <c r="AH801" s="1696"/>
    </row>
    <row r="802" spans="34:34" x14ac:dyDescent="0.25">
      <c r="AH802" s="1696"/>
    </row>
    <row r="803" spans="34:34" x14ac:dyDescent="0.25">
      <c r="AH803" s="1696"/>
    </row>
    <row r="804" spans="34:34" x14ac:dyDescent="0.25">
      <c r="AH804" s="1696"/>
    </row>
    <row r="805" spans="34:34" x14ac:dyDescent="0.25">
      <c r="AH805" s="1696"/>
    </row>
    <row r="806" spans="34:34" x14ac:dyDescent="0.25">
      <c r="AH806" s="1696"/>
    </row>
    <row r="807" spans="34:34" x14ac:dyDescent="0.25">
      <c r="AH807" s="1696"/>
    </row>
    <row r="808" spans="34:34" x14ac:dyDescent="0.25">
      <c r="AH808" s="1696"/>
    </row>
    <row r="809" spans="34:34" x14ac:dyDescent="0.25">
      <c r="AH809" s="1696"/>
    </row>
    <row r="810" spans="34:34" x14ac:dyDescent="0.25">
      <c r="AH810" s="1696"/>
    </row>
    <row r="811" spans="34:34" x14ac:dyDescent="0.25">
      <c r="AH811" s="1696"/>
    </row>
    <row r="812" spans="34:34" x14ac:dyDescent="0.25">
      <c r="AH812" s="1696"/>
    </row>
    <row r="813" spans="34:34" x14ac:dyDescent="0.25">
      <c r="AH813" s="1696"/>
    </row>
    <row r="814" spans="34:34" x14ac:dyDescent="0.25">
      <c r="AH814" s="1696"/>
    </row>
    <row r="815" spans="34:34" x14ac:dyDescent="0.25">
      <c r="AH815" s="1696"/>
    </row>
    <row r="816" spans="34:34" x14ac:dyDescent="0.25">
      <c r="AH816" s="1696"/>
    </row>
    <row r="817" spans="34:34" x14ac:dyDescent="0.25">
      <c r="AH817" s="1696"/>
    </row>
    <row r="818" spans="34:34" x14ac:dyDescent="0.25">
      <c r="AH818" s="1696"/>
    </row>
    <row r="819" spans="34:34" x14ac:dyDescent="0.25">
      <c r="AH819" s="1696"/>
    </row>
    <row r="820" spans="34:34" x14ac:dyDescent="0.25">
      <c r="AH820" s="1696"/>
    </row>
    <row r="821" spans="34:34" x14ac:dyDescent="0.25">
      <c r="AH821" s="1696"/>
    </row>
    <row r="822" spans="34:34" x14ac:dyDescent="0.25">
      <c r="AH822" s="1696"/>
    </row>
    <row r="823" spans="34:34" x14ac:dyDescent="0.25">
      <c r="AH823" s="1696"/>
    </row>
    <row r="824" spans="34:34" x14ac:dyDescent="0.25">
      <c r="AH824" s="1696"/>
    </row>
    <row r="825" spans="34:34" x14ac:dyDescent="0.25">
      <c r="AH825" s="1696"/>
    </row>
    <row r="826" spans="34:34" x14ac:dyDescent="0.25">
      <c r="AH826" s="1696"/>
    </row>
    <row r="827" spans="34:34" x14ac:dyDescent="0.25">
      <c r="AH827" s="1696"/>
    </row>
    <row r="828" spans="34:34" x14ac:dyDescent="0.25">
      <c r="AH828" s="1696"/>
    </row>
    <row r="829" spans="34:34" x14ac:dyDescent="0.25">
      <c r="AH829" s="1696"/>
    </row>
    <row r="830" spans="34:34" x14ac:dyDescent="0.25">
      <c r="AH830" s="1696"/>
    </row>
    <row r="831" spans="34:34" x14ac:dyDescent="0.25">
      <c r="AH831" s="1696"/>
    </row>
    <row r="832" spans="34:34" x14ac:dyDescent="0.25">
      <c r="AH832" s="1696"/>
    </row>
    <row r="833" spans="34:34" x14ac:dyDescent="0.25">
      <c r="AH833" s="1696"/>
    </row>
    <row r="834" spans="34:34" x14ac:dyDescent="0.25">
      <c r="AH834" s="1696"/>
    </row>
    <row r="835" spans="34:34" x14ac:dyDescent="0.25">
      <c r="AH835" s="1696"/>
    </row>
    <row r="836" spans="34:34" x14ac:dyDescent="0.25">
      <c r="AH836" s="1696"/>
    </row>
    <row r="837" spans="34:34" x14ac:dyDescent="0.25">
      <c r="AH837" s="1696"/>
    </row>
    <row r="838" spans="34:34" x14ac:dyDescent="0.25">
      <c r="AH838" s="1696"/>
    </row>
    <row r="839" spans="34:34" x14ac:dyDescent="0.25">
      <c r="AH839" s="1696"/>
    </row>
    <row r="840" spans="34:34" x14ac:dyDescent="0.25">
      <c r="AH840" s="1696"/>
    </row>
    <row r="841" spans="34:34" x14ac:dyDescent="0.25">
      <c r="AH841" s="1696"/>
    </row>
    <row r="842" spans="34:34" x14ac:dyDescent="0.25">
      <c r="AH842" s="1696"/>
    </row>
    <row r="843" spans="34:34" x14ac:dyDescent="0.25">
      <c r="AH843" s="1696"/>
    </row>
    <row r="844" spans="34:34" x14ac:dyDescent="0.25">
      <c r="AH844" s="1696"/>
    </row>
    <row r="845" spans="34:34" x14ac:dyDescent="0.25">
      <c r="AH845" s="1696"/>
    </row>
    <row r="846" spans="34:34" x14ac:dyDescent="0.25">
      <c r="AH846" s="1696"/>
    </row>
    <row r="847" spans="34:34" x14ac:dyDescent="0.25">
      <c r="AH847" s="1696"/>
    </row>
    <row r="848" spans="34:34" x14ac:dyDescent="0.25">
      <c r="AH848" s="1696"/>
    </row>
    <row r="849" spans="34:34" x14ac:dyDescent="0.25">
      <c r="AH849" s="1696"/>
    </row>
    <row r="850" spans="34:34" x14ac:dyDescent="0.25">
      <c r="AH850" s="1696"/>
    </row>
    <row r="851" spans="34:34" x14ac:dyDescent="0.25">
      <c r="AH851" s="1696"/>
    </row>
    <row r="852" spans="34:34" x14ac:dyDescent="0.25">
      <c r="AH852" s="1696"/>
    </row>
    <row r="853" spans="34:34" x14ac:dyDescent="0.25">
      <c r="AH853" s="1696"/>
    </row>
    <row r="854" spans="34:34" x14ac:dyDescent="0.25">
      <c r="AH854" s="1696"/>
    </row>
    <row r="855" spans="34:34" x14ac:dyDescent="0.25">
      <c r="AH855" s="1696"/>
    </row>
    <row r="856" spans="34:34" x14ac:dyDescent="0.25">
      <c r="AH856" s="1696"/>
    </row>
    <row r="857" spans="34:34" x14ac:dyDescent="0.25">
      <c r="AH857" s="1696"/>
    </row>
    <row r="858" spans="34:34" x14ac:dyDescent="0.25">
      <c r="AH858" s="1696"/>
    </row>
    <row r="859" spans="34:34" x14ac:dyDescent="0.25">
      <c r="AH859" s="1696"/>
    </row>
    <row r="860" spans="34:34" x14ac:dyDescent="0.25">
      <c r="AH860" s="1696"/>
    </row>
    <row r="861" spans="34:34" x14ac:dyDescent="0.25">
      <c r="AH861" s="1696"/>
    </row>
    <row r="862" spans="34:34" x14ac:dyDescent="0.25">
      <c r="AH862" s="1696"/>
    </row>
    <row r="863" spans="34:34" x14ac:dyDescent="0.25">
      <c r="AH863" s="1696"/>
    </row>
    <row r="864" spans="34:34" x14ac:dyDescent="0.25">
      <c r="AH864" s="1696"/>
    </row>
    <row r="865" spans="34:34" x14ac:dyDescent="0.25">
      <c r="AH865" s="1696"/>
    </row>
    <row r="866" spans="34:34" x14ac:dyDescent="0.25">
      <c r="AH866" s="1696"/>
    </row>
    <row r="867" spans="34:34" x14ac:dyDescent="0.25">
      <c r="AH867" s="1696"/>
    </row>
    <row r="868" spans="34:34" x14ac:dyDescent="0.25">
      <c r="AH868" s="1696"/>
    </row>
    <row r="869" spans="34:34" x14ac:dyDescent="0.25">
      <c r="AH869" s="1696"/>
    </row>
    <row r="870" spans="34:34" x14ac:dyDescent="0.25">
      <c r="AH870" s="1696"/>
    </row>
    <row r="871" spans="34:34" x14ac:dyDescent="0.25">
      <c r="AH871" s="1696"/>
    </row>
    <row r="872" spans="34:34" x14ac:dyDescent="0.25">
      <c r="AH872" s="1696"/>
    </row>
    <row r="873" spans="34:34" x14ac:dyDescent="0.25">
      <c r="AH873" s="1696"/>
    </row>
    <row r="874" spans="34:34" x14ac:dyDescent="0.25">
      <c r="AH874" s="1696"/>
    </row>
    <row r="875" spans="34:34" x14ac:dyDescent="0.25">
      <c r="AH875" s="1696"/>
    </row>
    <row r="876" spans="34:34" x14ac:dyDescent="0.25">
      <c r="AH876" s="1696"/>
    </row>
    <row r="877" spans="34:34" x14ac:dyDescent="0.25">
      <c r="AH877" s="1696"/>
    </row>
    <row r="878" spans="34:34" x14ac:dyDescent="0.25">
      <c r="AH878" s="1696"/>
    </row>
    <row r="879" spans="34:34" x14ac:dyDescent="0.25">
      <c r="AH879" s="1696"/>
    </row>
    <row r="880" spans="34:34" x14ac:dyDescent="0.25">
      <c r="AH880" s="1696"/>
    </row>
    <row r="881" spans="34:34" x14ac:dyDescent="0.25">
      <c r="AH881" s="1696"/>
    </row>
    <row r="882" spans="34:34" x14ac:dyDescent="0.25">
      <c r="AH882" s="1696"/>
    </row>
    <row r="883" spans="34:34" x14ac:dyDescent="0.25">
      <c r="AH883" s="1696"/>
    </row>
    <row r="884" spans="34:34" x14ac:dyDescent="0.25">
      <c r="AH884" s="1696"/>
    </row>
    <row r="885" spans="34:34" x14ac:dyDescent="0.25">
      <c r="AH885" s="1696"/>
    </row>
    <row r="886" spans="34:34" x14ac:dyDescent="0.25">
      <c r="AH886" s="1696"/>
    </row>
    <row r="887" spans="34:34" x14ac:dyDescent="0.25">
      <c r="AH887" s="1696"/>
    </row>
    <row r="888" spans="34:34" x14ac:dyDescent="0.25">
      <c r="AH888" s="1696"/>
    </row>
    <row r="889" spans="34:34" x14ac:dyDescent="0.25">
      <c r="AH889" s="1696"/>
    </row>
    <row r="890" spans="34:34" x14ac:dyDescent="0.25">
      <c r="AH890" s="1696"/>
    </row>
    <row r="891" spans="34:34" x14ac:dyDescent="0.25">
      <c r="AH891" s="1696"/>
    </row>
    <row r="892" spans="34:34" x14ac:dyDescent="0.25">
      <c r="AH892" s="1696"/>
    </row>
    <row r="893" spans="34:34" x14ac:dyDescent="0.25">
      <c r="AH893" s="1696"/>
    </row>
    <row r="894" spans="34:34" x14ac:dyDescent="0.25">
      <c r="AH894" s="1696"/>
    </row>
    <row r="895" spans="34:34" x14ac:dyDescent="0.25">
      <c r="AH895" s="1696"/>
    </row>
    <row r="896" spans="34:34" x14ac:dyDescent="0.25">
      <c r="AH896" s="1696"/>
    </row>
    <row r="897" spans="34:34" x14ac:dyDescent="0.25">
      <c r="AH897" s="1696"/>
    </row>
    <row r="898" spans="34:34" x14ac:dyDescent="0.25">
      <c r="AH898" s="1696"/>
    </row>
    <row r="899" spans="34:34" x14ac:dyDescent="0.25">
      <c r="AH899" s="1696"/>
    </row>
    <row r="900" spans="34:34" x14ac:dyDescent="0.25">
      <c r="AH900" s="1696"/>
    </row>
    <row r="901" spans="34:34" x14ac:dyDescent="0.25">
      <c r="AH901" s="1696"/>
    </row>
    <row r="902" spans="34:34" x14ac:dyDescent="0.25">
      <c r="AH902" s="1696"/>
    </row>
    <row r="903" spans="34:34" x14ac:dyDescent="0.25">
      <c r="AH903" s="1696"/>
    </row>
    <row r="904" spans="34:34" x14ac:dyDescent="0.25">
      <c r="AH904" s="1696"/>
    </row>
    <row r="905" spans="34:34" x14ac:dyDescent="0.25">
      <c r="AH905" s="1696"/>
    </row>
    <row r="906" spans="34:34" x14ac:dyDescent="0.25">
      <c r="AH906" s="1696"/>
    </row>
    <row r="907" spans="34:34" x14ac:dyDescent="0.25">
      <c r="AH907" s="1696"/>
    </row>
    <row r="908" spans="34:34" x14ac:dyDescent="0.25">
      <c r="AH908" s="1696"/>
    </row>
    <row r="909" spans="34:34" x14ac:dyDescent="0.25">
      <c r="AH909" s="1696"/>
    </row>
    <row r="910" spans="34:34" x14ac:dyDescent="0.25">
      <c r="AH910" s="1696"/>
    </row>
    <row r="911" spans="34:34" x14ac:dyDescent="0.25">
      <c r="AH911" s="1696"/>
    </row>
    <row r="912" spans="34:34" x14ac:dyDescent="0.25">
      <c r="AH912" s="1696"/>
    </row>
    <row r="913" spans="34:34" x14ac:dyDescent="0.25">
      <c r="AH913" s="1696"/>
    </row>
    <row r="914" spans="34:34" x14ac:dyDescent="0.25">
      <c r="AH914" s="1696"/>
    </row>
    <row r="915" spans="34:34" x14ac:dyDescent="0.25">
      <c r="AH915" s="1696"/>
    </row>
    <row r="916" spans="34:34" x14ac:dyDescent="0.25">
      <c r="AH916" s="1696"/>
    </row>
    <row r="917" spans="34:34" x14ac:dyDescent="0.25">
      <c r="AH917" s="1696"/>
    </row>
    <row r="918" spans="34:34" x14ac:dyDescent="0.25">
      <c r="AH918" s="1696"/>
    </row>
    <row r="919" spans="34:34" x14ac:dyDescent="0.25">
      <c r="AH919" s="1696"/>
    </row>
    <row r="920" spans="34:34" x14ac:dyDescent="0.25">
      <c r="AH920" s="1696"/>
    </row>
    <row r="921" spans="34:34" x14ac:dyDescent="0.25">
      <c r="AH921" s="1696"/>
    </row>
    <row r="922" spans="34:34" x14ac:dyDescent="0.25">
      <c r="AH922" s="1696"/>
    </row>
    <row r="923" spans="34:34" x14ac:dyDescent="0.25">
      <c r="AH923" s="1696"/>
    </row>
    <row r="924" spans="34:34" x14ac:dyDescent="0.25">
      <c r="AH924" s="1696"/>
    </row>
    <row r="925" spans="34:34" x14ac:dyDescent="0.25">
      <c r="AH925" s="1696"/>
    </row>
    <row r="926" spans="34:34" x14ac:dyDescent="0.25">
      <c r="AH926" s="1696"/>
    </row>
    <row r="927" spans="34:34" x14ac:dyDescent="0.25">
      <c r="AH927" s="1696"/>
    </row>
    <row r="928" spans="34:34" x14ac:dyDescent="0.25">
      <c r="AH928" s="1696"/>
    </row>
    <row r="929" spans="34:34" x14ac:dyDescent="0.25">
      <c r="AH929" s="1696"/>
    </row>
    <row r="930" spans="34:34" x14ac:dyDescent="0.25">
      <c r="AH930" s="1696"/>
    </row>
    <row r="931" spans="34:34" x14ac:dyDescent="0.25">
      <c r="AH931" s="1696"/>
    </row>
    <row r="932" spans="34:34" x14ac:dyDescent="0.25">
      <c r="AH932" s="1696"/>
    </row>
    <row r="933" spans="34:34" x14ac:dyDescent="0.25">
      <c r="AH933" s="1696"/>
    </row>
    <row r="934" spans="34:34" x14ac:dyDescent="0.25">
      <c r="AH934" s="1696"/>
    </row>
    <row r="935" spans="34:34" x14ac:dyDescent="0.25">
      <c r="AH935" s="1696"/>
    </row>
    <row r="936" spans="34:34" x14ac:dyDescent="0.25">
      <c r="AH936" s="1696"/>
    </row>
    <row r="937" spans="34:34" x14ac:dyDescent="0.25">
      <c r="AH937" s="1696"/>
    </row>
    <row r="938" spans="34:34" x14ac:dyDescent="0.25">
      <c r="AH938" s="1696"/>
    </row>
    <row r="939" spans="34:34" x14ac:dyDescent="0.25">
      <c r="AH939" s="1696"/>
    </row>
    <row r="940" spans="34:34" x14ac:dyDescent="0.25">
      <c r="AH940" s="1696"/>
    </row>
    <row r="941" spans="34:34" x14ac:dyDescent="0.25">
      <c r="AH941" s="1696"/>
    </row>
    <row r="942" spans="34:34" x14ac:dyDescent="0.25">
      <c r="AH942" s="1696"/>
    </row>
    <row r="943" spans="34:34" x14ac:dyDescent="0.25">
      <c r="AH943" s="1696"/>
    </row>
    <row r="944" spans="34:34" x14ac:dyDescent="0.25">
      <c r="AH944" s="1696"/>
    </row>
    <row r="945" spans="34:34" x14ac:dyDescent="0.25">
      <c r="AH945" s="1696"/>
    </row>
    <row r="946" spans="34:34" x14ac:dyDescent="0.25">
      <c r="AH946" s="1696"/>
    </row>
    <row r="947" spans="34:34" x14ac:dyDescent="0.25">
      <c r="AH947" s="1696"/>
    </row>
    <row r="948" spans="34:34" x14ac:dyDescent="0.25">
      <c r="AH948" s="1696"/>
    </row>
    <row r="949" spans="34:34" x14ac:dyDescent="0.25">
      <c r="AH949" s="1696"/>
    </row>
    <row r="950" spans="34:34" x14ac:dyDescent="0.25">
      <c r="AH950" s="1696"/>
    </row>
    <row r="951" spans="34:34" x14ac:dyDescent="0.25">
      <c r="AH951" s="1696"/>
    </row>
    <row r="952" spans="34:34" x14ac:dyDescent="0.25">
      <c r="AH952" s="1696"/>
    </row>
    <row r="953" spans="34:34" x14ac:dyDescent="0.25">
      <c r="AH953" s="1696"/>
    </row>
    <row r="954" spans="34:34" x14ac:dyDescent="0.25">
      <c r="AH954" s="1696"/>
    </row>
    <row r="955" spans="34:34" x14ac:dyDescent="0.25">
      <c r="AH955" s="1696"/>
    </row>
    <row r="956" spans="34:34" x14ac:dyDescent="0.25">
      <c r="AH956" s="1696"/>
    </row>
    <row r="957" spans="34:34" x14ac:dyDescent="0.25">
      <c r="AH957" s="1696"/>
    </row>
    <row r="958" spans="34:34" x14ac:dyDescent="0.25">
      <c r="AH958" s="1696"/>
    </row>
    <row r="959" spans="34:34" x14ac:dyDescent="0.25">
      <c r="AH959" s="1696"/>
    </row>
    <row r="960" spans="34:34" x14ac:dyDescent="0.25">
      <c r="AH960" s="1696"/>
    </row>
    <row r="961" spans="34:34" x14ac:dyDescent="0.25">
      <c r="AH961" s="1696"/>
    </row>
    <row r="962" spans="34:34" x14ac:dyDescent="0.25">
      <c r="AH962" s="1696"/>
    </row>
    <row r="963" spans="34:34" x14ac:dyDescent="0.25">
      <c r="AH963" s="1696"/>
    </row>
    <row r="964" spans="34:34" x14ac:dyDescent="0.25">
      <c r="AH964" s="1696"/>
    </row>
    <row r="965" spans="34:34" x14ac:dyDescent="0.25">
      <c r="AH965" s="1696"/>
    </row>
    <row r="966" spans="34:34" x14ac:dyDescent="0.25">
      <c r="AH966" s="1696"/>
    </row>
    <row r="967" spans="34:34" x14ac:dyDescent="0.25">
      <c r="AH967" s="1696"/>
    </row>
    <row r="968" spans="34:34" x14ac:dyDescent="0.25">
      <c r="AH968" s="1696"/>
    </row>
    <row r="969" spans="34:34" x14ac:dyDescent="0.25">
      <c r="AH969" s="1696"/>
    </row>
    <row r="970" spans="34:34" x14ac:dyDescent="0.25">
      <c r="AH970" s="1696"/>
    </row>
    <row r="971" spans="34:34" x14ac:dyDescent="0.25">
      <c r="AH971" s="1696"/>
    </row>
    <row r="972" spans="34:34" x14ac:dyDescent="0.25">
      <c r="AH972" s="1696"/>
    </row>
    <row r="973" spans="34:34" x14ac:dyDescent="0.25">
      <c r="AH973" s="1696"/>
    </row>
    <row r="974" spans="34:34" x14ac:dyDescent="0.25">
      <c r="AH974" s="1696"/>
    </row>
    <row r="975" spans="34:34" x14ac:dyDescent="0.25">
      <c r="AH975" s="1696"/>
    </row>
    <row r="976" spans="34:34" x14ac:dyDescent="0.25">
      <c r="AH976" s="1696"/>
    </row>
    <row r="977" spans="34:34" x14ac:dyDescent="0.25">
      <c r="AH977" s="1696"/>
    </row>
    <row r="978" spans="34:34" x14ac:dyDescent="0.25">
      <c r="AH978" s="1696"/>
    </row>
    <row r="979" spans="34:34" x14ac:dyDescent="0.25">
      <c r="AH979" s="1696"/>
    </row>
    <row r="980" spans="34:34" x14ac:dyDescent="0.25">
      <c r="AH980" s="1696"/>
    </row>
    <row r="981" spans="34:34" x14ac:dyDescent="0.25">
      <c r="AH981" s="1696"/>
    </row>
    <row r="982" spans="34:34" x14ac:dyDescent="0.25">
      <c r="AH982" s="1696"/>
    </row>
    <row r="983" spans="34:34" x14ac:dyDescent="0.25">
      <c r="AH983" s="1696"/>
    </row>
    <row r="984" spans="34:34" x14ac:dyDescent="0.25">
      <c r="AH984" s="1696"/>
    </row>
    <row r="985" spans="34:34" x14ac:dyDescent="0.25">
      <c r="AH985" s="1696"/>
    </row>
    <row r="986" spans="34:34" x14ac:dyDescent="0.25">
      <c r="AH986" s="1696"/>
    </row>
    <row r="987" spans="34:34" x14ac:dyDescent="0.25">
      <c r="AH987" s="1696"/>
    </row>
    <row r="988" spans="34:34" x14ac:dyDescent="0.25">
      <c r="AH988" s="1696"/>
    </row>
    <row r="989" spans="34:34" x14ac:dyDescent="0.25">
      <c r="AH989" s="1696"/>
    </row>
    <row r="990" spans="34:34" x14ac:dyDescent="0.25">
      <c r="AH990" s="1696"/>
    </row>
    <row r="991" spans="34:34" x14ac:dyDescent="0.25">
      <c r="AH991" s="1696"/>
    </row>
    <row r="992" spans="34:34" x14ac:dyDescent="0.25">
      <c r="AH992" s="1696"/>
    </row>
    <row r="993" spans="34:34" x14ac:dyDescent="0.25">
      <c r="AH993" s="1696"/>
    </row>
    <row r="994" spans="34:34" x14ac:dyDescent="0.25">
      <c r="AH994" s="1696"/>
    </row>
    <row r="995" spans="34:34" x14ac:dyDescent="0.25">
      <c r="AH995" s="1696"/>
    </row>
    <row r="996" spans="34:34" x14ac:dyDescent="0.25">
      <c r="AH996" s="1696"/>
    </row>
    <row r="997" spans="34:34" x14ac:dyDescent="0.25">
      <c r="AH997" s="1696"/>
    </row>
    <row r="998" spans="34:34" x14ac:dyDescent="0.25">
      <c r="AH998" s="1696"/>
    </row>
    <row r="999" spans="34:34" x14ac:dyDescent="0.25">
      <c r="AH999" s="1696"/>
    </row>
    <row r="1000" spans="34:34" x14ac:dyDescent="0.25">
      <c r="AH1000" s="1696"/>
    </row>
    <row r="1001" spans="34:34" x14ac:dyDescent="0.25">
      <c r="AH1001" s="1696"/>
    </row>
    <row r="1002" spans="34:34" x14ac:dyDescent="0.25">
      <c r="AH1002" s="1696"/>
    </row>
    <row r="1003" spans="34:34" x14ac:dyDescent="0.25">
      <c r="AH1003" s="1696"/>
    </row>
    <row r="1004" spans="34:34" x14ac:dyDescent="0.25">
      <c r="AH1004" s="1696"/>
    </row>
    <row r="1005" spans="34:34" x14ac:dyDescent="0.25">
      <c r="AH1005" s="1696"/>
    </row>
    <row r="1006" spans="34:34" x14ac:dyDescent="0.25">
      <c r="AH1006" s="1696"/>
    </row>
    <row r="1007" spans="34:34" x14ac:dyDescent="0.25">
      <c r="AH1007" s="1696"/>
    </row>
    <row r="1008" spans="34:34" x14ac:dyDescent="0.25">
      <c r="AH1008" s="1696"/>
    </row>
    <row r="1009" spans="34:34" x14ac:dyDescent="0.25">
      <c r="AH1009" s="1696"/>
    </row>
    <row r="1010" spans="34:34" x14ac:dyDescent="0.25">
      <c r="AH1010" s="1696"/>
    </row>
    <row r="1011" spans="34:34" x14ac:dyDescent="0.25">
      <c r="AH1011" s="1696"/>
    </row>
    <row r="1012" spans="34:34" x14ac:dyDescent="0.25">
      <c r="AH1012" s="1696"/>
    </row>
    <row r="1013" spans="34:34" x14ac:dyDescent="0.25">
      <c r="AH1013" s="1696"/>
    </row>
    <row r="1014" spans="34:34" x14ac:dyDescent="0.25">
      <c r="AH1014" s="1696"/>
    </row>
    <row r="1015" spans="34:34" x14ac:dyDescent="0.25">
      <c r="AH1015" s="1696"/>
    </row>
    <row r="1016" spans="34:34" x14ac:dyDescent="0.25">
      <c r="AH1016" s="1696"/>
    </row>
    <row r="1017" spans="34:34" x14ac:dyDescent="0.25">
      <c r="AH1017" s="1696"/>
    </row>
    <row r="1018" spans="34:34" x14ac:dyDescent="0.25">
      <c r="AH1018" s="1696"/>
    </row>
    <row r="1019" spans="34:34" x14ac:dyDescent="0.25">
      <c r="AH1019" s="1696"/>
    </row>
    <row r="1020" spans="34:34" x14ac:dyDescent="0.25">
      <c r="AH1020" s="1696"/>
    </row>
    <row r="1021" spans="34:34" x14ac:dyDescent="0.25">
      <c r="AH1021" s="1696"/>
    </row>
    <row r="1022" spans="34:34" x14ac:dyDescent="0.25">
      <c r="AH1022" s="1696"/>
    </row>
    <row r="1023" spans="34:34" x14ac:dyDescent="0.25">
      <c r="AH1023" s="1696"/>
    </row>
    <row r="1024" spans="34:34" x14ac:dyDescent="0.25">
      <c r="AH1024" s="1696"/>
    </row>
    <row r="1025" spans="34:34" x14ac:dyDescent="0.25">
      <c r="AH1025" s="1696"/>
    </row>
    <row r="1026" spans="34:34" x14ac:dyDescent="0.25">
      <c r="AH1026" s="1696"/>
    </row>
    <row r="1027" spans="34:34" x14ac:dyDescent="0.25">
      <c r="AH1027" s="1696"/>
    </row>
    <row r="1028" spans="34:34" x14ac:dyDescent="0.25">
      <c r="AH1028" s="1696"/>
    </row>
    <row r="1029" spans="34:34" x14ac:dyDescent="0.25">
      <c r="AH1029" s="1696"/>
    </row>
    <row r="1030" spans="34:34" x14ac:dyDescent="0.25">
      <c r="AH1030" s="1696"/>
    </row>
    <row r="1031" spans="34:34" x14ac:dyDescent="0.25">
      <c r="AH1031" s="1696"/>
    </row>
    <row r="1032" spans="34:34" x14ac:dyDescent="0.25">
      <c r="AH1032" s="1696"/>
    </row>
    <row r="1033" spans="34:34" x14ac:dyDescent="0.25">
      <c r="AH1033" s="1696"/>
    </row>
    <row r="1034" spans="34:34" x14ac:dyDescent="0.25">
      <c r="AH1034" s="1696"/>
    </row>
    <row r="1035" spans="34:34" x14ac:dyDescent="0.25">
      <c r="AH1035" s="1696"/>
    </row>
    <row r="1036" spans="34:34" x14ac:dyDescent="0.25">
      <c r="AH1036" s="1696"/>
    </row>
    <row r="1037" spans="34:34" x14ac:dyDescent="0.25">
      <c r="AH1037" s="1696"/>
    </row>
    <row r="1038" spans="34:34" x14ac:dyDescent="0.25">
      <c r="AH1038" s="1696"/>
    </row>
    <row r="1039" spans="34:34" x14ac:dyDescent="0.25">
      <c r="AH1039" s="1696"/>
    </row>
    <row r="1040" spans="34:34" x14ac:dyDescent="0.25">
      <c r="AH1040" s="1696"/>
    </row>
    <row r="1041" spans="34:34" x14ac:dyDescent="0.25">
      <c r="AH1041" s="1696"/>
    </row>
    <row r="1042" spans="34:34" x14ac:dyDescent="0.25">
      <c r="AH1042" s="1696"/>
    </row>
    <row r="1043" spans="34:34" x14ac:dyDescent="0.25">
      <c r="AH1043" s="1696"/>
    </row>
    <row r="1044" spans="34:34" x14ac:dyDescent="0.25">
      <c r="AH1044" s="1696"/>
    </row>
    <row r="1045" spans="34:34" x14ac:dyDescent="0.25">
      <c r="AH1045" s="1696"/>
    </row>
    <row r="1046" spans="34:34" x14ac:dyDescent="0.25">
      <c r="AH1046" s="1696"/>
    </row>
    <row r="1047" spans="34:34" x14ac:dyDescent="0.25">
      <c r="AH1047" s="1696"/>
    </row>
    <row r="1048" spans="34:34" x14ac:dyDescent="0.25">
      <c r="AH1048" s="1696"/>
    </row>
    <row r="1049" spans="34:34" x14ac:dyDescent="0.25">
      <c r="AH1049" s="1696"/>
    </row>
    <row r="1050" spans="34:34" x14ac:dyDescent="0.25">
      <c r="AH1050" s="1696"/>
    </row>
    <row r="1051" spans="34:34" x14ac:dyDescent="0.25">
      <c r="AH1051" s="1696"/>
    </row>
    <row r="1052" spans="34:34" x14ac:dyDescent="0.25">
      <c r="AH1052" s="1696"/>
    </row>
    <row r="1053" spans="34:34" x14ac:dyDescent="0.25">
      <c r="AH1053" s="1696"/>
    </row>
    <row r="1054" spans="34:34" x14ac:dyDescent="0.25">
      <c r="AH1054" s="1696"/>
    </row>
    <row r="1055" spans="34:34" x14ac:dyDescent="0.25">
      <c r="AH1055" s="1696"/>
    </row>
    <row r="1056" spans="34:34" x14ac:dyDescent="0.25">
      <c r="AH1056" s="1696"/>
    </row>
    <row r="1057" spans="34:34" x14ac:dyDescent="0.25">
      <c r="AH1057" s="1696"/>
    </row>
    <row r="1058" spans="34:34" x14ac:dyDescent="0.25">
      <c r="AH1058" s="1696"/>
    </row>
    <row r="1059" spans="34:34" x14ac:dyDescent="0.25">
      <c r="AH1059" s="1696"/>
    </row>
    <row r="1060" spans="34:34" x14ac:dyDescent="0.25">
      <c r="AH1060" s="1696"/>
    </row>
    <row r="1061" spans="34:34" x14ac:dyDescent="0.25">
      <c r="AH1061" s="1696"/>
    </row>
    <row r="1062" spans="34:34" x14ac:dyDescent="0.25">
      <c r="AH1062" s="1696"/>
    </row>
    <row r="1063" spans="34:34" x14ac:dyDescent="0.25">
      <c r="AH1063" s="1696"/>
    </row>
    <row r="1064" spans="34:34" x14ac:dyDescent="0.25">
      <c r="AH1064" s="1696"/>
    </row>
    <row r="1065" spans="34:34" x14ac:dyDescent="0.25">
      <c r="AH1065" s="1696"/>
    </row>
    <row r="1066" spans="34:34" x14ac:dyDescent="0.25">
      <c r="AH1066" s="1696"/>
    </row>
    <row r="1067" spans="34:34" x14ac:dyDescent="0.25">
      <c r="AH1067" s="1696"/>
    </row>
    <row r="1068" spans="34:34" x14ac:dyDescent="0.25">
      <c r="AH1068" s="1696"/>
    </row>
    <row r="1069" spans="34:34" x14ac:dyDescent="0.25">
      <c r="AH1069" s="1696"/>
    </row>
    <row r="1070" spans="34:34" x14ac:dyDescent="0.25">
      <c r="AH1070" s="1696"/>
    </row>
    <row r="1071" spans="34:34" x14ac:dyDescent="0.25">
      <c r="AH1071" s="1696"/>
    </row>
    <row r="1072" spans="34:34" x14ac:dyDescent="0.25">
      <c r="AH1072" s="1696"/>
    </row>
    <row r="1073" spans="34:34" x14ac:dyDescent="0.25">
      <c r="AH1073" s="1696"/>
    </row>
    <row r="1074" spans="34:34" x14ac:dyDescent="0.25">
      <c r="AH1074" s="1696"/>
    </row>
    <row r="1075" spans="34:34" x14ac:dyDescent="0.25">
      <c r="AH1075" s="1696"/>
    </row>
    <row r="1076" spans="34:34" x14ac:dyDescent="0.25">
      <c r="AH1076" s="1696"/>
    </row>
    <row r="1077" spans="34:34" x14ac:dyDescent="0.25">
      <c r="AH1077" s="1696"/>
    </row>
    <row r="1078" spans="34:34" x14ac:dyDescent="0.25">
      <c r="AH1078" s="1696"/>
    </row>
    <row r="1079" spans="34:34" x14ac:dyDescent="0.25">
      <c r="AH1079" s="1696"/>
    </row>
    <row r="1080" spans="34:34" x14ac:dyDescent="0.25">
      <c r="AH1080" s="1696"/>
    </row>
    <row r="1081" spans="34:34" x14ac:dyDescent="0.25">
      <c r="AH1081" s="1696"/>
    </row>
    <row r="1082" spans="34:34" x14ac:dyDescent="0.25">
      <c r="AH1082" s="1696"/>
    </row>
    <row r="1083" spans="34:34" x14ac:dyDescent="0.25">
      <c r="AH1083" s="1696"/>
    </row>
    <row r="1084" spans="34:34" x14ac:dyDescent="0.25">
      <c r="AH1084" s="1696"/>
    </row>
    <row r="1085" spans="34:34" x14ac:dyDescent="0.25">
      <c r="AH1085" s="1696"/>
    </row>
    <row r="1086" spans="34:34" x14ac:dyDescent="0.25">
      <c r="AH1086" s="1696"/>
    </row>
    <row r="1087" spans="34:34" x14ac:dyDescent="0.25">
      <c r="AH1087" s="1696"/>
    </row>
    <row r="1088" spans="34:34" x14ac:dyDescent="0.25">
      <c r="AH1088" s="1696"/>
    </row>
    <row r="1089" spans="34:34" x14ac:dyDescent="0.25">
      <c r="AH1089" s="1696"/>
    </row>
    <row r="1090" spans="34:34" x14ac:dyDescent="0.25">
      <c r="AH1090" s="1696"/>
    </row>
    <row r="1091" spans="34:34" x14ac:dyDescent="0.25">
      <c r="AH1091" s="1696"/>
    </row>
    <row r="1092" spans="34:34" x14ac:dyDescent="0.25">
      <c r="AH1092" s="1696"/>
    </row>
    <row r="1093" spans="34:34" x14ac:dyDescent="0.25">
      <c r="AH1093" s="1696"/>
    </row>
    <row r="1094" spans="34:34" x14ac:dyDescent="0.25">
      <c r="AH1094" s="1696"/>
    </row>
    <row r="1095" spans="34:34" x14ac:dyDescent="0.25">
      <c r="AH1095" s="1696"/>
    </row>
    <row r="1096" spans="34:34" x14ac:dyDescent="0.25">
      <c r="AH1096" s="1696"/>
    </row>
    <row r="1097" spans="34:34" x14ac:dyDescent="0.25">
      <c r="AH1097" s="1696"/>
    </row>
    <row r="1098" spans="34:34" x14ac:dyDescent="0.25">
      <c r="AH1098" s="1696"/>
    </row>
    <row r="1099" spans="34:34" x14ac:dyDescent="0.25">
      <c r="AH1099" s="1696"/>
    </row>
    <row r="1100" spans="34:34" x14ac:dyDescent="0.25">
      <c r="AH1100" s="1696"/>
    </row>
    <row r="1101" spans="34:34" x14ac:dyDescent="0.25">
      <c r="AH1101" s="1696"/>
    </row>
    <row r="1102" spans="34:34" x14ac:dyDescent="0.25">
      <c r="AH1102" s="1696"/>
    </row>
    <row r="1103" spans="34:34" x14ac:dyDescent="0.25">
      <c r="AH1103" s="1696"/>
    </row>
    <row r="1104" spans="34:34" x14ac:dyDescent="0.25">
      <c r="AH1104" s="1696"/>
    </row>
    <row r="1105" spans="34:34" x14ac:dyDescent="0.25">
      <c r="AH1105" s="1696"/>
    </row>
    <row r="1106" spans="34:34" x14ac:dyDescent="0.25">
      <c r="AH1106" s="1696"/>
    </row>
    <row r="1107" spans="34:34" x14ac:dyDescent="0.25">
      <c r="AH1107" s="1696"/>
    </row>
    <row r="1108" spans="34:34" x14ac:dyDescent="0.25">
      <c r="AH1108" s="1696"/>
    </row>
    <row r="1109" spans="34:34" x14ac:dyDescent="0.25">
      <c r="AH1109" s="1696"/>
    </row>
    <row r="1110" spans="34:34" x14ac:dyDescent="0.25">
      <c r="AH1110" s="1696"/>
    </row>
    <row r="1111" spans="34:34" x14ac:dyDescent="0.25">
      <c r="AH1111" s="1696"/>
    </row>
    <row r="1112" spans="34:34" x14ac:dyDescent="0.25">
      <c r="AH1112" s="1696"/>
    </row>
    <row r="1113" spans="34:34" x14ac:dyDescent="0.25">
      <c r="AH1113" s="1696"/>
    </row>
    <row r="1114" spans="34:34" x14ac:dyDescent="0.25">
      <c r="AH1114" s="1696"/>
    </row>
    <row r="1115" spans="34:34" x14ac:dyDescent="0.25">
      <c r="AH1115" s="1696"/>
    </row>
    <row r="1116" spans="34:34" x14ac:dyDescent="0.25">
      <c r="AH1116" s="1696"/>
    </row>
    <row r="1117" spans="34:34" x14ac:dyDescent="0.25">
      <c r="AH1117" s="1696"/>
    </row>
    <row r="1118" spans="34:34" x14ac:dyDescent="0.25">
      <c r="AH1118" s="1696"/>
    </row>
    <row r="1119" spans="34:34" x14ac:dyDescent="0.25">
      <c r="AH1119" s="1696"/>
    </row>
    <row r="1120" spans="34:34" x14ac:dyDescent="0.25">
      <c r="AH1120" s="1696"/>
    </row>
    <row r="1121" spans="34:34" x14ac:dyDescent="0.25">
      <c r="AH1121" s="1696"/>
    </row>
    <row r="1122" spans="34:34" x14ac:dyDescent="0.25">
      <c r="AH1122" s="1696"/>
    </row>
    <row r="1123" spans="34:34" x14ac:dyDescent="0.25">
      <c r="AH1123" s="1696"/>
    </row>
    <row r="1124" spans="34:34" x14ac:dyDescent="0.25">
      <c r="AH1124" s="1696"/>
    </row>
    <row r="1125" spans="34:34" x14ac:dyDescent="0.25">
      <c r="AH1125" s="1696"/>
    </row>
    <row r="1126" spans="34:34" x14ac:dyDescent="0.25">
      <c r="AH1126" s="1696"/>
    </row>
    <row r="1127" spans="34:34" x14ac:dyDescent="0.25">
      <c r="AH1127" s="1696"/>
    </row>
    <row r="1128" spans="34:34" x14ac:dyDescent="0.25">
      <c r="AH1128" s="1696"/>
    </row>
    <row r="1129" spans="34:34" x14ac:dyDescent="0.25">
      <c r="AH1129" s="1696"/>
    </row>
    <row r="1130" spans="34:34" x14ac:dyDescent="0.25">
      <c r="AH1130" s="1696"/>
    </row>
    <row r="1131" spans="34:34" x14ac:dyDescent="0.25">
      <c r="AH1131" s="1696"/>
    </row>
    <row r="1132" spans="34:34" x14ac:dyDescent="0.25">
      <c r="AH1132" s="1696"/>
    </row>
    <row r="1133" spans="34:34" x14ac:dyDescent="0.25">
      <c r="AH1133" s="1696"/>
    </row>
    <row r="1134" spans="34:34" x14ac:dyDescent="0.25">
      <c r="AH1134" s="1696"/>
    </row>
    <row r="1135" spans="34:34" x14ac:dyDescent="0.25">
      <c r="AH1135" s="1696"/>
    </row>
    <row r="1136" spans="34:34" x14ac:dyDescent="0.25">
      <c r="AH1136" s="1696"/>
    </row>
    <row r="1137" spans="34:34" x14ac:dyDescent="0.25">
      <c r="AH1137" s="1696"/>
    </row>
    <row r="1138" spans="34:34" x14ac:dyDescent="0.25">
      <c r="AH1138" s="1696"/>
    </row>
    <row r="1139" spans="34:34" x14ac:dyDescent="0.25">
      <c r="AH1139" s="1696"/>
    </row>
    <row r="1140" spans="34:34" x14ac:dyDescent="0.25">
      <c r="AH1140" s="1696"/>
    </row>
    <row r="1141" spans="34:34" x14ac:dyDescent="0.25">
      <c r="AH1141" s="1696"/>
    </row>
    <row r="1142" spans="34:34" x14ac:dyDescent="0.25">
      <c r="AH1142" s="1696"/>
    </row>
    <row r="1143" spans="34:34" x14ac:dyDescent="0.25">
      <c r="AH1143" s="1696"/>
    </row>
    <row r="1144" spans="34:34" x14ac:dyDescent="0.25">
      <c r="AH1144" s="1696"/>
    </row>
    <row r="1145" spans="34:34" x14ac:dyDescent="0.25">
      <c r="AH1145" s="1696"/>
    </row>
    <row r="1146" spans="34:34" x14ac:dyDescent="0.25">
      <c r="AH1146" s="1696"/>
    </row>
    <row r="1147" spans="34:34" x14ac:dyDescent="0.25">
      <c r="AH1147" s="1696"/>
    </row>
    <row r="1148" spans="34:34" x14ac:dyDescent="0.25">
      <c r="AH1148" s="1696"/>
    </row>
    <row r="1149" spans="34:34" x14ac:dyDescent="0.25">
      <c r="AH1149" s="1696"/>
    </row>
    <row r="1150" spans="34:34" x14ac:dyDescent="0.25">
      <c r="AH1150" s="1696"/>
    </row>
    <row r="1151" spans="34:34" x14ac:dyDescent="0.25">
      <c r="AH1151" s="1696"/>
    </row>
    <row r="1152" spans="34:34" x14ac:dyDescent="0.25">
      <c r="AH1152" s="1696"/>
    </row>
    <row r="1153" spans="34:34" x14ac:dyDescent="0.25">
      <c r="AH1153" s="1696"/>
    </row>
    <row r="1154" spans="34:34" x14ac:dyDescent="0.25">
      <c r="AH1154" s="1696"/>
    </row>
    <row r="1155" spans="34:34" x14ac:dyDescent="0.25">
      <c r="AH1155" s="1696"/>
    </row>
    <row r="1156" spans="34:34" x14ac:dyDescent="0.25">
      <c r="AH1156" s="1696"/>
    </row>
    <row r="1157" spans="34:34" x14ac:dyDescent="0.25">
      <c r="AH1157" s="1696"/>
    </row>
    <row r="1158" spans="34:34" x14ac:dyDescent="0.25">
      <c r="AH1158" s="1696"/>
    </row>
    <row r="1159" spans="34:34" x14ac:dyDescent="0.25">
      <c r="AH1159" s="1696"/>
    </row>
    <row r="1160" spans="34:34" x14ac:dyDescent="0.25">
      <c r="AH1160" s="1696"/>
    </row>
    <row r="1161" spans="34:34" x14ac:dyDescent="0.25">
      <c r="AH1161" s="1696"/>
    </row>
    <row r="1162" spans="34:34" x14ac:dyDescent="0.25">
      <c r="AH1162" s="1696"/>
    </row>
    <row r="1163" spans="34:34" x14ac:dyDescent="0.25">
      <c r="AH1163" s="1696"/>
    </row>
    <row r="1164" spans="34:34" x14ac:dyDescent="0.25">
      <c r="AH1164" s="1696"/>
    </row>
    <row r="1165" spans="34:34" x14ac:dyDescent="0.25">
      <c r="AH1165" s="1696"/>
    </row>
    <row r="1166" spans="34:34" x14ac:dyDescent="0.25">
      <c r="AH1166" s="1696"/>
    </row>
    <row r="1167" spans="34:34" x14ac:dyDescent="0.25">
      <c r="AH1167" s="1696"/>
    </row>
    <row r="1168" spans="34:34" x14ac:dyDescent="0.25">
      <c r="AH1168" s="1696"/>
    </row>
    <row r="1169" spans="34:34" x14ac:dyDescent="0.25">
      <c r="AH1169" s="1696"/>
    </row>
    <row r="1170" spans="34:34" x14ac:dyDescent="0.25">
      <c r="AH1170" s="1696"/>
    </row>
    <row r="1171" spans="34:34" x14ac:dyDescent="0.25">
      <c r="AH1171" s="1696"/>
    </row>
    <row r="1172" spans="34:34" x14ac:dyDescent="0.25">
      <c r="AH1172" s="1696"/>
    </row>
    <row r="1173" spans="34:34" x14ac:dyDescent="0.25">
      <c r="AH1173" s="1696"/>
    </row>
    <row r="1174" spans="34:34" x14ac:dyDescent="0.25">
      <c r="AH1174" s="1696"/>
    </row>
    <row r="1175" spans="34:34" x14ac:dyDescent="0.25">
      <c r="AH1175" s="1696"/>
    </row>
    <row r="1176" spans="34:34" x14ac:dyDescent="0.25">
      <c r="AH1176" s="1696"/>
    </row>
    <row r="1177" spans="34:34" x14ac:dyDescent="0.25">
      <c r="AH1177" s="1696"/>
    </row>
    <row r="1178" spans="34:34" x14ac:dyDescent="0.25">
      <c r="AH1178" s="1696"/>
    </row>
    <row r="1179" spans="34:34" x14ac:dyDescent="0.25">
      <c r="AH1179" s="1696"/>
    </row>
    <row r="1180" spans="34:34" x14ac:dyDescent="0.25">
      <c r="AH1180" s="1696"/>
    </row>
    <row r="1181" spans="34:34" x14ac:dyDescent="0.25">
      <c r="AH1181" s="1696"/>
    </row>
    <row r="1182" spans="34:34" x14ac:dyDescent="0.25">
      <c r="AH1182" s="1696"/>
    </row>
    <row r="1183" spans="34:34" x14ac:dyDescent="0.25">
      <c r="AH1183" s="1696"/>
    </row>
    <row r="1184" spans="34:34" x14ac:dyDescent="0.25">
      <c r="AH1184" s="1696"/>
    </row>
    <row r="1185" spans="34:34" x14ac:dyDescent="0.25">
      <c r="AH1185" s="1696"/>
    </row>
    <row r="1186" spans="34:34" x14ac:dyDescent="0.25">
      <c r="AH1186" s="1696"/>
    </row>
    <row r="1187" spans="34:34" x14ac:dyDescent="0.25">
      <c r="AH1187" s="1696"/>
    </row>
    <row r="1188" spans="34:34" x14ac:dyDescent="0.25">
      <c r="AH1188" s="1696"/>
    </row>
    <row r="1189" spans="34:34" x14ac:dyDescent="0.25">
      <c r="AH1189" s="1696"/>
    </row>
    <row r="1190" spans="34:34" x14ac:dyDescent="0.25">
      <c r="AH1190" s="1696"/>
    </row>
    <row r="1191" spans="34:34" x14ac:dyDescent="0.25">
      <c r="AH1191" s="1696"/>
    </row>
    <row r="1192" spans="34:34" x14ac:dyDescent="0.25">
      <c r="AH1192" s="1696"/>
    </row>
    <row r="1193" spans="34:34" x14ac:dyDescent="0.25">
      <c r="AH1193" s="1696"/>
    </row>
    <row r="1194" spans="34:34" x14ac:dyDescent="0.25">
      <c r="AH1194" s="1696"/>
    </row>
    <row r="1195" spans="34:34" x14ac:dyDescent="0.25">
      <c r="AH1195" s="1696"/>
    </row>
    <row r="1196" spans="34:34" x14ac:dyDescent="0.25">
      <c r="AH1196" s="1696"/>
    </row>
    <row r="1197" spans="34:34" x14ac:dyDescent="0.25">
      <c r="AH1197" s="1696"/>
    </row>
    <row r="1198" spans="34:34" x14ac:dyDescent="0.25">
      <c r="AH1198" s="1696"/>
    </row>
    <row r="1199" spans="34:34" x14ac:dyDescent="0.25">
      <c r="AH1199" s="1696"/>
    </row>
    <row r="1200" spans="34:34" x14ac:dyDescent="0.25">
      <c r="AH1200" s="1696"/>
    </row>
    <row r="1201" spans="34:34" x14ac:dyDescent="0.25">
      <c r="AH1201" s="1696"/>
    </row>
    <row r="1202" spans="34:34" x14ac:dyDescent="0.25">
      <c r="AH1202" s="1696"/>
    </row>
    <row r="1203" spans="34:34" x14ac:dyDescent="0.25">
      <c r="AH1203" s="1696"/>
    </row>
    <row r="1204" spans="34:34" x14ac:dyDescent="0.25">
      <c r="AH1204" s="1696"/>
    </row>
    <row r="1205" spans="34:34" x14ac:dyDescent="0.25">
      <c r="AH1205" s="1696"/>
    </row>
    <row r="1206" spans="34:34" x14ac:dyDescent="0.25">
      <c r="AH1206" s="1696"/>
    </row>
    <row r="1207" spans="34:34" x14ac:dyDescent="0.25">
      <c r="AH1207" s="1696"/>
    </row>
    <row r="1208" spans="34:34" x14ac:dyDescent="0.25">
      <c r="AH1208" s="1696"/>
    </row>
    <row r="1209" spans="34:34" x14ac:dyDescent="0.25">
      <c r="AH1209" s="1696"/>
    </row>
    <row r="1210" spans="34:34" x14ac:dyDescent="0.25">
      <c r="AH1210" s="1696"/>
    </row>
    <row r="1211" spans="34:34" x14ac:dyDescent="0.25">
      <c r="AH1211" s="1696"/>
    </row>
    <row r="1212" spans="34:34" x14ac:dyDescent="0.25">
      <c r="AH1212" s="1696"/>
    </row>
    <row r="1213" spans="34:34" x14ac:dyDescent="0.25">
      <c r="AH1213" s="1696"/>
    </row>
    <row r="1214" spans="34:34" x14ac:dyDescent="0.25">
      <c r="AH1214" s="1696"/>
    </row>
    <row r="1215" spans="34:34" x14ac:dyDescent="0.25">
      <c r="AH1215" s="1696"/>
    </row>
    <row r="1216" spans="34:34" x14ac:dyDescent="0.25">
      <c r="AH1216" s="1696"/>
    </row>
    <row r="1217" spans="34:34" x14ac:dyDescent="0.25">
      <c r="AH1217" s="1696"/>
    </row>
    <row r="1218" spans="34:34" x14ac:dyDescent="0.25">
      <c r="AH1218" s="1696"/>
    </row>
    <row r="1219" spans="34:34" x14ac:dyDescent="0.25">
      <c r="AH1219" s="1696"/>
    </row>
    <row r="1220" spans="34:34" x14ac:dyDescent="0.25">
      <c r="AH1220" s="1696"/>
    </row>
    <row r="1221" spans="34:34" x14ac:dyDescent="0.25">
      <c r="AH1221" s="1696"/>
    </row>
    <row r="1222" spans="34:34" x14ac:dyDescent="0.25">
      <c r="AH1222" s="1696"/>
    </row>
    <row r="1223" spans="34:34" x14ac:dyDescent="0.25">
      <c r="AH1223" s="1696"/>
    </row>
    <row r="1224" spans="34:34" x14ac:dyDescent="0.25">
      <c r="AH1224" s="1696"/>
    </row>
    <row r="1225" spans="34:34" x14ac:dyDescent="0.25">
      <c r="AH1225" s="1696"/>
    </row>
    <row r="1226" spans="34:34" x14ac:dyDescent="0.25">
      <c r="AH1226" s="1696"/>
    </row>
    <row r="1227" spans="34:34" x14ac:dyDescent="0.25">
      <c r="AH1227" s="1696"/>
    </row>
    <row r="1228" spans="34:34" x14ac:dyDescent="0.25">
      <c r="AH1228" s="1696"/>
    </row>
    <row r="1229" spans="34:34" x14ac:dyDescent="0.25">
      <c r="AH1229" s="1696"/>
    </row>
    <row r="1230" spans="34:34" x14ac:dyDescent="0.25">
      <c r="AH1230" s="1696"/>
    </row>
    <row r="1231" spans="34:34" x14ac:dyDescent="0.25">
      <c r="AH1231" s="1696"/>
    </row>
    <row r="1232" spans="34:34" x14ac:dyDescent="0.25">
      <c r="AH1232" s="1696"/>
    </row>
    <row r="1233" spans="34:34" x14ac:dyDescent="0.25">
      <c r="AH1233" s="1696"/>
    </row>
    <row r="1234" spans="34:34" x14ac:dyDescent="0.25">
      <c r="AH1234" s="1696"/>
    </row>
    <row r="1235" spans="34:34" x14ac:dyDescent="0.25">
      <c r="AH1235" s="1696"/>
    </row>
    <row r="1236" spans="34:34" x14ac:dyDescent="0.25">
      <c r="AH1236" s="1696"/>
    </row>
    <row r="1237" spans="34:34" x14ac:dyDescent="0.25">
      <c r="AH1237" s="1696"/>
    </row>
    <row r="1238" spans="34:34" x14ac:dyDescent="0.25">
      <c r="AH1238" s="1696"/>
    </row>
    <row r="1239" spans="34:34" x14ac:dyDescent="0.25">
      <c r="AH1239" s="1696"/>
    </row>
    <row r="1240" spans="34:34" x14ac:dyDescent="0.25">
      <c r="AH1240" s="1696"/>
    </row>
    <row r="1241" spans="34:34" x14ac:dyDescent="0.25">
      <c r="AH1241" s="1696"/>
    </row>
    <row r="1242" spans="34:34" x14ac:dyDescent="0.25">
      <c r="AH1242" s="1696"/>
    </row>
    <row r="1243" spans="34:34" x14ac:dyDescent="0.25">
      <c r="AH1243" s="1696"/>
    </row>
    <row r="1244" spans="34:34" x14ac:dyDescent="0.25">
      <c r="AH1244" s="1696"/>
    </row>
    <row r="1245" spans="34:34" x14ac:dyDescent="0.25">
      <c r="AH1245" s="1696"/>
    </row>
    <row r="1246" spans="34:34" x14ac:dyDescent="0.25">
      <c r="AH1246" s="1696"/>
    </row>
    <row r="1247" spans="34:34" x14ac:dyDescent="0.25">
      <c r="AH1247" s="1696"/>
    </row>
    <row r="1248" spans="34:34" x14ac:dyDescent="0.25">
      <c r="AH1248" s="1696"/>
    </row>
    <row r="1249" spans="34:34" x14ac:dyDescent="0.25">
      <c r="AH1249" s="1696"/>
    </row>
    <row r="1250" spans="34:34" x14ac:dyDescent="0.25">
      <c r="AH1250" s="1696"/>
    </row>
    <row r="1251" spans="34:34" x14ac:dyDescent="0.25">
      <c r="AH1251" s="1696"/>
    </row>
    <row r="1252" spans="34:34" x14ac:dyDescent="0.25">
      <c r="AH1252" s="1696"/>
    </row>
    <row r="1253" spans="34:34" x14ac:dyDescent="0.25">
      <c r="AH1253" s="1696"/>
    </row>
    <row r="1254" spans="34:34" x14ac:dyDescent="0.25">
      <c r="AH1254" s="1696"/>
    </row>
    <row r="1255" spans="34:34" x14ac:dyDescent="0.25">
      <c r="AH1255" s="1696"/>
    </row>
    <row r="1256" spans="34:34" x14ac:dyDescent="0.25">
      <c r="AH1256" s="1696"/>
    </row>
    <row r="1257" spans="34:34" x14ac:dyDescent="0.25">
      <c r="AH1257" s="1696"/>
    </row>
    <row r="1258" spans="34:34" x14ac:dyDescent="0.25">
      <c r="AH1258" s="1696"/>
    </row>
    <row r="1259" spans="34:34" x14ac:dyDescent="0.25">
      <c r="AH1259" s="1696"/>
    </row>
    <row r="1260" spans="34:34" x14ac:dyDescent="0.25">
      <c r="AH1260" s="1696"/>
    </row>
    <row r="1261" spans="34:34" x14ac:dyDescent="0.25">
      <c r="AH1261" s="1696"/>
    </row>
    <row r="1262" spans="34:34" x14ac:dyDescent="0.25">
      <c r="AH1262" s="1696"/>
    </row>
    <row r="1263" spans="34:34" x14ac:dyDescent="0.25">
      <c r="AH1263" s="1696"/>
    </row>
    <row r="1264" spans="34:34" x14ac:dyDescent="0.25">
      <c r="AH1264" s="1696"/>
    </row>
    <row r="1265" spans="34:34" x14ac:dyDescent="0.25">
      <c r="AH1265" s="1696"/>
    </row>
    <row r="1266" spans="34:34" x14ac:dyDescent="0.25">
      <c r="AH1266" s="1696"/>
    </row>
    <row r="1267" spans="34:34" x14ac:dyDescent="0.25">
      <c r="AH1267" s="1696"/>
    </row>
    <row r="1268" spans="34:34" x14ac:dyDescent="0.25">
      <c r="AH1268" s="1696"/>
    </row>
    <row r="1269" spans="34:34" x14ac:dyDescent="0.25">
      <c r="AH1269" s="1696"/>
    </row>
    <row r="1270" spans="34:34" x14ac:dyDescent="0.25">
      <c r="AH1270" s="1696"/>
    </row>
    <row r="1271" spans="34:34" x14ac:dyDescent="0.25">
      <c r="AH1271" s="1696"/>
    </row>
    <row r="1272" spans="34:34" x14ac:dyDescent="0.25">
      <c r="AH1272" s="1696"/>
    </row>
    <row r="1273" spans="34:34" x14ac:dyDescent="0.25">
      <c r="AH1273" s="1696"/>
    </row>
    <row r="1274" spans="34:34" x14ac:dyDescent="0.25">
      <c r="AH1274" s="1696"/>
    </row>
    <row r="1275" spans="34:34" x14ac:dyDescent="0.25">
      <c r="AH1275" s="1696"/>
    </row>
    <row r="1276" spans="34:34" x14ac:dyDescent="0.25">
      <c r="AH1276" s="1696"/>
    </row>
    <row r="1277" spans="34:34" x14ac:dyDescent="0.25">
      <c r="AH1277" s="1696"/>
    </row>
    <row r="1278" spans="34:34" x14ac:dyDescent="0.25">
      <c r="AH1278" s="1696"/>
    </row>
    <row r="1279" spans="34:34" x14ac:dyDescent="0.25">
      <c r="AH1279" s="1696"/>
    </row>
    <row r="1280" spans="34:34" x14ac:dyDescent="0.25">
      <c r="AH1280" s="1696"/>
    </row>
    <row r="1281" spans="34:34" x14ac:dyDescent="0.25">
      <c r="AH1281" s="1696"/>
    </row>
    <row r="1282" spans="34:34" x14ac:dyDescent="0.25">
      <c r="AH1282" s="1696"/>
    </row>
    <row r="1283" spans="34:34" x14ac:dyDescent="0.25">
      <c r="AH1283" s="1696"/>
    </row>
    <row r="1284" spans="34:34" x14ac:dyDescent="0.25">
      <c r="AH1284" s="1696"/>
    </row>
    <row r="1285" spans="34:34" x14ac:dyDescent="0.25">
      <c r="AH1285" s="1696"/>
    </row>
    <row r="1286" spans="34:34" x14ac:dyDescent="0.25">
      <c r="AH1286" s="1696"/>
    </row>
    <row r="1287" spans="34:34" x14ac:dyDescent="0.25">
      <c r="AH1287" s="1696"/>
    </row>
    <row r="1288" spans="34:34" x14ac:dyDescent="0.25">
      <c r="AH1288" s="1696"/>
    </row>
    <row r="1289" spans="34:34" x14ac:dyDescent="0.25">
      <c r="AH1289" s="1696"/>
    </row>
    <row r="1290" spans="34:34" x14ac:dyDescent="0.25">
      <c r="AH1290" s="1696"/>
    </row>
    <row r="1291" spans="34:34" x14ac:dyDescent="0.25">
      <c r="AH1291" s="1696"/>
    </row>
    <row r="1292" spans="34:34" x14ac:dyDescent="0.25">
      <c r="AH1292" s="1696"/>
    </row>
    <row r="1293" spans="34:34" x14ac:dyDescent="0.25">
      <c r="AH1293" s="1696"/>
    </row>
    <row r="1294" spans="34:34" x14ac:dyDescent="0.25">
      <c r="AH1294" s="1696"/>
    </row>
    <row r="1295" spans="34:34" x14ac:dyDescent="0.25">
      <c r="AH1295" s="1696"/>
    </row>
    <row r="1296" spans="34:34" x14ac:dyDescent="0.25">
      <c r="AH1296" s="1696"/>
    </row>
    <row r="1297" spans="34:34" x14ac:dyDescent="0.25">
      <c r="AH1297" s="1696"/>
    </row>
    <row r="1298" spans="34:34" x14ac:dyDescent="0.25">
      <c r="AH1298" s="1696"/>
    </row>
    <row r="1299" spans="34:34" x14ac:dyDescent="0.25">
      <c r="AH1299" s="1696"/>
    </row>
    <row r="1300" spans="34:34" x14ac:dyDescent="0.25">
      <c r="AH1300" s="1696"/>
    </row>
    <row r="1301" spans="34:34" x14ac:dyDescent="0.25">
      <c r="AH1301" s="1696"/>
    </row>
    <row r="1302" spans="34:34" x14ac:dyDescent="0.25">
      <c r="AH1302" s="1696"/>
    </row>
    <row r="1303" spans="34:34" x14ac:dyDescent="0.25">
      <c r="AH1303" s="1696"/>
    </row>
    <row r="1304" spans="34:34" x14ac:dyDescent="0.25">
      <c r="AH1304" s="1696"/>
    </row>
    <row r="1305" spans="34:34" x14ac:dyDescent="0.25">
      <c r="AH1305" s="1696"/>
    </row>
    <row r="1306" spans="34:34" x14ac:dyDescent="0.25">
      <c r="AH1306" s="1696"/>
    </row>
    <row r="1307" spans="34:34" x14ac:dyDescent="0.25">
      <c r="AH1307" s="1696"/>
    </row>
    <row r="1308" spans="34:34" x14ac:dyDescent="0.25">
      <c r="AH1308" s="1696"/>
    </row>
    <row r="1309" spans="34:34" x14ac:dyDescent="0.25">
      <c r="AH1309" s="1696"/>
    </row>
    <row r="1310" spans="34:34" x14ac:dyDescent="0.25">
      <c r="AH1310" s="1696"/>
    </row>
    <row r="1311" spans="34:34" x14ac:dyDescent="0.25">
      <c r="AH1311" s="1696"/>
    </row>
    <row r="1312" spans="34:34" x14ac:dyDescent="0.25">
      <c r="AH1312" s="1696"/>
    </row>
    <row r="1313" spans="34:34" x14ac:dyDescent="0.25">
      <c r="AH1313" s="1696"/>
    </row>
    <row r="1314" spans="34:34" x14ac:dyDescent="0.25">
      <c r="AH1314" s="1696"/>
    </row>
    <row r="1315" spans="34:34" x14ac:dyDescent="0.25">
      <c r="AH1315" s="1696"/>
    </row>
    <row r="1316" spans="34:34" x14ac:dyDescent="0.25">
      <c r="AH1316" s="1696"/>
    </row>
    <row r="1317" spans="34:34" x14ac:dyDescent="0.25">
      <c r="AH1317" s="1696"/>
    </row>
    <row r="1318" spans="34:34" x14ac:dyDescent="0.25">
      <c r="AH1318" s="1696"/>
    </row>
    <row r="1319" spans="34:34" x14ac:dyDescent="0.25">
      <c r="AH1319" s="1696"/>
    </row>
    <row r="1320" spans="34:34" x14ac:dyDescent="0.25">
      <c r="AH1320" s="1696"/>
    </row>
    <row r="1321" spans="34:34" x14ac:dyDescent="0.25">
      <c r="AH1321" s="1696"/>
    </row>
    <row r="1322" spans="34:34" x14ac:dyDescent="0.25">
      <c r="AH1322" s="1696"/>
    </row>
    <row r="1323" spans="34:34" x14ac:dyDescent="0.25">
      <c r="AH1323" s="1696"/>
    </row>
    <row r="1324" spans="34:34" x14ac:dyDescent="0.25">
      <c r="AH1324" s="1696"/>
    </row>
    <row r="1325" spans="34:34" x14ac:dyDescent="0.25">
      <c r="AH1325" s="1696"/>
    </row>
    <row r="1326" spans="34:34" x14ac:dyDescent="0.25">
      <c r="AH1326" s="1696"/>
    </row>
    <row r="1327" spans="34:34" x14ac:dyDescent="0.25">
      <c r="AH1327" s="1696"/>
    </row>
    <row r="1328" spans="34:34" x14ac:dyDescent="0.25">
      <c r="AH1328" s="1696"/>
    </row>
    <row r="1329" spans="34:34" x14ac:dyDescent="0.25">
      <c r="AH1329" s="1696"/>
    </row>
    <row r="1330" spans="34:34" x14ac:dyDescent="0.25">
      <c r="AH1330" s="1696"/>
    </row>
    <row r="1331" spans="34:34" x14ac:dyDescent="0.25">
      <c r="AH1331" s="1696"/>
    </row>
    <row r="1332" spans="34:34" x14ac:dyDescent="0.25">
      <c r="AH1332" s="1696"/>
    </row>
    <row r="1333" spans="34:34" x14ac:dyDescent="0.25">
      <c r="AH1333" s="1696"/>
    </row>
    <row r="1334" spans="34:34" x14ac:dyDescent="0.25">
      <c r="AH1334" s="1696"/>
    </row>
    <row r="1335" spans="34:34" x14ac:dyDescent="0.25">
      <c r="AH1335" s="1696"/>
    </row>
    <row r="1336" spans="34:34" x14ac:dyDescent="0.25">
      <c r="AH1336" s="1696"/>
    </row>
    <row r="1337" spans="34:34" x14ac:dyDescent="0.25">
      <c r="AH1337" s="1696"/>
    </row>
    <row r="1338" spans="34:34" x14ac:dyDescent="0.25">
      <c r="AH1338" s="1696"/>
    </row>
    <row r="1339" spans="34:34" x14ac:dyDescent="0.25">
      <c r="AH1339" s="1696"/>
    </row>
    <row r="1340" spans="34:34" x14ac:dyDescent="0.25">
      <c r="AH1340" s="1696"/>
    </row>
    <row r="1341" spans="34:34" x14ac:dyDescent="0.25">
      <c r="AH1341" s="1696"/>
    </row>
    <row r="1342" spans="34:34" x14ac:dyDescent="0.25">
      <c r="AH1342" s="1696"/>
    </row>
    <row r="1343" spans="34:34" x14ac:dyDescent="0.25">
      <c r="AH1343" s="1696"/>
    </row>
    <row r="1344" spans="34:34" x14ac:dyDescent="0.25">
      <c r="AH1344" s="1696"/>
    </row>
    <row r="1345" spans="34:34" x14ac:dyDescent="0.25">
      <c r="AH1345" s="1696"/>
    </row>
    <row r="1346" spans="34:34" x14ac:dyDescent="0.25">
      <c r="AH1346" s="1696"/>
    </row>
    <row r="1347" spans="34:34" x14ac:dyDescent="0.25">
      <c r="AH1347" s="1696"/>
    </row>
    <row r="1348" spans="34:34" x14ac:dyDescent="0.25">
      <c r="AH1348" s="1696"/>
    </row>
    <row r="1349" spans="34:34" x14ac:dyDescent="0.25">
      <c r="AH1349" s="1696"/>
    </row>
    <row r="1350" spans="34:34" x14ac:dyDescent="0.25">
      <c r="AH1350" s="1696"/>
    </row>
    <row r="1351" spans="34:34" x14ac:dyDescent="0.25">
      <c r="AH1351" s="1696"/>
    </row>
    <row r="1352" spans="34:34" x14ac:dyDescent="0.25">
      <c r="AH1352" s="1696"/>
    </row>
    <row r="1353" spans="34:34" x14ac:dyDescent="0.25">
      <c r="AH1353" s="1696"/>
    </row>
    <row r="1354" spans="34:34" x14ac:dyDescent="0.25">
      <c r="AH1354" s="1696"/>
    </row>
    <row r="1355" spans="34:34" x14ac:dyDescent="0.25">
      <c r="AH1355" s="1696"/>
    </row>
    <row r="1356" spans="34:34" x14ac:dyDescent="0.25">
      <c r="AH1356" s="1696"/>
    </row>
    <row r="1357" spans="34:34" x14ac:dyDescent="0.25">
      <c r="AH1357" s="1696"/>
    </row>
    <row r="1358" spans="34:34" x14ac:dyDescent="0.25">
      <c r="AH1358" s="1696"/>
    </row>
    <row r="1359" spans="34:34" x14ac:dyDescent="0.25">
      <c r="AH1359" s="1696"/>
    </row>
    <row r="1360" spans="34:34" x14ac:dyDescent="0.25">
      <c r="AH1360" s="1696"/>
    </row>
    <row r="1361" spans="34:34" x14ac:dyDescent="0.25">
      <c r="AH1361" s="1696"/>
    </row>
    <row r="1362" spans="34:34" x14ac:dyDescent="0.25">
      <c r="AH1362" s="1696"/>
    </row>
    <row r="1363" spans="34:34" x14ac:dyDescent="0.25">
      <c r="AH1363" s="1696"/>
    </row>
    <row r="1364" spans="34:34" x14ac:dyDescent="0.25">
      <c r="AH1364" s="1696"/>
    </row>
    <row r="1365" spans="34:34" x14ac:dyDescent="0.25">
      <c r="AH1365" s="1696"/>
    </row>
    <row r="1366" spans="34:34" x14ac:dyDescent="0.25">
      <c r="AH1366" s="1696"/>
    </row>
    <row r="1367" spans="34:34" x14ac:dyDescent="0.25">
      <c r="AH1367" s="1696"/>
    </row>
    <row r="1368" spans="34:34" x14ac:dyDescent="0.25">
      <c r="AH1368" s="1696"/>
    </row>
    <row r="1369" spans="34:34" x14ac:dyDescent="0.25">
      <c r="AH1369" s="1696"/>
    </row>
    <row r="1370" spans="34:34" x14ac:dyDescent="0.25">
      <c r="AH1370" s="1696"/>
    </row>
    <row r="1371" spans="34:34" x14ac:dyDescent="0.25">
      <c r="AH1371" s="1696"/>
    </row>
    <row r="1372" spans="34:34" x14ac:dyDescent="0.25">
      <c r="AH1372" s="1696"/>
    </row>
    <row r="1373" spans="34:34" x14ac:dyDescent="0.25">
      <c r="AH1373" s="1696"/>
    </row>
    <row r="1374" spans="34:34" x14ac:dyDescent="0.25">
      <c r="AH1374" s="1696"/>
    </row>
    <row r="1375" spans="34:34" x14ac:dyDescent="0.25">
      <c r="AH1375" s="1696"/>
    </row>
    <row r="1376" spans="34:34" x14ac:dyDescent="0.25">
      <c r="AH1376" s="1696"/>
    </row>
    <row r="1377" spans="34:34" x14ac:dyDescent="0.25">
      <c r="AH1377" s="1696"/>
    </row>
    <row r="1378" spans="34:34" x14ac:dyDescent="0.25">
      <c r="AH1378" s="1696"/>
    </row>
    <row r="1379" spans="34:34" x14ac:dyDescent="0.25">
      <c r="AH1379" s="1696"/>
    </row>
    <row r="1380" spans="34:34" x14ac:dyDescent="0.25">
      <c r="AH1380" s="1696"/>
    </row>
    <row r="1381" spans="34:34" x14ac:dyDescent="0.25">
      <c r="AH1381" s="1696"/>
    </row>
    <row r="1382" spans="34:34" x14ac:dyDescent="0.25">
      <c r="AH1382" s="1696"/>
    </row>
    <row r="1383" spans="34:34" x14ac:dyDescent="0.25">
      <c r="AH1383" s="1696"/>
    </row>
    <row r="1384" spans="34:34" x14ac:dyDescent="0.25">
      <c r="AH1384" s="1696"/>
    </row>
    <row r="1385" spans="34:34" x14ac:dyDescent="0.25">
      <c r="AH1385" s="1696"/>
    </row>
    <row r="1386" spans="34:34" x14ac:dyDescent="0.25">
      <c r="AH1386" s="1696"/>
    </row>
    <row r="1387" spans="34:34" x14ac:dyDescent="0.25">
      <c r="AH1387" s="1696"/>
    </row>
    <row r="1388" spans="34:34" x14ac:dyDescent="0.25">
      <c r="AH1388" s="1696"/>
    </row>
    <row r="1389" spans="34:34" x14ac:dyDescent="0.25">
      <c r="AH1389" s="1696"/>
    </row>
    <row r="1390" spans="34:34" x14ac:dyDescent="0.25">
      <c r="AH1390" s="1696"/>
    </row>
    <row r="1391" spans="34:34" x14ac:dyDescent="0.25">
      <c r="AH1391" s="1696"/>
    </row>
    <row r="1392" spans="34:34" x14ac:dyDescent="0.25">
      <c r="AH1392" s="1696"/>
    </row>
    <row r="1393" spans="34:34" x14ac:dyDescent="0.25">
      <c r="AH1393" s="1696"/>
    </row>
  </sheetData>
  <autoFilter ref="A12:DH460">
    <filterColumn colId="4">
      <filters>
        <filter val="06.2.1-TID-R-511"/>
      </filters>
    </filterColumn>
  </autoFilter>
  <mergeCells count="118">
    <mergeCell ref="A5:C5"/>
    <mergeCell ref="D5:O5"/>
    <mergeCell ref="B7:L7"/>
    <mergeCell ref="M7:X7"/>
    <mergeCell ref="Y7:AI7"/>
    <mergeCell ref="AJ7:CY7"/>
    <mergeCell ref="A1:O1"/>
    <mergeCell ref="A2:O2"/>
    <mergeCell ref="A3:C3"/>
    <mergeCell ref="D3:O3"/>
    <mergeCell ref="A4:C4"/>
    <mergeCell ref="D4:O4"/>
    <mergeCell ref="DB7:DC7"/>
    <mergeCell ref="DD7:DH7"/>
    <mergeCell ref="B8:B11"/>
    <mergeCell ref="C8:C11"/>
    <mergeCell ref="D8:D11"/>
    <mergeCell ref="E8:E11"/>
    <mergeCell ref="F8:F11"/>
    <mergeCell ref="G8:G11"/>
    <mergeCell ref="H8:H11"/>
    <mergeCell ref="AY9:AY11"/>
    <mergeCell ref="AZ9:AZ11"/>
    <mergeCell ref="Q8:S8"/>
    <mergeCell ref="T8:X8"/>
    <mergeCell ref="AA8:AC8"/>
    <mergeCell ref="AD8:AD11"/>
    <mergeCell ref="AE8:AE11"/>
    <mergeCell ref="AF8:AF11"/>
    <mergeCell ref="CZ7:DA8"/>
    <mergeCell ref="CW8:CY8"/>
    <mergeCell ref="DB8:DC8"/>
    <mergeCell ref="DD8:DH8"/>
    <mergeCell ref="U9:W9"/>
    <mergeCell ref="AA9:AC9"/>
    <mergeCell ref="AK9:AK11"/>
    <mergeCell ref="AL9:AL11"/>
    <mergeCell ref="AM9:AM11"/>
    <mergeCell ref="AO9:AO11"/>
    <mergeCell ref="AP9:AR9"/>
    <mergeCell ref="BO8:BZ8"/>
    <mergeCell ref="CA8:CE8"/>
    <mergeCell ref="CF8:CG8"/>
    <mergeCell ref="CH8:CI8"/>
    <mergeCell ref="CJ8:CK8"/>
    <mergeCell ref="BK10:BM10"/>
    <mergeCell ref="BH10:BH11"/>
    <mergeCell ref="CI9:CI11"/>
    <mergeCell ref="CJ9:CJ11"/>
    <mergeCell ref="CK9:CK11"/>
    <mergeCell ref="BO9:BO11"/>
    <mergeCell ref="BP9:BP11"/>
    <mergeCell ref="CL8:CV8"/>
    <mergeCell ref="AG8:AG11"/>
    <mergeCell ref="AH8:AH11"/>
    <mergeCell ref="AJ8:AL8"/>
    <mergeCell ref="AM8:AY8"/>
    <mergeCell ref="AZ8:BD8"/>
    <mergeCell ref="BE8:BN8"/>
    <mergeCell ref="AS9:AW9"/>
    <mergeCell ref="AX9:AX11"/>
    <mergeCell ref="BQ9:BQ11"/>
    <mergeCell ref="BR9:BT9"/>
    <mergeCell ref="BU9:BY9"/>
    <mergeCell ref="BZ9:BZ11"/>
    <mergeCell ref="BR10:BR11"/>
    <mergeCell ref="BS10:BS11"/>
    <mergeCell ref="BT10:BT11"/>
    <mergeCell ref="BU10:BU11"/>
    <mergeCell ref="BB9:BB11"/>
    <mergeCell ref="BD9:BD11"/>
    <mergeCell ref="BE9:BE11"/>
    <mergeCell ref="BF9:BF11"/>
    <mergeCell ref="BG9:BI9"/>
    <mergeCell ref="BJ9:BN9"/>
    <mergeCell ref="BI10:BI11"/>
    <mergeCell ref="CO9:CQ9"/>
    <mergeCell ref="CR9:CV9"/>
    <mergeCell ref="CW9:CW11"/>
    <mergeCell ref="CX9:CX11"/>
    <mergeCell ref="CY9:CY11"/>
    <mergeCell ref="CZ9:CZ11"/>
    <mergeCell ref="CR10:CR11"/>
    <mergeCell ref="CS10:CU10"/>
    <mergeCell ref="CV10:CV11"/>
    <mergeCell ref="CL9:CL11"/>
    <mergeCell ref="CM9:CM11"/>
    <mergeCell ref="CN9:CN11"/>
    <mergeCell ref="CA9:CA11"/>
    <mergeCell ref="CC9:CC11"/>
    <mergeCell ref="CD9:CD11"/>
    <mergeCell ref="CF9:CF11"/>
    <mergeCell ref="CG9:CG11"/>
    <mergeCell ref="CH9:CH11"/>
    <mergeCell ref="DH10:DH11"/>
    <mergeCell ref="O8:O11"/>
    <mergeCell ref="P8:P11"/>
    <mergeCell ref="DB10:DB11"/>
    <mergeCell ref="DC10:DC11"/>
    <mergeCell ref="DD10:DD11"/>
    <mergeCell ref="DE10:DE11"/>
    <mergeCell ref="DF10:DF11"/>
    <mergeCell ref="DG10:DG11"/>
    <mergeCell ref="BV10:BX10"/>
    <mergeCell ref="BY10:BY11"/>
    <mergeCell ref="CE10:CE11"/>
    <mergeCell ref="CO10:CO11"/>
    <mergeCell ref="CP10:CP11"/>
    <mergeCell ref="CQ10:CQ11"/>
    <mergeCell ref="DA9:DA11"/>
    <mergeCell ref="DB9:DC9"/>
    <mergeCell ref="DD9:DH9"/>
    <mergeCell ref="AA10:AC10"/>
    <mergeCell ref="AP10:AP11"/>
    <mergeCell ref="AQ10:AQ11"/>
    <mergeCell ref="AR10:AR11"/>
    <mergeCell ref="AT10:AV10"/>
    <mergeCell ref="BG10:BG1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78"/>
  <sheetViews>
    <sheetView topLeftCell="A19" workbookViewId="0">
      <selection activeCell="N24" sqref="N24"/>
    </sheetView>
  </sheetViews>
  <sheetFormatPr defaultRowHeight="15" x14ac:dyDescent="0.25"/>
  <cols>
    <col min="1" max="1" width="6.42578125" customWidth="1"/>
    <col min="2" max="2" width="8.5703125" customWidth="1"/>
    <col min="3" max="3" width="5.28515625" customWidth="1"/>
    <col min="4" max="4" width="4.140625" customWidth="1"/>
    <col min="5" max="5" width="17.42578125" customWidth="1"/>
    <col min="6" max="6" width="18.85546875" customWidth="1"/>
    <col min="7" max="7" width="6.5703125" customWidth="1"/>
    <col min="8" max="8" width="7.140625" customWidth="1"/>
    <col min="9" max="9" width="6.42578125" customWidth="1"/>
    <col min="10" max="10" width="14.42578125" customWidth="1"/>
    <col min="11" max="11" width="13.28515625" customWidth="1"/>
    <col min="12" max="12" width="10.28515625" customWidth="1"/>
    <col min="13" max="13" width="23.7109375" customWidth="1"/>
    <col min="14" max="14" width="15.28515625" customWidth="1"/>
    <col min="15" max="15" width="65.5703125" customWidth="1"/>
    <col min="16" max="16" width="10" customWidth="1"/>
    <col min="17" max="17" width="7.28515625" customWidth="1"/>
    <col min="18" max="18" width="12.28515625" customWidth="1"/>
    <col min="19" max="19" width="9.7109375" customWidth="1"/>
    <col min="20" max="20" width="9.85546875" customWidth="1"/>
    <col min="21" max="21" width="12.140625" customWidth="1"/>
    <col min="22" max="22" width="7.42578125" customWidth="1"/>
    <col min="23" max="23" width="10.140625" customWidth="1"/>
    <col min="24" max="24" width="9.42578125" customWidth="1"/>
    <col min="25" max="25" width="13.42578125" customWidth="1"/>
    <col min="26" max="26" width="12.7109375" customWidth="1"/>
    <col min="27" max="27" width="13.28515625" customWidth="1"/>
    <col min="28" max="28" width="17.140625" customWidth="1"/>
    <col min="29" max="30" width="13.42578125" customWidth="1"/>
    <col min="31" max="31" width="14.85546875" customWidth="1"/>
    <col min="32" max="32" width="13.140625" customWidth="1"/>
    <col min="33" max="33" width="14.85546875" customWidth="1"/>
    <col min="34" max="34" width="13" customWidth="1"/>
    <col min="35" max="36" width="15.5703125" customWidth="1"/>
    <col min="37" max="37" width="18.7109375" customWidth="1"/>
    <col min="38" max="38" width="20.140625" customWidth="1"/>
    <col min="39" max="39" width="15.140625" customWidth="1"/>
    <col min="40" max="40" width="17.85546875" customWidth="1"/>
    <col min="41" max="41" width="13.140625" customWidth="1"/>
    <col min="42" max="42" width="12" customWidth="1"/>
    <col min="43" max="43" width="13.85546875" customWidth="1"/>
    <col min="44" max="44" width="13.42578125" customWidth="1"/>
    <col min="45" max="45" width="19.5703125" customWidth="1"/>
    <col min="46" max="46" width="14.28515625" customWidth="1"/>
    <col min="47" max="47" width="22.85546875" customWidth="1"/>
    <col min="48" max="48" width="16" customWidth="1"/>
    <col min="49" max="49" width="14.5703125" customWidth="1"/>
    <col min="50" max="50" width="17.85546875" customWidth="1"/>
    <col min="51" max="51" width="13.42578125" customWidth="1"/>
    <col min="52" max="52" width="21.7109375" customWidth="1"/>
    <col min="53" max="53" width="18" customWidth="1"/>
    <col min="54" max="54" width="13.5703125" customWidth="1"/>
    <col min="55" max="55" width="16.42578125" customWidth="1"/>
    <col min="56" max="60" width="13.42578125" customWidth="1"/>
    <col min="61" max="61" width="12.7109375" customWidth="1"/>
    <col min="62" max="64" width="13.42578125" customWidth="1"/>
    <col min="65" max="65" width="14.5703125" customWidth="1"/>
    <col min="66" max="66" width="12.140625" customWidth="1"/>
    <col min="67" max="80" width="13.42578125" customWidth="1"/>
    <col min="81" max="81" width="17.42578125" customWidth="1"/>
    <col min="82" max="82" width="14.5703125" customWidth="1"/>
    <col min="83" max="91" width="13.42578125" customWidth="1"/>
    <col min="92" max="92" width="10.28515625" customWidth="1"/>
    <col min="93" max="98" width="13.42578125" customWidth="1"/>
    <col min="99" max="99" width="13.140625" customWidth="1"/>
    <col min="100" max="100" width="15.42578125" customWidth="1"/>
    <col min="101" max="120" width="13.42578125" customWidth="1"/>
    <col min="121" max="121" width="20.85546875" customWidth="1"/>
    <col min="122" max="122" width="15.5703125" customWidth="1"/>
    <col min="123" max="126" width="13.42578125" customWidth="1"/>
    <col min="127" max="127" width="20.85546875" customWidth="1"/>
    <col min="257" max="257" width="6.42578125" customWidth="1"/>
    <col min="258" max="258" width="19.5703125" customWidth="1"/>
    <col min="259" max="259" width="13.42578125" customWidth="1"/>
    <col min="260" max="260" width="13.5703125" customWidth="1"/>
    <col min="261" max="262" width="20.85546875" customWidth="1"/>
    <col min="263" max="263" width="16.5703125" customWidth="1"/>
    <col min="264" max="264" width="21" customWidth="1"/>
    <col min="265" max="265" width="18.85546875" customWidth="1"/>
    <col min="266" max="266" width="19.42578125" customWidth="1"/>
    <col min="267" max="267" width="18.85546875" customWidth="1"/>
    <col min="268" max="268" width="18.140625" customWidth="1"/>
    <col min="269" max="270" width="20.85546875" customWidth="1"/>
    <col min="271" max="271" width="133.7109375" customWidth="1"/>
    <col min="272" max="272" width="19.7109375" customWidth="1"/>
    <col min="273" max="273" width="13.28515625" customWidth="1"/>
    <col min="274" max="274" width="14.42578125" customWidth="1"/>
    <col min="275" max="275" width="11" customWidth="1"/>
    <col min="276" max="276" width="13.42578125" customWidth="1"/>
    <col min="277" max="277" width="13.5703125" customWidth="1"/>
    <col min="278" max="278" width="17.5703125" customWidth="1"/>
    <col min="279" max="281" width="13.42578125" customWidth="1"/>
    <col min="282" max="282" width="12.7109375" customWidth="1"/>
    <col min="283" max="283" width="13.28515625" customWidth="1"/>
    <col min="284" max="284" width="17.140625" customWidth="1"/>
    <col min="285" max="286" width="13.42578125" customWidth="1"/>
    <col min="287" max="287" width="14.85546875" customWidth="1"/>
    <col min="288" max="288" width="13.140625" customWidth="1"/>
    <col min="289" max="289" width="14.85546875" customWidth="1"/>
    <col min="290" max="290" width="13" customWidth="1"/>
    <col min="291" max="292" width="15.5703125" customWidth="1"/>
    <col min="293" max="293" width="25.140625" customWidth="1"/>
    <col min="294" max="294" width="40.42578125" customWidth="1"/>
    <col min="295" max="295" width="19.140625" customWidth="1"/>
    <col min="296" max="296" width="17.85546875" customWidth="1"/>
    <col min="297" max="297" width="13.140625" customWidth="1"/>
    <col min="298" max="298" width="12" customWidth="1"/>
    <col min="299" max="299" width="13.85546875" customWidth="1"/>
    <col min="300" max="300" width="13.42578125" customWidth="1"/>
    <col min="301" max="301" width="19.5703125" customWidth="1"/>
    <col min="302" max="302" width="14.28515625" customWidth="1"/>
    <col min="303" max="303" width="22.85546875" customWidth="1"/>
    <col min="304" max="304" width="16" customWidth="1"/>
    <col min="305" max="305" width="14.5703125" customWidth="1"/>
    <col min="306" max="306" width="17.85546875" customWidth="1"/>
    <col min="307" max="307" width="13.42578125" customWidth="1"/>
    <col min="308" max="308" width="21.7109375" customWidth="1"/>
    <col min="309" max="309" width="18" customWidth="1"/>
    <col min="310" max="310" width="13.5703125" customWidth="1"/>
    <col min="311" max="311" width="16.42578125" customWidth="1"/>
    <col min="312" max="316" width="13.42578125" customWidth="1"/>
    <col min="317" max="317" width="12.7109375" customWidth="1"/>
    <col min="318" max="320" width="13.42578125" customWidth="1"/>
    <col min="321" max="321" width="14.5703125" customWidth="1"/>
    <col min="322" max="322" width="12.140625" customWidth="1"/>
    <col min="323" max="336" width="13.42578125" customWidth="1"/>
    <col min="337" max="337" width="17.42578125" customWidth="1"/>
    <col min="338" max="338" width="14.5703125" customWidth="1"/>
    <col min="339" max="347" width="13.42578125" customWidth="1"/>
    <col min="348" max="348" width="10.28515625" customWidth="1"/>
    <col min="349" max="354" width="13.42578125" customWidth="1"/>
    <col min="355" max="355" width="13.140625" customWidth="1"/>
    <col min="356" max="356" width="15.42578125" customWidth="1"/>
    <col min="357" max="376" width="13.42578125" customWidth="1"/>
    <col min="377" max="377" width="20.85546875" customWidth="1"/>
    <col min="378" max="378" width="15.5703125" customWidth="1"/>
    <col min="379" max="382" width="13.42578125" customWidth="1"/>
    <col min="383" max="383" width="20.85546875" customWidth="1"/>
    <col min="513" max="513" width="6.42578125" customWidth="1"/>
    <col min="514" max="514" width="19.5703125" customWidth="1"/>
    <col min="515" max="515" width="13.42578125" customWidth="1"/>
    <col min="516" max="516" width="13.5703125" customWidth="1"/>
    <col min="517" max="518" width="20.85546875" customWidth="1"/>
    <col min="519" max="519" width="16.5703125" customWidth="1"/>
    <col min="520" max="520" width="21" customWidth="1"/>
    <col min="521" max="521" width="18.85546875" customWidth="1"/>
    <col min="522" max="522" width="19.42578125" customWidth="1"/>
    <col min="523" max="523" width="18.85546875" customWidth="1"/>
    <col min="524" max="524" width="18.140625" customWidth="1"/>
    <col min="525" max="526" width="20.85546875" customWidth="1"/>
    <col min="527" max="527" width="133.7109375" customWidth="1"/>
    <col min="528" max="528" width="19.7109375" customWidth="1"/>
    <col min="529" max="529" width="13.28515625" customWidth="1"/>
    <col min="530" max="530" width="14.42578125" customWidth="1"/>
    <col min="531" max="531" width="11" customWidth="1"/>
    <col min="532" max="532" width="13.42578125" customWidth="1"/>
    <col min="533" max="533" width="13.5703125" customWidth="1"/>
    <col min="534" max="534" width="17.5703125" customWidth="1"/>
    <col min="535" max="537" width="13.42578125" customWidth="1"/>
    <col min="538" max="538" width="12.7109375" customWidth="1"/>
    <col min="539" max="539" width="13.28515625" customWidth="1"/>
    <col min="540" max="540" width="17.140625" customWidth="1"/>
    <col min="541" max="542" width="13.42578125" customWidth="1"/>
    <col min="543" max="543" width="14.85546875" customWidth="1"/>
    <col min="544" max="544" width="13.140625" customWidth="1"/>
    <col min="545" max="545" width="14.85546875" customWidth="1"/>
    <col min="546" max="546" width="13" customWidth="1"/>
    <col min="547" max="548" width="15.5703125" customWidth="1"/>
    <col min="549" max="549" width="25.140625" customWidth="1"/>
    <col min="550" max="550" width="40.42578125" customWidth="1"/>
    <col min="551" max="551" width="19.140625" customWidth="1"/>
    <col min="552" max="552" width="17.85546875" customWidth="1"/>
    <col min="553" max="553" width="13.140625" customWidth="1"/>
    <col min="554" max="554" width="12" customWidth="1"/>
    <col min="555" max="555" width="13.85546875" customWidth="1"/>
    <col min="556" max="556" width="13.42578125" customWidth="1"/>
    <col min="557" max="557" width="19.5703125" customWidth="1"/>
    <col min="558" max="558" width="14.28515625" customWidth="1"/>
    <col min="559" max="559" width="22.85546875" customWidth="1"/>
    <col min="560" max="560" width="16" customWidth="1"/>
    <col min="561" max="561" width="14.5703125" customWidth="1"/>
    <col min="562" max="562" width="17.85546875" customWidth="1"/>
    <col min="563" max="563" width="13.42578125" customWidth="1"/>
    <col min="564" max="564" width="21.7109375" customWidth="1"/>
    <col min="565" max="565" width="18" customWidth="1"/>
    <col min="566" max="566" width="13.5703125" customWidth="1"/>
    <col min="567" max="567" width="16.42578125" customWidth="1"/>
    <col min="568" max="572" width="13.42578125" customWidth="1"/>
    <col min="573" max="573" width="12.7109375" customWidth="1"/>
    <col min="574" max="576" width="13.42578125" customWidth="1"/>
    <col min="577" max="577" width="14.5703125" customWidth="1"/>
    <col min="578" max="578" width="12.140625" customWidth="1"/>
    <col min="579" max="592" width="13.42578125" customWidth="1"/>
    <col min="593" max="593" width="17.42578125" customWidth="1"/>
    <col min="594" max="594" width="14.5703125" customWidth="1"/>
    <col min="595" max="603" width="13.42578125" customWidth="1"/>
    <col min="604" max="604" width="10.28515625" customWidth="1"/>
    <col min="605" max="610" width="13.42578125" customWidth="1"/>
    <col min="611" max="611" width="13.140625" customWidth="1"/>
    <col min="612" max="612" width="15.42578125" customWidth="1"/>
    <col min="613" max="632" width="13.42578125" customWidth="1"/>
    <col min="633" max="633" width="20.85546875" customWidth="1"/>
    <col min="634" max="634" width="15.5703125" customWidth="1"/>
    <col min="635" max="638" width="13.42578125" customWidth="1"/>
    <col min="639" max="639" width="20.85546875" customWidth="1"/>
    <col min="769" max="769" width="6.42578125" customWidth="1"/>
    <col min="770" max="770" width="19.5703125" customWidth="1"/>
    <col min="771" max="771" width="13.42578125" customWidth="1"/>
    <col min="772" max="772" width="13.5703125" customWidth="1"/>
    <col min="773" max="774" width="20.85546875" customWidth="1"/>
    <col min="775" max="775" width="16.5703125" customWidth="1"/>
    <col min="776" max="776" width="21" customWidth="1"/>
    <col min="777" max="777" width="18.85546875" customWidth="1"/>
    <col min="778" max="778" width="19.42578125" customWidth="1"/>
    <col min="779" max="779" width="18.85546875" customWidth="1"/>
    <col min="780" max="780" width="18.140625" customWidth="1"/>
    <col min="781" max="782" width="20.85546875" customWidth="1"/>
    <col min="783" max="783" width="133.7109375" customWidth="1"/>
    <col min="784" max="784" width="19.7109375" customWidth="1"/>
    <col min="785" max="785" width="13.28515625" customWidth="1"/>
    <col min="786" max="786" width="14.42578125" customWidth="1"/>
    <col min="787" max="787" width="11" customWidth="1"/>
    <col min="788" max="788" width="13.42578125" customWidth="1"/>
    <col min="789" max="789" width="13.5703125" customWidth="1"/>
    <col min="790" max="790" width="17.5703125" customWidth="1"/>
    <col min="791" max="793" width="13.42578125" customWidth="1"/>
    <col min="794" max="794" width="12.7109375" customWidth="1"/>
    <col min="795" max="795" width="13.28515625" customWidth="1"/>
    <col min="796" max="796" width="17.140625" customWidth="1"/>
    <col min="797" max="798" width="13.42578125" customWidth="1"/>
    <col min="799" max="799" width="14.85546875" customWidth="1"/>
    <col min="800" max="800" width="13.140625" customWidth="1"/>
    <col min="801" max="801" width="14.85546875" customWidth="1"/>
    <col min="802" max="802" width="13" customWidth="1"/>
    <col min="803" max="804" width="15.5703125" customWidth="1"/>
    <col min="805" max="805" width="25.140625" customWidth="1"/>
    <col min="806" max="806" width="40.42578125" customWidth="1"/>
    <col min="807" max="807" width="19.140625" customWidth="1"/>
    <col min="808" max="808" width="17.85546875" customWidth="1"/>
    <col min="809" max="809" width="13.140625" customWidth="1"/>
    <col min="810" max="810" width="12" customWidth="1"/>
    <col min="811" max="811" width="13.85546875" customWidth="1"/>
    <col min="812" max="812" width="13.42578125" customWidth="1"/>
    <col min="813" max="813" width="19.5703125" customWidth="1"/>
    <col min="814" max="814" width="14.28515625" customWidth="1"/>
    <col min="815" max="815" width="22.85546875" customWidth="1"/>
    <col min="816" max="816" width="16" customWidth="1"/>
    <col min="817" max="817" width="14.5703125" customWidth="1"/>
    <col min="818" max="818" width="17.85546875" customWidth="1"/>
    <col min="819" max="819" width="13.42578125" customWidth="1"/>
    <col min="820" max="820" width="21.7109375" customWidth="1"/>
    <col min="821" max="821" width="18" customWidth="1"/>
    <col min="822" max="822" width="13.5703125" customWidth="1"/>
    <col min="823" max="823" width="16.42578125" customWidth="1"/>
    <col min="824" max="828" width="13.42578125" customWidth="1"/>
    <col min="829" max="829" width="12.7109375" customWidth="1"/>
    <col min="830" max="832" width="13.42578125" customWidth="1"/>
    <col min="833" max="833" width="14.5703125" customWidth="1"/>
    <col min="834" max="834" width="12.140625" customWidth="1"/>
    <col min="835" max="848" width="13.42578125" customWidth="1"/>
    <col min="849" max="849" width="17.42578125" customWidth="1"/>
    <col min="850" max="850" width="14.5703125" customWidth="1"/>
    <col min="851" max="859" width="13.42578125" customWidth="1"/>
    <col min="860" max="860" width="10.28515625" customWidth="1"/>
    <col min="861" max="866" width="13.42578125" customWidth="1"/>
    <col min="867" max="867" width="13.140625" customWidth="1"/>
    <col min="868" max="868" width="15.42578125" customWidth="1"/>
    <col min="869" max="888" width="13.42578125" customWidth="1"/>
    <col min="889" max="889" width="20.85546875" customWidth="1"/>
    <col min="890" max="890" width="15.5703125" customWidth="1"/>
    <col min="891" max="894" width="13.42578125" customWidth="1"/>
    <col min="895" max="895" width="20.85546875" customWidth="1"/>
    <col min="1025" max="1025" width="6.42578125" customWidth="1"/>
    <col min="1026" max="1026" width="19.5703125" customWidth="1"/>
    <col min="1027" max="1027" width="13.42578125" customWidth="1"/>
    <col min="1028" max="1028" width="13.5703125" customWidth="1"/>
    <col min="1029" max="1030" width="20.85546875" customWidth="1"/>
    <col min="1031" max="1031" width="16.5703125" customWidth="1"/>
    <col min="1032" max="1032" width="21" customWidth="1"/>
    <col min="1033" max="1033" width="18.85546875" customWidth="1"/>
    <col min="1034" max="1034" width="19.42578125" customWidth="1"/>
    <col min="1035" max="1035" width="18.85546875" customWidth="1"/>
    <col min="1036" max="1036" width="18.140625" customWidth="1"/>
    <col min="1037" max="1038" width="20.85546875" customWidth="1"/>
    <col min="1039" max="1039" width="133.7109375" customWidth="1"/>
    <col min="1040" max="1040" width="19.7109375" customWidth="1"/>
    <col min="1041" max="1041" width="13.28515625" customWidth="1"/>
    <col min="1042" max="1042" width="14.42578125" customWidth="1"/>
    <col min="1043" max="1043" width="11" customWidth="1"/>
    <col min="1044" max="1044" width="13.42578125" customWidth="1"/>
    <col min="1045" max="1045" width="13.5703125" customWidth="1"/>
    <col min="1046" max="1046" width="17.5703125" customWidth="1"/>
    <col min="1047" max="1049" width="13.42578125" customWidth="1"/>
    <col min="1050" max="1050" width="12.7109375" customWidth="1"/>
    <col min="1051" max="1051" width="13.28515625" customWidth="1"/>
    <col min="1052" max="1052" width="17.140625" customWidth="1"/>
    <col min="1053" max="1054" width="13.42578125" customWidth="1"/>
    <col min="1055" max="1055" width="14.85546875" customWidth="1"/>
    <col min="1056" max="1056" width="13.140625" customWidth="1"/>
    <col min="1057" max="1057" width="14.85546875" customWidth="1"/>
    <col min="1058" max="1058" width="13" customWidth="1"/>
    <col min="1059" max="1060" width="15.5703125" customWidth="1"/>
    <col min="1061" max="1061" width="25.140625" customWidth="1"/>
    <col min="1062" max="1062" width="40.42578125" customWidth="1"/>
    <col min="1063" max="1063" width="19.140625" customWidth="1"/>
    <col min="1064" max="1064" width="17.85546875" customWidth="1"/>
    <col min="1065" max="1065" width="13.140625" customWidth="1"/>
    <col min="1066" max="1066" width="12" customWidth="1"/>
    <col min="1067" max="1067" width="13.85546875" customWidth="1"/>
    <col min="1068" max="1068" width="13.42578125" customWidth="1"/>
    <col min="1069" max="1069" width="19.5703125" customWidth="1"/>
    <col min="1070" max="1070" width="14.28515625" customWidth="1"/>
    <col min="1071" max="1071" width="22.85546875" customWidth="1"/>
    <col min="1072" max="1072" width="16" customWidth="1"/>
    <col min="1073" max="1073" width="14.5703125" customWidth="1"/>
    <col min="1074" max="1074" width="17.85546875" customWidth="1"/>
    <col min="1075" max="1075" width="13.42578125" customWidth="1"/>
    <col min="1076" max="1076" width="21.7109375" customWidth="1"/>
    <col min="1077" max="1077" width="18" customWidth="1"/>
    <col min="1078" max="1078" width="13.5703125" customWidth="1"/>
    <col min="1079" max="1079" width="16.42578125" customWidth="1"/>
    <col min="1080" max="1084" width="13.42578125" customWidth="1"/>
    <col min="1085" max="1085" width="12.7109375" customWidth="1"/>
    <col min="1086" max="1088" width="13.42578125" customWidth="1"/>
    <col min="1089" max="1089" width="14.5703125" customWidth="1"/>
    <col min="1090" max="1090" width="12.140625" customWidth="1"/>
    <col min="1091" max="1104" width="13.42578125" customWidth="1"/>
    <col min="1105" max="1105" width="17.42578125" customWidth="1"/>
    <col min="1106" max="1106" width="14.5703125" customWidth="1"/>
    <col min="1107" max="1115" width="13.42578125" customWidth="1"/>
    <col min="1116" max="1116" width="10.28515625" customWidth="1"/>
    <col min="1117" max="1122" width="13.42578125" customWidth="1"/>
    <col min="1123" max="1123" width="13.140625" customWidth="1"/>
    <col min="1124" max="1124" width="15.42578125" customWidth="1"/>
    <col min="1125" max="1144" width="13.42578125" customWidth="1"/>
    <col min="1145" max="1145" width="20.85546875" customWidth="1"/>
    <col min="1146" max="1146" width="15.5703125" customWidth="1"/>
    <col min="1147" max="1150" width="13.42578125" customWidth="1"/>
    <col min="1151" max="1151" width="20.85546875" customWidth="1"/>
    <col min="1281" max="1281" width="6.42578125" customWidth="1"/>
    <col min="1282" max="1282" width="19.5703125" customWidth="1"/>
    <col min="1283" max="1283" width="13.42578125" customWidth="1"/>
    <col min="1284" max="1284" width="13.5703125" customWidth="1"/>
    <col min="1285" max="1286" width="20.85546875" customWidth="1"/>
    <col min="1287" max="1287" width="16.5703125" customWidth="1"/>
    <col min="1288" max="1288" width="21" customWidth="1"/>
    <col min="1289" max="1289" width="18.85546875" customWidth="1"/>
    <col min="1290" max="1290" width="19.42578125" customWidth="1"/>
    <col min="1291" max="1291" width="18.85546875" customWidth="1"/>
    <col min="1292" max="1292" width="18.140625" customWidth="1"/>
    <col min="1293" max="1294" width="20.85546875" customWidth="1"/>
    <col min="1295" max="1295" width="133.7109375" customWidth="1"/>
    <col min="1296" max="1296" width="19.7109375" customWidth="1"/>
    <col min="1297" max="1297" width="13.28515625" customWidth="1"/>
    <col min="1298" max="1298" width="14.42578125" customWidth="1"/>
    <col min="1299" max="1299" width="11" customWidth="1"/>
    <col min="1300" max="1300" width="13.42578125" customWidth="1"/>
    <col min="1301" max="1301" width="13.5703125" customWidth="1"/>
    <col min="1302" max="1302" width="17.5703125" customWidth="1"/>
    <col min="1303" max="1305" width="13.42578125" customWidth="1"/>
    <col min="1306" max="1306" width="12.7109375" customWidth="1"/>
    <col min="1307" max="1307" width="13.28515625" customWidth="1"/>
    <col min="1308" max="1308" width="17.140625" customWidth="1"/>
    <col min="1309" max="1310" width="13.42578125" customWidth="1"/>
    <col min="1311" max="1311" width="14.85546875" customWidth="1"/>
    <col min="1312" max="1312" width="13.140625" customWidth="1"/>
    <col min="1313" max="1313" width="14.85546875" customWidth="1"/>
    <col min="1314" max="1314" width="13" customWidth="1"/>
    <col min="1315" max="1316" width="15.5703125" customWidth="1"/>
    <col min="1317" max="1317" width="25.140625" customWidth="1"/>
    <col min="1318" max="1318" width="40.42578125" customWidth="1"/>
    <col min="1319" max="1319" width="19.140625" customWidth="1"/>
    <col min="1320" max="1320" width="17.85546875" customWidth="1"/>
    <col min="1321" max="1321" width="13.140625" customWidth="1"/>
    <col min="1322" max="1322" width="12" customWidth="1"/>
    <col min="1323" max="1323" width="13.85546875" customWidth="1"/>
    <col min="1324" max="1324" width="13.42578125" customWidth="1"/>
    <col min="1325" max="1325" width="19.5703125" customWidth="1"/>
    <col min="1326" max="1326" width="14.28515625" customWidth="1"/>
    <col min="1327" max="1327" width="22.85546875" customWidth="1"/>
    <col min="1328" max="1328" width="16" customWidth="1"/>
    <col min="1329" max="1329" width="14.5703125" customWidth="1"/>
    <col min="1330" max="1330" width="17.85546875" customWidth="1"/>
    <col min="1331" max="1331" width="13.42578125" customWidth="1"/>
    <col min="1332" max="1332" width="21.7109375" customWidth="1"/>
    <col min="1333" max="1333" width="18" customWidth="1"/>
    <col min="1334" max="1334" width="13.5703125" customWidth="1"/>
    <col min="1335" max="1335" width="16.42578125" customWidth="1"/>
    <col min="1336" max="1340" width="13.42578125" customWidth="1"/>
    <col min="1341" max="1341" width="12.7109375" customWidth="1"/>
    <col min="1342" max="1344" width="13.42578125" customWidth="1"/>
    <col min="1345" max="1345" width="14.5703125" customWidth="1"/>
    <col min="1346" max="1346" width="12.140625" customWidth="1"/>
    <col min="1347" max="1360" width="13.42578125" customWidth="1"/>
    <col min="1361" max="1361" width="17.42578125" customWidth="1"/>
    <col min="1362" max="1362" width="14.5703125" customWidth="1"/>
    <col min="1363" max="1371" width="13.42578125" customWidth="1"/>
    <col min="1372" max="1372" width="10.28515625" customWidth="1"/>
    <col min="1373" max="1378" width="13.42578125" customWidth="1"/>
    <col min="1379" max="1379" width="13.140625" customWidth="1"/>
    <col min="1380" max="1380" width="15.42578125" customWidth="1"/>
    <col min="1381" max="1400" width="13.42578125" customWidth="1"/>
    <col min="1401" max="1401" width="20.85546875" customWidth="1"/>
    <col min="1402" max="1402" width="15.5703125" customWidth="1"/>
    <col min="1403" max="1406" width="13.42578125" customWidth="1"/>
    <col min="1407" max="1407" width="20.85546875" customWidth="1"/>
    <col min="1537" max="1537" width="6.42578125" customWidth="1"/>
    <col min="1538" max="1538" width="19.5703125" customWidth="1"/>
    <col min="1539" max="1539" width="13.42578125" customWidth="1"/>
    <col min="1540" max="1540" width="13.5703125" customWidth="1"/>
    <col min="1541" max="1542" width="20.85546875" customWidth="1"/>
    <col min="1543" max="1543" width="16.5703125" customWidth="1"/>
    <col min="1544" max="1544" width="21" customWidth="1"/>
    <col min="1545" max="1545" width="18.85546875" customWidth="1"/>
    <col min="1546" max="1546" width="19.42578125" customWidth="1"/>
    <col min="1547" max="1547" width="18.85546875" customWidth="1"/>
    <col min="1548" max="1548" width="18.140625" customWidth="1"/>
    <col min="1549" max="1550" width="20.85546875" customWidth="1"/>
    <col min="1551" max="1551" width="133.7109375" customWidth="1"/>
    <col min="1552" max="1552" width="19.7109375" customWidth="1"/>
    <col min="1553" max="1553" width="13.28515625" customWidth="1"/>
    <col min="1554" max="1554" width="14.42578125" customWidth="1"/>
    <col min="1555" max="1555" width="11" customWidth="1"/>
    <col min="1556" max="1556" width="13.42578125" customWidth="1"/>
    <col min="1557" max="1557" width="13.5703125" customWidth="1"/>
    <col min="1558" max="1558" width="17.5703125" customWidth="1"/>
    <col min="1559" max="1561" width="13.42578125" customWidth="1"/>
    <col min="1562" max="1562" width="12.7109375" customWidth="1"/>
    <col min="1563" max="1563" width="13.28515625" customWidth="1"/>
    <col min="1564" max="1564" width="17.140625" customWidth="1"/>
    <col min="1565" max="1566" width="13.42578125" customWidth="1"/>
    <col min="1567" max="1567" width="14.85546875" customWidth="1"/>
    <col min="1568" max="1568" width="13.140625" customWidth="1"/>
    <col min="1569" max="1569" width="14.85546875" customWidth="1"/>
    <col min="1570" max="1570" width="13" customWidth="1"/>
    <col min="1571" max="1572" width="15.5703125" customWidth="1"/>
    <col min="1573" max="1573" width="25.140625" customWidth="1"/>
    <col min="1574" max="1574" width="40.42578125" customWidth="1"/>
    <col min="1575" max="1575" width="19.140625" customWidth="1"/>
    <col min="1576" max="1576" width="17.85546875" customWidth="1"/>
    <col min="1577" max="1577" width="13.140625" customWidth="1"/>
    <col min="1578" max="1578" width="12" customWidth="1"/>
    <col min="1579" max="1579" width="13.85546875" customWidth="1"/>
    <col min="1580" max="1580" width="13.42578125" customWidth="1"/>
    <col min="1581" max="1581" width="19.5703125" customWidth="1"/>
    <col min="1582" max="1582" width="14.28515625" customWidth="1"/>
    <col min="1583" max="1583" width="22.85546875" customWidth="1"/>
    <col min="1584" max="1584" width="16" customWidth="1"/>
    <col min="1585" max="1585" width="14.5703125" customWidth="1"/>
    <col min="1586" max="1586" width="17.85546875" customWidth="1"/>
    <col min="1587" max="1587" width="13.42578125" customWidth="1"/>
    <col min="1588" max="1588" width="21.7109375" customWidth="1"/>
    <col min="1589" max="1589" width="18" customWidth="1"/>
    <col min="1590" max="1590" width="13.5703125" customWidth="1"/>
    <col min="1591" max="1591" width="16.42578125" customWidth="1"/>
    <col min="1592" max="1596" width="13.42578125" customWidth="1"/>
    <col min="1597" max="1597" width="12.7109375" customWidth="1"/>
    <col min="1598" max="1600" width="13.42578125" customWidth="1"/>
    <col min="1601" max="1601" width="14.5703125" customWidth="1"/>
    <col min="1602" max="1602" width="12.140625" customWidth="1"/>
    <col min="1603" max="1616" width="13.42578125" customWidth="1"/>
    <col min="1617" max="1617" width="17.42578125" customWidth="1"/>
    <col min="1618" max="1618" width="14.5703125" customWidth="1"/>
    <col min="1619" max="1627" width="13.42578125" customWidth="1"/>
    <col min="1628" max="1628" width="10.28515625" customWidth="1"/>
    <col min="1629" max="1634" width="13.42578125" customWidth="1"/>
    <col min="1635" max="1635" width="13.140625" customWidth="1"/>
    <col min="1636" max="1636" width="15.42578125" customWidth="1"/>
    <col min="1637" max="1656" width="13.42578125" customWidth="1"/>
    <col min="1657" max="1657" width="20.85546875" customWidth="1"/>
    <col min="1658" max="1658" width="15.5703125" customWidth="1"/>
    <col min="1659" max="1662" width="13.42578125" customWidth="1"/>
    <col min="1663" max="1663" width="20.85546875" customWidth="1"/>
    <col min="1793" max="1793" width="6.42578125" customWidth="1"/>
    <col min="1794" max="1794" width="19.5703125" customWidth="1"/>
    <col min="1795" max="1795" width="13.42578125" customWidth="1"/>
    <col min="1796" max="1796" width="13.5703125" customWidth="1"/>
    <col min="1797" max="1798" width="20.85546875" customWidth="1"/>
    <col min="1799" max="1799" width="16.5703125" customWidth="1"/>
    <col min="1800" max="1800" width="21" customWidth="1"/>
    <col min="1801" max="1801" width="18.85546875" customWidth="1"/>
    <col min="1802" max="1802" width="19.42578125" customWidth="1"/>
    <col min="1803" max="1803" width="18.85546875" customWidth="1"/>
    <col min="1804" max="1804" width="18.140625" customWidth="1"/>
    <col min="1805" max="1806" width="20.85546875" customWidth="1"/>
    <col min="1807" max="1807" width="133.7109375" customWidth="1"/>
    <col min="1808" max="1808" width="19.7109375" customWidth="1"/>
    <col min="1809" max="1809" width="13.28515625" customWidth="1"/>
    <col min="1810" max="1810" width="14.42578125" customWidth="1"/>
    <col min="1811" max="1811" width="11" customWidth="1"/>
    <col min="1812" max="1812" width="13.42578125" customWidth="1"/>
    <col min="1813" max="1813" width="13.5703125" customWidth="1"/>
    <col min="1814" max="1814" width="17.5703125" customWidth="1"/>
    <col min="1815" max="1817" width="13.42578125" customWidth="1"/>
    <col min="1818" max="1818" width="12.7109375" customWidth="1"/>
    <col min="1819" max="1819" width="13.28515625" customWidth="1"/>
    <col min="1820" max="1820" width="17.140625" customWidth="1"/>
    <col min="1821" max="1822" width="13.42578125" customWidth="1"/>
    <col min="1823" max="1823" width="14.85546875" customWidth="1"/>
    <col min="1824" max="1824" width="13.140625" customWidth="1"/>
    <col min="1825" max="1825" width="14.85546875" customWidth="1"/>
    <col min="1826" max="1826" width="13" customWidth="1"/>
    <col min="1827" max="1828" width="15.5703125" customWidth="1"/>
    <col min="1829" max="1829" width="25.140625" customWidth="1"/>
    <col min="1830" max="1830" width="40.42578125" customWidth="1"/>
    <col min="1831" max="1831" width="19.140625" customWidth="1"/>
    <col min="1832" max="1832" width="17.85546875" customWidth="1"/>
    <col min="1833" max="1833" width="13.140625" customWidth="1"/>
    <col min="1834" max="1834" width="12" customWidth="1"/>
    <col min="1835" max="1835" width="13.85546875" customWidth="1"/>
    <col min="1836" max="1836" width="13.42578125" customWidth="1"/>
    <col min="1837" max="1837" width="19.5703125" customWidth="1"/>
    <col min="1838" max="1838" width="14.28515625" customWidth="1"/>
    <col min="1839" max="1839" width="22.85546875" customWidth="1"/>
    <col min="1840" max="1840" width="16" customWidth="1"/>
    <col min="1841" max="1841" width="14.5703125" customWidth="1"/>
    <col min="1842" max="1842" width="17.85546875" customWidth="1"/>
    <col min="1843" max="1843" width="13.42578125" customWidth="1"/>
    <col min="1844" max="1844" width="21.7109375" customWidth="1"/>
    <col min="1845" max="1845" width="18" customWidth="1"/>
    <col min="1846" max="1846" width="13.5703125" customWidth="1"/>
    <col min="1847" max="1847" width="16.42578125" customWidth="1"/>
    <col min="1848" max="1852" width="13.42578125" customWidth="1"/>
    <col min="1853" max="1853" width="12.7109375" customWidth="1"/>
    <col min="1854" max="1856" width="13.42578125" customWidth="1"/>
    <col min="1857" max="1857" width="14.5703125" customWidth="1"/>
    <col min="1858" max="1858" width="12.140625" customWidth="1"/>
    <col min="1859" max="1872" width="13.42578125" customWidth="1"/>
    <col min="1873" max="1873" width="17.42578125" customWidth="1"/>
    <col min="1874" max="1874" width="14.5703125" customWidth="1"/>
    <col min="1875" max="1883" width="13.42578125" customWidth="1"/>
    <col min="1884" max="1884" width="10.28515625" customWidth="1"/>
    <col min="1885" max="1890" width="13.42578125" customWidth="1"/>
    <col min="1891" max="1891" width="13.140625" customWidth="1"/>
    <col min="1892" max="1892" width="15.42578125" customWidth="1"/>
    <col min="1893" max="1912" width="13.42578125" customWidth="1"/>
    <col min="1913" max="1913" width="20.85546875" customWidth="1"/>
    <col min="1914" max="1914" width="15.5703125" customWidth="1"/>
    <col min="1915" max="1918" width="13.42578125" customWidth="1"/>
    <col min="1919" max="1919" width="20.85546875" customWidth="1"/>
    <col min="2049" max="2049" width="6.42578125" customWidth="1"/>
    <col min="2050" max="2050" width="19.5703125" customWidth="1"/>
    <col min="2051" max="2051" width="13.42578125" customWidth="1"/>
    <col min="2052" max="2052" width="13.5703125" customWidth="1"/>
    <col min="2053" max="2054" width="20.85546875" customWidth="1"/>
    <col min="2055" max="2055" width="16.5703125" customWidth="1"/>
    <col min="2056" max="2056" width="21" customWidth="1"/>
    <col min="2057" max="2057" width="18.85546875" customWidth="1"/>
    <col min="2058" max="2058" width="19.42578125" customWidth="1"/>
    <col min="2059" max="2059" width="18.85546875" customWidth="1"/>
    <col min="2060" max="2060" width="18.140625" customWidth="1"/>
    <col min="2061" max="2062" width="20.85546875" customWidth="1"/>
    <col min="2063" max="2063" width="133.7109375" customWidth="1"/>
    <col min="2064" max="2064" width="19.7109375" customWidth="1"/>
    <col min="2065" max="2065" width="13.28515625" customWidth="1"/>
    <col min="2066" max="2066" width="14.42578125" customWidth="1"/>
    <col min="2067" max="2067" width="11" customWidth="1"/>
    <col min="2068" max="2068" width="13.42578125" customWidth="1"/>
    <col min="2069" max="2069" width="13.5703125" customWidth="1"/>
    <col min="2070" max="2070" width="17.5703125" customWidth="1"/>
    <col min="2071" max="2073" width="13.42578125" customWidth="1"/>
    <col min="2074" max="2074" width="12.7109375" customWidth="1"/>
    <col min="2075" max="2075" width="13.28515625" customWidth="1"/>
    <col min="2076" max="2076" width="17.140625" customWidth="1"/>
    <col min="2077" max="2078" width="13.42578125" customWidth="1"/>
    <col min="2079" max="2079" width="14.85546875" customWidth="1"/>
    <col min="2080" max="2080" width="13.140625" customWidth="1"/>
    <col min="2081" max="2081" width="14.85546875" customWidth="1"/>
    <col min="2082" max="2082" width="13" customWidth="1"/>
    <col min="2083" max="2084" width="15.5703125" customWidth="1"/>
    <col min="2085" max="2085" width="25.140625" customWidth="1"/>
    <col min="2086" max="2086" width="40.42578125" customWidth="1"/>
    <col min="2087" max="2087" width="19.140625" customWidth="1"/>
    <col min="2088" max="2088" width="17.85546875" customWidth="1"/>
    <col min="2089" max="2089" width="13.140625" customWidth="1"/>
    <col min="2090" max="2090" width="12" customWidth="1"/>
    <col min="2091" max="2091" width="13.85546875" customWidth="1"/>
    <col min="2092" max="2092" width="13.42578125" customWidth="1"/>
    <col min="2093" max="2093" width="19.5703125" customWidth="1"/>
    <col min="2094" max="2094" width="14.28515625" customWidth="1"/>
    <col min="2095" max="2095" width="22.85546875" customWidth="1"/>
    <col min="2096" max="2096" width="16" customWidth="1"/>
    <col min="2097" max="2097" width="14.5703125" customWidth="1"/>
    <col min="2098" max="2098" width="17.85546875" customWidth="1"/>
    <col min="2099" max="2099" width="13.42578125" customWidth="1"/>
    <col min="2100" max="2100" width="21.7109375" customWidth="1"/>
    <col min="2101" max="2101" width="18" customWidth="1"/>
    <col min="2102" max="2102" width="13.5703125" customWidth="1"/>
    <col min="2103" max="2103" width="16.42578125" customWidth="1"/>
    <col min="2104" max="2108" width="13.42578125" customWidth="1"/>
    <col min="2109" max="2109" width="12.7109375" customWidth="1"/>
    <col min="2110" max="2112" width="13.42578125" customWidth="1"/>
    <col min="2113" max="2113" width="14.5703125" customWidth="1"/>
    <col min="2114" max="2114" width="12.140625" customWidth="1"/>
    <col min="2115" max="2128" width="13.42578125" customWidth="1"/>
    <col min="2129" max="2129" width="17.42578125" customWidth="1"/>
    <col min="2130" max="2130" width="14.5703125" customWidth="1"/>
    <col min="2131" max="2139" width="13.42578125" customWidth="1"/>
    <col min="2140" max="2140" width="10.28515625" customWidth="1"/>
    <col min="2141" max="2146" width="13.42578125" customWidth="1"/>
    <col min="2147" max="2147" width="13.140625" customWidth="1"/>
    <col min="2148" max="2148" width="15.42578125" customWidth="1"/>
    <col min="2149" max="2168" width="13.42578125" customWidth="1"/>
    <col min="2169" max="2169" width="20.85546875" customWidth="1"/>
    <col min="2170" max="2170" width="15.5703125" customWidth="1"/>
    <col min="2171" max="2174" width="13.42578125" customWidth="1"/>
    <col min="2175" max="2175" width="20.85546875" customWidth="1"/>
    <col min="2305" max="2305" width="6.42578125" customWidth="1"/>
    <col min="2306" max="2306" width="19.5703125" customWidth="1"/>
    <col min="2307" max="2307" width="13.42578125" customWidth="1"/>
    <col min="2308" max="2308" width="13.5703125" customWidth="1"/>
    <col min="2309" max="2310" width="20.85546875" customWidth="1"/>
    <col min="2311" max="2311" width="16.5703125" customWidth="1"/>
    <col min="2312" max="2312" width="21" customWidth="1"/>
    <col min="2313" max="2313" width="18.85546875" customWidth="1"/>
    <col min="2314" max="2314" width="19.42578125" customWidth="1"/>
    <col min="2315" max="2315" width="18.85546875" customWidth="1"/>
    <col min="2316" max="2316" width="18.140625" customWidth="1"/>
    <col min="2317" max="2318" width="20.85546875" customWidth="1"/>
    <col min="2319" max="2319" width="133.7109375" customWidth="1"/>
    <col min="2320" max="2320" width="19.7109375" customWidth="1"/>
    <col min="2321" max="2321" width="13.28515625" customWidth="1"/>
    <col min="2322" max="2322" width="14.42578125" customWidth="1"/>
    <col min="2323" max="2323" width="11" customWidth="1"/>
    <col min="2324" max="2324" width="13.42578125" customWidth="1"/>
    <col min="2325" max="2325" width="13.5703125" customWidth="1"/>
    <col min="2326" max="2326" width="17.5703125" customWidth="1"/>
    <col min="2327" max="2329" width="13.42578125" customWidth="1"/>
    <col min="2330" max="2330" width="12.7109375" customWidth="1"/>
    <col min="2331" max="2331" width="13.28515625" customWidth="1"/>
    <col min="2332" max="2332" width="17.140625" customWidth="1"/>
    <col min="2333" max="2334" width="13.42578125" customWidth="1"/>
    <col min="2335" max="2335" width="14.85546875" customWidth="1"/>
    <col min="2336" max="2336" width="13.140625" customWidth="1"/>
    <col min="2337" max="2337" width="14.85546875" customWidth="1"/>
    <col min="2338" max="2338" width="13" customWidth="1"/>
    <col min="2339" max="2340" width="15.5703125" customWidth="1"/>
    <col min="2341" max="2341" width="25.140625" customWidth="1"/>
    <col min="2342" max="2342" width="40.42578125" customWidth="1"/>
    <col min="2343" max="2343" width="19.140625" customWidth="1"/>
    <col min="2344" max="2344" width="17.85546875" customWidth="1"/>
    <col min="2345" max="2345" width="13.140625" customWidth="1"/>
    <col min="2346" max="2346" width="12" customWidth="1"/>
    <col min="2347" max="2347" width="13.85546875" customWidth="1"/>
    <col min="2348" max="2348" width="13.42578125" customWidth="1"/>
    <col min="2349" max="2349" width="19.5703125" customWidth="1"/>
    <col min="2350" max="2350" width="14.28515625" customWidth="1"/>
    <col min="2351" max="2351" width="22.85546875" customWidth="1"/>
    <col min="2352" max="2352" width="16" customWidth="1"/>
    <col min="2353" max="2353" width="14.5703125" customWidth="1"/>
    <col min="2354" max="2354" width="17.85546875" customWidth="1"/>
    <col min="2355" max="2355" width="13.42578125" customWidth="1"/>
    <col min="2356" max="2356" width="21.7109375" customWidth="1"/>
    <col min="2357" max="2357" width="18" customWidth="1"/>
    <col min="2358" max="2358" width="13.5703125" customWidth="1"/>
    <col min="2359" max="2359" width="16.42578125" customWidth="1"/>
    <col min="2360" max="2364" width="13.42578125" customWidth="1"/>
    <col min="2365" max="2365" width="12.7109375" customWidth="1"/>
    <col min="2366" max="2368" width="13.42578125" customWidth="1"/>
    <col min="2369" max="2369" width="14.5703125" customWidth="1"/>
    <col min="2370" max="2370" width="12.140625" customWidth="1"/>
    <col min="2371" max="2384" width="13.42578125" customWidth="1"/>
    <col min="2385" max="2385" width="17.42578125" customWidth="1"/>
    <col min="2386" max="2386" width="14.5703125" customWidth="1"/>
    <col min="2387" max="2395" width="13.42578125" customWidth="1"/>
    <col min="2396" max="2396" width="10.28515625" customWidth="1"/>
    <col min="2397" max="2402" width="13.42578125" customWidth="1"/>
    <col min="2403" max="2403" width="13.140625" customWidth="1"/>
    <col min="2404" max="2404" width="15.42578125" customWidth="1"/>
    <col min="2405" max="2424" width="13.42578125" customWidth="1"/>
    <col min="2425" max="2425" width="20.85546875" customWidth="1"/>
    <col min="2426" max="2426" width="15.5703125" customWidth="1"/>
    <col min="2427" max="2430" width="13.42578125" customWidth="1"/>
    <col min="2431" max="2431" width="20.85546875" customWidth="1"/>
    <col min="2561" max="2561" width="6.42578125" customWidth="1"/>
    <col min="2562" max="2562" width="19.5703125" customWidth="1"/>
    <col min="2563" max="2563" width="13.42578125" customWidth="1"/>
    <col min="2564" max="2564" width="13.5703125" customWidth="1"/>
    <col min="2565" max="2566" width="20.85546875" customWidth="1"/>
    <col min="2567" max="2567" width="16.5703125" customWidth="1"/>
    <col min="2568" max="2568" width="21" customWidth="1"/>
    <col min="2569" max="2569" width="18.85546875" customWidth="1"/>
    <col min="2570" max="2570" width="19.42578125" customWidth="1"/>
    <col min="2571" max="2571" width="18.85546875" customWidth="1"/>
    <col min="2572" max="2572" width="18.140625" customWidth="1"/>
    <col min="2573" max="2574" width="20.85546875" customWidth="1"/>
    <col min="2575" max="2575" width="133.7109375" customWidth="1"/>
    <col min="2576" max="2576" width="19.7109375" customWidth="1"/>
    <col min="2577" max="2577" width="13.28515625" customWidth="1"/>
    <col min="2578" max="2578" width="14.42578125" customWidth="1"/>
    <col min="2579" max="2579" width="11" customWidth="1"/>
    <col min="2580" max="2580" width="13.42578125" customWidth="1"/>
    <col min="2581" max="2581" width="13.5703125" customWidth="1"/>
    <col min="2582" max="2582" width="17.5703125" customWidth="1"/>
    <col min="2583" max="2585" width="13.42578125" customWidth="1"/>
    <col min="2586" max="2586" width="12.7109375" customWidth="1"/>
    <col min="2587" max="2587" width="13.28515625" customWidth="1"/>
    <col min="2588" max="2588" width="17.140625" customWidth="1"/>
    <col min="2589" max="2590" width="13.42578125" customWidth="1"/>
    <col min="2591" max="2591" width="14.85546875" customWidth="1"/>
    <col min="2592" max="2592" width="13.140625" customWidth="1"/>
    <col min="2593" max="2593" width="14.85546875" customWidth="1"/>
    <col min="2594" max="2594" width="13" customWidth="1"/>
    <col min="2595" max="2596" width="15.5703125" customWidth="1"/>
    <col min="2597" max="2597" width="25.140625" customWidth="1"/>
    <col min="2598" max="2598" width="40.42578125" customWidth="1"/>
    <col min="2599" max="2599" width="19.140625" customWidth="1"/>
    <col min="2600" max="2600" width="17.85546875" customWidth="1"/>
    <col min="2601" max="2601" width="13.140625" customWidth="1"/>
    <col min="2602" max="2602" width="12" customWidth="1"/>
    <col min="2603" max="2603" width="13.85546875" customWidth="1"/>
    <col min="2604" max="2604" width="13.42578125" customWidth="1"/>
    <col min="2605" max="2605" width="19.5703125" customWidth="1"/>
    <col min="2606" max="2606" width="14.28515625" customWidth="1"/>
    <col min="2607" max="2607" width="22.85546875" customWidth="1"/>
    <col min="2608" max="2608" width="16" customWidth="1"/>
    <col min="2609" max="2609" width="14.5703125" customWidth="1"/>
    <col min="2610" max="2610" width="17.85546875" customWidth="1"/>
    <col min="2611" max="2611" width="13.42578125" customWidth="1"/>
    <col min="2612" max="2612" width="21.7109375" customWidth="1"/>
    <col min="2613" max="2613" width="18" customWidth="1"/>
    <col min="2614" max="2614" width="13.5703125" customWidth="1"/>
    <col min="2615" max="2615" width="16.42578125" customWidth="1"/>
    <col min="2616" max="2620" width="13.42578125" customWidth="1"/>
    <col min="2621" max="2621" width="12.7109375" customWidth="1"/>
    <col min="2622" max="2624" width="13.42578125" customWidth="1"/>
    <col min="2625" max="2625" width="14.5703125" customWidth="1"/>
    <col min="2626" max="2626" width="12.140625" customWidth="1"/>
    <col min="2627" max="2640" width="13.42578125" customWidth="1"/>
    <col min="2641" max="2641" width="17.42578125" customWidth="1"/>
    <col min="2642" max="2642" width="14.5703125" customWidth="1"/>
    <col min="2643" max="2651" width="13.42578125" customWidth="1"/>
    <col min="2652" max="2652" width="10.28515625" customWidth="1"/>
    <col min="2653" max="2658" width="13.42578125" customWidth="1"/>
    <col min="2659" max="2659" width="13.140625" customWidth="1"/>
    <col min="2660" max="2660" width="15.42578125" customWidth="1"/>
    <col min="2661" max="2680" width="13.42578125" customWidth="1"/>
    <col min="2681" max="2681" width="20.85546875" customWidth="1"/>
    <col min="2682" max="2682" width="15.5703125" customWidth="1"/>
    <col min="2683" max="2686" width="13.42578125" customWidth="1"/>
    <col min="2687" max="2687" width="20.85546875" customWidth="1"/>
    <col min="2817" max="2817" width="6.42578125" customWidth="1"/>
    <col min="2818" max="2818" width="19.5703125" customWidth="1"/>
    <col min="2819" max="2819" width="13.42578125" customWidth="1"/>
    <col min="2820" max="2820" width="13.5703125" customWidth="1"/>
    <col min="2821" max="2822" width="20.85546875" customWidth="1"/>
    <col min="2823" max="2823" width="16.5703125" customWidth="1"/>
    <col min="2824" max="2824" width="21" customWidth="1"/>
    <col min="2825" max="2825" width="18.85546875" customWidth="1"/>
    <col min="2826" max="2826" width="19.42578125" customWidth="1"/>
    <col min="2827" max="2827" width="18.85546875" customWidth="1"/>
    <col min="2828" max="2828" width="18.140625" customWidth="1"/>
    <col min="2829" max="2830" width="20.85546875" customWidth="1"/>
    <col min="2831" max="2831" width="133.7109375" customWidth="1"/>
    <col min="2832" max="2832" width="19.7109375" customWidth="1"/>
    <col min="2833" max="2833" width="13.28515625" customWidth="1"/>
    <col min="2834" max="2834" width="14.42578125" customWidth="1"/>
    <col min="2835" max="2835" width="11" customWidth="1"/>
    <col min="2836" max="2836" width="13.42578125" customWidth="1"/>
    <col min="2837" max="2837" width="13.5703125" customWidth="1"/>
    <col min="2838" max="2838" width="17.5703125" customWidth="1"/>
    <col min="2839" max="2841" width="13.42578125" customWidth="1"/>
    <col min="2842" max="2842" width="12.7109375" customWidth="1"/>
    <col min="2843" max="2843" width="13.28515625" customWidth="1"/>
    <col min="2844" max="2844" width="17.140625" customWidth="1"/>
    <col min="2845" max="2846" width="13.42578125" customWidth="1"/>
    <col min="2847" max="2847" width="14.85546875" customWidth="1"/>
    <col min="2848" max="2848" width="13.140625" customWidth="1"/>
    <col min="2849" max="2849" width="14.85546875" customWidth="1"/>
    <col min="2850" max="2850" width="13" customWidth="1"/>
    <col min="2851" max="2852" width="15.5703125" customWidth="1"/>
    <col min="2853" max="2853" width="25.140625" customWidth="1"/>
    <col min="2854" max="2854" width="40.42578125" customWidth="1"/>
    <col min="2855" max="2855" width="19.140625" customWidth="1"/>
    <col min="2856" max="2856" width="17.85546875" customWidth="1"/>
    <col min="2857" max="2857" width="13.140625" customWidth="1"/>
    <col min="2858" max="2858" width="12" customWidth="1"/>
    <col min="2859" max="2859" width="13.85546875" customWidth="1"/>
    <col min="2860" max="2860" width="13.42578125" customWidth="1"/>
    <col min="2861" max="2861" width="19.5703125" customWidth="1"/>
    <col min="2862" max="2862" width="14.28515625" customWidth="1"/>
    <col min="2863" max="2863" width="22.85546875" customWidth="1"/>
    <col min="2864" max="2864" width="16" customWidth="1"/>
    <col min="2865" max="2865" width="14.5703125" customWidth="1"/>
    <col min="2866" max="2866" width="17.85546875" customWidth="1"/>
    <col min="2867" max="2867" width="13.42578125" customWidth="1"/>
    <col min="2868" max="2868" width="21.7109375" customWidth="1"/>
    <col min="2869" max="2869" width="18" customWidth="1"/>
    <col min="2870" max="2870" width="13.5703125" customWidth="1"/>
    <col min="2871" max="2871" width="16.42578125" customWidth="1"/>
    <col min="2872" max="2876" width="13.42578125" customWidth="1"/>
    <col min="2877" max="2877" width="12.7109375" customWidth="1"/>
    <col min="2878" max="2880" width="13.42578125" customWidth="1"/>
    <col min="2881" max="2881" width="14.5703125" customWidth="1"/>
    <col min="2882" max="2882" width="12.140625" customWidth="1"/>
    <col min="2883" max="2896" width="13.42578125" customWidth="1"/>
    <col min="2897" max="2897" width="17.42578125" customWidth="1"/>
    <col min="2898" max="2898" width="14.5703125" customWidth="1"/>
    <col min="2899" max="2907" width="13.42578125" customWidth="1"/>
    <col min="2908" max="2908" width="10.28515625" customWidth="1"/>
    <col min="2909" max="2914" width="13.42578125" customWidth="1"/>
    <col min="2915" max="2915" width="13.140625" customWidth="1"/>
    <col min="2916" max="2916" width="15.42578125" customWidth="1"/>
    <col min="2917" max="2936" width="13.42578125" customWidth="1"/>
    <col min="2937" max="2937" width="20.85546875" customWidth="1"/>
    <col min="2938" max="2938" width="15.5703125" customWidth="1"/>
    <col min="2939" max="2942" width="13.42578125" customWidth="1"/>
    <col min="2943" max="2943" width="20.85546875" customWidth="1"/>
    <col min="3073" max="3073" width="6.42578125" customWidth="1"/>
    <col min="3074" max="3074" width="19.5703125" customWidth="1"/>
    <col min="3075" max="3075" width="13.42578125" customWidth="1"/>
    <col min="3076" max="3076" width="13.5703125" customWidth="1"/>
    <col min="3077" max="3078" width="20.85546875" customWidth="1"/>
    <col min="3079" max="3079" width="16.5703125" customWidth="1"/>
    <col min="3080" max="3080" width="21" customWidth="1"/>
    <col min="3081" max="3081" width="18.85546875" customWidth="1"/>
    <col min="3082" max="3082" width="19.42578125" customWidth="1"/>
    <col min="3083" max="3083" width="18.85546875" customWidth="1"/>
    <col min="3084" max="3084" width="18.140625" customWidth="1"/>
    <col min="3085" max="3086" width="20.85546875" customWidth="1"/>
    <col min="3087" max="3087" width="133.7109375" customWidth="1"/>
    <col min="3088" max="3088" width="19.7109375" customWidth="1"/>
    <col min="3089" max="3089" width="13.28515625" customWidth="1"/>
    <col min="3090" max="3090" width="14.42578125" customWidth="1"/>
    <col min="3091" max="3091" width="11" customWidth="1"/>
    <col min="3092" max="3092" width="13.42578125" customWidth="1"/>
    <col min="3093" max="3093" width="13.5703125" customWidth="1"/>
    <col min="3094" max="3094" width="17.5703125" customWidth="1"/>
    <col min="3095" max="3097" width="13.42578125" customWidth="1"/>
    <col min="3098" max="3098" width="12.7109375" customWidth="1"/>
    <col min="3099" max="3099" width="13.28515625" customWidth="1"/>
    <col min="3100" max="3100" width="17.140625" customWidth="1"/>
    <col min="3101" max="3102" width="13.42578125" customWidth="1"/>
    <col min="3103" max="3103" width="14.85546875" customWidth="1"/>
    <col min="3104" max="3104" width="13.140625" customWidth="1"/>
    <col min="3105" max="3105" width="14.85546875" customWidth="1"/>
    <col min="3106" max="3106" width="13" customWidth="1"/>
    <col min="3107" max="3108" width="15.5703125" customWidth="1"/>
    <col min="3109" max="3109" width="25.140625" customWidth="1"/>
    <col min="3110" max="3110" width="40.42578125" customWidth="1"/>
    <col min="3111" max="3111" width="19.140625" customWidth="1"/>
    <col min="3112" max="3112" width="17.85546875" customWidth="1"/>
    <col min="3113" max="3113" width="13.140625" customWidth="1"/>
    <col min="3114" max="3114" width="12" customWidth="1"/>
    <col min="3115" max="3115" width="13.85546875" customWidth="1"/>
    <col min="3116" max="3116" width="13.42578125" customWidth="1"/>
    <col min="3117" max="3117" width="19.5703125" customWidth="1"/>
    <col min="3118" max="3118" width="14.28515625" customWidth="1"/>
    <col min="3119" max="3119" width="22.85546875" customWidth="1"/>
    <col min="3120" max="3120" width="16" customWidth="1"/>
    <col min="3121" max="3121" width="14.5703125" customWidth="1"/>
    <col min="3122" max="3122" width="17.85546875" customWidth="1"/>
    <col min="3123" max="3123" width="13.42578125" customWidth="1"/>
    <col min="3124" max="3124" width="21.7109375" customWidth="1"/>
    <col min="3125" max="3125" width="18" customWidth="1"/>
    <col min="3126" max="3126" width="13.5703125" customWidth="1"/>
    <col min="3127" max="3127" width="16.42578125" customWidth="1"/>
    <col min="3128" max="3132" width="13.42578125" customWidth="1"/>
    <col min="3133" max="3133" width="12.7109375" customWidth="1"/>
    <col min="3134" max="3136" width="13.42578125" customWidth="1"/>
    <col min="3137" max="3137" width="14.5703125" customWidth="1"/>
    <col min="3138" max="3138" width="12.140625" customWidth="1"/>
    <col min="3139" max="3152" width="13.42578125" customWidth="1"/>
    <col min="3153" max="3153" width="17.42578125" customWidth="1"/>
    <col min="3154" max="3154" width="14.5703125" customWidth="1"/>
    <col min="3155" max="3163" width="13.42578125" customWidth="1"/>
    <col min="3164" max="3164" width="10.28515625" customWidth="1"/>
    <col min="3165" max="3170" width="13.42578125" customWidth="1"/>
    <col min="3171" max="3171" width="13.140625" customWidth="1"/>
    <col min="3172" max="3172" width="15.42578125" customWidth="1"/>
    <col min="3173" max="3192" width="13.42578125" customWidth="1"/>
    <col min="3193" max="3193" width="20.85546875" customWidth="1"/>
    <col min="3194" max="3194" width="15.5703125" customWidth="1"/>
    <col min="3195" max="3198" width="13.42578125" customWidth="1"/>
    <col min="3199" max="3199" width="20.85546875" customWidth="1"/>
    <col min="3329" max="3329" width="6.42578125" customWidth="1"/>
    <col min="3330" max="3330" width="19.5703125" customWidth="1"/>
    <col min="3331" max="3331" width="13.42578125" customWidth="1"/>
    <col min="3332" max="3332" width="13.5703125" customWidth="1"/>
    <col min="3333" max="3334" width="20.85546875" customWidth="1"/>
    <col min="3335" max="3335" width="16.5703125" customWidth="1"/>
    <col min="3336" max="3336" width="21" customWidth="1"/>
    <col min="3337" max="3337" width="18.85546875" customWidth="1"/>
    <col min="3338" max="3338" width="19.42578125" customWidth="1"/>
    <col min="3339" max="3339" width="18.85546875" customWidth="1"/>
    <col min="3340" max="3340" width="18.140625" customWidth="1"/>
    <col min="3341" max="3342" width="20.85546875" customWidth="1"/>
    <col min="3343" max="3343" width="133.7109375" customWidth="1"/>
    <col min="3344" max="3344" width="19.7109375" customWidth="1"/>
    <col min="3345" max="3345" width="13.28515625" customWidth="1"/>
    <col min="3346" max="3346" width="14.42578125" customWidth="1"/>
    <col min="3347" max="3347" width="11" customWidth="1"/>
    <col min="3348" max="3348" width="13.42578125" customWidth="1"/>
    <col min="3349" max="3349" width="13.5703125" customWidth="1"/>
    <col min="3350" max="3350" width="17.5703125" customWidth="1"/>
    <col min="3351" max="3353" width="13.42578125" customWidth="1"/>
    <col min="3354" max="3354" width="12.7109375" customWidth="1"/>
    <col min="3355" max="3355" width="13.28515625" customWidth="1"/>
    <col min="3356" max="3356" width="17.140625" customWidth="1"/>
    <col min="3357" max="3358" width="13.42578125" customWidth="1"/>
    <col min="3359" max="3359" width="14.85546875" customWidth="1"/>
    <col min="3360" max="3360" width="13.140625" customWidth="1"/>
    <col min="3361" max="3361" width="14.85546875" customWidth="1"/>
    <col min="3362" max="3362" width="13" customWidth="1"/>
    <col min="3363" max="3364" width="15.5703125" customWidth="1"/>
    <col min="3365" max="3365" width="25.140625" customWidth="1"/>
    <col min="3366" max="3366" width="40.42578125" customWidth="1"/>
    <col min="3367" max="3367" width="19.140625" customWidth="1"/>
    <col min="3368" max="3368" width="17.85546875" customWidth="1"/>
    <col min="3369" max="3369" width="13.140625" customWidth="1"/>
    <col min="3370" max="3370" width="12" customWidth="1"/>
    <col min="3371" max="3371" width="13.85546875" customWidth="1"/>
    <col min="3372" max="3372" width="13.42578125" customWidth="1"/>
    <col min="3373" max="3373" width="19.5703125" customWidth="1"/>
    <col min="3374" max="3374" width="14.28515625" customWidth="1"/>
    <col min="3375" max="3375" width="22.85546875" customWidth="1"/>
    <col min="3376" max="3376" width="16" customWidth="1"/>
    <col min="3377" max="3377" width="14.5703125" customWidth="1"/>
    <col min="3378" max="3378" width="17.85546875" customWidth="1"/>
    <col min="3379" max="3379" width="13.42578125" customWidth="1"/>
    <col min="3380" max="3380" width="21.7109375" customWidth="1"/>
    <col min="3381" max="3381" width="18" customWidth="1"/>
    <col min="3382" max="3382" width="13.5703125" customWidth="1"/>
    <col min="3383" max="3383" width="16.42578125" customWidth="1"/>
    <col min="3384" max="3388" width="13.42578125" customWidth="1"/>
    <col min="3389" max="3389" width="12.7109375" customWidth="1"/>
    <col min="3390" max="3392" width="13.42578125" customWidth="1"/>
    <col min="3393" max="3393" width="14.5703125" customWidth="1"/>
    <col min="3394" max="3394" width="12.140625" customWidth="1"/>
    <col min="3395" max="3408" width="13.42578125" customWidth="1"/>
    <col min="3409" max="3409" width="17.42578125" customWidth="1"/>
    <col min="3410" max="3410" width="14.5703125" customWidth="1"/>
    <col min="3411" max="3419" width="13.42578125" customWidth="1"/>
    <col min="3420" max="3420" width="10.28515625" customWidth="1"/>
    <col min="3421" max="3426" width="13.42578125" customWidth="1"/>
    <col min="3427" max="3427" width="13.140625" customWidth="1"/>
    <col min="3428" max="3428" width="15.42578125" customWidth="1"/>
    <col min="3429" max="3448" width="13.42578125" customWidth="1"/>
    <col min="3449" max="3449" width="20.85546875" customWidth="1"/>
    <col min="3450" max="3450" width="15.5703125" customWidth="1"/>
    <col min="3451" max="3454" width="13.42578125" customWidth="1"/>
    <col min="3455" max="3455" width="20.85546875" customWidth="1"/>
    <col min="3585" max="3585" width="6.42578125" customWidth="1"/>
    <col min="3586" max="3586" width="19.5703125" customWidth="1"/>
    <col min="3587" max="3587" width="13.42578125" customWidth="1"/>
    <col min="3588" max="3588" width="13.5703125" customWidth="1"/>
    <col min="3589" max="3590" width="20.85546875" customWidth="1"/>
    <col min="3591" max="3591" width="16.5703125" customWidth="1"/>
    <col min="3592" max="3592" width="21" customWidth="1"/>
    <col min="3593" max="3593" width="18.85546875" customWidth="1"/>
    <col min="3594" max="3594" width="19.42578125" customWidth="1"/>
    <col min="3595" max="3595" width="18.85546875" customWidth="1"/>
    <col min="3596" max="3596" width="18.140625" customWidth="1"/>
    <col min="3597" max="3598" width="20.85546875" customWidth="1"/>
    <col min="3599" max="3599" width="133.7109375" customWidth="1"/>
    <col min="3600" max="3600" width="19.7109375" customWidth="1"/>
    <col min="3601" max="3601" width="13.28515625" customWidth="1"/>
    <col min="3602" max="3602" width="14.42578125" customWidth="1"/>
    <col min="3603" max="3603" width="11" customWidth="1"/>
    <col min="3604" max="3604" width="13.42578125" customWidth="1"/>
    <col min="3605" max="3605" width="13.5703125" customWidth="1"/>
    <col min="3606" max="3606" width="17.5703125" customWidth="1"/>
    <col min="3607" max="3609" width="13.42578125" customWidth="1"/>
    <col min="3610" max="3610" width="12.7109375" customWidth="1"/>
    <col min="3611" max="3611" width="13.28515625" customWidth="1"/>
    <col min="3612" max="3612" width="17.140625" customWidth="1"/>
    <col min="3613" max="3614" width="13.42578125" customWidth="1"/>
    <col min="3615" max="3615" width="14.85546875" customWidth="1"/>
    <col min="3616" max="3616" width="13.140625" customWidth="1"/>
    <col min="3617" max="3617" width="14.85546875" customWidth="1"/>
    <col min="3618" max="3618" width="13" customWidth="1"/>
    <col min="3619" max="3620" width="15.5703125" customWidth="1"/>
    <col min="3621" max="3621" width="25.140625" customWidth="1"/>
    <col min="3622" max="3622" width="40.42578125" customWidth="1"/>
    <col min="3623" max="3623" width="19.140625" customWidth="1"/>
    <col min="3624" max="3624" width="17.85546875" customWidth="1"/>
    <col min="3625" max="3625" width="13.140625" customWidth="1"/>
    <col min="3626" max="3626" width="12" customWidth="1"/>
    <col min="3627" max="3627" width="13.85546875" customWidth="1"/>
    <col min="3628" max="3628" width="13.42578125" customWidth="1"/>
    <col min="3629" max="3629" width="19.5703125" customWidth="1"/>
    <col min="3630" max="3630" width="14.28515625" customWidth="1"/>
    <col min="3631" max="3631" width="22.85546875" customWidth="1"/>
    <col min="3632" max="3632" width="16" customWidth="1"/>
    <col min="3633" max="3633" width="14.5703125" customWidth="1"/>
    <col min="3634" max="3634" width="17.85546875" customWidth="1"/>
    <col min="3635" max="3635" width="13.42578125" customWidth="1"/>
    <col min="3636" max="3636" width="21.7109375" customWidth="1"/>
    <col min="3637" max="3637" width="18" customWidth="1"/>
    <col min="3638" max="3638" width="13.5703125" customWidth="1"/>
    <col min="3639" max="3639" width="16.42578125" customWidth="1"/>
    <col min="3640" max="3644" width="13.42578125" customWidth="1"/>
    <col min="3645" max="3645" width="12.7109375" customWidth="1"/>
    <col min="3646" max="3648" width="13.42578125" customWidth="1"/>
    <col min="3649" max="3649" width="14.5703125" customWidth="1"/>
    <col min="3650" max="3650" width="12.140625" customWidth="1"/>
    <col min="3651" max="3664" width="13.42578125" customWidth="1"/>
    <col min="3665" max="3665" width="17.42578125" customWidth="1"/>
    <col min="3666" max="3666" width="14.5703125" customWidth="1"/>
    <col min="3667" max="3675" width="13.42578125" customWidth="1"/>
    <col min="3676" max="3676" width="10.28515625" customWidth="1"/>
    <col min="3677" max="3682" width="13.42578125" customWidth="1"/>
    <col min="3683" max="3683" width="13.140625" customWidth="1"/>
    <col min="3684" max="3684" width="15.42578125" customWidth="1"/>
    <col min="3685" max="3704" width="13.42578125" customWidth="1"/>
    <col min="3705" max="3705" width="20.85546875" customWidth="1"/>
    <col min="3706" max="3706" width="15.5703125" customWidth="1"/>
    <col min="3707" max="3710" width="13.42578125" customWidth="1"/>
    <col min="3711" max="3711" width="20.85546875" customWidth="1"/>
    <col min="3841" max="3841" width="6.42578125" customWidth="1"/>
    <col min="3842" max="3842" width="19.5703125" customWidth="1"/>
    <col min="3843" max="3843" width="13.42578125" customWidth="1"/>
    <col min="3844" max="3844" width="13.5703125" customWidth="1"/>
    <col min="3845" max="3846" width="20.85546875" customWidth="1"/>
    <col min="3847" max="3847" width="16.5703125" customWidth="1"/>
    <col min="3848" max="3848" width="21" customWidth="1"/>
    <col min="3849" max="3849" width="18.85546875" customWidth="1"/>
    <col min="3850" max="3850" width="19.42578125" customWidth="1"/>
    <col min="3851" max="3851" width="18.85546875" customWidth="1"/>
    <col min="3852" max="3852" width="18.140625" customWidth="1"/>
    <col min="3853" max="3854" width="20.85546875" customWidth="1"/>
    <col min="3855" max="3855" width="133.7109375" customWidth="1"/>
    <col min="3856" max="3856" width="19.7109375" customWidth="1"/>
    <col min="3857" max="3857" width="13.28515625" customWidth="1"/>
    <col min="3858" max="3858" width="14.42578125" customWidth="1"/>
    <col min="3859" max="3859" width="11" customWidth="1"/>
    <col min="3860" max="3860" width="13.42578125" customWidth="1"/>
    <col min="3861" max="3861" width="13.5703125" customWidth="1"/>
    <col min="3862" max="3862" width="17.5703125" customWidth="1"/>
    <col min="3863" max="3865" width="13.42578125" customWidth="1"/>
    <col min="3866" max="3866" width="12.7109375" customWidth="1"/>
    <col min="3867" max="3867" width="13.28515625" customWidth="1"/>
    <col min="3868" max="3868" width="17.140625" customWidth="1"/>
    <col min="3869" max="3870" width="13.42578125" customWidth="1"/>
    <col min="3871" max="3871" width="14.85546875" customWidth="1"/>
    <col min="3872" max="3872" width="13.140625" customWidth="1"/>
    <col min="3873" max="3873" width="14.85546875" customWidth="1"/>
    <col min="3874" max="3874" width="13" customWidth="1"/>
    <col min="3875" max="3876" width="15.5703125" customWidth="1"/>
    <col min="3877" max="3877" width="25.140625" customWidth="1"/>
    <col min="3878" max="3878" width="40.42578125" customWidth="1"/>
    <col min="3879" max="3879" width="19.140625" customWidth="1"/>
    <col min="3880" max="3880" width="17.85546875" customWidth="1"/>
    <col min="3881" max="3881" width="13.140625" customWidth="1"/>
    <col min="3882" max="3882" width="12" customWidth="1"/>
    <col min="3883" max="3883" width="13.85546875" customWidth="1"/>
    <col min="3884" max="3884" width="13.42578125" customWidth="1"/>
    <col min="3885" max="3885" width="19.5703125" customWidth="1"/>
    <col min="3886" max="3886" width="14.28515625" customWidth="1"/>
    <col min="3887" max="3887" width="22.85546875" customWidth="1"/>
    <col min="3888" max="3888" width="16" customWidth="1"/>
    <col min="3889" max="3889" width="14.5703125" customWidth="1"/>
    <col min="3890" max="3890" width="17.85546875" customWidth="1"/>
    <col min="3891" max="3891" width="13.42578125" customWidth="1"/>
    <col min="3892" max="3892" width="21.7109375" customWidth="1"/>
    <col min="3893" max="3893" width="18" customWidth="1"/>
    <col min="3894" max="3894" width="13.5703125" customWidth="1"/>
    <col min="3895" max="3895" width="16.42578125" customWidth="1"/>
    <col min="3896" max="3900" width="13.42578125" customWidth="1"/>
    <col min="3901" max="3901" width="12.7109375" customWidth="1"/>
    <col min="3902" max="3904" width="13.42578125" customWidth="1"/>
    <col min="3905" max="3905" width="14.5703125" customWidth="1"/>
    <col min="3906" max="3906" width="12.140625" customWidth="1"/>
    <col min="3907" max="3920" width="13.42578125" customWidth="1"/>
    <col min="3921" max="3921" width="17.42578125" customWidth="1"/>
    <col min="3922" max="3922" width="14.5703125" customWidth="1"/>
    <col min="3923" max="3931" width="13.42578125" customWidth="1"/>
    <col min="3932" max="3932" width="10.28515625" customWidth="1"/>
    <col min="3933" max="3938" width="13.42578125" customWidth="1"/>
    <col min="3939" max="3939" width="13.140625" customWidth="1"/>
    <col min="3940" max="3940" width="15.42578125" customWidth="1"/>
    <col min="3941" max="3960" width="13.42578125" customWidth="1"/>
    <col min="3961" max="3961" width="20.85546875" customWidth="1"/>
    <col min="3962" max="3962" width="15.5703125" customWidth="1"/>
    <col min="3963" max="3966" width="13.42578125" customWidth="1"/>
    <col min="3967" max="3967" width="20.85546875" customWidth="1"/>
    <col min="4097" max="4097" width="6.42578125" customWidth="1"/>
    <col min="4098" max="4098" width="19.5703125" customWidth="1"/>
    <col min="4099" max="4099" width="13.42578125" customWidth="1"/>
    <col min="4100" max="4100" width="13.5703125" customWidth="1"/>
    <col min="4101" max="4102" width="20.85546875" customWidth="1"/>
    <col min="4103" max="4103" width="16.5703125" customWidth="1"/>
    <col min="4104" max="4104" width="21" customWidth="1"/>
    <col min="4105" max="4105" width="18.85546875" customWidth="1"/>
    <col min="4106" max="4106" width="19.42578125" customWidth="1"/>
    <col min="4107" max="4107" width="18.85546875" customWidth="1"/>
    <col min="4108" max="4108" width="18.140625" customWidth="1"/>
    <col min="4109" max="4110" width="20.85546875" customWidth="1"/>
    <col min="4111" max="4111" width="133.7109375" customWidth="1"/>
    <col min="4112" max="4112" width="19.7109375" customWidth="1"/>
    <col min="4113" max="4113" width="13.28515625" customWidth="1"/>
    <col min="4114" max="4114" width="14.42578125" customWidth="1"/>
    <col min="4115" max="4115" width="11" customWidth="1"/>
    <col min="4116" max="4116" width="13.42578125" customWidth="1"/>
    <col min="4117" max="4117" width="13.5703125" customWidth="1"/>
    <col min="4118" max="4118" width="17.5703125" customWidth="1"/>
    <col min="4119" max="4121" width="13.42578125" customWidth="1"/>
    <col min="4122" max="4122" width="12.7109375" customWidth="1"/>
    <col min="4123" max="4123" width="13.28515625" customWidth="1"/>
    <col min="4124" max="4124" width="17.140625" customWidth="1"/>
    <col min="4125" max="4126" width="13.42578125" customWidth="1"/>
    <col min="4127" max="4127" width="14.85546875" customWidth="1"/>
    <col min="4128" max="4128" width="13.140625" customWidth="1"/>
    <col min="4129" max="4129" width="14.85546875" customWidth="1"/>
    <col min="4130" max="4130" width="13" customWidth="1"/>
    <col min="4131" max="4132" width="15.5703125" customWidth="1"/>
    <col min="4133" max="4133" width="25.140625" customWidth="1"/>
    <col min="4134" max="4134" width="40.42578125" customWidth="1"/>
    <col min="4135" max="4135" width="19.140625" customWidth="1"/>
    <col min="4136" max="4136" width="17.85546875" customWidth="1"/>
    <col min="4137" max="4137" width="13.140625" customWidth="1"/>
    <col min="4138" max="4138" width="12" customWidth="1"/>
    <col min="4139" max="4139" width="13.85546875" customWidth="1"/>
    <col min="4140" max="4140" width="13.42578125" customWidth="1"/>
    <col min="4141" max="4141" width="19.5703125" customWidth="1"/>
    <col min="4142" max="4142" width="14.28515625" customWidth="1"/>
    <col min="4143" max="4143" width="22.85546875" customWidth="1"/>
    <col min="4144" max="4144" width="16" customWidth="1"/>
    <col min="4145" max="4145" width="14.5703125" customWidth="1"/>
    <col min="4146" max="4146" width="17.85546875" customWidth="1"/>
    <col min="4147" max="4147" width="13.42578125" customWidth="1"/>
    <col min="4148" max="4148" width="21.7109375" customWidth="1"/>
    <col min="4149" max="4149" width="18" customWidth="1"/>
    <col min="4150" max="4150" width="13.5703125" customWidth="1"/>
    <col min="4151" max="4151" width="16.42578125" customWidth="1"/>
    <col min="4152" max="4156" width="13.42578125" customWidth="1"/>
    <col min="4157" max="4157" width="12.7109375" customWidth="1"/>
    <col min="4158" max="4160" width="13.42578125" customWidth="1"/>
    <col min="4161" max="4161" width="14.5703125" customWidth="1"/>
    <col min="4162" max="4162" width="12.140625" customWidth="1"/>
    <col min="4163" max="4176" width="13.42578125" customWidth="1"/>
    <col min="4177" max="4177" width="17.42578125" customWidth="1"/>
    <col min="4178" max="4178" width="14.5703125" customWidth="1"/>
    <col min="4179" max="4187" width="13.42578125" customWidth="1"/>
    <col min="4188" max="4188" width="10.28515625" customWidth="1"/>
    <col min="4189" max="4194" width="13.42578125" customWidth="1"/>
    <col min="4195" max="4195" width="13.140625" customWidth="1"/>
    <col min="4196" max="4196" width="15.42578125" customWidth="1"/>
    <col min="4197" max="4216" width="13.42578125" customWidth="1"/>
    <col min="4217" max="4217" width="20.85546875" customWidth="1"/>
    <col min="4218" max="4218" width="15.5703125" customWidth="1"/>
    <col min="4219" max="4222" width="13.42578125" customWidth="1"/>
    <col min="4223" max="4223" width="20.85546875" customWidth="1"/>
    <col min="4353" max="4353" width="6.42578125" customWidth="1"/>
    <col min="4354" max="4354" width="19.5703125" customWidth="1"/>
    <col min="4355" max="4355" width="13.42578125" customWidth="1"/>
    <col min="4356" max="4356" width="13.5703125" customWidth="1"/>
    <col min="4357" max="4358" width="20.85546875" customWidth="1"/>
    <col min="4359" max="4359" width="16.5703125" customWidth="1"/>
    <col min="4360" max="4360" width="21" customWidth="1"/>
    <col min="4361" max="4361" width="18.85546875" customWidth="1"/>
    <col min="4362" max="4362" width="19.42578125" customWidth="1"/>
    <col min="4363" max="4363" width="18.85546875" customWidth="1"/>
    <col min="4364" max="4364" width="18.140625" customWidth="1"/>
    <col min="4365" max="4366" width="20.85546875" customWidth="1"/>
    <col min="4367" max="4367" width="133.7109375" customWidth="1"/>
    <col min="4368" max="4368" width="19.7109375" customWidth="1"/>
    <col min="4369" max="4369" width="13.28515625" customWidth="1"/>
    <col min="4370" max="4370" width="14.42578125" customWidth="1"/>
    <col min="4371" max="4371" width="11" customWidth="1"/>
    <col min="4372" max="4372" width="13.42578125" customWidth="1"/>
    <col min="4373" max="4373" width="13.5703125" customWidth="1"/>
    <col min="4374" max="4374" width="17.5703125" customWidth="1"/>
    <col min="4375" max="4377" width="13.42578125" customWidth="1"/>
    <col min="4378" max="4378" width="12.7109375" customWidth="1"/>
    <col min="4379" max="4379" width="13.28515625" customWidth="1"/>
    <col min="4380" max="4380" width="17.140625" customWidth="1"/>
    <col min="4381" max="4382" width="13.42578125" customWidth="1"/>
    <col min="4383" max="4383" width="14.85546875" customWidth="1"/>
    <col min="4384" max="4384" width="13.140625" customWidth="1"/>
    <col min="4385" max="4385" width="14.85546875" customWidth="1"/>
    <col min="4386" max="4386" width="13" customWidth="1"/>
    <col min="4387" max="4388" width="15.5703125" customWidth="1"/>
    <col min="4389" max="4389" width="25.140625" customWidth="1"/>
    <col min="4390" max="4390" width="40.42578125" customWidth="1"/>
    <col min="4391" max="4391" width="19.140625" customWidth="1"/>
    <col min="4392" max="4392" width="17.85546875" customWidth="1"/>
    <col min="4393" max="4393" width="13.140625" customWidth="1"/>
    <col min="4394" max="4394" width="12" customWidth="1"/>
    <col min="4395" max="4395" width="13.85546875" customWidth="1"/>
    <col min="4396" max="4396" width="13.42578125" customWidth="1"/>
    <col min="4397" max="4397" width="19.5703125" customWidth="1"/>
    <col min="4398" max="4398" width="14.28515625" customWidth="1"/>
    <col min="4399" max="4399" width="22.85546875" customWidth="1"/>
    <col min="4400" max="4400" width="16" customWidth="1"/>
    <col min="4401" max="4401" width="14.5703125" customWidth="1"/>
    <col min="4402" max="4402" width="17.85546875" customWidth="1"/>
    <col min="4403" max="4403" width="13.42578125" customWidth="1"/>
    <col min="4404" max="4404" width="21.7109375" customWidth="1"/>
    <col min="4405" max="4405" width="18" customWidth="1"/>
    <col min="4406" max="4406" width="13.5703125" customWidth="1"/>
    <col min="4407" max="4407" width="16.42578125" customWidth="1"/>
    <col min="4408" max="4412" width="13.42578125" customWidth="1"/>
    <col min="4413" max="4413" width="12.7109375" customWidth="1"/>
    <col min="4414" max="4416" width="13.42578125" customWidth="1"/>
    <col min="4417" max="4417" width="14.5703125" customWidth="1"/>
    <col min="4418" max="4418" width="12.140625" customWidth="1"/>
    <col min="4419" max="4432" width="13.42578125" customWidth="1"/>
    <col min="4433" max="4433" width="17.42578125" customWidth="1"/>
    <col min="4434" max="4434" width="14.5703125" customWidth="1"/>
    <col min="4435" max="4443" width="13.42578125" customWidth="1"/>
    <col min="4444" max="4444" width="10.28515625" customWidth="1"/>
    <col min="4445" max="4450" width="13.42578125" customWidth="1"/>
    <col min="4451" max="4451" width="13.140625" customWidth="1"/>
    <col min="4452" max="4452" width="15.42578125" customWidth="1"/>
    <col min="4453" max="4472" width="13.42578125" customWidth="1"/>
    <col min="4473" max="4473" width="20.85546875" customWidth="1"/>
    <col min="4474" max="4474" width="15.5703125" customWidth="1"/>
    <col min="4475" max="4478" width="13.42578125" customWidth="1"/>
    <col min="4479" max="4479" width="20.85546875" customWidth="1"/>
    <col min="4609" max="4609" width="6.42578125" customWidth="1"/>
    <col min="4610" max="4610" width="19.5703125" customWidth="1"/>
    <col min="4611" max="4611" width="13.42578125" customWidth="1"/>
    <col min="4612" max="4612" width="13.5703125" customWidth="1"/>
    <col min="4613" max="4614" width="20.85546875" customWidth="1"/>
    <col min="4615" max="4615" width="16.5703125" customWidth="1"/>
    <col min="4616" max="4616" width="21" customWidth="1"/>
    <col min="4617" max="4617" width="18.85546875" customWidth="1"/>
    <col min="4618" max="4618" width="19.42578125" customWidth="1"/>
    <col min="4619" max="4619" width="18.85546875" customWidth="1"/>
    <col min="4620" max="4620" width="18.140625" customWidth="1"/>
    <col min="4621" max="4622" width="20.85546875" customWidth="1"/>
    <col min="4623" max="4623" width="133.7109375" customWidth="1"/>
    <col min="4624" max="4624" width="19.7109375" customWidth="1"/>
    <col min="4625" max="4625" width="13.28515625" customWidth="1"/>
    <col min="4626" max="4626" width="14.42578125" customWidth="1"/>
    <col min="4627" max="4627" width="11" customWidth="1"/>
    <col min="4628" max="4628" width="13.42578125" customWidth="1"/>
    <col min="4629" max="4629" width="13.5703125" customWidth="1"/>
    <col min="4630" max="4630" width="17.5703125" customWidth="1"/>
    <col min="4631" max="4633" width="13.42578125" customWidth="1"/>
    <col min="4634" max="4634" width="12.7109375" customWidth="1"/>
    <col min="4635" max="4635" width="13.28515625" customWidth="1"/>
    <col min="4636" max="4636" width="17.140625" customWidth="1"/>
    <col min="4637" max="4638" width="13.42578125" customWidth="1"/>
    <col min="4639" max="4639" width="14.85546875" customWidth="1"/>
    <col min="4640" max="4640" width="13.140625" customWidth="1"/>
    <col min="4641" max="4641" width="14.85546875" customWidth="1"/>
    <col min="4642" max="4642" width="13" customWidth="1"/>
    <col min="4643" max="4644" width="15.5703125" customWidth="1"/>
    <col min="4645" max="4645" width="25.140625" customWidth="1"/>
    <col min="4646" max="4646" width="40.42578125" customWidth="1"/>
    <col min="4647" max="4647" width="19.140625" customWidth="1"/>
    <col min="4648" max="4648" width="17.85546875" customWidth="1"/>
    <col min="4649" max="4649" width="13.140625" customWidth="1"/>
    <col min="4650" max="4650" width="12" customWidth="1"/>
    <col min="4651" max="4651" width="13.85546875" customWidth="1"/>
    <col min="4652" max="4652" width="13.42578125" customWidth="1"/>
    <col min="4653" max="4653" width="19.5703125" customWidth="1"/>
    <col min="4654" max="4654" width="14.28515625" customWidth="1"/>
    <col min="4655" max="4655" width="22.85546875" customWidth="1"/>
    <col min="4656" max="4656" width="16" customWidth="1"/>
    <col min="4657" max="4657" width="14.5703125" customWidth="1"/>
    <col min="4658" max="4658" width="17.85546875" customWidth="1"/>
    <col min="4659" max="4659" width="13.42578125" customWidth="1"/>
    <col min="4660" max="4660" width="21.7109375" customWidth="1"/>
    <col min="4661" max="4661" width="18" customWidth="1"/>
    <col min="4662" max="4662" width="13.5703125" customWidth="1"/>
    <col min="4663" max="4663" width="16.42578125" customWidth="1"/>
    <col min="4664" max="4668" width="13.42578125" customWidth="1"/>
    <col min="4669" max="4669" width="12.7109375" customWidth="1"/>
    <col min="4670" max="4672" width="13.42578125" customWidth="1"/>
    <col min="4673" max="4673" width="14.5703125" customWidth="1"/>
    <col min="4674" max="4674" width="12.140625" customWidth="1"/>
    <col min="4675" max="4688" width="13.42578125" customWidth="1"/>
    <col min="4689" max="4689" width="17.42578125" customWidth="1"/>
    <col min="4690" max="4690" width="14.5703125" customWidth="1"/>
    <col min="4691" max="4699" width="13.42578125" customWidth="1"/>
    <col min="4700" max="4700" width="10.28515625" customWidth="1"/>
    <col min="4701" max="4706" width="13.42578125" customWidth="1"/>
    <col min="4707" max="4707" width="13.140625" customWidth="1"/>
    <col min="4708" max="4708" width="15.42578125" customWidth="1"/>
    <col min="4709" max="4728" width="13.42578125" customWidth="1"/>
    <col min="4729" max="4729" width="20.85546875" customWidth="1"/>
    <col min="4730" max="4730" width="15.5703125" customWidth="1"/>
    <col min="4731" max="4734" width="13.42578125" customWidth="1"/>
    <col min="4735" max="4735" width="20.85546875" customWidth="1"/>
    <col min="4865" max="4865" width="6.42578125" customWidth="1"/>
    <col min="4866" max="4866" width="19.5703125" customWidth="1"/>
    <col min="4867" max="4867" width="13.42578125" customWidth="1"/>
    <col min="4868" max="4868" width="13.5703125" customWidth="1"/>
    <col min="4869" max="4870" width="20.85546875" customWidth="1"/>
    <col min="4871" max="4871" width="16.5703125" customWidth="1"/>
    <col min="4872" max="4872" width="21" customWidth="1"/>
    <col min="4873" max="4873" width="18.85546875" customWidth="1"/>
    <col min="4874" max="4874" width="19.42578125" customWidth="1"/>
    <col min="4875" max="4875" width="18.85546875" customWidth="1"/>
    <col min="4876" max="4876" width="18.140625" customWidth="1"/>
    <col min="4877" max="4878" width="20.85546875" customWidth="1"/>
    <col min="4879" max="4879" width="133.7109375" customWidth="1"/>
    <col min="4880" max="4880" width="19.7109375" customWidth="1"/>
    <col min="4881" max="4881" width="13.28515625" customWidth="1"/>
    <col min="4882" max="4882" width="14.42578125" customWidth="1"/>
    <col min="4883" max="4883" width="11" customWidth="1"/>
    <col min="4884" max="4884" width="13.42578125" customWidth="1"/>
    <col min="4885" max="4885" width="13.5703125" customWidth="1"/>
    <col min="4886" max="4886" width="17.5703125" customWidth="1"/>
    <col min="4887" max="4889" width="13.42578125" customWidth="1"/>
    <col min="4890" max="4890" width="12.7109375" customWidth="1"/>
    <col min="4891" max="4891" width="13.28515625" customWidth="1"/>
    <col min="4892" max="4892" width="17.140625" customWidth="1"/>
    <col min="4893" max="4894" width="13.42578125" customWidth="1"/>
    <col min="4895" max="4895" width="14.85546875" customWidth="1"/>
    <col min="4896" max="4896" width="13.140625" customWidth="1"/>
    <col min="4897" max="4897" width="14.85546875" customWidth="1"/>
    <col min="4898" max="4898" width="13" customWidth="1"/>
    <col min="4899" max="4900" width="15.5703125" customWidth="1"/>
    <col min="4901" max="4901" width="25.140625" customWidth="1"/>
    <col min="4902" max="4902" width="40.42578125" customWidth="1"/>
    <col min="4903" max="4903" width="19.140625" customWidth="1"/>
    <col min="4904" max="4904" width="17.85546875" customWidth="1"/>
    <col min="4905" max="4905" width="13.140625" customWidth="1"/>
    <col min="4906" max="4906" width="12" customWidth="1"/>
    <col min="4907" max="4907" width="13.85546875" customWidth="1"/>
    <col min="4908" max="4908" width="13.42578125" customWidth="1"/>
    <col min="4909" max="4909" width="19.5703125" customWidth="1"/>
    <col min="4910" max="4910" width="14.28515625" customWidth="1"/>
    <col min="4911" max="4911" width="22.85546875" customWidth="1"/>
    <col min="4912" max="4912" width="16" customWidth="1"/>
    <col min="4913" max="4913" width="14.5703125" customWidth="1"/>
    <col min="4914" max="4914" width="17.85546875" customWidth="1"/>
    <col min="4915" max="4915" width="13.42578125" customWidth="1"/>
    <col min="4916" max="4916" width="21.7109375" customWidth="1"/>
    <col min="4917" max="4917" width="18" customWidth="1"/>
    <col min="4918" max="4918" width="13.5703125" customWidth="1"/>
    <col min="4919" max="4919" width="16.42578125" customWidth="1"/>
    <col min="4920" max="4924" width="13.42578125" customWidth="1"/>
    <col min="4925" max="4925" width="12.7109375" customWidth="1"/>
    <col min="4926" max="4928" width="13.42578125" customWidth="1"/>
    <col min="4929" max="4929" width="14.5703125" customWidth="1"/>
    <col min="4930" max="4930" width="12.140625" customWidth="1"/>
    <col min="4931" max="4944" width="13.42578125" customWidth="1"/>
    <col min="4945" max="4945" width="17.42578125" customWidth="1"/>
    <col min="4946" max="4946" width="14.5703125" customWidth="1"/>
    <col min="4947" max="4955" width="13.42578125" customWidth="1"/>
    <col min="4956" max="4956" width="10.28515625" customWidth="1"/>
    <col min="4957" max="4962" width="13.42578125" customWidth="1"/>
    <col min="4963" max="4963" width="13.140625" customWidth="1"/>
    <col min="4964" max="4964" width="15.42578125" customWidth="1"/>
    <col min="4965" max="4984" width="13.42578125" customWidth="1"/>
    <col min="4985" max="4985" width="20.85546875" customWidth="1"/>
    <col min="4986" max="4986" width="15.5703125" customWidth="1"/>
    <col min="4987" max="4990" width="13.42578125" customWidth="1"/>
    <col min="4991" max="4991" width="20.85546875" customWidth="1"/>
    <col min="5121" max="5121" width="6.42578125" customWidth="1"/>
    <col min="5122" max="5122" width="19.5703125" customWidth="1"/>
    <col min="5123" max="5123" width="13.42578125" customWidth="1"/>
    <col min="5124" max="5124" width="13.5703125" customWidth="1"/>
    <col min="5125" max="5126" width="20.85546875" customWidth="1"/>
    <col min="5127" max="5127" width="16.5703125" customWidth="1"/>
    <col min="5128" max="5128" width="21" customWidth="1"/>
    <col min="5129" max="5129" width="18.85546875" customWidth="1"/>
    <col min="5130" max="5130" width="19.42578125" customWidth="1"/>
    <col min="5131" max="5131" width="18.85546875" customWidth="1"/>
    <col min="5132" max="5132" width="18.140625" customWidth="1"/>
    <col min="5133" max="5134" width="20.85546875" customWidth="1"/>
    <col min="5135" max="5135" width="133.7109375" customWidth="1"/>
    <col min="5136" max="5136" width="19.7109375" customWidth="1"/>
    <col min="5137" max="5137" width="13.28515625" customWidth="1"/>
    <col min="5138" max="5138" width="14.42578125" customWidth="1"/>
    <col min="5139" max="5139" width="11" customWidth="1"/>
    <col min="5140" max="5140" width="13.42578125" customWidth="1"/>
    <col min="5141" max="5141" width="13.5703125" customWidth="1"/>
    <col min="5142" max="5142" width="17.5703125" customWidth="1"/>
    <col min="5143" max="5145" width="13.42578125" customWidth="1"/>
    <col min="5146" max="5146" width="12.7109375" customWidth="1"/>
    <col min="5147" max="5147" width="13.28515625" customWidth="1"/>
    <col min="5148" max="5148" width="17.140625" customWidth="1"/>
    <col min="5149" max="5150" width="13.42578125" customWidth="1"/>
    <col min="5151" max="5151" width="14.85546875" customWidth="1"/>
    <col min="5152" max="5152" width="13.140625" customWidth="1"/>
    <col min="5153" max="5153" width="14.85546875" customWidth="1"/>
    <col min="5154" max="5154" width="13" customWidth="1"/>
    <col min="5155" max="5156" width="15.5703125" customWidth="1"/>
    <col min="5157" max="5157" width="25.140625" customWidth="1"/>
    <col min="5158" max="5158" width="40.42578125" customWidth="1"/>
    <col min="5159" max="5159" width="19.140625" customWidth="1"/>
    <col min="5160" max="5160" width="17.85546875" customWidth="1"/>
    <col min="5161" max="5161" width="13.140625" customWidth="1"/>
    <col min="5162" max="5162" width="12" customWidth="1"/>
    <col min="5163" max="5163" width="13.85546875" customWidth="1"/>
    <col min="5164" max="5164" width="13.42578125" customWidth="1"/>
    <col min="5165" max="5165" width="19.5703125" customWidth="1"/>
    <col min="5166" max="5166" width="14.28515625" customWidth="1"/>
    <col min="5167" max="5167" width="22.85546875" customWidth="1"/>
    <col min="5168" max="5168" width="16" customWidth="1"/>
    <col min="5169" max="5169" width="14.5703125" customWidth="1"/>
    <col min="5170" max="5170" width="17.85546875" customWidth="1"/>
    <col min="5171" max="5171" width="13.42578125" customWidth="1"/>
    <col min="5172" max="5172" width="21.7109375" customWidth="1"/>
    <col min="5173" max="5173" width="18" customWidth="1"/>
    <col min="5174" max="5174" width="13.5703125" customWidth="1"/>
    <col min="5175" max="5175" width="16.42578125" customWidth="1"/>
    <col min="5176" max="5180" width="13.42578125" customWidth="1"/>
    <col min="5181" max="5181" width="12.7109375" customWidth="1"/>
    <col min="5182" max="5184" width="13.42578125" customWidth="1"/>
    <col min="5185" max="5185" width="14.5703125" customWidth="1"/>
    <col min="5186" max="5186" width="12.140625" customWidth="1"/>
    <col min="5187" max="5200" width="13.42578125" customWidth="1"/>
    <col min="5201" max="5201" width="17.42578125" customWidth="1"/>
    <col min="5202" max="5202" width="14.5703125" customWidth="1"/>
    <col min="5203" max="5211" width="13.42578125" customWidth="1"/>
    <col min="5212" max="5212" width="10.28515625" customWidth="1"/>
    <col min="5213" max="5218" width="13.42578125" customWidth="1"/>
    <col min="5219" max="5219" width="13.140625" customWidth="1"/>
    <col min="5220" max="5220" width="15.42578125" customWidth="1"/>
    <col min="5221" max="5240" width="13.42578125" customWidth="1"/>
    <col min="5241" max="5241" width="20.85546875" customWidth="1"/>
    <col min="5242" max="5242" width="15.5703125" customWidth="1"/>
    <col min="5243" max="5246" width="13.42578125" customWidth="1"/>
    <col min="5247" max="5247" width="20.85546875" customWidth="1"/>
    <col min="5377" max="5377" width="6.42578125" customWidth="1"/>
    <col min="5378" max="5378" width="19.5703125" customWidth="1"/>
    <col min="5379" max="5379" width="13.42578125" customWidth="1"/>
    <col min="5380" max="5380" width="13.5703125" customWidth="1"/>
    <col min="5381" max="5382" width="20.85546875" customWidth="1"/>
    <col min="5383" max="5383" width="16.5703125" customWidth="1"/>
    <col min="5384" max="5384" width="21" customWidth="1"/>
    <col min="5385" max="5385" width="18.85546875" customWidth="1"/>
    <col min="5386" max="5386" width="19.42578125" customWidth="1"/>
    <col min="5387" max="5387" width="18.85546875" customWidth="1"/>
    <col min="5388" max="5388" width="18.140625" customWidth="1"/>
    <col min="5389" max="5390" width="20.85546875" customWidth="1"/>
    <col min="5391" max="5391" width="133.7109375" customWidth="1"/>
    <col min="5392" max="5392" width="19.7109375" customWidth="1"/>
    <col min="5393" max="5393" width="13.28515625" customWidth="1"/>
    <col min="5394" max="5394" width="14.42578125" customWidth="1"/>
    <col min="5395" max="5395" width="11" customWidth="1"/>
    <col min="5396" max="5396" width="13.42578125" customWidth="1"/>
    <col min="5397" max="5397" width="13.5703125" customWidth="1"/>
    <col min="5398" max="5398" width="17.5703125" customWidth="1"/>
    <col min="5399" max="5401" width="13.42578125" customWidth="1"/>
    <col min="5402" max="5402" width="12.7109375" customWidth="1"/>
    <col min="5403" max="5403" width="13.28515625" customWidth="1"/>
    <col min="5404" max="5404" width="17.140625" customWidth="1"/>
    <col min="5405" max="5406" width="13.42578125" customWidth="1"/>
    <col min="5407" max="5407" width="14.85546875" customWidth="1"/>
    <col min="5408" max="5408" width="13.140625" customWidth="1"/>
    <col min="5409" max="5409" width="14.85546875" customWidth="1"/>
    <col min="5410" max="5410" width="13" customWidth="1"/>
    <col min="5411" max="5412" width="15.5703125" customWidth="1"/>
    <col min="5413" max="5413" width="25.140625" customWidth="1"/>
    <col min="5414" max="5414" width="40.42578125" customWidth="1"/>
    <col min="5415" max="5415" width="19.140625" customWidth="1"/>
    <col min="5416" max="5416" width="17.85546875" customWidth="1"/>
    <col min="5417" max="5417" width="13.140625" customWidth="1"/>
    <col min="5418" max="5418" width="12" customWidth="1"/>
    <col min="5419" max="5419" width="13.85546875" customWidth="1"/>
    <col min="5420" max="5420" width="13.42578125" customWidth="1"/>
    <col min="5421" max="5421" width="19.5703125" customWidth="1"/>
    <col min="5422" max="5422" width="14.28515625" customWidth="1"/>
    <col min="5423" max="5423" width="22.85546875" customWidth="1"/>
    <col min="5424" max="5424" width="16" customWidth="1"/>
    <col min="5425" max="5425" width="14.5703125" customWidth="1"/>
    <col min="5426" max="5426" width="17.85546875" customWidth="1"/>
    <col min="5427" max="5427" width="13.42578125" customWidth="1"/>
    <col min="5428" max="5428" width="21.7109375" customWidth="1"/>
    <col min="5429" max="5429" width="18" customWidth="1"/>
    <col min="5430" max="5430" width="13.5703125" customWidth="1"/>
    <col min="5431" max="5431" width="16.42578125" customWidth="1"/>
    <col min="5432" max="5436" width="13.42578125" customWidth="1"/>
    <col min="5437" max="5437" width="12.7109375" customWidth="1"/>
    <col min="5438" max="5440" width="13.42578125" customWidth="1"/>
    <col min="5441" max="5441" width="14.5703125" customWidth="1"/>
    <col min="5442" max="5442" width="12.140625" customWidth="1"/>
    <col min="5443" max="5456" width="13.42578125" customWidth="1"/>
    <col min="5457" max="5457" width="17.42578125" customWidth="1"/>
    <col min="5458" max="5458" width="14.5703125" customWidth="1"/>
    <col min="5459" max="5467" width="13.42578125" customWidth="1"/>
    <col min="5468" max="5468" width="10.28515625" customWidth="1"/>
    <col min="5469" max="5474" width="13.42578125" customWidth="1"/>
    <col min="5475" max="5475" width="13.140625" customWidth="1"/>
    <col min="5476" max="5476" width="15.42578125" customWidth="1"/>
    <col min="5477" max="5496" width="13.42578125" customWidth="1"/>
    <col min="5497" max="5497" width="20.85546875" customWidth="1"/>
    <col min="5498" max="5498" width="15.5703125" customWidth="1"/>
    <col min="5499" max="5502" width="13.42578125" customWidth="1"/>
    <col min="5503" max="5503" width="20.85546875" customWidth="1"/>
    <col min="5633" max="5633" width="6.42578125" customWidth="1"/>
    <col min="5634" max="5634" width="19.5703125" customWidth="1"/>
    <col min="5635" max="5635" width="13.42578125" customWidth="1"/>
    <col min="5636" max="5636" width="13.5703125" customWidth="1"/>
    <col min="5637" max="5638" width="20.85546875" customWidth="1"/>
    <col min="5639" max="5639" width="16.5703125" customWidth="1"/>
    <col min="5640" max="5640" width="21" customWidth="1"/>
    <col min="5641" max="5641" width="18.85546875" customWidth="1"/>
    <col min="5642" max="5642" width="19.42578125" customWidth="1"/>
    <col min="5643" max="5643" width="18.85546875" customWidth="1"/>
    <col min="5644" max="5644" width="18.140625" customWidth="1"/>
    <col min="5645" max="5646" width="20.85546875" customWidth="1"/>
    <col min="5647" max="5647" width="133.7109375" customWidth="1"/>
    <col min="5648" max="5648" width="19.7109375" customWidth="1"/>
    <col min="5649" max="5649" width="13.28515625" customWidth="1"/>
    <col min="5650" max="5650" width="14.42578125" customWidth="1"/>
    <col min="5651" max="5651" width="11" customWidth="1"/>
    <col min="5652" max="5652" width="13.42578125" customWidth="1"/>
    <col min="5653" max="5653" width="13.5703125" customWidth="1"/>
    <col min="5654" max="5654" width="17.5703125" customWidth="1"/>
    <col min="5655" max="5657" width="13.42578125" customWidth="1"/>
    <col min="5658" max="5658" width="12.7109375" customWidth="1"/>
    <col min="5659" max="5659" width="13.28515625" customWidth="1"/>
    <col min="5660" max="5660" width="17.140625" customWidth="1"/>
    <col min="5661" max="5662" width="13.42578125" customWidth="1"/>
    <col min="5663" max="5663" width="14.85546875" customWidth="1"/>
    <col min="5664" max="5664" width="13.140625" customWidth="1"/>
    <col min="5665" max="5665" width="14.85546875" customWidth="1"/>
    <col min="5666" max="5666" width="13" customWidth="1"/>
    <col min="5667" max="5668" width="15.5703125" customWidth="1"/>
    <col min="5669" max="5669" width="25.140625" customWidth="1"/>
    <col min="5670" max="5670" width="40.42578125" customWidth="1"/>
    <col min="5671" max="5671" width="19.140625" customWidth="1"/>
    <col min="5672" max="5672" width="17.85546875" customWidth="1"/>
    <col min="5673" max="5673" width="13.140625" customWidth="1"/>
    <col min="5674" max="5674" width="12" customWidth="1"/>
    <col min="5675" max="5675" width="13.85546875" customWidth="1"/>
    <col min="5676" max="5676" width="13.42578125" customWidth="1"/>
    <col min="5677" max="5677" width="19.5703125" customWidth="1"/>
    <col min="5678" max="5678" width="14.28515625" customWidth="1"/>
    <col min="5679" max="5679" width="22.85546875" customWidth="1"/>
    <col min="5680" max="5680" width="16" customWidth="1"/>
    <col min="5681" max="5681" width="14.5703125" customWidth="1"/>
    <col min="5682" max="5682" width="17.85546875" customWidth="1"/>
    <col min="5683" max="5683" width="13.42578125" customWidth="1"/>
    <col min="5684" max="5684" width="21.7109375" customWidth="1"/>
    <col min="5685" max="5685" width="18" customWidth="1"/>
    <col min="5686" max="5686" width="13.5703125" customWidth="1"/>
    <col min="5687" max="5687" width="16.42578125" customWidth="1"/>
    <col min="5688" max="5692" width="13.42578125" customWidth="1"/>
    <col min="5693" max="5693" width="12.7109375" customWidth="1"/>
    <col min="5694" max="5696" width="13.42578125" customWidth="1"/>
    <col min="5697" max="5697" width="14.5703125" customWidth="1"/>
    <col min="5698" max="5698" width="12.140625" customWidth="1"/>
    <col min="5699" max="5712" width="13.42578125" customWidth="1"/>
    <col min="5713" max="5713" width="17.42578125" customWidth="1"/>
    <col min="5714" max="5714" width="14.5703125" customWidth="1"/>
    <col min="5715" max="5723" width="13.42578125" customWidth="1"/>
    <col min="5724" max="5724" width="10.28515625" customWidth="1"/>
    <col min="5725" max="5730" width="13.42578125" customWidth="1"/>
    <col min="5731" max="5731" width="13.140625" customWidth="1"/>
    <col min="5732" max="5732" width="15.42578125" customWidth="1"/>
    <col min="5733" max="5752" width="13.42578125" customWidth="1"/>
    <col min="5753" max="5753" width="20.85546875" customWidth="1"/>
    <col min="5754" max="5754" width="15.5703125" customWidth="1"/>
    <col min="5755" max="5758" width="13.42578125" customWidth="1"/>
    <col min="5759" max="5759" width="20.85546875" customWidth="1"/>
    <col min="5889" max="5889" width="6.42578125" customWidth="1"/>
    <col min="5890" max="5890" width="19.5703125" customWidth="1"/>
    <col min="5891" max="5891" width="13.42578125" customWidth="1"/>
    <col min="5892" max="5892" width="13.5703125" customWidth="1"/>
    <col min="5893" max="5894" width="20.85546875" customWidth="1"/>
    <col min="5895" max="5895" width="16.5703125" customWidth="1"/>
    <col min="5896" max="5896" width="21" customWidth="1"/>
    <col min="5897" max="5897" width="18.85546875" customWidth="1"/>
    <col min="5898" max="5898" width="19.42578125" customWidth="1"/>
    <col min="5899" max="5899" width="18.85546875" customWidth="1"/>
    <col min="5900" max="5900" width="18.140625" customWidth="1"/>
    <col min="5901" max="5902" width="20.85546875" customWidth="1"/>
    <col min="5903" max="5903" width="133.7109375" customWidth="1"/>
    <col min="5904" max="5904" width="19.7109375" customWidth="1"/>
    <col min="5905" max="5905" width="13.28515625" customWidth="1"/>
    <col min="5906" max="5906" width="14.42578125" customWidth="1"/>
    <col min="5907" max="5907" width="11" customWidth="1"/>
    <col min="5908" max="5908" width="13.42578125" customWidth="1"/>
    <col min="5909" max="5909" width="13.5703125" customWidth="1"/>
    <col min="5910" max="5910" width="17.5703125" customWidth="1"/>
    <col min="5911" max="5913" width="13.42578125" customWidth="1"/>
    <col min="5914" max="5914" width="12.7109375" customWidth="1"/>
    <col min="5915" max="5915" width="13.28515625" customWidth="1"/>
    <col min="5916" max="5916" width="17.140625" customWidth="1"/>
    <col min="5917" max="5918" width="13.42578125" customWidth="1"/>
    <col min="5919" max="5919" width="14.85546875" customWidth="1"/>
    <col min="5920" max="5920" width="13.140625" customWidth="1"/>
    <col min="5921" max="5921" width="14.85546875" customWidth="1"/>
    <col min="5922" max="5922" width="13" customWidth="1"/>
    <col min="5923" max="5924" width="15.5703125" customWidth="1"/>
    <col min="5925" max="5925" width="25.140625" customWidth="1"/>
    <col min="5926" max="5926" width="40.42578125" customWidth="1"/>
    <col min="5927" max="5927" width="19.140625" customWidth="1"/>
    <col min="5928" max="5928" width="17.85546875" customWidth="1"/>
    <col min="5929" max="5929" width="13.140625" customWidth="1"/>
    <col min="5930" max="5930" width="12" customWidth="1"/>
    <col min="5931" max="5931" width="13.85546875" customWidth="1"/>
    <col min="5932" max="5932" width="13.42578125" customWidth="1"/>
    <col min="5933" max="5933" width="19.5703125" customWidth="1"/>
    <col min="5934" max="5934" width="14.28515625" customWidth="1"/>
    <col min="5935" max="5935" width="22.85546875" customWidth="1"/>
    <col min="5936" max="5936" width="16" customWidth="1"/>
    <col min="5937" max="5937" width="14.5703125" customWidth="1"/>
    <col min="5938" max="5938" width="17.85546875" customWidth="1"/>
    <col min="5939" max="5939" width="13.42578125" customWidth="1"/>
    <col min="5940" max="5940" width="21.7109375" customWidth="1"/>
    <col min="5941" max="5941" width="18" customWidth="1"/>
    <col min="5942" max="5942" width="13.5703125" customWidth="1"/>
    <col min="5943" max="5943" width="16.42578125" customWidth="1"/>
    <col min="5944" max="5948" width="13.42578125" customWidth="1"/>
    <col min="5949" max="5949" width="12.7109375" customWidth="1"/>
    <col min="5950" max="5952" width="13.42578125" customWidth="1"/>
    <col min="5953" max="5953" width="14.5703125" customWidth="1"/>
    <col min="5954" max="5954" width="12.140625" customWidth="1"/>
    <col min="5955" max="5968" width="13.42578125" customWidth="1"/>
    <col min="5969" max="5969" width="17.42578125" customWidth="1"/>
    <col min="5970" max="5970" width="14.5703125" customWidth="1"/>
    <col min="5971" max="5979" width="13.42578125" customWidth="1"/>
    <col min="5980" max="5980" width="10.28515625" customWidth="1"/>
    <col min="5981" max="5986" width="13.42578125" customWidth="1"/>
    <col min="5987" max="5987" width="13.140625" customWidth="1"/>
    <col min="5988" max="5988" width="15.42578125" customWidth="1"/>
    <col min="5989" max="6008" width="13.42578125" customWidth="1"/>
    <col min="6009" max="6009" width="20.85546875" customWidth="1"/>
    <col min="6010" max="6010" width="15.5703125" customWidth="1"/>
    <col min="6011" max="6014" width="13.42578125" customWidth="1"/>
    <col min="6015" max="6015" width="20.85546875" customWidth="1"/>
    <col min="6145" max="6145" width="6.42578125" customWidth="1"/>
    <col min="6146" max="6146" width="19.5703125" customWidth="1"/>
    <col min="6147" max="6147" width="13.42578125" customWidth="1"/>
    <col min="6148" max="6148" width="13.5703125" customWidth="1"/>
    <col min="6149" max="6150" width="20.85546875" customWidth="1"/>
    <col min="6151" max="6151" width="16.5703125" customWidth="1"/>
    <col min="6152" max="6152" width="21" customWidth="1"/>
    <col min="6153" max="6153" width="18.85546875" customWidth="1"/>
    <col min="6154" max="6154" width="19.42578125" customWidth="1"/>
    <col min="6155" max="6155" width="18.85546875" customWidth="1"/>
    <col min="6156" max="6156" width="18.140625" customWidth="1"/>
    <col min="6157" max="6158" width="20.85546875" customWidth="1"/>
    <col min="6159" max="6159" width="133.7109375" customWidth="1"/>
    <col min="6160" max="6160" width="19.7109375" customWidth="1"/>
    <col min="6161" max="6161" width="13.28515625" customWidth="1"/>
    <col min="6162" max="6162" width="14.42578125" customWidth="1"/>
    <col min="6163" max="6163" width="11" customWidth="1"/>
    <col min="6164" max="6164" width="13.42578125" customWidth="1"/>
    <col min="6165" max="6165" width="13.5703125" customWidth="1"/>
    <col min="6166" max="6166" width="17.5703125" customWidth="1"/>
    <col min="6167" max="6169" width="13.42578125" customWidth="1"/>
    <col min="6170" max="6170" width="12.7109375" customWidth="1"/>
    <col min="6171" max="6171" width="13.28515625" customWidth="1"/>
    <col min="6172" max="6172" width="17.140625" customWidth="1"/>
    <col min="6173" max="6174" width="13.42578125" customWidth="1"/>
    <col min="6175" max="6175" width="14.85546875" customWidth="1"/>
    <col min="6176" max="6176" width="13.140625" customWidth="1"/>
    <col min="6177" max="6177" width="14.85546875" customWidth="1"/>
    <col min="6178" max="6178" width="13" customWidth="1"/>
    <col min="6179" max="6180" width="15.5703125" customWidth="1"/>
    <col min="6181" max="6181" width="25.140625" customWidth="1"/>
    <col min="6182" max="6182" width="40.42578125" customWidth="1"/>
    <col min="6183" max="6183" width="19.140625" customWidth="1"/>
    <col min="6184" max="6184" width="17.85546875" customWidth="1"/>
    <col min="6185" max="6185" width="13.140625" customWidth="1"/>
    <col min="6186" max="6186" width="12" customWidth="1"/>
    <col min="6187" max="6187" width="13.85546875" customWidth="1"/>
    <col min="6188" max="6188" width="13.42578125" customWidth="1"/>
    <col min="6189" max="6189" width="19.5703125" customWidth="1"/>
    <col min="6190" max="6190" width="14.28515625" customWidth="1"/>
    <col min="6191" max="6191" width="22.85546875" customWidth="1"/>
    <col min="6192" max="6192" width="16" customWidth="1"/>
    <col min="6193" max="6193" width="14.5703125" customWidth="1"/>
    <col min="6194" max="6194" width="17.85546875" customWidth="1"/>
    <col min="6195" max="6195" width="13.42578125" customWidth="1"/>
    <col min="6196" max="6196" width="21.7109375" customWidth="1"/>
    <col min="6197" max="6197" width="18" customWidth="1"/>
    <col min="6198" max="6198" width="13.5703125" customWidth="1"/>
    <col min="6199" max="6199" width="16.42578125" customWidth="1"/>
    <col min="6200" max="6204" width="13.42578125" customWidth="1"/>
    <col min="6205" max="6205" width="12.7109375" customWidth="1"/>
    <col min="6206" max="6208" width="13.42578125" customWidth="1"/>
    <col min="6209" max="6209" width="14.5703125" customWidth="1"/>
    <col min="6210" max="6210" width="12.140625" customWidth="1"/>
    <col min="6211" max="6224" width="13.42578125" customWidth="1"/>
    <col min="6225" max="6225" width="17.42578125" customWidth="1"/>
    <col min="6226" max="6226" width="14.5703125" customWidth="1"/>
    <col min="6227" max="6235" width="13.42578125" customWidth="1"/>
    <col min="6236" max="6236" width="10.28515625" customWidth="1"/>
    <col min="6237" max="6242" width="13.42578125" customWidth="1"/>
    <col min="6243" max="6243" width="13.140625" customWidth="1"/>
    <col min="6244" max="6244" width="15.42578125" customWidth="1"/>
    <col min="6245" max="6264" width="13.42578125" customWidth="1"/>
    <col min="6265" max="6265" width="20.85546875" customWidth="1"/>
    <col min="6266" max="6266" width="15.5703125" customWidth="1"/>
    <col min="6267" max="6270" width="13.42578125" customWidth="1"/>
    <col min="6271" max="6271" width="20.85546875" customWidth="1"/>
    <col min="6401" max="6401" width="6.42578125" customWidth="1"/>
    <col min="6402" max="6402" width="19.5703125" customWidth="1"/>
    <col min="6403" max="6403" width="13.42578125" customWidth="1"/>
    <col min="6404" max="6404" width="13.5703125" customWidth="1"/>
    <col min="6405" max="6406" width="20.85546875" customWidth="1"/>
    <col min="6407" max="6407" width="16.5703125" customWidth="1"/>
    <col min="6408" max="6408" width="21" customWidth="1"/>
    <col min="6409" max="6409" width="18.85546875" customWidth="1"/>
    <col min="6410" max="6410" width="19.42578125" customWidth="1"/>
    <col min="6411" max="6411" width="18.85546875" customWidth="1"/>
    <col min="6412" max="6412" width="18.140625" customWidth="1"/>
    <col min="6413" max="6414" width="20.85546875" customWidth="1"/>
    <col min="6415" max="6415" width="133.7109375" customWidth="1"/>
    <col min="6416" max="6416" width="19.7109375" customWidth="1"/>
    <col min="6417" max="6417" width="13.28515625" customWidth="1"/>
    <col min="6418" max="6418" width="14.42578125" customWidth="1"/>
    <col min="6419" max="6419" width="11" customWidth="1"/>
    <col min="6420" max="6420" width="13.42578125" customWidth="1"/>
    <col min="6421" max="6421" width="13.5703125" customWidth="1"/>
    <col min="6422" max="6422" width="17.5703125" customWidth="1"/>
    <col min="6423" max="6425" width="13.42578125" customWidth="1"/>
    <col min="6426" max="6426" width="12.7109375" customWidth="1"/>
    <col min="6427" max="6427" width="13.28515625" customWidth="1"/>
    <col min="6428" max="6428" width="17.140625" customWidth="1"/>
    <col min="6429" max="6430" width="13.42578125" customWidth="1"/>
    <col min="6431" max="6431" width="14.85546875" customWidth="1"/>
    <col min="6432" max="6432" width="13.140625" customWidth="1"/>
    <col min="6433" max="6433" width="14.85546875" customWidth="1"/>
    <col min="6434" max="6434" width="13" customWidth="1"/>
    <col min="6435" max="6436" width="15.5703125" customWidth="1"/>
    <col min="6437" max="6437" width="25.140625" customWidth="1"/>
    <col min="6438" max="6438" width="40.42578125" customWidth="1"/>
    <col min="6439" max="6439" width="19.140625" customWidth="1"/>
    <col min="6440" max="6440" width="17.85546875" customWidth="1"/>
    <col min="6441" max="6441" width="13.140625" customWidth="1"/>
    <col min="6442" max="6442" width="12" customWidth="1"/>
    <col min="6443" max="6443" width="13.85546875" customWidth="1"/>
    <col min="6444" max="6444" width="13.42578125" customWidth="1"/>
    <col min="6445" max="6445" width="19.5703125" customWidth="1"/>
    <col min="6446" max="6446" width="14.28515625" customWidth="1"/>
    <col min="6447" max="6447" width="22.85546875" customWidth="1"/>
    <col min="6448" max="6448" width="16" customWidth="1"/>
    <col min="6449" max="6449" width="14.5703125" customWidth="1"/>
    <col min="6450" max="6450" width="17.85546875" customWidth="1"/>
    <col min="6451" max="6451" width="13.42578125" customWidth="1"/>
    <col min="6452" max="6452" width="21.7109375" customWidth="1"/>
    <col min="6453" max="6453" width="18" customWidth="1"/>
    <col min="6454" max="6454" width="13.5703125" customWidth="1"/>
    <col min="6455" max="6455" width="16.42578125" customWidth="1"/>
    <col min="6456" max="6460" width="13.42578125" customWidth="1"/>
    <col min="6461" max="6461" width="12.7109375" customWidth="1"/>
    <col min="6462" max="6464" width="13.42578125" customWidth="1"/>
    <col min="6465" max="6465" width="14.5703125" customWidth="1"/>
    <col min="6466" max="6466" width="12.140625" customWidth="1"/>
    <col min="6467" max="6480" width="13.42578125" customWidth="1"/>
    <col min="6481" max="6481" width="17.42578125" customWidth="1"/>
    <col min="6482" max="6482" width="14.5703125" customWidth="1"/>
    <col min="6483" max="6491" width="13.42578125" customWidth="1"/>
    <col min="6492" max="6492" width="10.28515625" customWidth="1"/>
    <col min="6493" max="6498" width="13.42578125" customWidth="1"/>
    <col min="6499" max="6499" width="13.140625" customWidth="1"/>
    <col min="6500" max="6500" width="15.42578125" customWidth="1"/>
    <col min="6501" max="6520" width="13.42578125" customWidth="1"/>
    <col min="6521" max="6521" width="20.85546875" customWidth="1"/>
    <col min="6522" max="6522" width="15.5703125" customWidth="1"/>
    <col min="6523" max="6526" width="13.42578125" customWidth="1"/>
    <col min="6527" max="6527" width="20.85546875" customWidth="1"/>
    <col min="6657" max="6657" width="6.42578125" customWidth="1"/>
    <col min="6658" max="6658" width="19.5703125" customWidth="1"/>
    <col min="6659" max="6659" width="13.42578125" customWidth="1"/>
    <col min="6660" max="6660" width="13.5703125" customWidth="1"/>
    <col min="6661" max="6662" width="20.85546875" customWidth="1"/>
    <col min="6663" max="6663" width="16.5703125" customWidth="1"/>
    <col min="6664" max="6664" width="21" customWidth="1"/>
    <col min="6665" max="6665" width="18.85546875" customWidth="1"/>
    <col min="6666" max="6666" width="19.42578125" customWidth="1"/>
    <col min="6667" max="6667" width="18.85546875" customWidth="1"/>
    <col min="6668" max="6668" width="18.140625" customWidth="1"/>
    <col min="6669" max="6670" width="20.85546875" customWidth="1"/>
    <col min="6671" max="6671" width="133.7109375" customWidth="1"/>
    <col min="6672" max="6672" width="19.7109375" customWidth="1"/>
    <col min="6673" max="6673" width="13.28515625" customWidth="1"/>
    <col min="6674" max="6674" width="14.42578125" customWidth="1"/>
    <col min="6675" max="6675" width="11" customWidth="1"/>
    <col min="6676" max="6676" width="13.42578125" customWidth="1"/>
    <col min="6677" max="6677" width="13.5703125" customWidth="1"/>
    <col min="6678" max="6678" width="17.5703125" customWidth="1"/>
    <col min="6679" max="6681" width="13.42578125" customWidth="1"/>
    <col min="6682" max="6682" width="12.7109375" customWidth="1"/>
    <col min="6683" max="6683" width="13.28515625" customWidth="1"/>
    <col min="6684" max="6684" width="17.140625" customWidth="1"/>
    <col min="6685" max="6686" width="13.42578125" customWidth="1"/>
    <col min="6687" max="6687" width="14.85546875" customWidth="1"/>
    <col min="6688" max="6688" width="13.140625" customWidth="1"/>
    <col min="6689" max="6689" width="14.85546875" customWidth="1"/>
    <col min="6690" max="6690" width="13" customWidth="1"/>
    <col min="6691" max="6692" width="15.5703125" customWidth="1"/>
    <col min="6693" max="6693" width="25.140625" customWidth="1"/>
    <col min="6694" max="6694" width="40.42578125" customWidth="1"/>
    <col min="6695" max="6695" width="19.140625" customWidth="1"/>
    <col min="6696" max="6696" width="17.85546875" customWidth="1"/>
    <col min="6697" max="6697" width="13.140625" customWidth="1"/>
    <col min="6698" max="6698" width="12" customWidth="1"/>
    <col min="6699" max="6699" width="13.85546875" customWidth="1"/>
    <col min="6700" max="6700" width="13.42578125" customWidth="1"/>
    <col min="6701" max="6701" width="19.5703125" customWidth="1"/>
    <col min="6702" max="6702" width="14.28515625" customWidth="1"/>
    <col min="6703" max="6703" width="22.85546875" customWidth="1"/>
    <col min="6704" max="6704" width="16" customWidth="1"/>
    <col min="6705" max="6705" width="14.5703125" customWidth="1"/>
    <col min="6706" max="6706" width="17.85546875" customWidth="1"/>
    <col min="6707" max="6707" width="13.42578125" customWidth="1"/>
    <col min="6708" max="6708" width="21.7109375" customWidth="1"/>
    <col min="6709" max="6709" width="18" customWidth="1"/>
    <col min="6710" max="6710" width="13.5703125" customWidth="1"/>
    <col min="6711" max="6711" width="16.42578125" customWidth="1"/>
    <col min="6712" max="6716" width="13.42578125" customWidth="1"/>
    <col min="6717" max="6717" width="12.7109375" customWidth="1"/>
    <col min="6718" max="6720" width="13.42578125" customWidth="1"/>
    <col min="6721" max="6721" width="14.5703125" customWidth="1"/>
    <col min="6722" max="6722" width="12.140625" customWidth="1"/>
    <col min="6723" max="6736" width="13.42578125" customWidth="1"/>
    <col min="6737" max="6737" width="17.42578125" customWidth="1"/>
    <col min="6738" max="6738" width="14.5703125" customWidth="1"/>
    <col min="6739" max="6747" width="13.42578125" customWidth="1"/>
    <col min="6748" max="6748" width="10.28515625" customWidth="1"/>
    <col min="6749" max="6754" width="13.42578125" customWidth="1"/>
    <col min="6755" max="6755" width="13.140625" customWidth="1"/>
    <col min="6756" max="6756" width="15.42578125" customWidth="1"/>
    <col min="6757" max="6776" width="13.42578125" customWidth="1"/>
    <col min="6777" max="6777" width="20.85546875" customWidth="1"/>
    <col min="6778" max="6778" width="15.5703125" customWidth="1"/>
    <col min="6779" max="6782" width="13.42578125" customWidth="1"/>
    <col min="6783" max="6783" width="20.85546875" customWidth="1"/>
    <col min="6913" max="6913" width="6.42578125" customWidth="1"/>
    <col min="6914" max="6914" width="19.5703125" customWidth="1"/>
    <col min="6915" max="6915" width="13.42578125" customWidth="1"/>
    <col min="6916" max="6916" width="13.5703125" customWidth="1"/>
    <col min="6917" max="6918" width="20.85546875" customWidth="1"/>
    <col min="6919" max="6919" width="16.5703125" customWidth="1"/>
    <col min="6920" max="6920" width="21" customWidth="1"/>
    <col min="6921" max="6921" width="18.85546875" customWidth="1"/>
    <col min="6922" max="6922" width="19.42578125" customWidth="1"/>
    <col min="6923" max="6923" width="18.85546875" customWidth="1"/>
    <col min="6924" max="6924" width="18.140625" customWidth="1"/>
    <col min="6925" max="6926" width="20.85546875" customWidth="1"/>
    <col min="6927" max="6927" width="133.7109375" customWidth="1"/>
    <col min="6928" max="6928" width="19.7109375" customWidth="1"/>
    <col min="6929" max="6929" width="13.28515625" customWidth="1"/>
    <col min="6930" max="6930" width="14.42578125" customWidth="1"/>
    <col min="6931" max="6931" width="11" customWidth="1"/>
    <col min="6932" max="6932" width="13.42578125" customWidth="1"/>
    <col min="6933" max="6933" width="13.5703125" customWidth="1"/>
    <col min="6934" max="6934" width="17.5703125" customWidth="1"/>
    <col min="6935" max="6937" width="13.42578125" customWidth="1"/>
    <col min="6938" max="6938" width="12.7109375" customWidth="1"/>
    <col min="6939" max="6939" width="13.28515625" customWidth="1"/>
    <col min="6940" max="6940" width="17.140625" customWidth="1"/>
    <col min="6941" max="6942" width="13.42578125" customWidth="1"/>
    <col min="6943" max="6943" width="14.85546875" customWidth="1"/>
    <col min="6944" max="6944" width="13.140625" customWidth="1"/>
    <col min="6945" max="6945" width="14.85546875" customWidth="1"/>
    <col min="6946" max="6946" width="13" customWidth="1"/>
    <col min="6947" max="6948" width="15.5703125" customWidth="1"/>
    <col min="6949" max="6949" width="25.140625" customWidth="1"/>
    <col min="6950" max="6950" width="40.42578125" customWidth="1"/>
    <col min="6951" max="6951" width="19.140625" customWidth="1"/>
    <col min="6952" max="6952" width="17.85546875" customWidth="1"/>
    <col min="6953" max="6953" width="13.140625" customWidth="1"/>
    <col min="6954" max="6954" width="12" customWidth="1"/>
    <col min="6955" max="6955" width="13.85546875" customWidth="1"/>
    <col min="6956" max="6956" width="13.42578125" customWidth="1"/>
    <col min="6957" max="6957" width="19.5703125" customWidth="1"/>
    <col min="6958" max="6958" width="14.28515625" customWidth="1"/>
    <col min="6959" max="6959" width="22.85546875" customWidth="1"/>
    <col min="6960" max="6960" width="16" customWidth="1"/>
    <col min="6961" max="6961" width="14.5703125" customWidth="1"/>
    <col min="6962" max="6962" width="17.85546875" customWidth="1"/>
    <col min="6963" max="6963" width="13.42578125" customWidth="1"/>
    <col min="6964" max="6964" width="21.7109375" customWidth="1"/>
    <col min="6965" max="6965" width="18" customWidth="1"/>
    <col min="6966" max="6966" width="13.5703125" customWidth="1"/>
    <col min="6967" max="6967" width="16.42578125" customWidth="1"/>
    <col min="6968" max="6972" width="13.42578125" customWidth="1"/>
    <col min="6973" max="6973" width="12.7109375" customWidth="1"/>
    <col min="6974" max="6976" width="13.42578125" customWidth="1"/>
    <col min="6977" max="6977" width="14.5703125" customWidth="1"/>
    <col min="6978" max="6978" width="12.140625" customWidth="1"/>
    <col min="6979" max="6992" width="13.42578125" customWidth="1"/>
    <col min="6993" max="6993" width="17.42578125" customWidth="1"/>
    <col min="6994" max="6994" width="14.5703125" customWidth="1"/>
    <col min="6995" max="7003" width="13.42578125" customWidth="1"/>
    <col min="7004" max="7004" width="10.28515625" customWidth="1"/>
    <col min="7005" max="7010" width="13.42578125" customWidth="1"/>
    <col min="7011" max="7011" width="13.140625" customWidth="1"/>
    <col min="7012" max="7012" width="15.42578125" customWidth="1"/>
    <col min="7013" max="7032" width="13.42578125" customWidth="1"/>
    <col min="7033" max="7033" width="20.85546875" customWidth="1"/>
    <col min="7034" max="7034" width="15.5703125" customWidth="1"/>
    <col min="7035" max="7038" width="13.42578125" customWidth="1"/>
    <col min="7039" max="7039" width="20.85546875" customWidth="1"/>
    <col min="7169" max="7169" width="6.42578125" customWidth="1"/>
    <col min="7170" max="7170" width="19.5703125" customWidth="1"/>
    <col min="7171" max="7171" width="13.42578125" customWidth="1"/>
    <col min="7172" max="7172" width="13.5703125" customWidth="1"/>
    <col min="7173" max="7174" width="20.85546875" customWidth="1"/>
    <col min="7175" max="7175" width="16.5703125" customWidth="1"/>
    <col min="7176" max="7176" width="21" customWidth="1"/>
    <col min="7177" max="7177" width="18.85546875" customWidth="1"/>
    <col min="7178" max="7178" width="19.42578125" customWidth="1"/>
    <col min="7179" max="7179" width="18.85546875" customWidth="1"/>
    <col min="7180" max="7180" width="18.140625" customWidth="1"/>
    <col min="7181" max="7182" width="20.85546875" customWidth="1"/>
    <col min="7183" max="7183" width="133.7109375" customWidth="1"/>
    <col min="7184" max="7184" width="19.7109375" customWidth="1"/>
    <col min="7185" max="7185" width="13.28515625" customWidth="1"/>
    <col min="7186" max="7186" width="14.42578125" customWidth="1"/>
    <col min="7187" max="7187" width="11" customWidth="1"/>
    <col min="7188" max="7188" width="13.42578125" customWidth="1"/>
    <col min="7189" max="7189" width="13.5703125" customWidth="1"/>
    <col min="7190" max="7190" width="17.5703125" customWidth="1"/>
    <col min="7191" max="7193" width="13.42578125" customWidth="1"/>
    <col min="7194" max="7194" width="12.7109375" customWidth="1"/>
    <col min="7195" max="7195" width="13.28515625" customWidth="1"/>
    <col min="7196" max="7196" width="17.140625" customWidth="1"/>
    <col min="7197" max="7198" width="13.42578125" customWidth="1"/>
    <col min="7199" max="7199" width="14.85546875" customWidth="1"/>
    <col min="7200" max="7200" width="13.140625" customWidth="1"/>
    <col min="7201" max="7201" width="14.85546875" customWidth="1"/>
    <col min="7202" max="7202" width="13" customWidth="1"/>
    <col min="7203" max="7204" width="15.5703125" customWidth="1"/>
    <col min="7205" max="7205" width="25.140625" customWidth="1"/>
    <col min="7206" max="7206" width="40.42578125" customWidth="1"/>
    <col min="7207" max="7207" width="19.140625" customWidth="1"/>
    <col min="7208" max="7208" width="17.85546875" customWidth="1"/>
    <col min="7209" max="7209" width="13.140625" customWidth="1"/>
    <col min="7210" max="7210" width="12" customWidth="1"/>
    <col min="7211" max="7211" width="13.85546875" customWidth="1"/>
    <col min="7212" max="7212" width="13.42578125" customWidth="1"/>
    <col min="7213" max="7213" width="19.5703125" customWidth="1"/>
    <col min="7214" max="7214" width="14.28515625" customWidth="1"/>
    <col min="7215" max="7215" width="22.85546875" customWidth="1"/>
    <col min="7216" max="7216" width="16" customWidth="1"/>
    <col min="7217" max="7217" width="14.5703125" customWidth="1"/>
    <col min="7218" max="7218" width="17.85546875" customWidth="1"/>
    <col min="7219" max="7219" width="13.42578125" customWidth="1"/>
    <col min="7220" max="7220" width="21.7109375" customWidth="1"/>
    <col min="7221" max="7221" width="18" customWidth="1"/>
    <col min="7222" max="7222" width="13.5703125" customWidth="1"/>
    <col min="7223" max="7223" width="16.42578125" customWidth="1"/>
    <col min="7224" max="7228" width="13.42578125" customWidth="1"/>
    <col min="7229" max="7229" width="12.7109375" customWidth="1"/>
    <col min="7230" max="7232" width="13.42578125" customWidth="1"/>
    <col min="7233" max="7233" width="14.5703125" customWidth="1"/>
    <col min="7234" max="7234" width="12.140625" customWidth="1"/>
    <col min="7235" max="7248" width="13.42578125" customWidth="1"/>
    <col min="7249" max="7249" width="17.42578125" customWidth="1"/>
    <col min="7250" max="7250" width="14.5703125" customWidth="1"/>
    <col min="7251" max="7259" width="13.42578125" customWidth="1"/>
    <col min="7260" max="7260" width="10.28515625" customWidth="1"/>
    <col min="7261" max="7266" width="13.42578125" customWidth="1"/>
    <col min="7267" max="7267" width="13.140625" customWidth="1"/>
    <col min="7268" max="7268" width="15.42578125" customWidth="1"/>
    <col min="7269" max="7288" width="13.42578125" customWidth="1"/>
    <col min="7289" max="7289" width="20.85546875" customWidth="1"/>
    <col min="7290" max="7290" width="15.5703125" customWidth="1"/>
    <col min="7291" max="7294" width="13.42578125" customWidth="1"/>
    <col min="7295" max="7295" width="20.85546875" customWidth="1"/>
    <col min="7425" max="7425" width="6.42578125" customWidth="1"/>
    <col min="7426" max="7426" width="19.5703125" customWidth="1"/>
    <col min="7427" max="7427" width="13.42578125" customWidth="1"/>
    <col min="7428" max="7428" width="13.5703125" customWidth="1"/>
    <col min="7429" max="7430" width="20.85546875" customWidth="1"/>
    <col min="7431" max="7431" width="16.5703125" customWidth="1"/>
    <col min="7432" max="7432" width="21" customWidth="1"/>
    <col min="7433" max="7433" width="18.85546875" customWidth="1"/>
    <col min="7434" max="7434" width="19.42578125" customWidth="1"/>
    <col min="7435" max="7435" width="18.85546875" customWidth="1"/>
    <col min="7436" max="7436" width="18.140625" customWidth="1"/>
    <col min="7437" max="7438" width="20.85546875" customWidth="1"/>
    <col min="7439" max="7439" width="133.7109375" customWidth="1"/>
    <col min="7440" max="7440" width="19.7109375" customWidth="1"/>
    <col min="7441" max="7441" width="13.28515625" customWidth="1"/>
    <col min="7442" max="7442" width="14.42578125" customWidth="1"/>
    <col min="7443" max="7443" width="11" customWidth="1"/>
    <col min="7444" max="7444" width="13.42578125" customWidth="1"/>
    <col min="7445" max="7445" width="13.5703125" customWidth="1"/>
    <col min="7446" max="7446" width="17.5703125" customWidth="1"/>
    <col min="7447" max="7449" width="13.42578125" customWidth="1"/>
    <col min="7450" max="7450" width="12.7109375" customWidth="1"/>
    <col min="7451" max="7451" width="13.28515625" customWidth="1"/>
    <col min="7452" max="7452" width="17.140625" customWidth="1"/>
    <col min="7453" max="7454" width="13.42578125" customWidth="1"/>
    <col min="7455" max="7455" width="14.85546875" customWidth="1"/>
    <col min="7456" max="7456" width="13.140625" customWidth="1"/>
    <col min="7457" max="7457" width="14.85546875" customWidth="1"/>
    <col min="7458" max="7458" width="13" customWidth="1"/>
    <col min="7459" max="7460" width="15.5703125" customWidth="1"/>
    <col min="7461" max="7461" width="25.140625" customWidth="1"/>
    <col min="7462" max="7462" width="40.42578125" customWidth="1"/>
    <col min="7463" max="7463" width="19.140625" customWidth="1"/>
    <col min="7464" max="7464" width="17.85546875" customWidth="1"/>
    <col min="7465" max="7465" width="13.140625" customWidth="1"/>
    <col min="7466" max="7466" width="12" customWidth="1"/>
    <col min="7467" max="7467" width="13.85546875" customWidth="1"/>
    <col min="7468" max="7468" width="13.42578125" customWidth="1"/>
    <col min="7469" max="7469" width="19.5703125" customWidth="1"/>
    <col min="7470" max="7470" width="14.28515625" customWidth="1"/>
    <col min="7471" max="7471" width="22.85546875" customWidth="1"/>
    <col min="7472" max="7472" width="16" customWidth="1"/>
    <col min="7473" max="7473" width="14.5703125" customWidth="1"/>
    <col min="7474" max="7474" width="17.85546875" customWidth="1"/>
    <col min="7475" max="7475" width="13.42578125" customWidth="1"/>
    <col min="7476" max="7476" width="21.7109375" customWidth="1"/>
    <col min="7477" max="7477" width="18" customWidth="1"/>
    <col min="7478" max="7478" width="13.5703125" customWidth="1"/>
    <col min="7479" max="7479" width="16.42578125" customWidth="1"/>
    <col min="7480" max="7484" width="13.42578125" customWidth="1"/>
    <col min="7485" max="7485" width="12.7109375" customWidth="1"/>
    <col min="7486" max="7488" width="13.42578125" customWidth="1"/>
    <col min="7489" max="7489" width="14.5703125" customWidth="1"/>
    <col min="7490" max="7490" width="12.140625" customWidth="1"/>
    <col min="7491" max="7504" width="13.42578125" customWidth="1"/>
    <col min="7505" max="7505" width="17.42578125" customWidth="1"/>
    <col min="7506" max="7506" width="14.5703125" customWidth="1"/>
    <col min="7507" max="7515" width="13.42578125" customWidth="1"/>
    <col min="7516" max="7516" width="10.28515625" customWidth="1"/>
    <col min="7517" max="7522" width="13.42578125" customWidth="1"/>
    <col min="7523" max="7523" width="13.140625" customWidth="1"/>
    <col min="7524" max="7524" width="15.42578125" customWidth="1"/>
    <col min="7525" max="7544" width="13.42578125" customWidth="1"/>
    <col min="7545" max="7545" width="20.85546875" customWidth="1"/>
    <col min="7546" max="7546" width="15.5703125" customWidth="1"/>
    <col min="7547" max="7550" width="13.42578125" customWidth="1"/>
    <col min="7551" max="7551" width="20.85546875" customWidth="1"/>
    <col min="7681" max="7681" width="6.42578125" customWidth="1"/>
    <col min="7682" max="7682" width="19.5703125" customWidth="1"/>
    <col min="7683" max="7683" width="13.42578125" customWidth="1"/>
    <col min="7684" max="7684" width="13.5703125" customWidth="1"/>
    <col min="7685" max="7686" width="20.85546875" customWidth="1"/>
    <col min="7687" max="7687" width="16.5703125" customWidth="1"/>
    <col min="7688" max="7688" width="21" customWidth="1"/>
    <col min="7689" max="7689" width="18.85546875" customWidth="1"/>
    <col min="7690" max="7690" width="19.42578125" customWidth="1"/>
    <col min="7691" max="7691" width="18.85546875" customWidth="1"/>
    <col min="7692" max="7692" width="18.140625" customWidth="1"/>
    <col min="7693" max="7694" width="20.85546875" customWidth="1"/>
    <col min="7695" max="7695" width="133.7109375" customWidth="1"/>
    <col min="7696" max="7696" width="19.7109375" customWidth="1"/>
    <col min="7697" max="7697" width="13.28515625" customWidth="1"/>
    <col min="7698" max="7698" width="14.42578125" customWidth="1"/>
    <col min="7699" max="7699" width="11" customWidth="1"/>
    <col min="7700" max="7700" width="13.42578125" customWidth="1"/>
    <col min="7701" max="7701" width="13.5703125" customWidth="1"/>
    <col min="7702" max="7702" width="17.5703125" customWidth="1"/>
    <col min="7703" max="7705" width="13.42578125" customWidth="1"/>
    <col min="7706" max="7706" width="12.7109375" customWidth="1"/>
    <col min="7707" max="7707" width="13.28515625" customWidth="1"/>
    <col min="7708" max="7708" width="17.140625" customWidth="1"/>
    <col min="7709" max="7710" width="13.42578125" customWidth="1"/>
    <col min="7711" max="7711" width="14.85546875" customWidth="1"/>
    <col min="7712" max="7712" width="13.140625" customWidth="1"/>
    <col min="7713" max="7713" width="14.85546875" customWidth="1"/>
    <col min="7714" max="7714" width="13" customWidth="1"/>
    <col min="7715" max="7716" width="15.5703125" customWidth="1"/>
    <col min="7717" max="7717" width="25.140625" customWidth="1"/>
    <col min="7718" max="7718" width="40.42578125" customWidth="1"/>
    <col min="7719" max="7719" width="19.140625" customWidth="1"/>
    <col min="7720" max="7720" width="17.85546875" customWidth="1"/>
    <col min="7721" max="7721" width="13.140625" customWidth="1"/>
    <col min="7722" max="7722" width="12" customWidth="1"/>
    <col min="7723" max="7723" width="13.85546875" customWidth="1"/>
    <col min="7724" max="7724" width="13.42578125" customWidth="1"/>
    <col min="7725" max="7725" width="19.5703125" customWidth="1"/>
    <col min="7726" max="7726" width="14.28515625" customWidth="1"/>
    <col min="7727" max="7727" width="22.85546875" customWidth="1"/>
    <col min="7728" max="7728" width="16" customWidth="1"/>
    <col min="7729" max="7729" width="14.5703125" customWidth="1"/>
    <col min="7730" max="7730" width="17.85546875" customWidth="1"/>
    <col min="7731" max="7731" width="13.42578125" customWidth="1"/>
    <col min="7732" max="7732" width="21.7109375" customWidth="1"/>
    <col min="7733" max="7733" width="18" customWidth="1"/>
    <col min="7734" max="7734" width="13.5703125" customWidth="1"/>
    <col min="7735" max="7735" width="16.42578125" customWidth="1"/>
    <col min="7736" max="7740" width="13.42578125" customWidth="1"/>
    <col min="7741" max="7741" width="12.7109375" customWidth="1"/>
    <col min="7742" max="7744" width="13.42578125" customWidth="1"/>
    <col min="7745" max="7745" width="14.5703125" customWidth="1"/>
    <col min="7746" max="7746" width="12.140625" customWidth="1"/>
    <col min="7747" max="7760" width="13.42578125" customWidth="1"/>
    <col min="7761" max="7761" width="17.42578125" customWidth="1"/>
    <col min="7762" max="7762" width="14.5703125" customWidth="1"/>
    <col min="7763" max="7771" width="13.42578125" customWidth="1"/>
    <col min="7772" max="7772" width="10.28515625" customWidth="1"/>
    <col min="7773" max="7778" width="13.42578125" customWidth="1"/>
    <col min="7779" max="7779" width="13.140625" customWidth="1"/>
    <col min="7780" max="7780" width="15.42578125" customWidth="1"/>
    <col min="7781" max="7800" width="13.42578125" customWidth="1"/>
    <col min="7801" max="7801" width="20.85546875" customWidth="1"/>
    <col min="7802" max="7802" width="15.5703125" customWidth="1"/>
    <col min="7803" max="7806" width="13.42578125" customWidth="1"/>
    <col min="7807" max="7807" width="20.85546875" customWidth="1"/>
    <col min="7937" max="7937" width="6.42578125" customWidth="1"/>
    <col min="7938" max="7938" width="19.5703125" customWidth="1"/>
    <col min="7939" max="7939" width="13.42578125" customWidth="1"/>
    <col min="7940" max="7940" width="13.5703125" customWidth="1"/>
    <col min="7941" max="7942" width="20.85546875" customWidth="1"/>
    <col min="7943" max="7943" width="16.5703125" customWidth="1"/>
    <col min="7944" max="7944" width="21" customWidth="1"/>
    <col min="7945" max="7945" width="18.85546875" customWidth="1"/>
    <col min="7946" max="7946" width="19.42578125" customWidth="1"/>
    <col min="7947" max="7947" width="18.85546875" customWidth="1"/>
    <col min="7948" max="7948" width="18.140625" customWidth="1"/>
    <col min="7949" max="7950" width="20.85546875" customWidth="1"/>
    <col min="7951" max="7951" width="133.7109375" customWidth="1"/>
    <col min="7952" max="7952" width="19.7109375" customWidth="1"/>
    <col min="7953" max="7953" width="13.28515625" customWidth="1"/>
    <col min="7954" max="7954" width="14.42578125" customWidth="1"/>
    <col min="7955" max="7955" width="11" customWidth="1"/>
    <col min="7956" max="7956" width="13.42578125" customWidth="1"/>
    <col min="7957" max="7957" width="13.5703125" customWidth="1"/>
    <col min="7958" max="7958" width="17.5703125" customWidth="1"/>
    <col min="7959" max="7961" width="13.42578125" customWidth="1"/>
    <col min="7962" max="7962" width="12.7109375" customWidth="1"/>
    <col min="7963" max="7963" width="13.28515625" customWidth="1"/>
    <col min="7964" max="7964" width="17.140625" customWidth="1"/>
    <col min="7965" max="7966" width="13.42578125" customWidth="1"/>
    <col min="7967" max="7967" width="14.85546875" customWidth="1"/>
    <col min="7968" max="7968" width="13.140625" customWidth="1"/>
    <col min="7969" max="7969" width="14.85546875" customWidth="1"/>
    <col min="7970" max="7970" width="13" customWidth="1"/>
    <col min="7971" max="7972" width="15.5703125" customWidth="1"/>
    <col min="7973" max="7973" width="25.140625" customWidth="1"/>
    <col min="7974" max="7974" width="40.42578125" customWidth="1"/>
    <col min="7975" max="7975" width="19.140625" customWidth="1"/>
    <col min="7976" max="7976" width="17.85546875" customWidth="1"/>
    <col min="7977" max="7977" width="13.140625" customWidth="1"/>
    <col min="7978" max="7978" width="12" customWidth="1"/>
    <col min="7979" max="7979" width="13.85546875" customWidth="1"/>
    <col min="7980" max="7980" width="13.42578125" customWidth="1"/>
    <col min="7981" max="7981" width="19.5703125" customWidth="1"/>
    <col min="7982" max="7982" width="14.28515625" customWidth="1"/>
    <col min="7983" max="7983" width="22.85546875" customWidth="1"/>
    <col min="7984" max="7984" width="16" customWidth="1"/>
    <col min="7985" max="7985" width="14.5703125" customWidth="1"/>
    <col min="7986" max="7986" width="17.85546875" customWidth="1"/>
    <col min="7987" max="7987" width="13.42578125" customWidth="1"/>
    <col min="7988" max="7988" width="21.7109375" customWidth="1"/>
    <col min="7989" max="7989" width="18" customWidth="1"/>
    <col min="7990" max="7990" width="13.5703125" customWidth="1"/>
    <col min="7991" max="7991" width="16.42578125" customWidth="1"/>
    <col min="7992" max="7996" width="13.42578125" customWidth="1"/>
    <col min="7997" max="7997" width="12.7109375" customWidth="1"/>
    <col min="7998" max="8000" width="13.42578125" customWidth="1"/>
    <col min="8001" max="8001" width="14.5703125" customWidth="1"/>
    <col min="8002" max="8002" width="12.140625" customWidth="1"/>
    <col min="8003" max="8016" width="13.42578125" customWidth="1"/>
    <col min="8017" max="8017" width="17.42578125" customWidth="1"/>
    <col min="8018" max="8018" width="14.5703125" customWidth="1"/>
    <col min="8019" max="8027" width="13.42578125" customWidth="1"/>
    <col min="8028" max="8028" width="10.28515625" customWidth="1"/>
    <col min="8029" max="8034" width="13.42578125" customWidth="1"/>
    <col min="8035" max="8035" width="13.140625" customWidth="1"/>
    <col min="8036" max="8036" width="15.42578125" customWidth="1"/>
    <col min="8037" max="8056" width="13.42578125" customWidth="1"/>
    <col min="8057" max="8057" width="20.85546875" customWidth="1"/>
    <col min="8058" max="8058" width="15.5703125" customWidth="1"/>
    <col min="8059" max="8062" width="13.42578125" customWidth="1"/>
    <col min="8063" max="8063" width="20.85546875" customWidth="1"/>
    <col min="8193" max="8193" width="6.42578125" customWidth="1"/>
    <col min="8194" max="8194" width="19.5703125" customWidth="1"/>
    <col min="8195" max="8195" width="13.42578125" customWidth="1"/>
    <col min="8196" max="8196" width="13.5703125" customWidth="1"/>
    <col min="8197" max="8198" width="20.85546875" customWidth="1"/>
    <col min="8199" max="8199" width="16.5703125" customWidth="1"/>
    <col min="8200" max="8200" width="21" customWidth="1"/>
    <col min="8201" max="8201" width="18.85546875" customWidth="1"/>
    <col min="8202" max="8202" width="19.42578125" customWidth="1"/>
    <col min="8203" max="8203" width="18.85546875" customWidth="1"/>
    <col min="8204" max="8204" width="18.140625" customWidth="1"/>
    <col min="8205" max="8206" width="20.85546875" customWidth="1"/>
    <col min="8207" max="8207" width="133.7109375" customWidth="1"/>
    <col min="8208" max="8208" width="19.7109375" customWidth="1"/>
    <col min="8209" max="8209" width="13.28515625" customWidth="1"/>
    <col min="8210" max="8210" width="14.42578125" customWidth="1"/>
    <col min="8211" max="8211" width="11" customWidth="1"/>
    <col min="8212" max="8212" width="13.42578125" customWidth="1"/>
    <col min="8213" max="8213" width="13.5703125" customWidth="1"/>
    <col min="8214" max="8214" width="17.5703125" customWidth="1"/>
    <col min="8215" max="8217" width="13.42578125" customWidth="1"/>
    <col min="8218" max="8218" width="12.7109375" customWidth="1"/>
    <col min="8219" max="8219" width="13.28515625" customWidth="1"/>
    <col min="8220" max="8220" width="17.140625" customWidth="1"/>
    <col min="8221" max="8222" width="13.42578125" customWidth="1"/>
    <col min="8223" max="8223" width="14.85546875" customWidth="1"/>
    <col min="8224" max="8224" width="13.140625" customWidth="1"/>
    <col min="8225" max="8225" width="14.85546875" customWidth="1"/>
    <col min="8226" max="8226" width="13" customWidth="1"/>
    <col min="8227" max="8228" width="15.5703125" customWidth="1"/>
    <col min="8229" max="8229" width="25.140625" customWidth="1"/>
    <col min="8230" max="8230" width="40.42578125" customWidth="1"/>
    <col min="8231" max="8231" width="19.140625" customWidth="1"/>
    <col min="8232" max="8232" width="17.85546875" customWidth="1"/>
    <col min="8233" max="8233" width="13.140625" customWidth="1"/>
    <col min="8234" max="8234" width="12" customWidth="1"/>
    <col min="8235" max="8235" width="13.85546875" customWidth="1"/>
    <col min="8236" max="8236" width="13.42578125" customWidth="1"/>
    <col min="8237" max="8237" width="19.5703125" customWidth="1"/>
    <col min="8238" max="8238" width="14.28515625" customWidth="1"/>
    <col min="8239" max="8239" width="22.85546875" customWidth="1"/>
    <col min="8240" max="8240" width="16" customWidth="1"/>
    <col min="8241" max="8241" width="14.5703125" customWidth="1"/>
    <col min="8242" max="8242" width="17.85546875" customWidth="1"/>
    <col min="8243" max="8243" width="13.42578125" customWidth="1"/>
    <col min="8244" max="8244" width="21.7109375" customWidth="1"/>
    <col min="8245" max="8245" width="18" customWidth="1"/>
    <col min="8246" max="8246" width="13.5703125" customWidth="1"/>
    <col min="8247" max="8247" width="16.42578125" customWidth="1"/>
    <col min="8248" max="8252" width="13.42578125" customWidth="1"/>
    <col min="8253" max="8253" width="12.7109375" customWidth="1"/>
    <col min="8254" max="8256" width="13.42578125" customWidth="1"/>
    <col min="8257" max="8257" width="14.5703125" customWidth="1"/>
    <col min="8258" max="8258" width="12.140625" customWidth="1"/>
    <col min="8259" max="8272" width="13.42578125" customWidth="1"/>
    <col min="8273" max="8273" width="17.42578125" customWidth="1"/>
    <col min="8274" max="8274" width="14.5703125" customWidth="1"/>
    <col min="8275" max="8283" width="13.42578125" customWidth="1"/>
    <col min="8284" max="8284" width="10.28515625" customWidth="1"/>
    <col min="8285" max="8290" width="13.42578125" customWidth="1"/>
    <col min="8291" max="8291" width="13.140625" customWidth="1"/>
    <col min="8292" max="8292" width="15.42578125" customWidth="1"/>
    <col min="8293" max="8312" width="13.42578125" customWidth="1"/>
    <col min="8313" max="8313" width="20.85546875" customWidth="1"/>
    <col min="8314" max="8314" width="15.5703125" customWidth="1"/>
    <col min="8315" max="8318" width="13.42578125" customWidth="1"/>
    <col min="8319" max="8319" width="20.85546875" customWidth="1"/>
    <col min="8449" max="8449" width="6.42578125" customWidth="1"/>
    <col min="8450" max="8450" width="19.5703125" customWidth="1"/>
    <col min="8451" max="8451" width="13.42578125" customWidth="1"/>
    <col min="8452" max="8452" width="13.5703125" customWidth="1"/>
    <col min="8453" max="8454" width="20.85546875" customWidth="1"/>
    <col min="8455" max="8455" width="16.5703125" customWidth="1"/>
    <col min="8456" max="8456" width="21" customWidth="1"/>
    <col min="8457" max="8457" width="18.85546875" customWidth="1"/>
    <col min="8458" max="8458" width="19.42578125" customWidth="1"/>
    <col min="8459" max="8459" width="18.85546875" customWidth="1"/>
    <col min="8460" max="8460" width="18.140625" customWidth="1"/>
    <col min="8461" max="8462" width="20.85546875" customWidth="1"/>
    <col min="8463" max="8463" width="133.7109375" customWidth="1"/>
    <col min="8464" max="8464" width="19.7109375" customWidth="1"/>
    <col min="8465" max="8465" width="13.28515625" customWidth="1"/>
    <col min="8466" max="8466" width="14.42578125" customWidth="1"/>
    <col min="8467" max="8467" width="11" customWidth="1"/>
    <col min="8468" max="8468" width="13.42578125" customWidth="1"/>
    <col min="8469" max="8469" width="13.5703125" customWidth="1"/>
    <col min="8470" max="8470" width="17.5703125" customWidth="1"/>
    <col min="8471" max="8473" width="13.42578125" customWidth="1"/>
    <col min="8474" max="8474" width="12.7109375" customWidth="1"/>
    <col min="8475" max="8475" width="13.28515625" customWidth="1"/>
    <col min="8476" max="8476" width="17.140625" customWidth="1"/>
    <col min="8477" max="8478" width="13.42578125" customWidth="1"/>
    <col min="8479" max="8479" width="14.85546875" customWidth="1"/>
    <col min="8480" max="8480" width="13.140625" customWidth="1"/>
    <col min="8481" max="8481" width="14.85546875" customWidth="1"/>
    <col min="8482" max="8482" width="13" customWidth="1"/>
    <col min="8483" max="8484" width="15.5703125" customWidth="1"/>
    <col min="8485" max="8485" width="25.140625" customWidth="1"/>
    <col min="8486" max="8486" width="40.42578125" customWidth="1"/>
    <col min="8487" max="8487" width="19.140625" customWidth="1"/>
    <col min="8488" max="8488" width="17.85546875" customWidth="1"/>
    <col min="8489" max="8489" width="13.140625" customWidth="1"/>
    <col min="8490" max="8490" width="12" customWidth="1"/>
    <col min="8491" max="8491" width="13.85546875" customWidth="1"/>
    <col min="8492" max="8492" width="13.42578125" customWidth="1"/>
    <col min="8493" max="8493" width="19.5703125" customWidth="1"/>
    <col min="8494" max="8494" width="14.28515625" customWidth="1"/>
    <col min="8495" max="8495" width="22.85546875" customWidth="1"/>
    <col min="8496" max="8496" width="16" customWidth="1"/>
    <col min="8497" max="8497" width="14.5703125" customWidth="1"/>
    <col min="8498" max="8498" width="17.85546875" customWidth="1"/>
    <col min="8499" max="8499" width="13.42578125" customWidth="1"/>
    <col min="8500" max="8500" width="21.7109375" customWidth="1"/>
    <col min="8501" max="8501" width="18" customWidth="1"/>
    <col min="8502" max="8502" width="13.5703125" customWidth="1"/>
    <col min="8503" max="8503" width="16.42578125" customWidth="1"/>
    <col min="8504" max="8508" width="13.42578125" customWidth="1"/>
    <col min="8509" max="8509" width="12.7109375" customWidth="1"/>
    <col min="8510" max="8512" width="13.42578125" customWidth="1"/>
    <col min="8513" max="8513" width="14.5703125" customWidth="1"/>
    <col min="8514" max="8514" width="12.140625" customWidth="1"/>
    <col min="8515" max="8528" width="13.42578125" customWidth="1"/>
    <col min="8529" max="8529" width="17.42578125" customWidth="1"/>
    <col min="8530" max="8530" width="14.5703125" customWidth="1"/>
    <col min="8531" max="8539" width="13.42578125" customWidth="1"/>
    <col min="8540" max="8540" width="10.28515625" customWidth="1"/>
    <col min="8541" max="8546" width="13.42578125" customWidth="1"/>
    <col min="8547" max="8547" width="13.140625" customWidth="1"/>
    <col min="8548" max="8548" width="15.42578125" customWidth="1"/>
    <col min="8549" max="8568" width="13.42578125" customWidth="1"/>
    <col min="8569" max="8569" width="20.85546875" customWidth="1"/>
    <col min="8570" max="8570" width="15.5703125" customWidth="1"/>
    <col min="8571" max="8574" width="13.42578125" customWidth="1"/>
    <col min="8575" max="8575" width="20.85546875" customWidth="1"/>
    <col min="8705" max="8705" width="6.42578125" customWidth="1"/>
    <col min="8706" max="8706" width="19.5703125" customWidth="1"/>
    <col min="8707" max="8707" width="13.42578125" customWidth="1"/>
    <col min="8708" max="8708" width="13.5703125" customWidth="1"/>
    <col min="8709" max="8710" width="20.85546875" customWidth="1"/>
    <col min="8711" max="8711" width="16.5703125" customWidth="1"/>
    <col min="8712" max="8712" width="21" customWidth="1"/>
    <col min="8713" max="8713" width="18.85546875" customWidth="1"/>
    <col min="8714" max="8714" width="19.42578125" customWidth="1"/>
    <col min="8715" max="8715" width="18.85546875" customWidth="1"/>
    <col min="8716" max="8716" width="18.140625" customWidth="1"/>
    <col min="8717" max="8718" width="20.85546875" customWidth="1"/>
    <col min="8719" max="8719" width="133.7109375" customWidth="1"/>
    <col min="8720" max="8720" width="19.7109375" customWidth="1"/>
    <col min="8721" max="8721" width="13.28515625" customWidth="1"/>
    <col min="8722" max="8722" width="14.42578125" customWidth="1"/>
    <col min="8723" max="8723" width="11" customWidth="1"/>
    <col min="8724" max="8724" width="13.42578125" customWidth="1"/>
    <col min="8725" max="8725" width="13.5703125" customWidth="1"/>
    <col min="8726" max="8726" width="17.5703125" customWidth="1"/>
    <col min="8727" max="8729" width="13.42578125" customWidth="1"/>
    <col min="8730" max="8730" width="12.7109375" customWidth="1"/>
    <col min="8731" max="8731" width="13.28515625" customWidth="1"/>
    <col min="8732" max="8732" width="17.140625" customWidth="1"/>
    <col min="8733" max="8734" width="13.42578125" customWidth="1"/>
    <col min="8735" max="8735" width="14.85546875" customWidth="1"/>
    <col min="8736" max="8736" width="13.140625" customWidth="1"/>
    <col min="8737" max="8737" width="14.85546875" customWidth="1"/>
    <col min="8738" max="8738" width="13" customWidth="1"/>
    <col min="8739" max="8740" width="15.5703125" customWidth="1"/>
    <col min="8741" max="8741" width="25.140625" customWidth="1"/>
    <col min="8742" max="8742" width="40.42578125" customWidth="1"/>
    <col min="8743" max="8743" width="19.140625" customWidth="1"/>
    <col min="8744" max="8744" width="17.85546875" customWidth="1"/>
    <col min="8745" max="8745" width="13.140625" customWidth="1"/>
    <col min="8746" max="8746" width="12" customWidth="1"/>
    <col min="8747" max="8747" width="13.85546875" customWidth="1"/>
    <col min="8748" max="8748" width="13.42578125" customWidth="1"/>
    <col min="8749" max="8749" width="19.5703125" customWidth="1"/>
    <col min="8750" max="8750" width="14.28515625" customWidth="1"/>
    <col min="8751" max="8751" width="22.85546875" customWidth="1"/>
    <col min="8752" max="8752" width="16" customWidth="1"/>
    <col min="8753" max="8753" width="14.5703125" customWidth="1"/>
    <col min="8754" max="8754" width="17.85546875" customWidth="1"/>
    <col min="8755" max="8755" width="13.42578125" customWidth="1"/>
    <col min="8756" max="8756" width="21.7109375" customWidth="1"/>
    <col min="8757" max="8757" width="18" customWidth="1"/>
    <col min="8758" max="8758" width="13.5703125" customWidth="1"/>
    <col min="8759" max="8759" width="16.42578125" customWidth="1"/>
    <col min="8760" max="8764" width="13.42578125" customWidth="1"/>
    <col min="8765" max="8765" width="12.7109375" customWidth="1"/>
    <col min="8766" max="8768" width="13.42578125" customWidth="1"/>
    <col min="8769" max="8769" width="14.5703125" customWidth="1"/>
    <col min="8770" max="8770" width="12.140625" customWidth="1"/>
    <col min="8771" max="8784" width="13.42578125" customWidth="1"/>
    <col min="8785" max="8785" width="17.42578125" customWidth="1"/>
    <col min="8786" max="8786" width="14.5703125" customWidth="1"/>
    <col min="8787" max="8795" width="13.42578125" customWidth="1"/>
    <col min="8796" max="8796" width="10.28515625" customWidth="1"/>
    <col min="8797" max="8802" width="13.42578125" customWidth="1"/>
    <col min="8803" max="8803" width="13.140625" customWidth="1"/>
    <col min="8804" max="8804" width="15.42578125" customWidth="1"/>
    <col min="8805" max="8824" width="13.42578125" customWidth="1"/>
    <col min="8825" max="8825" width="20.85546875" customWidth="1"/>
    <col min="8826" max="8826" width="15.5703125" customWidth="1"/>
    <col min="8827" max="8830" width="13.42578125" customWidth="1"/>
    <col min="8831" max="8831" width="20.85546875" customWidth="1"/>
    <col min="8961" max="8961" width="6.42578125" customWidth="1"/>
    <col min="8962" max="8962" width="19.5703125" customWidth="1"/>
    <col min="8963" max="8963" width="13.42578125" customWidth="1"/>
    <col min="8964" max="8964" width="13.5703125" customWidth="1"/>
    <col min="8965" max="8966" width="20.85546875" customWidth="1"/>
    <col min="8967" max="8967" width="16.5703125" customWidth="1"/>
    <col min="8968" max="8968" width="21" customWidth="1"/>
    <col min="8969" max="8969" width="18.85546875" customWidth="1"/>
    <col min="8970" max="8970" width="19.42578125" customWidth="1"/>
    <col min="8971" max="8971" width="18.85546875" customWidth="1"/>
    <col min="8972" max="8972" width="18.140625" customWidth="1"/>
    <col min="8973" max="8974" width="20.85546875" customWidth="1"/>
    <col min="8975" max="8975" width="133.7109375" customWidth="1"/>
    <col min="8976" max="8976" width="19.7109375" customWidth="1"/>
    <col min="8977" max="8977" width="13.28515625" customWidth="1"/>
    <col min="8978" max="8978" width="14.42578125" customWidth="1"/>
    <col min="8979" max="8979" width="11" customWidth="1"/>
    <col min="8980" max="8980" width="13.42578125" customWidth="1"/>
    <col min="8981" max="8981" width="13.5703125" customWidth="1"/>
    <col min="8982" max="8982" width="17.5703125" customWidth="1"/>
    <col min="8983" max="8985" width="13.42578125" customWidth="1"/>
    <col min="8986" max="8986" width="12.7109375" customWidth="1"/>
    <col min="8987" max="8987" width="13.28515625" customWidth="1"/>
    <col min="8988" max="8988" width="17.140625" customWidth="1"/>
    <col min="8989" max="8990" width="13.42578125" customWidth="1"/>
    <col min="8991" max="8991" width="14.85546875" customWidth="1"/>
    <col min="8992" max="8992" width="13.140625" customWidth="1"/>
    <col min="8993" max="8993" width="14.85546875" customWidth="1"/>
    <col min="8994" max="8994" width="13" customWidth="1"/>
    <col min="8995" max="8996" width="15.5703125" customWidth="1"/>
    <col min="8997" max="8997" width="25.140625" customWidth="1"/>
    <col min="8998" max="8998" width="40.42578125" customWidth="1"/>
    <col min="8999" max="8999" width="19.140625" customWidth="1"/>
    <col min="9000" max="9000" width="17.85546875" customWidth="1"/>
    <col min="9001" max="9001" width="13.140625" customWidth="1"/>
    <col min="9002" max="9002" width="12" customWidth="1"/>
    <col min="9003" max="9003" width="13.85546875" customWidth="1"/>
    <col min="9004" max="9004" width="13.42578125" customWidth="1"/>
    <col min="9005" max="9005" width="19.5703125" customWidth="1"/>
    <col min="9006" max="9006" width="14.28515625" customWidth="1"/>
    <col min="9007" max="9007" width="22.85546875" customWidth="1"/>
    <col min="9008" max="9008" width="16" customWidth="1"/>
    <col min="9009" max="9009" width="14.5703125" customWidth="1"/>
    <col min="9010" max="9010" width="17.85546875" customWidth="1"/>
    <col min="9011" max="9011" width="13.42578125" customWidth="1"/>
    <col min="9012" max="9012" width="21.7109375" customWidth="1"/>
    <col min="9013" max="9013" width="18" customWidth="1"/>
    <col min="9014" max="9014" width="13.5703125" customWidth="1"/>
    <col min="9015" max="9015" width="16.42578125" customWidth="1"/>
    <col min="9016" max="9020" width="13.42578125" customWidth="1"/>
    <col min="9021" max="9021" width="12.7109375" customWidth="1"/>
    <col min="9022" max="9024" width="13.42578125" customWidth="1"/>
    <col min="9025" max="9025" width="14.5703125" customWidth="1"/>
    <col min="9026" max="9026" width="12.140625" customWidth="1"/>
    <col min="9027" max="9040" width="13.42578125" customWidth="1"/>
    <col min="9041" max="9041" width="17.42578125" customWidth="1"/>
    <col min="9042" max="9042" width="14.5703125" customWidth="1"/>
    <col min="9043" max="9051" width="13.42578125" customWidth="1"/>
    <col min="9052" max="9052" width="10.28515625" customWidth="1"/>
    <col min="9053" max="9058" width="13.42578125" customWidth="1"/>
    <col min="9059" max="9059" width="13.140625" customWidth="1"/>
    <col min="9060" max="9060" width="15.42578125" customWidth="1"/>
    <col min="9061" max="9080" width="13.42578125" customWidth="1"/>
    <col min="9081" max="9081" width="20.85546875" customWidth="1"/>
    <col min="9082" max="9082" width="15.5703125" customWidth="1"/>
    <col min="9083" max="9086" width="13.42578125" customWidth="1"/>
    <col min="9087" max="9087" width="20.85546875" customWidth="1"/>
    <col min="9217" max="9217" width="6.42578125" customWidth="1"/>
    <col min="9218" max="9218" width="19.5703125" customWidth="1"/>
    <col min="9219" max="9219" width="13.42578125" customWidth="1"/>
    <col min="9220" max="9220" width="13.5703125" customWidth="1"/>
    <col min="9221" max="9222" width="20.85546875" customWidth="1"/>
    <col min="9223" max="9223" width="16.5703125" customWidth="1"/>
    <col min="9224" max="9224" width="21" customWidth="1"/>
    <col min="9225" max="9225" width="18.85546875" customWidth="1"/>
    <col min="9226" max="9226" width="19.42578125" customWidth="1"/>
    <col min="9227" max="9227" width="18.85546875" customWidth="1"/>
    <col min="9228" max="9228" width="18.140625" customWidth="1"/>
    <col min="9229" max="9230" width="20.85546875" customWidth="1"/>
    <col min="9231" max="9231" width="133.7109375" customWidth="1"/>
    <col min="9232" max="9232" width="19.7109375" customWidth="1"/>
    <col min="9233" max="9233" width="13.28515625" customWidth="1"/>
    <col min="9234" max="9234" width="14.42578125" customWidth="1"/>
    <col min="9235" max="9235" width="11" customWidth="1"/>
    <col min="9236" max="9236" width="13.42578125" customWidth="1"/>
    <col min="9237" max="9237" width="13.5703125" customWidth="1"/>
    <col min="9238" max="9238" width="17.5703125" customWidth="1"/>
    <col min="9239" max="9241" width="13.42578125" customWidth="1"/>
    <col min="9242" max="9242" width="12.7109375" customWidth="1"/>
    <col min="9243" max="9243" width="13.28515625" customWidth="1"/>
    <col min="9244" max="9244" width="17.140625" customWidth="1"/>
    <col min="9245" max="9246" width="13.42578125" customWidth="1"/>
    <col min="9247" max="9247" width="14.85546875" customWidth="1"/>
    <col min="9248" max="9248" width="13.140625" customWidth="1"/>
    <col min="9249" max="9249" width="14.85546875" customWidth="1"/>
    <col min="9250" max="9250" width="13" customWidth="1"/>
    <col min="9251" max="9252" width="15.5703125" customWidth="1"/>
    <col min="9253" max="9253" width="25.140625" customWidth="1"/>
    <col min="9254" max="9254" width="40.42578125" customWidth="1"/>
    <col min="9255" max="9255" width="19.140625" customWidth="1"/>
    <col min="9256" max="9256" width="17.85546875" customWidth="1"/>
    <col min="9257" max="9257" width="13.140625" customWidth="1"/>
    <col min="9258" max="9258" width="12" customWidth="1"/>
    <col min="9259" max="9259" width="13.85546875" customWidth="1"/>
    <col min="9260" max="9260" width="13.42578125" customWidth="1"/>
    <col min="9261" max="9261" width="19.5703125" customWidth="1"/>
    <col min="9262" max="9262" width="14.28515625" customWidth="1"/>
    <col min="9263" max="9263" width="22.85546875" customWidth="1"/>
    <col min="9264" max="9264" width="16" customWidth="1"/>
    <col min="9265" max="9265" width="14.5703125" customWidth="1"/>
    <col min="9266" max="9266" width="17.85546875" customWidth="1"/>
    <col min="9267" max="9267" width="13.42578125" customWidth="1"/>
    <col min="9268" max="9268" width="21.7109375" customWidth="1"/>
    <col min="9269" max="9269" width="18" customWidth="1"/>
    <col min="9270" max="9270" width="13.5703125" customWidth="1"/>
    <col min="9271" max="9271" width="16.42578125" customWidth="1"/>
    <col min="9272" max="9276" width="13.42578125" customWidth="1"/>
    <col min="9277" max="9277" width="12.7109375" customWidth="1"/>
    <col min="9278" max="9280" width="13.42578125" customWidth="1"/>
    <col min="9281" max="9281" width="14.5703125" customWidth="1"/>
    <col min="9282" max="9282" width="12.140625" customWidth="1"/>
    <col min="9283" max="9296" width="13.42578125" customWidth="1"/>
    <col min="9297" max="9297" width="17.42578125" customWidth="1"/>
    <col min="9298" max="9298" width="14.5703125" customWidth="1"/>
    <col min="9299" max="9307" width="13.42578125" customWidth="1"/>
    <col min="9308" max="9308" width="10.28515625" customWidth="1"/>
    <col min="9309" max="9314" width="13.42578125" customWidth="1"/>
    <col min="9315" max="9315" width="13.140625" customWidth="1"/>
    <col min="9316" max="9316" width="15.42578125" customWidth="1"/>
    <col min="9317" max="9336" width="13.42578125" customWidth="1"/>
    <col min="9337" max="9337" width="20.85546875" customWidth="1"/>
    <col min="9338" max="9338" width="15.5703125" customWidth="1"/>
    <col min="9339" max="9342" width="13.42578125" customWidth="1"/>
    <col min="9343" max="9343" width="20.85546875" customWidth="1"/>
    <col min="9473" max="9473" width="6.42578125" customWidth="1"/>
    <col min="9474" max="9474" width="19.5703125" customWidth="1"/>
    <col min="9475" max="9475" width="13.42578125" customWidth="1"/>
    <col min="9476" max="9476" width="13.5703125" customWidth="1"/>
    <col min="9477" max="9478" width="20.85546875" customWidth="1"/>
    <col min="9479" max="9479" width="16.5703125" customWidth="1"/>
    <col min="9480" max="9480" width="21" customWidth="1"/>
    <col min="9481" max="9481" width="18.85546875" customWidth="1"/>
    <col min="9482" max="9482" width="19.42578125" customWidth="1"/>
    <col min="9483" max="9483" width="18.85546875" customWidth="1"/>
    <col min="9484" max="9484" width="18.140625" customWidth="1"/>
    <col min="9485" max="9486" width="20.85546875" customWidth="1"/>
    <col min="9487" max="9487" width="133.7109375" customWidth="1"/>
    <col min="9488" max="9488" width="19.7109375" customWidth="1"/>
    <col min="9489" max="9489" width="13.28515625" customWidth="1"/>
    <col min="9490" max="9490" width="14.42578125" customWidth="1"/>
    <col min="9491" max="9491" width="11" customWidth="1"/>
    <col min="9492" max="9492" width="13.42578125" customWidth="1"/>
    <col min="9493" max="9493" width="13.5703125" customWidth="1"/>
    <col min="9494" max="9494" width="17.5703125" customWidth="1"/>
    <col min="9495" max="9497" width="13.42578125" customWidth="1"/>
    <col min="9498" max="9498" width="12.7109375" customWidth="1"/>
    <col min="9499" max="9499" width="13.28515625" customWidth="1"/>
    <col min="9500" max="9500" width="17.140625" customWidth="1"/>
    <col min="9501" max="9502" width="13.42578125" customWidth="1"/>
    <col min="9503" max="9503" width="14.85546875" customWidth="1"/>
    <col min="9504" max="9504" width="13.140625" customWidth="1"/>
    <col min="9505" max="9505" width="14.85546875" customWidth="1"/>
    <col min="9506" max="9506" width="13" customWidth="1"/>
    <col min="9507" max="9508" width="15.5703125" customWidth="1"/>
    <col min="9509" max="9509" width="25.140625" customWidth="1"/>
    <col min="9510" max="9510" width="40.42578125" customWidth="1"/>
    <col min="9511" max="9511" width="19.140625" customWidth="1"/>
    <col min="9512" max="9512" width="17.85546875" customWidth="1"/>
    <col min="9513" max="9513" width="13.140625" customWidth="1"/>
    <col min="9514" max="9514" width="12" customWidth="1"/>
    <col min="9515" max="9515" width="13.85546875" customWidth="1"/>
    <col min="9516" max="9516" width="13.42578125" customWidth="1"/>
    <col min="9517" max="9517" width="19.5703125" customWidth="1"/>
    <col min="9518" max="9518" width="14.28515625" customWidth="1"/>
    <col min="9519" max="9519" width="22.85546875" customWidth="1"/>
    <col min="9520" max="9520" width="16" customWidth="1"/>
    <col min="9521" max="9521" width="14.5703125" customWidth="1"/>
    <col min="9522" max="9522" width="17.85546875" customWidth="1"/>
    <col min="9523" max="9523" width="13.42578125" customWidth="1"/>
    <col min="9524" max="9524" width="21.7109375" customWidth="1"/>
    <col min="9525" max="9525" width="18" customWidth="1"/>
    <col min="9526" max="9526" width="13.5703125" customWidth="1"/>
    <col min="9527" max="9527" width="16.42578125" customWidth="1"/>
    <col min="9528" max="9532" width="13.42578125" customWidth="1"/>
    <col min="9533" max="9533" width="12.7109375" customWidth="1"/>
    <col min="9534" max="9536" width="13.42578125" customWidth="1"/>
    <col min="9537" max="9537" width="14.5703125" customWidth="1"/>
    <col min="9538" max="9538" width="12.140625" customWidth="1"/>
    <col min="9539" max="9552" width="13.42578125" customWidth="1"/>
    <col min="9553" max="9553" width="17.42578125" customWidth="1"/>
    <col min="9554" max="9554" width="14.5703125" customWidth="1"/>
    <col min="9555" max="9563" width="13.42578125" customWidth="1"/>
    <col min="9564" max="9564" width="10.28515625" customWidth="1"/>
    <col min="9565" max="9570" width="13.42578125" customWidth="1"/>
    <col min="9571" max="9571" width="13.140625" customWidth="1"/>
    <col min="9572" max="9572" width="15.42578125" customWidth="1"/>
    <col min="9573" max="9592" width="13.42578125" customWidth="1"/>
    <col min="9593" max="9593" width="20.85546875" customWidth="1"/>
    <col min="9594" max="9594" width="15.5703125" customWidth="1"/>
    <col min="9595" max="9598" width="13.42578125" customWidth="1"/>
    <col min="9599" max="9599" width="20.85546875" customWidth="1"/>
    <col min="9729" max="9729" width="6.42578125" customWidth="1"/>
    <col min="9730" max="9730" width="19.5703125" customWidth="1"/>
    <col min="9731" max="9731" width="13.42578125" customWidth="1"/>
    <col min="9732" max="9732" width="13.5703125" customWidth="1"/>
    <col min="9733" max="9734" width="20.85546875" customWidth="1"/>
    <col min="9735" max="9735" width="16.5703125" customWidth="1"/>
    <col min="9736" max="9736" width="21" customWidth="1"/>
    <col min="9737" max="9737" width="18.85546875" customWidth="1"/>
    <col min="9738" max="9738" width="19.42578125" customWidth="1"/>
    <col min="9739" max="9739" width="18.85546875" customWidth="1"/>
    <col min="9740" max="9740" width="18.140625" customWidth="1"/>
    <col min="9741" max="9742" width="20.85546875" customWidth="1"/>
    <col min="9743" max="9743" width="133.7109375" customWidth="1"/>
    <col min="9744" max="9744" width="19.7109375" customWidth="1"/>
    <col min="9745" max="9745" width="13.28515625" customWidth="1"/>
    <col min="9746" max="9746" width="14.42578125" customWidth="1"/>
    <col min="9747" max="9747" width="11" customWidth="1"/>
    <col min="9748" max="9748" width="13.42578125" customWidth="1"/>
    <col min="9749" max="9749" width="13.5703125" customWidth="1"/>
    <col min="9750" max="9750" width="17.5703125" customWidth="1"/>
    <col min="9751" max="9753" width="13.42578125" customWidth="1"/>
    <col min="9754" max="9754" width="12.7109375" customWidth="1"/>
    <col min="9755" max="9755" width="13.28515625" customWidth="1"/>
    <col min="9756" max="9756" width="17.140625" customWidth="1"/>
    <col min="9757" max="9758" width="13.42578125" customWidth="1"/>
    <col min="9759" max="9759" width="14.85546875" customWidth="1"/>
    <col min="9760" max="9760" width="13.140625" customWidth="1"/>
    <col min="9761" max="9761" width="14.85546875" customWidth="1"/>
    <col min="9762" max="9762" width="13" customWidth="1"/>
    <col min="9763" max="9764" width="15.5703125" customWidth="1"/>
    <col min="9765" max="9765" width="25.140625" customWidth="1"/>
    <col min="9766" max="9766" width="40.42578125" customWidth="1"/>
    <col min="9767" max="9767" width="19.140625" customWidth="1"/>
    <col min="9768" max="9768" width="17.85546875" customWidth="1"/>
    <col min="9769" max="9769" width="13.140625" customWidth="1"/>
    <col min="9770" max="9770" width="12" customWidth="1"/>
    <col min="9771" max="9771" width="13.85546875" customWidth="1"/>
    <col min="9772" max="9772" width="13.42578125" customWidth="1"/>
    <col min="9773" max="9773" width="19.5703125" customWidth="1"/>
    <col min="9774" max="9774" width="14.28515625" customWidth="1"/>
    <col min="9775" max="9775" width="22.85546875" customWidth="1"/>
    <col min="9776" max="9776" width="16" customWidth="1"/>
    <col min="9777" max="9777" width="14.5703125" customWidth="1"/>
    <col min="9778" max="9778" width="17.85546875" customWidth="1"/>
    <col min="9779" max="9779" width="13.42578125" customWidth="1"/>
    <col min="9780" max="9780" width="21.7109375" customWidth="1"/>
    <col min="9781" max="9781" width="18" customWidth="1"/>
    <col min="9782" max="9782" width="13.5703125" customWidth="1"/>
    <col min="9783" max="9783" width="16.42578125" customWidth="1"/>
    <col min="9784" max="9788" width="13.42578125" customWidth="1"/>
    <col min="9789" max="9789" width="12.7109375" customWidth="1"/>
    <col min="9790" max="9792" width="13.42578125" customWidth="1"/>
    <col min="9793" max="9793" width="14.5703125" customWidth="1"/>
    <col min="9794" max="9794" width="12.140625" customWidth="1"/>
    <col min="9795" max="9808" width="13.42578125" customWidth="1"/>
    <col min="9809" max="9809" width="17.42578125" customWidth="1"/>
    <col min="9810" max="9810" width="14.5703125" customWidth="1"/>
    <col min="9811" max="9819" width="13.42578125" customWidth="1"/>
    <col min="9820" max="9820" width="10.28515625" customWidth="1"/>
    <col min="9821" max="9826" width="13.42578125" customWidth="1"/>
    <col min="9827" max="9827" width="13.140625" customWidth="1"/>
    <col min="9828" max="9828" width="15.42578125" customWidth="1"/>
    <col min="9829" max="9848" width="13.42578125" customWidth="1"/>
    <col min="9849" max="9849" width="20.85546875" customWidth="1"/>
    <col min="9850" max="9850" width="15.5703125" customWidth="1"/>
    <col min="9851" max="9854" width="13.42578125" customWidth="1"/>
    <col min="9855" max="9855" width="20.85546875" customWidth="1"/>
    <col min="9985" max="9985" width="6.42578125" customWidth="1"/>
    <col min="9986" max="9986" width="19.5703125" customWidth="1"/>
    <col min="9987" max="9987" width="13.42578125" customWidth="1"/>
    <col min="9988" max="9988" width="13.5703125" customWidth="1"/>
    <col min="9989" max="9990" width="20.85546875" customWidth="1"/>
    <col min="9991" max="9991" width="16.5703125" customWidth="1"/>
    <col min="9992" max="9992" width="21" customWidth="1"/>
    <col min="9993" max="9993" width="18.85546875" customWidth="1"/>
    <col min="9994" max="9994" width="19.42578125" customWidth="1"/>
    <col min="9995" max="9995" width="18.85546875" customWidth="1"/>
    <col min="9996" max="9996" width="18.140625" customWidth="1"/>
    <col min="9997" max="9998" width="20.85546875" customWidth="1"/>
    <col min="9999" max="9999" width="133.7109375" customWidth="1"/>
    <col min="10000" max="10000" width="19.7109375" customWidth="1"/>
    <col min="10001" max="10001" width="13.28515625" customWidth="1"/>
    <col min="10002" max="10002" width="14.42578125" customWidth="1"/>
    <col min="10003" max="10003" width="11" customWidth="1"/>
    <col min="10004" max="10004" width="13.42578125" customWidth="1"/>
    <col min="10005" max="10005" width="13.5703125" customWidth="1"/>
    <col min="10006" max="10006" width="17.5703125" customWidth="1"/>
    <col min="10007" max="10009" width="13.42578125" customWidth="1"/>
    <col min="10010" max="10010" width="12.7109375" customWidth="1"/>
    <col min="10011" max="10011" width="13.28515625" customWidth="1"/>
    <col min="10012" max="10012" width="17.140625" customWidth="1"/>
    <col min="10013" max="10014" width="13.42578125" customWidth="1"/>
    <col min="10015" max="10015" width="14.85546875" customWidth="1"/>
    <col min="10016" max="10016" width="13.140625" customWidth="1"/>
    <col min="10017" max="10017" width="14.85546875" customWidth="1"/>
    <col min="10018" max="10018" width="13" customWidth="1"/>
    <col min="10019" max="10020" width="15.5703125" customWidth="1"/>
    <col min="10021" max="10021" width="25.140625" customWidth="1"/>
    <col min="10022" max="10022" width="40.42578125" customWidth="1"/>
    <col min="10023" max="10023" width="19.140625" customWidth="1"/>
    <col min="10024" max="10024" width="17.85546875" customWidth="1"/>
    <col min="10025" max="10025" width="13.140625" customWidth="1"/>
    <col min="10026" max="10026" width="12" customWidth="1"/>
    <col min="10027" max="10027" width="13.85546875" customWidth="1"/>
    <col min="10028" max="10028" width="13.42578125" customWidth="1"/>
    <col min="10029" max="10029" width="19.5703125" customWidth="1"/>
    <col min="10030" max="10030" width="14.28515625" customWidth="1"/>
    <col min="10031" max="10031" width="22.85546875" customWidth="1"/>
    <col min="10032" max="10032" width="16" customWidth="1"/>
    <col min="10033" max="10033" width="14.5703125" customWidth="1"/>
    <col min="10034" max="10034" width="17.85546875" customWidth="1"/>
    <col min="10035" max="10035" width="13.42578125" customWidth="1"/>
    <col min="10036" max="10036" width="21.7109375" customWidth="1"/>
    <col min="10037" max="10037" width="18" customWidth="1"/>
    <col min="10038" max="10038" width="13.5703125" customWidth="1"/>
    <col min="10039" max="10039" width="16.42578125" customWidth="1"/>
    <col min="10040" max="10044" width="13.42578125" customWidth="1"/>
    <col min="10045" max="10045" width="12.7109375" customWidth="1"/>
    <col min="10046" max="10048" width="13.42578125" customWidth="1"/>
    <col min="10049" max="10049" width="14.5703125" customWidth="1"/>
    <col min="10050" max="10050" width="12.140625" customWidth="1"/>
    <col min="10051" max="10064" width="13.42578125" customWidth="1"/>
    <col min="10065" max="10065" width="17.42578125" customWidth="1"/>
    <col min="10066" max="10066" width="14.5703125" customWidth="1"/>
    <col min="10067" max="10075" width="13.42578125" customWidth="1"/>
    <col min="10076" max="10076" width="10.28515625" customWidth="1"/>
    <col min="10077" max="10082" width="13.42578125" customWidth="1"/>
    <col min="10083" max="10083" width="13.140625" customWidth="1"/>
    <col min="10084" max="10084" width="15.42578125" customWidth="1"/>
    <col min="10085" max="10104" width="13.42578125" customWidth="1"/>
    <col min="10105" max="10105" width="20.85546875" customWidth="1"/>
    <col min="10106" max="10106" width="15.5703125" customWidth="1"/>
    <col min="10107" max="10110" width="13.42578125" customWidth="1"/>
    <col min="10111" max="10111" width="20.85546875" customWidth="1"/>
    <col min="10241" max="10241" width="6.42578125" customWidth="1"/>
    <col min="10242" max="10242" width="19.5703125" customWidth="1"/>
    <col min="10243" max="10243" width="13.42578125" customWidth="1"/>
    <col min="10244" max="10244" width="13.5703125" customWidth="1"/>
    <col min="10245" max="10246" width="20.85546875" customWidth="1"/>
    <col min="10247" max="10247" width="16.5703125" customWidth="1"/>
    <col min="10248" max="10248" width="21" customWidth="1"/>
    <col min="10249" max="10249" width="18.85546875" customWidth="1"/>
    <col min="10250" max="10250" width="19.42578125" customWidth="1"/>
    <col min="10251" max="10251" width="18.85546875" customWidth="1"/>
    <col min="10252" max="10252" width="18.140625" customWidth="1"/>
    <col min="10253" max="10254" width="20.85546875" customWidth="1"/>
    <col min="10255" max="10255" width="133.7109375" customWidth="1"/>
    <col min="10256" max="10256" width="19.7109375" customWidth="1"/>
    <col min="10257" max="10257" width="13.28515625" customWidth="1"/>
    <col min="10258" max="10258" width="14.42578125" customWidth="1"/>
    <col min="10259" max="10259" width="11" customWidth="1"/>
    <col min="10260" max="10260" width="13.42578125" customWidth="1"/>
    <col min="10261" max="10261" width="13.5703125" customWidth="1"/>
    <col min="10262" max="10262" width="17.5703125" customWidth="1"/>
    <col min="10263" max="10265" width="13.42578125" customWidth="1"/>
    <col min="10266" max="10266" width="12.7109375" customWidth="1"/>
    <col min="10267" max="10267" width="13.28515625" customWidth="1"/>
    <col min="10268" max="10268" width="17.140625" customWidth="1"/>
    <col min="10269" max="10270" width="13.42578125" customWidth="1"/>
    <col min="10271" max="10271" width="14.85546875" customWidth="1"/>
    <col min="10272" max="10272" width="13.140625" customWidth="1"/>
    <col min="10273" max="10273" width="14.85546875" customWidth="1"/>
    <col min="10274" max="10274" width="13" customWidth="1"/>
    <col min="10275" max="10276" width="15.5703125" customWidth="1"/>
    <col min="10277" max="10277" width="25.140625" customWidth="1"/>
    <col min="10278" max="10278" width="40.42578125" customWidth="1"/>
    <col min="10279" max="10279" width="19.140625" customWidth="1"/>
    <col min="10280" max="10280" width="17.85546875" customWidth="1"/>
    <col min="10281" max="10281" width="13.140625" customWidth="1"/>
    <col min="10282" max="10282" width="12" customWidth="1"/>
    <col min="10283" max="10283" width="13.85546875" customWidth="1"/>
    <col min="10284" max="10284" width="13.42578125" customWidth="1"/>
    <col min="10285" max="10285" width="19.5703125" customWidth="1"/>
    <col min="10286" max="10286" width="14.28515625" customWidth="1"/>
    <col min="10287" max="10287" width="22.85546875" customWidth="1"/>
    <col min="10288" max="10288" width="16" customWidth="1"/>
    <col min="10289" max="10289" width="14.5703125" customWidth="1"/>
    <col min="10290" max="10290" width="17.85546875" customWidth="1"/>
    <col min="10291" max="10291" width="13.42578125" customWidth="1"/>
    <col min="10292" max="10292" width="21.7109375" customWidth="1"/>
    <col min="10293" max="10293" width="18" customWidth="1"/>
    <col min="10294" max="10294" width="13.5703125" customWidth="1"/>
    <col min="10295" max="10295" width="16.42578125" customWidth="1"/>
    <col min="10296" max="10300" width="13.42578125" customWidth="1"/>
    <col min="10301" max="10301" width="12.7109375" customWidth="1"/>
    <col min="10302" max="10304" width="13.42578125" customWidth="1"/>
    <col min="10305" max="10305" width="14.5703125" customWidth="1"/>
    <col min="10306" max="10306" width="12.140625" customWidth="1"/>
    <col min="10307" max="10320" width="13.42578125" customWidth="1"/>
    <col min="10321" max="10321" width="17.42578125" customWidth="1"/>
    <col min="10322" max="10322" width="14.5703125" customWidth="1"/>
    <col min="10323" max="10331" width="13.42578125" customWidth="1"/>
    <col min="10332" max="10332" width="10.28515625" customWidth="1"/>
    <col min="10333" max="10338" width="13.42578125" customWidth="1"/>
    <col min="10339" max="10339" width="13.140625" customWidth="1"/>
    <col min="10340" max="10340" width="15.42578125" customWidth="1"/>
    <col min="10341" max="10360" width="13.42578125" customWidth="1"/>
    <col min="10361" max="10361" width="20.85546875" customWidth="1"/>
    <col min="10362" max="10362" width="15.5703125" customWidth="1"/>
    <col min="10363" max="10366" width="13.42578125" customWidth="1"/>
    <col min="10367" max="10367" width="20.85546875" customWidth="1"/>
    <col min="10497" max="10497" width="6.42578125" customWidth="1"/>
    <col min="10498" max="10498" width="19.5703125" customWidth="1"/>
    <col min="10499" max="10499" width="13.42578125" customWidth="1"/>
    <col min="10500" max="10500" width="13.5703125" customWidth="1"/>
    <col min="10501" max="10502" width="20.85546875" customWidth="1"/>
    <col min="10503" max="10503" width="16.5703125" customWidth="1"/>
    <col min="10504" max="10504" width="21" customWidth="1"/>
    <col min="10505" max="10505" width="18.85546875" customWidth="1"/>
    <col min="10506" max="10506" width="19.42578125" customWidth="1"/>
    <col min="10507" max="10507" width="18.85546875" customWidth="1"/>
    <col min="10508" max="10508" width="18.140625" customWidth="1"/>
    <col min="10509" max="10510" width="20.85546875" customWidth="1"/>
    <col min="10511" max="10511" width="133.7109375" customWidth="1"/>
    <col min="10512" max="10512" width="19.7109375" customWidth="1"/>
    <col min="10513" max="10513" width="13.28515625" customWidth="1"/>
    <col min="10514" max="10514" width="14.42578125" customWidth="1"/>
    <col min="10515" max="10515" width="11" customWidth="1"/>
    <col min="10516" max="10516" width="13.42578125" customWidth="1"/>
    <col min="10517" max="10517" width="13.5703125" customWidth="1"/>
    <col min="10518" max="10518" width="17.5703125" customWidth="1"/>
    <col min="10519" max="10521" width="13.42578125" customWidth="1"/>
    <col min="10522" max="10522" width="12.7109375" customWidth="1"/>
    <col min="10523" max="10523" width="13.28515625" customWidth="1"/>
    <col min="10524" max="10524" width="17.140625" customWidth="1"/>
    <col min="10525" max="10526" width="13.42578125" customWidth="1"/>
    <col min="10527" max="10527" width="14.85546875" customWidth="1"/>
    <col min="10528" max="10528" width="13.140625" customWidth="1"/>
    <col min="10529" max="10529" width="14.85546875" customWidth="1"/>
    <col min="10530" max="10530" width="13" customWidth="1"/>
    <col min="10531" max="10532" width="15.5703125" customWidth="1"/>
    <col min="10533" max="10533" width="25.140625" customWidth="1"/>
    <col min="10534" max="10534" width="40.42578125" customWidth="1"/>
    <col min="10535" max="10535" width="19.140625" customWidth="1"/>
    <col min="10536" max="10536" width="17.85546875" customWidth="1"/>
    <col min="10537" max="10537" width="13.140625" customWidth="1"/>
    <col min="10538" max="10538" width="12" customWidth="1"/>
    <col min="10539" max="10539" width="13.85546875" customWidth="1"/>
    <col min="10540" max="10540" width="13.42578125" customWidth="1"/>
    <col min="10541" max="10541" width="19.5703125" customWidth="1"/>
    <col min="10542" max="10542" width="14.28515625" customWidth="1"/>
    <col min="10543" max="10543" width="22.85546875" customWidth="1"/>
    <col min="10544" max="10544" width="16" customWidth="1"/>
    <col min="10545" max="10545" width="14.5703125" customWidth="1"/>
    <col min="10546" max="10546" width="17.85546875" customWidth="1"/>
    <col min="10547" max="10547" width="13.42578125" customWidth="1"/>
    <col min="10548" max="10548" width="21.7109375" customWidth="1"/>
    <col min="10549" max="10549" width="18" customWidth="1"/>
    <col min="10550" max="10550" width="13.5703125" customWidth="1"/>
    <col min="10551" max="10551" width="16.42578125" customWidth="1"/>
    <col min="10552" max="10556" width="13.42578125" customWidth="1"/>
    <col min="10557" max="10557" width="12.7109375" customWidth="1"/>
    <col min="10558" max="10560" width="13.42578125" customWidth="1"/>
    <col min="10561" max="10561" width="14.5703125" customWidth="1"/>
    <col min="10562" max="10562" width="12.140625" customWidth="1"/>
    <col min="10563" max="10576" width="13.42578125" customWidth="1"/>
    <col min="10577" max="10577" width="17.42578125" customWidth="1"/>
    <col min="10578" max="10578" width="14.5703125" customWidth="1"/>
    <col min="10579" max="10587" width="13.42578125" customWidth="1"/>
    <col min="10588" max="10588" width="10.28515625" customWidth="1"/>
    <col min="10589" max="10594" width="13.42578125" customWidth="1"/>
    <col min="10595" max="10595" width="13.140625" customWidth="1"/>
    <col min="10596" max="10596" width="15.42578125" customWidth="1"/>
    <col min="10597" max="10616" width="13.42578125" customWidth="1"/>
    <col min="10617" max="10617" width="20.85546875" customWidth="1"/>
    <col min="10618" max="10618" width="15.5703125" customWidth="1"/>
    <col min="10619" max="10622" width="13.42578125" customWidth="1"/>
    <col min="10623" max="10623" width="20.85546875" customWidth="1"/>
    <col min="10753" max="10753" width="6.42578125" customWidth="1"/>
    <col min="10754" max="10754" width="19.5703125" customWidth="1"/>
    <col min="10755" max="10755" width="13.42578125" customWidth="1"/>
    <col min="10756" max="10756" width="13.5703125" customWidth="1"/>
    <col min="10757" max="10758" width="20.85546875" customWidth="1"/>
    <col min="10759" max="10759" width="16.5703125" customWidth="1"/>
    <col min="10760" max="10760" width="21" customWidth="1"/>
    <col min="10761" max="10761" width="18.85546875" customWidth="1"/>
    <col min="10762" max="10762" width="19.42578125" customWidth="1"/>
    <col min="10763" max="10763" width="18.85546875" customWidth="1"/>
    <col min="10764" max="10764" width="18.140625" customWidth="1"/>
    <col min="10765" max="10766" width="20.85546875" customWidth="1"/>
    <col min="10767" max="10767" width="133.7109375" customWidth="1"/>
    <col min="10768" max="10768" width="19.7109375" customWidth="1"/>
    <col min="10769" max="10769" width="13.28515625" customWidth="1"/>
    <col min="10770" max="10770" width="14.42578125" customWidth="1"/>
    <col min="10771" max="10771" width="11" customWidth="1"/>
    <col min="10772" max="10772" width="13.42578125" customWidth="1"/>
    <col min="10773" max="10773" width="13.5703125" customWidth="1"/>
    <col min="10774" max="10774" width="17.5703125" customWidth="1"/>
    <col min="10775" max="10777" width="13.42578125" customWidth="1"/>
    <col min="10778" max="10778" width="12.7109375" customWidth="1"/>
    <col min="10779" max="10779" width="13.28515625" customWidth="1"/>
    <col min="10780" max="10780" width="17.140625" customWidth="1"/>
    <col min="10781" max="10782" width="13.42578125" customWidth="1"/>
    <col min="10783" max="10783" width="14.85546875" customWidth="1"/>
    <col min="10784" max="10784" width="13.140625" customWidth="1"/>
    <col min="10785" max="10785" width="14.85546875" customWidth="1"/>
    <col min="10786" max="10786" width="13" customWidth="1"/>
    <col min="10787" max="10788" width="15.5703125" customWidth="1"/>
    <col min="10789" max="10789" width="25.140625" customWidth="1"/>
    <col min="10790" max="10790" width="40.42578125" customWidth="1"/>
    <col min="10791" max="10791" width="19.140625" customWidth="1"/>
    <col min="10792" max="10792" width="17.85546875" customWidth="1"/>
    <col min="10793" max="10793" width="13.140625" customWidth="1"/>
    <col min="10794" max="10794" width="12" customWidth="1"/>
    <col min="10795" max="10795" width="13.85546875" customWidth="1"/>
    <col min="10796" max="10796" width="13.42578125" customWidth="1"/>
    <col min="10797" max="10797" width="19.5703125" customWidth="1"/>
    <col min="10798" max="10798" width="14.28515625" customWidth="1"/>
    <col min="10799" max="10799" width="22.85546875" customWidth="1"/>
    <col min="10800" max="10800" width="16" customWidth="1"/>
    <col min="10801" max="10801" width="14.5703125" customWidth="1"/>
    <col min="10802" max="10802" width="17.85546875" customWidth="1"/>
    <col min="10803" max="10803" width="13.42578125" customWidth="1"/>
    <col min="10804" max="10804" width="21.7109375" customWidth="1"/>
    <col min="10805" max="10805" width="18" customWidth="1"/>
    <col min="10806" max="10806" width="13.5703125" customWidth="1"/>
    <col min="10807" max="10807" width="16.42578125" customWidth="1"/>
    <col min="10808" max="10812" width="13.42578125" customWidth="1"/>
    <col min="10813" max="10813" width="12.7109375" customWidth="1"/>
    <col min="10814" max="10816" width="13.42578125" customWidth="1"/>
    <col min="10817" max="10817" width="14.5703125" customWidth="1"/>
    <col min="10818" max="10818" width="12.140625" customWidth="1"/>
    <col min="10819" max="10832" width="13.42578125" customWidth="1"/>
    <col min="10833" max="10833" width="17.42578125" customWidth="1"/>
    <col min="10834" max="10834" width="14.5703125" customWidth="1"/>
    <col min="10835" max="10843" width="13.42578125" customWidth="1"/>
    <col min="10844" max="10844" width="10.28515625" customWidth="1"/>
    <col min="10845" max="10850" width="13.42578125" customWidth="1"/>
    <col min="10851" max="10851" width="13.140625" customWidth="1"/>
    <col min="10852" max="10852" width="15.42578125" customWidth="1"/>
    <col min="10853" max="10872" width="13.42578125" customWidth="1"/>
    <col min="10873" max="10873" width="20.85546875" customWidth="1"/>
    <col min="10874" max="10874" width="15.5703125" customWidth="1"/>
    <col min="10875" max="10878" width="13.42578125" customWidth="1"/>
    <col min="10879" max="10879" width="20.85546875" customWidth="1"/>
    <col min="11009" max="11009" width="6.42578125" customWidth="1"/>
    <col min="11010" max="11010" width="19.5703125" customWidth="1"/>
    <col min="11011" max="11011" width="13.42578125" customWidth="1"/>
    <col min="11012" max="11012" width="13.5703125" customWidth="1"/>
    <col min="11013" max="11014" width="20.85546875" customWidth="1"/>
    <col min="11015" max="11015" width="16.5703125" customWidth="1"/>
    <col min="11016" max="11016" width="21" customWidth="1"/>
    <col min="11017" max="11017" width="18.85546875" customWidth="1"/>
    <col min="11018" max="11018" width="19.42578125" customWidth="1"/>
    <col min="11019" max="11019" width="18.85546875" customWidth="1"/>
    <col min="11020" max="11020" width="18.140625" customWidth="1"/>
    <col min="11021" max="11022" width="20.85546875" customWidth="1"/>
    <col min="11023" max="11023" width="133.7109375" customWidth="1"/>
    <col min="11024" max="11024" width="19.7109375" customWidth="1"/>
    <col min="11025" max="11025" width="13.28515625" customWidth="1"/>
    <col min="11026" max="11026" width="14.42578125" customWidth="1"/>
    <col min="11027" max="11027" width="11" customWidth="1"/>
    <col min="11028" max="11028" width="13.42578125" customWidth="1"/>
    <col min="11029" max="11029" width="13.5703125" customWidth="1"/>
    <col min="11030" max="11030" width="17.5703125" customWidth="1"/>
    <col min="11031" max="11033" width="13.42578125" customWidth="1"/>
    <col min="11034" max="11034" width="12.7109375" customWidth="1"/>
    <col min="11035" max="11035" width="13.28515625" customWidth="1"/>
    <col min="11036" max="11036" width="17.140625" customWidth="1"/>
    <col min="11037" max="11038" width="13.42578125" customWidth="1"/>
    <col min="11039" max="11039" width="14.85546875" customWidth="1"/>
    <col min="11040" max="11040" width="13.140625" customWidth="1"/>
    <col min="11041" max="11041" width="14.85546875" customWidth="1"/>
    <col min="11042" max="11042" width="13" customWidth="1"/>
    <col min="11043" max="11044" width="15.5703125" customWidth="1"/>
    <col min="11045" max="11045" width="25.140625" customWidth="1"/>
    <col min="11046" max="11046" width="40.42578125" customWidth="1"/>
    <col min="11047" max="11047" width="19.140625" customWidth="1"/>
    <col min="11048" max="11048" width="17.85546875" customWidth="1"/>
    <col min="11049" max="11049" width="13.140625" customWidth="1"/>
    <col min="11050" max="11050" width="12" customWidth="1"/>
    <col min="11051" max="11051" width="13.85546875" customWidth="1"/>
    <col min="11052" max="11052" width="13.42578125" customWidth="1"/>
    <col min="11053" max="11053" width="19.5703125" customWidth="1"/>
    <col min="11054" max="11054" width="14.28515625" customWidth="1"/>
    <col min="11055" max="11055" width="22.85546875" customWidth="1"/>
    <col min="11056" max="11056" width="16" customWidth="1"/>
    <col min="11057" max="11057" width="14.5703125" customWidth="1"/>
    <col min="11058" max="11058" width="17.85546875" customWidth="1"/>
    <col min="11059" max="11059" width="13.42578125" customWidth="1"/>
    <col min="11060" max="11060" width="21.7109375" customWidth="1"/>
    <col min="11061" max="11061" width="18" customWidth="1"/>
    <col min="11062" max="11062" width="13.5703125" customWidth="1"/>
    <col min="11063" max="11063" width="16.42578125" customWidth="1"/>
    <col min="11064" max="11068" width="13.42578125" customWidth="1"/>
    <col min="11069" max="11069" width="12.7109375" customWidth="1"/>
    <col min="11070" max="11072" width="13.42578125" customWidth="1"/>
    <col min="11073" max="11073" width="14.5703125" customWidth="1"/>
    <col min="11074" max="11074" width="12.140625" customWidth="1"/>
    <col min="11075" max="11088" width="13.42578125" customWidth="1"/>
    <col min="11089" max="11089" width="17.42578125" customWidth="1"/>
    <col min="11090" max="11090" width="14.5703125" customWidth="1"/>
    <col min="11091" max="11099" width="13.42578125" customWidth="1"/>
    <col min="11100" max="11100" width="10.28515625" customWidth="1"/>
    <col min="11101" max="11106" width="13.42578125" customWidth="1"/>
    <col min="11107" max="11107" width="13.140625" customWidth="1"/>
    <col min="11108" max="11108" width="15.42578125" customWidth="1"/>
    <col min="11109" max="11128" width="13.42578125" customWidth="1"/>
    <col min="11129" max="11129" width="20.85546875" customWidth="1"/>
    <col min="11130" max="11130" width="15.5703125" customWidth="1"/>
    <col min="11131" max="11134" width="13.42578125" customWidth="1"/>
    <col min="11135" max="11135" width="20.85546875" customWidth="1"/>
    <col min="11265" max="11265" width="6.42578125" customWidth="1"/>
    <col min="11266" max="11266" width="19.5703125" customWidth="1"/>
    <col min="11267" max="11267" width="13.42578125" customWidth="1"/>
    <col min="11268" max="11268" width="13.5703125" customWidth="1"/>
    <col min="11269" max="11270" width="20.85546875" customWidth="1"/>
    <col min="11271" max="11271" width="16.5703125" customWidth="1"/>
    <col min="11272" max="11272" width="21" customWidth="1"/>
    <col min="11273" max="11273" width="18.85546875" customWidth="1"/>
    <col min="11274" max="11274" width="19.42578125" customWidth="1"/>
    <col min="11275" max="11275" width="18.85546875" customWidth="1"/>
    <col min="11276" max="11276" width="18.140625" customWidth="1"/>
    <col min="11277" max="11278" width="20.85546875" customWidth="1"/>
    <col min="11279" max="11279" width="133.7109375" customWidth="1"/>
    <col min="11280" max="11280" width="19.7109375" customWidth="1"/>
    <col min="11281" max="11281" width="13.28515625" customWidth="1"/>
    <col min="11282" max="11282" width="14.42578125" customWidth="1"/>
    <col min="11283" max="11283" width="11" customWidth="1"/>
    <col min="11284" max="11284" width="13.42578125" customWidth="1"/>
    <col min="11285" max="11285" width="13.5703125" customWidth="1"/>
    <col min="11286" max="11286" width="17.5703125" customWidth="1"/>
    <col min="11287" max="11289" width="13.42578125" customWidth="1"/>
    <col min="11290" max="11290" width="12.7109375" customWidth="1"/>
    <col min="11291" max="11291" width="13.28515625" customWidth="1"/>
    <col min="11292" max="11292" width="17.140625" customWidth="1"/>
    <col min="11293" max="11294" width="13.42578125" customWidth="1"/>
    <col min="11295" max="11295" width="14.85546875" customWidth="1"/>
    <col min="11296" max="11296" width="13.140625" customWidth="1"/>
    <col min="11297" max="11297" width="14.85546875" customWidth="1"/>
    <col min="11298" max="11298" width="13" customWidth="1"/>
    <col min="11299" max="11300" width="15.5703125" customWidth="1"/>
    <col min="11301" max="11301" width="25.140625" customWidth="1"/>
    <col min="11302" max="11302" width="40.42578125" customWidth="1"/>
    <col min="11303" max="11303" width="19.140625" customWidth="1"/>
    <col min="11304" max="11304" width="17.85546875" customWidth="1"/>
    <col min="11305" max="11305" width="13.140625" customWidth="1"/>
    <col min="11306" max="11306" width="12" customWidth="1"/>
    <col min="11307" max="11307" width="13.85546875" customWidth="1"/>
    <col min="11308" max="11308" width="13.42578125" customWidth="1"/>
    <col min="11309" max="11309" width="19.5703125" customWidth="1"/>
    <col min="11310" max="11310" width="14.28515625" customWidth="1"/>
    <col min="11311" max="11311" width="22.85546875" customWidth="1"/>
    <col min="11312" max="11312" width="16" customWidth="1"/>
    <col min="11313" max="11313" width="14.5703125" customWidth="1"/>
    <col min="11314" max="11314" width="17.85546875" customWidth="1"/>
    <col min="11315" max="11315" width="13.42578125" customWidth="1"/>
    <col min="11316" max="11316" width="21.7109375" customWidth="1"/>
    <col min="11317" max="11317" width="18" customWidth="1"/>
    <col min="11318" max="11318" width="13.5703125" customWidth="1"/>
    <col min="11319" max="11319" width="16.42578125" customWidth="1"/>
    <col min="11320" max="11324" width="13.42578125" customWidth="1"/>
    <col min="11325" max="11325" width="12.7109375" customWidth="1"/>
    <col min="11326" max="11328" width="13.42578125" customWidth="1"/>
    <col min="11329" max="11329" width="14.5703125" customWidth="1"/>
    <col min="11330" max="11330" width="12.140625" customWidth="1"/>
    <col min="11331" max="11344" width="13.42578125" customWidth="1"/>
    <col min="11345" max="11345" width="17.42578125" customWidth="1"/>
    <col min="11346" max="11346" width="14.5703125" customWidth="1"/>
    <col min="11347" max="11355" width="13.42578125" customWidth="1"/>
    <col min="11356" max="11356" width="10.28515625" customWidth="1"/>
    <col min="11357" max="11362" width="13.42578125" customWidth="1"/>
    <col min="11363" max="11363" width="13.140625" customWidth="1"/>
    <col min="11364" max="11364" width="15.42578125" customWidth="1"/>
    <col min="11365" max="11384" width="13.42578125" customWidth="1"/>
    <col min="11385" max="11385" width="20.85546875" customWidth="1"/>
    <col min="11386" max="11386" width="15.5703125" customWidth="1"/>
    <col min="11387" max="11390" width="13.42578125" customWidth="1"/>
    <col min="11391" max="11391" width="20.85546875" customWidth="1"/>
    <col min="11521" max="11521" width="6.42578125" customWidth="1"/>
    <col min="11522" max="11522" width="19.5703125" customWidth="1"/>
    <col min="11523" max="11523" width="13.42578125" customWidth="1"/>
    <col min="11524" max="11524" width="13.5703125" customWidth="1"/>
    <col min="11525" max="11526" width="20.85546875" customWidth="1"/>
    <col min="11527" max="11527" width="16.5703125" customWidth="1"/>
    <col min="11528" max="11528" width="21" customWidth="1"/>
    <col min="11529" max="11529" width="18.85546875" customWidth="1"/>
    <col min="11530" max="11530" width="19.42578125" customWidth="1"/>
    <col min="11531" max="11531" width="18.85546875" customWidth="1"/>
    <col min="11532" max="11532" width="18.140625" customWidth="1"/>
    <col min="11533" max="11534" width="20.85546875" customWidth="1"/>
    <col min="11535" max="11535" width="133.7109375" customWidth="1"/>
    <col min="11536" max="11536" width="19.7109375" customWidth="1"/>
    <col min="11537" max="11537" width="13.28515625" customWidth="1"/>
    <col min="11538" max="11538" width="14.42578125" customWidth="1"/>
    <col min="11539" max="11539" width="11" customWidth="1"/>
    <col min="11540" max="11540" width="13.42578125" customWidth="1"/>
    <col min="11541" max="11541" width="13.5703125" customWidth="1"/>
    <col min="11542" max="11542" width="17.5703125" customWidth="1"/>
    <col min="11543" max="11545" width="13.42578125" customWidth="1"/>
    <col min="11546" max="11546" width="12.7109375" customWidth="1"/>
    <col min="11547" max="11547" width="13.28515625" customWidth="1"/>
    <col min="11548" max="11548" width="17.140625" customWidth="1"/>
    <col min="11549" max="11550" width="13.42578125" customWidth="1"/>
    <col min="11551" max="11551" width="14.85546875" customWidth="1"/>
    <col min="11552" max="11552" width="13.140625" customWidth="1"/>
    <col min="11553" max="11553" width="14.85546875" customWidth="1"/>
    <col min="11554" max="11554" width="13" customWidth="1"/>
    <col min="11555" max="11556" width="15.5703125" customWidth="1"/>
    <col min="11557" max="11557" width="25.140625" customWidth="1"/>
    <col min="11558" max="11558" width="40.42578125" customWidth="1"/>
    <col min="11559" max="11559" width="19.140625" customWidth="1"/>
    <col min="11560" max="11560" width="17.85546875" customWidth="1"/>
    <col min="11561" max="11561" width="13.140625" customWidth="1"/>
    <col min="11562" max="11562" width="12" customWidth="1"/>
    <col min="11563" max="11563" width="13.85546875" customWidth="1"/>
    <col min="11564" max="11564" width="13.42578125" customWidth="1"/>
    <col min="11565" max="11565" width="19.5703125" customWidth="1"/>
    <col min="11566" max="11566" width="14.28515625" customWidth="1"/>
    <col min="11567" max="11567" width="22.85546875" customWidth="1"/>
    <col min="11568" max="11568" width="16" customWidth="1"/>
    <col min="11569" max="11569" width="14.5703125" customWidth="1"/>
    <col min="11570" max="11570" width="17.85546875" customWidth="1"/>
    <col min="11571" max="11571" width="13.42578125" customWidth="1"/>
    <col min="11572" max="11572" width="21.7109375" customWidth="1"/>
    <col min="11573" max="11573" width="18" customWidth="1"/>
    <col min="11574" max="11574" width="13.5703125" customWidth="1"/>
    <col min="11575" max="11575" width="16.42578125" customWidth="1"/>
    <col min="11576" max="11580" width="13.42578125" customWidth="1"/>
    <col min="11581" max="11581" width="12.7109375" customWidth="1"/>
    <col min="11582" max="11584" width="13.42578125" customWidth="1"/>
    <col min="11585" max="11585" width="14.5703125" customWidth="1"/>
    <col min="11586" max="11586" width="12.140625" customWidth="1"/>
    <col min="11587" max="11600" width="13.42578125" customWidth="1"/>
    <col min="11601" max="11601" width="17.42578125" customWidth="1"/>
    <col min="11602" max="11602" width="14.5703125" customWidth="1"/>
    <col min="11603" max="11611" width="13.42578125" customWidth="1"/>
    <col min="11612" max="11612" width="10.28515625" customWidth="1"/>
    <col min="11613" max="11618" width="13.42578125" customWidth="1"/>
    <col min="11619" max="11619" width="13.140625" customWidth="1"/>
    <col min="11620" max="11620" width="15.42578125" customWidth="1"/>
    <col min="11621" max="11640" width="13.42578125" customWidth="1"/>
    <col min="11641" max="11641" width="20.85546875" customWidth="1"/>
    <col min="11642" max="11642" width="15.5703125" customWidth="1"/>
    <col min="11643" max="11646" width="13.42578125" customWidth="1"/>
    <col min="11647" max="11647" width="20.85546875" customWidth="1"/>
    <col min="11777" max="11777" width="6.42578125" customWidth="1"/>
    <col min="11778" max="11778" width="19.5703125" customWidth="1"/>
    <col min="11779" max="11779" width="13.42578125" customWidth="1"/>
    <col min="11780" max="11780" width="13.5703125" customWidth="1"/>
    <col min="11781" max="11782" width="20.85546875" customWidth="1"/>
    <col min="11783" max="11783" width="16.5703125" customWidth="1"/>
    <col min="11784" max="11784" width="21" customWidth="1"/>
    <col min="11785" max="11785" width="18.85546875" customWidth="1"/>
    <col min="11786" max="11786" width="19.42578125" customWidth="1"/>
    <col min="11787" max="11787" width="18.85546875" customWidth="1"/>
    <col min="11788" max="11788" width="18.140625" customWidth="1"/>
    <col min="11789" max="11790" width="20.85546875" customWidth="1"/>
    <col min="11791" max="11791" width="133.7109375" customWidth="1"/>
    <col min="11792" max="11792" width="19.7109375" customWidth="1"/>
    <col min="11793" max="11793" width="13.28515625" customWidth="1"/>
    <col min="11794" max="11794" width="14.42578125" customWidth="1"/>
    <col min="11795" max="11795" width="11" customWidth="1"/>
    <col min="11796" max="11796" width="13.42578125" customWidth="1"/>
    <col min="11797" max="11797" width="13.5703125" customWidth="1"/>
    <col min="11798" max="11798" width="17.5703125" customWidth="1"/>
    <col min="11799" max="11801" width="13.42578125" customWidth="1"/>
    <col min="11802" max="11802" width="12.7109375" customWidth="1"/>
    <col min="11803" max="11803" width="13.28515625" customWidth="1"/>
    <col min="11804" max="11804" width="17.140625" customWidth="1"/>
    <col min="11805" max="11806" width="13.42578125" customWidth="1"/>
    <col min="11807" max="11807" width="14.85546875" customWidth="1"/>
    <col min="11808" max="11808" width="13.140625" customWidth="1"/>
    <col min="11809" max="11809" width="14.85546875" customWidth="1"/>
    <col min="11810" max="11810" width="13" customWidth="1"/>
    <col min="11811" max="11812" width="15.5703125" customWidth="1"/>
    <col min="11813" max="11813" width="25.140625" customWidth="1"/>
    <col min="11814" max="11814" width="40.42578125" customWidth="1"/>
    <col min="11815" max="11815" width="19.140625" customWidth="1"/>
    <col min="11816" max="11816" width="17.85546875" customWidth="1"/>
    <col min="11817" max="11817" width="13.140625" customWidth="1"/>
    <col min="11818" max="11818" width="12" customWidth="1"/>
    <col min="11819" max="11819" width="13.85546875" customWidth="1"/>
    <col min="11820" max="11820" width="13.42578125" customWidth="1"/>
    <col min="11821" max="11821" width="19.5703125" customWidth="1"/>
    <col min="11822" max="11822" width="14.28515625" customWidth="1"/>
    <col min="11823" max="11823" width="22.85546875" customWidth="1"/>
    <col min="11824" max="11824" width="16" customWidth="1"/>
    <col min="11825" max="11825" width="14.5703125" customWidth="1"/>
    <col min="11826" max="11826" width="17.85546875" customWidth="1"/>
    <col min="11827" max="11827" width="13.42578125" customWidth="1"/>
    <col min="11828" max="11828" width="21.7109375" customWidth="1"/>
    <col min="11829" max="11829" width="18" customWidth="1"/>
    <col min="11830" max="11830" width="13.5703125" customWidth="1"/>
    <col min="11831" max="11831" width="16.42578125" customWidth="1"/>
    <col min="11832" max="11836" width="13.42578125" customWidth="1"/>
    <col min="11837" max="11837" width="12.7109375" customWidth="1"/>
    <col min="11838" max="11840" width="13.42578125" customWidth="1"/>
    <col min="11841" max="11841" width="14.5703125" customWidth="1"/>
    <col min="11842" max="11842" width="12.140625" customWidth="1"/>
    <col min="11843" max="11856" width="13.42578125" customWidth="1"/>
    <col min="11857" max="11857" width="17.42578125" customWidth="1"/>
    <col min="11858" max="11858" width="14.5703125" customWidth="1"/>
    <col min="11859" max="11867" width="13.42578125" customWidth="1"/>
    <col min="11868" max="11868" width="10.28515625" customWidth="1"/>
    <col min="11869" max="11874" width="13.42578125" customWidth="1"/>
    <col min="11875" max="11875" width="13.140625" customWidth="1"/>
    <col min="11876" max="11876" width="15.42578125" customWidth="1"/>
    <col min="11877" max="11896" width="13.42578125" customWidth="1"/>
    <col min="11897" max="11897" width="20.85546875" customWidth="1"/>
    <col min="11898" max="11898" width="15.5703125" customWidth="1"/>
    <col min="11899" max="11902" width="13.42578125" customWidth="1"/>
    <col min="11903" max="11903" width="20.85546875" customWidth="1"/>
    <col min="12033" max="12033" width="6.42578125" customWidth="1"/>
    <col min="12034" max="12034" width="19.5703125" customWidth="1"/>
    <col min="12035" max="12035" width="13.42578125" customWidth="1"/>
    <col min="12036" max="12036" width="13.5703125" customWidth="1"/>
    <col min="12037" max="12038" width="20.85546875" customWidth="1"/>
    <col min="12039" max="12039" width="16.5703125" customWidth="1"/>
    <col min="12040" max="12040" width="21" customWidth="1"/>
    <col min="12041" max="12041" width="18.85546875" customWidth="1"/>
    <col min="12042" max="12042" width="19.42578125" customWidth="1"/>
    <col min="12043" max="12043" width="18.85546875" customWidth="1"/>
    <col min="12044" max="12044" width="18.140625" customWidth="1"/>
    <col min="12045" max="12046" width="20.85546875" customWidth="1"/>
    <col min="12047" max="12047" width="133.7109375" customWidth="1"/>
    <col min="12048" max="12048" width="19.7109375" customWidth="1"/>
    <col min="12049" max="12049" width="13.28515625" customWidth="1"/>
    <col min="12050" max="12050" width="14.42578125" customWidth="1"/>
    <col min="12051" max="12051" width="11" customWidth="1"/>
    <col min="12052" max="12052" width="13.42578125" customWidth="1"/>
    <col min="12053" max="12053" width="13.5703125" customWidth="1"/>
    <col min="12054" max="12054" width="17.5703125" customWidth="1"/>
    <col min="12055" max="12057" width="13.42578125" customWidth="1"/>
    <col min="12058" max="12058" width="12.7109375" customWidth="1"/>
    <col min="12059" max="12059" width="13.28515625" customWidth="1"/>
    <col min="12060" max="12060" width="17.140625" customWidth="1"/>
    <col min="12061" max="12062" width="13.42578125" customWidth="1"/>
    <col min="12063" max="12063" width="14.85546875" customWidth="1"/>
    <col min="12064" max="12064" width="13.140625" customWidth="1"/>
    <col min="12065" max="12065" width="14.85546875" customWidth="1"/>
    <col min="12066" max="12066" width="13" customWidth="1"/>
    <col min="12067" max="12068" width="15.5703125" customWidth="1"/>
    <col min="12069" max="12069" width="25.140625" customWidth="1"/>
    <col min="12070" max="12070" width="40.42578125" customWidth="1"/>
    <col min="12071" max="12071" width="19.140625" customWidth="1"/>
    <col min="12072" max="12072" width="17.85546875" customWidth="1"/>
    <col min="12073" max="12073" width="13.140625" customWidth="1"/>
    <col min="12074" max="12074" width="12" customWidth="1"/>
    <col min="12075" max="12075" width="13.85546875" customWidth="1"/>
    <col min="12076" max="12076" width="13.42578125" customWidth="1"/>
    <col min="12077" max="12077" width="19.5703125" customWidth="1"/>
    <col min="12078" max="12078" width="14.28515625" customWidth="1"/>
    <col min="12079" max="12079" width="22.85546875" customWidth="1"/>
    <col min="12080" max="12080" width="16" customWidth="1"/>
    <col min="12081" max="12081" width="14.5703125" customWidth="1"/>
    <col min="12082" max="12082" width="17.85546875" customWidth="1"/>
    <col min="12083" max="12083" width="13.42578125" customWidth="1"/>
    <col min="12084" max="12084" width="21.7109375" customWidth="1"/>
    <col min="12085" max="12085" width="18" customWidth="1"/>
    <col min="12086" max="12086" width="13.5703125" customWidth="1"/>
    <col min="12087" max="12087" width="16.42578125" customWidth="1"/>
    <col min="12088" max="12092" width="13.42578125" customWidth="1"/>
    <col min="12093" max="12093" width="12.7109375" customWidth="1"/>
    <col min="12094" max="12096" width="13.42578125" customWidth="1"/>
    <col min="12097" max="12097" width="14.5703125" customWidth="1"/>
    <col min="12098" max="12098" width="12.140625" customWidth="1"/>
    <col min="12099" max="12112" width="13.42578125" customWidth="1"/>
    <col min="12113" max="12113" width="17.42578125" customWidth="1"/>
    <col min="12114" max="12114" width="14.5703125" customWidth="1"/>
    <col min="12115" max="12123" width="13.42578125" customWidth="1"/>
    <col min="12124" max="12124" width="10.28515625" customWidth="1"/>
    <col min="12125" max="12130" width="13.42578125" customWidth="1"/>
    <col min="12131" max="12131" width="13.140625" customWidth="1"/>
    <col min="12132" max="12132" width="15.42578125" customWidth="1"/>
    <col min="12133" max="12152" width="13.42578125" customWidth="1"/>
    <col min="12153" max="12153" width="20.85546875" customWidth="1"/>
    <col min="12154" max="12154" width="15.5703125" customWidth="1"/>
    <col min="12155" max="12158" width="13.42578125" customWidth="1"/>
    <col min="12159" max="12159" width="20.85546875" customWidth="1"/>
    <col min="12289" max="12289" width="6.42578125" customWidth="1"/>
    <col min="12290" max="12290" width="19.5703125" customWidth="1"/>
    <col min="12291" max="12291" width="13.42578125" customWidth="1"/>
    <col min="12292" max="12292" width="13.5703125" customWidth="1"/>
    <col min="12293" max="12294" width="20.85546875" customWidth="1"/>
    <col min="12295" max="12295" width="16.5703125" customWidth="1"/>
    <col min="12296" max="12296" width="21" customWidth="1"/>
    <col min="12297" max="12297" width="18.85546875" customWidth="1"/>
    <col min="12298" max="12298" width="19.42578125" customWidth="1"/>
    <col min="12299" max="12299" width="18.85546875" customWidth="1"/>
    <col min="12300" max="12300" width="18.140625" customWidth="1"/>
    <col min="12301" max="12302" width="20.85546875" customWidth="1"/>
    <col min="12303" max="12303" width="133.7109375" customWidth="1"/>
    <col min="12304" max="12304" width="19.7109375" customWidth="1"/>
    <col min="12305" max="12305" width="13.28515625" customWidth="1"/>
    <col min="12306" max="12306" width="14.42578125" customWidth="1"/>
    <col min="12307" max="12307" width="11" customWidth="1"/>
    <col min="12308" max="12308" width="13.42578125" customWidth="1"/>
    <col min="12309" max="12309" width="13.5703125" customWidth="1"/>
    <col min="12310" max="12310" width="17.5703125" customWidth="1"/>
    <col min="12311" max="12313" width="13.42578125" customWidth="1"/>
    <col min="12314" max="12314" width="12.7109375" customWidth="1"/>
    <col min="12315" max="12315" width="13.28515625" customWidth="1"/>
    <col min="12316" max="12316" width="17.140625" customWidth="1"/>
    <col min="12317" max="12318" width="13.42578125" customWidth="1"/>
    <col min="12319" max="12319" width="14.85546875" customWidth="1"/>
    <col min="12320" max="12320" width="13.140625" customWidth="1"/>
    <col min="12321" max="12321" width="14.85546875" customWidth="1"/>
    <col min="12322" max="12322" width="13" customWidth="1"/>
    <col min="12323" max="12324" width="15.5703125" customWidth="1"/>
    <col min="12325" max="12325" width="25.140625" customWidth="1"/>
    <col min="12326" max="12326" width="40.42578125" customWidth="1"/>
    <col min="12327" max="12327" width="19.140625" customWidth="1"/>
    <col min="12328" max="12328" width="17.85546875" customWidth="1"/>
    <col min="12329" max="12329" width="13.140625" customWidth="1"/>
    <col min="12330" max="12330" width="12" customWidth="1"/>
    <col min="12331" max="12331" width="13.85546875" customWidth="1"/>
    <col min="12332" max="12332" width="13.42578125" customWidth="1"/>
    <col min="12333" max="12333" width="19.5703125" customWidth="1"/>
    <col min="12334" max="12334" width="14.28515625" customWidth="1"/>
    <col min="12335" max="12335" width="22.85546875" customWidth="1"/>
    <col min="12336" max="12336" width="16" customWidth="1"/>
    <col min="12337" max="12337" width="14.5703125" customWidth="1"/>
    <col min="12338" max="12338" width="17.85546875" customWidth="1"/>
    <col min="12339" max="12339" width="13.42578125" customWidth="1"/>
    <col min="12340" max="12340" width="21.7109375" customWidth="1"/>
    <col min="12341" max="12341" width="18" customWidth="1"/>
    <col min="12342" max="12342" width="13.5703125" customWidth="1"/>
    <col min="12343" max="12343" width="16.42578125" customWidth="1"/>
    <col min="12344" max="12348" width="13.42578125" customWidth="1"/>
    <col min="12349" max="12349" width="12.7109375" customWidth="1"/>
    <col min="12350" max="12352" width="13.42578125" customWidth="1"/>
    <col min="12353" max="12353" width="14.5703125" customWidth="1"/>
    <col min="12354" max="12354" width="12.140625" customWidth="1"/>
    <col min="12355" max="12368" width="13.42578125" customWidth="1"/>
    <col min="12369" max="12369" width="17.42578125" customWidth="1"/>
    <col min="12370" max="12370" width="14.5703125" customWidth="1"/>
    <col min="12371" max="12379" width="13.42578125" customWidth="1"/>
    <col min="12380" max="12380" width="10.28515625" customWidth="1"/>
    <col min="12381" max="12386" width="13.42578125" customWidth="1"/>
    <col min="12387" max="12387" width="13.140625" customWidth="1"/>
    <col min="12388" max="12388" width="15.42578125" customWidth="1"/>
    <col min="12389" max="12408" width="13.42578125" customWidth="1"/>
    <col min="12409" max="12409" width="20.85546875" customWidth="1"/>
    <col min="12410" max="12410" width="15.5703125" customWidth="1"/>
    <col min="12411" max="12414" width="13.42578125" customWidth="1"/>
    <col min="12415" max="12415" width="20.85546875" customWidth="1"/>
    <col min="12545" max="12545" width="6.42578125" customWidth="1"/>
    <col min="12546" max="12546" width="19.5703125" customWidth="1"/>
    <col min="12547" max="12547" width="13.42578125" customWidth="1"/>
    <col min="12548" max="12548" width="13.5703125" customWidth="1"/>
    <col min="12549" max="12550" width="20.85546875" customWidth="1"/>
    <col min="12551" max="12551" width="16.5703125" customWidth="1"/>
    <col min="12552" max="12552" width="21" customWidth="1"/>
    <col min="12553" max="12553" width="18.85546875" customWidth="1"/>
    <col min="12554" max="12554" width="19.42578125" customWidth="1"/>
    <col min="12555" max="12555" width="18.85546875" customWidth="1"/>
    <col min="12556" max="12556" width="18.140625" customWidth="1"/>
    <col min="12557" max="12558" width="20.85546875" customWidth="1"/>
    <col min="12559" max="12559" width="133.7109375" customWidth="1"/>
    <col min="12560" max="12560" width="19.7109375" customWidth="1"/>
    <col min="12561" max="12561" width="13.28515625" customWidth="1"/>
    <col min="12562" max="12562" width="14.42578125" customWidth="1"/>
    <col min="12563" max="12563" width="11" customWidth="1"/>
    <col min="12564" max="12564" width="13.42578125" customWidth="1"/>
    <col min="12565" max="12565" width="13.5703125" customWidth="1"/>
    <col min="12566" max="12566" width="17.5703125" customWidth="1"/>
    <col min="12567" max="12569" width="13.42578125" customWidth="1"/>
    <col min="12570" max="12570" width="12.7109375" customWidth="1"/>
    <col min="12571" max="12571" width="13.28515625" customWidth="1"/>
    <col min="12572" max="12572" width="17.140625" customWidth="1"/>
    <col min="12573" max="12574" width="13.42578125" customWidth="1"/>
    <col min="12575" max="12575" width="14.85546875" customWidth="1"/>
    <col min="12576" max="12576" width="13.140625" customWidth="1"/>
    <col min="12577" max="12577" width="14.85546875" customWidth="1"/>
    <col min="12578" max="12578" width="13" customWidth="1"/>
    <col min="12579" max="12580" width="15.5703125" customWidth="1"/>
    <col min="12581" max="12581" width="25.140625" customWidth="1"/>
    <col min="12582" max="12582" width="40.42578125" customWidth="1"/>
    <col min="12583" max="12583" width="19.140625" customWidth="1"/>
    <col min="12584" max="12584" width="17.85546875" customWidth="1"/>
    <col min="12585" max="12585" width="13.140625" customWidth="1"/>
    <col min="12586" max="12586" width="12" customWidth="1"/>
    <col min="12587" max="12587" width="13.85546875" customWidth="1"/>
    <col min="12588" max="12588" width="13.42578125" customWidth="1"/>
    <col min="12589" max="12589" width="19.5703125" customWidth="1"/>
    <col min="12590" max="12590" width="14.28515625" customWidth="1"/>
    <col min="12591" max="12591" width="22.85546875" customWidth="1"/>
    <col min="12592" max="12592" width="16" customWidth="1"/>
    <col min="12593" max="12593" width="14.5703125" customWidth="1"/>
    <col min="12594" max="12594" width="17.85546875" customWidth="1"/>
    <col min="12595" max="12595" width="13.42578125" customWidth="1"/>
    <col min="12596" max="12596" width="21.7109375" customWidth="1"/>
    <col min="12597" max="12597" width="18" customWidth="1"/>
    <col min="12598" max="12598" width="13.5703125" customWidth="1"/>
    <col min="12599" max="12599" width="16.42578125" customWidth="1"/>
    <col min="12600" max="12604" width="13.42578125" customWidth="1"/>
    <col min="12605" max="12605" width="12.7109375" customWidth="1"/>
    <col min="12606" max="12608" width="13.42578125" customWidth="1"/>
    <col min="12609" max="12609" width="14.5703125" customWidth="1"/>
    <col min="12610" max="12610" width="12.140625" customWidth="1"/>
    <col min="12611" max="12624" width="13.42578125" customWidth="1"/>
    <col min="12625" max="12625" width="17.42578125" customWidth="1"/>
    <col min="12626" max="12626" width="14.5703125" customWidth="1"/>
    <col min="12627" max="12635" width="13.42578125" customWidth="1"/>
    <col min="12636" max="12636" width="10.28515625" customWidth="1"/>
    <col min="12637" max="12642" width="13.42578125" customWidth="1"/>
    <col min="12643" max="12643" width="13.140625" customWidth="1"/>
    <col min="12644" max="12644" width="15.42578125" customWidth="1"/>
    <col min="12645" max="12664" width="13.42578125" customWidth="1"/>
    <col min="12665" max="12665" width="20.85546875" customWidth="1"/>
    <col min="12666" max="12666" width="15.5703125" customWidth="1"/>
    <col min="12667" max="12670" width="13.42578125" customWidth="1"/>
    <col min="12671" max="12671" width="20.85546875" customWidth="1"/>
    <col min="12801" max="12801" width="6.42578125" customWidth="1"/>
    <col min="12802" max="12802" width="19.5703125" customWidth="1"/>
    <col min="12803" max="12803" width="13.42578125" customWidth="1"/>
    <col min="12804" max="12804" width="13.5703125" customWidth="1"/>
    <col min="12805" max="12806" width="20.85546875" customWidth="1"/>
    <col min="12807" max="12807" width="16.5703125" customWidth="1"/>
    <col min="12808" max="12808" width="21" customWidth="1"/>
    <col min="12809" max="12809" width="18.85546875" customWidth="1"/>
    <col min="12810" max="12810" width="19.42578125" customWidth="1"/>
    <col min="12811" max="12811" width="18.85546875" customWidth="1"/>
    <col min="12812" max="12812" width="18.140625" customWidth="1"/>
    <col min="12813" max="12814" width="20.85546875" customWidth="1"/>
    <col min="12815" max="12815" width="133.7109375" customWidth="1"/>
    <col min="12816" max="12816" width="19.7109375" customWidth="1"/>
    <col min="12817" max="12817" width="13.28515625" customWidth="1"/>
    <col min="12818" max="12818" width="14.42578125" customWidth="1"/>
    <col min="12819" max="12819" width="11" customWidth="1"/>
    <col min="12820" max="12820" width="13.42578125" customWidth="1"/>
    <col min="12821" max="12821" width="13.5703125" customWidth="1"/>
    <col min="12822" max="12822" width="17.5703125" customWidth="1"/>
    <col min="12823" max="12825" width="13.42578125" customWidth="1"/>
    <col min="12826" max="12826" width="12.7109375" customWidth="1"/>
    <col min="12827" max="12827" width="13.28515625" customWidth="1"/>
    <col min="12828" max="12828" width="17.140625" customWidth="1"/>
    <col min="12829" max="12830" width="13.42578125" customWidth="1"/>
    <col min="12831" max="12831" width="14.85546875" customWidth="1"/>
    <col min="12832" max="12832" width="13.140625" customWidth="1"/>
    <col min="12833" max="12833" width="14.85546875" customWidth="1"/>
    <col min="12834" max="12834" width="13" customWidth="1"/>
    <col min="12835" max="12836" width="15.5703125" customWidth="1"/>
    <col min="12837" max="12837" width="25.140625" customWidth="1"/>
    <col min="12838" max="12838" width="40.42578125" customWidth="1"/>
    <col min="12839" max="12839" width="19.140625" customWidth="1"/>
    <col min="12840" max="12840" width="17.85546875" customWidth="1"/>
    <col min="12841" max="12841" width="13.140625" customWidth="1"/>
    <col min="12842" max="12842" width="12" customWidth="1"/>
    <col min="12843" max="12843" width="13.85546875" customWidth="1"/>
    <col min="12844" max="12844" width="13.42578125" customWidth="1"/>
    <col min="12845" max="12845" width="19.5703125" customWidth="1"/>
    <col min="12846" max="12846" width="14.28515625" customWidth="1"/>
    <col min="12847" max="12847" width="22.85546875" customWidth="1"/>
    <col min="12848" max="12848" width="16" customWidth="1"/>
    <col min="12849" max="12849" width="14.5703125" customWidth="1"/>
    <col min="12850" max="12850" width="17.85546875" customWidth="1"/>
    <col min="12851" max="12851" width="13.42578125" customWidth="1"/>
    <col min="12852" max="12852" width="21.7109375" customWidth="1"/>
    <col min="12853" max="12853" width="18" customWidth="1"/>
    <col min="12854" max="12854" width="13.5703125" customWidth="1"/>
    <col min="12855" max="12855" width="16.42578125" customWidth="1"/>
    <col min="12856" max="12860" width="13.42578125" customWidth="1"/>
    <col min="12861" max="12861" width="12.7109375" customWidth="1"/>
    <col min="12862" max="12864" width="13.42578125" customWidth="1"/>
    <col min="12865" max="12865" width="14.5703125" customWidth="1"/>
    <col min="12866" max="12866" width="12.140625" customWidth="1"/>
    <col min="12867" max="12880" width="13.42578125" customWidth="1"/>
    <col min="12881" max="12881" width="17.42578125" customWidth="1"/>
    <col min="12882" max="12882" width="14.5703125" customWidth="1"/>
    <col min="12883" max="12891" width="13.42578125" customWidth="1"/>
    <col min="12892" max="12892" width="10.28515625" customWidth="1"/>
    <col min="12893" max="12898" width="13.42578125" customWidth="1"/>
    <col min="12899" max="12899" width="13.140625" customWidth="1"/>
    <col min="12900" max="12900" width="15.42578125" customWidth="1"/>
    <col min="12901" max="12920" width="13.42578125" customWidth="1"/>
    <col min="12921" max="12921" width="20.85546875" customWidth="1"/>
    <col min="12922" max="12922" width="15.5703125" customWidth="1"/>
    <col min="12923" max="12926" width="13.42578125" customWidth="1"/>
    <col min="12927" max="12927" width="20.85546875" customWidth="1"/>
    <col min="13057" max="13057" width="6.42578125" customWidth="1"/>
    <col min="13058" max="13058" width="19.5703125" customWidth="1"/>
    <col min="13059" max="13059" width="13.42578125" customWidth="1"/>
    <col min="13060" max="13060" width="13.5703125" customWidth="1"/>
    <col min="13061" max="13062" width="20.85546875" customWidth="1"/>
    <col min="13063" max="13063" width="16.5703125" customWidth="1"/>
    <col min="13064" max="13064" width="21" customWidth="1"/>
    <col min="13065" max="13065" width="18.85546875" customWidth="1"/>
    <col min="13066" max="13066" width="19.42578125" customWidth="1"/>
    <col min="13067" max="13067" width="18.85546875" customWidth="1"/>
    <col min="13068" max="13068" width="18.140625" customWidth="1"/>
    <col min="13069" max="13070" width="20.85546875" customWidth="1"/>
    <col min="13071" max="13071" width="133.7109375" customWidth="1"/>
    <col min="13072" max="13072" width="19.7109375" customWidth="1"/>
    <col min="13073" max="13073" width="13.28515625" customWidth="1"/>
    <col min="13074" max="13074" width="14.42578125" customWidth="1"/>
    <col min="13075" max="13075" width="11" customWidth="1"/>
    <col min="13076" max="13076" width="13.42578125" customWidth="1"/>
    <col min="13077" max="13077" width="13.5703125" customWidth="1"/>
    <col min="13078" max="13078" width="17.5703125" customWidth="1"/>
    <col min="13079" max="13081" width="13.42578125" customWidth="1"/>
    <col min="13082" max="13082" width="12.7109375" customWidth="1"/>
    <col min="13083" max="13083" width="13.28515625" customWidth="1"/>
    <col min="13084" max="13084" width="17.140625" customWidth="1"/>
    <col min="13085" max="13086" width="13.42578125" customWidth="1"/>
    <col min="13087" max="13087" width="14.85546875" customWidth="1"/>
    <col min="13088" max="13088" width="13.140625" customWidth="1"/>
    <col min="13089" max="13089" width="14.85546875" customWidth="1"/>
    <col min="13090" max="13090" width="13" customWidth="1"/>
    <col min="13091" max="13092" width="15.5703125" customWidth="1"/>
    <col min="13093" max="13093" width="25.140625" customWidth="1"/>
    <col min="13094" max="13094" width="40.42578125" customWidth="1"/>
    <col min="13095" max="13095" width="19.140625" customWidth="1"/>
    <col min="13096" max="13096" width="17.85546875" customWidth="1"/>
    <col min="13097" max="13097" width="13.140625" customWidth="1"/>
    <col min="13098" max="13098" width="12" customWidth="1"/>
    <col min="13099" max="13099" width="13.85546875" customWidth="1"/>
    <col min="13100" max="13100" width="13.42578125" customWidth="1"/>
    <col min="13101" max="13101" width="19.5703125" customWidth="1"/>
    <col min="13102" max="13102" width="14.28515625" customWidth="1"/>
    <col min="13103" max="13103" width="22.85546875" customWidth="1"/>
    <col min="13104" max="13104" width="16" customWidth="1"/>
    <col min="13105" max="13105" width="14.5703125" customWidth="1"/>
    <col min="13106" max="13106" width="17.85546875" customWidth="1"/>
    <col min="13107" max="13107" width="13.42578125" customWidth="1"/>
    <col min="13108" max="13108" width="21.7109375" customWidth="1"/>
    <col min="13109" max="13109" width="18" customWidth="1"/>
    <col min="13110" max="13110" width="13.5703125" customWidth="1"/>
    <col min="13111" max="13111" width="16.42578125" customWidth="1"/>
    <col min="13112" max="13116" width="13.42578125" customWidth="1"/>
    <col min="13117" max="13117" width="12.7109375" customWidth="1"/>
    <col min="13118" max="13120" width="13.42578125" customWidth="1"/>
    <col min="13121" max="13121" width="14.5703125" customWidth="1"/>
    <col min="13122" max="13122" width="12.140625" customWidth="1"/>
    <col min="13123" max="13136" width="13.42578125" customWidth="1"/>
    <col min="13137" max="13137" width="17.42578125" customWidth="1"/>
    <col min="13138" max="13138" width="14.5703125" customWidth="1"/>
    <col min="13139" max="13147" width="13.42578125" customWidth="1"/>
    <col min="13148" max="13148" width="10.28515625" customWidth="1"/>
    <col min="13149" max="13154" width="13.42578125" customWidth="1"/>
    <col min="13155" max="13155" width="13.140625" customWidth="1"/>
    <col min="13156" max="13156" width="15.42578125" customWidth="1"/>
    <col min="13157" max="13176" width="13.42578125" customWidth="1"/>
    <col min="13177" max="13177" width="20.85546875" customWidth="1"/>
    <col min="13178" max="13178" width="15.5703125" customWidth="1"/>
    <col min="13179" max="13182" width="13.42578125" customWidth="1"/>
    <col min="13183" max="13183" width="20.85546875" customWidth="1"/>
    <col min="13313" max="13313" width="6.42578125" customWidth="1"/>
    <col min="13314" max="13314" width="19.5703125" customWidth="1"/>
    <col min="13315" max="13315" width="13.42578125" customWidth="1"/>
    <col min="13316" max="13316" width="13.5703125" customWidth="1"/>
    <col min="13317" max="13318" width="20.85546875" customWidth="1"/>
    <col min="13319" max="13319" width="16.5703125" customWidth="1"/>
    <col min="13320" max="13320" width="21" customWidth="1"/>
    <col min="13321" max="13321" width="18.85546875" customWidth="1"/>
    <col min="13322" max="13322" width="19.42578125" customWidth="1"/>
    <col min="13323" max="13323" width="18.85546875" customWidth="1"/>
    <col min="13324" max="13324" width="18.140625" customWidth="1"/>
    <col min="13325" max="13326" width="20.85546875" customWidth="1"/>
    <col min="13327" max="13327" width="133.7109375" customWidth="1"/>
    <col min="13328" max="13328" width="19.7109375" customWidth="1"/>
    <col min="13329" max="13329" width="13.28515625" customWidth="1"/>
    <col min="13330" max="13330" width="14.42578125" customWidth="1"/>
    <col min="13331" max="13331" width="11" customWidth="1"/>
    <col min="13332" max="13332" width="13.42578125" customWidth="1"/>
    <col min="13333" max="13333" width="13.5703125" customWidth="1"/>
    <col min="13334" max="13334" width="17.5703125" customWidth="1"/>
    <col min="13335" max="13337" width="13.42578125" customWidth="1"/>
    <col min="13338" max="13338" width="12.7109375" customWidth="1"/>
    <col min="13339" max="13339" width="13.28515625" customWidth="1"/>
    <col min="13340" max="13340" width="17.140625" customWidth="1"/>
    <col min="13341" max="13342" width="13.42578125" customWidth="1"/>
    <col min="13343" max="13343" width="14.85546875" customWidth="1"/>
    <col min="13344" max="13344" width="13.140625" customWidth="1"/>
    <col min="13345" max="13345" width="14.85546875" customWidth="1"/>
    <col min="13346" max="13346" width="13" customWidth="1"/>
    <col min="13347" max="13348" width="15.5703125" customWidth="1"/>
    <col min="13349" max="13349" width="25.140625" customWidth="1"/>
    <col min="13350" max="13350" width="40.42578125" customWidth="1"/>
    <col min="13351" max="13351" width="19.140625" customWidth="1"/>
    <col min="13352" max="13352" width="17.85546875" customWidth="1"/>
    <col min="13353" max="13353" width="13.140625" customWidth="1"/>
    <col min="13354" max="13354" width="12" customWidth="1"/>
    <col min="13355" max="13355" width="13.85546875" customWidth="1"/>
    <col min="13356" max="13356" width="13.42578125" customWidth="1"/>
    <col min="13357" max="13357" width="19.5703125" customWidth="1"/>
    <col min="13358" max="13358" width="14.28515625" customWidth="1"/>
    <col min="13359" max="13359" width="22.85546875" customWidth="1"/>
    <col min="13360" max="13360" width="16" customWidth="1"/>
    <col min="13361" max="13361" width="14.5703125" customWidth="1"/>
    <col min="13362" max="13362" width="17.85546875" customWidth="1"/>
    <col min="13363" max="13363" width="13.42578125" customWidth="1"/>
    <col min="13364" max="13364" width="21.7109375" customWidth="1"/>
    <col min="13365" max="13365" width="18" customWidth="1"/>
    <col min="13366" max="13366" width="13.5703125" customWidth="1"/>
    <col min="13367" max="13367" width="16.42578125" customWidth="1"/>
    <col min="13368" max="13372" width="13.42578125" customWidth="1"/>
    <col min="13373" max="13373" width="12.7109375" customWidth="1"/>
    <col min="13374" max="13376" width="13.42578125" customWidth="1"/>
    <col min="13377" max="13377" width="14.5703125" customWidth="1"/>
    <col min="13378" max="13378" width="12.140625" customWidth="1"/>
    <col min="13379" max="13392" width="13.42578125" customWidth="1"/>
    <col min="13393" max="13393" width="17.42578125" customWidth="1"/>
    <col min="13394" max="13394" width="14.5703125" customWidth="1"/>
    <col min="13395" max="13403" width="13.42578125" customWidth="1"/>
    <col min="13404" max="13404" width="10.28515625" customWidth="1"/>
    <col min="13405" max="13410" width="13.42578125" customWidth="1"/>
    <col min="13411" max="13411" width="13.140625" customWidth="1"/>
    <col min="13412" max="13412" width="15.42578125" customWidth="1"/>
    <col min="13413" max="13432" width="13.42578125" customWidth="1"/>
    <col min="13433" max="13433" width="20.85546875" customWidth="1"/>
    <col min="13434" max="13434" width="15.5703125" customWidth="1"/>
    <col min="13435" max="13438" width="13.42578125" customWidth="1"/>
    <col min="13439" max="13439" width="20.85546875" customWidth="1"/>
    <col min="13569" max="13569" width="6.42578125" customWidth="1"/>
    <col min="13570" max="13570" width="19.5703125" customWidth="1"/>
    <col min="13571" max="13571" width="13.42578125" customWidth="1"/>
    <col min="13572" max="13572" width="13.5703125" customWidth="1"/>
    <col min="13573" max="13574" width="20.85546875" customWidth="1"/>
    <col min="13575" max="13575" width="16.5703125" customWidth="1"/>
    <col min="13576" max="13576" width="21" customWidth="1"/>
    <col min="13577" max="13577" width="18.85546875" customWidth="1"/>
    <col min="13578" max="13578" width="19.42578125" customWidth="1"/>
    <col min="13579" max="13579" width="18.85546875" customWidth="1"/>
    <col min="13580" max="13580" width="18.140625" customWidth="1"/>
    <col min="13581" max="13582" width="20.85546875" customWidth="1"/>
    <col min="13583" max="13583" width="133.7109375" customWidth="1"/>
    <col min="13584" max="13584" width="19.7109375" customWidth="1"/>
    <col min="13585" max="13585" width="13.28515625" customWidth="1"/>
    <col min="13586" max="13586" width="14.42578125" customWidth="1"/>
    <col min="13587" max="13587" width="11" customWidth="1"/>
    <col min="13588" max="13588" width="13.42578125" customWidth="1"/>
    <col min="13589" max="13589" width="13.5703125" customWidth="1"/>
    <col min="13590" max="13590" width="17.5703125" customWidth="1"/>
    <col min="13591" max="13593" width="13.42578125" customWidth="1"/>
    <col min="13594" max="13594" width="12.7109375" customWidth="1"/>
    <col min="13595" max="13595" width="13.28515625" customWidth="1"/>
    <col min="13596" max="13596" width="17.140625" customWidth="1"/>
    <col min="13597" max="13598" width="13.42578125" customWidth="1"/>
    <col min="13599" max="13599" width="14.85546875" customWidth="1"/>
    <col min="13600" max="13600" width="13.140625" customWidth="1"/>
    <col min="13601" max="13601" width="14.85546875" customWidth="1"/>
    <col min="13602" max="13602" width="13" customWidth="1"/>
    <col min="13603" max="13604" width="15.5703125" customWidth="1"/>
    <col min="13605" max="13605" width="25.140625" customWidth="1"/>
    <col min="13606" max="13606" width="40.42578125" customWidth="1"/>
    <col min="13607" max="13607" width="19.140625" customWidth="1"/>
    <col min="13608" max="13608" width="17.85546875" customWidth="1"/>
    <col min="13609" max="13609" width="13.140625" customWidth="1"/>
    <col min="13610" max="13610" width="12" customWidth="1"/>
    <col min="13611" max="13611" width="13.85546875" customWidth="1"/>
    <col min="13612" max="13612" width="13.42578125" customWidth="1"/>
    <col min="13613" max="13613" width="19.5703125" customWidth="1"/>
    <col min="13614" max="13614" width="14.28515625" customWidth="1"/>
    <col min="13615" max="13615" width="22.85546875" customWidth="1"/>
    <col min="13616" max="13616" width="16" customWidth="1"/>
    <col min="13617" max="13617" width="14.5703125" customWidth="1"/>
    <col min="13618" max="13618" width="17.85546875" customWidth="1"/>
    <col min="13619" max="13619" width="13.42578125" customWidth="1"/>
    <col min="13620" max="13620" width="21.7109375" customWidth="1"/>
    <col min="13621" max="13621" width="18" customWidth="1"/>
    <col min="13622" max="13622" width="13.5703125" customWidth="1"/>
    <col min="13623" max="13623" width="16.42578125" customWidth="1"/>
    <col min="13624" max="13628" width="13.42578125" customWidth="1"/>
    <col min="13629" max="13629" width="12.7109375" customWidth="1"/>
    <col min="13630" max="13632" width="13.42578125" customWidth="1"/>
    <col min="13633" max="13633" width="14.5703125" customWidth="1"/>
    <col min="13634" max="13634" width="12.140625" customWidth="1"/>
    <col min="13635" max="13648" width="13.42578125" customWidth="1"/>
    <col min="13649" max="13649" width="17.42578125" customWidth="1"/>
    <col min="13650" max="13650" width="14.5703125" customWidth="1"/>
    <col min="13651" max="13659" width="13.42578125" customWidth="1"/>
    <col min="13660" max="13660" width="10.28515625" customWidth="1"/>
    <col min="13661" max="13666" width="13.42578125" customWidth="1"/>
    <col min="13667" max="13667" width="13.140625" customWidth="1"/>
    <col min="13668" max="13668" width="15.42578125" customWidth="1"/>
    <col min="13669" max="13688" width="13.42578125" customWidth="1"/>
    <col min="13689" max="13689" width="20.85546875" customWidth="1"/>
    <col min="13690" max="13690" width="15.5703125" customWidth="1"/>
    <col min="13691" max="13694" width="13.42578125" customWidth="1"/>
    <col min="13695" max="13695" width="20.85546875" customWidth="1"/>
    <col min="13825" max="13825" width="6.42578125" customWidth="1"/>
    <col min="13826" max="13826" width="19.5703125" customWidth="1"/>
    <col min="13827" max="13827" width="13.42578125" customWidth="1"/>
    <col min="13828" max="13828" width="13.5703125" customWidth="1"/>
    <col min="13829" max="13830" width="20.85546875" customWidth="1"/>
    <col min="13831" max="13831" width="16.5703125" customWidth="1"/>
    <col min="13832" max="13832" width="21" customWidth="1"/>
    <col min="13833" max="13833" width="18.85546875" customWidth="1"/>
    <col min="13834" max="13834" width="19.42578125" customWidth="1"/>
    <col min="13835" max="13835" width="18.85546875" customWidth="1"/>
    <col min="13836" max="13836" width="18.140625" customWidth="1"/>
    <col min="13837" max="13838" width="20.85546875" customWidth="1"/>
    <col min="13839" max="13839" width="133.7109375" customWidth="1"/>
    <col min="13840" max="13840" width="19.7109375" customWidth="1"/>
    <col min="13841" max="13841" width="13.28515625" customWidth="1"/>
    <col min="13842" max="13842" width="14.42578125" customWidth="1"/>
    <col min="13843" max="13843" width="11" customWidth="1"/>
    <col min="13844" max="13844" width="13.42578125" customWidth="1"/>
    <col min="13845" max="13845" width="13.5703125" customWidth="1"/>
    <col min="13846" max="13846" width="17.5703125" customWidth="1"/>
    <col min="13847" max="13849" width="13.42578125" customWidth="1"/>
    <col min="13850" max="13850" width="12.7109375" customWidth="1"/>
    <col min="13851" max="13851" width="13.28515625" customWidth="1"/>
    <col min="13852" max="13852" width="17.140625" customWidth="1"/>
    <col min="13853" max="13854" width="13.42578125" customWidth="1"/>
    <col min="13855" max="13855" width="14.85546875" customWidth="1"/>
    <col min="13856" max="13856" width="13.140625" customWidth="1"/>
    <col min="13857" max="13857" width="14.85546875" customWidth="1"/>
    <col min="13858" max="13858" width="13" customWidth="1"/>
    <col min="13859" max="13860" width="15.5703125" customWidth="1"/>
    <col min="13861" max="13861" width="25.140625" customWidth="1"/>
    <col min="13862" max="13862" width="40.42578125" customWidth="1"/>
    <col min="13863" max="13863" width="19.140625" customWidth="1"/>
    <col min="13864" max="13864" width="17.85546875" customWidth="1"/>
    <col min="13865" max="13865" width="13.140625" customWidth="1"/>
    <col min="13866" max="13866" width="12" customWidth="1"/>
    <col min="13867" max="13867" width="13.85546875" customWidth="1"/>
    <col min="13868" max="13868" width="13.42578125" customWidth="1"/>
    <col min="13869" max="13869" width="19.5703125" customWidth="1"/>
    <col min="13870" max="13870" width="14.28515625" customWidth="1"/>
    <col min="13871" max="13871" width="22.85546875" customWidth="1"/>
    <col min="13872" max="13872" width="16" customWidth="1"/>
    <col min="13873" max="13873" width="14.5703125" customWidth="1"/>
    <col min="13874" max="13874" width="17.85546875" customWidth="1"/>
    <col min="13875" max="13875" width="13.42578125" customWidth="1"/>
    <col min="13876" max="13876" width="21.7109375" customWidth="1"/>
    <col min="13877" max="13877" width="18" customWidth="1"/>
    <col min="13878" max="13878" width="13.5703125" customWidth="1"/>
    <col min="13879" max="13879" width="16.42578125" customWidth="1"/>
    <col min="13880" max="13884" width="13.42578125" customWidth="1"/>
    <col min="13885" max="13885" width="12.7109375" customWidth="1"/>
    <col min="13886" max="13888" width="13.42578125" customWidth="1"/>
    <col min="13889" max="13889" width="14.5703125" customWidth="1"/>
    <col min="13890" max="13890" width="12.140625" customWidth="1"/>
    <col min="13891" max="13904" width="13.42578125" customWidth="1"/>
    <col min="13905" max="13905" width="17.42578125" customWidth="1"/>
    <col min="13906" max="13906" width="14.5703125" customWidth="1"/>
    <col min="13907" max="13915" width="13.42578125" customWidth="1"/>
    <col min="13916" max="13916" width="10.28515625" customWidth="1"/>
    <col min="13917" max="13922" width="13.42578125" customWidth="1"/>
    <col min="13923" max="13923" width="13.140625" customWidth="1"/>
    <col min="13924" max="13924" width="15.42578125" customWidth="1"/>
    <col min="13925" max="13944" width="13.42578125" customWidth="1"/>
    <col min="13945" max="13945" width="20.85546875" customWidth="1"/>
    <col min="13946" max="13946" width="15.5703125" customWidth="1"/>
    <col min="13947" max="13950" width="13.42578125" customWidth="1"/>
    <col min="13951" max="13951" width="20.85546875" customWidth="1"/>
    <col min="14081" max="14081" width="6.42578125" customWidth="1"/>
    <col min="14082" max="14082" width="19.5703125" customWidth="1"/>
    <col min="14083" max="14083" width="13.42578125" customWidth="1"/>
    <col min="14084" max="14084" width="13.5703125" customWidth="1"/>
    <col min="14085" max="14086" width="20.85546875" customWidth="1"/>
    <col min="14087" max="14087" width="16.5703125" customWidth="1"/>
    <col min="14088" max="14088" width="21" customWidth="1"/>
    <col min="14089" max="14089" width="18.85546875" customWidth="1"/>
    <col min="14090" max="14090" width="19.42578125" customWidth="1"/>
    <col min="14091" max="14091" width="18.85546875" customWidth="1"/>
    <col min="14092" max="14092" width="18.140625" customWidth="1"/>
    <col min="14093" max="14094" width="20.85546875" customWidth="1"/>
    <col min="14095" max="14095" width="133.7109375" customWidth="1"/>
    <col min="14096" max="14096" width="19.7109375" customWidth="1"/>
    <col min="14097" max="14097" width="13.28515625" customWidth="1"/>
    <col min="14098" max="14098" width="14.42578125" customWidth="1"/>
    <col min="14099" max="14099" width="11" customWidth="1"/>
    <col min="14100" max="14100" width="13.42578125" customWidth="1"/>
    <col min="14101" max="14101" width="13.5703125" customWidth="1"/>
    <col min="14102" max="14102" width="17.5703125" customWidth="1"/>
    <col min="14103" max="14105" width="13.42578125" customWidth="1"/>
    <col min="14106" max="14106" width="12.7109375" customWidth="1"/>
    <col min="14107" max="14107" width="13.28515625" customWidth="1"/>
    <col min="14108" max="14108" width="17.140625" customWidth="1"/>
    <col min="14109" max="14110" width="13.42578125" customWidth="1"/>
    <col min="14111" max="14111" width="14.85546875" customWidth="1"/>
    <col min="14112" max="14112" width="13.140625" customWidth="1"/>
    <col min="14113" max="14113" width="14.85546875" customWidth="1"/>
    <col min="14114" max="14114" width="13" customWidth="1"/>
    <col min="14115" max="14116" width="15.5703125" customWidth="1"/>
    <col min="14117" max="14117" width="25.140625" customWidth="1"/>
    <col min="14118" max="14118" width="40.42578125" customWidth="1"/>
    <col min="14119" max="14119" width="19.140625" customWidth="1"/>
    <col min="14120" max="14120" width="17.85546875" customWidth="1"/>
    <col min="14121" max="14121" width="13.140625" customWidth="1"/>
    <col min="14122" max="14122" width="12" customWidth="1"/>
    <col min="14123" max="14123" width="13.85546875" customWidth="1"/>
    <col min="14124" max="14124" width="13.42578125" customWidth="1"/>
    <col min="14125" max="14125" width="19.5703125" customWidth="1"/>
    <col min="14126" max="14126" width="14.28515625" customWidth="1"/>
    <col min="14127" max="14127" width="22.85546875" customWidth="1"/>
    <col min="14128" max="14128" width="16" customWidth="1"/>
    <col min="14129" max="14129" width="14.5703125" customWidth="1"/>
    <col min="14130" max="14130" width="17.85546875" customWidth="1"/>
    <col min="14131" max="14131" width="13.42578125" customWidth="1"/>
    <col min="14132" max="14132" width="21.7109375" customWidth="1"/>
    <col min="14133" max="14133" width="18" customWidth="1"/>
    <col min="14134" max="14134" width="13.5703125" customWidth="1"/>
    <col min="14135" max="14135" width="16.42578125" customWidth="1"/>
    <col min="14136" max="14140" width="13.42578125" customWidth="1"/>
    <col min="14141" max="14141" width="12.7109375" customWidth="1"/>
    <col min="14142" max="14144" width="13.42578125" customWidth="1"/>
    <col min="14145" max="14145" width="14.5703125" customWidth="1"/>
    <col min="14146" max="14146" width="12.140625" customWidth="1"/>
    <col min="14147" max="14160" width="13.42578125" customWidth="1"/>
    <col min="14161" max="14161" width="17.42578125" customWidth="1"/>
    <col min="14162" max="14162" width="14.5703125" customWidth="1"/>
    <col min="14163" max="14171" width="13.42578125" customWidth="1"/>
    <col min="14172" max="14172" width="10.28515625" customWidth="1"/>
    <col min="14173" max="14178" width="13.42578125" customWidth="1"/>
    <col min="14179" max="14179" width="13.140625" customWidth="1"/>
    <col min="14180" max="14180" width="15.42578125" customWidth="1"/>
    <col min="14181" max="14200" width="13.42578125" customWidth="1"/>
    <col min="14201" max="14201" width="20.85546875" customWidth="1"/>
    <col min="14202" max="14202" width="15.5703125" customWidth="1"/>
    <col min="14203" max="14206" width="13.42578125" customWidth="1"/>
    <col min="14207" max="14207" width="20.85546875" customWidth="1"/>
    <col min="14337" max="14337" width="6.42578125" customWidth="1"/>
    <col min="14338" max="14338" width="19.5703125" customWidth="1"/>
    <col min="14339" max="14339" width="13.42578125" customWidth="1"/>
    <col min="14340" max="14340" width="13.5703125" customWidth="1"/>
    <col min="14341" max="14342" width="20.85546875" customWidth="1"/>
    <col min="14343" max="14343" width="16.5703125" customWidth="1"/>
    <col min="14344" max="14344" width="21" customWidth="1"/>
    <col min="14345" max="14345" width="18.85546875" customWidth="1"/>
    <col min="14346" max="14346" width="19.42578125" customWidth="1"/>
    <col min="14347" max="14347" width="18.85546875" customWidth="1"/>
    <col min="14348" max="14348" width="18.140625" customWidth="1"/>
    <col min="14349" max="14350" width="20.85546875" customWidth="1"/>
    <col min="14351" max="14351" width="133.7109375" customWidth="1"/>
    <col min="14352" max="14352" width="19.7109375" customWidth="1"/>
    <col min="14353" max="14353" width="13.28515625" customWidth="1"/>
    <col min="14354" max="14354" width="14.42578125" customWidth="1"/>
    <col min="14355" max="14355" width="11" customWidth="1"/>
    <col min="14356" max="14356" width="13.42578125" customWidth="1"/>
    <col min="14357" max="14357" width="13.5703125" customWidth="1"/>
    <col min="14358" max="14358" width="17.5703125" customWidth="1"/>
    <col min="14359" max="14361" width="13.42578125" customWidth="1"/>
    <col min="14362" max="14362" width="12.7109375" customWidth="1"/>
    <col min="14363" max="14363" width="13.28515625" customWidth="1"/>
    <col min="14364" max="14364" width="17.140625" customWidth="1"/>
    <col min="14365" max="14366" width="13.42578125" customWidth="1"/>
    <col min="14367" max="14367" width="14.85546875" customWidth="1"/>
    <col min="14368" max="14368" width="13.140625" customWidth="1"/>
    <col min="14369" max="14369" width="14.85546875" customWidth="1"/>
    <col min="14370" max="14370" width="13" customWidth="1"/>
    <col min="14371" max="14372" width="15.5703125" customWidth="1"/>
    <col min="14373" max="14373" width="25.140625" customWidth="1"/>
    <col min="14374" max="14374" width="40.42578125" customWidth="1"/>
    <col min="14375" max="14375" width="19.140625" customWidth="1"/>
    <col min="14376" max="14376" width="17.85546875" customWidth="1"/>
    <col min="14377" max="14377" width="13.140625" customWidth="1"/>
    <col min="14378" max="14378" width="12" customWidth="1"/>
    <col min="14379" max="14379" width="13.85546875" customWidth="1"/>
    <col min="14380" max="14380" width="13.42578125" customWidth="1"/>
    <col min="14381" max="14381" width="19.5703125" customWidth="1"/>
    <col min="14382" max="14382" width="14.28515625" customWidth="1"/>
    <col min="14383" max="14383" width="22.85546875" customWidth="1"/>
    <col min="14384" max="14384" width="16" customWidth="1"/>
    <col min="14385" max="14385" width="14.5703125" customWidth="1"/>
    <col min="14386" max="14386" width="17.85546875" customWidth="1"/>
    <col min="14387" max="14387" width="13.42578125" customWidth="1"/>
    <col min="14388" max="14388" width="21.7109375" customWidth="1"/>
    <col min="14389" max="14389" width="18" customWidth="1"/>
    <col min="14390" max="14390" width="13.5703125" customWidth="1"/>
    <col min="14391" max="14391" width="16.42578125" customWidth="1"/>
    <col min="14392" max="14396" width="13.42578125" customWidth="1"/>
    <col min="14397" max="14397" width="12.7109375" customWidth="1"/>
    <col min="14398" max="14400" width="13.42578125" customWidth="1"/>
    <col min="14401" max="14401" width="14.5703125" customWidth="1"/>
    <col min="14402" max="14402" width="12.140625" customWidth="1"/>
    <col min="14403" max="14416" width="13.42578125" customWidth="1"/>
    <col min="14417" max="14417" width="17.42578125" customWidth="1"/>
    <col min="14418" max="14418" width="14.5703125" customWidth="1"/>
    <col min="14419" max="14427" width="13.42578125" customWidth="1"/>
    <col min="14428" max="14428" width="10.28515625" customWidth="1"/>
    <col min="14429" max="14434" width="13.42578125" customWidth="1"/>
    <col min="14435" max="14435" width="13.140625" customWidth="1"/>
    <col min="14436" max="14436" width="15.42578125" customWidth="1"/>
    <col min="14437" max="14456" width="13.42578125" customWidth="1"/>
    <col min="14457" max="14457" width="20.85546875" customWidth="1"/>
    <col min="14458" max="14458" width="15.5703125" customWidth="1"/>
    <col min="14459" max="14462" width="13.42578125" customWidth="1"/>
    <col min="14463" max="14463" width="20.85546875" customWidth="1"/>
    <col min="14593" max="14593" width="6.42578125" customWidth="1"/>
    <col min="14594" max="14594" width="19.5703125" customWidth="1"/>
    <col min="14595" max="14595" width="13.42578125" customWidth="1"/>
    <col min="14596" max="14596" width="13.5703125" customWidth="1"/>
    <col min="14597" max="14598" width="20.85546875" customWidth="1"/>
    <col min="14599" max="14599" width="16.5703125" customWidth="1"/>
    <col min="14600" max="14600" width="21" customWidth="1"/>
    <col min="14601" max="14601" width="18.85546875" customWidth="1"/>
    <col min="14602" max="14602" width="19.42578125" customWidth="1"/>
    <col min="14603" max="14603" width="18.85546875" customWidth="1"/>
    <col min="14604" max="14604" width="18.140625" customWidth="1"/>
    <col min="14605" max="14606" width="20.85546875" customWidth="1"/>
    <col min="14607" max="14607" width="133.7109375" customWidth="1"/>
    <col min="14608" max="14608" width="19.7109375" customWidth="1"/>
    <col min="14609" max="14609" width="13.28515625" customWidth="1"/>
    <col min="14610" max="14610" width="14.42578125" customWidth="1"/>
    <col min="14611" max="14611" width="11" customWidth="1"/>
    <col min="14612" max="14612" width="13.42578125" customWidth="1"/>
    <col min="14613" max="14613" width="13.5703125" customWidth="1"/>
    <col min="14614" max="14614" width="17.5703125" customWidth="1"/>
    <col min="14615" max="14617" width="13.42578125" customWidth="1"/>
    <col min="14618" max="14618" width="12.7109375" customWidth="1"/>
    <col min="14619" max="14619" width="13.28515625" customWidth="1"/>
    <col min="14620" max="14620" width="17.140625" customWidth="1"/>
    <col min="14621" max="14622" width="13.42578125" customWidth="1"/>
    <col min="14623" max="14623" width="14.85546875" customWidth="1"/>
    <col min="14624" max="14624" width="13.140625" customWidth="1"/>
    <col min="14625" max="14625" width="14.85546875" customWidth="1"/>
    <col min="14626" max="14626" width="13" customWidth="1"/>
    <col min="14627" max="14628" width="15.5703125" customWidth="1"/>
    <col min="14629" max="14629" width="25.140625" customWidth="1"/>
    <col min="14630" max="14630" width="40.42578125" customWidth="1"/>
    <col min="14631" max="14631" width="19.140625" customWidth="1"/>
    <col min="14632" max="14632" width="17.85546875" customWidth="1"/>
    <col min="14633" max="14633" width="13.140625" customWidth="1"/>
    <col min="14634" max="14634" width="12" customWidth="1"/>
    <col min="14635" max="14635" width="13.85546875" customWidth="1"/>
    <col min="14636" max="14636" width="13.42578125" customWidth="1"/>
    <col min="14637" max="14637" width="19.5703125" customWidth="1"/>
    <col min="14638" max="14638" width="14.28515625" customWidth="1"/>
    <col min="14639" max="14639" width="22.85546875" customWidth="1"/>
    <col min="14640" max="14640" width="16" customWidth="1"/>
    <col min="14641" max="14641" width="14.5703125" customWidth="1"/>
    <col min="14642" max="14642" width="17.85546875" customWidth="1"/>
    <col min="14643" max="14643" width="13.42578125" customWidth="1"/>
    <col min="14644" max="14644" width="21.7109375" customWidth="1"/>
    <col min="14645" max="14645" width="18" customWidth="1"/>
    <col min="14646" max="14646" width="13.5703125" customWidth="1"/>
    <col min="14647" max="14647" width="16.42578125" customWidth="1"/>
    <col min="14648" max="14652" width="13.42578125" customWidth="1"/>
    <col min="14653" max="14653" width="12.7109375" customWidth="1"/>
    <col min="14654" max="14656" width="13.42578125" customWidth="1"/>
    <col min="14657" max="14657" width="14.5703125" customWidth="1"/>
    <col min="14658" max="14658" width="12.140625" customWidth="1"/>
    <col min="14659" max="14672" width="13.42578125" customWidth="1"/>
    <col min="14673" max="14673" width="17.42578125" customWidth="1"/>
    <col min="14674" max="14674" width="14.5703125" customWidth="1"/>
    <col min="14675" max="14683" width="13.42578125" customWidth="1"/>
    <col min="14684" max="14684" width="10.28515625" customWidth="1"/>
    <col min="14685" max="14690" width="13.42578125" customWidth="1"/>
    <col min="14691" max="14691" width="13.140625" customWidth="1"/>
    <col min="14692" max="14692" width="15.42578125" customWidth="1"/>
    <col min="14693" max="14712" width="13.42578125" customWidth="1"/>
    <col min="14713" max="14713" width="20.85546875" customWidth="1"/>
    <col min="14714" max="14714" width="15.5703125" customWidth="1"/>
    <col min="14715" max="14718" width="13.42578125" customWidth="1"/>
    <col min="14719" max="14719" width="20.85546875" customWidth="1"/>
    <col min="14849" max="14849" width="6.42578125" customWidth="1"/>
    <col min="14850" max="14850" width="19.5703125" customWidth="1"/>
    <col min="14851" max="14851" width="13.42578125" customWidth="1"/>
    <col min="14852" max="14852" width="13.5703125" customWidth="1"/>
    <col min="14853" max="14854" width="20.85546875" customWidth="1"/>
    <col min="14855" max="14855" width="16.5703125" customWidth="1"/>
    <col min="14856" max="14856" width="21" customWidth="1"/>
    <col min="14857" max="14857" width="18.85546875" customWidth="1"/>
    <col min="14858" max="14858" width="19.42578125" customWidth="1"/>
    <col min="14859" max="14859" width="18.85546875" customWidth="1"/>
    <col min="14860" max="14860" width="18.140625" customWidth="1"/>
    <col min="14861" max="14862" width="20.85546875" customWidth="1"/>
    <col min="14863" max="14863" width="133.7109375" customWidth="1"/>
    <col min="14864" max="14864" width="19.7109375" customWidth="1"/>
    <col min="14865" max="14865" width="13.28515625" customWidth="1"/>
    <col min="14866" max="14866" width="14.42578125" customWidth="1"/>
    <col min="14867" max="14867" width="11" customWidth="1"/>
    <col min="14868" max="14868" width="13.42578125" customWidth="1"/>
    <col min="14869" max="14869" width="13.5703125" customWidth="1"/>
    <col min="14870" max="14870" width="17.5703125" customWidth="1"/>
    <col min="14871" max="14873" width="13.42578125" customWidth="1"/>
    <col min="14874" max="14874" width="12.7109375" customWidth="1"/>
    <col min="14875" max="14875" width="13.28515625" customWidth="1"/>
    <col min="14876" max="14876" width="17.140625" customWidth="1"/>
    <col min="14877" max="14878" width="13.42578125" customWidth="1"/>
    <col min="14879" max="14879" width="14.85546875" customWidth="1"/>
    <col min="14880" max="14880" width="13.140625" customWidth="1"/>
    <col min="14881" max="14881" width="14.85546875" customWidth="1"/>
    <col min="14882" max="14882" width="13" customWidth="1"/>
    <col min="14883" max="14884" width="15.5703125" customWidth="1"/>
    <col min="14885" max="14885" width="25.140625" customWidth="1"/>
    <col min="14886" max="14886" width="40.42578125" customWidth="1"/>
    <col min="14887" max="14887" width="19.140625" customWidth="1"/>
    <col min="14888" max="14888" width="17.85546875" customWidth="1"/>
    <col min="14889" max="14889" width="13.140625" customWidth="1"/>
    <col min="14890" max="14890" width="12" customWidth="1"/>
    <col min="14891" max="14891" width="13.85546875" customWidth="1"/>
    <col min="14892" max="14892" width="13.42578125" customWidth="1"/>
    <col min="14893" max="14893" width="19.5703125" customWidth="1"/>
    <col min="14894" max="14894" width="14.28515625" customWidth="1"/>
    <col min="14895" max="14895" width="22.85546875" customWidth="1"/>
    <col min="14896" max="14896" width="16" customWidth="1"/>
    <col min="14897" max="14897" width="14.5703125" customWidth="1"/>
    <col min="14898" max="14898" width="17.85546875" customWidth="1"/>
    <col min="14899" max="14899" width="13.42578125" customWidth="1"/>
    <col min="14900" max="14900" width="21.7109375" customWidth="1"/>
    <col min="14901" max="14901" width="18" customWidth="1"/>
    <col min="14902" max="14902" width="13.5703125" customWidth="1"/>
    <col min="14903" max="14903" width="16.42578125" customWidth="1"/>
    <col min="14904" max="14908" width="13.42578125" customWidth="1"/>
    <col min="14909" max="14909" width="12.7109375" customWidth="1"/>
    <col min="14910" max="14912" width="13.42578125" customWidth="1"/>
    <col min="14913" max="14913" width="14.5703125" customWidth="1"/>
    <col min="14914" max="14914" width="12.140625" customWidth="1"/>
    <col min="14915" max="14928" width="13.42578125" customWidth="1"/>
    <col min="14929" max="14929" width="17.42578125" customWidth="1"/>
    <col min="14930" max="14930" width="14.5703125" customWidth="1"/>
    <col min="14931" max="14939" width="13.42578125" customWidth="1"/>
    <col min="14940" max="14940" width="10.28515625" customWidth="1"/>
    <col min="14941" max="14946" width="13.42578125" customWidth="1"/>
    <col min="14947" max="14947" width="13.140625" customWidth="1"/>
    <col min="14948" max="14948" width="15.42578125" customWidth="1"/>
    <col min="14949" max="14968" width="13.42578125" customWidth="1"/>
    <col min="14969" max="14969" width="20.85546875" customWidth="1"/>
    <col min="14970" max="14970" width="15.5703125" customWidth="1"/>
    <col min="14971" max="14974" width="13.42578125" customWidth="1"/>
    <col min="14975" max="14975" width="20.85546875" customWidth="1"/>
    <col min="15105" max="15105" width="6.42578125" customWidth="1"/>
    <col min="15106" max="15106" width="19.5703125" customWidth="1"/>
    <col min="15107" max="15107" width="13.42578125" customWidth="1"/>
    <col min="15108" max="15108" width="13.5703125" customWidth="1"/>
    <col min="15109" max="15110" width="20.85546875" customWidth="1"/>
    <col min="15111" max="15111" width="16.5703125" customWidth="1"/>
    <col min="15112" max="15112" width="21" customWidth="1"/>
    <col min="15113" max="15113" width="18.85546875" customWidth="1"/>
    <col min="15114" max="15114" width="19.42578125" customWidth="1"/>
    <col min="15115" max="15115" width="18.85546875" customWidth="1"/>
    <col min="15116" max="15116" width="18.140625" customWidth="1"/>
    <col min="15117" max="15118" width="20.85546875" customWidth="1"/>
    <col min="15119" max="15119" width="133.7109375" customWidth="1"/>
    <col min="15120" max="15120" width="19.7109375" customWidth="1"/>
    <col min="15121" max="15121" width="13.28515625" customWidth="1"/>
    <col min="15122" max="15122" width="14.42578125" customWidth="1"/>
    <col min="15123" max="15123" width="11" customWidth="1"/>
    <col min="15124" max="15124" width="13.42578125" customWidth="1"/>
    <col min="15125" max="15125" width="13.5703125" customWidth="1"/>
    <col min="15126" max="15126" width="17.5703125" customWidth="1"/>
    <col min="15127" max="15129" width="13.42578125" customWidth="1"/>
    <col min="15130" max="15130" width="12.7109375" customWidth="1"/>
    <col min="15131" max="15131" width="13.28515625" customWidth="1"/>
    <col min="15132" max="15132" width="17.140625" customWidth="1"/>
    <col min="15133" max="15134" width="13.42578125" customWidth="1"/>
    <col min="15135" max="15135" width="14.85546875" customWidth="1"/>
    <col min="15136" max="15136" width="13.140625" customWidth="1"/>
    <col min="15137" max="15137" width="14.85546875" customWidth="1"/>
    <col min="15138" max="15138" width="13" customWidth="1"/>
    <col min="15139" max="15140" width="15.5703125" customWidth="1"/>
    <col min="15141" max="15141" width="25.140625" customWidth="1"/>
    <col min="15142" max="15142" width="40.42578125" customWidth="1"/>
    <col min="15143" max="15143" width="19.140625" customWidth="1"/>
    <col min="15144" max="15144" width="17.85546875" customWidth="1"/>
    <col min="15145" max="15145" width="13.140625" customWidth="1"/>
    <col min="15146" max="15146" width="12" customWidth="1"/>
    <col min="15147" max="15147" width="13.85546875" customWidth="1"/>
    <col min="15148" max="15148" width="13.42578125" customWidth="1"/>
    <col min="15149" max="15149" width="19.5703125" customWidth="1"/>
    <col min="15150" max="15150" width="14.28515625" customWidth="1"/>
    <col min="15151" max="15151" width="22.85546875" customWidth="1"/>
    <col min="15152" max="15152" width="16" customWidth="1"/>
    <col min="15153" max="15153" width="14.5703125" customWidth="1"/>
    <col min="15154" max="15154" width="17.85546875" customWidth="1"/>
    <col min="15155" max="15155" width="13.42578125" customWidth="1"/>
    <col min="15156" max="15156" width="21.7109375" customWidth="1"/>
    <col min="15157" max="15157" width="18" customWidth="1"/>
    <col min="15158" max="15158" width="13.5703125" customWidth="1"/>
    <col min="15159" max="15159" width="16.42578125" customWidth="1"/>
    <col min="15160" max="15164" width="13.42578125" customWidth="1"/>
    <col min="15165" max="15165" width="12.7109375" customWidth="1"/>
    <col min="15166" max="15168" width="13.42578125" customWidth="1"/>
    <col min="15169" max="15169" width="14.5703125" customWidth="1"/>
    <col min="15170" max="15170" width="12.140625" customWidth="1"/>
    <col min="15171" max="15184" width="13.42578125" customWidth="1"/>
    <col min="15185" max="15185" width="17.42578125" customWidth="1"/>
    <col min="15186" max="15186" width="14.5703125" customWidth="1"/>
    <col min="15187" max="15195" width="13.42578125" customWidth="1"/>
    <col min="15196" max="15196" width="10.28515625" customWidth="1"/>
    <col min="15197" max="15202" width="13.42578125" customWidth="1"/>
    <col min="15203" max="15203" width="13.140625" customWidth="1"/>
    <col min="15204" max="15204" width="15.42578125" customWidth="1"/>
    <col min="15205" max="15224" width="13.42578125" customWidth="1"/>
    <col min="15225" max="15225" width="20.85546875" customWidth="1"/>
    <col min="15226" max="15226" width="15.5703125" customWidth="1"/>
    <col min="15227" max="15230" width="13.42578125" customWidth="1"/>
    <col min="15231" max="15231" width="20.85546875" customWidth="1"/>
    <col min="15361" max="15361" width="6.42578125" customWidth="1"/>
    <col min="15362" max="15362" width="19.5703125" customWidth="1"/>
    <col min="15363" max="15363" width="13.42578125" customWidth="1"/>
    <col min="15364" max="15364" width="13.5703125" customWidth="1"/>
    <col min="15365" max="15366" width="20.85546875" customWidth="1"/>
    <col min="15367" max="15367" width="16.5703125" customWidth="1"/>
    <col min="15368" max="15368" width="21" customWidth="1"/>
    <col min="15369" max="15369" width="18.85546875" customWidth="1"/>
    <col min="15370" max="15370" width="19.42578125" customWidth="1"/>
    <col min="15371" max="15371" width="18.85546875" customWidth="1"/>
    <col min="15372" max="15372" width="18.140625" customWidth="1"/>
    <col min="15373" max="15374" width="20.85546875" customWidth="1"/>
    <col min="15375" max="15375" width="133.7109375" customWidth="1"/>
    <col min="15376" max="15376" width="19.7109375" customWidth="1"/>
    <col min="15377" max="15377" width="13.28515625" customWidth="1"/>
    <col min="15378" max="15378" width="14.42578125" customWidth="1"/>
    <col min="15379" max="15379" width="11" customWidth="1"/>
    <col min="15380" max="15380" width="13.42578125" customWidth="1"/>
    <col min="15381" max="15381" width="13.5703125" customWidth="1"/>
    <col min="15382" max="15382" width="17.5703125" customWidth="1"/>
    <col min="15383" max="15385" width="13.42578125" customWidth="1"/>
    <col min="15386" max="15386" width="12.7109375" customWidth="1"/>
    <col min="15387" max="15387" width="13.28515625" customWidth="1"/>
    <col min="15388" max="15388" width="17.140625" customWidth="1"/>
    <col min="15389" max="15390" width="13.42578125" customWidth="1"/>
    <col min="15391" max="15391" width="14.85546875" customWidth="1"/>
    <col min="15392" max="15392" width="13.140625" customWidth="1"/>
    <col min="15393" max="15393" width="14.85546875" customWidth="1"/>
    <col min="15394" max="15394" width="13" customWidth="1"/>
    <col min="15395" max="15396" width="15.5703125" customWidth="1"/>
    <col min="15397" max="15397" width="25.140625" customWidth="1"/>
    <col min="15398" max="15398" width="40.42578125" customWidth="1"/>
    <col min="15399" max="15399" width="19.140625" customWidth="1"/>
    <col min="15400" max="15400" width="17.85546875" customWidth="1"/>
    <col min="15401" max="15401" width="13.140625" customWidth="1"/>
    <col min="15402" max="15402" width="12" customWidth="1"/>
    <col min="15403" max="15403" width="13.85546875" customWidth="1"/>
    <col min="15404" max="15404" width="13.42578125" customWidth="1"/>
    <col min="15405" max="15405" width="19.5703125" customWidth="1"/>
    <col min="15406" max="15406" width="14.28515625" customWidth="1"/>
    <col min="15407" max="15407" width="22.85546875" customWidth="1"/>
    <col min="15408" max="15408" width="16" customWidth="1"/>
    <col min="15409" max="15409" width="14.5703125" customWidth="1"/>
    <col min="15410" max="15410" width="17.85546875" customWidth="1"/>
    <col min="15411" max="15411" width="13.42578125" customWidth="1"/>
    <col min="15412" max="15412" width="21.7109375" customWidth="1"/>
    <col min="15413" max="15413" width="18" customWidth="1"/>
    <col min="15414" max="15414" width="13.5703125" customWidth="1"/>
    <col min="15415" max="15415" width="16.42578125" customWidth="1"/>
    <col min="15416" max="15420" width="13.42578125" customWidth="1"/>
    <col min="15421" max="15421" width="12.7109375" customWidth="1"/>
    <col min="15422" max="15424" width="13.42578125" customWidth="1"/>
    <col min="15425" max="15425" width="14.5703125" customWidth="1"/>
    <col min="15426" max="15426" width="12.140625" customWidth="1"/>
    <col min="15427" max="15440" width="13.42578125" customWidth="1"/>
    <col min="15441" max="15441" width="17.42578125" customWidth="1"/>
    <col min="15442" max="15442" width="14.5703125" customWidth="1"/>
    <col min="15443" max="15451" width="13.42578125" customWidth="1"/>
    <col min="15452" max="15452" width="10.28515625" customWidth="1"/>
    <col min="15453" max="15458" width="13.42578125" customWidth="1"/>
    <col min="15459" max="15459" width="13.140625" customWidth="1"/>
    <col min="15460" max="15460" width="15.42578125" customWidth="1"/>
    <col min="15461" max="15480" width="13.42578125" customWidth="1"/>
    <col min="15481" max="15481" width="20.85546875" customWidth="1"/>
    <col min="15482" max="15482" width="15.5703125" customWidth="1"/>
    <col min="15483" max="15486" width="13.42578125" customWidth="1"/>
    <col min="15487" max="15487" width="20.85546875" customWidth="1"/>
    <col min="15617" max="15617" width="6.42578125" customWidth="1"/>
    <col min="15618" max="15618" width="19.5703125" customWidth="1"/>
    <col min="15619" max="15619" width="13.42578125" customWidth="1"/>
    <col min="15620" max="15620" width="13.5703125" customWidth="1"/>
    <col min="15621" max="15622" width="20.85546875" customWidth="1"/>
    <col min="15623" max="15623" width="16.5703125" customWidth="1"/>
    <col min="15624" max="15624" width="21" customWidth="1"/>
    <col min="15625" max="15625" width="18.85546875" customWidth="1"/>
    <col min="15626" max="15626" width="19.42578125" customWidth="1"/>
    <col min="15627" max="15627" width="18.85546875" customWidth="1"/>
    <col min="15628" max="15628" width="18.140625" customWidth="1"/>
    <col min="15629" max="15630" width="20.85546875" customWidth="1"/>
    <col min="15631" max="15631" width="133.7109375" customWidth="1"/>
    <col min="15632" max="15632" width="19.7109375" customWidth="1"/>
    <col min="15633" max="15633" width="13.28515625" customWidth="1"/>
    <col min="15634" max="15634" width="14.42578125" customWidth="1"/>
    <col min="15635" max="15635" width="11" customWidth="1"/>
    <col min="15636" max="15636" width="13.42578125" customWidth="1"/>
    <col min="15637" max="15637" width="13.5703125" customWidth="1"/>
    <col min="15638" max="15638" width="17.5703125" customWidth="1"/>
    <col min="15639" max="15641" width="13.42578125" customWidth="1"/>
    <col min="15642" max="15642" width="12.7109375" customWidth="1"/>
    <col min="15643" max="15643" width="13.28515625" customWidth="1"/>
    <col min="15644" max="15644" width="17.140625" customWidth="1"/>
    <col min="15645" max="15646" width="13.42578125" customWidth="1"/>
    <col min="15647" max="15647" width="14.85546875" customWidth="1"/>
    <col min="15648" max="15648" width="13.140625" customWidth="1"/>
    <col min="15649" max="15649" width="14.85546875" customWidth="1"/>
    <col min="15650" max="15650" width="13" customWidth="1"/>
    <col min="15651" max="15652" width="15.5703125" customWidth="1"/>
    <col min="15653" max="15653" width="25.140625" customWidth="1"/>
    <col min="15654" max="15654" width="40.42578125" customWidth="1"/>
    <col min="15655" max="15655" width="19.140625" customWidth="1"/>
    <col min="15656" max="15656" width="17.85546875" customWidth="1"/>
    <col min="15657" max="15657" width="13.140625" customWidth="1"/>
    <col min="15658" max="15658" width="12" customWidth="1"/>
    <col min="15659" max="15659" width="13.85546875" customWidth="1"/>
    <col min="15660" max="15660" width="13.42578125" customWidth="1"/>
    <col min="15661" max="15661" width="19.5703125" customWidth="1"/>
    <col min="15662" max="15662" width="14.28515625" customWidth="1"/>
    <col min="15663" max="15663" width="22.85546875" customWidth="1"/>
    <col min="15664" max="15664" width="16" customWidth="1"/>
    <col min="15665" max="15665" width="14.5703125" customWidth="1"/>
    <col min="15666" max="15666" width="17.85546875" customWidth="1"/>
    <col min="15667" max="15667" width="13.42578125" customWidth="1"/>
    <col min="15668" max="15668" width="21.7109375" customWidth="1"/>
    <col min="15669" max="15669" width="18" customWidth="1"/>
    <col min="15670" max="15670" width="13.5703125" customWidth="1"/>
    <col min="15671" max="15671" width="16.42578125" customWidth="1"/>
    <col min="15672" max="15676" width="13.42578125" customWidth="1"/>
    <col min="15677" max="15677" width="12.7109375" customWidth="1"/>
    <col min="15678" max="15680" width="13.42578125" customWidth="1"/>
    <col min="15681" max="15681" width="14.5703125" customWidth="1"/>
    <col min="15682" max="15682" width="12.140625" customWidth="1"/>
    <col min="15683" max="15696" width="13.42578125" customWidth="1"/>
    <col min="15697" max="15697" width="17.42578125" customWidth="1"/>
    <col min="15698" max="15698" width="14.5703125" customWidth="1"/>
    <col min="15699" max="15707" width="13.42578125" customWidth="1"/>
    <col min="15708" max="15708" width="10.28515625" customWidth="1"/>
    <col min="15709" max="15714" width="13.42578125" customWidth="1"/>
    <col min="15715" max="15715" width="13.140625" customWidth="1"/>
    <col min="15716" max="15716" width="15.42578125" customWidth="1"/>
    <col min="15717" max="15736" width="13.42578125" customWidth="1"/>
    <col min="15737" max="15737" width="20.85546875" customWidth="1"/>
    <col min="15738" max="15738" width="15.5703125" customWidth="1"/>
    <col min="15739" max="15742" width="13.42578125" customWidth="1"/>
    <col min="15743" max="15743" width="20.85546875" customWidth="1"/>
    <col min="15873" max="15873" width="6.42578125" customWidth="1"/>
    <col min="15874" max="15874" width="19.5703125" customWidth="1"/>
    <col min="15875" max="15875" width="13.42578125" customWidth="1"/>
    <col min="15876" max="15876" width="13.5703125" customWidth="1"/>
    <col min="15877" max="15878" width="20.85546875" customWidth="1"/>
    <col min="15879" max="15879" width="16.5703125" customWidth="1"/>
    <col min="15880" max="15880" width="21" customWidth="1"/>
    <col min="15881" max="15881" width="18.85546875" customWidth="1"/>
    <col min="15882" max="15882" width="19.42578125" customWidth="1"/>
    <col min="15883" max="15883" width="18.85546875" customWidth="1"/>
    <col min="15884" max="15884" width="18.140625" customWidth="1"/>
    <col min="15885" max="15886" width="20.85546875" customWidth="1"/>
    <col min="15887" max="15887" width="133.7109375" customWidth="1"/>
    <col min="15888" max="15888" width="19.7109375" customWidth="1"/>
    <col min="15889" max="15889" width="13.28515625" customWidth="1"/>
    <col min="15890" max="15890" width="14.42578125" customWidth="1"/>
    <col min="15891" max="15891" width="11" customWidth="1"/>
    <col min="15892" max="15892" width="13.42578125" customWidth="1"/>
    <col min="15893" max="15893" width="13.5703125" customWidth="1"/>
    <col min="15894" max="15894" width="17.5703125" customWidth="1"/>
    <col min="15895" max="15897" width="13.42578125" customWidth="1"/>
    <col min="15898" max="15898" width="12.7109375" customWidth="1"/>
    <col min="15899" max="15899" width="13.28515625" customWidth="1"/>
    <col min="15900" max="15900" width="17.140625" customWidth="1"/>
    <col min="15901" max="15902" width="13.42578125" customWidth="1"/>
    <col min="15903" max="15903" width="14.85546875" customWidth="1"/>
    <col min="15904" max="15904" width="13.140625" customWidth="1"/>
    <col min="15905" max="15905" width="14.85546875" customWidth="1"/>
    <col min="15906" max="15906" width="13" customWidth="1"/>
    <col min="15907" max="15908" width="15.5703125" customWidth="1"/>
    <col min="15909" max="15909" width="25.140625" customWidth="1"/>
    <col min="15910" max="15910" width="40.42578125" customWidth="1"/>
    <col min="15911" max="15911" width="19.140625" customWidth="1"/>
    <col min="15912" max="15912" width="17.85546875" customWidth="1"/>
    <col min="15913" max="15913" width="13.140625" customWidth="1"/>
    <col min="15914" max="15914" width="12" customWidth="1"/>
    <col min="15915" max="15915" width="13.85546875" customWidth="1"/>
    <col min="15916" max="15916" width="13.42578125" customWidth="1"/>
    <col min="15917" max="15917" width="19.5703125" customWidth="1"/>
    <col min="15918" max="15918" width="14.28515625" customWidth="1"/>
    <col min="15919" max="15919" width="22.85546875" customWidth="1"/>
    <col min="15920" max="15920" width="16" customWidth="1"/>
    <col min="15921" max="15921" width="14.5703125" customWidth="1"/>
    <col min="15922" max="15922" width="17.85546875" customWidth="1"/>
    <col min="15923" max="15923" width="13.42578125" customWidth="1"/>
    <col min="15924" max="15924" width="21.7109375" customWidth="1"/>
    <col min="15925" max="15925" width="18" customWidth="1"/>
    <col min="15926" max="15926" width="13.5703125" customWidth="1"/>
    <col min="15927" max="15927" width="16.42578125" customWidth="1"/>
    <col min="15928" max="15932" width="13.42578125" customWidth="1"/>
    <col min="15933" max="15933" width="12.7109375" customWidth="1"/>
    <col min="15934" max="15936" width="13.42578125" customWidth="1"/>
    <col min="15937" max="15937" width="14.5703125" customWidth="1"/>
    <col min="15938" max="15938" width="12.140625" customWidth="1"/>
    <col min="15939" max="15952" width="13.42578125" customWidth="1"/>
    <col min="15953" max="15953" width="17.42578125" customWidth="1"/>
    <col min="15954" max="15954" width="14.5703125" customWidth="1"/>
    <col min="15955" max="15963" width="13.42578125" customWidth="1"/>
    <col min="15964" max="15964" width="10.28515625" customWidth="1"/>
    <col min="15965" max="15970" width="13.42578125" customWidth="1"/>
    <col min="15971" max="15971" width="13.140625" customWidth="1"/>
    <col min="15972" max="15972" width="15.42578125" customWidth="1"/>
    <col min="15973" max="15992" width="13.42578125" customWidth="1"/>
    <col min="15993" max="15993" width="20.85546875" customWidth="1"/>
    <col min="15994" max="15994" width="15.5703125" customWidth="1"/>
    <col min="15995" max="15998" width="13.42578125" customWidth="1"/>
    <col min="15999" max="15999" width="20.85546875" customWidth="1"/>
    <col min="16129" max="16129" width="6.42578125" customWidth="1"/>
    <col min="16130" max="16130" width="19.5703125" customWidth="1"/>
    <col min="16131" max="16131" width="13.42578125" customWidth="1"/>
    <col min="16132" max="16132" width="13.5703125" customWidth="1"/>
    <col min="16133" max="16134" width="20.85546875" customWidth="1"/>
    <col min="16135" max="16135" width="16.5703125" customWidth="1"/>
    <col min="16136" max="16136" width="21" customWidth="1"/>
    <col min="16137" max="16137" width="18.85546875" customWidth="1"/>
    <col min="16138" max="16138" width="19.42578125" customWidth="1"/>
    <col min="16139" max="16139" width="18.85546875" customWidth="1"/>
    <col min="16140" max="16140" width="18.140625" customWidth="1"/>
    <col min="16141" max="16142" width="20.85546875" customWidth="1"/>
    <col min="16143" max="16143" width="133.7109375" customWidth="1"/>
    <col min="16144" max="16144" width="19.7109375" customWidth="1"/>
    <col min="16145" max="16145" width="13.28515625" customWidth="1"/>
    <col min="16146" max="16146" width="14.42578125" customWidth="1"/>
    <col min="16147" max="16147" width="11" customWidth="1"/>
    <col min="16148" max="16148" width="13.42578125" customWidth="1"/>
    <col min="16149" max="16149" width="13.5703125" customWidth="1"/>
    <col min="16150" max="16150" width="17.5703125" customWidth="1"/>
    <col min="16151" max="16153" width="13.42578125" customWidth="1"/>
    <col min="16154" max="16154" width="12.7109375" customWidth="1"/>
    <col min="16155" max="16155" width="13.28515625" customWidth="1"/>
    <col min="16156" max="16156" width="17.140625" customWidth="1"/>
    <col min="16157" max="16158" width="13.42578125" customWidth="1"/>
    <col min="16159" max="16159" width="14.85546875" customWidth="1"/>
    <col min="16160" max="16160" width="13.140625" customWidth="1"/>
    <col min="16161" max="16161" width="14.85546875" customWidth="1"/>
    <col min="16162" max="16162" width="13" customWidth="1"/>
    <col min="16163" max="16164" width="15.5703125" customWidth="1"/>
    <col min="16165" max="16165" width="25.140625" customWidth="1"/>
    <col min="16166" max="16166" width="40.42578125" customWidth="1"/>
    <col min="16167" max="16167" width="19.140625" customWidth="1"/>
    <col min="16168" max="16168" width="17.85546875" customWidth="1"/>
    <col min="16169" max="16169" width="13.140625" customWidth="1"/>
    <col min="16170" max="16170" width="12" customWidth="1"/>
    <col min="16171" max="16171" width="13.85546875" customWidth="1"/>
    <col min="16172" max="16172" width="13.42578125" customWidth="1"/>
    <col min="16173" max="16173" width="19.5703125" customWidth="1"/>
    <col min="16174" max="16174" width="14.28515625" customWidth="1"/>
    <col min="16175" max="16175" width="22.85546875" customWidth="1"/>
    <col min="16176" max="16176" width="16" customWidth="1"/>
    <col min="16177" max="16177" width="14.5703125" customWidth="1"/>
    <col min="16178" max="16178" width="17.85546875" customWidth="1"/>
    <col min="16179" max="16179" width="13.42578125" customWidth="1"/>
    <col min="16180" max="16180" width="21.7109375" customWidth="1"/>
    <col min="16181" max="16181" width="18" customWidth="1"/>
    <col min="16182" max="16182" width="13.5703125" customWidth="1"/>
    <col min="16183" max="16183" width="16.42578125" customWidth="1"/>
    <col min="16184" max="16188" width="13.42578125" customWidth="1"/>
    <col min="16189" max="16189" width="12.7109375" customWidth="1"/>
    <col min="16190" max="16192" width="13.42578125" customWidth="1"/>
    <col min="16193" max="16193" width="14.5703125" customWidth="1"/>
    <col min="16194" max="16194" width="12.140625" customWidth="1"/>
    <col min="16195" max="16208" width="13.42578125" customWidth="1"/>
    <col min="16209" max="16209" width="17.42578125" customWidth="1"/>
    <col min="16210" max="16210" width="14.5703125" customWidth="1"/>
    <col min="16211" max="16219" width="13.42578125" customWidth="1"/>
    <col min="16220" max="16220" width="10.28515625" customWidth="1"/>
    <col min="16221" max="16226" width="13.42578125" customWidth="1"/>
    <col min="16227" max="16227" width="13.140625" customWidth="1"/>
    <col min="16228" max="16228" width="15.42578125" customWidth="1"/>
    <col min="16229" max="16248" width="13.42578125" customWidth="1"/>
    <col min="16249" max="16249" width="20.85546875" customWidth="1"/>
    <col min="16250" max="16250" width="15.5703125" customWidth="1"/>
    <col min="16251" max="16254" width="13.42578125" customWidth="1"/>
    <col min="16255" max="16255" width="20.85546875" customWidth="1"/>
  </cols>
  <sheetData>
    <row r="1" spans="1:126" ht="21.95" customHeight="1" x14ac:dyDescent="0.25">
      <c r="A1" s="2148" t="s">
        <v>2662</v>
      </c>
      <c r="B1" s="2139"/>
      <c r="C1" s="2139"/>
      <c r="D1" s="2139"/>
      <c r="E1" s="2139"/>
      <c r="F1" s="2139"/>
      <c r="G1" s="2139"/>
      <c r="H1" s="2139"/>
      <c r="I1" s="2139"/>
      <c r="J1" s="2139"/>
      <c r="K1" s="2139"/>
      <c r="L1" s="2139"/>
      <c r="M1" s="2139"/>
    </row>
    <row r="2" spans="1:126" ht="0.95" customHeight="1" x14ac:dyDescent="0.25"/>
    <row r="3" spans="1:126" ht="18.2" customHeight="1" x14ac:dyDescent="0.25">
      <c r="A3" s="2149" t="s">
        <v>1994</v>
      </c>
      <c r="B3" s="2139"/>
      <c r="C3" s="2139"/>
      <c r="D3" s="2139"/>
      <c r="E3" s="2139"/>
      <c r="F3" s="2139"/>
      <c r="G3" s="2139"/>
      <c r="H3" s="2139"/>
      <c r="I3" s="2139"/>
      <c r="J3" s="2139"/>
      <c r="K3" s="2139"/>
      <c r="L3" s="2139"/>
      <c r="M3" s="2139"/>
    </row>
    <row r="4" spans="1:126" ht="0.95" customHeight="1" x14ac:dyDescent="0.25"/>
    <row r="5" spans="1:126" ht="14.45" customHeight="1" x14ac:dyDescent="0.25">
      <c r="A5" s="2138"/>
      <c r="B5" s="2139"/>
      <c r="C5" s="2139"/>
      <c r="D5" s="2139"/>
      <c r="E5" s="2139"/>
      <c r="F5" s="2140"/>
      <c r="G5" s="2139"/>
      <c r="H5" s="2139"/>
      <c r="I5" s="2139"/>
      <c r="J5" s="2139"/>
      <c r="K5" s="2139"/>
      <c r="L5" s="2139"/>
      <c r="M5" s="2139"/>
    </row>
    <row r="6" spans="1:126" ht="15.4" customHeight="1" x14ac:dyDescent="0.25">
      <c r="A6" s="2138" t="s">
        <v>1995</v>
      </c>
      <c r="B6" s="2139"/>
      <c r="C6" s="2139"/>
      <c r="D6" s="2139"/>
      <c r="E6" s="2139"/>
      <c r="F6" s="2150" t="s">
        <v>2562</v>
      </c>
      <c r="G6" s="2139"/>
      <c r="H6" s="2139"/>
      <c r="I6" s="2139"/>
      <c r="J6" s="2139"/>
      <c r="K6" s="2139"/>
      <c r="L6" s="2139"/>
      <c r="M6" s="2139"/>
    </row>
    <row r="7" spans="1:126" ht="7.7" customHeight="1" x14ac:dyDescent="0.25">
      <c r="A7" s="2138"/>
      <c r="B7" s="2139"/>
      <c r="C7" s="2139"/>
      <c r="D7" s="2139"/>
      <c r="E7" s="2139"/>
      <c r="F7" s="2140"/>
      <c r="G7" s="2139"/>
      <c r="H7" s="2139"/>
      <c r="I7" s="2139"/>
      <c r="J7" s="2139"/>
      <c r="K7" s="2139"/>
      <c r="L7" s="2139"/>
      <c r="M7" s="2139"/>
    </row>
    <row r="8" spans="1:126" ht="2.65" customHeight="1" x14ac:dyDescent="0.25"/>
    <row r="9" spans="1:126" x14ac:dyDescent="0.25">
      <c r="A9" s="2217"/>
      <c r="B9" s="2218"/>
      <c r="C9" s="2218"/>
      <c r="D9" s="2218"/>
      <c r="E9" s="2218"/>
      <c r="F9" s="2218"/>
      <c r="G9" s="2218"/>
      <c r="H9" s="2218"/>
      <c r="I9" s="2218"/>
      <c r="J9" s="2161"/>
      <c r="K9" s="2215"/>
      <c r="L9" s="2216"/>
      <c r="M9" s="2218"/>
      <c r="N9" s="2217"/>
      <c r="O9" s="2217"/>
      <c r="P9" s="2218"/>
      <c r="Q9" s="2218"/>
      <c r="R9" s="2216"/>
      <c r="S9" s="2214"/>
      <c r="T9" s="2214"/>
      <c r="U9" s="2214"/>
      <c r="V9" s="2215"/>
      <c r="W9" s="2216"/>
      <c r="X9" s="2216"/>
      <c r="Y9" s="2216"/>
      <c r="Z9" s="2201" t="s">
        <v>2663</v>
      </c>
      <c r="AA9" s="2162"/>
      <c r="AB9" s="2191"/>
      <c r="AC9" s="2191"/>
      <c r="AD9" s="2191"/>
      <c r="AE9" s="2191"/>
      <c r="AF9" s="2191"/>
      <c r="AG9" s="2191"/>
      <c r="AH9" s="2191"/>
      <c r="AI9" s="2213" t="s">
        <v>2664</v>
      </c>
      <c r="AJ9" s="2162"/>
      <c r="AK9" s="2191"/>
      <c r="AL9" s="2191"/>
      <c r="AM9" s="2213" t="s">
        <v>2665</v>
      </c>
      <c r="AN9" s="2197"/>
      <c r="AO9" s="2197"/>
      <c r="AP9" s="2197"/>
      <c r="AQ9" s="2197"/>
      <c r="AR9" s="2197"/>
      <c r="AS9" s="2162"/>
      <c r="AT9" s="2191"/>
      <c r="AU9" s="2191"/>
      <c r="AV9" s="2191"/>
      <c r="AW9" s="2191"/>
      <c r="AX9" s="2191"/>
      <c r="AY9" s="2191"/>
      <c r="AZ9" s="2191"/>
      <c r="BA9" s="2191"/>
      <c r="BB9" s="2191"/>
      <c r="BC9" s="2191"/>
      <c r="BD9" s="2191"/>
      <c r="BE9" s="2212" t="s">
        <v>2666</v>
      </c>
      <c r="BF9" s="2197"/>
      <c r="BG9" s="2162"/>
      <c r="BH9" s="2191"/>
      <c r="BI9" s="2191"/>
      <c r="BJ9" s="2191"/>
      <c r="BK9" s="2191"/>
      <c r="BL9" s="2191"/>
      <c r="BM9" s="2191"/>
      <c r="BN9" s="2191"/>
      <c r="BO9" s="2191"/>
      <c r="BP9" s="2191"/>
      <c r="BQ9" s="2191"/>
      <c r="BR9" s="2191"/>
      <c r="BS9" s="2191"/>
      <c r="BT9" s="2191"/>
      <c r="BU9" s="2191"/>
      <c r="BV9" s="2191"/>
      <c r="BW9" s="2191"/>
      <c r="BX9" s="2191"/>
      <c r="BY9" s="2191"/>
      <c r="BZ9" s="2191"/>
      <c r="CA9" s="2191"/>
      <c r="CB9" s="2191"/>
      <c r="CC9" s="2191"/>
      <c r="CD9" s="2209" t="s">
        <v>2667</v>
      </c>
      <c r="CE9" s="2171"/>
      <c r="CF9" s="2171"/>
      <c r="CG9" s="2171"/>
      <c r="CH9" s="2171"/>
      <c r="CI9" s="2171"/>
      <c r="CJ9" s="2171"/>
      <c r="CK9" s="2171"/>
      <c r="CL9" s="2171"/>
      <c r="CM9" s="2171"/>
      <c r="CN9" s="2171"/>
      <c r="CO9" s="2171"/>
      <c r="CP9" s="2171"/>
      <c r="CQ9" s="2171"/>
      <c r="CR9" s="2171"/>
      <c r="CS9" s="2171"/>
      <c r="CT9" s="2171"/>
      <c r="CU9" s="2172"/>
      <c r="CV9" s="2201"/>
      <c r="CW9" s="2201" t="s">
        <v>2668</v>
      </c>
      <c r="CX9" s="2197"/>
      <c r="CY9" s="2197"/>
      <c r="CZ9" s="2197"/>
      <c r="DA9" s="2197"/>
      <c r="DB9" s="2197"/>
      <c r="DC9" s="2162"/>
      <c r="DD9" s="2201"/>
      <c r="DE9" s="2202" t="s">
        <v>2669</v>
      </c>
      <c r="DF9" s="2203"/>
      <c r="DG9" s="2203"/>
      <c r="DH9" s="2203"/>
      <c r="DI9" s="2203"/>
      <c r="DJ9" s="2203"/>
      <c r="DK9" s="2203"/>
      <c r="DL9" s="2203"/>
      <c r="DM9" s="2203"/>
      <c r="DN9" s="2203"/>
      <c r="DO9" s="2203"/>
      <c r="DP9" s="2204"/>
      <c r="DQ9" s="2201"/>
      <c r="DR9" s="2201"/>
      <c r="DS9" s="2191" t="s">
        <v>2670</v>
      </c>
      <c r="DT9" s="2162"/>
      <c r="DU9" s="2191" t="s">
        <v>2671</v>
      </c>
      <c r="DV9" s="2162"/>
    </row>
    <row r="10" spans="1:126" x14ac:dyDescent="0.25">
      <c r="A10" s="2182"/>
      <c r="B10" s="2182"/>
      <c r="C10" s="2182"/>
      <c r="D10" s="2182"/>
      <c r="E10" s="2182"/>
      <c r="F10" s="2182"/>
      <c r="G10" s="2182"/>
      <c r="H10" s="2182"/>
      <c r="I10" s="2182"/>
      <c r="J10" s="2152"/>
      <c r="K10" s="2185"/>
      <c r="L10" s="2152"/>
      <c r="M10" s="2182"/>
      <c r="N10" s="2182"/>
      <c r="O10" s="2182"/>
      <c r="P10" s="2182"/>
      <c r="Q10" s="2182"/>
      <c r="R10" s="2152"/>
      <c r="S10" s="2180"/>
      <c r="T10" s="2180"/>
      <c r="U10" s="2180"/>
      <c r="V10" s="2185"/>
      <c r="W10" s="2152"/>
      <c r="X10" s="2152"/>
      <c r="Y10" s="2152"/>
      <c r="Z10" s="2182"/>
      <c r="AA10" s="2208"/>
      <c r="AB10" s="2152"/>
      <c r="AC10" s="2152"/>
      <c r="AD10" s="2152"/>
      <c r="AE10" s="2152"/>
      <c r="AF10" s="2152"/>
      <c r="AG10" s="2152"/>
      <c r="AH10" s="2152"/>
      <c r="AI10" s="2182"/>
      <c r="AJ10" s="2208"/>
      <c r="AK10" s="2152"/>
      <c r="AL10" s="2152"/>
      <c r="AM10" s="2182"/>
      <c r="AN10" s="2139"/>
      <c r="AO10" s="2139"/>
      <c r="AP10" s="2139"/>
      <c r="AQ10" s="2139"/>
      <c r="AR10" s="2139"/>
      <c r="AS10" s="2208"/>
      <c r="AT10" s="2152"/>
      <c r="AU10" s="2152"/>
      <c r="AV10" s="2152"/>
      <c r="AW10" s="2152"/>
      <c r="AX10" s="2152"/>
      <c r="AY10" s="2152"/>
      <c r="AZ10" s="2152"/>
      <c r="BA10" s="2152"/>
      <c r="BB10" s="2152"/>
      <c r="BC10" s="2152"/>
      <c r="BD10" s="2152"/>
      <c r="BE10" s="2182"/>
      <c r="BF10" s="2139"/>
      <c r="BG10" s="2208"/>
      <c r="BH10" s="2152"/>
      <c r="BI10" s="2152"/>
      <c r="BJ10" s="2152"/>
      <c r="BK10" s="2152"/>
      <c r="BL10" s="2152"/>
      <c r="BM10" s="2152"/>
      <c r="BN10" s="2152"/>
      <c r="BO10" s="2152"/>
      <c r="BP10" s="2152"/>
      <c r="BQ10" s="2152"/>
      <c r="BR10" s="2152"/>
      <c r="BS10" s="2152"/>
      <c r="BT10" s="2152"/>
      <c r="BU10" s="2152"/>
      <c r="BV10" s="2152"/>
      <c r="BW10" s="2152"/>
      <c r="BX10" s="2152"/>
      <c r="BY10" s="2152"/>
      <c r="BZ10" s="2152"/>
      <c r="CA10" s="2152"/>
      <c r="CB10" s="2152"/>
      <c r="CC10" s="2152"/>
      <c r="CD10" s="2170" t="s">
        <v>2672</v>
      </c>
      <c r="CE10" s="2171"/>
      <c r="CF10" s="2171"/>
      <c r="CG10" s="2171"/>
      <c r="CH10" s="2171"/>
      <c r="CI10" s="2171"/>
      <c r="CJ10" s="2171"/>
      <c r="CK10" s="2171"/>
      <c r="CL10" s="2171"/>
      <c r="CM10" s="2172"/>
      <c r="CN10" s="2210" t="s">
        <v>2673</v>
      </c>
      <c r="CO10" s="2171"/>
      <c r="CP10" s="2172"/>
      <c r="CQ10" s="2211" t="s">
        <v>2674</v>
      </c>
      <c r="CR10" s="2197"/>
      <c r="CS10" s="2197"/>
      <c r="CT10" s="2197"/>
      <c r="CU10" s="2162"/>
      <c r="CV10" s="2152"/>
      <c r="CW10" s="2182"/>
      <c r="CX10" s="2139"/>
      <c r="CY10" s="2139"/>
      <c r="CZ10" s="2139"/>
      <c r="DA10" s="2139"/>
      <c r="DB10" s="2139"/>
      <c r="DC10" s="2208"/>
      <c r="DD10" s="2152"/>
      <c r="DE10" s="2205"/>
      <c r="DF10" s="2206"/>
      <c r="DG10" s="2206"/>
      <c r="DH10" s="2206"/>
      <c r="DI10" s="2206"/>
      <c r="DJ10" s="2206"/>
      <c r="DK10" s="2206"/>
      <c r="DL10" s="2206"/>
      <c r="DM10" s="2206"/>
      <c r="DN10" s="2206"/>
      <c r="DO10" s="2206"/>
      <c r="DP10" s="2207"/>
      <c r="DQ10" s="2152"/>
      <c r="DR10" s="2152"/>
      <c r="DS10" s="2182"/>
      <c r="DT10" s="2208"/>
      <c r="DU10" s="2182"/>
      <c r="DV10" s="2208"/>
    </row>
    <row r="11" spans="1:126" x14ac:dyDescent="0.25">
      <c r="A11" s="2182"/>
      <c r="B11" s="2182"/>
      <c r="C11" s="2182"/>
      <c r="D11" s="2182"/>
      <c r="E11" s="2182"/>
      <c r="F11" s="2182"/>
      <c r="G11" s="2182"/>
      <c r="H11" s="2182"/>
      <c r="I11" s="2182"/>
      <c r="J11" s="2152"/>
      <c r="K11" s="2185"/>
      <c r="L11" s="2152"/>
      <c r="M11" s="2182"/>
      <c r="N11" s="2182"/>
      <c r="O11" s="2182"/>
      <c r="P11" s="2182"/>
      <c r="Q11" s="2182"/>
      <c r="R11" s="2152"/>
      <c r="S11" s="2180"/>
      <c r="T11" s="2180"/>
      <c r="U11" s="2180"/>
      <c r="V11" s="2185"/>
      <c r="W11" s="2152"/>
      <c r="X11" s="2152"/>
      <c r="Y11" s="2152"/>
      <c r="Z11" s="2182"/>
      <c r="AA11" s="2208"/>
      <c r="AB11" s="2152"/>
      <c r="AC11" s="2152"/>
      <c r="AD11" s="2152"/>
      <c r="AE11" s="2152"/>
      <c r="AF11" s="2152"/>
      <c r="AG11" s="2152"/>
      <c r="AH11" s="2152"/>
      <c r="AI11" s="2198"/>
      <c r="AJ11" s="2200"/>
      <c r="AK11" s="2152"/>
      <c r="AL11" s="2152"/>
      <c r="AM11" s="2198"/>
      <c r="AN11" s="2199"/>
      <c r="AO11" s="2199"/>
      <c r="AP11" s="2199"/>
      <c r="AQ11" s="2199"/>
      <c r="AR11" s="2199"/>
      <c r="AS11" s="2200"/>
      <c r="AT11" s="2152"/>
      <c r="AU11" s="2152"/>
      <c r="AV11" s="2152"/>
      <c r="AW11" s="2152"/>
      <c r="AX11" s="2152"/>
      <c r="AY11" s="2152"/>
      <c r="AZ11" s="2152"/>
      <c r="BA11" s="2152"/>
      <c r="BB11" s="2152"/>
      <c r="BC11" s="2152"/>
      <c r="BD11" s="2152"/>
      <c r="BE11" s="2198"/>
      <c r="BF11" s="2199"/>
      <c r="BG11" s="2200"/>
      <c r="BH11" s="2152"/>
      <c r="BI11" s="2152"/>
      <c r="BJ11" s="2152"/>
      <c r="BK11" s="2152"/>
      <c r="BL11" s="2152"/>
      <c r="BM11" s="2152"/>
      <c r="BN11" s="2152"/>
      <c r="BO11" s="2152"/>
      <c r="BP11" s="2152"/>
      <c r="BQ11" s="2152"/>
      <c r="BR11" s="2152"/>
      <c r="BS11" s="2152"/>
      <c r="BT11" s="2152"/>
      <c r="BU11" s="2152"/>
      <c r="BV11" s="2152"/>
      <c r="BW11" s="2152"/>
      <c r="BX11" s="2152"/>
      <c r="BY11" s="2152"/>
      <c r="BZ11" s="2152"/>
      <c r="CA11" s="2152"/>
      <c r="CB11" s="2152"/>
      <c r="CC11" s="2152"/>
      <c r="CD11" s="2170" t="s">
        <v>2675</v>
      </c>
      <c r="CE11" s="2197"/>
      <c r="CF11" s="2197"/>
      <c r="CG11" s="2197"/>
      <c r="CH11" s="2197"/>
      <c r="CI11" s="2197"/>
      <c r="CJ11" s="2197"/>
      <c r="CK11" s="2162"/>
      <c r="CL11" s="2187"/>
      <c r="CM11" s="2187"/>
      <c r="CN11" s="2187"/>
      <c r="CO11" s="2187"/>
      <c r="CP11" s="2187"/>
      <c r="CQ11" s="2170" t="s">
        <v>2676</v>
      </c>
      <c r="CR11" s="2197"/>
      <c r="CS11" s="2162"/>
      <c r="CT11" s="2187"/>
      <c r="CU11" s="2196"/>
      <c r="CV11" s="2152"/>
      <c r="CW11" s="2182"/>
      <c r="CX11" s="2139"/>
      <c r="CY11" s="2139"/>
      <c r="CZ11" s="2139"/>
      <c r="DA11" s="2139"/>
      <c r="DB11" s="2139"/>
      <c r="DC11" s="2208"/>
      <c r="DD11" s="2152"/>
      <c r="DE11" s="2205"/>
      <c r="DF11" s="2206"/>
      <c r="DG11" s="2206"/>
      <c r="DH11" s="2206"/>
      <c r="DI11" s="2206"/>
      <c r="DJ11" s="2206"/>
      <c r="DK11" s="2206"/>
      <c r="DL11" s="2206"/>
      <c r="DM11" s="2206"/>
      <c r="DN11" s="2206"/>
      <c r="DO11" s="2206"/>
      <c r="DP11" s="2207"/>
      <c r="DQ11" s="2152"/>
      <c r="DR11" s="2152"/>
      <c r="DS11" s="2182"/>
      <c r="DT11" s="2208"/>
      <c r="DU11" s="2182"/>
      <c r="DV11" s="2208"/>
    </row>
    <row r="12" spans="1:126" x14ac:dyDescent="0.25">
      <c r="A12" s="2194"/>
      <c r="B12" s="2195"/>
      <c r="C12" s="2195"/>
      <c r="D12" s="2195"/>
      <c r="E12" s="2195"/>
      <c r="F12" s="2195"/>
      <c r="G12" s="2195"/>
      <c r="H12" s="2195"/>
      <c r="I12" s="2195"/>
      <c r="J12" s="2188"/>
      <c r="K12" s="2193"/>
      <c r="L12" s="2169"/>
      <c r="M12" s="2195"/>
      <c r="N12" s="2194"/>
      <c r="O12" s="2194"/>
      <c r="P12" s="2195"/>
      <c r="Q12" s="2195"/>
      <c r="R12" s="2169" t="s">
        <v>2677</v>
      </c>
      <c r="S12" s="2192" t="s">
        <v>2678</v>
      </c>
      <c r="T12" s="2192" t="s">
        <v>2679</v>
      </c>
      <c r="U12" s="2192" t="s">
        <v>2680</v>
      </c>
      <c r="V12" s="2193"/>
      <c r="W12" s="2169" t="s">
        <v>2681</v>
      </c>
      <c r="X12" s="2169" t="s">
        <v>2682</v>
      </c>
      <c r="Y12" s="2169" t="s">
        <v>2683</v>
      </c>
      <c r="Z12" s="2161"/>
      <c r="AA12" s="2191"/>
      <c r="AB12" s="2188" t="s">
        <v>2684</v>
      </c>
      <c r="AC12" s="2188" t="s">
        <v>2022</v>
      </c>
      <c r="AD12" s="2169" t="s">
        <v>2685</v>
      </c>
      <c r="AE12" s="2188"/>
      <c r="AF12" s="2169" t="s">
        <v>2686</v>
      </c>
      <c r="AG12" s="2188"/>
      <c r="AH12" s="2188"/>
      <c r="AI12" s="2190"/>
      <c r="AJ12" s="2190"/>
      <c r="AK12" s="2188"/>
      <c r="AL12" s="2188"/>
      <c r="AM12" s="2188"/>
      <c r="AN12" s="2188"/>
      <c r="AO12" s="2169" t="s">
        <v>2687</v>
      </c>
      <c r="AP12" s="2169" t="s">
        <v>2688</v>
      </c>
      <c r="AQ12" s="2169" t="s">
        <v>2689</v>
      </c>
      <c r="AR12" s="2169" t="s">
        <v>2690</v>
      </c>
      <c r="AS12" s="2189"/>
      <c r="AT12" s="2188"/>
      <c r="AU12" s="2169" t="s">
        <v>2691</v>
      </c>
      <c r="AV12" s="2188"/>
      <c r="AW12" s="2188"/>
      <c r="AX12" s="2188"/>
      <c r="AY12" s="2188" t="s">
        <v>2692</v>
      </c>
      <c r="AZ12" s="2188"/>
      <c r="BA12" s="2169" t="s">
        <v>2693</v>
      </c>
      <c r="BB12" s="2188" t="s">
        <v>2694</v>
      </c>
      <c r="BC12" s="2188"/>
      <c r="BD12" s="2188"/>
      <c r="BE12" s="2188"/>
      <c r="BF12" s="2188"/>
      <c r="BG12" s="2188"/>
      <c r="BH12" s="2169" t="s">
        <v>2022</v>
      </c>
      <c r="BI12" s="2169" t="s">
        <v>2695</v>
      </c>
      <c r="BJ12" s="2169" t="s">
        <v>2696</v>
      </c>
      <c r="BK12" s="2169" t="s">
        <v>2697</v>
      </c>
      <c r="BL12" s="2169" t="s">
        <v>2698</v>
      </c>
      <c r="BM12" s="2169" t="s">
        <v>2699</v>
      </c>
      <c r="BN12" s="2169" t="s">
        <v>2700</v>
      </c>
      <c r="BO12" s="2169" t="s">
        <v>2701</v>
      </c>
      <c r="BP12" s="2169" t="s">
        <v>2701</v>
      </c>
      <c r="BQ12" s="2169" t="s">
        <v>2702</v>
      </c>
      <c r="BR12" s="2169" t="s">
        <v>2703</v>
      </c>
      <c r="BS12" s="2169"/>
      <c r="BT12" s="2169"/>
      <c r="BU12" s="2169" t="s">
        <v>2704</v>
      </c>
      <c r="BV12" s="2169" t="s">
        <v>2704</v>
      </c>
      <c r="BW12" s="2169" t="s">
        <v>2705</v>
      </c>
      <c r="BX12" s="2169" t="s">
        <v>2022</v>
      </c>
      <c r="BY12" s="2169" t="s">
        <v>2012</v>
      </c>
      <c r="BZ12" s="2169" t="s">
        <v>2706</v>
      </c>
      <c r="CA12" s="2169" t="s">
        <v>2707</v>
      </c>
      <c r="CB12" s="2169" t="s">
        <v>2708</v>
      </c>
      <c r="CC12" s="2169" t="s">
        <v>2709</v>
      </c>
      <c r="CD12" s="2198"/>
      <c r="CE12" s="2199"/>
      <c r="CF12" s="2199"/>
      <c r="CG12" s="2199"/>
      <c r="CH12" s="2199"/>
      <c r="CI12" s="2199"/>
      <c r="CJ12" s="2199"/>
      <c r="CK12" s="2200"/>
      <c r="CL12" s="2159"/>
      <c r="CM12" s="2159"/>
      <c r="CN12" s="2159"/>
      <c r="CO12" s="2159"/>
      <c r="CP12" s="2159"/>
      <c r="CQ12" s="2198"/>
      <c r="CR12" s="2199"/>
      <c r="CS12" s="2200"/>
      <c r="CT12" s="2159"/>
      <c r="CU12" s="2180"/>
      <c r="CV12" s="2169" t="s">
        <v>2710</v>
      </c>
      <c r="CW12" s="2160"/>
      <c r="CX12" s="2160"/>
      <c r="CY12" s="2160"/>
      <c r="CZ12" s="2160"/>
      <c r="DA12" s="2160"/>
      <c r="DB12" s="2160"/>
      <c r="DC12" s="2160"/>
      <c r="DD12" s="2169" t="s">
        <v>2711</v>
      </c>
      <c r="DE12" s="2165"/>
      <c r="DF12" s="2165"/>
      <c r="DG12" s="2165"/>
      <c r="DH12" s="2165"/>
      <c r="DI12" s="2165"/>
      <c r="DJ12" s="2165"/>
      <c r="DK12" s="2165"/>
      <c r="DL12" s="2165"/>
      <c r="DM12" s="2165"/>
      <c r="DN12" s="2165"/>
      <c r="DO12" s="2165"/>
      <c r="DP12" s="2165"/>
      <c r="DQ12" s="2166"/>
      <c r="DR12" s="2166"/>
      <c r="DS12" s="2160"/>
      <c r="DT12" s="2160"/>
      <c r="DU12" s="2160"/>
      <c r="DV12" s="2160"/>
    </row>
    <row r="13" spans="1:126" ht="15.75" x14ac:dyDescent="0.25">
      <c r="A13" s="2182"/>
      <c r="B13" s="2182"/>
      <c r="C13" s="2182"/>
      <c r="D13" s="2182"/>
      <c r="E13" s="2182"/>
      <c r="F13" s="2182"/>
      <c r="G13" s="2182"/>
      <c r="H13" s="2182"/>
      <c r="I13" s="2182"/>
      <c r="J13" s="2152"/>
      <c r="K13" s="2185"/>
      <c r="L13" s="2152"/>
      <c r="M13" s="2182"/>
      <c r="N13" s="2182"/>
      <c r="O13" s="2182"/>
      <c r="P13" s="2182"/>
      <c r="Q13" s="2182"/>
      <c r="R13" s="2152"/>
      <c r="S13" s="2180"/>
      <c r="T13" s="2180"/>
      <c r="U13" s="2180"/>
      <c r="V13" s="2185"/>
      <c r="W13" s="2152"/>
      <c r="X13" s="2152"/>
      <c r="Y13" s="2152"/>
      <c r="Z13" s="2152"/>
      <c r="AA13" s="2152"/>
      <c r="AB13" s="2152"/>
      <c r="AC13" s="2152"/>
      <c r="AD13" s="2152"/>
      <c r="AE13" s="2152"/>
      <c r="AF13" s="2152"/>
      <c r="AG13" s="2152"/>
      <c r="AH13" s="2152"/>
      <c r="AI13" s="2152"/>
      <c r="AJ13" s="2152"/>
      <c r="AK13" s="2152"/>
      <c r="AL13" s="2152"/>
      <c r="AM13" s="2152"/>
      <c r="AN13" s="2152"/>
      <c r="AO13" s="2152"/>
      <c r="AP13" s="2152"/>
      <c r="AQ13" s="2152"/>
      <c r="AR13" s="2152"/>
      <c r="AS13" s="2180"/>
      <c r="AT13" s="2152"/>
      <c r="AU13" s="2152"/>
      <c r="AV13" s="2152"/>
      <c r="AW13" s="2152"/>
      <c r="AX13" s="2152"/>
      <c r="AY13" s="2152"/>
      <c r="AZ13" s="2152"/>
      <c r="BA13" s="2152"/>
      <c r="BB13" s="2152"/>
      <c r="BC13" s="2152"/>
      <c r="BD13" s="2152"/>
      <c r="BE13" s="2152"/>
      <c r="BF13" s="2152"/>
      <c r="BG13" s="2152"/>
      <c r="BH13" s="2152"/>
      <c r="BI13" s="2152"/>
      <c r="BJ13" s="2152"/>
      <c r="BK13" s="2152"/>
      <c r="BL13" s="2152"/>
      <c r="BM13" s="2152"/>
      <c r="BN13" s="2152"/>
      <c r="BO13" s="2152"/>
      <c r="BP13" s="2152"/>
      <c r="BQ13" s="2152"/>
      <c r="BR13" s="2152"/>
      <c r="BS13" s="2152"/>
      <c r="BT13" s="2152"/>
      <c r="BU13" s="2152"/>
      <c r="BV13" s="2152"/>
      <c r="BW13" s="2152"/>
      <c r="BX13" s="2152"/>
      <c r="BY13" s="2152"/>
      <c r="BZ13" s="2152"/>
      <c r="CA13" s="2152"/>
      <c r="CB13" s="2152"/>
      <c r="CC13" s="2152"/>
      <c r="CD13" s="1716"/>
      <c r="CE13" s="2170" t="s">
        <v>2712</v>
      </c>
      <c r="CF13" s="2171"/>
      <c r="CG13" s="2171"/>
      <c r="CH13" s="2171"/>
      <c r="CI13" s="2172"/>
      <c r="CJ13" s="2173" t="s">
        <v>2713</v>
      </c>
      <c r="CK13" s="2174"/>
      <c r="CL13" s="1717"/>
      <c r="CM13" s="1717"/>
      <c r="CN13" s="1717"/>
      <c r="CO13" s="1717"/>
      <c r="CP13" s="1717"/>
      <c r="CQ13" s="1718"/>
      <c r="CR13" s="2161" t="s">
        <v>2714</v>
      </c>
      <c r="CS13" s="2162"/>
      <c r="CT13" s="1717"/>
      <c r="CU13" s="1719"/>
      <c r="CV13" s="2152"/>
      <c r="CW13" s="2152"/>
      <c r="CX13" s="2152"/>
      <c r="CY13" s="2152"/>
      <c r="CZ13" s="2152"/>
      <c r="DA13" s="2152"/>
      <c r="DB13" s="2152"/>
      <c r="DC13" s="2152"/>
      <c r="DD13" s="2152"/>
      <c r="DE13" s="2154"/>
      <c r="DF13" s="2154"/>
      <c r="DG13" s="2154"/>
      <c r="DH13" s="2154"/>
      <c r="DI13" s="2154"/>
      <c r="DJ13" s="2154"/>
      <c r="DK13" s="2154"/>
      <c r="DL13" s="2154"/>
      <c r="DM13" s="2154"/>
      <c r="DN13" s="2154"/>
      <c r="DO13" s="2154"/>
      <c r="DP13" s="2154"/>
      <c r="DQ13" s="2152"/>
      <c r="DR13" s="2152"/>
      <c r="DS13" s="2152"/>
      <c r="DT13" s="2152"/>
      <c r="DU13" s="2152"/>
      <c r="DV13" s="2152"/>
    </row>
    <row r="14" spans="1:126" x14ac:dyDescent="0.25">
      <c r="A14" s="2182"/>
      <c r="B14" s="2182"/>
      <c r="C14" s="2182"/>
      <c r="D14" s="2182"/>
      <c r="E14" s="2182"/>
      <c r="F14" s="2182"/>
      <c r="G14" s="2182"/>
      <c r="H14" s="2182"/>
      <c r="I14" s="2182"/>
      <c r="J14" s="2152"/>
      <c r="K14" s="2185"/>
      <c r="L14" s="2152"/>
      <c r="M14" s="2182"/>
      <c r="N14" s="2182"/>
      <c r="O14" s="2182"/>
      <c r="P14" s="2182"/>
      <c r="Q14" s="2182"/>
      <c r="R14" s="2152"/>
      <c r="S14" s="2180"/>
      <c r="T14" s="2180"/>
      <c r="U14" s="2180"/>
      <c r="V14" s="2185"/>
      <c r="W14" s="2152"/>
      <c r="X14" s="2152"/>
      <c r="Y14" s="2152"/>
      <c r="Z14" s="2152"/>
      <c r="AA14" s="2152"/>
      <c r="AB14" s="2152"/>
      <c r="AC14" s="2152"/>
      <c r="AD14" s="2152"/>
      <c r="AE14" s="2152"/>
      <c r="AF14" s="2152"/>
      <c r="AG14" s="2152"/>
      <c r="AH14" s="2152"/>
      <c r="AI14" s="2152"/>
      <c r="AJ14" s="2152"/>
      <c r="AK14" s="2152"/>
      <c r="AL14" s="2152"/>
      <c r="AM14" s="2152"/>
      <c r="AN14" s="2152"/>
      <c r="AO14" s="2152"/>
      <c r="AP14" s="2152"/>
      <c r="AQ14" s="2152"/>
      <c r="AR14" s="2152"/>
      <c r="AS14" s="2180"/>
      <c r="AT14" s="2152"/>
      <c r="AU14" s="2152"/>
      <c r="AV14" s="2152"/>
      <c r="AW14" s="2152"/>
      <c r="AX14" s="2152"/>
      <c r="AY14" s="2152"/>
      <c r="AZ14" s="2152"/>
      <c r="BA14" s="2152"/>
      <c r="BB14" s="2152"/>
      <c r="BC14" s="2152"/>
      <c r="BD14" s="2152"/>
      <c r="BE14" s="2152"/>
      <c r="BF14" s="2152"/>
      <c r="BG14" s="2152"/>
      <c r="BH14" s="2152"/>
      <c r="BI14" s="2152"/>
      <c r="BJ14" s="2152"/>
      <c r="BK14" s="2152"/>
      <c r="BL14" s="2152"/>
      <c r="BM14" s="2152"/>
      <c r="BN14" s="2152"/>
      <c r="BO14" s="2152"/>
      <c r="BP14" s="2152"/>
      <c r="BQ14" s="2152"/>
      <c r="BR14" s="2152"/>
      <c r="BS14" s="2152"/>
      <c r="BT14" s="2152"/>
      <c r="BU14" s="2152"/>
      <c r="BV14" s="2152"/>
      <c r="BW14" s="2152"/>
      <c r="BX14" s="2152"/>
      <c r="BY14" s="2152"/>
      <c r="BZ14" s="2152"/>
      <c r="CA14" s="2152"/>
      <c r="CB14" s="2152"/>
      <c r="CC14" s="2152"/>
      <c r="CD14" s="1718"/>
      <c r="CE14" s="1720"/>
      <c r="CF14" s="2175" t="s">
        <v>2715</v>
      </c>
      <c r="CG14" s="2171"/>
      <c r="CH14" s="2171"/>
      <c r="CI14" s="2176"/>
      <c r="CJ14" s="2177" t="s">
        <v>2716</v>
      </c>
      <c r="CK14" s="2164"/>
      <c r="CL14" s="1717"/>
      <c r="CM14" s="1717"/>
      <c r="CN14" s="1717"/>
      <c r="CO14" s="1717"/>
      <c r="CP14" s="1717"/>
      <c r="CQ14" s="1718"/>
      <c r="CR14" s="2163"/>
      <c r="CS14" s="2164"/>
      <c r="CT14" s="1717"/>
      <c r="CU14" s="1719"/>
      <c r="CV14" s="2152"/>
      <c r="CW14" s="2152"/>
      <c r="CX14" s="2152"/>
      <c r="CY14" s="2152"/>
      <c r="CZ14" s="2152"/>
      <c r="DA14" s="2152"/>
      <c r="DB14" s="2152"/>
      <c r="DC14" s="2152"/>
      <c r="DD14" s="2152"/>
      <c r="DE14" s="2154"/>
      <c r="DF14" s="2154"/>
      <c r="DG14" s="2154"/>
      <c r="DH14" s="2154"/>
      <c r="DI14" s="2154"/>
      <c r="DJ14" s="2154"/>
      <c r="DK14" s="2154"/>
      <c r="DL14" s="2154"/>
      <c r="DM14" s="2154"/>
      <c r="DN14" s="2154"/>
      <c r="DO14" s="2154"/>
      <c r="DP14" s="2154"/>
      <c r="DQ14" s="2152"/>
      <c r="DR14" s="2152"/>
      <c r="DS14" s="2152"/>
      <c r="DT14" s="2152"/>
      <c r="DU14" s="2152"/>
      <c r="DV14" s="2152"/>
    </row>
    <row r="15" spans="1:126" x14ac:dyDescent="0.25">
      <c r="A15" s="2182"/>
      <c r="B15" s="2182"/>
      <c r="C15" s="2182"/>
      <c r="D15" s="2182"/>
      <c r="E15" s="2182"/>
      <c r="F15" s="2182"/>
      <c r="G15" s="2182"/>
      <c r="H15" s="2182"/>
      <c r="I15" s="2182"/>
      <c r="J15" s="2152"/>
      <c r="K15" s="2185"/>
      <c r="L15" s="2152"/>
      <c r="M15" s="2182"/>
      <c r="N15" s="2182"/>
      <c r="O15" s="2182"/>
      <c r="P15" s="2182"/>
      <c r="Q15" s="2182"/>
      <c r="R15" s="2152"/>
      <c r="S15" s="2180"/>
      <c r="T15" s="2180"/>
      <c r="U15" s="2180"/>
      <c r="V15" s="2185"/>
      <c r="W15" s="2152"/>
      <c r="X15" s="2152"/>
      <c r="Y15" s="2152"/>
      <c r="Z15" s="2152"/>
      <c r="AA15" s="2152"/>
      <c r="AB15" s="2152"/>
      <c r="AC15" s="2152"/>
      <c r="AD15" s="2152"/>
      <c r="AE15" s="2152"/>
      <c r="AF15" s="2152"/>
      <c r="AG15" s="2152"/>
      <c r="AH15" s="2152"/>
      <c r="AI15" s="2152"/>
      <c r="AJ15" s="2152"/>
      <c r="AK15" s="2152"/>
      <c r="AL15" s="2152"/>
      <c r="AM15" s="2152"/>
      <c r="AN15" s="2152"/>
      <c r="AO15" s="2152"/>
      <c r="AP15" s="2152"/>
      <c r="AQ15" s="2152"/>
      <c r="AR15" s="2152"/>
      <c r="AS15" s="2180"/>
      <c r="AT15" s="2152"/>
      <c r="AU15" s="2152"/>
      <c r="AV15" s="2152"/>
      <c r="AW15" s="2152"/>
      <c r="AX15" s="2152"/>
      <c r="AY15" s="2152"/>
      <c r="AZ15" s="2152"/>
      <c r="BA15" s="2152"/>
      <c r="BB15" s="2152"/>
      <c r="BC15" s="2152"/>
      <c r="BD15" s="2152"/>
      <c r="BE15" s="2152"/>
      <c r="BF15" s="2152"/>
      <c r="BG15" s="2152"/>
      <c r="BH15" s="2152"/>
      <c r="BI15" s="2152"/>
      <c r="BJ15" s="2152"/>
      <c r="BK15" s="2152"/>
      <c r="BL15" s="2152"/>
      <c r="BM15" s="2152"/>
      <c r="BN15" s="2152"/>
      <c r="BO15" s="2152"/>
      <c r="BP15" s="2152"/>
      <c r="BQ15" s="2152"/>
      <c r="BR15" s="2152"/>
      <c r="BS15" s="2152"/>
      <c r="BT15" s="2152"/>
      <c r="BU15" s="2152"/>
      <c r="BV15" s="2152"/>
      <c r="BW15" s="2152"/>
      <c r="BX15" s="2152"/>
      <c r="BY15" s="2152"/>
      <c r="BZ15" s="2152"/>
      <c r="CA15" s="2152"/>
      <c r="CB15" s="2152"/>
      <c r="CC15" s="2152"/>
      <c r="CD15" s="2178"/>
      <c r="CE15" s="2167"/>
      <c r="CF15" s="2167"/>
      <c r="CG15" s="2167"/>
      <c r="CH15" s="2167"/>
      <c r="CI15" s="2167"/>
      <c r="CJ15" s="2167"/>
      <c r="CK15" s="2167"/>
      <c r="CL15" s="2158"/>
      <c r="CM15" s="2158"/>
      <c r="CN15" s="2158"/>
      <c r="CO15" s="2158"/>
      <c r="CP15" s="2158"/>
      <c r="CQ15" s="2178"/>
      <c r="CR15" s="2187"/>
      <c r="CS15" s="2187"/>
      <c r="CT15" s="2158"/>
      <c r="CU15" s="2186"/>
      <c r="CV15" s="2152"/>
      <c r="CW15" s="2152"/>
      <c r="CX15" s="2152"/>
      <c r="CY15" s="2152"/>
      <c r="CZ15" s="2152"/>
      <c r="DA15" s="2152"/>
      <c r="DB15" s="2152"/>
      <c r="DC15" s="2152"/>
      <c r="DD15" s="2152"/>
      <c r="DE15" s="2154"/>
      <c r="DF15" s="2154"/>
      <c r="DG15" s="2154"/>
      <c r="DH15" s="2154"/>
      <c r="DI15" s="2154"/>
      <c r="DJ15" s="2154"/>
      <c r="DK15" s="2154"/>
      <c r="DL15" s="2154"/>
      <c r="DM15" s="2154"/>
      <c r="DN15" s="2154"/>
      <c r="DO15" s="2154"/>
      <c r="DP15" s="2154"/>
      <c r="DQ15" s="2152"/>
      <c r="DR15" s="2152"/>
      <c r="DS15" s="2152"/>
      <c r="DT15" s="2152"/>
      <c r="DU15" s="2152"/>
      <c r="DV15" s="2152"/>
    </row>
    <row r="16" spans="1:126" x14ac:dyDescent="0.25">
      <c r="A16" s="2181" t="s">
        <v>1061</v>
      </c>
      <c r="B16" s="2183" t="s">
        <v>2565</v>
      </c>
      <c r="C16" s="2183" t="s">
        <v>2717</v>
      </c>
      <c r="D16" s="2183" t="s">
        <v>2567</v>
      </c>
      <c r="E16" s="2183" t="s">
        <v>1855</v>
      </c>
      <c r="F16" s="2183" t="s">
        <v>2718</v>
      </c>
      <c r="G16" s="2183" t="s">
        <v>2568</v>
      </c>
      <c r="H16" s="2183" t="s">
        <v>2569</v>
      </c>
      <c r="I16" s="2183" t="s">
        <v>2570</v>
      </c>
      <c r="J16" s="2151" t="s">
        <v>703</v>
      </c>
      <c r="K16" s="2184" t="s">
        <v>2719</v>
      </c>
      <c r="L16" s="2155" t="s">
        <v>2720</v>
      </c>
      <c r="M16" s="2183" t="s">
        <v>1842</v>
      </c>
      <c r="N16" s="2181" t="s">
        <v>2024</v>
      </c>
      <c r="O16" s="2181" t="s">
        <v>2721</v>
      </c>
      <c r="P16" s="2183" t="s">
        <v>2722</v>
      </c>
      <c r="Q16" s="2183" t="s">
        <v>2723</v>
      </c>
      <c r="R16" s="2155" t="s">
        <v>2724</v>
      </c>
      <c r="S16" s="2179" t="s">
        <v>2725</v>
      </c>
      <c r="T16" s="2179" t="s">
        <v>2726</v>
      </c>
      <c r="U16" s="2179" t="s">
        <v>2727</v>
      </c>
      <c r="V16" s="2184" t="s">
        <v>2728</v>
      </c>
      <c r="W16" s="2155" t="s">
        <v>2729</v>
      </c>
      <c r="X16" s="2155" t="s">
        <v>2730</v>
      </c>
      <c r="Y16" s="2155" t="s">
        <v>2731</v>
      </c>
      <c r="Z16" s="2155" t="s">
        <v>2732</v>
      </c>
      <c r="AA16" s="2155" t="s">
        <v>2733</v>
      </c>
      <c r="AB16" s="2151" t="s">
        <v>2734</v>
      </c>
      <c r="AC16" s="2151" t="s">
        <v>2735</v>
      </c>
      <c r="AD16" s="2155" t="s">
        <v>2736</v>
      </c>
      <c r="AE16" s="2155" t="s">
        <v>2737</v>
      </c>
      <c r="AF16" s="2155" t="s">
        <v>2738</v>
      </c>
      <c r="AG16" s="2155" t="s">
        <v>2739</v>
      </c>
      <c r="AH16" s="2155" t="s">
        <v>2740</v>
      </c>
      <c r="AI16" s="2155" t="s">
        <v>2741</v>
      </c>
      <c r="AJ16" s="2155" t="s">
        <v>2742</v>
      </c>
      <c r="AK16" s="2155" t="s">
        <v>2743</v>
      </c>
      <c r="AL16" s="2155" t="s">
        <v>2744</v>
      </c>
      <c r="AM16" s="2155" t="s">
        <v>2745</v>
      </c>
      <c r="AN16" s="2155" t="s">
        <v>2746</v>
      </c>
      <c r="AO16" s="2155" t="s">
        <v>2747</v>
      </c>
      <c r="AP16" s="2155" t="s">
        <v>2748</v>
      </c>
      <c r="AQ16" s="2155" t="s">
        <v>2749</v>
      </c>
      <c r="AR16" s="2155" t="s">
        <v>2750</v>
      </c>
      <c r="AS16" s="2179" t="s">
        <v>2751</v>
      </c>
      <c r="AT16" s="2155" t="s">
        <v>2752</v>
      </c>
      <c r="AU16" s="2155" t="s">
        <v>2753</v>
      </c>
      <c r="AV16" s="2151" t="s">
        <v>2754</v>
      </c>
      <c r="AW16" s="2155" t="s">
        <v>2755</v>
      </c>
      <c r="AX16" s="2155" t="s">
        <v>2756</v>
      </c>
      <c r="AY16" s="2155" t="s">
        <v>2757</v>
      </c>
      <c r="AZ16" s="2155" t="s">
        <v>2758</v>
      </c>
      <c r="BA16" s="2155" t="s">
        <v>2759</v>
      </c>
      <c r="BB16" s="2151" t="s">
        <v>2760</v>
      </c>
      <c r="BC16" s="2155" t="s">
        <v>2761</v>
      </c>
      <c r="BD16" s="2155" t="s">
        <v>2762</v>
      </c>
      <c r="BE16" s="2151" t="s">
        <v>2763</v>
      </c>
      <c r="BF16" s="2151" t="s">
        <v>2764</v>
      </c>
      <c r="BG16" s="2151" t="s">
        <v>2765</v>
      </c>
      <c r="BH16" s="2155" t="s">
        <v>2766</v>
      </c>
      <c r="BI16" s="2155" t="s">
        <v>2767</v>
      </c>
      <c r="BJ16" s="2155" t="s">
        <v>2767</v>
      </c>
      <c r="BK16" s="2155" t="s">
        <v>2768</v>
      </c>
      <c r="BL16" s="2155" t="s">
        <v>2769</v>
      </c>
      <c r="BM16" s="2155" t="s">
        <v>2770</v>
      </c>
      <c r="BN16" s="2155" t="s">
        <v>2771</v>
      </c>
      <c r="BO16" s="2155" t="s">
        <v>2772</v>
      </c>
      <c r="BP16" s="2155" t="s">
        <v>2773</v>
      </c>
      <c r="BQ16" s="2155" t="s">
        <v>2774</v>
      </c>
      <c r="BR16" s="2155" t="s">
        <v>2775</v>
      </c>
      <c r="BS16" s="2155" t="s">
        <v>2776</v>
      </c>
      <c r="BT16" s="2155" t="s">
        <v>2777</v>
      </c>
      <c r="BU16" s="2155" t="s">
        <v>2778</v>
      </c>
      <c r="BV16" s="2155" t="s">
        <v>2779</v>
      </c>
      <c r="BW16" s="2155" t="s">
        <v>2780</v>
      </c>
      <c r="BX16" s="2155" t="s">
        <v>2781</v>
      </c>
      <c r="BY16" s="2155" t="s">
        <v>2782</v>
      </c>
      <c r="BZ16" s="2155" t="s">
        <v>2783</v>
      </c>
      <c r="CA16" s="2155" t="s">
        <v>2784</v>
      </c>
      <c r="CB16" s="2155" t="s">
        <v>2785</v>
      </c>
      <c r="CC16" s="2155" t="s">
        <v>2786</v>
      </c>
      <c r="CD16" s="2168"/>
      <c r="CE16" s="2168"/>
      <c r="CF16" s="2168"/>
      <c r="CG16" s="2168"/>
      <c r="CH16" s="2168"/>
      <c r="CI16" s="2168"/>
      <c r="CJ16" s="2168"/>
      <c r="CK16" s="2168"/>
      <c r="CL16" s="2159"/>
      <c r="CM16" s="2159"/>
      <c r="CN16" s="2159"/>
      <c r="CO16" s="2159"/>
      <c r="CP16" s="2159"/>
      <c r="CQ16" s="2168"/>
      <c r="CR16" s="2159"/>
      <c r="CS16" s="2159"/>
      <c r="CT16" s="2159"/>
      <c r="CU16" s="2152"/>
      <c r="CV16" s="2156" t="s">
        <v>2787</v>
      </c>
      <c r="CW16" s="2155" t="s">
        <v>2788</v>
      </c>
      <c r="CX16" s="2155" t="s">
        <v>2789</v>
      </c>
      <c r="CY16" s="2155" t="s">
        <v>2790</v>
      </c>
      <c r="CZ16" s="2155" t="s">
        <v>2791</v>
      </c>
      <c r="DA16" s="2155" t="s">
        <v>2792</v>
      </c>
      <c r="DB16" s="2155" t="s">
        <v>2793</v>
      </c>
      <c r="DC16" s="2155" t="s">
        <v>2794</v>
      </c>
      <c r="DD16" s="2155" t="s">
        <v>2795</v>
      </c>
      <c r="DE16" s="2153" t="s">
        <v>2796</v>
      </c>
      <c r="DF16" s="2153" t="s">
        <v>2797</v>
      </c>
      <c r="DG16" s="2153" t="s">
        <v>2798</v>
      </c>
      <c r="DH16" s="2153" t="s">
        <v>2799</v>
      </c>
      <c r="DI16" s="2153" t="s">
        <v>2800</v>
      </c>
      <c r="DJ16" s="2153" t="s">
        <v>2801</v>
      </c>
      <c r="DK16" s="2153" t="s">
        <v>2802</v>
      </c>
      <c r="DL16" s="2153" t="s">
        <v>2803</v>
      </c>
      <c r="DM16" s="2153" t="s">
        <v>2804</v>
      </c>
      <c r="DN16" s="2153" t="s">
        <v>2805</v>
      </c>
      <c r="DO16" s="2153" t="s">
        <v>2806</v>
      </c>
      <c r="DP16" s="2153" t="s">
        <v>2807</v>
      </c>
      <c r="DQ16" s="2155" t="s">
        <v>2808</v>
      </c>
      <c r="DR16" s="2151" t="s">
        <v>2809</v>
      </c>
      <c r="DS16" s="2151" t="s">
        <v>2810</v>
      </c>
      <c r="DT16" s="2151" t="s">
        <v>2811</v>
      </c>
      <c r="DU16" s="2151" t="s">
        <v>2812</v>
      </c>
      <c r="DV16" s="2151" t="s">
        <v>2811</v>
      </c>
    </row>
    <row r="17" spans="1:126" ht="105.6" customHeight="1" x14ac:dyDescent="0.25">
      <c r="A17" s="2182"/>
      <c r="B17" s="2182"/>
      <c r="C17" s="2182"/>
      <c r="D17" s="2182"/>
      <c r="E17" s="2182"/>
      <c r="F17" s="2182"/>
      <c r="G17" s="2182"/>
      <c r="H17" s="2182"/>
      <c r="I17" s="2182"/>
      <c r="J17" s="2152"/>
      <c r="K17" s="2185"/>
      <c r="L17" s="2152"/>
      <c r="M17" s="2182"/>
      <c r="N17" s="2182"/>
      <c r="O17" s="2182"/>
      <c r="P17" s="2182"/>
      <c r="Q17" s="2182"/>
      <c r="R17" s="2152"/>
      <c r="S17" s="2180"/>
      <c r="T17" s="2180"/>
      <c r="U17" s="2180"/>
      <c r="V17" s="2185"/>
      <c r="W17" s="2152"/>
      <c r="X17" s="2152"/>
      <c r="Y17" s="2152"/>
      <c r="Z17" s="2152"/>
      <c r="AA17" s="2152"/>
      <c r="AB17" s="2152"/>
      <c r="AC17" s="2152"/>
      <c r="AD17" s="2152"/>
      <c r="AE17" s="2152"/>
      <c r="AF17" s="2152"/>
      <c r="AG17" s="2152"/>
      <c r="AH17" s="2152"/>
      <c r="AI17" s="2152"/>
      <c r="AJ17" s="2152"/>
      <c r="AK17" s="2152"/>
      <c r="AL17" s="2152"/>
      <c r="AM17" s="2152"/>
      <c r="AN17" s="2152"/>
      <c r="AO17" s="2152"/>
      <c r="AP17" s="2152"/>
      <c r="AQ17" s="2152"/>
      <c r="AR17" s="2152"/>
      <c r="AS17" s="2180"/>
      <c r="AT17" s="2152"/>
      <c r="AU17" s="2152"/>
      <c r="AV17" s="2152"/>
      <c r="AW17" s="2152"/>
      <c r="AX17" s="2152"/>
      <c r="AY17" s="2152"/>
      <c r="AZ17" s="2152"/>
      <c r="BA17" s="2152"/>
      <c r="BB17" s="2152"/>
      <c r="BC17" s="2152"/>
      <c r="BD17" s="2152"/>
      <c r="BE17" s="2152"/>
      <c r="BF17" s="2152"/>
      <c r="BG17" s="2152"/>
      <c r="BH17" s="2152"/>
      <c r="BI17" s="2152"/>
      <c r="BJ17" s="2152"/>
      <c r="BK17" s="2152"/>
      <c r="BL17" s="2152"/>
      <c r="BM17" s="2152"/>
      <c r="BN17" s="2152"/>
      <c r="BO17" s="2152"/>
      <c r="BP17" s="2152"/>
      <c r="BQ17" s="2152"/>
      <c r="BR17" s="2152"/>
      <c r="BS17" s="2152"/>
      <c r="BT17" s="2152"/>
      <c r="BU17" s="2152"/>
      <c r="BV17" s="2152"/>
      <c r="BW17" s="2152"/>
      <c r="BX17" s="2152"/>
      <c r="BY17" s="2152"/>
      <c r="BZ17" s="2152"/>
      <c r="CA17" s="2152"/>
      <c r="CB17" s="2152"/>
      <c r="CC17" s="2152"/>
      <c r="CD17" s="1721" t="s">
        <v>2813</v>
      </c>
      <c r="CE17" s="1721" t="s">
        <v>2814</v>
      </c>
      <c r="CF17" s="1721" t="s">
        <v>2815</v>
      </c>
      <c r="CG17" s="1721" t="s">
        <v>2816</v>
      </c>
      <c r="CH17" s="1721" t="s">
        <v>2817</v>
      </c>
      <c r="CI17" s="1721" t="s">
        <v>2818</v>
      </c>
      <c r="CJ17" s="1721" t="s">
        <v>2040</v>
      </c>
      <c r="CK17" s="1721" t="s">
        <v>2819</v>
      </c>
      <c r="CL17" s="1722" t="s">
        <v>2820</v>
      </c>
      <c r="CM17" s="1722" t="s">
        <v>2821</v>
      </c>
      <c r="CN17" s="1722" t="s">
        <v>2822</v>
      </c>
      <c r="CO17" s="1722" t="s">
        <v>2820</v>
      </c>
      <c r="CP17" s="1722" t="s">
        <v>2821</v>
      </c>
      <c r="CQ17" s="1721" t="s">
        <v>2823</v>
      </c>
      <c r="CR17" s="1722" t="s">
        <v>2824</v>
      </c>
      <c r="CS17" s="1722" t="s">
        <v>2825</v>
      </c>
      <c r="CT17" s="1722" t="s">
        <v>2820</v>
      </c>
      <c r="CU17" s="1660" t="s">
        <v>2821</v>
      </c>
      <c r="CV17" s="2157"/>
      <c r="CW17" s="2152"/>
      <c r="CX17" s="2152"/>
      <c r="CY17" s="2152"/>
      <c r="CZ17" s="2152"/>
      <c r="DA17" s="2152"/>
      <c r="DB17" s="2152"/>
      <c r="DC17" s="2152"/>
      <c r="DD17" s="2152"/>
      <c r="DE17" s="2154"/>
      <c r="DF17" s="2154"/>
      <c r="DG17" s="2154"/>
      <c r="DH17" s="2154"/>
      <c r="DI17" s="2154"/>
      <c r="DJ17" s="2154"/>
      <c r="DK17" s="2154"/>
      <c r="DL17" s="2154"/>
      <c r="DM17" s="2154"/>
      <c r="DN17" s="2154"/>
      <c r="DO17" s="2154"/>
      <c r="DP17" s="2154"/>
      <c r="DQ17" s="2152"/>
      <c r="DR17" s="2152"/>
      <c r="DS17" s="2152"/>
      <c r="DT17" s="2152"/>
      <c r="DU17" s="2152"/>
      <c r="DV17" s="2152"/>
    </row>
    <row r="18" spans="1:126" x14ac:dyDescent="0.25">
      <c r="A18" s="1661" t="s">
        <v>2050</v>
      </c>
      <c r="B18" s="1661" t="s">
        <v>2604</v>
      </c>
      <c r="C18" s="1661" t="s">
        <v>2605</v>
      </c>
      <c r="D18" s="1661" t="s">
        <v>2606</v>
      </c>
      <c r="E18" s="1661" t="s">
        <v>2051</v>
      </c>
      <c r="F18" s="1661" t="s">
        <v>2121</v>
      </c>
      <c r="G18" s="1661" t="s">
        <v>2123</v>
      </c>
      <c r="H18" s="1661" t="s">
        <v>2124</v>
      </c>
      <c r="I18" s="1661" t="s">
        <v>2052</v>
      </c>
      <c r="J18" s="1661" t="s">
        <v>1731</v>
      </c>
      <c r="K18" s="1661" t="s">
        <v>1732</v>
      </c>
      <c r="L18" s="1661" t="s">
        <v>1734</v>
      </c>
      <c r="M18" s="1661" t="s">
        <v>1735</v>
      </c>
      <c r="N18" s="1661" t="s">
        <v>1736</v>
      </c>
      <c r="O18" s="1661" t="s">
        <v>1738</v>
      </c>
      <c r="P18" s="1661" t="s">
        <v>1739</v>
      </c>
      <c r="Q18" s="1661" t="s">
        <v>1741</v>
      </c>
      <c r="R18" s="1661" t="s">
        <v>1743</v>
      </c>
      <c r="S18" s="1661" t="s">
        <v>1744</v>
      </c>
      <c r="T18" s="1661" t="s">
        <v>1745</v>
      </c>
      <c r="U18" s="1661" t="s">
        <v>1746</v>
      </c>
      <c r="V18" s="1661" t="s">
        <v>1747</v>
      </c>
      <c r="W18" s="1661" t="s">
        <v>1748</v>
      </c>
      <c r="X18" s="1661" t="s">
        <v>1749</v>
      </c>
      <c r="Y18" s="1661" t="s">
        <v>1750</v>
      </c>
      <c r="Z18" s="1661" t="s">
        <v>1751</v>
      </c>
      <c r="AA18" s="1661" t="s">
        <v>1752</v>
      </c>
      <c r="AB18" s="1661" t="s">
        <v>1753</v>
      </c>
      <c r="AC18" s="1661" t="s">
        <v>1754</v>
      </c>
      <c r="AD18" s="1661" t="s">
        <v>1755</v>
      </c>
      <c r="AE18" s="1661" t="s">
        <v>1756</v>
      </c>
      <c r="AF18" s="1661" t="s">
        <v>1757</v>
      </c>
      <c r="AG18" s="1661" t="s">
        <v>1758</v>
      </c>
      <c r="AH18" s="1661" t="s">
        <v>1759</v>
      </c>
      <c r="AI18" s="1661" t="s">
        <v>1760</v>
      </c>
      <c r="AJ18" s="1661" t="s">
        <v>1761</v>
      </c>
      <c r="AK18" s="1661" t="s">
        <v>1762</v>
      </c>
      <c r="AL18" s="1661" t="s">
        <v>1763</v>
      </c>
      <c r="AM18" s="1661" t="s">
        <v>1764</v>
      </c>
      <c r="AN18" s="1661" t="s">
        <v>1765</v>
      </c>
      <c r="AO18" s="1661" t="s">
        <v>1766</v>
      </c>
      <c r="AP18" s="1661" t="s">
        <v>1767</v>
      </c>
      <c r="AQ18" s="1661" t="s">
        <v>1768</v>
      </c>
      <c r="AR18" s="1661" t="s">
        <v>1769</v>
      </c>
      <c r="AS18" s="1661" t="s">
        <v>1770</v>
      </c>
      <c r="AT18" s="1661" t="s">
        <v>1771</v>
      </c>
      <c r="AU18" s="1661" t="s">
        <v>1457</v>
      </c>
      <c r="AV18" s="1661" t="s">
        <v>1772</v>
      </c>
      <c r="AW18" s="1661" t="s">
        <v>1773</v>
      </c>
      <c r="AX18" s="1661" t="s">
        <v>1774</v>
      </c>
      <c r="AY18" s="1661" t="s">
        <v>1775</v>
      </c>
      <c r="AZ18" s="1661" t="s">
        <v>1776</v>
      </c>
      <c r="BA18" s="1661" t="s">
        <v>2138</v>
      </c>
      <c r="BB18" s="1661" t="s">
        <v>2139</v>
      </c>
      <c r="BC18" s="1661" t="s">
        <v>2140</v>
      </c>
      <c r="BD18" s="1661" t="s">
        <v>2141</v>
      </c>
      <c r="BE18" s="1661" t="s">
        <v>2142</v>
      </c>
      <c r="BF18" s="1661" t="s">
        <v>2143</v>
      </c>
      <c r="BG18" s="1661" t="s">
        <v>2144</v>
      </c>
      <c r="BH18" s="1661" t="s">
        <v>2066</v>
      </c>
      <c r="BI18" s="1661" t="s">
        <v>2067</v>
      </c>
      <c r="BJ18" s="1661" t="s">
        <v>2146</v>
      </c>
      <c r="BK18" s="1661" t="s">
        <v>2069</v>
      </c>
      <c r="BL18" s="1661" t="s">
        <v>2070</v>
      </c>
      <c r="BM18" s="1661" t="s">
        <v>2071</v>
      </c>
      <c r="BN18" s="1661" t="s">
        <v>2072</v>
      </c>
      <c r="BO18" s="1661" t="s">
        <v>2073</v>
      </c>
      <c r="BP18" s="1661" t="s">
        <v>2147</v>
      </c>
      <c r="BQ18" s="1661" t="s">
        <v>2148</v>
      </c>
      <c r="BR18" s="1661" t="s">
        <v>2149</v>
      </c>
      <c r="BS18" s="1661" t="s">
        <v>2077</v>
      </c>
      <c r="BT18" s="1661" t="s">
        <v>2078</v>
      </c>
      <c r="BU18" s="1661" t="s">
        <v>2151</v>
      </c>
      <c r="BV18" s="1661" t="s">
        <v>2080</v>
      </c>
      <c r="BW18" s="1661" t="s">
        <v>2081</v>
      </c>
      <c r="BX18" s="1661" t="s">
        <v>2082</v>
      </c>
      <c r="BY18" s="1661" t="s">
        <v>2083</v>
      </c>
      <c r="BZ18" s="1661" t="s">
        <v>2084</v>
      </c>
      <c r="CA18" s="1661" t="s">
        <v>2085</v>
      </c>
      <c r="CB18" s="1661" t="s">
        <v>2086</v>
      </c>
      <c r="CC18" s="1661" t="s">
        <v>2087</v>
      </c>
      <c r="CD18" s="1661" t="s">
        <v>2088</v>
      </c>
      <c r="CE18" s="1661" t="s">
        <v>2089</v>
      </c>
      <c r="CF18" s="1661" t="s">
        <v>2090</v>
      </c>
      <c r="CG18" s="1661" t="s">
        <v>2091</v>
      </c>
      <c r="CH18" s="1661" t="s">
        <v>2092</v>
      </c>
      <c r="CI18" s="1661" t="s">
        <v>2093</v>
      </c>
      <c r="CJ18" s="1661" t="s">
        <v>2094</v>
      </c>
      <c r="CK18" s="1661" t="s">
        <v>2095</v>
      </c>
      <c r="CL18" s="1661" t="s">
        <v>2096</v>
      </c>
      <c r="CM18" s="1661" t="s">
        <v>2154</v>
      </c>
      <c r="CN18" s="1661" t="s">
        <v>2155</v>
      </c>
      <c r="CO18" s="1661" t="s">
        <v>2156</v>
      </c>
      <c r="CP18" s="1661" t="s">
        <v>2100</v>
      </c>
      <c r="CQ18" s="1661" t="s">
        <v>2101</v>
      </c>
      <c r="CR18" s="1661" t="s">
        <v>2158</v>
      </c>
      <c r="CS18" s="1661" t="s">
        <v>2103</v>
      </c>
      <c r="CT18" s="1661" t="s">
        <v>2104</v>
      </c>
      <c r="CU18" s="1661" t="s">
        <v>2105</v>
      </c>
      <c r="CV18" s="1661" t="s">
        <v>2106</v>
      </c>
      <c r="CW18" s="1661" t="s">
        <v>2160</v>
      </c>
      <c r="CX18" s="1661" t="s">
        <v>2161</v>
      </c>
      <c r="CY18" s="1661" t="s">
        <v>2162</v>
      </c>
      <c r="CZ18" s="1661" t="s">
        <v>2163</v>
      </c>
      <c r="DA18" s="1661" t="s">
        <v>2164</v>
      </c>
      <c r="DB18" s="1661" t="s">
        <v>2165</v>
      </c>
      <c r="DC18" s="1661" t="s">
        <v>2166</v>
      </c>
      <c r="DD18" s="1661" t="s">
        <v>2167</v>
      </c>
      <c r="DE18" s="1661" t="s">
        <v>2168</v>
      </c>
      <c r="DF18" s="1661" t="s">
        <v>2169</v>
      </c>
      <c r="DG18" s="1661" t="s">
        <v>2170</v>
      </c>
      <c r="DH18" s="1661" t="s">
        <v>2171</v>
      </c>
      <c r="DI18" s="1661" t="s">
        <v>2172</v>
      </c>
      <c r="DJ18" s="1661" t="s">
        <v>2173</v>
      </c>
      <c r="DK18" s="1661" t="s">
        <v>2174</v>
      </c>
      <c r="DL18" s="1661" t="s">
        <v>2175</v>
      </c>
      <c r="DM18" s="1661" t="s">
        <v>2176</v>
      </c>
      <c r="DN18" s="1661" t="s">
        <v>2177</v>
      </c>
      <c r="DO18" s="1661" t="s">
        <v>2178</v>
      </c>
      <c r="DP18" s="1661" t="s">
        <v>2179</v>
      </c>
      <c r="DQ18" s="1661" t="s">
        <v>2180</v>
      </c>
      <c r="DR18" s="1723" t="s">
        <v>2181</v>
      </c>
      <c r="DS18" s="1723" t="s">
        <v>2182</v>
      </c>
      <c r="DT18" s="1723" t="s">
        <v>2183</v>
      </c>
      <c r="DU18" s="1723" t="s">
        <v>2184</v>
      </c>
      <c r="DV18" s="1723" t="s">
        <v>2185</v>
      </c>
    </row>
    <row r="19" spans="1:126" x14ac:dyDescent="0.25">
      <c r="A19" s="1662"/>
      <c r="B19" s="1662" t="s">
        <v>57</v>
      </c>
      <c r="C19" s="1662"/>
      <c r="D19" s="1662"/>
      <c r="E19" s="1662"/>
      <c r="F19" s="1662"/>
      <c r="G19" s="1662"/>
      <c r="H19" s="1662"/>
      <c r="I19" s="1662"/>
      <c r="J19" s="1662"/>
      <c r="K19" s="1668"/>
      <c r="L19" s="1668"/>
      <c r="M19" s="1662"/>
      <c r="N19" s="1662"/>
      <c r="O19" s="1662"/>
      <c r="P19" s="1662"/>
      <c r="Q19" s="1662"/>
      <c r="R19" s="1662"/>
      <c r="S19" s="1662"/>
      <c r="T19" s="1662"/>
      <c r="U19" s="1662"/>
      <c r="V19" s="1662"/>
      <c r="W19" s="1662"/>
      <c r="X19" s="1662"/>
      <c r="Y19" s="1662"/>
      <c r="Z19" s="1662"/>
      <c r="AA19" s="1662"/>
      <c r="AB19" s="1662"/>
      <c r="AC19" s="1662"/>
      <c r="AD19" s="1662"/>
      <c r="AE19" s="1662"/>
      <c r="AF19" s="1662"/>
      <c r="AG19" s="1662"/>
      <c r="AH19" s="1662"/>
      <c r="AI19" s="1662"/>
      <c r="AJ19" s="1662"/>
      <c r="AK19" s="1662"/>
      <c r="AL19" s="1662"/>
      <c r="AM19" s="1663"/>
      <c r="AN19" s="1662"/>
      <c r="AO19" s="1662"/>
      <c r="AP19" s="1662"/>
      <c r="AQ19" s="1662"/>
      <c r="AR19" s="1662"/>
      <c r="AS19" s="1662"/>
      <c r="AT19" s="1662"/>
      <c r="AU19" s="1662"/>
      <c r="AV19" s="1662"/>
      <c r="AW19" s="1662"/>
      <c r="AX19" s="1662"/>
      <c r="AY19" s="1662"/>
      <c r="AZ19" s="1662"/>
      <c r="BA19" s="1662"/>
      <c r="BB19" s="1662"/>
      <c r="BC19" s="1662"/>
      <c r="BD19" s="1662"/>
      <c r="BE19" s="1662"/>
      <c r="BF19" s="1662"/>
      <c r="BG19" s="1662"/>
      <c r="BH19" s="1662"/>
      <c r="BI19" s="1662"/>
      <c r="BJ19" s="1662"/>
      <c r="BK19" s="1662"/>
      <c r="BL19" s="1662"/>
      <c r="BM19" s="1662"/>
      <c r="BN19" s="1663"/>
      <c r="BO19" s="1668"/>
      <c r="BP19" s="1668"/>
      <c r="BQ19" s="1662"/>
      <c r="BR19" s="1668"/>
      <c r="BS19" s="1662"/>
      <c r="BT19" s="1662"/>
      <c r="BU19" s="1663"/>
      <c r="BV19" s="1665">
        <v>9746305.1199999992</v>
      </c>
      <c r="BW19" s="1668"/>
      <c r="BX19" s="1668"/>
      <c r="BY19" s="1662"/>
      <c r="BZ19" s="1662"/>
      <c r="CA19" s="1662"/>
      <c r="CB19" s="1662"/>
      <c r="CC19" s="1662"/>
      <c r="CD19" s="1724">
        <v>61827833.509999998</v>
      </c>
      <c r="CE19" s="1724">
        <v>55106162.18</v>
      </c>
      <c r="CF19" s="1724">
        <v>42786852.259999998</v>
      </c>
      <c r="CG19" s="1724">
        <v>77.64</v>
      </c>
      <c r="CH19" s="1724">
        <v>12319309.92</v>
      </c>
      <c r="CI19" s="1724">
        <v>22.36</v>
      </c>
      <c r="CJ19" s="1724">
        <v>55106162.18</v>
      </c>
      <c r="CK19" s="1724">
        <v>100</v>
      </c>
      <c r="CL19" s="1725"/>
      <c r="CM19" s="1726"/>
      <c r="CN19" s="1727"/>
      <c r="CO19" s="1728"/>
      <c r="CP19" s="1726"/>
      <c r="CQ19" s="1724">
        <v>44109923.689999998</v>
      </c>
      <c r="CR19" s="1724">
        <v>42757597.969999999</v>
      </c>
      <c r="CS19" s="1724">
        <v>1352325.72</v>
      </c>
      <c r="CT19" s="1728"/>
      <c r="CU19" s="1726"/>
      <c r="CV19" s="1724">
        <v>55148123.469999999</v>
      </c>
      <c r="CW19" s="1724">
        <v>620</v>
      </c>
      <c r="CX19" s="1724">
        <v>2414814.09</v>
      </c>
      <c r="CY19" s="1724">
        <v>37640954.82</v>
      </c>
      <c r="CZ19" s="1724">
        <v>10452217.050000001</v>
      </c>
      <c r="DA19" s="1724">
        <v>3549523.03</v>
      </c>
      <c r="DB19" s="1724">
        <v>13527.77</v>
      </c>
      <c r="DC19" s="1724">
        <v>1076466.71</v>
      </c>
      <c r="DD19" s="1724">
        <v>47694152.159999996</v>
      </c>
      <c r="DE19" s="1724">
        <v>42714852.25</v>
      </c>
      <c r="DF19" s="1724">
        <v>41362526.530000001</v>
      </c>
      <c r="DG19" s="1724">
        <v>1352325.72</v>
      </c>
      <c r="DH19" s="1724">
        <v>12433271.220000001</v>
      </c>
      <c r="DI19" s="1724">
        <v>4979299.91</v>
      </c>
      <c r="DJ19" s="1724">
        <v>415060.82</v>
      </c>
      <c r="DK19" s="1724">
        <v>4562939.1399999997</v>
      </c>
      <c r="DL19" s="1724">
        <v>1299.95</v>
      </c>
      <c r="DM19" s="1724">
        <v>7453971.3099999996</v>
      </c>
      <c r="DN19" s="1724">
        <v>6097971.3099999996</v>
      </c>
      <c r="DO19" s="1724">
        <v>1356000</v>
      </c>
      <c r="DP19" s="1724">
        <v>0</v>
      </c>
      <c r="DQ19" s="1728"/>
      <c r="DR19" s="1727"/>
      <c r="DS19" s="1728"/>
      <c r="DT19" s="1726"/>
      <c r="DU19" s="1728"/>
      <c r="DV19" s="1726"/>
    </row>
    <row r="20" spans="1:126" x14ac:dyDescent="0.25">
      <c r="A20" s="1662" t="s">
        <v>2050</v>
      </c>
      <c r="B20" s="1662" t="s">
        <v>1706</v>
      </c>
      <c r="C20" s="1662"/>
      <c r="D20" s="1662"/>
      <c r="E20" s="1662"/>
      <c r="F20" s="1662"/>
      <c r="G20" s="1662"/>
      <c r="H20" s="1662"/>
      <c r="I20" s="1662"/>
      <c r="J20" s="1662"/>
      <c r="K20" s="1668"/>
      <c r="L20" s="1668"/>
      <c r="M20" s="1662"/>
      <c r="N20" s="1662"/>
      <c r="O20" s="1662"/>
      <c r="P20" s="1662"/>
      <c r="Q20" s="1662"/>
      <c r="R20" s="1662"/>
      <c r="S20" s="1662"/>
      <c r="T20" s="1662"/>
      <c r="U20" s="1662"/>
      <c r="V20" s="1662"/>
      <c r="W20" s="1662"/>
      <c r="X20" s="1662"/>
      <c r="Y20" s="1662"/>
      <c r="Z20" s="1662"/>
      <c r="AA20" s="1662"/>
      <c r="AB20" s="1662"/>
      <c r="AC20" s="1662"/>
      <c r="AD20" s="1662"/>
      <c r="AE20" s="1662"/>
      <c r="AF20" s="1662"/>
      <c r="AG20" s="1662"/>
      <c r="AH20" s="1662"/>
      <c r="AI20" s="1662"/>
      <c r="AJ20" s="1662"/>
      <c r="AK20" s="1662"/>
      <c r="AL20" s="1662"/>
      <c r="AM20" s="1663"/>
      <c r="AN20" s="1662"/>
      <c r="AO20" s="1662"/>
      <c r="AP20" s="1662"/>
      <c r="AQ20" s="1662"/>
      <c r="AR20" s="1662"/>
      <c r="AS20" s="1662"/>
      <c r="AT20" s="1662"/>
      <c r="AU20" s="1662"/>
      <c r="AV20" s="1662"/>
      <c r="AW20" s="1662"/>
      <c r="AX20" s="1662"/>
      <c r="AY20" s="1662"/>
      <c r="AZ20" s="1662"/>
      <c r="BA20" s="1662"/>
      <c r="BB20" s="1662"/>
      <c r="BC20" s="1662"/>
      <c r="BD20" s="1662"/>
      <c r="BE20" s="1662"/>
      <c r="BF20" s="1662"/>
      <c r="BG20" s="1662"/>
      <c r="BH20" s="1662"/>
      <c r="BI20" s="1662"/>
      <c r="BJ20" s="1662"/>
      <c r="BK20" s="1662"/>
      <c r="BL20" s="1662"/>
      <c r="BM20" s="1662"/>
      <c r="BN20" s="1663"/>
      <c r="BO20" s="1668"/>
      <c r="BP20" s="1668"/>
      <c r="BQ20" s="1662"/>
      <c r="BR20" s="1668"/>
      <c r="BS20" s="1662"/>
      <c r="BT20" s="1662"/>
      <c r="BU20" s="1663"/>
      <c r="BV20" s="1665">
        <v>1800000</v>
      </c>
      <c r="BW20" s="1668"/>
      <c r="BX20" s="1668"/>
      <c r="BY20" s="1662"/>
      <c r="BZ20" s="1662"/>
      <c r="CA20" s="1662"/>
      <c r="CB20" s="1662"/>
      <c r="CC20" s="1662"/>
      <c r="CD20" s="1724">
        <v>7126609.5999999996</v>
      </c>
      <c r="CE20" s="1724">
        <v>6000000</v>
      </c>
      <c r="CF20" s="1724">
        <v>6000000</v>
      </c>
      <c r="CG20" s="1724">
        <v>100</v>
      </c>
      <c r="CH20" s="1724">
        <v>0</v>
      </c>
      <c r="CI20" s="1724">
        <v>0</v>
      </c>
      <c r="CJ20" s="1724">
        <v>6000000</v>
      </c>
      <c r="CK20" s="1724">
        <v>100</v>
      </c>
      <c r="CL20" s="1725"/>
      <c r="CM20" s="1726"/>
      <c r="CN20" s="1727"/>
      <c r="CO20" s="1728"/>
      <c r="CP20" s="1726"/>
      <c r="CQ20" s="1724">
        <v>6000000</v>
      </c>
      <c r="CR20" s="1724">
        <v>6000000</v>
      </c>
      <c r="CS20" s="1724">
        <v>0</v>
      </c>
      <c r="CT20" s="1728"/>
      <c r="CU20" s="1726"/>
      <c r="CV20" s="1724">
        <v>6000000</v>
      </c>
      <c r="CW20" s="1724">
        <v>0</v>
      </c>
      <c r="CX20" s="1724">
        <v>0</v>
      </c>
      <c r="CY20" s="1724">
        <v>145712.13</v>
      </c>
      <c r="CZ20" s="1724">
        <v>5215687.5</v>
      </c>
      <c r="DA20" s="1724">
        <v>603100</v>
      </c>
      <c r="DB20" s="1724">
        <v>308</v>
      </c>
      <c r="DC20" s="1724">
        <v>35192.370000000003</v>
      </c>
      <c r="DD20" s="1724">
        <v>6000000</v>
      </c>
      <c r="DE20" s="1724">
        <v>6000000</v>
      </c>
      <c r="DF20" s="1724">
        <v>6000000</v>
      </c>
      <c r="DG20" s="1724">
        <v>0</v>
      </c>
      <c r="DH20" s="1724">
        <v>0</v>
      </c>
      <c r="DI20" s="1724">
        <v>0</v>
      </c>
      <c r="DJ20" s="1724">
        <v>0</v>
      </c>
      <c r="DK20" s="1724">
        <v>0</v>
      </c>
      <c r="DL20" s="1724">
        <v>0</v>
      </c>
      <c r="DM20" s="1724">
        <v>0</v>
      </c>
      <c r="DN20" s="1724">
        <v>0</v>
      </c>
      <c r="DO20" s="1724">
        <v>0</v>
      </c>
      <c r="DP20" s="1724">
        <v>0</v>
      </c>
      <c r="DQ20" s="1728"/>
      <c r="DR20" s="1727"/>
      <c r="DS20" s="1728"/>
      <c r="DT20" s="1726"/>
      <c r="DU20" s="1728"/>
      <c r="DV20" s="1726"/>
    </row>
    <row r="21" spans="1:126" x14ac:dyDescent="0.25">
      <c r="A21" s="1662" t="s">
        <v>2604</v>
      </c>
      <c r="B21" s="1662" t="s">
        <v>1706</v>
      </c>
      <c r="C21" s="1662" t="s">
        <v>2826</v>
      </c>
      <c r="D21" s="1662"/>
      <c r="E21" s="1662"/>
      <c r="F21" s="1662"/>
      <c r="G21" s="1662"/>
      <c r="H21" s="1662"/>
      <c r="I21" s="1662"/>
      <c r="J21" s="1662"/>
      <c r="K21" s="1668"/>
      <c r="L21" s="1668"/>
      <c r="M21" s="1662"/>
      <c r="N21" s="1662"/>
      <c r="O21" s="1662"/>
      <c r="P21" s="1662"/>
      <c r="Q21" s="1662"/>
      <c r="R21" s="1662"/>
      <c r="S21" s="1662"/>
      <c r="T21" s="1662"/>
      <c r="U21" s="1662"/>
      <c r="V21" s="1662"/>
      <c r="W21" s="1662"/>
      <c r="X21" s="1662"/>
      <c r="Y21" s="1662"/>
      <c r="Z21" s="1662"/>
      <c r="AA21" s="1662"/>
      <c r="AB21" s="1662"/>
      <c r="AC21" s="1662"/>
      <c r="AD21" s="1662"/>
      <c r="AE21" s="1662"/>
      <c r="AF21" s="1662"/>
      <c r="AG21" s="1662"/>
      <c r="AH21" s="1662"/>
      <c r="AI21" s="1662"/>
      <c r="AJ21" s="1662"/>
      <c r="AK21" s="1662"/>
      <c r="AL21" s="1662"/>
      <c r="AM21" s="1663"/>
      <c r="AN21" s="1662"/>
      <c r="AO21" s="1662"/>
      <c r="AP21" s="1662"/>
      <c r="AQ21" s="1662"/>
      <c r="AR21" s="1662"/>
      <c r="AS21" s="1662"/>
      <c r="AT21" s="1662"/>
      <c r="AU21" s="1662"/>
      <c r="AV21" s="1662"/>
      <c r="AW21" s="1662"/>
      <c r="AX21" s="1662"/>
      <c r="AY21" s="1662"/>
      <c r="AZ21" s="1662"/>
      <c r="BA21" s="1662"/>
      <c r="BB21" s="1662"/>
      <c r="BC21" s="1662"/>
      <c r="BD21" s="1662"/>
      <c r="BE21" s="1662"/>
      <c r="BF21" s="1662"/>
      <c r="BG21" s="1662"/>
      <c r="BH21" s="1662"/>
      <c r="BI21" s="1662"/>
      <c r="BJ21" s="1662"/>
      <c r="BK21" s="1662"/>
      <c r="BL21" s="1662"/>
      <c r="BM21" s="1662"/>
      <c r="BN21" s="1663"/>
      <c r="BO21" s="1668"/>
      <c r="BP21" s="1668"/>
      <c r="BQ21" s="1662"/>
      <c r="BR21" s="1668"/>
      <c r="BS21" s="1662"/>
      <c r="BT21" s="1662"/>
      <c r="BU21" s="1663"/>
      <c r="BV21" s="1665">
        <v>1800000</v>
      </c>
      <c r="BW21" s="1668"/>
      <c r="BX21" s="1668"/>
      <c r="BY21" s="1662"/>
      <c r="BZ21" s="1662"/>
      <c r="CA21" s="1662"/>
      <c r="CB21" s="1662"/>
      <c r="CC21" s="1662"/>
      <c r="CD21" s="1724">
        <v>7126609.5999999996</v>
      </c>
      <c r="CE21" s="1724">
        <v>6000000</v>
      </c>
      <c r="CF21" s="1724">
        <v>6000000</v>
      </c>
      <c r="CG21" s="1724">
        <v>100</v>
      </c>
      <c r="CH21" s="1724">
        <v>0</v>
      </c>
      <c r="CI21" s="1724">
        <v>0</v>
      </c>
      <c r="CJ21" s="1724">
        <v>6000000</v>
      </c>
      <c r="CK21" s="1724">
        <v>100</v>
      </c>
      <c r="CL21" s="1725"/>
      <c r="CM21" s="1726"/>
      <c r="CN21" s="1727"/>
      <c r="CO21" s="1728"/>
      <c r="CP21" s="1726"/>
      <c r="CQ21" s="1724">
        <v>6000000</v>
      </c>
      <c r="CR21" s="1724">
        <v>6000000</v>
      </c>
      <c r="CS21" s="1724">
        <v>0</v>
      </c>
      <c r="CT21" s="1728"/>
      <c r="CU21" s="1726"/>
      <c r="CV21" s="1724">
        <v>6000000</v>
      </c>
      <c r="CW21" s="1724">
        <v>0</v>
      </c>
      <c r="CX21" s="1724">
        <v>0</v>
      </c>
      <c r="CY21" s="1724">
        <v>145712.13</v>
      </c>
      <c r="CZ21" s="1724">
        <v>5215687.5</v>
      </c>
      <c r="DA21" s="1724">
        <v>603100</v>
      </c>
      <c r="DB21" s="1724">
        <v>308</v>
      </c>
      <c r="DC21" s="1724">
        <v>35192.370000000003</v>
      </c>
      <c r="DD21" s="1724">
        <v>6000000</v>
      </c>
      <c r="DE21" s="1724">
        <v>6000000</v>
      </c>
      <c r="DF21" s="1724">
        <v>6000000</v>
      </c>
      <c r="DG21" s="1724">
        <v>0</v>
      </c>
      <c r="DH21" s="1724">
        <v>0</v>
      </c>
      <c r="DI21" s="1724">
        <v>0</v>
      </c>
      <c r="DJ21" s="1724">
        <v>0</v>
      </c>
      <c r="DK21" s="1724">
        <v>0</v>
      </c>
      <c r="DL21" s="1724">
        <v>0</v>
      </c>
      <c r="DM21" s="1724">
        <v>0</v>
      </c>
      <c r="DN21" s="1724">
        <v>0</v>
      </c>
      <c r="DO21" s="1724">
        <v>0</v>
      </c>
      <c r="DP21" s="1724">
        <v>0</v>
      </c>
      <c r="DQ21" s="1728"/>
      <c r="DR21" s="1727"/>
      <c r="DS21" s="1728"/>
      <c r="DT21" s="1726"/>
      <c r="DU21" s="1728"/>
      <c r="DV21" s="1726"/>
    </row>
    <row r="22" spans="1:126" ht="22.5" x14ac:dyDescent="0.25">
      <c r="A22" s="1662" t="s">
        <v>2605</v>
      </c>
      <c r="B22" s="1662" t="s">
        <v>1706</v>
      </c>
      <c r="C22" s="1662" t="s">
        <v>2826</v>
      </c>
      <c r="D22" s="1662" t="s">
        <v>2827</v>
      </c>
      <c r="E22" s="1662"/>
      <c r="F22" s="1662"/>
      <c r="G22" s="1662"/>
      <c r="H22" s="1662"/>
      <c r="I22" s="1662"/>
      <c r="J22" s="1662"/>
      <c r="K22" s="1668"/>
      <c r="L22" s="1668"/>
      <c r="M22" s="1662"/>
      <c r="N22" s="1662"/>
      <c r="O22" s="1662"/>
      <c r="P22" s="1662"/>
      <c r="Q22" s="1662"/>
      <c r="R22" s="1662"/>
      <c r="S22" s="1662"/>
      <c r="T22" s="1662"/>
      <c r="U22" s="1662"/>
      <c r="V22" s="1662"/>
      <c r="W22" s="1662"/>
      <c r="X22" s="1662"/>
      <c r="Y22" s="1662"/>
      <c r="Z22" s="1662"/>
      <c r="AA22" s="1662"/>
      <c r="AB22" s="1662"/>
      <c r="AC22" s="1662"/>
      <c r="AD22" s="1662"/>
      <c r="AE22" s="1662"/>
      <c r="AF22" s="1662"/>
      <c r="AG22" s="1662"/>
      <c r="AH22" s="1662"/>
      <c r="AI22" s="1662"/>
      <c r="AJ22" s="1662"/>
      <c r="AK22" s="1662"/>
      <c r="AL22" s="1662"/>
      <c r="AM22" s="1663"/>
      <c r="AN22" s="1662"/>
      <c r="AO22" s="1662"/>
      <c r="AP22" s="1662"/>
      <c r="AQ22" s="1662"/>
      <c r="AR22" s="1662"/>
      <c r="AS22" s="1662"/>
      <c r="AT22" s="1662"/>
      <c r="AU22" s="1662"/>
      <c r="AV22" s="1662"/>
      <c r="AW22" s="1662"/>
      <c r="AX22" s="1662"/>
      <c r="AY22" s="1662"/>
      <c r="AZ22" s="1662"/>
      <c r="BA22" s="1662"/>
      <c r="BB22" s="1662"/>
      <c r="BC22" s="1662"/>
      <c r="BD22" s="1662"/>
      <c r="BE22" s="1662"/>
      <c r="BF22" s="1662"/>
      <c r="BG22" s="1662"/>
      <c r="BH22" s="1662"/>
      <c r="BI22" s="1662"/>
      <c r="BJ22" s="1662"/>
      <c r="BK22" s="1662"/>
      <c r="BL22" s="1662"/>
      <c r="BM22" s="1662"/>
      <c r="BN22" s="1663"/>
      <c r="BO22" s="1668"/>
      <c r="BP22" s="1668"/>
      <c r="BQ22" s="1662"/>
      <c r="BR22" s="1668"/>
      <c r="BS22" s="1662"/>
      <c r="BT22" s="1662"/>
      <c r="BU22" s="1663"/>
      <c r="BV22" s="1665">
        <v>1800000</v>
      </c>
      <c r="BW22" s="1668"/>
      <c r="BX22" s="1668"/>
      <c r="BY22" s="1662"/>
      <c r="BZ22" s="1662"/>
      <c r="CA22" s="1662"/>
      <c r="CB22" s="1662"/>
      <c r="CC22" s="1662"/>
      <c r="CD22" s="1724">
        <v>7126609.5999999996</v>
      </c>
      <c r="CE22" s="1724">
        <v>6000000</v>
      </c>
      <c r="CF22" s="1724">
        <v>6000000</v>
      </c>
      <c r="CG22" s="1724">
        <v>100</v>
      </c>
      <c r="CH22" s="1724">
        <v>0</v>
      </c>
      <c r="CI22" s="1724">
        <v>0</v>
      </c>
      <c r="CJ22" s="1724">
        <v>6000000</v>
      </c>
      <c r="CK22" s="1724">
        <v>100</v>
      </c>
      <c r="CL22" s="1725"/>
      <c r="CM22" s="1726"/>
      <c r="CN22" s="1727"/>
      <c r="CO22" s="1728"/>
      <c r="CP22" s="1726"/>
      <c r="CQ22" s="1724">
        <v>6000000</v>
      </c>
      <c r="CR22" s="1724">
        <v>6000000</v>
      </c>
      <c r="CS22" s="1724">
        <v>0</v>
      </c>
      <c r="CT22" s="1728"/>
      <c r="CU22" s="1726"/>
      <c r="CV22" s="1724">
        <v>6000000</v>
      </c>
      <c r="CW22" s="1724">
        <v>0</v>
      </c>
      <c r="CX22" s="1724">
        <v>0</v>
      </c>
      <c r="CY22" s="1724">
        <v>145712.13</v>
      </c>
      <c r="CZ22" s="1724">
        <v>5215687.5</v>
      </c>
      <c r="DA22" s="1724">
        <v>603100</v>
      </c>
      <c r="DB22" s="1724">
        <v>308</v>
      </c>
      <c r="DC22" s="1724">
        <v>35192.370000000003</v>
      </c>
      <c r="DD22" s="1724">
        <v>6000000</v>
      </c>
      <c r="DE22" s="1724">
        <v>6000000</v>
      </c>
      <c r="DF22" s="1724">
        <v>6000000</v>
      </c>
      <c r="DG22" s="1724">
        <v>0</v>
      </c>
      <c r="DH22" s="1724">
        <v>0</v>
      </c>
      <c r="DI22" s="1724">
        <v>0</v>
      </c>
      <c r="DJ22" s="1724">
        <v>0</v>
      </c>
      <c r="DK22" s="1724">
        <v>0</v>
      </c>
      <c r="DL22" s="1724">
        <v>0</v>
      </c>
      <c r="DM22" s="1724">
        <v>0</v>
      </c>
      <c r="DN22" s="1724">
        <v>0</v>
      </c>
      <c r="DO22" s="1724">
        <v>0</v>
      </c>
      <c r="DP22" s="1724">
        <v>0</v>
      </c>
      <c r="DQ22" s="1728"/>
      <c r="DR22" s="1727"/>
      <c r="DS22" s="1728"/>
      <c r="DT22" s="1726"/>
      <c r="DU22" s="1728"/>
      <c r="DV22" s="1726"/>
    </row>
    <row r="23" spans="1:126" ht="56.25" x14ac:dyDescent="0.25">
      <c r="A23" s="1662" t="s">
        <v>2606</v>
      </c>
      <c r="B23" s="1662" t="s">
        <v>1706</v>
      </c>
      <c r="C23" s="1662" t="s">
        <v>2826</v>
      </c>
      <c r="D23" s="1662" t="s">
        <v>2827</v>
      </c>
      <c r="E23" s="1662" t="s">
        <v>2828</v>
      </c>
      <c r="F23" s="1662" t="s">
        <v>2829</v>
      </c>
      <c r="G23" s="1662"/>
      <c r="H23" s="1662"/>
      <c r="I23" s="1662"/>
      <c r="J23" s="1662"/>
      <c r="K23" s="1668"/>
      <c r="L23" s="1668"/>
      <c r="M23" s="1662"/>
      <c r="N23" s="1662"/>
      <c r="O23" s="1662"/>
      <c r="P23" s="1662"/>
      <c r="Q23" s="1662"/>
      <c r="R23" s="1662"/>
      <c r="S23" s="1662"/>
      <c r="T23" s="1662"/>
      <c r="U23" s="1662"/>
      <c r="V23" s="1662"/>
      <c r="W23" s="1662"/>
      <c r="X23" s="1662"/>
      <c r="Y23" s="1662"/>
      <c r="Z23" s="1662"/>
      <c r="AA23" s="1662"/>
      <c r="AB23" s="1662"/>
      <c r="AC23" s="1662"/>
      <c r="AD23" s="1662"/>
      <c r="AE23" s="1662"/>
      <c r="AF23" s="1662"/>
      <c r="AG23" s="1662"/>
      <c r="AH23" s="1662"/>
      <c r="AI23" s="1662"/>
      <c r="AJ23" s="1662"/>
      <c r="AK23" s="1662"/>
      <c r="AL23" s="1662"/>
      <c r="AM23" s="1663"/>
      <c r="AN23" s="1662"/>
      <c r="AO23" s="1662"/>
      <c r="AP23" s="1662"/>
      <c r="AQ23" s="1662"/>
      <c r="AR23" s="1662"/>
      <c r="AS23" s="1662"/>
      <c r="AT23" s="1662"/>
      <c r="AU23" s="1662"/>
      <c r="AV23" s="1662"/>
      <c r="AW23" s="1662"/>
      <c r="AX23" s="1662"/>
      <c r="AY23" s="1662"/>
      <c r="AZ23" s="1662"/>
      <c r="BA23" s="1662"/>
      <c r="BB23" s="1662"/>
      <c r="BC23" s="1662"/>
      <c r="BD23" s="1662"/>
      <c r="BE23" s="1662"/>
      <c r="BF23" s="1662"/>
      <c r="BG23" s="1662"/>
      <c r="BH23" s="1662"/>
      <c r="BI23" s="1662"/>
      <c r="BJ23" s="1662"/>
      <c r="BK23" s="1662"/>
      <c r="BL23" s="1662"/>
      <c r="BM23" s="1662"/>
      <c r="BN23" s="1663"/>
      <c r="BO23" s="1668"/>
      <c r="BP23" s="1668"/>
      <c r="BQ23" s="1662"/>
      <c r="BR23" s="1668"/>
      <c r="BS23" s="1662"/>
      <c r="BT23" s="1662"/>
      <c r="BU23" s="1663"/>
      <c r="BV23" s="1665">
        <v>1800000</v>
      </c>
      <c r="BW23" s="1668"/>
      <c r="BX23" s="1668"/>
      <c r="BY23" s="1662"/>
      <c r="BZ23" s="1662"/>
      <c r="CA23" s="1662"/>
      <c r="CB23" s="1662"/>
      <c r="CC23" s="1662"/>
      <c r="CD23" s="1724">
        <v>7126609.5999999996</v>
      </c>
      <c r="CE23" s="1724">
        <v>6000000</v>
      </c>
      <c r="CF23" s="1724">
        <v>6000000</v>
      </c>
      <c r="CG23" s="1724">
        <v>100</v>
      </c>
      <c r="CH23" s="1724">
        <v>0</v>
      </c>
      <c r="CI23" s="1724">
        <v>0</v>
      </c>
      <c r="CJ23" s="1724">
        <v>6000000</v>
      </c>
      <c r="CK23" s="1724">
        <v>100</v>
      </c>
      <c r="CL23" s="1725"/>
      <c r="CM23" s="1726"/>
      <c r="CN23" s="1727"/>
      <c r="CO23" s="1728"/>
      <c r="CP23" s="1726"/>
      <c r="CQ23" s="1724">
        <v>6000000</v>
      </c>
      <c r="CR23" s="1724">
        <v>6000000</v>
      </c>
      <c r="CS23" s="1724">
        <v>0</v>
      </c>
      <c r="CT23" s="1728"/>
      <c r="CU23" s="1726"/>
      <c r="CV23" s="1724">
        <v>6000000</v>
      </c>
      <c r="CW23" s="1724">
        <v>0</v>
      </c>
      <c r="CX23" s="1724">
        <v>0</v>
      </c>
      <c r="CY23" s="1724">
        <v>145712.13</v>
      </c>
      <c r="CZ23" s="1724">
        <v>5215687.5</v>
      </c>
      <c r="DA23" s="1724">
        <v>603100</v>
      </c>
      <c r="DB23" s="1724">
        <v>308</v>
      </c>
      <c r="DC23" s="1724">
        <v>35192.370000000003</v>
      </c>
      <c r="DD23" s="1724">
        <v>6000000</v>
      </c>
      <c r="DE23" s="1724">
        <v>6000000</v>
      </c>
      <c r="DF23" s="1724">
        <v>6000000</v>
      </c>
      <c r="DG23" s="1724">
        <v>0</v>
      </c>
      <c r="DH23" s="1724">
        <v>0</v>
      </c>
      <c r="DI23" s="1724">
        <v>0</v>
      </c>
      <c r="DJ23" s="1724">
        <v>0</v>
      </c>
      <c r="DK23" s="1724">
        <v>0</v>
      </c>
      <c r="DL23" s="1724">
        <v>0</v>
      </c>
      <c r="DM23" s="1724">
        <v>0</v>
      </c>
      <c r="DN23" s="1724">
        <v>0</v>
      </c>
      <c r="DO23" s="1724">
        <v>0</v>
      </c>
      <c r="DP23" s="1724">
        <v>0</v>
      </c>
      <c r="DQ23" s="1728"/>
      <c r="DR23" s="1727"/>
      <c r="DS23" s="1728"/>
      <c r="DT23" s="1726"/>
      <c r="DU23" s="1728"/>
      <c r="DV23" s="1726"/>
    </row>
    <row r="24" spans="1:126" ht="247.5" x14ac:dyDescent="0.25">
      <c r="A24" s="1662" t="s">
        <v>2051</v>
      </c>
      <c r="B24" s="1662" t="s">
        <v>1706</v>
      </c>
      <c r="C24" s="1662" t="s">
        <v>2826</v>
      </c>
      <c r="D24" s="1662" t="s">
        <v>2827</v>
      </c>
      <c r="E24" s="1662" t="s">
        <v>2828</v>
      </c>
      <c r="F24" s="1662" t="s">
        <v>2829</v>
      </c>
      <c r="G24" s="1662" t="s">
        <v>2654</v>
      </c>
      <c r="H24" s="1662" t="s">
        <v>2628</v>
      </c>
      <c r="I24" s="1662" t="s">
        <v>2613</v>
      </c>
      <c r="J24" s="1662" t="s">
        <v>2830</v>
      </c>
      <c r="K24" s="1664">
        <v>43245</v>
      </c>
      <c r="L24" s="1664">
        <v>43340</v>
      </c>
      <c r="M24" s="1662" t="s">
        <v>2831</v>
      </c>
      <c r="N24" s="1662" t="s">
        <v>2109</v>
      </c>
      <c r="O24" s="1662" t="s">
        <v>2832</v>
      </c>
      <c r="P24" s="1662" t="s">
        <v>2833</v>
      </c>
      <c r="Q24" s="1662" t="s">
        <v>1761</v>
      </c>
      <c r="R24" s="1662" t="s">
        <v>2833</v>
      </c>
      <c r="S24" s="1662" t="s">
        <v>2833</v>
      </c>
      <c r="T24" s="1662"/>
      <c r="U24" s="1662" t="s">
        <v>2834</v>
      </c>
      <c r="V24" s="1662" t="s">
        <v>2833</v>
      </c>
      <c r="W24" s="1662" t="s">
        <v>2833</v>
      </c>
      <c r="X24" s="1662"/>
      <c r="Y24" s="1662" t="s">
        <v>2833</v>
      </c>
      <c r="Z24" s="1662"/>
      <c r="AA24" s="1662"/>
      <c r="AB24" s="1662" t="s">
        <v>2833</v>
      </c>
      <c r="AC24" s="1662" t="s">
        <v>2833</v>
      </c>
      <c r="AD24" s="1662" t="s">
        <v>2833</v>
      </c>
      <c r="AE24" s="1662"/>
      <c r="AF24" s="1662" t="s">
        <v>2835</v>
      </c>
      <c r="AG24" s="1662" t="s">
        <v>2836</v>
      </c>
      <c r="AH24" s="1662" t="s">
        <v>2837</v>
      </c>
      <c r="AI24" s="1662" t="s">
        <v>2838</v>
      </c>
      <c r="AJ24" s="1662" t="s">
        <v>2839</v>
      </c>
      <c r="AK24" s="1662" t="s">
        <v>2840</v>
      </c>
      <c r="AL24" s="1662" t="s">
        <v>2841</v>
      </c>
      <c r="AM24" s="1665">
        <v>100</v>
      </c>
      <c r="AN24" s="1662"/>
      <c r="AO24" s="1662"/>
      <c r="AP24" s="1662"/>
      <c r="AQ24" s="1662"/>
      <c r="AR24" s="1662"/>
      <c r="AS24" s="1662"/>
      <c r="AT24" s="1662" t="s">
        <v>2842</v>
      </c>
      <c r="AU24" s="1662" t="s">
        <v>2842</v>
      </c>
      <c r="AV24" s="1662" t="s">
        <v>2843</v>
      </c>
      <c r="AW24" s="1662"/>
      <c r="AX24" s="1662" t="s">
        <v>2844</v>
      </c>
      <c r="AY24" s="1662" t="s">
        <v>2845</v>
      </c>
      <c r="AZ24" s="1662" t="s">
        <v>2846</v>
      </c>
      <c r="BA24" s="1662" t="s">
        <v>2847</v>
      </c>
      <c r="BB24" s="1662" t="s">
        <v>2833</v>
      </c>
      <c r="BC24" s="1662" t="s">
        <v>2848</v>
      </c>
      <c r="BD24" s="1662" t="s">
        <v>2849</v>
      </c>
      <c r="BE24" s="1662" t="s">
        <v>2850</v>
      </c>
      <c r="BF24" s="1662" t="s">
        <v>2851</v>
      </c>
      <c r="BG24" s="1662" t="s">
        <v>2852</v>
      </c>
      <c r="BH24" s="1662" t="s">
        <v>2050</v>
      </c>
      <c r="BI24" s="1662" t="s">
        <v>2853</v>
      </c>
      <c r="BJ24" s="1662" t="s">
        <v>2854</v>
      </c>
      <c r="BK24" s="1662" t="s">
        <v>2842</v>
      </c>
      <c r="BL24" s="1662" t="s">
        <v>2833</v>
      </c>
      <c r="BM24" s="1662" t="s">
        <v>2833</v>
      </c>
      <c r="BN24" s="1665">
        <v>0</v>
      </c>
      <c r="BO24" s="1664">
        <v>42695</v>
      </c>
      <c r="BP24" s="1664">
        <v>44439</v>
      </c>
      <c r="BQ24" s="1662" t="s">
        <v>2855</v>
      </c>
      <c r="BR24" s="1664">
        <v>46752</v>
      </c>
      <c r="BS24" s="1662" t="s">
        <v>2856</v>
      </c>
      <c r="BT24" s="1662" t="s">
        <v>2857</v>
      </c>
      <c r="BU24" s="1665">
        <v>30</v>
      </c>
      <c r="BV24" s="1665">
        <v>1800000</v>
      </c>
      <c r="BW24" s="1664">
        <v>44469</v>
      </c>
      <c r="BX24" s="1668"/>
      <c r="BY24" s="1662" t="s">
        <v>2096</v>
      </c>
      <c r="BZ24" s="1662" t="s">
        <v>2858</v>
      </c>
      <c r="CA24" s="1662" t="s">
        <v>2859</v>
      </c>
      <c r="CB24" s="1662" t="s">
        <v>2859</v>
      </c>
      <c r="CC24" s="1662" t="s">
        <v>2860</v>
      </c>
      <c r="CD24" s="1724">
        <v>7126609.5999999996</v>
      </c>
      <c r="CE24" s="1724">
        <v>6000000</v>
      </c>
      <c r="CF24" s="1724">
        <v>6000000</v>
      </c>
      <c r="CG24" s="1724">
        <v>100</v>
      </c>
      <c r="CH24" s="1724">
        <v>0</v>
      </c>
      <c r="CI24" s="1724">
        <v>0</v>
      </c>
      <c r="CJ24" s="1724">
        <v>6000000</v>
      </c>
      <c r="CK24" s="1724">
        <v>100</v>
      </c>
      <c r="CL24" s="1725" t="s">
        <v>2861</v>
      </c>
      <c r="CM24" s="1729">
        <v>43301</v>
      </c>
      <c r="CN24" s="1727"/>
      <c r="CO24" s="1728"/>
      <c r="CP24" s="1726"/>
      <c r="CQ24" s="1724">
        <v>6000000</v>
      </c>
      <c r="CR24" s="1724">
        <v>6000000</v>
      </c>
      <c r="CS24" s="1724">
        <v>0</v>
      </c>
      <c r="CT24" s="1728" t="s">
        <v>2861</v>
      </c>
      <c r="CU24" s="1729">
        <v>43312</v>
      </c>
      <c r="CV24" s="1724">
        <v>6000000</v>
      </c>
      <c r="CW24" s="1724">
        <v>0</v>
      </c>
      <c r="CX24" s="1724">
        <v>0</v>
      </c>
      <c r="CY24" s="1724">
        <v>145712.13</v>
      </c>
      <c r="CZ24" s="1724">
        <v>5215687.5</v>
      </c>
      <c r="DA24" s="1724">
        <v>603100</v>
      </c>
      <c r="DB24" s="1724">
        <v>308</v>
      </c>
      <c r="DC24" s="1724">
        <v>35192.370000000003</v>
      </c>
      <c r="DD24" s="1724">
        <v>6000000</v>
      </c>
      <c r="DE24" s="1724">
        <v>6000000</v>
      </c>
      <c r="DF24" s="1724">
        <v>6000000</v>
      </c>
      <c r="DG24" s="1724">
        <v>0</v>
      </c>
      <c r="DH24" s="1724">
        <v>0</v>
      </c>
      <c r="DI24" s="1724">
        <v>0</v>
      </c>
      <c r="DJ24" s="1724">
        <v>0</v>
      </c>
      <c r="DK24" s="1724">
        <v>0</v>
      </c>
      <c r="DL24" s="1724">
        <v>0</v>
      </c>
      <c r="DM24" s="1724">
        <v>0</v>
      </c>
      <c r="DN24" s="1724">
        <v>0</v>
      </c>
      <c r="DO24" s="1724">
        <v>0</v>
      </c>
      <c r="DP24" s="1724">
        <v>0</v>
      </c>
      <c r="DQ24" s="1728" t="s">
        <v>2862</v>
      </c>
      <c r="DR24" s="1724">
        <v>1126609.6000000001</v>
      </c>
      <c r="DS24" s="1728" t="s">
        <v>2861</v>
      </c>
      <c r="DT24" s="1726" t="s">
        <v>2863</v>
      </c>
      <c r="DU24" s="1728" t="s">
        <v>2861</v>
      </c>
      <c r="DV24" s="1729">
        <v>43704</v>
      </c>
    </row>
    <row r="25" spans="1:126" x14ac:dyDescent="0.25">
      <c r="A25" s="1662" t="s">
        <v>2121</v>
      </c>
      <c r="B25" s="1662" t="s">
        <v>1715</v>
      </c>
      <c r="C25" s="1662"/>
      <c r="D25" s="1662"/>
      <c r="E25" s="1662"/>
      <c r="F25" s="1662"/>
      <c r="G25" s="1662"/>
      <c r="H25" s="1662"/>
      <c r="I25" s="1662"/>
      <c r="J25" s="1662"/>
      <c r="K25" s="1668"/>
      <c r="L25" s="1668"/>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1662"/>
      <c r="AI25" s="1662"/>
      <c r="AJ25" s="1662"/>
      <c r="AK25" s="1662"/>
      <c r="AL25" s="1662"/>
      <c r="AM25" s="1663"/>
      <c r="AN25" s="1662"/>
      <c r="AO25" s="1662"/>
      <c r="AP25" s="1662"/>
      <c r="AQ25" s="1662"/>
      <c r="AR25" s="1662"/>
      <c r="AS25" s="1662"/>
      <c r="AT25" s="1662"/>
      <c r="AU25" s="1662"/>
      <c r="AV25" s="1662"/>
      <c r="AW25" s="1662"/>
      <c r="AX25" s="1662"/>
      <c r="AY25" s="1662"/>
      <c r="AZ25" s="1662"/>
      <c r="BA25" s="1662"/>
      <c r="BB25" s="1662"/>
      <c r="BC25" s="1662"/>
      <c r="BD25" s="1662"/>
      <c r="BE25" s="1662"/>
      <c r="BF25" s="1662"/>
      <c r="BG25" s="1662"/>
      <c r="BH25" s="1662"/>
      <c r="BI25" s="1662"/>
      <c r="BJ25" s="1662"/>
      <c r="BK25" s="1662"/>
      <c r="BL25" s="1662"/>
      <c r="BM25" s="1662"/>
      <c r="BN25" s="1663"/>
      <c r="BO25" s="1668"/>
      <c r="BP25" s="1668"/>
      <c r="BQ25" s="1662"/>
      <c r="BR25" s="1668"/>
      <c r="BS25" s="1662"/>
      <c r="BT25" s="1662"/>
      <c r="BU25" s="1663"/>
      <c r="BV25" s="1665">
        <v>0</v>
      </c>
      <c r="BW25" s="1668"/>
      <c r="BX25" s="1668"/>
      <c r="BY25" s="1662"/>
      <c r="BZ25" s="1662"/>
      <c r="CA25" s="1662"/>
      <c r="CB25" s="1662"/>
      <c r="CC25" s="1662"/>
      <c r="CD25" s="1724">
        <v>536737.89</v>
      </c>
      <c r="CE25" s="1724">
        <v>421638.05</v>
      </c>
      <c r="CF25" s="1724">
        <v>352037.69</v>
      </c>
      <c r="CG25" s="1724">
        <v>83.49</v>
      </c>
      <c r="CH25" s="1724">
        <v>69600.36</v>
      </c>
      <c r="CI25" s="1724">
        <v>16.510000000000002</v>
      </c>
      <c r="CJ25" s="1724">
        <v>421638.05</v>
      </c>
      <c r="CK25" s="1724">
        <v>100</v>
      </c>
      <c r="CL25" s="1725"/>
      <c r="CM25" s="1726"/>
      <c r="CN25" s="1727"/>
      <c r="CO25" s="1728"/>
      <c r="CP25" s="1726"/>
      <c r="CQ25" s="1724">
        <v>352037.69</v>
      </c>
      <c r="CR25" s="1724">
        <v>352037.69</v>
      </c>
      <c r="CS25" s="1724">
        <v>0</v>
      </c>
      <c r="CT25" s="1728"/>
      <c r="CU25" s="1726"/>
      <c r="CV25" s="1724">
        <v>421638.05</v>
      </c>
      <c r="CW25" s="1724">
        <v>0</v>
      </c>
      <c r="CX25" s="1724">
        <v>0</v>
      </c>
      <c r="CY25" s="1724">
        <v>421638.05</v>
      </c>
      <c r="CZ25" s="1724">
        <v>0</v>
      </c>
      <c r="DA25" s="1724">
        <v>0</v>
      </c>
      <c r="DB25" s="1724">
        <v>0</v>
      </c>
      <c r="DC25" s="1724">
        <v>0</v>
      </c>
      <c r="DD25" s="1724">
        <v>421638.05</v>
      </c>
      <c r="DE25" s="1724">
        <v>352037.69</v>
      </c>
      <c r="DF25" s="1724">
        <v>352037.69</v>
      </c>
      <c r="DG25" s="1724">
        <v>0</v>
      </c>
      <c r="DH25" s="1724">
        <v>69600.36</v>
      </c>
      <c r="DI25" s="1724">
        <v>69600.36</v>
      </c>
      <c r="DJ25" s="1724">
        <v>0</v>
      </c>
      <c r="DK25" s="1724">
        <v>69600.36</v>
      </c>
      <c r="DL25" s="1724">
        <v>0</v>
      </c>
      <c r="DM25" s="1724">
        <v>0</v>
      </c>
      <c r="DN25" s="1724">
        <v>0</v>
      </c>
      <c r="DO25" s="1724">
        <v>0</v>
      </c>
      <c r="DP25" s="1724">
        <v>0</v>
      </c>
      <c r="DQ25" s="1728"/>
      <c r="DR25" s="1727"/>
      <c r="DS25" s="1728"/>
      <c r="DT25" s="1726"/>
      <c r="DU25" s="1728"/>
      <c r="DV25" s="1726"/>
    </row>
    <row r="26" spans="1:126" x14ac:dyDescent="0.25">
      <c r="A26" s="1662" t="s">
        <v>2123</v>
      </c>
      <c r="B26" s="1662" t="s">
        <v>1715</v>
      </c>
      <c r="C26" s="1662" t="s">
        <v>2609</v>
      </c>
      <c r="D26" s="1662"/>
      <c r="E26" s="1662"/>
      <c r="F26" s="1662"/>
      <c r="G26" s="1662"/>
      <c r="H26" s="1662"/>
      <c r="I26" s="1662"/>
      <c r="J26" s="1662"/>
      <c r="K26" s="1668"/>
      <c r="L26" s="1668"/>
      <c r="M26" s="1662"/>
      <c r="N26" s="1662"/>
      <c r="O26" s="1662"/>
      <c r="P26" s="1662"/>
      <c r="Q26" s="1662"/>
      <c r="R26" s="1662"/>
      <c r="S26" s="1662"/>
      <c r="T26" s="1662"/>
      <c r="U26" s="1662"/>
      <c r="V26" s="1662"/>
      <c r="W26" s="1662"/>
      <c r="X26" s="1662"/>
      <c r="Y26" s="1662"/>
      <c r="Z26" s="1662"/>
      <c r="AA26" s="1662"/>
      <c r="AB26" s="1662"/>
      <c r="AC26" s="1662"/>
      <c r="AD26" s="1662"/>
      <c r="AE26" s="1662"/>
      <c r="AF26" s="1662"/>
      <c r="AG26" s="1662"/>
      <c r="AH26" s="1662"/>
      <c r="AI26" s="1662"/>
      <c r="AJ26" s="1662"/>
      <c r="AK26" s="1662"/>
      <c r="AL26" s="1662"/>
      <c r="AM26" s="1663"/>
      <c r="AN26" s="1662"/>
      <c r="AO26" s="1662"/>
      <c r="AP26" s="1662"/>
      <c r="AQ26" s="1662"/>
      <c r="AR26" s="1662"/>
      <c r="AS26" s="1662"/>
      <c r="AT26" s="1662"/>
      <c r="AU26" s="1662"/>
      <c r="AV26" s="1662"/>
      <c r="AW26" s="1662"/>
      <c r="AX26" s="1662"/>
      <c r="AY26" s="1662"/>
      <c r="AZ26" s="1662"/>
      <c r="BA26" s="1662"/>
      <c r="BB26" s="1662"/>
      <c r="BC26" s="1662"/>
      <c r="BD26" s="1662"/>
      <c r="BE26" s="1662"/>
      <c r="BF26" s="1662"/>
      <c r="BG26" s="1662"/>
      <c r="BH26" s="1662"/>
      <c r="BI26" s="1662"/>
      <c r="BJ26" s="1662"/>
      <c r="BK26" s="1662"/>
      <c r="BL26" s="1662"/>
      <c r="BM26" s="1662"/>
      <c r="BN26" s="1663"/>
      <c r="BO26" s="1668"/>
      <c r="BP26" s="1668"/>
      <c r="BQ26" s="1662"/>
      <c r="BR26" s="1668"/>
      <c r="BS26" s="1662"/>
      <c r="BT26" s="1662"/>
      <c r="BU26" s="1663"/>
      <c r="BV26" s="1665">
        <v>0</v>
      </c>
      <c r="BW26" s="1668"/>
      <c r="BX26" s="1668"/>
      <c r="BY26" s="1662"/>
      <c r="BZ26" s="1662"/>
      <c r="CA26" s="1662"/>
      <c r="CB26" s="1662"/>
      <c r="CC26" s="1662"/>
      <c r="CD26" s="1724">
        <v>536737.89</v>
      </c>
      <c r="CE26" s="1724">
        <v>421638.05</v>
      </c>
      <c r="CF26" s="1724">
        <v>352037.69</v>
      </c>
      <c r="CG26" s="1724">
        <v>83.49</v>
      </c>
      <c r="CH26" s="1724">
        <v>69600.36</v>
      </c>
      <c r="CI26" s="1724">
        <v>16.510000000000002</v>
      </c>
      <c r="CJ26" s="1724">
        <v>421638.05</v>
      </c>
      <c r="CK26" s="1724">
        <v>100</v>
      </c>
      <c r="CL26" s="1725"/>
      <c r="CM26" s="1726"/>
      <c r="CN26" s="1727"/>
      <c r="CO26" s="1728"/>
      <c r="CP26" s="1726"/>
      <c r="CQ26" s="1724">
        <v>352037.69</v>
      </c>
      <c r="CR26" s="1724">
        <v>352037.69</v>
      </c>
      <c r="CS26" s="1724">
        <v>0</v>
      </c>
      <c r="CT26" s="1728"/>
      <c r="CU26" s="1726"/>
      <c r="CV26" s="1724">
        <v>421638.05</v>
      </c>
      <c r="CW26" s="1724">
        <v>0</v>
      </c>
      <c r="CX26" s="1724">
        <v>0</v>
      </c>
      <c r="CY26" s="1724">
        <v>421638.05</v>
      </c>
      <c r="CZ26" s="1724">
        <v>0</v>
      </c>
      <c r="DA26" s="1724">
        <v>0</v>
      </c>
      <c r="DB26" s="1724">
        <v>0</v>
      </c>
      <c r="DC26" s="1724">
        <v>0</v>
      </c>
      <c r="DD26" s="1724">
        <v>421638.05</v>
      </c>
      <c r="DE26" s="1724">
        <v>352037.69</v>
      </c>
      <c r="DF26" s="1724">
        <v>352037.69</v>
      </c>
      <c r="DG26" s="1724">
        <v>0</v>
      </c>
      <c r="DH26" s="1724">
        <v>69600.36</v>
      </c>
      <c r="DI26" s="1724">
        <v>69600.36</v>
      </c>
      <c r="DJ26" s="1724">
        <v>0</v>
      </c>
      <c r="DK26" s="1724">
        <v>69600.36</v>
      </c>
      <c r="DL26" s="1724">
        <v>0</v>
      </c>
      <c r="DM26" s="1724">
        <v>0</v>
      </c>
      <c r="DN26" s="1724">
        <v>0</v>
      </c>
      <c r="DO26" s="1724">
        <v>0</v>
      </c>
      <c r="DP26" s="1724">
        <v>0</v>
      </c>
      <c r="DQ26" s="1728"/>
      <c r="DR26" s="1727"/>
      <c r="DS26" s="1728"/>
      <c r="DT26" s="1726"/>
      <c r="DU26" s="1728"/>
      <c r="DV26" s="1726"/>
    </row>
    <row r="27" spans="1:126" ht="22.5" x14ac:dyDescent="0.25">
      <c r="A27" s="1662" t="s">
        <v>2124</v>
      </c>
      <c r="B27" s="1662" t="s">
        <v>1715</v>
      </c>
      <c r="C27" s="1662" t="s">
        <v>2609</v>
      </c>
      <c r="D27" s="1662" t="s">
        <v>2610</v>
      </c>
      <c r="E27" s="1662"/>
      <c r="F27" s="1662"/>
      <c r="G27" s="1662"/>
      <c r="H27" s="1662"/>
      <c r="I27" s="1662"/>
      <c r="J27" s="1662"/>
      <c r="K27" s="1668"/>
      <c r="L27" s="1668"/>
      <c r="M27" s="1662"/>
      <c r="N27" s="1662"/>
      <c r="O27" s="1662"/>
      <c r="P27" s="1662"/>
      <c r="Q27" s="1662"/>
      <c r="R27" s="1662"/>
      <c r="S27" s="1662"/>
      <c r="T27" s="1662"/>
      <c r="U27" s="1662"/>
      <c r="V27" s="1662"/>
      <c r="W27" s="1662"/>
      <c r="X27" s="1662"/>
      <c r="Y27" s="1662"/>
      <c r="Z27" s="1662"/>
      <c r="AA27" s="1662"/>
      <c r="AB27" s="1662"/>
      <c r="AC27" s="1662"/>
      <c r="AD27" s="1662"/>
      <c r="AE27" s="1662"/>
      <c r="AF27" s="1662"/>
      <c r="AG27" s="1662"/>
      <c r="AH27" s="1662"/>
      <c r="AI27" s="1662"/>
      <c r="AJ27" s="1662"/>
      <c r="AK27" s="1662"/>
      <c r="AL27" s="1662"/>
      <c r="AM27" s="1663"/>
      <c r="AN27" s="1662"/>
      <c r="AO27" s="1662"/>
      <c r="AP27" s="1662"/>
      <c r="AQ27" s="1662"/>
      <c r="AR27" s="1662"/>
      <c r="AS27" s="1662"/>
      <c r="AT27" s="1662"/>
      <c r="AU27" s="1662"/>
      <c r="AV27" s="1662"/>
      <c r="AW27" s="1662"/>
      <c r="AX27" s="1662"/>
      <c r="AY27" s="1662"/>
      <c r="AZ27" s="1662"/>
      <c r="BA27" s="1662"/>
      <c r="BB27" s="1662"/>
      <c r="BC27" s="1662"/>
      <c r="BD27" s="1662"/>
      <c r="BE27" s="1662"/>
      <c r="BF27" s="1662"/>
      <c r="BG27" s="1662"/>
      <c r="BH27" s="1662"/>
      <c r="BI27" s="1662"/>
      <c r="BJ27" s="1662"/>
      <c r="BK27" s="1662"/>
      <c r="BL27" s="1662"/>
      <c r="BM27" s="1662"/>
      <c r="BN27" s="1663"/>
      <c r="BO27" s="1668"/>
      <c r="BP27" s="1668"/>
      <c r="BQ27" s="1662"/>
      <c r="BR27" s="1668"/>
      <c r="BS27" s="1662"/>
      <c r="BT27" s="1662"/>
      <c r="BU27" s="1663"/>
      <c r="BV27" s="1665">
        <v>0</v>
      </c>
      <c r="BW27" s="1668"/>
      <c r="BX27" s="1668"/>
      <c r="BY27" s="1662"/>
      <c r="BZ27" s="1662"/>
      <c r="CA27" s="1662"/>
      <c r="CB27" s="1662"/>
      <c r="CC27" s="1662"/>
      <c r="CD27" s="1724">
        <v>536737.89</v>
      </c>
      <c r="CE27" s="1724">
        <v>421638.05</v>
      </c>
      <c r="CF27" s="1724">
        <v>352037.69</v>
      </c>
      <c r="CG27" s="1724">
        <v>83.49</v>
      </c>
      <c r="CH27" s="1724">
        <v>69600.36</v>
      </c>
      <c r="CI27" s="1724">
        <v>16.510000000000002</v>
      </c>
      <c r="CJ27" s="1724">
        <v>421638.05</v>
      </c>
      <c r="CK27" s="1724">
        <v>100</v>
      </c>
      <c r="CL27" s="1725"/>
      <c r="CM27" s="1726"/>
      <c r="CN27" s="1727"/>
      <c r="CO27" s="1728"/>
      <c r="CP27" s="1726"/>
      <c r="CQ27" s="1724">
        <v>352037.69</v>
      </c>
      <c r="CR27" s="1724">
        <v>352037.69</v>
      </c>
      <c r="CS27" s="1724">
        <v>0</v>
      </c>
      <c r="CT27" s="1728"/>
      <c r="CU27" s="1726"/>
      <c r="CV27" s="1724">
        <v>421638.05</v>
      </c>
      <c r="CW27" s="1724">
        <v>0</v>
      </c>
      <c r="CX27" s="1724">
        <v>0</v>
      </c>
      <c r="CY27" s="1724">
        <v>421638.05</v>
      </c>
      <c r="CZ27" s="1724">
        <v>0</v>
      </c>
      <c r="DA27" s="1724">
        <v>0</v>
      </c>
      <c r="DB27" s="1724">
        <v>0</v>
      </c>
      <c r="DC27" s="1724">
        <v>0</v>
      </c>
      <c r="DD27" s="1724">
        <v>421638.05</v>
      </c>
      <c r="DE27" s="1724">
        <v>352037.69</v>
      </c>
      <c r="DF27" s="1724">
        <v>352037.69</v>
      </c>
      <c r="DG27" s="1724">
        <v>0</v>
      </c>
      <c r="DH27" s="1724">
        <v>69600.36</v>
      </c>
      <c r="DI27" s="1724">
        <v>69600.36</v>
      </c>
      <c r="DJ27" s="1724">
        <v>0</v>
      </c>
      <c r="DK27" s="1724">
        <v>69600.36</v>
      </c>
      <c r="DL27" s="1724">
        <v>0</v>
      </c>
      <c r="DM27" s="1724">
        <v>0</v>
      </c>
      <c r="DN27" s="1724">
        <v>0</v>
      </c>
      <c r="DO27" s="1724">
        <v>0</v>
      </c>
      <c r="DP27" s="1724">
        <v>0</v>
      </c>
      <c r="DQ27" s="1728"/>
      <c r="DR27" s="1727"/>
      <c r="DS27" s="1728"/>
      <c r="DT27" s="1726"/>
      <c r="DU27" s="1728"/>
      <c r="DV27" s="1726"/>
    </row>
    <row r="28" spans="1:126" ht="22.5" x14ac:dyDescent="0.25">
      <c r="A28" s="1662" t="s">
        <v>2052</v>
      </c>
      <c r="B28" s="1662" t="s">
        <v>1715</v>
      </c>
      <c r="C28" s="1662" t="s">
        <v>2609</v>
      </c>
      <c r="D28" s="1662" t="s">
        <v>2610</v>
      </c>
      <c r="E28" s="1662" t="s">
        <v>148</v>
      </c>
      <c r="F28" s="1662" t="s">
        <v>259</v>
      </c>
      <c r="G28" s="1662"/>
      <c r="H28" s="1662"/>
      <c r="I28" s="1662"/>
      <c r="J28" s="1662"/>
      <c r="K28" s="1668"/>
      <c r="L28" s="1668"/>
      <c r="M28" s="1662"/>
      <c r="N28" s="1662"/>
      <c r="O28" s="1662"/>
      <c r="P28" s="1662"/>
      <c r="Q28" s="1662"/>
      <c r="R28" s="1662"/>
      <c r="S28" s="1662"/>
      <c r="T28" s="1662"/>
      <c r="U28" s="1662"/>
      <c r="V28" s="1662"/>
      <c r="W28" s="1662"/>
      <c r="X28" s="1662"/>
      <c r="Y28" s="1662"/>
      <c r="Z28" s="1662"/>
      <c r="AA28" s="1662"/>
      <c r="AB28" s="1662"/>
      <c r="AC28" s="1662"/>
      <c r="AD28" s="1662"/>
      <c r="AE28" s="1662"/>
      <c r="AF28" s="1662"/>
      <c r="AG28" s="1662"/>
      <c r="AH28" s="1662"/>
      <c r="AI28" s="1662"/>
      <c r="AJ28" s="1662"/>
      <c r="AK28" s="1662"/>
      <c r="AL28" s="1662"/>
      <c r="AM28" s="1663"/>
      <c r="AN28" s="1662"/>
      <c r="AO28" s="1662"/>
      <c r="AP28" s="1662"/>
      <c r="AQ28" s="1662"/>
      <c r="AR28" s="1662"/>
      <c r="AS28" s="1662"/>
      <c r="AT28" s="1662"/>
      <c r="AU28" s="1662"/>
      <c r="AV28" s="1662"/>
      <c r="AW28" s="1662"/>
      <c r="AX28" s="1662"/>
      <c r="AY28" s="1662"/>
      <c r="AZ28" s="1662"/>
      <c r="BA28" s="1662"/>
      <c r="BB28" s="1662"/>
      <c r="BC28" s="1662"/>
      <c r="BD28" s="1662"/>
      <c r="BE28" s="1662"/>
      <c r="BF28" s="1662"/>
      <c r="BG28" s="1662"/>
      <c r="BH28" s="1662"/>
      <c r="BI28" s="1662"/>
      <c r="BJ28" s="1662"/>
      <c r="BK28" s="1662"/>
      <c r="BL28" s="1662"/>
      <c r="BM28" s="1662"/>
      <c r="BN28" s="1663"/>
      <c r="BO28" s="1668"/>
      <c r="BP28" s="1668"/>
      <c r="BQ28" s="1662"/>
      <c r="BR28" s="1668"/>
      <c r="BS28" s="1662"/>
      <c r="BT28" s="1662"/>
      <c r="BU28" s="1663"/>
      <c r="BV28" s="1665">
        <v>0</v>
      </c>
      <c r="BW28" s="1668"/>
      <c r="BX28" s="1668"/>
      <c r="BY28" s="1662"/>
      <c r="BZ28" s="1662"/>
      <c r="CA28" s="1662"/>
      <c r="CB28" s="1662"/>
      <c r="CC28" s="1662"/>
      <c r="CD28" s="1724">
        <v>536737.89</v>
      </c>
      <c r="CE28" s="1724">
        <v>421638.05</v>
      </c>
      <c r="CF28" s="1724">
        <v>352037.69</v>
      </c>
      <c r="CG28" s="1724">
        <v>83.49</v>
      </c>
      <c r="CH28" s="1724">
        <v>69600.36</v>
      </c>
      <c r="CI28" s="1724">
        <v>16.510000000000002</v>
      </c>
      <c r="CJ28" s="1724">
        <v>421638.05</v>
      </c>
      <c r="CK28" s="1724">
        <v>100</v>
      </c>
      <c r="CL28" s="1725"/>
      <c r="CM28" s="1726"/>
      <c r="CN28" s="1727"/>
      <c r="CO28" s="1728"/>
      <c r="CP28" s="1726"/>
      <c r="CQ28" s="1724">
        <v>352037.69</v>
      </c>
      <c r="CR28" s="1724">
        <v>352037.69</v>
      </c>
      <c r="CS28" s="1724">
        <v>0</v>
      </c>
      <c r="CT28" s="1728"/>
      <c r="CU28" s="1726"/>
      <c r="CV28" s="1724">
        <v>421638.05</v>
      </c>
      <c r="CW28" s="1724">
        <v>0</v>
      </c>
      <c r="CX28" s="1724">
        <v>0</v>
      </c>
      <c r="CY28" s="1724">
        <v>421638.05</v>
      </c>
      <c r="CZ28" s="1724">
        <v>0</v>
      </c>
      <c r="DA28" s="1724">
        <v>0</v>
      </c>
      <c r="DB28" s="1724">
        <v>0</v>
      </c>
      <c r="DC28" s="1724">
        <v>0</v>
      </c>
      <c r="DD28" s="1724">
        <v>421638.05</v>
      </c>
      <c r="DE28" s="1724">
        <v>352037.69</v>
      </c>
      <c r="DF28" s="1724">
        <v>352037.69</v>
      </c>
      <c r="DG28" s="1724">
        <v>0</v>
      </c>
      <c r="DH28" s="1724">
        <v>69600.36</v>
      </c>
      <c r="DI28" s="1724">
        <v>69600.36</v>
      </c>
      <c r="DJ28" s="1724">
        <v>0</v>
      </c>
      <c r="DK28" s="1724">
        <v>69600.36</v>
      </c>
      <c r="DL28" s="1724">
        <v>0</v>
      </c>
      <c r="DM28" s="1724">
        <v>0</v>
      </c>
      <c r="DN28" s="1724">
        <v>0</v>
      </c>
      <c r="DO28" s="1724">
        <v>0</v>
      </c>
      <c r="DP28" s="1724">
        <v>0</v>
      </c>
      <c r="DQ28" s="1728"/>
      <c r="DR28" s="1727"/>
      <c r="DS28" s="1728"/>
      <c r="DT28" s="1726"/>
      <c r="DU28" s="1728"/>
      <c r="DV28" s="1726"/>
    </row>
    <row r="29" spans="1:126" ht="90" x14ac:dyDescent="0.25">
      <c r="A29" s="1662" t="s">
        <v>1731</v>
      </c>
      <c r="B29" s="1662" t="s">
        <v>1715</v>
      </c>
      <c r="C29" s="1662" t="s">
        <v>2609</v>
      </c>
      <c r="D29" s="1662" t="s">
        <v>2610</v>
      </c>
      <c r="E29" s="1662" t="s">
        <v>148</v>
      </c>
      <c r="F29" s="1662" t="s">
        <v>259</v>
      </c>
      <c r="G29" s="1662" t="s">
        <v>2611</v>
      </c>
      <c r="H29" s="1662" t="s">
        <v>2612</v>
      </c>
      <c r="I29" s="1662" t="s">
        <v>2613</v>
      </c>
      <c r="J29" s="1662" t="s">
        <v>729</v>
      </c>
      <c r="K29" s="1664">
        <v>42914</v>
      </c>
      <c r="L29" s="1664">
        <v>42991</v>
      </c>
      <c r="M29" s="1662" t="s">
        <v>643</v>
      </c>
      <c r="N29" s="1662" t="s">
        <v>2109</v>
      </c>
      <c r="O29" s="1662" t="s">
        <v>2864</v>
      </c>
      <c r="P29" s="1662" t="s">
        <v>2833</v>
      </c>
      <c r="Q29" s="1662" t="s">
        <v>1732</v>
      </c>
      <c r="R29" s="1662" t="s">
        <v>2833</v>
      </c>
      <c r="S29" s="1662" t="s">
        <v>2833</v>
      </c>
      <c r="T29" s="1662"/>
      <c r="U29" s="1662" t="s">
        <v>2834</v>
      </c>
      <c r="V29" s="1662" t="s">
        <v>2861</v>
      </c>
      <c r="W29" s="1662" t="s">
        <v>2833</v>
      </c>
      <c r="X29" s="1662"/>
      <c r="Y29" s="1662" t="s">
        <v>2833</v>
      </c>
      <c r="Z29" s="1662"/>
      <c r="AA29" s="1662"/>
      <c r="AB29" s="1662" t="s">
        <v>2833</v>
      </c>
      <c r="AC29" s="1662" t="s">
        <v>2833</v>
      </c>
      <c r="AD29" s="1662" t="s">
        <v>2833</v>
      </c>
      <c r="AE29" s="1662"/>
      <c r="AF29" s="1662" t="s">
        <v>2865</v>
      </c>
      <c r="AG29" s="1662" t="s">
        <v>2866</v>
      </c>
      <c r="AH29" s="1662" t="s">
        <v>2867</v>
      </c>
      <c r="AI29" s="1662" t="s">
        <v>2838</v>
      </c>
      <c r="AJ29" s="1662" t="s">
        <v>2839</v>
      </c>
      <c r="AK29" s="1662" t="s">
        <v>2868</v>
      </c>
      <c r="AL29" s="1662" t="s">
        <v>2869</v>
      </c>
      <c r="AM29" s="1665">
        <v>100</v>
      </c>
      <c r="AN29" s="1662"/>
      <c r="AO29" s="1662"/>
      <c r="AP29" s="1662"/>
      <c r="AQ29" s="1662"/>
      <c r="AR29" s="1662"/>
      <c r="AS29" s="1662"/>
      <c r="AT29" s="1662" t="s">
        <v>2870</v>
      </c>
      <c r="AU29" s="1662" t="s">
        <v>2871</v>
      </c>
      <c r="AV29" s="1662" t="s">
        <v>2872</v>
      </c>
      <c r="AW29" s="1662"/>
      <c r="AX29" s="1662" t="s">
        <v>2873</v>
      </c>
      <c r="AY29" s="1662" t="s">
        <v>2874</v>
      </c>
      <c r="AZ29" s="1662" t="s">
        <v>350</v>
      </c>
      <c r="BA29" s="1662" t="s">
        <v>2875</v>
      </c>
      <c r="BB29" s="1662" t="s">
        <v>2833</v>
      </c>
      <c r="BC29" s="1662" t="s">
        <v>2876</v>
      </c>
      <c r="BD29" s="1662" t="s">
        <v>2849</v>
      </c>
      <c r="BE29" s="1662" t="s">
        <v>2877</v>
      </c>
      <c r="BF29" s="1662" t="s">
        <v>2878</v>
      </c>
      <c r="BG29" s="1662" t="s">
        <v>2879</v>
      </c>
      <c r="BH29" s="1662" t="s">
        <v>2880</v>
      </c>
      <c r="BI29" s="1662" t="s">
        <v>2881</v>
      </c>
      <c r="BJ29" s="1662" t="s">
        <v>2882</v>
      </c>
      <c r="BK29" s="1662" t="s">
        <v>2870</v>
      </c>
      <c r="BL29" s="1662" t="s">
        <v>2833</v>
      </c>
      <c r="BM29" s="1662" t="s">
        <v>2833</v>
      </c>
      <c r="BN29" s="1665">
        <v>0</v>
      </c>
      <c r="BO29" s="1664">
        <v>42905</v>
      </c>
      <c r="BP29" s="1664">
        <v>43343</v>
      </c>
      <c r="BQ29" s="1662" t="s">
        <v>2855</v>
      </c>
      <c r="BR29" s="1664">
        <v>45657</v>
      </c>
      <c r="BS29" s="1662" t="s">
        <v>2883</v>
      </c>
      <c r="BT29" s="1662" t="s">
        <v>2884</v>
      </c>
      <c r="BU29" s="1663"/>
      <c r="BV29" s="1665">
        <v>0</v>
      </c>
      <c r="BW29" s="1664">
        <v>43374</v>
      </c>
      <c r="BX29" s="1668"/>
      <c r="BY29" s="1662" t="s">
        <v>2096</v>
      </c>
      <c r="BZ29" s="1662" t="s">
        <v>2859</v>
      </c>
      <c r="CA29" s="1662" t="s">
        <v>2859</v>
      </c>
      <c r="CB29" s="1662" t="s">
        <v>2859</v>
      </c>
      <c r="CC29" s="1662" t="s">
        <v>2885</v>
      </c>
      <c r="CD29" s="1724">
        <v>163528.06</v>
      </c>
      <c r="CE29" s="1724">
        <v>133670.07</v>
      </c>
      <c r="CF29" s="1724">
        <v>113619.56</v>
      </c>
      <c r="CG29" s="1724">
        <v>85</v>
      </c>
      <c r="CH29" s="1724">
        <v>20050.509999999998</v>
      </c>
      <c r="CI29" s="1724">
        <v>15</v>
      </c>
      <c r="CJ29" s="1724">
        <v>133670.07</v>
      </c>
      <c r="CK29" s="1724">
        <v>100</v>
      </c>
      <c r="CL29" s="1725" t="s">
        <v>2861</v>
      </c>
      <c r="CM29" s="1729">
        <v>42965</v>
      </c>
      <c r="CN29" s="1727"/>
      <c r="CO29" s="1728"/>
      <c r="CP29" s="1726"/>
      <c r="CQ29" s="1724">
        <v>113619.56</v>
      </c>
      <c r="CR29" s="1724">
        <v>113619.56</v>
      </c>
      <c r="CS29" s="1724">
        <v>0</v>
      </c>
      <c r="CT29" s="1728" t="s">
        <v>2861</v>
      </c>
      <c r="CU29" s="1729">
        <v>42972</v>
      </c>
      <c r="CV29" s="1724">
        <v>133670.07</v>
      </c>
      <c r="CW29" s="1724">
        <v>0</v>
      </c>
      <c r="CX29" s="1724">
        <v>0</v>
      </c>
      <c r="CY29" s="1724">
        <v>133670.07</v>
      </c>
      <c r="CZ29" s="1724">
        <v>0</v>
      </c>
      <c r="DA29" s="1724">
        <v>0</v>
      </c>
      <c r="DB29" s="1724">
        <v>0</v>
      </c>
      <c r="DC29" s="1724">
        <v>0</v>
      </c>
      <c r="DD29" s="1724">
        <v>133670.07</v>
      </c>
      <c r="DE29" s="1724">
        <v>113619.56</v>
      </c>
      <c r="DF29" s="1724">
        <v>113619.56</v>
      </c>
      <c r="DG29" s="1724">
        <v>0</v>
      </c>
      <c r="DH29" s="1724">
        <v>20050.509999999998</v>
      </c>
      <c r="DI29" s="1724">
        <v>20050.509999999998</v>
      </c>
      <c r="DJ29" s="1724">
        <v>0</v>
      </c>
      <c r="DK29" s="1724">
        <v>20050.509999999998</v>
      </c>
      <c r="DL29" s="1724">
        <v>0</v>
      </c>
      <c r="DM29" s="1724">
        <v>0</v>
      </c>
      <c r="DN29" s="1724">
        <v>0</v>
      </c>
      <c r="DO29" s="1724">
        <v>0</v>
      </c>
      <c r="DP29" s="1724">
        <v>0</v>
      </c>
      <c r="DQ29" s="1728" t="s">
        <v>2886</v>
      </c>
      <c r="DR29" s="1724">
        <v>0</v>
      </c>
      <c r="DS29" s="1728" t="s">
        <v>2833</v>
      </c>
      <c r="DT29" s="1726"/>
      <c r="DU29" s="1728" t="s">
        <v>2833</v>
      </c>
      <c r="DV29" s="1726"/>
    </row>
    <row r="30" spans="1:126" ht="112.5" x14ac:dyDescent="0.25">
      <c r="A30" s="1662" t="s">
        <v>1732</v>
      </c>
      <c r="B30" s="1662" t="s">
        <v>1715</v>
      </c>
      <c r="C30" s="1662" t="s">
        <v>2609</v>
      </c>
      <c r="D30" s="1662" t="s">
        <v>2610</v>
      </c>
      <c r="E30" s="1662" t="s">
        <v>148</v>
      </c>
      <c r="F30" s="1662" t="s">
        <v>259</v>
      </c>
      <c r="G30" s="1662" t="s">
        <v>2611</v>
      </c>
      <c r="H30" s="1662" t="s">
        <v>2612</v>
      </c>
      <c r="I30" s="1662" t="s">
        <v>2613</v>
      </c>
      <c r="J30" s="1662" t="s">
        <v>1227</v>
      </c>
      <c r="K30" s="1664">
        <v>43007</v>
      </c>
      <c r="L30" s="1664">
        <v>43119</v>
      </c>
      <c r="M30" s="1662" t="s">
        <v>2125</v>
      </c>
      <c r="N30" s="1662" t="s">
        <v>2109</v>
      </c>
      <c r="O30" s="1662" t="s">
        <v>2887</v>
      </c>
      <c r="P30" s="1662" t="s">
        <v>2833</v>
      </c>
      <c r="Q30" s="1662" t="s">
        <v>1732</v>
      </c>
      <c r="R30" s="1662" t="s">
        <v>2833</v>
      </c>
      <c r="S30" s="1662" t="s">
        <v>2833</v>
      </c>
      <c r="T30" s="1662"/>
      <c r="U30" s="1662" t="s">
        <v>2834</v>
      </c>
      <c r="V30" s="1662" t="s">
        <v>2861</v>
      </c>
      <c r="W30" s="1662" t="s">
        <v>2833</v>
      </c>
      <c r="X30" s="1662"/>
      <c r="Y30" s="1662" t="s">
        <v>2833</v>
      </c>
      <c r="Z30" s="1662"/>
      <c r="AA30" s="1662"/>
      <c r="AB30" s="1662" t="s">
        <v>2833</v>
      </c>
      <c r="AC30" s="1662" t="s">
        <v>2833</v>
      </c>
      <c r="AD30" s="1662" t="s">
        <v>2833</v>
      </c>
      <c r="AE30" s="1662"/>
      <c r="AF30" s="1662" t="s">
        <v>2865</v>
      </c>
      <c r="AG30" s="1662" t="s">
        <v>2866</v>
      </c>
      <c r="AH30" s="1662" t="s">
        <v>2867</v>
      </c>
      <c r="AI30" s="1662" t="s">
        <v>2838</v>
      </c>
      <c r="AJ30" s="1662" t="s">
        <v>2839</v>
      </c>
      <c r="AK30" s="1662" t="s">
        <v>2868</v>
      </c>
      <c r="AL30" s="1662" t="s">
        <v>2869</v>
      </c>
      <c r="AM30" s="1665">
        <v>100</v>
      </c>
      <c r="AN30" s="1662"/>
      <c r="AO30" s="1662"/>
      <c r="AP30" s="1662"/>
      <c r="AQ30" s="1662"/>
      <c r="AR30" s="1662"/>
      <c r="AS30" s="1662"/>
      <c r="AT30" s="1662" t="s">
        <v>2842</v>
      </c>
      <c r="AU30" s="1662" t="s">
        <v>2871</v>
      </c>
      <c r="AV30" s="1662" t="s">
        <v>2872</v>
      </c>
      <c r="AW30" s="1662"/>
      <c r="AX30" s="1662" t="s">
        <v>2873</v>
      </c>
      <c r="AY30" s="1662" t="s">
        <v>2874</v>
      </c>
      <c r="AZ30" s="1662" t="s">
        <v>161</v>
      </c>
      <c r="BA30" s="1662" t="s">
        <v>2888</v>
      </c>
      <c r="BB30" s="1662" t="s">
        <v>2833</v>
      </c>
      <c r="BC30" s="1662" t="s">
        <v>2876</v>
      </c>
      <c r="BD30" s="1662" t="s">
        <v>2849</v>
      </c>
      <c r="BE30" s="1662" t="s">
        <v>2889</v>
      </c>
      <c r="BF30" s="1662" t="s">
        <v>2890</v>
      </c>
      <c r="BG30" s="1662" t="s">
        <v>2891</v>
      </c>
      <c r="BH30" s="1662" t="s">
        <v>2880</v>
      </c>
      <c r="BI30" s="1662" t="s">
        <v>2881</v>
      </c>
      <c r="BJ30" s="1662" t="s">
        <v>2892</v>
      </c>
      <c r="BK30" s="1662" t="s">
        <v>2842</v>
      </c>
      <c r="BL30" s="1662" t="s">
        <v>2833</v>
      </c>
      <c r="BM30" s="1662" t="s">
        <v>2833</v>
      </c>
      <c r="BN30" s="1665">
        <v>0</v>
      </c>
      <c r="BO30" s="1664">
        <v>42773</v>
      </c>
      <c r="BP30" s="1664">
        <v>43465</v>
      </c>
      <c r="BQ30" s="1662" t="s">
        <v>2855</v>
      </c>
      <c r="BR30" s="1664">
        <v>46022</v>
      </c>
      <c r="BS30" s="1662" t="s">
        <v>2893</v>
      </c>
      <c r="BT30" s="1662" t="s">
        <v>2894</v>
      </c>
      <c r="BU30" s="1663"/>
      <c r="BV30" s="1665">
        <v>0</v>
      </c>
      <c r="BW30" s="1664">
        <v>43496</v>
      </c>
      <c r="BX30" s="1668"/>
      <c r="BY30" s="1662" t="s">
        <v>2096</v>
      </c>
      <c r="BZ30" s="1662" t="s">
        <v>2859</v>
      </c>
      <c r="CA30" s="1662" t="s">
        <v>2859</v>
      </c>
      <c r="CB30" s="1662" t="s">
        <v>2859</v>
      </c>
      <c r="CC30" s="1662" t="s">
        <v>2885</v>
      </c>
      <c r="CD30" s="1724">
        <v>97868.08</v>
      </c>
      <c r="CE30" s="1724">
        <v>93938.42</v>
      </c>
      <c r="CF30" s="1724">
        <v>73501</v>
      </c>
      <c r="CG30" s="1724">
        <v>78.239999999999995</v>
      </c>
      <c r="CH30" s="1724">
        <v>20437.419999999998</v>
      </c>
      <c r="CI30" s="1724">
        <v>21.76</v>
      </c>
      <c r="CJ30" s="1724">
        <v>93938.42</v>
      </c>
      <c r="CK30" s="1724">
        <v>100</v>
      </c>
      <c r="CL30" s="1725" t="s">
        <v>2861</v>
      </c>
      <c r="CM30" s="1729">
        <v>43063</v>
      </c>
      <c r="CN30" s="1727"/>
      <c r="CO30" s="1728"/>
      <c r="CP30" s="1726"/>
      <c r="CQ30" s="1724">
        <v>73501</v>
      </c>
      <c r="CR30" s="1724">
        <v>73501</v>
      </c>
      <c r="CS30" s="1724">
        <v>0</v>
      </c>
      <c r="CT30" s="1728" t="s">
        <v>2861</v>
      </c>
      <c r="CU30" s="1729">
        <v>43081</v>
      </c>
      <c r="CV30" s="1724">
        <v>93938.42</v>
      </c>
      <c r="CW30" s="1724">
        <v>0</v>
      </c>
      <c r="CX30" s="1724">
        <v>0</v>
      </c>
      <c r="CY30" s="1724">
        <v>93938.42</v>
      </c>
      <c r="CZ30" s="1724">
        <v>0</v>
      </c>
      <c r="DA30" s="1724">
        <v>0</v>
      </c>
      <c r="DB30" s="1724">
        <v>0</v>
      </c>
      <c r="DC30" s="1724">
        <v>0</v>
      </c>
      <c r="DD30" s="1724">
        <v>93938.42</v>
      </c>
      <c r="DE30" s="1724">
        <v>73501</v>
      </c>
      <c r="DF30" s="1724">
        <v>73501</v>
      </c>
      <c r="DG30" s="1724">
        <v>0</v>
      </c>
      <c r="DH30" s="1724">
        <v>20437.419999999998</v>
      </c>
      <c r="DI30" s="1724">
        <v>20437.419999999998</v>
      </c>
      <c r="DJ30" s="1724">
        <v>0</v>
      </c>
      <c r="DK30" s="1724">
        <v>20437.419999999998</v>
      </c>
      <c r="DL30" s="1724">
        <v>0</v>
      </c>
      <c r="DM30" s="1724">
        <v>0</v>
      </c>
      <c r="DN30" s="1724">
        <v>0</v>
      </c>
      <c r="DO30" s="1724">
        <v>0</v>
      </c>
      <c r="DP30" s="1724">
        <v>0</v>
      </c>
      <c r="DQ30" s="1728" t="s">
        <v>2886</v>
      </c>
      <c r="DR30" s="1724">
        <v>0</v>
      </c>
      <c r="DS30" s="1728" t="s">
        <v>2833</v>
      </c>
      <c r="DT30" s="1726"/>
      <c r="DU30" s="1728" t="s">
        <v>2833</v>
      </c>
      <c r="DV30" s="1726"/>
    </row>
    <row r="31" spans="1:126" ht="123.75" x14ac:dyDescent="0.25">
      <c r="A31" s="1662" t="s">
        <v>1734</v>
      </c>
      <c r="B31" s="1662" t="s">
        <v>1715</v>
      </c>
      <c r="C31" s="1662" t="s">
        <v>2609</v>
      </c>
      <c r="D31" s="1662" t="s">
        <v>2610</v>
      </c>
      <c r="E31" s="1662" t="s">
        <v>148</v>
      </c>
      <c r="F31" s="1662" t="s">
        <v>259</v>
      </c>
      <c r="G31" s="1662" t="s">
        <v>2611</v>
      </c>
      <c r="H31" s="1662" t="s">
        <v>2612</v>
      </c>
      <c r="I31" s="1662" t="s">
        <v>2613</v>
      </c>
      <c r="J31" s="1662" t="s">
        <v>1256</v>
      </c>
      <c r="K31" s="1664">
        <v>43098</v>
      </c>
      <c r="L31" s="1664">
        <v>43193</v>
      </c>
      <c r="M31" s="1662" t="s">
        <v>653</v>
      </c>
      <c r="N31" s="1662" t="s">
        <v>2109</v>
      </c>
      <c r="O31" s="1662" t="s">
        <v>2895</v>
      </c>
      <c r="P31" s="1662" t="s">
        <v>2833</v>
      </c>
      <c r="Q31" s="1662" t="s">
        <v>1755</v>
      </c>
      <c r="R31" s="1662" t="s">
        <v>2833</v>
      </c>
      <c r="S31" s="1662" t="s">
        <v>2833</v>
      </c>
      <c r="T31" s="1662"/>
      <c r="U31" s="1662" t="s">
        <v>2834</v>
      </c>
      <c r="V31" s="1662" t="s">
        <v>2861</v>
      </c>
      <c r="W31" s="1662" t="s">
        <v>2833</v>
      </c>
      <c r="X31" s="1662"/>
      <c r="Y31" s="1662" t="s">
        <v>2833</v>
      </c>
      <c r="Z31" s="1662"/>
      <c r="AA31" s="1662"/>
      <c r="AB31" s="1662" t="s">
        <v>2833</v>
      </c>
      <c r="AC31" s="1662" t="s">
        <v>2833</v>
      </c>
      <c r="AD31" s="1662" t="s">
        <v>2833</v>
      </c>
      <c r="AE31" s="1662"/>
      <c r="AF31" s="1662" t="s">
        <v>2865</v>
      </c>
      <c r="AG31" s="1662" t="s">
        <v>2866</v>
      </c>
      <c r="AH31" s="1662" t="s">
        <v>2867</v>
      </c>
      <c r="AI31" s="1662" t="s">
        <v>2838</v>
      </c>
      <c r="AJ31" s="1662" t="s">
        <v>2839</v>
      </c>
      <c r="AK31" s="1662" t="s">
        <v>2868</v>
      </c>
      <c r="AL31" s="1662" t="s">
        <v>2869</v>
      </c>
      <c r="AM31" s="1665">
        <v>100</v>
      </c>
      <c r="AN31" s="1662"/>
      <c r="AO31" s="1662"/>
      <c r="AP31" s="1662"/>
      <c r="AQ31" s="1662"/>
      <c r="AR31" s="1662"/>
      <c r="AS31" s="1662"/>
      <c r="AT31" s="1662" t="s">
        <v>2842</v>
      </c>
      <c r="AU31" s="1662" t="s">
        <v>2871</v>
      </c>
      <c r="AV31" s="1662" t="s">
        <v>2872</v>
      </c>
      <c r="AW31" s="1662"/>
      <c r="AX31" s="1662" t="s">
        <v>2873</v>
      </c>
      <c r="AY31" s="1662" t="s">
        <v>2874</v>
      </c>
      <c r="AZ31" s="1662" t="s">
        <v>284</v>
      </c>
      <c r="BA31" s="1662" t="s">
        <v>2896</v>
      </c>
      <c r="BB31" s="1662" t="s">
        <v>2833</v>
      </c>
      <c r="BC31" s="1662" t="s">
        <v>2876</v>
      </c>
      <c r="BD31" s="1662" t="s">
        <v>2849</v>
      </c>
      <c r="BE31" s="1662" t="s">
        <v>2897</v>
      </c>
      <c r="BF31" s="1662" t="s">
        <v>2898</v>
      </c>
      <c r="BG31" s="1662" t="s">
        <v>2899</v>
      </c>
      <c r="BH31" s="1662" t="s">
        <v>2880</v>
      </c>
      <c r="BI31" s="1662" t="s">
        <v>2881</v>
      </c>
      <c r="BJ31" s="1662" t="s">
        <v>2900</v>
      </c>
      <c r="BK31" s="1662" t="s">
        <v>2842</v>
      </c>
      <c r="BL31" s="1662" t="s">
        <v>2833</v>
      </c>
      <c r="BM31" s="1662" t="s">
        <v>2833</v>
      </c>
      <c r="BN31" s="1665">
        <v>0</v>
      </c>
      <c r="BO31" s="1664">
        <v>42878</v>
      </c>
      <c r="BP31" s="1664">
        <v>44104</v>
      </c>
      <c r="BQ31" s="1662" t="s">
        <v>2855</v>
      </c>
      <c r="BR31" s="1664">
        <v>46387</v>
      </c>
      <c r="BS31" s="1662" t="s">
        <v>2901</v>
      </c>
      <c r="BT31" s="1662" t="s">
        <v>2902</v>
      </c>
      <c r="BU31" s="1665">
        <v>0</v>
      </c>
      <c r="BV31" s="1665">
        <v>0</v>
      </c>
      <c r="BW31" s="1664">
        <v>44134</v>
      </c>
      <c r="BX31" s="1668"/>
      <c r="BY31" s="1662" t="s">
        <v>2096</v>
      </c>
      <c r="BZ31" s="1662" t="s">
        <v>2859</v>
      </c>
      <c r="CA31" s="1662" t="s">
        <v>2859</v>
      </c>
      <c r="CB31" s="1662" t="s">
        <v>2859</v>
      </c>
      <c r="CC31" s="1662" t="s">
        <v>2885</v>
      </c>
      <c r="CD31" s="1724">
        <v>151097.46</v>
      </c>
      <c r="CE31" s="1724">
        <v>95080</v>
      </c>
      <c r="CF31" s="1724">
        <v>80810</v>
      </c>
      <c r="CG31" s="1724">
        <v>84.99</v>
      </c>
      <c r="CH31" s="1724">
        <v>14270</v>
      </c>
      <c r="CI31" s="1724">
        <v>15.01</v>
      </c>
      <c r="CJ31" s="1724">
        <v>95080</v>
      </c>
      <c r="CK31" s="1724">
        <v>100</v>
      </c>
      <c r="CL31" s="1725" t="s">
        <v>2861</v>
      </c>
      <c r="CM31" s="1729">
        <v>43146</v>
      </c>
      <c r="CN31" s="1727"/>
      <c r="CO31" s="1728"/>
      <c r="CP31" s="1726"/>
      <c r="CQ31" s="1724">
        <v>80810</v>
      </c>
      <c r="CR31" s="1724">
        <v>80810</v>
      </c>
      <c r="CS31" s="1724">
        <v>0</v>
      </c>
      <c r="CT31" s="1728" t="s">
        <v>2861</v>
      </c>
      <c r="CU31" s="1729">
        <v>43159</v>
      </c>
      <c r="CV31" s="1724">
        <v>95080</v>
      </c>
      <c r="CW31" s="1724">
        <v>0</v>
      </c>
      <c r="CX31" s="1724">
        <v>0</v>
      </c>
      <c r="CY31" s="1724">
        <v>95080</v>
      </c>
      <c r="CZ31" s="1724">
        <v>0</v>
      </c>
      <c r="DA31" s="1724">
        <v>0</v>
      </c>
      <c r="DB31" s="1724">
        <v>0</v>
      </c>
      <c r="DC31" s="1724">
        <v>0</v>
      </c>
      <c r="DD31" s="1724">
        <v>95080</v>
      </c>
      <c r="DE31" s="1724">
        <v>80810</v>
      </c>
      <c r="DF31" s="1724">
        <v>80810</v>
      </c>
      <c r="DG31" s="1724">
        <v>0</v>
      </c>
      <c r="DH31" s="1724">
        <v>14270</v>
      </c>
      <c r="DI31" s="1724">
        <v>14270</v>
      </c>
      <c r="DJ31" s="1724">
        <v>0</v>
      </c>
      <c r="DK31" s="1724">
        <v>14270</v>
      </c>
      <c r="DL31" s="1724">
        <v>0</v>
      </c>
      <c r="DM31" s="1724">
        <v>0</v>
      </c>
      <c r="DN31" s="1724">
        <v>0</v>
      </c>
      <c r="DO31" s="1724">
        <v>0</v>
      </c>
      <c r="DP31" s="1724">
        <v>0</v>
      </c>
      <c r="DQ31" s="1728" t="s">
        <v>2886</v>
      </c>
      <c r="DR31" s="1724">
        <v>0</v>
      </c>
      <c r="DS31" s="1728" t="s">
        <v>2833</v>
      </c>
      <c r="DT31" s="1726"/>
      <c r="DU31" s="1728" t="s">
        <v>2833</v>
      </c>
      <c r="DV31" s="1726"/>
    </row>
    <row r="32" spans="1:126" ht="146.25" x14ac:dyDescent="0.25">
      <c r="A32" s="1662" t="s">
        <v>1735</v>
      </c>
      <c r="B32" s="1662" t="s">
        <v>1715</v>
      </c>
      <c r="C32" s="1662" t="s">
        <v>2609</v>
      </c>
      <c r="D32" s="1662" t="s">
        <v>2610</v>
      </c>
      <c r="E32" s="1662" t="s">
        <v>148</v>
      </c>
      <c r="F32" s="1662" t="s">
        <v>259</v>
      </c>
      <c r="G32" s="1662" t="s">
        <v>2611</v>
      </c>
      <c r="H32" s="1662" t="s">
        <v>2612</v>
      </c>
      <c r="I32" s="1662" t="s">
        <v>2613</v>
      </c>
      <c r="J32" s="1662" t="s">
        <v>1616</v>
      </c>
      <c r="K32" s="1664">
        <v>43131</v>
      </c>
      <c r="L32" s="1664">
        <v>43243</v>
      </c>
      <c r="M32" s="1662" t="s">
        <v>386</v>
      </c>
      <c r="N32" s="1662" t="s">
        <v>2109</v>
      </c>
      <c r="O32" s="1662" t="s">
        <v>2903</v>
      </c>
      <c r="P32" s="1662" t="s">
        <v>2833</v>
      </c>
      <c r="Q32" s="1662" t="s">
        <v>1732</v>
      </c>
      <c r="R32" s="1662" t="s">
        <v>2833</v>
      </c>
      <c r="S32" s="1662" t="s">
        <v>2833</v>
      </c>
      <c r="T32" s="1662"/>
      <c r="U32" s="1662" t="s">
        <v>2834</v>
      </c>
      <c r="V32" s="1662" t="s">
        <v>2833</v>
      </c>
      <c r="W32" s="1662" t="s">
        <v>2833</v>
      </c>
      <c r="X32" s="1662"/>
      <c r="Y32" s="1662" t="s">
        <v>2833</v>
      </c>
      <c r="Z32" s="1662"/>
      <c r="AA32" s="1662"/>
      <c r="AB32" s="1662" t="s">
        <v>2833</v>
      </c>
      <c r="AC32" s="1662" t="s">
        <v>2833</v>
      </c>
      <c r="AD32" s="1662" t="s">
        <v>2833</v>
      </c>
      <c r="AE32" s="1662"/>
      <c r="AF32" s="1662" t="s">
        <v>2865</v>
      </c>
      <c r="AG32" s="1662" t="s">
        <v>2866</v>
      </c>
      <c r="AH32" s="1662" t="s">
        <v>2867</v>
      </c>
      <c r="AI32" s="1662" t="s">
        <v>2838</v>
      </c>
      <c r="AJ32" s="1662" t="s">
        <v>2839</v>
      </c>
      <c r="AK32" s="1662" t="s">
        <v>2868</v>
      </c>
      <c r="AL32" s="1662" t="s">
        <v>2869</v>
      </c>
      <c r="AM32" s="1665">
        <v>100</v>
      </c>
      <c r="AN32" s="1662"/>
      <c r="AO32" s="1662"/>
      <c r="AP32" s="1662"/>
      <c r="AQ32" s="1662"/>
      <c r="AR32" s="1662"/>
      <c r="AS32" s="1662"/>
      <c r="AT32" s="1662" t="s">
        <v>2842</v>
      </c>
      <c r="AU32" s="1662" t="s">
        <v>2842</v>
      </c>
      <c r="AV32" s="1662" t="s">
        <v>2872</v>
      </c>
      <c r="AW32" s="1662"/>
      <c r="AX32" s="1662" t="s">
        <v>2873</v>
      </c>
      <c r="AY32" s="1662" t="s">
        <v>2874</v>
      </c>
      <c r="AZ32" s="1662" t="s">
        <v>184</v>
      </c>
      <c r="BA32" s="1662" t="s">
        <v>2904</v>
      </c>
      <c r="BB32" s="1662" t="s">
        <v>2833</v>
      </c>
      <c r="BC32" s="1662" t="s">
        <v>2876</v>
      </c>
      <c r="BD32" s="1662" t="s">
        <v>2849</v>
      </c>
      <c r="BE32" s="1662" t="s">
        <v>2905</v>
      </c>
      <c r="BF32" s="1662" t="s">
        <v>2906</v>
      </c>
      <c r="BG32" s="1662" t="s">
        <v>2907</v>
      </c>
      <c r="BH32" s="1662" t="s">
        <v>2880</v>
      </c>
      <c r="BI32" s="1662" t="s">
        <v>2881</v>
      </c>
      <c r="BJ32" s="1662" t="s">
        <v>2908</v>
      </c>
      <c r="BK32" s="1662" t="s">
        <v>2842</v>
      </c>
      <c r="BL32" s="1662" t="s">
        <v>2833</v>
      </c>
      <c r="BM32" s="1662" t="s">
        <v>2833</v>
      </c>
      <c r="BN32" s="1665">
        <v>0</v>
      </c>
      <c r="BO32" s="1664">
        <v>43126</v>
      </c>
      <c r="BP32" s="1664">
        <v>43585</v>
      </c>
      <c r="BQ32" s="1662" t="s">
        <v>2855</v>
      </c>
      <c r="BR32" s="1664">
        <v>46022</v>
      </c>
      <c r="BS32" s="1662" t="s">
        <v>2909</v>
      </c>
      <c r="BT32" s="1662" t="s">
        <v>2910</v>
      </c>
      <c r="BU32" s="1665">
        <v>0</v>
      </c>
      <c r="BV32" s="1665">
        <v>0</v>
      </c>
      <c r="BW32" s="1664">
        <v>43615</v>
      </c>
      <c r="BX32" s="1668"/>
      <c r="BY32" s="1662" t="s">
        <v>2096</v>
      </c>
      <c r="BZ32" s="1662" t="s">
        <v>2859</v>
      </c>
      <c r="CA32" s="1662" t="s">
        <v>2859</v>
      </c>
      <c r="CB32" s="1662" t="s">
        <v>2859</v>
      </c>
      <c r="CC32" s="1662" t="s">
        <v>2885</v>
      </c>
      <c r="CD32" s="1724">
        <v>124244.29</v>
      </c>
      <c r="CE32" s="1724">
        <v>98949.56</v>
      </c>
      <c r="CF32" s="1724">
        <v>84107.13</v>
      </c>
      <c r="CG32" s="1724">
        <v>85</v>
      </c>
      <c r="CH32" s="1724">
        <v>14842.43</v>
      </c>
      <c r="CI32" s="1724">
        <v>15</v>
      </c>
      <c r="CJ32" s="1724">
        <v>98949.56</v>
      </c>
      <c r="CK32" s="1724">
        <v>100</v>
      </c>
      <c r="CL32" s="1725" t="s">
        <v>2861</v>
      </c>
      <c r="CM32" s="1729">
        <v>43185</v>
      </c>
      <c r="CN32" s="1727"/>
      <c r="CO32" s="1728"/>
      <c r="CP32" s="1726"/>
      <c r="CQ32" s="1724">
        <v>84107.13</v>
      </c>
      <c r="CR32" s="1724">
        <v>84107.13</v>
      </c>
      <c r="CS32" s="1724">
        <v>0</v>
      </c>
      <c r="CT32" s="1728" t="s">
        <v>2861</v>
      </c>
      <c r="CU32" s="1729">
        <v>43195</v>
      </c>
      <c r="CV32" s="1724">
        <v>98949.56</v>
      </c>
      <c r="CW32" s="1724">
        <v>0</v>
      </c>
      <c r="CX32" s="1724">
        <v>0</v>
      </c>
      <c r="CY32" s="1724">
        <v>98949.56</v>
      </c>
      <c r="CZ32" s="1724">
        <v>0</v>
      </c>
      <c r="DA32" s="1724">
        <v>0</v>
      </c>
      <c r="DB32" s="1724">
        <v>0</v>
      </c>
      <c r="DC32" s="1724">
        <v>0</v>
      </c>
      <c r="DD32" s="1724">
        <v>98949.56</v>
      </c>
      <c r="DE32" s="1724">
        <v>84107.13</v>
      </c>
      <c r="DF32" s="1724">
        <v>84107.13</v>
      </c>
      <c r="DG32" s="1724">
        <v>0</v>
      </c>
      <c r="DH32" s="1724">
        <v>14842.43</v>
      </c>
      <c r="DI32" s="1724">
        <v>14842.43</v>
      </c>
      <c r="DJ32" s="1724">
        <v>0</v>
      </c>
      <c r="DK32" s="1724">
        <v>14842.43</v>
      </c>
      <c r="DL32" s="1724">
        <v>0</v>
      </c>
      <c r="DM32" s="1724">
        <v>0</v>
      </c>
      <c r="DN32" s="1724">
        <v>0</v>
      </c>
      <c r="DO32" s="1724">
        <v>0</v>
      </c>
      <c r="DP32" s="1724">
        <v>0</v>
      </c>
      <c r="DQ32" s="1728" t="s">
        <v>2886</v>
      </c>
      <c r="DR32" s="1724">
        <v>0</v>
      </c>
      <c r="DS32" s="1728" t="s">
        <v>2833</v>
      </c>
      <c r="DT32" s="1726"/>
      <c r="DU32" s="1728" t="s">
        <v>2833</v>
      </c>
      <c r="DV32" s="1726"/>
    </row>
    <row r="33" spans="1:126" x14ac:dyDescent="0.25">
      <c r="A33" s="1662" t="s">
        <v>1736</v>
      </c>
      <c r="B33" s="1662" t="s">
        <v>1719</v>
      </c>
      <c r="C33" s="1662"/>
      <c r="D33" s="1662"/>
      <c r="E33" s="1662"/>
      <c r="F33" s="1662"/>
      <c r="G33" s="1662"/>
      <c r="H33" s="1662"/>
      <c r="I33" s="1662"/>
      <c r="J33" s="1662"/>
      <c r="K33" s="1668"/>
      <c r="L33" s="1668"/>
      <c r="M33" s="1662"/>
      <c r="N33" s="1662"/>
      <c r="O33" s="1662"/>
      <c r="P33" s="1662"/>
      <c r="Q33" s="1662"/>
      <c r="R33" s="1662"/>
      <c r="S33" s="1662"/>
      <c r="T33" s="1662"/>
      <c r="U33" s="1662"/>
      <c r="V33" s="1662"/>
      <c r="W33" s="1662"/>
      <c r="X33" s="1662"/>
      <c r="Y33" s="1662"/>
      <c r="Z33" s="1662"/>
      <c r="AA33" s="1662"/>
      <c r="AB33" s="1662"/>
      <c r="AC33" s="1662"/>
      <c r="AD33" s="1662"/>
      <c r="AE33" s="1662"/>
      <c r="AF33" s="1662"/>
      <c r="AG33" s="1662"/>
      <c r="AH33" s="1662"/>
      <c r="AI33" s="1662"/>
      <c r="AJ33" s="1662"/>
      <c r="AK33" s="1662"/>
      <c r="AL33" s="1662"/>
      <c r="AM33" s="1663"/>
      <c r="AN33" s="1662"/>
      <c r="AO33" s="1662"/>
      <c r="AP33" s="1662"/>
      <c r="AQ33" s="1662"/>
      <c r="AR33" s="1662"/>
      <c r="AS33" s="1662"/>
      <c r="AT33" s="1662"/>
      <c r="AU33" s="1662"/>
      <c r="AV33" s="1662"/>
      <c r="AW33" s="1662"/>
      <c r="AX33" s="1662"/>
      <c r="AY33" s="1662"/>
      <c r="AZ33" s="1662"/>
      <c r="BA33" s="1662"/>
      <c r="BB33" s="1662"/>
      <c r="BC33" s="1662"/>
      <c r="BD33" s="1662"/>
      <c r="BE33" s="1662"/>
      <c r="BF33" s="1662"/>
      <c r="BG33" s="1662"/>
      <c r="BH33" s="1662"/>
      <c r="BI33" s="1662"/>
      <c r="BJ33" s="1662"/>
      <c r="BK33" s="1662"/>
      <c r="BL33" s="1662"/>
      <c r="BM33" s="1662"/>
      <c r="BN33" s="1663"/>
      <c r="BO33" s="1668"/>
      <c r="BP33" s="1668"/>
      <c r="BQ33" s="1662"/>
      <c r="BR33" s="1668"/>
      <c r="BS33" s="1662"/>
      <c r="BT33" s="1662"/>
      <c r="BU33" s="1663"/>
      <c r="BV33" s="1665">
        <v>2357650.2799999998</v>
      </c>
      <c r="BW33" s="1668"/>
      <c r="BX33" s="1668"/>
      <c r="BY33" s="1662"/>
      <c r="BZ33" s="1662"/>
      <c r="CA33" s="1662"/>
      <c r="CB33" s="1662"/>
      <c r="CC33" s="1662"/>
      <c r="CD33" s="1724">
        <v>28148190.82</v>
      </c>
      <c r="CE33" s="1724">
        <v>23482110.719999999</v>
      </c>
      <c r="CF33" s="1724">
        <v>15419885.15</v>
      </c>
      <c r="CG33" s="1724">
        <v>65.67</v>
      </c>
      <c r="CH33" s="1724">
        <v>8062225.5700000003</v>
      </c>
      <c r="CI33" s="1724">
        <v>34.33</v>
      </c>
      <c r="CJ33" s="1724">
        <v>23482110.719999999</v>
      </c>
      <c r="CK33" s="1724">
        <v>100</v>
      </c>
      <c r="CL33" s="1725"/>
      <c r="CM33" s="1726"/>
      <c r="CN33" s="1727"/>
      <c r="CO33" s="1728"/>
      <c r="CP33" s="1726"/>
      <c r="CQ33" s="1724">
        <v>16814956.59</v>
      </c>
      <c r="CR33" s="1724">
        <v>16814956.59</v>
      </c>
      <c r="CS33" s="1724">
        <v>0</v>
      </c>
      <c r="CT33" s="1728"/>
      <c r="CU33" s="1726"/>
      <c r="CV33" s="1724">
        <v>23482110.719999999</v>
      </c>
      <c r="CW33" s="1724">
        <v>620</v>
      </c>
      <c r="CX33" s="1724">
        <v>10373.61</v>
      </c>
      <c r="CY33" s="1724">
        <v>20069709.27</v>
      </c>
      <c r="CZ33" s="1724">
        <v>3271077.75</v>
      </c>
      <c r="DA33" s="1724">
        <v>49670.400000000001</v>
      </c>
      <c r="DB33" s="1724">
        <v>2200</v>
      </c>
      <c r="DC33" s="1724">
        <v>78459.69</v>
      </c>
      <c r="DD33" s="1724">
        <v>16079968.35</v>
      </c>
      <c r="DE33" s="1724">
        <v>15419885.15</v>
      </c>
      <c r="DF33" s="1724">
        <v>15419885.15</v>
      </c>
      <c r="DG33" s="1724">
        <v>0</v>
      </c>
      <c r="DH33" s="1724">
        <v>8062225.5700000003</v>
      </c>
      <c r="DI33" s="1724">
        <v>660083.19999999995</v>
      </c>
      <c r="DJ33" s="1724">
        <v>0</v>
      </c>
      <c r="DK33" s="1724">
        <v>660083.19999999995</v>
      </c>
      <c r="DL33" s="1724">
        <v>0</v>
      </c>
      <c r="DM33" s="1724">
        <v>7402142.3700000001</v>
      </c>
      <c r="DN33" s="1724">
        <v>6046142.3700000001</v>
      </c>
      <c r="DO33" s="1724">
        <v>1356000</v>
      </c>
      <c r="DP33" s="1724">
        <v>0</v>
      </c>
      <c r="DQ33" s="1728"/>
      <c r="DR33" s="1727"/>
      <c r="DS33" s="1728"/>
      <c r="DT33" s="1726"/>
      <c r="DU33" s="1728"/>
      <c r="DV33" s="1726"/>
    </row>
    <row r="34" spans="1:126" x14ac:dyDescent="0.25">
      <c r="A34" s="1662" t="s">
        <v>1738</v>
      </c>
      <c r="B34" s="1662" t="s">
        <v>1719</v>
      </c>
      <c r="C34" s="1662" t="s">
        <v>2614</v>
      </c>
      <c r="D34" s="1662"/>
      <c r="E34" s="1662"/>
      <c r="F34" s="1662"/>
      <c r="G34" s="1662"/>
      <c r="H34" s="1662"/>
      <c r="I34" s="1662"/>
      <c r="J34" s="1662"/>
      <c r="K34" s="1668"/>
      <c r="L34" s="1668"/>
      <c r="M34" s="1662"/>
      <c r="N34" s="1662"/>
      <c r="O34" s="1662"/>
      <c r="P34" s="1662"/>
      <c r="Q34" s="1662"/>
      <c r="R34" s="1662"/>
      <c r="S34" s="1662"/>
      <c r="T34" s="1662"/>
      <c r="U34" s="1662"/>
      <c r="V34" s="1662"/>
      <c r="W34" s="1662"/>
      <c r="X34" s="1662"/>
      <c r="Y34" s="1662"/>
      <c r="Z34" s="1662"/>
      <c r="AA34" s="1662"/>
      <c r="AB34" s="1662"/>
      <c r="AC34" s="1662"/>
      <c r="AD34" s="1662"/>
      <c r="AE34" s="1662"/>
      <c r="AF34" s="1662"/>
      <c r="AG34" s="1662"/>
      <c r="AH34" s="1662"/>
      <c r="AI34" s="1662"/>
      <c r="AJ34" s="1662"/>
      <c r="AK34" s="1662"/>
      <c r="AL34" s="1662"/>
      <c r="AM34" s="1663"/>
      <c r="AN34" s="1662"/>
      <c r="AO34" s="1662"/>
      <c r="AP34" s="1662"/>
      <c r="AQ34" s="1662"/>
      <c r="AR34" s="1662"/>
      <c r="AS34" s="1662"/>
      <c r="AT34" s="1662"/>
      <c r="AU34" s="1662"/>
      <c r="AV34" s="1662"/>
      <c r="AW34" s="1662"/>
      <c r="AX34" s="1662"/>
      <c r="AY34" s="1662"/>
      <c r="AZ34" s="1662"/>
      <c r="BA34" s="1662"/>
      <c r="BB34" s="1662"/>
      <c r="BC34" s="1662"/>
      <c r="BD34" s="1662"/>
      <c r="BE34" s="1662"/>
      <c r="BF34" s="1662"/>
      <c r="BG34" s="1662"/>
      <c r="BH34" s="1662"/>
      <c r="BI34" s="1662"/>
      <c r="BJ34" s="1662"/>
      <c r="BK34" s="1662"/>
      <c r="BL34" s="1662"/>
      <c r="BM34" s="1662"/>
      <c r="BN34" s="1663"/>
      <c r="BO34" s="1668"/>
      <c r="BP34" s="1668"/>
      <c r="BQ34" s="1662"/>
      <c r="BR34" s="1668"/>
      <c r="BS34" s="1662"/>
      <c r="BT34" s="1662"/>
      <c r="BU34" s="1663"/>
      <c r="BV34" s="1665">
        <v>0</v>
      </c>
      <c r="BW34" s="1668"/>
      <c r="BX34" s="1668"/>
      <c r="BY34" s="1662"/>
      <c r="BZ34" s="1662"/>
      <c r="CA34" s="1662"/>
      <c r="CB34" s="1662"/>
      <c r="CC34" s="1662"/>
      <c r="CD34" s="1724">
        <v>3399378.95</v>
      </c>
      <c r="CE34" s="1724">
        <v>2809404.09</v>
      </c>
      <c r="CF34" s="1724">
        <v>2387993.48</v>
      </c>
      <c r="CG34" s="1724">
        <v>85</v>
      </c>
      <c r="CH34" s="1724">
        <v>421410.61</v>
      </c>
      <c r="CI34" s="1724">
        <v>15</v>
      </c>
      <c r="CJ34" s="1724">
        <v>2809404.09</v>
      </c>
      <c r="CK34" s="1724">
        <v>100</v>
      </c>
      <c r="CL34" s="1725"/>
      <c r="CM34" s="1726"/>
      <c r="CN34" s="1727"/>
      <c r="CO34" s="1728"/>
      <c r="CP34" s="1726"/>
      <c r="CQ34" s="1724">
        <v>2387993.48</v>
      </c>
      <c r="CR34" s="1724">
        <v>2387993.48</v>
      </c>
      <c r="CS34" s="1724">
        <v>0</v>
      </c>
      <c r="CT34" s="1728"/>
      <c r="CU34" s="1726"/>
      <c r="CV34" s="1724">
        <v>2809404.09</v>
      </c>
      <c r="CW34" s="1724">
        <v>0</v>
      </c>
      <c r="CX34" s="1724">
        <v>10373.61</v>
      </c>
      <c r="CY34" s="1724">
        <v>2619031.48</v>
      </c>
      <c r="CZ34" s="1724">
        <v>179999</v>
      </c>
      <c r="DA34" s="1724">
        <v>0</v>
      </c>
      <c r="DB34" s="1724">
        <v>0</v>
      </c>
      <c r="DC34" s="1724">
        <v>0</v>
      </c>
      <c r="DD34" s="1724">
        <v>2387993.48</v>
      </c>
      <c r="DE34" s="1724">
        <v>2387993.48</v>
      </c>
      <c r="DF34" s="1724">
        <v>2387993.48</v>
      </c>
      <c r="DG34" s="1724">
        <v>0</v>
      </c>
      <c r="DH34" s="1724">
        <v>421410.61</v>
      </c>
      <c r="DI34" s="1724">
        <v>0</v>
      </c>
      <c r="DJ34" s="1724">
        <v>0</v>
      </c>
      <c r="DK34" s="1724">
        <v>0</v>
      </c>
      <c r="DL34" s="1724">
        <v>0</v>
      </c>
      <c r="DM34" s="1724">
        <v>421410.61</v>
      </c>
      <c r="DN34" s="1724">
        <v>421410.61</v>
      </c>
      <c r="DO34" s="1724">
        <v>0</v>
      </c>
      <c r="DP34" s="1724">
        <v>0</v>
      </c>
      <c r="DQ34" s="1728"/>
      <c r="DR34" s="1727"/>
      <c r="DS34" s="1728"/>
      <c r="DT34" s="1726"/>
      <c r="DU34" s="1728"/>
      <c r="DV34" s="1726"/>
    </row>
    <row r="35" spans="1:126" ht="22.5" x14ac:dyDescent="0.25">
      <c r="A35" s="1662" t="s">
        <v>1739</v>
      </c>
      <c r="B35" s="1662" t="s">
        <v>1719</v>
      </c>
      <c r="C35" s="1662" t="s">
        <v>2614</v>
      </c>
      <c r="D35" s="1662" t="s">
        <v>2615</v>
      </c>
      <c r="E35" s="1662"/>
      <c r="F35" s="1662"/>
      <c r="G35" s="1662"/>
      <c r="H35" s="1662"/>
      <c r="I35" s="1662"/>
      <c r="J35" s="1662"/>
      <c r="K35" s="1668"/>
      <c r="L35" s="1668"/>
      <c r="M35" s="1662"/>
      <c r="N35" s="1662"/>
      <c r="O35" s="1662"/>
      <c r="P35" s="1662"/>
      <c r="Q35" s="1662"/>
      <c r="R35" s="1662"/>
      <c r="S35" s="1662"/>
      <c r="T35" s="1662"/>
      <c r="U35" s="1662"/>
      <c r="V35" s="1662"/>
      <c r="W35" s="1662"/>
      <c r="X35" s="1662"/>
      <c r="Y35" s="1662"/>
      <c r="Z35" s="1662"/>
      <c r="AA35" s="1662"/>
      <c r="AB35" s="1662"/>
      <c r="AC35" s="1662"/>
      <c r="AD35" s="1662"/>
      <c r="AE35" s="1662"/>
      <c r="AF35" s="1662"/>
      <c r="AG35" s="1662"/>
      <c r="AH35" s="1662"/>
      <c r="AI35" s="1662"/>
      <c r="AJ35" s="1662"/>
      <c r="AK35" s="1662"/>
      <c r="AL35" s="1662"/>
      <c r="AM35" s="1663"/>
      <c r="AN35" s="1662"/>
      <c r="AO35" s="1662"/>
      <c r="AP35" s="1662"/>
      <c r="AQ35" s="1662"/>
      <c r="AR35" s="1662"/>
      <c r="AS35" s="1662"/>
      <c r="AT35" s="1662"/>
      <c r="AU35" s="1662"/>
      <c r="AV35" s="1662"/>
      <c r="AW35" s="1662"/>
      <c r="AX35" s="1662"/>
      <c r="AY35" s="1662"/>
      <c r="AZ35" s="1662"/>
      <c r="BA35" s="1662"/>
      <c r="BB35" s="1662"/>
      <c r="BC35" s="1662"/>
      <c r="BD35" s="1662"/>
      <c r="BE35" s="1662"/>
      <c r="BF35" s="1662"/>
      <c r="BG35" s="1662"/>
      <c r="BH35" s="1662"/>
      <c r="BI35" s="1662"/>
      <c r="BJ35" s="1662"/>
      <c r="BK35" s="1662"/>
      <c r="BL35" s="1662"/>
      <c r="BM35" s="1662"/>
      <c r="BN35" s="1663"/>
      <c r="BO35" s="1668"/>
      <c r="BP35" s="1668"/>
      <c r="BQ35" s="1662"/>
      <c r="BR35" s="1668"/>
      <c r="BS35" s="1662"/>
      <c r="BT35" s="1662"/>
      <c r="BU35" s="1663"/>
      <c r="BV35" s="1665">
        <v>0</v>
      </c>
      <c r="BW35" s="1668"/>
      <c r="BX35" s="1668"/>
      <c r="BY35" s="1662"/>
      <c r="BZ35" s="1662"/>
      <c r="CA35" s="1662"/>
      <c r="CB35" s="1662"/>
      <c r="CC35" s="1662"/>
      <c r="CD35" s="1724">
        <v>3399378.95</v>
      </c>
      <c r="CE35" s="1724">
        <v>2809404.09</v>
      </c>
      <c r="CF35" s="1724">
        <v>2387993.48</v>
      </c>
      <c r="CG35" s="1724">
        <v>85</v>
      </c>
      <c r="CH35" s="1724">
        <v>421410.61</v>
      </c>
      <c r="CI35" s="1724">
        <v>15</v>
      </c>
      <c r="CJ35" s="1724">
        <v>2809404.09</v>
      </c>
      <c r="CK35" s="1724">
        <v>100</v>
      </c>
      <c r="CL35" s="1725"/>
      <c r="CM35" s="1726"/>
      <c r="CN35" s="1727"/>
      <c r="CO35" s="1728"/>
      <c r="CP35" s="1726"/>
      <c r="CQ35" s="1724">
        <v>2387993.48</v>
      </c>
      <c r="CR35" s="1724">
        <v>2387993.48</v>
      </c>
      <c r="CS35" s="1724">
        <v>0</v>
      </c>
      <c r="CT35" s="1728"/>
      <c r="CU35" s="1726"/>
      <c r="CV35" s="1724">
        <v>2809404.09</v>
      </c>
      <c r="CW35" s="1724">
        <v>0</v>
      </c>
      <c r="CX35" s="1724">
        <v>10373.61</v>
      </c>
      <c r="CY35" s="1724">
        <v>2619031.48</v>
      </c>
      <c r="CZ35" s="1724">
        <v>179999</v>
      </c>
      <c r="DA35" s="1724">
        <v>0</v>
      </c>
      <c r="DB35" s="1724">
        <v>0</v>
      </c>
      <c r="DC35" s="1724">
        <v>0</v>
      </c>
      <c r="DD35" s="1724">
        <v>2387993.48</v>
      </c>
      <c r="DE35" s="1724">
        <v>2387993.48</v>
      </c>
      <c r="DF35" s="1724">
        <v>2387993.48</v>
      </c>
      <c r="DG35" s="1724">
        <v>0</v>
      </c>
      <c r="DH35" s="1724">
        <v>421410.61</v>
      </c>
      <c r="DI35" s="1724">
        <v>0</v>
      </c>
      <c r="DJ35" s="1724">
        <v>0</v>
      </c>
      <c r="DK35" s="1724">
        <v>0</v>
      </c>
      <c r="DL35" s="1724">
        <v>0</v>
      </c>
      <c r="DM35" s="1724">
        <v>421410.61</v>
      </c>
      <c r="DN35" s="1724">
        <v>421410.61</v>
      </c>
      <c r="DO35" s="1724">
        <v>0</v>
      </c>
      <c r="DP35" s="1724">
        <v>0</v>
      </c>
      <c r="DQ35" s="1728"/>
      <c r="DR35" s="1727"/>
      <c r="DS35" s="1728"/>
      <c r="DT35" s="1726"/>
      <c r="DU35" s="1728"/>
      <c r="DV35" s="1726"/>
    </row>
    <row r="36" spans="1:126" ht="22.5" x14ac:dyDescent="0.25">
      <c r="A36" s="1662" t="s">
        <v>1741</v>
      </c>
      <c r="B36" s="1662" t="s">
        <v>1719</v>
      </c>
      <c r="C36" s="1662" t="s">
        <v>2614</v>
      </c>
      <c r="D36" s="1662" t="s">
        <v>2615</v>
      </c>
      <c r="E36" s="1662" t="s">
        <v>179</v>
      </c>
      <c r="F36" s="1662" t="s">
        <v>2911</v>
      </c>
      <c r="G36" s="1662"/>
      <c r="H36" s="1662"/>
      <c r="I36" s="1662"/>
      <c r="J36" s="1662"/>
      <c r="K36" s="1668"/>
      <c r="L36" s="1668"/>
      <c r="M36" s="1662"/>
      <c r="N36" s="1662"/>
      <c r="O36" s="1662"/>
      <c r="P36" s="1662"/>
      <c r="Q36" s="1662"/>
      <c r="R36" s="1662"/>
      <c r="S36" s="1662"/>
      <c r="T36" s="1662"/>
      <c r="U36" s="1662"/>
      <c r="V36" s="1662"/>
      <c r="W36" s="1662"/>
      <c r="X36" s="1662"/>
      <c r="Y36" s="1662"/>
      <c r="Z36" s="1662"/>
      <c r="AA36" s="1662"/>
      <c r="AB36" s="1662"/>
      <c r="AC36" s="1662"/>
      <c r="AD36" s="1662"/>
      <c r="AE36" s="1662"/>
      <c r="AF36" s="1662"/>
      <c r="AG36" s="1662"/>
      <c r="AH36" s="1662"/>
      <c r="AI36" s="1662"/>
      <c r="AJ36" s="1662"/>
      <c r="AK36" s="1662"/>
      <c r="AL36" s="1662"/>
      <c r="AM36" s="1663"/>
      <c r="AN36" s="1662"/>
      <c r="AO36" s="1662"/>
      <c r="AP36" s="1662"/>
      <c r="AQ36" s="1662"/>
      <c r="AR36" s="1662"/>
      <c r="AS36" s="1662"/>
      <c r="AT36" s="1662"/>
      <c r="AU36" s="1662"/>
      <c r="AV36" s="1662"/>
      <c r="AW36" s="1662"/>
      <c r="AX36" s="1662"/>
      <c r="AY36" s="1662"/>
      <c r="AZ36" s="1662"/>
      <c r="BA36" s="1662"/>
      <c r="BB36" s="1662"/>
      <c r="BC36" s="1662"/>
      <c r="BD36" s="1662"/>
      <c r="BE36" s="1662"/>
      <c r="BF36" s="1662"/>
      <c r="BG36" s="1662"/>
      <c r="BH36" s="1662"/>
      <c r="BI36" s="1662"/>
      <c r="BJ36" s="1662"/>
      <c r="BK36" s="1662"/>
      <c r="BL36" s="1662"/>
      <c r="BM36" s="1662"/>
      <c r="BN36" s="1663"/>
      <c r="BO36" s="1668"/>
      <c r="BP36" s="1668"/>
      <c r="BQ36" s="1662"/>
      <c r="BR36" s="1668"/>
      <c r="BS36" s="1662"/>
      <c r="BT36" s="1662"/>
      <c r="BU36" s="1663"/>
      <c r="BV36" s="1665">
        <v>0</v>
      </c>
      <c r="BW36" s="1668"/>
      <c r="BX36" s="1668"/>
      <c r="BY36" s="1662"/>
      <c r="BZ36" s="1662"/>
      <c r="CA36" s="1662"/>
      <c r="CB36" s="1662"/>
      <c r="CC36" s="1662"/>
      <c r="CD36" s="1724">
        <v>3399378.95</v>
      </c>
      <c r="CE36" s="1724">
        <v>2809404.09</v>
      </c>
      <c r="CF36" s="1724">
        <v>2387993.48</v>
      </c>
      <c r="CG36" s="1724">
        <v>85</v>
      </c>
      <c r="CH36" s="1724">
        <v>421410.61</v>
      </c>
      <c r="CI36" s="1724">
        <v>15</v>
      </c>
      <c r="CJ36" s="1724">
        <v>2809404.09</v>
      </c>
      <c r="CK36" s="1724">
        <v>100</v>
      </c>
      <c r="CL36" s="1725"/>
      <c r="CM36" s="1726"/>
      <c r="CN36" s="1727"/>
      <c r="CO36" s="1728"/>
      <c r="CP36" s="1726"/>
      <c r="CQ36" s="1724">
        <v>2387993.48</v>
      </c>
      <c r="CR36" s="1724">
        <v>2387993.48</v>
      </c>
      <c r="CS36" s="1724">
        <v>0</v>
      </c>
      <c r="CT36" s="1728"/>
      <c r="CU36" s="1726"/>
      <c r="CV36" s="1724">
        <v>2809404.09</v>
      </c>
      <c r="CW36" s="1724">
        <v>0</v>
      </c>
      <c r="CX36" s="1724">
        <v>10373.61</v>
      </c>
      <c r="CY36" s="1724">
        <v>2619031.48</v>
      </c>
      <c r="CZ36" s="1724">
        <v>179999</v>
      </c>
      <c r="DA36" s="1724">
        <v>0</v>
      </c>
      <c r="DB36" s="1724">
        <v>0</v>
      </c>
      <c r="DC36" s="1724">
        <v>0</v>
      </c>
      <c r="DD36" s="1724">
        <v>2387993.48</v>
      </c>
      <c r="DE36" s="1724">
        <v>2387993.48</v>
      </c>
      <c r="DF36" s="1724">
        <v>2387993.48</v>
      </c>
      <c r="DG36" s="1724">
        <v>0</v>
      </c>
      <c r="DH36" s="1724">
        <v>421410.61</v>
      </c>
      <c r="DI36" s="1724">
        <v>0</v>
      </c>
      <c r="DJ36" s="1724">
        <v>0</v>
      </c>
      <c r="DK36" s="1724">
        <v>0</v>
      </c>
      <c r="DL36" s="1724">
        <v>0</v>
      </c>
      <c r="DM36" s="1724">
        <v>421410.61</v>
      </c>
      <c r="DN36" s="1724">
        <v>421410.61</v>
      </c>
      <c r="DO36" s="1724">
        <v>0</v>
      </c>
      <c r="DP36" s="1724">
        <v>0</v>
      </c>
      <c r="DQ36" s="1728"/>
      <c r="DR36" s="1727"/>
      <c r="DS36" s="1728"/>
      <c r="DT36" s="1726"/>
      <c r="DU36" s="1728"/>
      <c r="DV36" s="1726"/>
    </row>
    <row r="37" spans="1:126" ht="123.75" x14ac:dyDescent="0.25">
      <c r="A37" s="1662" t="s">
        <v>1743</v>
      </c>
      <c r="B37" s="1662" t="s">
        <v>1719</v>
      </c>
      <c r="C37" s="1662" t="s">
        <v>2614</v>
      </c>
      <c r="D37" s="1662" t="s">
        <v>2615</v>
      </c>
      <c r="E37" s="1662" t="s">
        <v>179</v>
      </c>
      <c r="F37" s="1662" t="s">
        <v>2911</v>
      </c>
      <c r="G37" s="1662" t="s">
        <v>2616</v>
      </c>
      <c r="H37" s="1662" t="s">
        <v>2617</v>
      </c>
      <c r="I37" s="1662" t="s">
        <v>2618</v>
      </c>
      <c r="J37" s="1662" t="s">
        <v>717</v>
      </c>
      <c r="K37" s="1664">
        <v>42726</v>
      </c>
      <c r="L37" s="1664">
        <v>42815</v>
      </c>
      <c r="M37" s="1662" t="s">
        <v>307</v>
      </c>
      <c r="N37" s="1662" t="s">
        <v>2109</v>
      </c>
      <c r="O37" s="1662" t="s">
        <v>2912</v>
      </c>
      <c r="P37" s="1662" t="s">
        <v>2833</v>
      </c>
      <c r="Q37" s="1662" t="s">
        <v>1761</v>
      </c>
      <c r="R37" s="1662" t="s">
        <v>2833</v>
      </c>
      <c r="S37" s="1662" t="s">
        <v>2833</v>
      </c>
      <c r="T37" s="1662"/>
      <c r="U37" s="1662" t="s">
        <v>2834</v>
      </c>
      <c r="V37" s="1662" t="s">
        <v>2833</v>
      </c>
      <c r="W37" s="1662" t="s">
        <v>2833</v>
      </c>
      <c r="X37" s="1662"/>
      <c r="Y37" s="1662" t="s">
        <v>2833</v>
      </c>
      <c r="Z37" s="1662"/>
      <c r="AA37" s="1662"/>
      <c r="AB37" s="1662" t="s">
        <v>2833</v>
      </c>
      <c r="AC37" s="1662" t="s">
        <v>2833</v>
      </c>
      <c r="AD37" s="1662" t="s">
        <v>2833</v>
      </c>
      <c r="AE37" s="1662"/>
      <c r="AF37" s="1662" t="s">
        <v>2913</v>
      </c>
      <c r="AG37" s="1662" t="s">
        <v>2914</v>
      </c>
      <c r="AH37" s="1662" t="s">
        <v>2915</v>
      </c>
      <c r="AI37" s="1662" t="s">
        <v>2838</v>
      </c>
      <c r="AJ37" s="1662" t="s">
        <v>2839</v>
      </c>
      <c r="AK37" s="1662" t="s">
        <v>2916</v>
      </c>
      <c r="AL37" s="1662" t="s">
        <v>2917</v>
      </c>
      <c r="AM37" s="1665">
        <v>100</v>
      </c>
      <c r="AN37" s="1662"/>
      <c r="AO37" s="1662"/>
      <c r="AP37" s="1662"/>
      <c r="AQ37" s="1662"/>
      <c r="AR37" s="1662"/>
      <c r="AS37" s="1662"/>
      <c r="AT37" s="1662" t="s">
        <v>2870</v>
      </c>
      <c r="AU37" s="1662" t="s">
        <v>2842</v>
      </c>
      <c r="AV37" s="1662" t="s">
        <v>2918</v>
      </c>
      <c r="AW37" s="1662"/>
      <c r="AX37" s="1662" t="s">
        <v>2919</v>
      </c>
      <c r="AY37" s="1662" t="s">
        <v>2874</v>
      </c>
      <c r="AZ37" s="1662" t="s">
        <v>2920</v>
      </c>
      <c r="BA37" s="1662" t="s">
        <v>2921</v>
      </c>
      <c r="BB37" s="1662" t="s">
        <v>2833</v>
      </c>
      <c r="BC37" s="1662" t="s">
        <v>2922</v>
      </c>
      <c r="BD37" s="1662" t="s">
        <v>2849</v>
      </c>
      <c r="BE37" s="1662" t="s">
        <v>2923</v>
      </c>
      <c r="BF37" s="1662" t="s">
        <v>2924</v>
      </c>
      <c r="BG37" s="1662" t="s">
        <v>2925</v>
      </c>
      <c r="BH37" s="1662" t="s">
        <v>2050</v>
      </c>
      <c r="BI37" s="1662" t="s">
        <v>2881</v>
      </c>
      <c r="BJ37" s="1662" t="s">
        <v>2882</v>
      </c>
      <c r="BK37" s="1662" t="s">
        <v>2870</v>
      </c>
      <c r="BL37" s="1662" t="s">
        <v>2833</v>
      </c>
      <c r="BM37" s="1662" t="s">
        <v>2833</v>
      </c>
      <c r="BN37" s="1665">
        <v>0</v>
      </c>
      <c r="BO37" s="1664">
        <v>42724</v>
      </c>
      <c r="BP37" s="1664">
        <v>43921</v>
      </c>
      <c r="BQ37" s="1662" t="s">
        <v>2855</v>
      </c>
      <c r="BR37" s="1664">
        <v>45900</v>
      </c>
      <c r="BS37" s="1662" t="s">
        <v>2926</v>
      </c>
      <c r="BT37" s="1662" t="s">
        <v>2927</v>
      </c>
      <c r="BU37" s="1665">
        <v>0</v>
      </c>
      <c r="BV37" s="1665">
        <v>0</v>
      </c>
      <c r="BW37" s="1664">
        <v>43951</v>
      </c>
      <c r="BX37" s="1668"/>
      <c r="BY37" s="1662" t="s">
        <v>2096</v>
      </c>
      <c r="BZ37" s="1662" t="s">
        <v>2858</v>
      </c>
      <c r="CA37" s="1662" t="s">
        <v>2859</v>
      </c>
      <c r="CB37" s="1662" t="s">
        <v>2859</v>
      </c>
      <c r="CC37" s="1662" t="s">
        <v>2860</v>
      </c>
      <c r="CD37" s="1724">
        <v>3399378.95</v>
      </c>
      <c r="CE37" s="1724">
        <v>2809404.09</v>
      </c>
      <c r="CF37" s="1724">
        <v>2387993.48</v>
      </c>
      <c r="CG37" s="1724">
        <v>85</v>
      </c>
      <c r="CH37" s="1724">
        <v>421410.61</v>
      </c>
      <c r="CI37" s="1724">
        <v>15</v>
      </c>
      <c r="CJ37" s="1724">
        <v>2809404.09</v>
      </c>
      <c r="CK37" s="1724">
        <v>100</v>
      </c>
      <c r="CL37" s="1725" t="s">
        <v>2861</v>
      </c>
      <c r="CM37" s="1729">
        <v>42786</v>
      </c>
      <c r="CN37" s="1727"/>
      <c r="CO37" s="1728"/>
      <c r="CP37" s="1726"/>
      <c r="CQ37" s="1724">
        <v>2387993.48</v>
      </c>
      <c r="CR37" s="1724">
        <v>2387993.48</v>
      </c>
      <c r="CS37" s="1724">
        <v>0</v>
      </c>
      <c r="CT37" s="1728" t="s">
        <v>2861</v>
      </c>
      <c r="CU37" s="1729">
        <v>42795</v>
      </c>
      <c r="CV37" s="1724">
        <v>2809404.09</v>
      </c>
      <c r="CW37" s="1724">
        <v>0</v>
      </c>
      <c r="CX37" s="1724">
        <v>10373.61</v>
      </c>
      <c r="CY37" s="1724">
        <v>2619031.48</v>
      </c>
      <c r="CZ37" s="1724">
        <v>179999</v>
      </c>
      <c r="DA37" s="1724">
        <v>0</v>
      </c>
      <c r="DB37" s="1724">
        <v>0</v>
      </c>
      <c r="DC37" s="1724">
        <v>0</v>
      </c>
      <c r="DD37" s="1724">
        <v>2387993.48</v>
      </c>
      <c r="DE37" s="1724">
        <v>2387993.48</v>
      </c>
      <c r="DF37" s="1724">
        <v>2387993.48</v>
      </c>
      <c r="DG37" s="1724">
        <v>0</v>
      </c>
      <c r="DH37" s="1724">
        <v>421410.61</v>
      </c>
      <c r="DI37" s="1724">
        <v>0</v>
      </c>
      <c r="DJ37" s="1724">
        <v>0</v>
      </c>
      <c r="DK37" s="1724">
        <v>0</v>
      </c>
      <c r="DL37" s="1724">
        <v>0</v>
      </c>
      <c r="DM37" s="1724">
        <v>421410.61</v>
      </c>
      <c r="DN37" s="1724">
        <v>421410.61</v>
      </c>
      <c r="DO37" s="1724">
        <v>0</v>
      </c>
      <c r="DP37" s="1724">
        <v>0</v>
      </c>
      <c r="DQ37" s="1728" t="s">
        <v>2928</v>
      </c>
      <c r="DR37" s="1724">
        <v>0</v>
      </c>
      <c r="DS37" s="1728" t="s">
        <v>2833</v>
      </c>
      <c r="DT37" s="1726"/>
      <c r="DU37" s="1728" t="s">
        <v>2833</v>
      </c>
      <c r="DV37" s="1726"/>
    </row>
    <row r="38" spans="1:126" x14ac:dyDescent="0.25">
      <c r="A38" s="1662" t="s">
        <v>1744</v>
      </c>
      <c r="B38" s="1662" t="s">
        <v>1719</v>
      </c>
      <c r="C38" s="1662" t="s">
        <v>2619</v>
      </c>
      <c r="D38" s="1662"/>
      <c r="E38" s="1662"/>
      <c r="F38" s="1662"/>
      <c r="G38" s="1662"/>
      <c r="H38" s="1662"/>
      <c r="I38" s="1662"/>
      <c r="J38" s="1662"/>
      <c r="K38" s="1668"/>
      <c r="L38" s="1668"/>
      <c r="M38" s="1662"/>
      <c r="N38" s="1662"/>
      <c r="O38" s="1662"/>
      <c r="P38" s="1662"/>
      <c r="Q38" s="1662"/>
      <c r="R38" s="1662"/>
      <c r="S38" s="1662"/>
      <c r="T38" s="1662"/>
      <c r="U38" s="1662"/>
      <c r="V38" s="1662"/>
      <c r="W38" s="1662"/>
      <c r="X38" s="1662"/>
      <c r="Y38" s="1662"/>
      <c r="Z38" s="1662"/>
      <c r="AA38" s="1662"/>
      <c r="AB38" s="1662"/>
      <c r="AC38" s="1662"/>
      <c r="AD38" s="1662"/>
      <c r="AE38" s="1662"/>
      <c r="AF38" s="1662"/>
      <c r="AG38" s="1662"/>
      <c r="AH38" s="1662"/>
      <c r="AI38" s="1662"/>
      <c r="AJ38" s="1662"/>
      <c r="AK38" s="1662"/>
      <c r="AL38" s="1662"/>
      <c r="AM38" s="1663"/>
      <c r="AN38" s="1662"/>
      <c r="AO38" s="1662"/>
      <c r="AP38" s="1662"/>
      <c r="AQ38" s="1662"/>
      <c r="AR38" s="1662"/>
      <c r="AS38" s="1662"/>
      <c r="AT38" s="1662"/>
      <c r="AU38" s="1662"/>
      <c r="AV38" s="1662"/>
      <c r="AW38" s="1662"/>
      <c r="AX38" s="1662"/>
      <c r="AY38" s="1662"/>
      <c r="AZ38" s="1662"/>
      <c r="BA38" s="1662"/>
      <c r="BB38" s="1662"/>
      <c r="BC38" s="1662"/>
      <c r="BD38" s="1662"/>
      <c r="BE38" s="1662"/>
      <c r="BF38" s="1662"/>
      <c r="BG38" s="1662"/>
      <c r="BH38" s="1662"/>
      <c r="BI38" s="1662"/>
      <c r="BJ38" s="1662"/>
      <c r="BK38" s="1662"/>
      <c r="BL38" s="1662"/>
      <c r="BM38" s="1662"/>
      <c r="BN38" s="1663"/>
      <c r="BO38" s="1668"/>
      <c r="BP38" s="1668"/>
      <c r="BQ38" s="1662"/>
      <c r="BR38" s="1668"/>
      <c r="BS38" s="1662"/>
      <c r="BT38" s="1662"/>
      <c r="BU38" s="1663"/>
      <c r="BV38" s="1665">
        <v>1005842.33</v>
      </c>
      <c r="BW38" s="1668"/>
      <c r="BX38" s="1668"/>
      <c r="BY38" s="1662"/>
      <c r="BZ38" s="1662"/>
      <c r="CA38" s="1662"/>
      <c r="CB38" s="1662"/>
      <c r="CC38" s="1662"/>
      <c r="CD38" s="1724">
        <v>5340030.33</v>
      </c>
      <c r="CE38" s="1724">
        <v>4130687.05</v>
      </c>
      <c r="CF38" s="1724">
        <v>3352807.77</v>
      </c>
      <c r="CG38" s="1724">
        <v>81.17</v>
      </c>
      <c r="CH38" s="1724">
        <v>777879.28</v>
      </c>
      <c r="CI38" s="1724">
        <v>18.829999999999998</v>
      </c>
      <c r="CJ38" s="1724">
        <v>4130687.05</v>
      </c>
      <c r="CK38" s="1724">
        <v>100</v>
      </c>
      <c r="CL38" s="1725"/>
      <c r="CM38" s="1726"/>
      <c r="CN38" s="1727"/>
      <c r="CO38" s="1728"/>
      <c r="CP38" s="1726"/>
      <c r="CQ38" s="1724">
        <v>3352807.77</v>
      </c>
      <c r="CR38" s="1724">
        <v>3352807.77</v>
      </c>
      <c r="CS38" s="1724">
        <v>0</v>
      </c>
      <c r="CT38" s="1728"/>
      <c r="CU38" s="1726"/>
      <c r="CV38" s="1724">
        <v>4130687.05</v>
      </c>
      <c r="CW38" s="1724">
        <v>0</v>
      </c>
      <c r="CX38" s="1724">
        <v>0</v>
      </c>
      <c r="CY38" s="1724">
        <v>1470065.81</v>
      </c>
      <c r="CZ38" s="1724">
        <v>2656121.2400000002</v>
      </c>
      <c r="DA38" s="1724">
        <v>0</v>
      </c>
      <c r="DB38" s="1724">
        <v>0</v>
      </c>
      <c r="DC38" s="1724">
        <v>4500</v>
      </c>
      <c r="DD38" s="1724">
        <v>3352807.77</v>
      </c>
      <c r="DE38" s="1724">
        <v>3352807.77</v>
      </c>
      <c r="DF38" s="1724">
        <v>3352807.77</v>
      </c>
      <c r="DG38" s="1724">
        <v>0</v>
      </c>
      <c r="DH38" s="1724">
        <v>777879.28</v>
      </c>
      <c r="DI38" s="1724">
        <v>0</v>
      </c>
      <c r="DJ38" s="1724">
        <v>0</v>
      </c>
      <c r="DK38" s="1724">
        <v>0</v>
      </c>
      <c r="DL38" s="1724">
        <v>0</v>
      </c>
      <c r="DM38" s="1724">
        <v>777879.28</v>
      </c>
      <c r="DN38" s="1724">
        <v>777879.28</v>
      </c>
      <c r="DO38" s="1724">
        <v>0</v>
      </c>
      <c r="DP38" s="1724">
        <v>0</v>
      </c>
      <c r="DQ38" s="1728"/>
      <c r="DR38" s="1727"/>
      <c r="DS38" s="1728"/>
      <c r="DT38" s="1726"/>
      <c r="DU38" s="1728"/>
      <c r="DV38" s="1726"/>
    </row>
    <row r="39" spans="1:126" ht="22.5" x14ac:dyDescent="0.25">
      <c r="A39" s="1662" t="s">
        <v>1745</v>
      </c>
      <c r="B39" s="1662" t="s">
        <v>1719</v>
      </c>
      <c r="C39" s="1662" t="s">
        <v>2619</v>
      </c>
      <c r="D39" s="1662" t="s">
        <v>2620</v>
      </c>
      <c r="E39" s="1662"/>
      <c r="F39" s="1662"/>
      <c r="G39" s="1662"/>
      <c r="H39" s="1662"/>
      <c r="I39" s="1662"/>
      <c r="J39" s="1662"/>
      <c r="K39" s="1668"/>
      <c r="L39" s="1668"/>
      <c r="M39" s="1662"/>
      <c r="N39" s="1662"/>
      <c r="O39" s="1662"/>
      <c r="P39" s="1662"/>
      <c r="Q39" s="1662"/>
      <c r="R39" s="1662"/>
      <c r="S39" s="1662"/>
      <c r="T39" s="1662"/>
      <c r="U39" s="1662"/>
      <c r="V39" s="1662"/>
      <c r="W39" s="1662"/>
      <c r="X39" s="1662"/>
      <c r="Y39" s="1662"/>
      <c r="Z39" s="1662"/>
      <c r="AA39" s="1662"/>
      <c r="AB39" s="1662"/>
      <c r="AC39" s="1662"/>
      <c r="AD39" s="1662"/>
      <c r="AE39" s="1662"/>
      <c r="AF39" s="1662"/>
      <c r="AG39" s="1662"/>
      <c r="AH39" s="1662"/>
      <c r="AI39" s="1662"/>
      <c r="AJ39" s="1662"/>
      <c r="AK39" s="1662"/>
      <c r="AL39" s="1662"/>
      <c r="AM39" s="1663"/>
      <c r="AN39" s="1662"/>
      <c r="AO39" s="1662"/>
      <c r="AP39" s="1662"/>
      <c r="AQ39" s="1662"/>
      <c r="AR39" s="1662"/>
      <c r="AS39" s="1662"/>
      <c r="AT39" s="1662"/>
      <c r="AU39" s="1662"/>
      <c r="AV39" s="1662"/>
      <c r="AW39" s="1662"/>
      <c r="AX39" s="1662"/>
      <c r="AY39" s="1662"/>
      <c r="AZ39" s="1662"/>
      <c r="BA39" s="1662"/>
      <c r="BB39" s="1662"/>
      <c r="BC39" s="1662"/>
      <c r="BD39" s="1662"/>
      <c r="BE39" s="1662"/>
      <c r="BF39" s="1662"/>
      <c r="BG39" s="1662"/>
      <c r="BH39" s="1662"/>
      <c r="BI39" s="1662"/>
      <c r="BJ39" s="1662"/>
      <c r="BK39" s="1662"/>
      <c r="BL39" s="1662"/>
      <c r="BM39" s="1662"/>
      <c r="BN39" s="1663"/>
      <c r="BO39" s="1668"/>
      <c r="BP39" s="1668"/>
      <c r="BQ39" s="1662"/>
      <c r="BR39" s="1668"/>
      <c r="BS39" s="1662"/>
      <c r="BT39" s="1662"/>
      <c r="BU39" s="1663"/>
      <c r="BV39" s="1665">
        <v>1005842.33</v>
      </c>
      <c r="BW39" s="1668"/>
      <c r="BX39" s="1668"/>
      <c r="BY39" s="1662"/>
      <c r="BZ39" s="1662"/>
      <c r="CA39" s="1662"/>
      <c r="CB39" s="1662"/>
      <c r="CC39" s="1662"/>
      <c r="CD39" s="1724">
        <v>5340030.33</v>
      </c>
      <c r="CE39" s="1724">
        <v>4130687.05</v>
      </c>
      <c r="CF39" s="1724">
        <v>3352807.77</v>
      </c>
      <c r="CG39" s="1724">
        <v>81.17</v>
      </c>
      <c r="CH39" s="1724">
        <v>777879.28</v>
      </c>
      <c r="CI39" s="1724">
        <v>18.829999999999998</v>
      </c>
      <c r="CJ39" s="1724">
        <v>4130687.05</v>
      </c>
      <c r="CK39" s="1724">
        <v>100</v>
      </c>
      <c r="CL39" s="1725"/>
      <c r="CM39" s="1726"/>
      <c r="CN39" s="1727"/>
      <c r="CO39" s="1728"/>
      <c r="CP39" s="1726"/>
      <c r="CQ39" s="1724">
        <v>3352807.77</v>
      </c>
      <c r="CR39" s="1724">
        <v>3352807.77</v>
      </c>
      <c r="CS39" s="1724">
        <v>0</v>
      </c>
      <c r="CT39" s="1728"/>
      <c r="CU39" s="1726"/>
      <c r="CV39" s="1724">
        <v>4130687.05</v>
      </c>
      <c r="CW39" s="1724">
        <v>0</v>
      </c>
      <c r="CX39" s="1724">
        <v>0</v>
      </c>
      <c r="CY39" s="1724">
        <v>1470065.81</v>
      </c>
      <c r="CZ39" s="1724">
        <v>2656121.2400000002</v>
      </c>
      <c r="DA39" s="1724">
        <v>0</v>
      </c>
      <c r="DB39" s="1724">
        <v>0</v>
      </c>
      <c r="DC39" s="1724">
        <v>4500</v>
      </c>
      <c r="DD39" s="1724">
        <v>3352807.77</v>
      </c>
      <c r="DE39" s="1724">
        <v>3352807.77</v>
      </c>
      <c r="DF39" s="1724">
        <v>3352807.77</v>
      </c>
      <c r="DG39" s="1724">
        <v>0</v>
      </c>
      <c r="DH39" s="1724">
        <v>777879.28</v>
      </c>
      <c r="DI39" s="1724">
        <v>0</v>
      </c>
      <c r="DJ39" s="1724">
        <v>0</v>
      </c>
      <c r="DK39" s="1724">
        <v>0</v>
      </c>
      <c r="DL39" s="1724">
        <v>0</v>
      </c>
      <c r="DM39" s="1724">
        <v>777879.28</v>
      </c>
      <c r="DN39" s="1724">
        <v>777879.28</v>
      </c>
      <c r="DO39" s="1724">
        <v>0</v>
      </c>
      <c r="DP39" s="1724">
        <v>0</v>
      </c>
      <c r="DQ39" s="1728"/>
      <c r="DR39" s="1727"/>
      <c r="DS39" s="1728"/>
      <c r="DT39" s="1726"/>
      <c r="DU39" s="1728"/>
      <c r="DV39" s="1726"/>
    </row>
    <row r="40" spans="1:126" ht="45" x14ac:dyDescent="0.25">
      <c r="A40" s="1662" t="s">
        <v>1746</v>
      </c>
      <c r="B40" s="1662" t="s">
        <v>1719</v>
      </c>
      <c r="C40" s="1662" t="s">
        <v>2619</v>
      </c>
      <c r="D40" s="1662" t="s">
        <v>2620</v>
      </c>
      <c r="E40" s="1662" t="s">
        <v>191</v>
      </c>
      <c r="F40" s="1662" t="s">
        <v>2929</v>
      </c>
      <c r="G40" s="1662"/>
      <c r="H40" s="1662"/>
      <c r="I40" s="1662"/>
      <c r="J40" s="1662"/>
      <c r="K40" s="1668"/>
      <c r="L40" s="1668"/>
      <c r="M40" s="1662"/>
      <c r="N40" s="1662"/>
      <c r="O40" s="1662"/>
      <c r="P40" s="1662"/>
      <c r="Q40" s="1662"/>
      <c r="R40" s="1662"/>
      <c r="S40" s="1662"/>
      <c r="T40" s="1662"/>
      <c r="U40" s="1662"/>
      <c r="V40" s="1662"/>
      <c r="W40" s="1662"/>
      <c r="X40" s="1662"/>
      <c r="Y40" s="1662"/>
      <c r="Z40" s="1662"/>
      <c r="AA40" s="1662"/>
      <c r="AB40" s="1662"/>
      <c r="AC40" s="1662"/>
      <c r="AD40" s="1662"/>
      <c r="AE40" s="1662"/>
      <c r="AF40" s="1662"/>
      <c r="AG40" s="1662"/>
      <c r="AH40" s="1662"/>
      <c r="AI40" s="1662"/>
      <c r="AJ40" s="1662"/>
      <c r="AK40" s="1662"/>
      <c r="AL40" s="1662"/>
      <c r="AM40" s="1663"/>
      <c r="AN40" s="1662"/>
      <c r="AO40" s="1662"/>
      <c r="AP40" s="1662"/>
      <c r="AQ40" s="1662"/>
      <c r="AR40" s="1662"/>
      <c r="AS40" s="1662"/>
      <c r="AT40" s="1662"/>
      <c r="AU40" s="1662"/>
      <c r="AV40" s="1662"/>
      <c r="AW40" s="1662"/>
      <c r="AX40" s="1662"/>
      <c r="AY40" s="1662"/>
      <c r="AZ40" s="1662"/>
      <c r="BA40" s="1662"/>
      <c r="BB40" s="1662"/>
      <c r="BC40" s="1662"/>
      <c r="BD40" s="1662"/>
      <c r="BE40" s="1662"/>
      <c r="BF40" s="1662"/>
      <c r="BG40" s="1662"/>
      <c r="BH40" s="1662"/>
      <c r="BI40" s="1662"/>
      <c r="BJ40" s="1662"/>
      <c r="BK40" s="1662"/>
      <c r="BL40" s="1662"/>
      <c r="BM40" s="1662"/>
      <c r="BN40" s="1663"/>
      <c r="BO40" s="1668"/>
      <c r="BP40" s="1668"/>
      <c r="BQ40" s="1662"/>
      <c r="BR40" s="1668"/>
      <c r="BS40" s="1662"/>
      <c r="BT40" s="1662"/>
      <c r="BU40" s="1663"/>
      <c r="BV40" s="1665">
        <v>1005842.33</v>
      </c>
      <c r="BW40" s="1668"/>
      <c r="BX40" s="1668"/>
      <c r="BY40" s="1662"/>
      <c r="BZ40" s="1662"/>
      <c r="CA40" s="1662"/>
      <c r="CB40" s="1662"/>
      <c r="CC40" s="1662"/>
      <c r="CD40" s="1724">
        <v>5340030.33</v>
      </c>
      <c r="CE40" s="1724">
        <v>4130687.05</v>
      </c>
      <c r="CF40" s="1724">
        <v>3352807.77</v>
      </c>
      <c r="CG40" s="1724">
        <v>81.17</v>
      </c>
      <c r="CH40" s="1724">
        <v>777879.28</v>
      </c>
      <c r="CI40" s="1724">
        <v>18.829999999999998</v>
      </c>
      <c r="CJ40" s="1724">
        <v>4130687.05</v>
      </c>
      <c r="CK40" s="1724">
        <v>100</v>
      </c>
      <c r="CL40" s="1725"/>
      <c r="CM40" s="1726"/>
      <c r="CN40" s="1727"/>
      <c r="CO40" s="1728"/>
      <c r="CP40" s="1726"/>
      <c r="CQ40" s="1724">
        <v>3352807.77</v>
      </c>
      <c r="CR40" s="1724">
        <v>3352807.77</v>
      </c>
      <c r="CS40" s="1724">
        <v>0</v>
      </c>
      <c r="CT40" s="1728"/>
      <c r="CU40" s="1726"/>
      <c r="CV40" s="1724">
        <v>4130687.05</v>
      </c>
      <c r="CW40" s="1724">
        <v>0</v>
      </c>
      <c r="CX40" s="1724">
        <v>0</v>
      </c>
      <c r="CY40" s="1724">
        <v>1470065.81</v>
      </c>
      <c r="CZ40" s="1724">
        <v>2656121.2400000002</v>
      </c>
      <c r="DA40" s="1724">
        <v>0</v>
      </c>
      <c r="DB40" s="1724">
        <v>0</v>
      </c>
      <c r="DC40" s="1724">
        <v>4500</v>
      </c>
      <c r="DD40" s="1724">
        <v>3352807.77</v>
      </c>
      <c r="DE40" s="1724">
        <v>3352807.77</v>
      </c>
      <c r="DF40" s="1724">
        <v>3352807.77</v>
      </c>
      <c r="DG40" s="1724">
        <v>0</v>
      </c>
      <c r="DH40" s="1724">
        <v>777879.28</v>
      </c>
      <c r="DI40" s="1724">
        <v>0</v>
      </c>
      <c r="DJ40" s="1724">
        <v>0</v>
      </c>
      <c r="DK40" s="1724">
        <v>0</v>
      </c>
      <c r="DL40" s="1724">
        <v>0</v>
      </c>
      <c r="DM40" s="1724">
        <v>777879.28</v>
      </c>
      <c r="DN40" s="1724">
        <v>777879.28</v>
      </c>
      <c r="DO40" s="1724">
        <v>0</v>
      </c>
      <c r="DP40" s="1724">
        <v>0</v>
      </c>
      <c r="DQ40" s="1728"/>
      <c r="DR40" s="1727"/>
      <c r="DS40" s="1728"/>
      <c r="DT40" s="1726"/>
      <c r="DU40" s="1728"/>
      <c r="DV40" s="1726"/>
    </row>
    <row r="41" spans="1:126" ht="348.75" x14ac:dyDescent="0.25">
      <c r="A41" s="1662" t="s">
        <v>1747</v>
      </c>
      <c r="B41" s="1662" t="s">
        <v>1719</v>
      </c>
      <c r="C41" s="1662" t="s">
        <v>2619</v>
      </c>
      <c r="D41" s="1662" t="s">
        <v>2620</v>
      </c>
      <c r="E41" s="1662" t="s">
        <v>191</v>
      </c>
      <c r="F41" s="1662" t="s">
        <v>2929</v>
      </c>
      <c r="G41" s="1662" t="s">
        <v>2616</v>
      </c>
      <c r="H41" s="1662" t="s">
        <v>2617</v>
      </c>
      <c r="I41" s="1662" t="s">
        <v>2618</v>
      </c>
      <c r="J41" s="1662" t="s">
        <v>742</v>
      </c>
      <c r="K41" s="1664">
        <v>42832</v>
      </c>
      <c r="L41" s="1664">
        <v>42957</v>
      </c>
      <c r="M41" s="1662" t="s">
        <v>2134</v>
      </c>
      <c r="N41" s="1662" t="s">
        <v>2109</v>
      </c>
      <c r="O41" s="1662" t="s">
        <v>2930</v>
      </c>
      <c r="P41" s="1662" t="s">
        <v>2833</v>
      </c>
      <c r="Q41" s="1662" t="s">
        <v>1746</v>
      </c>
      <c r="R41" s="1662" t="s">
        <v>2833</v>
      </c>
      <c r="S41" s="1662" t="s">
        <v>2833</v>
      </c>
      <c r="T41" s="1662"/>
      <c r="U41" s="1662" t="s">
        <v>2834</v>
      </c>
      <c r="V41" s="1662" t="s">
        <v>2833</v>
      </c>
      <c r="W41" s="1662" t="s">
        <v>2833</v>
      </c>
      <c r="X41" s="1662"/>
      <c r="Y41" s="1662" t="s">
        <v>2833</v>
      </c>
      <c r="Z41" s="1662"/>
      <c r="AA41" s="1662"/>
      <c r="AB41" s="1662" t="s">
        <v>2833</v>
      </c>
      <c r="AC41" s="1662" t="s">
        <v>2833</v>
      </c>
      <c r="AD41" s="1662" t="s">
        <v>2833</v>
      </c>
      <c r="AE41" s="1662"/>
      <c r="AF41" s="1662" t="s">
        <v>2931</v>
      </c>
      <c r="AG41" s="1662" t="s">
        <v>2932</v>
      </c>
      <c r="AH41" s="1662" t="s">
        <v>2915</v>
      </c>
      <c r="AI41" s="1662" t="s">
        <v>2838</v>
      </c>
      <c r="AJ41" s="1662" t="s">
        <v>2839</v>
      </c>
      <c r="AK41" s="1662" t="s">
        <v>2916</v>
      </c>
      <c r="AL41" s="1662" t="s">
        <v>2933</v>
      </c>
      <c r="AM41" s="1665">
        <v>100</v>
      </c>
      <c r="AN41" s="1662"/>
      <c r="AO41" s="1662"/>
      <c r="AP41" s="1662"/>
      <c r="AQ41" s="1662"/>
      <c r="AR41" s="1662"/>
      <c r="AS41" s="1662"/>
      <c r="AT41" s="1662" t="s">
        <v>2870</v>
      </c>
      <c r="AU41" s="1662" t="s">
        <v>2842</v>
      </c>
      <c r="AV41" s="1662" t="s">
        <v>2934</v>
      </c>
      <c r="AW41" s="1662"/>
      <c r="AX41" s="1662" t="s">
        <v>2919</v>
      </c>
      <c r="AY41" s="1662" t="s">
        <v>2874</v>
      </c>
      <c r="AZ41" s="1662" t="s">
        <v>2935</v>
      </c>
      <c r="BA41" s="1662" t="s">
        <v>2936</v>
      </c>
      <c r="BB41" s="1662" t="s">
        <v>2833</v>
      </c>
      <c r="BC41" s="1662" t="s">
        <v>2922</v>
      </c>
      <c r="BD41" s="1662" t="s">
        <v>2937</v>
      </c>
      <c r="BE41" s="1662" t="s">
        <v>2938</v>
      </c>
      <c r="BF41" s="1662" t="s">
        <v>2939</v>
      </c>
      <c r="BG41" s="1662" t="s">
        <v>2940</v>
      </c>
      <c r="BH41" s="1662" t="s">
        <v>2880</v>
      </c>
      <c r="BI41" s="1662" t="s">
        <v>2881</v>
      </c>
      <c r="BJ41" s="1662" t="s">
        <v>2882</v>
      </c>
      <c r="BK41" s="1662" t="s">
        <v>2870</v>
      </c>
      <c r="BL41" s="1662" t="s">
        <v>2833</v>
      </c>
      <c r="BM41" s="1662" t="s">
        <v>2833</v>
      </c>
      <c r="BN41" s="1665">
        <v>0</v>
      </c>
      <c r="BO41" s="1664">
        <v>42957</v>
      </c>
      <c r="BP41" s="1664">
        <v>43565</v>
      </c>
      <c r="BQ41" s="1662" t="s">
        <v>2855</v>
      </c>
      <c r="BR41" s="1664">
        <v>45716</v>
      </c>
      <c r="BS41" s="1662" t="s">
        <v>2941</v>
      </c>
      <c r="BT41" s="1662" t="s">
        <v>2942</v>
      </c>
      <c r="BU41" s="1665">
        <v>30</v>
      </c>
      <c r="BV41" s="1665">
        <v>1005842.33</v>
      </c>
      <c r="BW41" s="1664">
        <v>43595</v>
      </c>
      <c r="BX41" s="1668"/>
      <c r="BY41" s="1662" t="s">
        <v>2096</v>
      </c>
      <c r="BZ41" s="1662" t="s">
        <v>2858</v>
      </c>
      <c r="CA41" s="1662" t="s">
        <v>2859</v>
      </c>
      <c r="CB41" s="1662" t="s">
        <v>2859</v>
      </c>
      <c r="CC41" s="1662" t="s">
        <v>2860</v>
      </c>
      <c r="CD41" s="1724">
        <v>5340030.33</v>
      </c>
      <c r="CE41" s="1724">
        <v>4130687.05</v>
      </c>
      <c r="CF41" s="1724">
        <v>3352807.77</v>
      </c>
      <c r="CG41" s="1724">
        <v>81.17</v>
      </c>
      <c r="CH41" s="1724">
        <v>777879.28</v>
      </c>
      <c r="CI41" s="1724">
        <v>18.829999999999998</v>
      </c>
      <c r="CJ41" s="1724">
        <v>4130687.05</v>
      </c>
      <c r="CK41" s="1724">
        <v>100</v>
      </c>
      <c r="CL41" s="1725" t="s">
        <v>2861</v>
      </c>
      <c r="CM41" s="1729">
        <v>42923</v>
      </c>
      <c r="CN41" s="1727"/>
      <c r="CO41" s="1728"/>
      <c r="CP41" s="1726"/>
      <c r="CQ41" s="1724">
        <v>3352807.77</v>
      </c>
      <c r="CR41" s="1724">
        <v>3352807.77</v>
      </c>
      <c r="CS41" s="1724">
        <v>0</v>
      </c>
      <c r="CT41" s="1728" t="s">
        <v>2861</v>
      </c>
      <c r="CU41" s="1729">
        <v>42943</v>
      </c>
      <c r="CV41" s="1724">
        <v>4130687.05</v>
      </c>
      <c r="CW41" s="1724">
        <v>0</v>
      </c>
      <c r="CX41" s="1724">
        <v>0</v>
      </c>
      <c r="CY41" s="1724">
        <v>1470065.81</v>
      </c>
      <c r="CZ41" s="1724">
        <v>2656121.2400000002</v>
      </c>
      <c r="DA41" s="1724">
        <v>0</v>
      </c>
      <c r="DB41" s="1724">
        <v>0</v>
      </c>
      <c r="DC41" s="1724">
        <v>4500</v>
      </c>
      <c r="DD41" s="1724">
        <v>3352807.77</v>
      </c>
      <c r="DE41" s="1724">
        <v>3352807.77</v>
      </c>
      <c r="DF41" s="1724">
        <v>3352807.77</v>
      </c>
      <c r="DG41" s="1724">
        <v>0</v>
      </c>
      <c r="DH41" s="1724">
        <v>777879.28</v>
      </c>
      <c r="DI41" s="1724">
        <v>0</v>
      </c>
      <c r="DJ41" s="1724">
        <v>0</v>
      </c>
      <c r="DK41" s="1724">
        <v>0</v>
      </c>
      <c r="DL41" s="1724">
        <v>0</v>
      </c>
      <c r="DM41" s="1724">
        <v>777879.28</v>
      </c>
      <c r="DN41" s="1724">
        <v>777879.28</v>
      </c>
      <c r="DO41" s="1724">
        <v>0</v>
      </c>
      <c r="DP41" s="1724">
        <v>0</v>
      </c>
      <c r="DQ41" s="1728" t="s">
        <v>2928</v>
      </c>
      <c r="DR41" s="1724">
        <v>0</v>
      </c>
      <c r="DS41" s="1728" t="s">
        <v>2833</v>
      </c>
      <c r="DT41" s="1726"/>
      <c r="DU41" s="1728" t="s">
        <v>2833</v>
      </c>
      <c r="DV41" s="1726"/>
    </row>
    <row r="42" spans="1:126" x14ac:dyDescent="0.25">
      <c r="A42" s="1662" t="s">
        <v>1748</v>
      </c>
      <c r="B42" s="1662" t="s">
        <v>1719</v>
      </c>
      <c r="C42" s="1662" t="s">
        <v>2621</v>
      </c>
      <c r="D42" s="1662"/>
      <c r="E42" s="1662"/>
      <c r="F42" s="1662"/>
      <c r="G42" s="1662"/>
      <c r="H42" s="1662"/>
      <c r="I42" s="1662"/>
      <c r="J42" s="1662"/>
      <c r="K42" s="1668"/>
      <c r="L42" s="1668"/>
      <c r="M42" s="1662"/>
      <c r="N42" s="1662"/>
      <c r="O42" s="1662"/>
      <c r="P42" s="1662"/>
      <c r="Q42" s="1662"/>
      <c r="R42" s="1662"/>
      <c r="S42" s="1662"/>
      <c r="T42" s="1662"/>
      <c r="U42" s="1662"/>
      <c r="V42" s="1662"/>
      <c r="W42" s="1662"/>
      <c r="X42" s="1662"/>
      <c r="Y42" s="1662"/>
      <c r="Z42" s="1662"/>
      <c r="AA42" s="1662"/>
      <c r="AB42" s="1662"/>
      <c r="AC42" s="1662"/>
      <c r="AD42" s="1662"/>
      <c r="AE42" s="1662"/>
      <c r="AF42" s="1662"/>
      <c r="AG42" s="1662"/>
      <c r="AH42" s="1662"/>
      <c r="AI42" s="1662"/>
      <c r="AJ42" s="1662"/>
      <c r="AK42" s="1662"/>
      <c r="AL42" s="1662"/>
      <c r="AM42" s="1663"/>
      <c r="AN42" s="1662"/>
      <c r="AO42" s="1662"/>
      <c r="AP42" s="1662"/>
      <c r="AQ42" s="1662"/>
      <c r="AR42" s="1662"/>
      <c r="AS42" s="1662"/>
      <c r="AT42" s="1662"/>
      <c r="AU42" s="1662"/>
      <c r="AV42" s="1662"/>
      <c r="AW42" s="1662"/>
      <c r="AX42" s="1662"/>
      <c r="AY42" s="1662"/>
      <c r="AZ42" s="1662"/>
      <c r="BA42" s="1662"/>
      <c r="BB42" s="1662"/>
      <c r="BC42" s="1662"/>
      <c r="BD42" s="1662"/>
      <c r="BE42" s="1662"/>
      <c r="BF42" s="1662"/>
      <c r="BG42" s="1662"/>
      <c r="BH42" s="1662"/>
      <c r="BI42" s="1662"/>
      <c r="BJ42" s="1662"/>
      <c r="BK42" s="1662"/>
      <c r="BL42" s="1662"/>
      <c r="BM42" s="1662"/>
      <c r="BN42" s="1663"/>
      <c r="BO42" s="1668"/>
      <c r="BP42" s="1668"/>
      <c r="BQ42" s="1662"/>
      <c r="BR42" s="1668"/>
      <c r="BS42" s="1662"/>
      <c r="BT42" s="1662"/>
      <c r="BU42" s="1663"/>
      <c r="BV42" s="1665">
        <v>793798.88</v>
      </c>
      <c r="BW42" s="1668"/>
      <c r="BX42" s="1668"/>
      <c r="BY42" s="1662"/>
      <c r="BZ42" s="1662"/>
      <c r="CA42" s="1662"/>
      <c r="CB42" s="1662"/>
      <c r="CC42" s="1662"/>
      <c r="CD42" s="1724">
        <v>16460334.08</v>
      </c>
      <c r="CE42" s="1724">
        <v>13600026.08</v>
      </c>
      <c r="CF42" s="1724">
        <v>7397173.5999999996</v>
      </c>
      <c r="CG42" s="1724">
        <v>54.39</v>
      </c>
      <c r="CH42" s="1724">
        <v>6202852.4800000004</v>
      </c>
      <c r="CI42" s="1724">
        <v>45.61</v>
      </c>
      <c r="CJ42" s="1724">
        <v>13600026.08</v>
      </c>
      <c r="CK42" s="1724">
        <v>100</v>
      </c>
      <c r="CL42" s="1725"/>
      <c r="CM42" s="1726"/>
      <c r="CN42" s="1727"/>
      <c r="CO42" s="1728"/>
      <c r="CP42" s="1726"/>
      <c r="CQ42" s="1724">
        <v>8792245.2400000002</v>
      </c>
      <c r="CR42" s="1724">
        <v>8792245.2400000002</v>
      </c>
      <c r="CS42" s="1724">
        <v>0</v>
      </c>
      <c r="CT42" s="1728"/>
      <c r="CU42" s="1726"/>
      <c r="CV42" s="1724">
        <v>13600026.08</v>
      </c>
      <c r="CW42" s="1724">
        <v>0</v>
      </c>
      <c r="CX42" s="1724">
        <v>0</v>
      </c>
      <c r="CY42" s="1724">
        <v>13513682.810000001</v>
      </c>
      <c r="CZ42" s="1724">
        <v>0</v>
      </c>
      <c r="DA42" s="1724">
        <v>34700</v>
      </c>
      <c r="DB42" s="1724">
        <v>2000</v>
      </c>
      <c r="DC42" s="1724">
        <v>49643.27</v>
      </c>
      <c r="DD42" s="1724">
        <v>7397173.5999999996</v>
      </c>
      <c r="DE42" s="1724">
        <v>7397173.5999999996</v>
      </c>
      <c r="DF42" s="1724">
        <v>7397173.5999999996</v>
      </c>
      <c r="DG42" s="1724">
        <v>0</v>
      </c>
      <c r="DH42" s="1724">
        <v>6202852.4800000004</v>
      </c>
      <c r="DI42" s="1724">
        <v>0</v>
      </c>
      <c r="DJ42" s="1724">
        <v>0</v>
      </c>
      <c r="DK42" s="1724">
        <v>0</v>
      </c>
      <c r="DL42" s="1724">
        <v>0</v>
      </c>
      <c r="DM42" s="1724">
        <v>6202852.4800000004</v>
      </c>
      <c r="DN42" s="1724">
        <v>4846852.4800000004</v>
      </c>
      <c r="DO42" s="1724">
        <v>1356000</v>
      </c>
      <c r="DP42" s="1724">
        <v>0</v>
      </c>
      <c r="DQ42" s="1728"/>
      <c r="DR42" s="1727"/>
      <c r="DS42" s="1728"/>
      <c r="DT42" s="1726"/>
      <c r="DU42" s="1728"/>
      <c r="DV42" s="1726"/>
    </row>
    <row r="43" spans="1:126" ht="22.5" x14ac:dyDescent="0.25">
      <c r="A43" s="1662" t="s">
        <v>1749</v>
      </c>
      <c r="B43" s="1662" t="s">
        <v>1719</v>
      </c>
      <c r="C43" s="1662" t="s">
        <v>2621</v>
      </c>
      <c r="D43" s="1662" t="s">
        <v>2622</v>
      </c>
      <c r="E43" s="1662"/>
      <c r="F43" s="1662"/>
      <c r="G43" s="1662"/>
      <c r="H43" s="1662"/>
      <c r="I43" s="1662"/>
      <c r="J43" s="1662"/>
      <c r="K43" s="1668"/>
      <c r="L43" s="1668"/>
      <c r="M43" s="1662"/>
      <c r="N43" s="1662"/>
      <c r="O43" s="1662"/>
      <c r="P43" s="1662"/>
      <c r="Q43" s="1662"/>
      <c r="R43" s="1662"/>
      <c r="S43" s="1662"/>
      <c r="T43" s="1662"/>
      <c r="U43" s="1662"/>
      <c r="V43" s="1662"/>
      <c r="W43" s="1662"/>
      <c r="X43" s="1662"/>
      <c r="Y43" s="1662"/>
      <c r="Z43" s="1662"/>
      <c r="AA43" s="1662"/>
      <c r="AB43" s="1662"/>
      <c r="AC43" s="1662"/>
      <c r="AD43" s="1662"/>
      <c r="AE43" s="1662"/>
      <c r="AF43" s="1662"/>
      <c r="AG43" s="1662"/>
      <c r="AH43" s="1662"/>
      <c r="AI43" s="1662"/>
      <c r="AJ43" s="1662"/>
      <c r="AK43" s="1662"/>
      <c r="AL43" s="1662"/>
      <c r="AM43" s="1663"/>
      <c r="AN43" s="1662"/>
      <c r="AO43" s="1662"/>
      <c r="AP43" s="1662"/>
      <c r="AQ43" s="1662"/>
      <c r="AR43" s="1662"/>
      <c r="AS43" s="1662"/>
      <c r="AT43" s="1662"/>
      <c r="AU43" s="1662"/>
      <c r="AV43" s="1662"/>
      <c r="AW43" s="1662"/>
      <c r="AX43" s="1662"/>
      <c r="AY43" s="1662"/>
      <c r="AZ43" s="1662"/>
      <c r="BA43" s="1662"/>
      <c r="BB43" s="1662"/>
      <c r="BC43" s="1662"/>
      <c r="BD43" s="1662"/>
      <c r="BE43" s="1662"/>
      <c r="BF43" s="1662"/>
      <c r="BG43" s="1662"/>
      <c r="BH43" s="1662"/>
      <c r="BI43" s="1662"/>
      <c r="BJ43" s="1662"/>
      <c r="BK43" s="1662"/>
      <c r="BL43" s="1662"/>
      <c r="BM43" s="1662"/>
      <c r="BN43" s="1663"/>
      <c r="BO43" s="1668"/>
      <c r="BP43" s="1668"/>
      <c r="BQ43" s="1662"/>
      <c r="BR43" s="1668"/>
      <c r="BS43" s="1662"/>
      <c r="BT43" s="1662"/>
      <c r="BU43" s="1663"/>
      <c r="BV43" s="1665">
        <v>793798.88</v>
      </c>
      <c r="BW43" s="1668"/>
      <c r="BX43" s="1668"/>
      <c r="BY43" s="1662"/>
      <c r="BZ43" s="1662"/>
      <c r="CA43" s="1662"/>
      <c r="CB43" s="1662"/>
      <c r="CC43" s="1662"/>
      <c r="CD43" s="1724">
        <v>16460334.08</v>
      </c>
      <c r="CE43" s="1724">
        <v>13600026.08</v>
      </c>
      <c r="CF43" s="1724">
        <v>7397173.5999999996</v>
      </c>
      <c r="CG43" s="1724">
        <v>54.39</v>
      </c>
      <c r="CH43" s="1724">
        <v>6202852.4800000004</v>
      </c>
      <c r="CI43" s="1724">
        <v>45.61</v>
      </c>
      <c r="CJ43" s="1724">
        <v>13600026.08</v>
      </c>
      <c r="CK43" s="1724">
        <v>100</v>
      </c>
      <c r="CL43" s="1725"/>
      <c r="CM43" s="1726"/>
      <c r="CN43" s="1727"/>
      <c r="CO43" s="1728"/>
      <c r="CP43" s="1726"/>
      <c r="CQ43" s="1724">
        <v>8792245.2400000002</v>
      </c>
      <c r="CR43" s="1724">
        <v>8792245.2400000002</v>
      </c>
      <c r="CS43" s="1724">
        <v>0</v>
      </c>
      <c r="CT43" s="1728"/>
      <c r="CU43" s="1726"/>
      <c r="CV43" s="1724">
        <v>13600026.08</v>
      </c>
      <c r="CW43" s="1724">
        <v>0</v>
      </c>
      <c r="CX43" s="1724">
        <v>0</v>
      </c>
      <c r="CY43" s="1724">
        <v>13513682.810000001</v>
      </c>
      <c r="CZ43" s="1724">
        <v>0</v>
      </c>
      <c r="DA43" s="1724">
        <v>34700</v>
      </c>
      <c r="DB43" s="1724">
        <v>2000</v>
      </c>
      <c r="DC43" s="1724">
        <v>49643.27</v>
      </c>
      <c r="DD43" s="1724">
        <v>7397173.5999999996</v>
      </c>
      <c r="DE43" s="1724">
        <v>7397173.5999999996</v>
      </c>
      <c r="DF43" s="1724">
        <v>7397173.5999999996</v>
      </c>
      <c r="DG43" s="1724">
        <v>0</v>
      </c>
      <c r="DH43" s="1724">
        <v>6202852.4800000004</v>
      </c>
      <c r="DI43" s="1724">
        <v>0</v>
      </c>
      <c r="DJ43" s="1724">
        <v>0</v>
      </c>
      <c r="DK43" s="1724">
        <v>0</v>
      </c>
      <c r="DL43" s="1724">
        <v>0</v>
      </c>
      <c r="DM43" s="1724">
        <v>6202852.4800000004</v>
      </c>
      <c r="DN43" s="1724">
        <v>4846852.4800000004</v>
      </c>
      <c r="DO43" s="1724">
        <v>1356000</v>
      </c>
      <c r="DP43" s="1724">
        <v>0</v>
      </c>
      <c r="DQ43" s="1728"/>
      <c r="DR43" s="1727"/>
      <c r="DS43" s="1728"/>
      <c r="DT43" s="1726"/>
      <c r="DU43" s="1728"/>
      <c r="DV43" s="1726"/>
    </row>
    <row r="44" spans="1:126" ht="78.75" x14ac:dyDescent="0.25">
      <c r="A44" s="1662" t="s">
        <v>1750</v>
      </c>
      <c r="B44" s="1662" t="s">
        <v>1719</v>
      </c>
      <c r="C44" s="1662" t="s">
        <v>2621</v>
      </c>
      <c r="D44" s="1662" t="s">
        <v>2622</v>
      </c>
      <c r="E44" s="1662" t="s">
        <v>144</v>
      </c>
      <c r="F44" s="1662" t="s">
        <v>2943</v>
      </c>
      <c r="G44" s="1662"/>
      <c r="H44" s="1662"/>
      <c r="I44" s="1662"/>
      <c r="J44" s="1662"/>
      <c r="K44" s="1668"/>
      <c r="L44" s="1668"/>
      <c r="M44" s="1662"/>
      <c r="N44" s="1662"/>
      <c r="O44" s="1662"/>
      <c r="P44" s="1662"/>
      <c r="Q44" s="1662"/>
      <c r="R44" s="1662"/>
      <c r="S44" s="1662"/>
      <c r="T44" s="1662"/>
      <c r="U44" s="1662"/>
      <c r="V44" s="1662"/>
      <c r="W44" s="1662"/>
      <c r="X44" s="1662"/>
      <c r="Y44" s="1662"/>
      <c r="Z44" s="1662"/>
      <c r="AA44" s="1662"/>
      <c r="AB44" s="1662"/>
      <c r="AC44" s="1662"/>
      <c r="AD44" s="1662"/>
      <c r="AE44" s="1662"/>
      <c r="AF44" s="1662"/>
      <c r="AG44" s="1662"/>
      <c r="AH44" s="1662"/>
      <c r="AI44" s="1662"/>
      <c r="AJ44" s="1662"/>
      <c r="AK44" s="1662"/>
      <c r="AL44" s="1662"/>
      <c r="AM44" s="1663"/>
      <c r="AN44" s="1662"/>
      <c r="AO44" s="1662"/>
      <c r="AP44" s="1662"/>
      <c r="AQ44" s="1662"/>
      <c r="AR44" s="1662"/>
      <c r="AS44" s="1662"/>
      <c r="AT44" s="1662"/>
      <c r="AU44" s="1662"/>
      <c r="AV44" s="1662"/>
      <c r="AW44" s="1662"/>
      <c r="AX44" s="1662"/>
      <c r="AY44" s="1662"/>
      <c r="AZ44" s="1662"/>
      <c r="BA44" s="1662"/>
      <c r="BB44" s="1662"/>
      <c r="BC44" s="1662"/>
      <c r="BD44" s="1662"/>
      <c r="BE44" s="1662"/>
      <c r="BF44" s="1662"/>
      <c r="BG44" s="1662"/>
      <c r="BH44" s="1662"/>
      <c r="BI44" s="1662"/>
      <c r="BJ44" s="1662"/>
      <c r="BK44" s="1662"/>
      <c r="BL44" s="1662"/>
      <c r="BM44" s="1662"/>
      <c r="BN44" s="1663"/>
      <c r="BO44" s="1668"/>
      <c r="BP44" s="1668"/>
      <c r="BQ44" s="1662"/>
      <c r="BR44" s="1668"/>
      <c r="BS44" s="1662"/>
      <c r="BT44" s="1662"/>
      <c r="BU44" s="1663"/>
      <c r="BV44" s="1665">
        <v>793798.88</v>
      </c>
      <c r="BW44" s="1668"/>
      <c r="BX44" s="1668"/>
      <c r="BY44" s="1662"/>
      <c r="BZ44" s="1662"/>
      <c r="CA44" s="1662"/>
      <c r="CB44" s="1662"/>
      <c r="CC44" s="1662"/>
      <c r="CD44" s="1724">
        <v>16460334.08</v>
      </c>
      <c r="CE44" s="1724">
        <v>13600026.08</v>
      </c>
      <c r="CF44" s="1724">
        <v>7397173.5999999996</v>
      </c>
      <c r="CG44" s="1724">
        <v>54.39</v>
      </c>
      <c r="CH44" s="1724">
        <v>6202852.4800000004</v>
      </c>
      <c r="CI44" s="1724">
        <v>45.61</v>
      </c>
      <c r="CJ44" s="1724">
        <v>13600026.08</v>
      </c>
      <c r="CK44" s="1724">
        <v>100</v>
      </c>
      <c r="CL44" s="1725"/>
      <c r="CM44" s="1726"/>
      <c r="CN44" s="1727"/>
      <c r="CO44" s="1728"/>
      <c r="CP44" s="1726"/>
      <c r="CQ44" s="1724">
        <v>8792245.2400000002</v>
      </c>
      <c r="CR44" s="1724">
        <v>8792245.2400000002</v>
      </c>
      <c r="CS44" s="1724">
        <v>0</v>
      </c>
      <c r="CT44" s="1728"/>
      <c r="CU44" s="1726"/>
      <c r="CV44" s="1724">
        <v>13600026.08</v>
      </c>
      <c r="CW44" s="1724">
        <v>0</v>
      </c>
      <c r="CX44" s="1724">
        <v>0</v>
      </c>
      <c r="CY44" s="1724">
        <v>13513682.810000001</v>
      </c>
      <c r="CZ44" s="1724">
        <v>0</v>
      </c>
      <c r="DA44" s="1724">
        <v>34700</v>
      </c>
      <c r="DB44" s="1724">
        <v>2000</v>
      </c>
      <c r="DC44" s="1724">
        <v>49643.27</v>
      </c>
      <c r="DD44" s="1724">
        <v>7397173.5999999996</v>
      </c>
      <c r="DE44" s="1724">
        <v>7397173.5999999996</v>
      </c>
      <c r="DF44" s="1724">
        <v>7397173.5999999996</v>
      </c>
      <c r="DG44" s="1724">
        <v>0</v>
      </c>
      <c r="DH44" s="1724">
        <v>6202852.4800000004</v>
      </c>
      <c r="DI44" s="1724">
        <v>0</v>
      </c>
      <c r="DJ44" s="1724">
        <v>0</v>
      </c>
      <c r="DK44" s="1724">
        <v>0</v>
      </c>
      <c r="DL44" s="1724">
        <v>0</v>
      </c>
      <c r="DM44" s="1724">
        <v>6202852.4800000004</v>
      </c>
      <c r="DN44" s="1724">
        <v>4846852.4800000004</v>
      </c>
      <c r="DO44" s="1724">
        <v>1356000</v>
      </c>
      <c r="DP44" s="1724">
        <v>0</v>
      </c>
      <c r="DQ44" s="1728"/>
      <c r="DR44" s="1727"/>
      <c r="DS44" s="1728"/>
      <c r="DT44" s="1726"/>
      <c r="DU44" s="1728"/>
      <c r="DV44" s="1726"/>
    </row>
    <row r="45" spans="1:126" ht="247.5" x14ac:dyDescent="0.25">
      <c r="A45" s="1662" t="s">
        <v>1751</v>
      </c>
      <c r="B45" s="1662" t="s">
        <v>1719</v>
      </c>
      <c r="C45" s="1662" t="s">
        <v>2621</v>
      </c>
      <c r="D45" s="1662" t="s">
        <v>2622</v>
      </c>
      <c r="E45" s="1662" t="s">
        <v>144</v>
      </c>
      <c r="F45" s="1662" t="s">
        <v>2943</v>
      </c>
      <c r="G45" s="1662" t="s">
        <v>2616</v>
      </c>
      <c r="H45" s="1662" t="s">
        <v>2617</v>
      </c>
      <c r="I45" s="1662" t="s">
        <v>2618</v>
      </c>
      <c r="J45" s="1662" t="s">
        <v>712</v>
      </c>
      <c r="K45" s="1664">
        <v>42671</v>
      </c>
      <c r="L45" s="1664">
        <v>42766</v>
      </c>
      <c r="M45" s="1662" t="s">
        <v>295</v>
      </c>
      <c r="N45" s="1662" t="s">
        <v>2109</v>
      </c>
      <c r="O45" s="1662" t="s">
        <v>2944</v>
      </c>
      <c r="P45" s="1662" t="s">
        <v>2833</v>
      </c>
      <c r="Q45" s="1662" t="s">
        <v>1761</v>
      </c>
      <c r="R45" s="1662" t="s">
        <v>2833</v>
      </c>
      <c r="S45" s="1662" t="s">
        <v>2833</v>
      </c>
      <c r="T45" s="1662"/>
      <c r="U45" s="1662" t="s">
        <v>2834</v>
      </c>
      <c r="V45" s="1662" t="s">
        <v>2861</v>
      </c>
      <c r="W45" s="1662" t="s">
        <v>2833</v>
      </c>
      <c r="X45" s="1662"/>
      <c r="Y45" s="1662" t="s">
        <v>2833</v>
      </c>
      <c r="Z45" s="1662"/>
      <c r="AA45" s="1662"/>
      <c r="AB45" s="1662" t="s">
        <v>2833</v>
      </c>
      <c r="AC45" s="1662" t="s">
        <v>2833</v>
      </c>
      <c r="AD45" s="1662" t="s">
        <v>2833</v>
      </c>
      <c r="AE45" s="1662"/>
      <c r="AF45" s="1662" t="s">
        <v>2945</v>
      </c>
      <c r="AG45" s="1662" t="s">
        <v>2914</v>
      </c>
      <c r="AH45" s="1662" t="s">
        <v>2915</v>
      </c>
      <c r="AI45" s="1662" t="s">
        <v>2838</v>
      </c>
      <c r="AJ45" s="1662" t="s">
        <v>2839</v>
      </c>
      <c r="AK45" s="1662" t="s">
        <v>2916</v>
      </c>
      <c r="AL45" s="1662" t="s">
        <v>2917</v>
      </c>
      <c r="AM45" s="1665">
        <v>100</v>
      </c>
      <c r="AN45" s="1662"/>
      <c r="AO45" s="1662"/>
      <c r="AP45" s="1662"/>
      <c r="AQ45" s="1662"/>
      <c r="AR45" s="1662"/>
      <c r="AS45" s="1662"/>
      <c r="AT45" s="1662" t="s">
        <v>2946</v>
      </c>
      <c r="AU45" s="1662" t="s">
        <v>2842</v>
      </c>
      <c r="AV45" s="1662" t="s">
        <v>2934</v>
      </c>
      <c r="AW45" s="1662"/>
      <c r="AX45" s="1662" t="s">
        <v>2919</v>
      </c>
      <c r="AY45" s="1662" t="s">
        <v>2874</v>
      </c>
      <c r="AZ45" s="1662" t="s">
        <v>2947</v>
      </c>
      <c r="BA45" s="1662" t="s">
        <v>2948</v>
      </c>
      <c r="BB45" s="1662" t="s">
        <v>2833</v>
      </c>
      <c r="BC45" s="1662" t="s">
        <v>2922</v>
      </c>
      <c r="BD45" s="1662" t="s">
        <v>2849</v>
      </c>
      <c r="BE45" s="1662" t="s">
        <v>2949</v>
      </c>
      <c r="BF45" s="1662" t="s">
        <v>2950</v>
      </c>
      <c r="BG45" s="1662" t="s">
        <v>2951</v>
      </c>
      <c r="BH45" s="1662" t="s">
        <v>2050</v>
      </c>
      <c r="BI45" s="1662" t="s">
        <v>2881</v>
      </c>
      <c r="BJ45" s="1662" t="s">
        <v>2900</v>
      </c>
      <c r="BK45" s="1662" t="s">
        <v>2946</v>
      </c>
      <c r="BL45" s="1662" t="s">
        <v>2833</v>
      </c>
      <c r="BM45" s="1662" t="s">
        <v>2833</v>
      </c>
      <c r="BN45" s="1665">
        <v>0</v>
      </c>
      <c r="BO45" s="1664">
        <v>42044</v>
      </c>
      <c r="BP45" s="1664">
        <v>43861</v>
      </c>
      <c r="BQ45" s="1662" t="s">
        <v>2855</v>
      </c>
      <c r="BR45" s="1664">
        <v>45873</v>
      </c>
      <c r="BS45" s="1662" t="s">
        <v>2952</v>
      </c>
      <c r="BT45" s="1662" t="s">
        <v>2953</v>
      </c>
      <c r="BU45" s="1665">
        <v>0</v>
      </c>
      <c r="BV45" s="1665">
        <v>0</v>
      </c>
      <c r="BW45" s="1664">
        <v>43892</v>
      </c>
      <c r="BX45" s="1668"/>
      <c r="BY45" s="1662" t="s">
        <v>2096</v>
      </c>
      <c r="BZ45" s="1662" t="s">
        <v>2858</v>
      </c>
      <c r="CA45" s="1662" t="s">
        <v>2859</v>
      </c>
      <c r="CB45" s="1662" t="s">
        <v>2859</v>
      </c>
      <c r="CC45" s="1662" t="s">
        <v>2860</v>
      </c>
      <c r="CD45" s="1724">
        <v>3000755.51</v>
      </c>
      <c r="CE45" s="1724">
        <v>2477103.23</v>
      </c>
      <c r="CF45" s="1724">
        <v>1614228.26</v>
      </c>
      <c r="CG45" s="1724">
        <v>65.17</v>
      </c>
      <c r="CH45" s="1724">
        <v>862874.97</v>
      </c>
      <c r="CI45" s="1724">
        <v>34.83</v>
      </c>
      <c r="CJ45" s="1724">
        <v>2477103.23</v>
      </c>
      <c r="CK45" s="1724">
        <v>100</v>
      </c>
      <c r="CL45" s="1725" t="s">
        <v>2861</v>
      </c>
      <c r="CM45" s="1729">
        <v>42697</v>
      </c>
      <c r="CN45" s="1727"/>
      <c r="CO45" s="1728"/>
      <c r="CP45" s="1726"/>
      <c r="CQ45" s="1724">
        <v>1614228.26</v>
      </c>
      <c r="CR45" s="1724">
        <v>1614228.26</v>
      </c>
      <c r="CS45" s="1724">
        <v>0</v>
      </c>
      <c r="CT45" s="1728" t="s">
        <v>2861</v>
      </c>
      <c r="CU45" s="1729">
        <v>42726</v>
      </c>
      <c r="CV45" s="1724">
        <v>2477103.23</v>
      </c>
      <c r="CW45" s="1724">
        <v>0</v>
      </c>
      <c r="CX45" s="1724">
        <v>0</v>
      </c>
      <c r="CY45" s="1724">
        <v>2452774.04</v>
      </c>
      <c r="CZ45" s="1724">
        <v>0</v>
      </c>
      <c r="DA45" s="1724">
        <v>8800</v>
      </c>
      <c r="DB45" s="1724">
        <v>1000</v>
      </c>
      <c r="DC45" s="1724">
        <v>14529.19</v>
      </c>
      <c r="DD45" s="1724">
        <v>1614228.26</v>
      </c>
      <c r="DE45" s="1724">
        <v>1614228.26</v>
      </c>
      <c r="DF45" s="1724">
        <v>1614228.26</v>
      </c>
      <c r="DG45" s="1724">
        <v>0</v>
      </c>
      <c r="DH45" s="1724">
        <v>862874.97</v>
      </c>
      <c r="DI45" s="1724">
        <v>0</v>
      </c>
      <c r="DJ45" s="1724">
        <v>0</v>
      </c>
      <c r="DK45" s="1724">
        <v>0</v>
      </c>
      <c r="DL45" s="1724">
        <v>0</v>
      </c>
      <c r="DM45" s="1724">
        <v>862874.97</v>
      </c>
      <c r="DN45" s="1724">
        <v>112874.97</v>
      </c>
      <c r="DO45" s="1724">
        <v>750000</v>
      </c>
      <c r="DP45" s="1724">
        <v>0</v>
      </c>
      <c r="DQ45" s="1728" t="s">
        <v>2928</v>
      </c>
      <c r="DR45" s="1724">
        <v>0</v>
      </c>
      <c r="DS45" s="1728" t="s">
        <v>2833</v>
      </c>
      <c r="DT45" s="1726"/>
      <c r="DU45" s="1728" t="s">
        <v>2833</v>
      </c>
      <c r="DV45" s="1726"/>
    </row>
    <row r="46" spans="1:126" ht="123.75" x14ac:dyDescent="0.25">
      <c r="A46" s="1662" t="s">
        <v>1752</v>
      </c>
      <c r="B46" s="1662" t="s">
        <v>1719</v>
      </c>
      <c r="C46" s="1662" t="s">
        <v>2621</v>
      </c>
      <c r="D46" s="1662" t="s">
        <v>2622</v>
      </c>
      <c r="E46" s="1662" t="s">
        <v>144</v>
      </c>
      <c r="F46" s="1662" t="s">
        <v>2943</v>
      </c>
      <c r="G46" s="1662" t="s">
        <v>2616</v>
      </c>
      <c r="H46" s="1662" t="s">
        <v>2617</v>
      </c>
      <c r="I46" s="1662" t="s">
        <v>2618</v>
      </c>
      <c r="J46" s="1662" t="s">
        <v>713</v>
      </c>
      <c r="K46" s="1664">
        <v>42674</v>
      </c>
      <c r="L46" s="1664">
        <v>42726</v>
      </c>
      <c r="M46" s="1662" t="s">
        <v>393</v>
      </c>
      <c r="N46" s="1662" t="s">
        <v>2109</v>
      </c>
      <c r="O46" s="1662" t="s">
        <v>2954</v>
      </c>
      <c r="P46" s="1662" t="s">
        <v>2833</v>
      </c>
      <c r="Q46" s="1662" t="s">
        <v>1761</v>
      </c>
      <c r="R46" s="1662" t="s">
        <v>2833</v>
      </c>
      <c r="S46" s="1662" t="s">
        <v>2833</v>
      </c>
      <c r="T46" s="1662"/>
      <c r="U46" s="1662" t="s">
        <v>2834</v>
      </c>
      <c r="V46" s="1662" t="s">
        <v>2833</v>
      </c>
      <c r="W46" s="1662" t="s">
        <v>2833</v>
      </c>
      <c r="X46" s="1662"/>
      <c r="Y46" s="1662" t="s">
        <v>2833</v>
      </c>
      <c r="Z46" s="1662"/>
      <c r="AA46" s="1662"/>
      <c r="AB46" s="1662" t="s">
        <v>2833</v>
      </c>
      <c r="AC46" s="1662" t="s">
        <v>2833</v>
      </c>
      <c r="AD46" s="1662" t="s">
        <v>2833</v>
      </c>
      <c r="AE46" s="1662"/>
      <c r="AF46" s="1662" t="s">
        <v>2945</v>
      </c>
      <c r="AG46" s="1662" t="s">
        <v>2955</v>
      </c>
      <c r="AH46" s="1662" t="s">
        <v>2915</v>
      </c>
      <c r="AI46" s="1662" t="s">
        <v>2838</v>
      </c>
      <c r="AJ46" s="1662" t="s">
        <v>2839</v>
      </c>
      <c r="AK46" s="1662" t="s">
        <v>2916</v>
      </c>
      <c r="AL46" s="1662" t="s">
        <v>2956</v>
      </c>
      <c r="AM46" s="1665">
        <v>100</v>
      </c>
      <c r="AN46" s="1662"/>
      <c r="AO46" s="1662"/>
      <c r="AP46" s="1662"/>
      <c r="AQ46" s="1662"/>
      <c r="AR46" s="1662"/>
      <c r="AS46" s="1662"/>
      <c r="AT46" s="1662" t="s">
        <v>2870</v>
      </c>
      <c r="AU46" s="1662" t="s">
        <v>2842</v>
      </c>
      <c r="AV46" s="1662" t="s">
        <v>2934</v>
      </c>
      <c r="AW46" s="1662"/>
      <c r="AX46" s="1662" t="s">
        <v>2919</v>
      </c>
      <c r="AY46" s="1662" t="s">
        <v>2874</v>
      </c>
      <c r="AZ46" s="1662" t="s">
        <v>2920</v>
      </c>
      <c r="BA46" s="1662" t="s">
        <v>2921</v>
      </c>
      <c r="BB46" s="1662" t="s">
        <v>2833</v>
      </c>
      <c r="BC46" s="1662" t="s">
        <v>2922</v>
      </c>
      <c r="BD46" s="1662" t="s">
        <v>2849</v>
      </c>
      <c r="BE46" s="1662" t="s">
        <v>2923</v>
      </c>
      <c r="BF46" s="1662" t="s">
        <v>2957</v>
      </c>
      <c r="BG46" s="1662" t="s">
        <v>2925</v>
      </c>
      <c r="BH46" s="1662" t="s">
        <v>2880</v>
      </c>
      <c r="BI46" s="1662" t="s">
        <v>2881</v>
      </c>
      <c r="BJ46" s="1662" t="s">
        <v>2882</v>
      </c>
      <c r="BK46" s="1662" t="s">
        <v>2870</v>
      </c>
      <c r="BL46" s="1662" t="s">
        <v>2833</v>
      </c>
      <c r="BM46" s="1662" t="s">
        <v>2833</v>
      </c>
      <c r="BN46" s="1665">
        <v>0</v>
      </c>
      <c r="BO46" s="1664">
        <v>42173</v>
      </c>
      <c r="BP46" s="1664">
        <v>43830</v>
      </c>
      <c r="BQ46" s="1662" t="s">
        <v>2855</v>
      </c>
      <c r="BR46" s="1664">
        <v>45646</v>
      </c>
      <c r="BS46" s="1662" t="s">
        <v>2856</v>
      </c>
      <c r="BT46" s="1662" t="s">
        <v>2958</v>
      </c>
      <c r="BU46" s="1665">
        <v>30</v>
      </c>
      <c r="BV46" s="1665">
        <v>793798.88</v>
      </c>
      <c r="BW46" s="1664">
        <v>43861</v>
      </c>
      <c r="BX46" s="1668"/>
      <c r="BY46" s="1662" t="s">
        <v>2096</v>
      </c>
      <c r="BZ46" s="1662" t="s">
        <v>2858</v>
      </c>
      <c r="CA46" s="1662" t="s">
        <v>2859</v>
      </c>
      <c r="CB46" s="1662" t="s">
        <v>2859</v>
      </c>
      <c r="CC46" s="1662" t="s">
        <v>2860</v>
      </c>
      <c r="CD46" s="1724">
        <v>7252640.4299999997</v>
      </c>
      <c r="CE46" s="1724">
        <v>5993883</v>
      </c>
      <c r="CF46" s="1724">
        <v>2645996.25</v>
      </c>
      <c r="CG46" s="1724">
        <v>44.14</v>
      </c>
      <c r="CH46" s="1724">
        <v>3347886.75</v>
      </c>
      <c r="CI46" s="1724">
        <v>55.86</v>
      </c>
      <c r="CJ46" s="1724">
        <v>5993883</v>
      </c>
      <c r="CK46" s="1724">
        <v>100</v>
      </c>
      <c r="CL46" s="1725" t="s">
        <v>2861</v>
      </c>
      <c r="CM46" s="1729">
        <v>42716</v>
      </c>
      <c r="CN46" s="1727"/>
      <c r="CO46" s="1728"/>
      <c r="CP46" s="1726"/>
      <c r="CQ46" s="1724">
        <v>2645996.25</v>
      </c>
      <c r="CR46" s="1724">
        <v>2645996.25</v>
      </c>
      <c r="CS46" s="1724">
        <v>0</v>
      </c>
      <c r="CT46" s="1728" t="s">
        <v>2861</v>
      </c>
      <c r="CU46" s="1729">
        <v>42720</v>
      </c>
      <c r="CV46" s="1724">
        <v>5993883</v>
      </c>
      <c r="CW46" s="1724">
        <v>0</v>
      </c>
      <c r="CX46" s="1724">
        <v>0</v>
      </c>
      <c r="CY46" s="1724">
        <v>5978983</v>
      </c>
      <c r="CZ46" s="1724">
        <v>0</v>
      </c>
      <c r="DA46" s="1724">
        <v>13900</v>
      </c>
      <c r="DB46" s="1724">
        <v>1000</v>
      </c>
      <c r="DC46" s="1724">
        <v>0</v>
      </c>
      <c r="DD46" s="1724">
        <v>2645996.25</v>
      </c>
      <c r="DE46" s="1724">
        <v>2645996.25</v>
      </c>
      <c r="DF46" s="1724">
        <v>2645996.25</v>
      </c>
      <c r="DG46" s="1724">
        <v>0</v>
      </c>
      <c r="DH46" s="1724">
        <v>3347886.75</v>
      </c>
      <c r="DI46" s="1724">
        <v>0</v>
      </c>
      <c r="DJ46" s="1724">
        <v>0</v>
      </c>
      <c r="DK46" s="1724">
        <v>0</v>
      </c>
      <c r="DL46" s="1724">
        <v>0</v>
      </c>
      <c r="DM46" s="1724">
        <v>3347886.75</v>
      </c>
      <c r="DN46" s="1724">
        <v>3347886.75</v>
      </c>
      <c r="DO46" s="1724">
        <v>0</v>
      </c>
      <c r="DP46" s="1724">
        <v>0</v>
      </c>
      <c r="DQ46" s="1728"/>
      <c r="DR46" s="1724">
        <v>0</v>
      </c>
      <c r="DS46" s="1728" t="s">
        <v>2833</v>
      </c>
      <c r="DT46" s="1726"/>
      <c r="DU46" s="1728" t="s">
        <v>2833</v>
      </c>
      <c r="DV46" s="1726"/>
    </row>
    <row r="47" spans="1:126" ht="236.25" x14ac:dyDescent="0.25">
      <c r="A47" s="1662" t="s">
        <v>1753</v>
      </c>
      <c r="B47" s="1662" t="s">
        <v>1719</v>
      </c>
      <c r="C47" s="1662" t="s">
        <v>2621</v>
      </c>
      <c r="D47" s="1662" t="s">
        <v>2622</v>
      </c>
      <c r="E47" s="1662" t="s">
        <v>144</v>
      </c>
      <c r="F47" s="1662" t="s">
        <v>2943</v>
      </c>
      <c r="G47" s="1662" t="s">
        <v>2616</v>
      </c>
      <c r="H47" s="1662" t="s">
        <v>2617</v>
      </c>
      <c r="I47" s="1662" t="s">
        <v>2618</v>
      </c>
      <c r="J47" s="1662" t="s">
        <v>716</v>
      </c>
      <c r="K47" s="1664">
        <v>42682</v>
      </c>
      <c r="L47" s="1664">
        <v>42810</v>
      </c>
      <c r="M47" s="1662" t="s">
        <v>299</v>
      </c>
      <c r="N47" s="1662" t="s">
        <v>2109</v>
      </c>
      <c r="O47" s="1662" t="s">
        <v>2959</v>
      </c>
      <c r="P47" s="1662" t="s">
        <v>2833</v>
      </c>
      <c r="Q47" s="1662" t="s">
        <v>1749</v>
      </c>
      <c r="R47" s="1662" t="s">
        <v>2833</v>
      </c>
      <c r="S47" s="1662" t="s">
        <v>2833</v>
      </c>
      <c r="T47" s="1662"/>
      <c r="U47" s="1662" t="s">
        <v>2834</v>
      </c>
      <c r="V47" s="1662" t="s">
        <v>2833</v>
      </c>
      <c r="W47" s="1662" t="s">
        <v>2833</v>
      </c>
      <c r="X47" s="1662"/>
      <c r="Y47" s="1662" t="s">
        <v>2833</v>
      </c>
      <c r="Z47" s="1662"/>
      <c r="AA47" s="1662"/>
      <c r="AB47" s="1662" t="s">
        <v>2833</v>
      </c>
      <c r="AC47" s="1662" t="s">
        <v>2833</v>
      </c>
      <c r="AD47" s="1662" t="s">
        <v>2833</v>
      </c>
      <c r="AE47" s="1662"/>
      <c r="AF47" s="1662" t="s">
        <v>2945</v>
      </c>
      <c r="AG47" s="1662" t="s">
        <v>2914</v>
      </c>
      <c r="AH47" s="1662" t="s">
        <v>2915</v>
      </c>
      <c r="AI47" s="1662" t="s">
        <v>2838</v>
      </c>
      <c r="AJ47" s="1662" t="s">
        <v>2839</v>
      </c>
      <c r="AK47" s="1662" t="s">
        <v>2916</v>
      </c>
      <c r="AL47" s="1662" t="s">
        <v>2917</v>
      </c>
      <c r="AM47" s="1665">
        <v>100</v>
      </c>
      <c r="AN47" s="1662"/>
      <c r="AO47" s="1662"/>
      <c r="AP47" s="1662"/>
      <c r="AQ47" s="1662"/>
      <c r="AR47" s="1662"/>
      <c r="AS47" s="1662"/>
      <c r="AT47" s="1662" t="s">
        <v>2960</v>
      </c>
      <c r="AU47" s="1662" t="s">
        <v>2842</v>
      </c>
      <c r="AV47" s="1662" t="s">
        <v>2934</v>
      </c>
      <c r="AW47" s="1662"/>
      <c r="AX47" s="1662" t="s">
        <v>2919</v>
      </c>
      <c r="AY47" s="1662" t="s">
        <v>2874</v>
      </c>
      <c r="AZ47" s="1662" t="s">
        <v>228</v>
      </c>
      <c r="BA47" s="1662" t="s">
        <v>2961</v>
      </c>
      <c r="BB47" s="1662" t="s">
        <v>2833</v>
      </c>
      <c r="BC47" s="1662" t="s">
        <v>2922</v>
      </c>
      <c r="BD47" s="1662" t="s">
        <v>2849</v>
      </c>
      <c r="BE47" s="1662" t="s">
        <v>2962</v>
      </c>
      <c r="BF47" s="1662" t="s">
        <v>2963</v>
      </c>
      <c r="BG47" s="1662" t="s">
        <v>2964</v>
      </c>
      <c r="BH47" s="1662" t="s">
        <v>2880</v>
      </c>
      <c r="BI47" s="1662" t="s">
        <v>2881</v>
      </c>
      <c r="BJ47" s="1662" t="s">
        <v>2965</v>
      </c>
      <c r="BK47" s="1662" t="s">
        <v>2960</v>
      </c>
      <c r="BL47" s="1662" t="s">
        <v>2833</v>
      </c>
      <c r="BM47" s="1662" t="s">
        <v>2833</v>
      </c>
      <c r="BN47" s="1665">
        <v>0</v>
      </c>
      <c r="BO47" s="1664">
        <v>41978</v>
      </c>
      <c r="BP47" s="1664">
        <v>43533</v>
      </c>
      <c r="BQ47" s="1662" t="s">
        <v>2855</v>
      </c>
      <c r="BR47" s="1664">
        <v>45565</v>
      </c>
      <c r="BS47" s="1662" t="s">
        <v>2966</v>
      </c>
      <c r="BT47" s="1662" t="s">
        <v>2967</v>
      </c>
      <c r="BU47" s="1665">
        <v>0</v>
      </c>
      <c r="BV47" s="1665">
        <v>0</v>
      </c>
      <c r="BW47" s="1664">
        <v>43585</v>
      </c>
      <c r="BX47" s="1668"/>
      <c r="BY47" s="1662" t="s">
        <v>2096</v>
      </c>
      <c r="BZ47" s="1662" t="s">
        <v>2858</v>
      </c>
      <c r="CA47" s="1662" t="s">
        <v>2859</v>
      </c>
      <c r="CB47" s="1662" t="s">
        <v>2859</v>
      </c>
      <c r="CC47" s="1662" t="s">
        <v>2860</v>
      </c>
      <c r="CD47" s="1724">
        <v>2856172.33</v>
      </c>
      <c r="CE47" s="1724">
        <v>2359811.84</v>
      </c>
      <c r="CF47" s="1724">
        <v>1479103.09</v>
      </c>
      <c r="CG47" s="1724">
        <v>62.68</v>
      </c>
      <c r="CH47" s="1724">
        <v>880708.75</v>
      </c>
      <c r="CI47" s="1724">
        <v>37.32</v>
      </c>
      <c r="CJ47" s="1724">
        <v>2359811.84</v>
      </c>
      <c r="CK47" s="1724">
        <v>100</v>
      </c>
      <c r="CL47" s="1725" t="s">
        <v>2861</v>
      </c>
      <c r="CM47" s="1729">
        <v>42734</v>
      </c>
      <c r="CN47" s="1727"/>
      <c r="CO47" s="1728"/>
      <c r="CP47" s="1726"/>
      <c r="CQ47" s="1724">
        <v>2874174.73</v>
      </c>
      <c r="CR47" s="1724">
        <v>2874174.73</v>
      </c>
      <c r="CS47" s="1724">
        <v>0</v>
      </c>
      <c r="CT47" s="1728" t="s">
        <v>2861</v>
      </c>
      <c r="CU47" s="1729">
        <v>42760</v>
      </c>
      <c r="CV47" s="1724">
        <v>2359811.84</v>
      </c>
      <c r="CW47" s="1724">
        <v>0</v>
      </c>
      <c r="CX47" s="1724">
        <v>0</v>
      </c>
      <c r="CY47" s="1724">
        <v>2339561.84</v>
      </c>
      <c r="CZ47" s="1724">
        <v>0</v>
      </c>
      <c r="DA47" s="1724">
        <v>7000</v>
      </c>
      <c r="DB47" s="1724">
        <v>0</v>
      </c>
      <c r="DC47" s="1724">
        <v>13250</v>
      </c>
      <c r="DD47" s="1724">
        <v>1479103.09</v>
      </c>
      <c r="DE47" s="1724">
        <v>1479103.09</v>
      </c>
      <c r="DF47" s="1724">
        <v>1479103.09</v>
      </c>
      <c r="DG47" s="1724">
        <v>0</v>
      </c>
      <c r="DH47" s="1724">
        <v>880708.75</v>
      </c>
      <c r="DI47" s="1724">
        <v>0</v>
      </c>
      <c r="DJ47" s="1724">
        <v>0</v>
      </c>
      <c r="DK47" s="1724">
        <v>0</v>
      </c>
      <c r="DL47" s="1724">
        <v>0</v>
      </c>
      <c r="DM47" s="1724">
        <v>880708.75</v>
      </c>
      <c r="DN47" s="1724">
        <v>880708.75</v>
      </c>
      <c r="DO47" s="1724">
        <v>0</v>
      </c>
      <c r="DP47" s="1724">
        <v>0</v>
      </c>
      <c r="DQ47" s="1728" t="s">
        <v>2928</v>
      </c>
      <c r="DR47" s="1724">
        <v>0</v>
      </c>
      <c r="DS47" s="1728" t="s">
        <v>2833</v>
      </c>
      <c r="DT47" s="1726"/>
      <c r="DU47" s="1728" t="s">
        <v>2833</v>
      </c>
      <c r="DV47" s="1726"/>
    </row>
    <row r="48" spans="1:126" ht="157.5" x14ac:dyDescent="0.25">
      <c r="A48" s="1662" t="s">
        <v>1754</v>
      </c>
      <c r="B48" s="1662" t="s">
        <v>1719</v>
      </c>
      <c r="C48" s="1662" t="s">
        <v>2621</v>
      </c>
      <c r="D48" s="1662" t="s">
        <v>2622</v>
      </c>
      <c r="E48" s="1662" t="s">
        <v>144</v>
      </c>
      <c r="F48" s="1662" t="s">
        <v>2943</v>
      </c>
      <c r="G48" s="1662" t="s">
        <v>2616</v>
      </c>
      <c r="H48" s="1662" t="s">
        <v>2617</v>
      </c>
      <c r="I48" s="1662" t="s">
        <v>2618</v>
      </c>
      <c r="J48" s="1662" t="s">
        <v>715</v>
      </c>
      <c r="K48" s="1664">
        <v>42734</v>
      </c>
      <c r="L48" s="1664">
        <v>42818</v>
      </c>
      <c r="M48" s="1662" t="s">
        <v>280</v>
      </c>
      <c r="N48" s="1662" t="s">
        <v>2109</v>
      </c>
      <c r="O48" s="1662" t="s">
        <v>2968</v>
      </c>
      <c r="P48" s="1662" t="s">
        <v>2833</v>
      </c>
      <c r="Q48" s="1662" t="s">
        <v>1751</v>
      </c>
      <c r="R48" s="1662" t="s">
        <v>2833</v>
      </c>
      <c r="S48" s="1662" t="s">
        <v>2833</v>
      </c>
      <c r="T48" s="1662"/>
      <c r="U48" s="1662" t="s">
        <v>2834</v>
      </c>
      <c r="V48" s="1662" t="s">
        <v>2833</v>
      </c>
      <c r="W48" s="1662" t="s">
        <v>2833</v>
      </c>
      <c r="X48" s="1662"/>
      <c r="Y48" s="1662" t="s">
        <v>2833</v>
      </c>
      <c r="Z48" s="1662"/>
      <c r="AA48" s="1662"/>
      <c r="AB48" s="1662" t="s">
        <v>2833</v>
      </c>
      <c r="AC48" s="1662" t="s">
        <v>2833</v>
      </c>
      <c r="AD48" s="1662" t="s">
        <v>2833</v>
      </c>
      <c r="AE48" s="1662"/>
      <c r="AF48" s="1662" t="s">
        <v>2945</v>
      </c>
      <c r="AG48" s="1662" t="s">
        <v>2914</v>
      </c>
      <c r="AH48" s="1662" t="s">
        <v>2915</v>
      </c>
      <c r="AI48" s="1662" t="s">
        <v>2838</v>
      </c>
      <c r="AJ48" s="1662" t="s">
        <v>2839</v>
      </c>
      <c r="AK48" s="1662" t="s">
        <v>2916</v>
      </c>
      <c r="AL48" s="1662" t="s">
        <v>2917</v>
      </c>
      <c r="AM48" s="1665">
        <v>100</v>
      </c>
      <c r="AN48" s="1662"/>
      <c r="AO48" s="1662"/>
      <c r="AP48" s="1662"/>
      <c r="AQ48" s="1662"/>
      <c r="AR48" s="1662"/>
      <c r="AS48" s="1662"/>
      <c r="AT48" s="1662" t="s">
        <v>2946</v>
      </c>
      <c r="AU48" s="1662" t="s">
        <v>2842</v>
      </c>
      <c r="AV48" s="1662" t="s">
        <v>2934</v>
      </c>
      <c r="AW48" s="1662"/>
      <c r="AX48" s="1662" t="s">
        <v>2919</v>
      </c>
      <c r="AY48" s="1662" t="s">
        <v>2874</v>
      </c>
      <c r="AZ48" s="1662" t="s">
        <v>2969</v>
      </c>
      <c r="BA48" s="1662" t="s">
        <v>2970</v>
      </c>
      <c r="BB48" s="1662" t="s">
        <v>2833</v>
      </c>
      <c r="BC48" s="1662" t="s">
        <v>2922</v>
      </c>
      <c r="BD48" s="1662" t="s">
        <v>2849</v>
      </c>
      <c r="BE48" s="1662" t="s">
        <v>2971</v>
      </c>
      <c r="BF48" s="1662" t="s">
        <v>2972</v>
      </c>
      <c r="BG48" s="1662" t="s">
        <v>2973</v>
      </c>
      <c r="BH48" s="1662" t="s">
        <v>2880</v>
      </c>
      <c r="BI48" s="1662" t="s">
        <v>2881</v>
      </c>
      <c r="BJ48" s="1662" t="s">
        <v>2892</v>
      </c>
      <c r="BK48" s="1662" t="s">
        <v>2946</v>
      </c>
      <c r="BL48" s="1662" t="s">
        <v>2833</v>
      </c>
      <c r="BM48" s="1662" t="s">
        <v>2833</v>
      </c>
      <c r="BN48" s="1665">
        <v>0</v>
      </c>
      <c r="BO48" s="1664">
        <v>42818</v>
      </c>
      <c r="BP48" s="1664">
        <v>43616</v>
      </c>
      <c r="BQ48" s="1662" t="s">
        <v>2855</v>
      </c>
      <c r="BR48" s="1664">
        <v>45626</v>
      </c>
      <c r="BS48" s="1662" t="s">
        <v>2883</v>
      </c>
      <c r="BT48" s="1662" t="s">
        <v>2974</v>
      </c>
      <c r="BU48" s="1665">
        <v>0</v>
      </c>
      <c r="BV48" s="1665">
        <v>0</v>
      </c>
      <c r="BW48" s="1664">
        <v>43646</v>
      </c>
      <c r="BX48" s="1668"/>
      <c r="BY48" s="1662" t="s">
        <v>2096</v>
      </c>
      <c r="BZ48" s="1662" t="s">
        <v>2858</v>
      </c>
      <c r="CA48" s="1662" t="s">
        <v>2859</v>
      </c>
      <c r="CB48" s="1662" t="s">
        <v>2859</v>
      </c>
      <c r="CC48" s="1662" t="s">
        <v>2860</v>
      </c>
      <c r="CD48" s="1724">
        <v>1558755.81</v>
      </c>
      <c r="CE48" s="1724">
        <v>1288228.01</v>
      </c>
      <c r="CF48" s="1724">
        <v>790102</v>
      </c>
      <c r="CG48" s="1724">
        <v>61.33</v>
      </c>
      <c r="CH48" s="1724">
        <v>498126.01</v>
      </c>
      <c r="CI48" s="1724">
        <v>38.67</v>
      </c>
      <c r="CJ48" s="1724">
        <v>1288228.01</v>
      </c>
      <c r="CK48" s="1724">
        <v>100</v>
      </c>
      <c r="CL48" s="1725" t="s">
        <v>2861</v>
      </c>
      <c r="CM48" s="1729">
        <v>42794</v>
      </c>
      <c r="CN48" s="1727"/>
      <c r="CO48" s="1728"/>
      <c r="CP48" s="1726"/>
      <c r="CQ48" s="1724">
        <v>790102</v>
      </c>
      <c r="CR48" s="1724">
        <v>790102</v>
      </c>
      <c r="CS48" s="1724">
        <v>0</v>
      </c>
      <c r="CT48" s="1728" t="s">
        <v>2861</v>
      </c>
      <c r="CU48" s="1729">
        <v>42802</v>
      </c>
      <c r="CV48" s="1724">
        <v>1288228.01</v>
      </c>
      <c r="CW48" s="1724">
        <v>0</v>
      </c>
      <c r="CX48" s="1724">
        <v>0</v>
      </c>
      <c r="CY48" s="1724">
        <v>1276863.93</v>
      </c>
      <c r="CZ48" s="1724">
        <v>0</v>
      </c>
      <c r="DA48" s="1724">
        <v>0</v>
      </c>
      <c r="DB48" s="1724">
        <v>0</v>
      </c>
      <c r="DC48" s="1724">
        <v>11364.08</v>
      </c>
      <c r="DD48" s="1724">
        <v>790102</v>
      </c>
      <c r="DE48" s="1724">
        <v>790102</v>
      </c>
      <c r="DF48" s="1724">
        <v>790102</v>
      </c>
      <c r="DG48" s="1724">
        <v>0</v>
      </c>
      <c r="DH48" s="1724">
        <v>498126.01</v>
      </c>
      <c r="DI48" s="1724">
        <v>0</v>
      </c>
      <c r="DJ48" s="1724">
        <v>0</v>
      </c>
      <c r="DK48" s="1724">
        <v>0</v>
      </c>
      <c r="DL48" s="1724">
        <v>0</v>
      </c>
      <c r="DM48" s="1724">
        <v>498126.01</v>
      </c>
      <c r="DN48" s="1724">
        <v>498126.01</v>
      </c>
      <c r="DO48" s="1724">
        <v>0</v>
      </c>
      <c r="DP48" s="1724">
        <v>0</v>
      </c>
      <c r="DQ48" s="1728" t="s">
        <v>2928</v>
      </c>
      <c r="DR48" s="1724">
        <v>0</v>
      </c>
      <c r="DS48" s="1728" t="s">
        <v>2833</v>
      </c>
      <c r="DT48" s="1726"/>
      <c r="DU48" s="1728" t="s">
        <v>2833</v>
      </c>
      <c r="DV48" s="1726"/>
    </row>
    <row r="49" spans="1:126" ht="202.5" x14ac:dyDescent="0.25">
      <c r="A49" s="1662" t="s">
        <v>1755</v>
      </c>
      <c r="B49" s="1662" t="s">
        <v>1719</v>
      </c>
      <c r="C49" s="1662" t="s">
        <v>2621</v>
      </c>
      <c r="D49" s="1662" t="s">
        <v>2622</v>
      </c>
      <c r="E49" s="1662" t="s">
        <v>144</v>
      </c>
      <c r="F49" s="1662" t="s">
        <v>2943</v>
      </c>
      <c r="G49" s="1662" t="s">
        <v>2616</v>
      </c>
      <c r="H49" s="1662" t="s">
        <v>2617</v>
      </c>
      <c r="I49" s="1662" t="s">
        <v>2618</v>
      </c>
      <c r="J49" s="1662" t="s">
        <v>714</v>
      </c>
      <c r="K49" s="1664">
        <v>42919</v>
      </c>
      <c r="L49" s="1664">
        <v>43146</v>
      </c>
      <c r="M49" s="1662" t="s">
        <v>306</v>
      </c>
      <c r="N49" s="1662" t="s">
        <v>2109</v>
      </c>
      <c r="O49" s="1662" t="s">
        <v>2975</v>
      </c>
      <c r="P49" s="1662" t="s">
        <v>2833</v>
      </c>
      <c r="Q49" s="1662" t="s">
        <v>1754</v>
      </c>
      <c r="R49" s="1662" t="s">
        <v>2833</v>
      </c>
      <c r="S49" s="1662" t="s">
        <v>2833</v>
      </c>
      <c r="T49" s="1662"/>
      <c r="U49" s="1662" t="s">
        <v>2834</v>
      </c>
      <c r="V49" s="1662" t="s">
        <v>2833</v>
      </c>
      <c r="W49" s="1662" t="s">
        <v>2833</v>
      </c>
      <c r="X49" s="1662"/>
      <c r="Y49" s="1662" t="s">
        <v>2833</v>
      </c>
      <c r="Z49" s="1662"/>
      <c r="AA49" s="1662"/>
      <c r="AB49" s="1662" t="s">
        <v>2833</v>
      </c>
      <c r="AC49" s="1662" t="s">
        <v>2833</v>
      </c>
      <c r="AD49" s="1662" t="s">
        <v>2833</v>
      </c>
      <c r="AE49" s="1662"/>
      <c r="AF49" s="1662" t="s">
        <v>2945</v>
      </c>
      <c r="AG49" s="1662" t="s">
        <v>2914</v>
      </c>
      <c r="AH49" s="1662" t="s">
        <v>2915</v>
      </c>
      <c r="AI49" s="1662" t="s">
        <v>2838</v>
      </c>
      <c r="AJ49" s="1662" t="s">
        <v>2839</v>
      </c>
      <c r="AK49" s="1662" t="s">
        <v>2916</v>
      </c>
      <c r="AL49" s="1662" t="s">
        <v>2956</v>
      </c>
      <c r="AM49" s="1665">
        <v>100</v>
      </c>
      <c r="AN49" s="1662"/>
      <c r="AO49" s="1662"/>
      <c r="AP49" s="1662"/>
      <c r="AQ49" s="1662"/>
      <c r="AR49" s="1662"/>
      <c r="AS49" s="1662"/>
      <c r="AT49" s="1662" t="s">
        <v>2946</v>
      </c>
      <c r="AU49" s="1662" t="s">
        <v>2842</v>
      </c>
      <c r="AV49" s="1662" t="s">
        <v>2934</v>
      </c>
      <c r="AW49" s="1662"/>
      <c r="AX49" s="1662" t="s">
        <v>2919</v>
      </c>
      <c r="AY49" s="1662" t="s">
        <v>2874</v>
      </c>
      <c r="AZ49" s="1662" t="s">
        <v>2976</v>
      </c>
      <c r="BA49" s="1662" t="s">
        <v>2977</v>
      </c>
      <c r="BB49" s="1662" t="s">
        <v>2833</v>
      </c>
      <c r="BC49" s="1662" t="s">
        <v>2978</v>
      </c>
      <c r="BD49" s="1662" t="s">
        <v>2849</v>
      </c>
      <c r="BE49" s="1662" t="s">
        <v>2979</v>
      </c>
      <c r="BF49" s="1662" t="s">
        <v>2980</v>
      </c>
      <c r="BG49" s="1662" t="s">
        <v>2981</v>
      </c>
      <c r="BH49" s="1662" t="s">
        <v>2050</v>
      </c>
      <c r="BI49" s="1662" t="s">
        <v>2881</v>
      </c>
      <c r="BJ49" s="1662" t="s">
        <v>2908</v>
      </c>
      <c r="BK49" s="1662" t="s">
        <v>2946</v>
      </c>
      <c r="BL49" s="1662" t="s">
        <v>2833</v>
      </c>
      <c r="BM49" s="1662" t="s">
        <v>2833</v>
      </c>
      <c r="BN49" s="1665">
        <v>0</v>
      </c>
      <c r="BO49" s="1664">
        <v>42403</v>
      </c>
      <c r="BP49" s="1664">
        <v>44027</v>
      </c>
      <c r="BQ49" s="1662" t="s">
        <v>2855</v>
      </c>
      <c r="BR49" s="1664">
        <v>46021</v>
      </c>
      <c r="BS49" s="1662" t="s">
        <v>2982</v>
      </c>
      <c r="BT49" s="1662" t="s">
        <v>2983</v>
      </c>
      <c r="BU49" s="1663"/>
      <c r="BV49" s="1665">
        <v>0</v>
      </c>
      <c r="BW49" s="1664">
        <v>44058</v>
      </c>
      <c r="BX49" s="1668"/>
      <c r="BY49" s="1662" t="s">
        <v>2096</v>
      </c>
      <c r="BZ49" s="1662" t="s">
        <v>2858</v>
      </c>
      <c r="CA49" s="1662" t="s">
        <v>2859</v>
      </c>
      <c r="CB49" s="1662" t="s">
        <v>2859</v>
      </c>
      <c r="CC49" s="1662" t="s">
        <v>2860</v>
      </c>
      <c r="CD49" s="1724">
        <v>1792010</v>
      </c>
      <c r="CE49" s="1724">
        <v>1481000</v>
      </c>
      <c r="CF49" s="1724">
        <v>867744</v>
      </c>
      <c r="CG49" s="1724">
        <v>58.59</v>
      </c>
      <c r="CH49" s="1724">
        <v>613256</v>
      </c>
      <c r="CI49" s="1724">
        <v>41.41</v>
      </c>
      <c r="CJ49" s="1724">
        <v>1481000</v>
      </c>
      <c r="CK49" s="1724">
        <v>100</v>
      </c>
      <c r="CL49" s="1725" t="s">
        <v>2861</v>
      </c>
      <c r="CM49" s="1729">
        <v>43003</v>
      </c>
      <c r="CN49" s="1727"/>
      <c r="CO49" s="1728"/>
      <c r="CP49" s="1726"/>
      <c r="CQ49" s="1724">
        <v>867744</v>
      </c>
      <c r="CR49" s="1724">
        <v>867744</v>
      </c>
      <c r="CS49" s="1724">
        <v>0</v>
      </c>
      <c r="CT49" s="1728" t="s">
        <v>2861</v>
      </c>
      <c r="CU49" s="1729">
        <v>43011</v>
      </c>
      <c r="CV49" s="1724">
        <v>1481000</v>
      </c>
      <c r="CW49" s="1724">
        <v>0</v>
      </c>
      <c r="CX49" s="1724">
        <v>0</v>
      </c>
      <c r="CY49" s="1724">
        <v>1465500</v>
      </c>
      <c r="CZ49" s="1724">
        <v>0</v>
      </c>
      <c r="DA49" s="1724">
        <v>5000</v>
      </c>
      <c r="DB49" s="1724">
        <v>0</v>
      </c>
      <c r="DC49" s="1724">
        <v>10500</v>
      </c>
      <c r="DD49" s="1724">
        <v>867744</v>
      </c>
      <c r="DE49" s="1724">
        <v>867744</v>
      </c>
      <c r="DF49" s="1724">
        <v>867744</v>
      </c>
      <c r="DG49" s="1724">
        <v>0</v>
      </c>
      <c r="DH49" s="1724">
        <v>613256</v>
      </c>
      <c r="DI49" s="1724">
        <v>0</v>
      </c>
      <c r="DJ49" s="1724">
        <v>0</v>
      </c>
      <c r="DK49" s="1724">
        <v>0</v>
      </c>
      <c r="DL49" s="1724">
        <v>0</v>
      </c>
      <c r="DM49" s="1724">
        <v>613256</v>
      </c>
      <c r="DN49" s="1724">
        <v>7256</v>
      </c>
      <c r="DO49" s="1724">
        <v>606000</v>
      </c>
      <c r="DP49" s="1724">
        <v>0</v>
      </c>
      <c r="DQ49" s="1728" t="s">
        <v>2928</v>
      </c>
      <c r="DR49" s="1724">
        <v>0</v>
      </c>
      <c r="DS49" s="1728" t="s">
        <v>2833</v>
      </c>
      <c r="DT49" s="1726"/>
      <c r="DU49" s="1728" t="s">
        <v>2833</v>
      </c>
      <c r="DV49" s="1726"/>
    </row>
    <row r="50" spans="1:126" x14ac:dyDescent="0.25">
      <c r="A50" s="1662" t="s">
        <v>1756</v>
      </c>
      <c r="B50" s="1662" t="s">
        <v>1719</v>
      </c>
      <c r="C50" s="1662" t="s">
        <v>2623</v>
      </c>
      <c r="D50" s="1662"/>
      <c r="E50" s="1662"/>
      <c r="F50" s="1662"/>
      <c r="G50" s="1662"/>
      <c r="H50" s="1662"/>
      <c r="I50" s="1662"/>
      <c r="J50" s="1662"/>
      <c r="K50" s="1668"/>
      <c r="L50" s="1668"/>
      <c r="M50" s="1662"/>
      <c r="N50" s="1662"/>
      <c r="O50" s="1662"/>
      <c r="P50" s="1662"/>
      <c r="Q50" s="1662"/>
      <c r="R50" s="1662"/>
      <c r="S50" s="1662"/>
      <c r="T50" s="1662"/>
      <c r="U50" s="1662"/>
      <c r="V50" s="1662"/>
      <c r="W50" s="1662"/>
      <c r="X50" s="1662"/>
      <c r="Y50" s="1662"/>
      <c r="Z50" s="1662"/>
      <c r="AA50" s="1662"/>
      <c r="AB50" s="1662"/>
      <c r="AC50" s="1662"/>
      <c r="AD50" s="1662"/>
      <c r="AE50" s="1662"/>
      <c r="AF50" s="1662"/>
      <c r="AG50" s="1662"/>
      <c r="AH50" s="1662"/>
      <c r="AI50" s="1662"/>
      <c r="AJ50" s="1662"/>
      <c r="AK50" s="1662"/>
      <c r="AL50" s="1662"/>
      <c r="AM50" s="1663"/>
      <c r="AN50" s="1662"/>
      <c r="AO50" s="1662"/>
      <c r="AP50" s="1662"/>
      <c r="AQ50" s="1662"/>
      <c r="AR50" s="1662"/>
      <c r="AS50" s="1662"/>
      <c r="AT50" s="1662"/>
      <c r="AU50" s="1662"/>
      <c r="AV50" s="1662"/>
      <c r="AW50" s="1662"/>
      <c r="AX50" s="1662"/>
      <c r="AY50" s="1662"/>
      <c r="AZ50" s="1662"/>
      <c r="BA50" s="1662"/>
      <c r="BB50" s="1662"/>
      <c r="BC50" s="1662"/>
      <c r="BD50" s="1662"/>
      <c r="BE50" s="1662"/>
      <c r="BF50" s="1662"/>
      <c r="BG50" s="1662"/>
      <c r="BH50" s="1662"/>
      <c r="BI50" s="1662"/>
      <c r="BJ50" s="1662"/>
      <c r="BK50" s="1662"/>
      <c r="BL50" s="1662"/>
      <c r="BM50" s="1662"/>
      <c r="BN50" s="1663"/>
      <c r="BO50" s="1668"/>
      <c r="BP50" s="1668"/>
      <c r="BQ50" s="1662"/>
      <c r="BR50" s="1668"/>
      <c r="BS50" s="1662"/>
      <c r="BT50" s="1662"/>
      <c r="BU50" s="1663"/>
      <c r="BV50" s="1665">
        <v>237624.82</v>
      </c>
      <c r="BW50" s="1668"/>
      <c r="BX50" s="1668"/>
      <c r="BY50" s="1662"/>
      <c r="BZ50" s="1662"/>
      <c r="CA50" s="1662"/>
      <c r="CB50" s="1662"/>
      <c r="CC50" s="1662"/>
      <c r="CD50" s="1724">
        <v>1692038.62</v>
      </c>
      <c r="CE50" s="1724">
        <v>1685584.66</v>
      </c>
      <c r="CF50" s="1724">
        <v>1213962.82</v>
      </c>
      <c r="CG50" s="1724">
        <v>72.02</v>
      </c>
      <c r="CH50" s="1724">
        <v>471621.84</v>
      </c>
      <c r="CI50" s="1724">
        <v>27.98</v>
      </c>
      <c r="CJ50" s="1724">
        <v>1685584.66</v>
      </c>
      <c r="CK50" s="1724">
        <v>100</v>
      </c>
      <c r="CL50" s="1725"/>
      <c r="CM50" s="1726"/>
      <c r="CN50" s="1727"/>
      <c r="CO50" s="1728"/>
      <c r="CP50" s="1726"/>
      <c r="CQ50" s="1724">
        <v>1213962.82</v>
      </c>
      <c r="CR50" s="1724">
        <v>1213962.82</v>
      </c>
      <c r="CS50" s="1724">
        <v>0</v>
      </c>
      <c r="CT50" s="1728"/>
      <c r="CU50" s="1726"/>
      <c r="CV50" s="1724">
        <v>1685584.66</v>
      </c>
      <c r="CW50" s="1724">
        <v>0</v>
      </c>
      <c r="CX50" s="1724">
        <v>0</v>
      </c>
      <c r="CY50" s="1724">
        <v>1316449.97</v>
      </c>
      <c r="CZ50" s="1724">
        <v>349072.51</v>
      </c>
      <c r="DA50" s="1724">
        <v>7420</v>
      </c>
      <c r="DB50" s="1724">
        <v>200</v>
      </c>
      <c r="DC50" s="1724">
        <v>12442.18</v>
      </c>
      <c r="DD50" s="1724">
        <v>1685584.66</v>
      </c>
      <c r="DE50" s="1724">
        <v>1213962.82</v>
      </c>
      <c r="DF50" s="1724">
        <v>1213962.82</v>
      </c>
      <c r="DG50" s="1724">
        <v>0</v>
      </c>
      <c r="DH50" s="1724">
        <v>471621.84</v>
      </c>
      <c r="DI50" s="1724">
        <v>471621.84</v>
      </c>
      <c r="DJ50" s="1724">
        <v>0</v>
      </c>
      <c r="DK50" s="1724">
        <v>471621.84</v>
      </c>
      <c r="DL50" s="1724">
        <v>0</v>
      </c>
      <c r="DM50" s="1724">
        <v>0</v>
      </c>
      <c r="DN50" s="1724">
        <v>0</v>
      </c>
      <c r="DO50" s="1724">
        <v>0</v>
      </c>
      <c r="DP50" s="1724">
        <v>0</v>
      </c>
      <c r="DQ50" s="1728"/>
      <c r="DR50" s="1727"/>
      <c r="DS50" s="1728"/>
      <c r="DT50" s="1726"/>
      <c r="DU50" s="1728"/>
      <c r="DV50" s="1726"/>
    </row>
    <row r="51" spans="1:126" ht="22.5" x14ac:dyDescent="0.25">
      <c r="A51" s="1662" t="s">
        <v>1757</v>
      </c>
      <c r="B51" s="1662" t="s">
        <v>1719</v>
      </c>
      <c r="C51" s="1662" t="s">
        <v>2623</v>
      </c>
      <c r="D51" s="1662" t="s">
        <v>2624</v>
      </c>
      <c r="E51" s="1662"/>
      <c r="F51" s="1662"/>
      <c r="G51" s="1662"/>
      <c r="H51" s="1662"/>
      <c r="I51" s="1662"/>
      <c r="J51" s="1662"/>
      <c r="K51" s="1668"/>
      <c r="L51" s="1668"/>
      <c r="M51" s="1662"/>
      <c r="N51" s="1662"/>
      <c r="O51" s="1662"/>
      <c r="P51" s="1662"/>
      <c r="Q51" s="1662"/>
      <c r="R51" s="1662"/>
      <c r="S51" s="1662"/>
      <c r="T51" s="1662"/>
      <c r="U51" s="1662"/>
      <c r="V51" s="1662"/>
      <c r="W51" s="1662"/>
      <c r="X51" s="1662"/>
      <c r="Y51" s="1662"/>
      <c r="Z51" s="1662"/>
      <c r="AA51" s="1662"/>
      <c r="AB51" s="1662"/>
      <c r="AC51" s="1662"/>
      <c r="AD51" s="1662"/>
      <c r="AE51" s="1662"/>
      <c r="AF51" s="1662"/>
      <c r="AG51" s="1662"/>
      <c r="AH51" s="1662"/>
      <c r="AI51" s="1662"/>
      <c r="AJ51" s="1662"/>
      <c r="AK51" s="1662"/>
      <c r="AL51" s="1662"/>
      <c r="AM51" s="1663"/>
      <c r="AN51" s="1662"/>
      <c r="AO51" s="1662"/>
      <c r="AP51" s="1662"/>
      <c r="AQ51" s="1662"/>
      <c r="AR51" s="1662"/>
      <c r="AS51" s="1662"/>
      <c r="AT51" s="1662"/>
      <c r="AU51" s="1662"/>
      <c r="AV51" s="1662"/>
      <c r="AW51" s="1662"/>
      <c r="AX51" s="1662"/>
      <c r="AY51" s="1662"/>
      <c r="AZ51" s="1662"/>
      <c r="BA51" s="1662"/>
      <c r="BB51" s="1662"/>
      <c r="BC51" s="1662"/>
      <c r="BD51" s="1662"/>
      <c r="BE51" s="1662"/>
      <c r="BF51" s="1662"/>
      <c r="BG51" s="1662"/>
      <c r="BH51" s="1662"/>
      <c r="BI51" s="1662"/>
      <c r="BJ51" s="1662"/>
      <c r="BK51" s="1662"/>
      <c r="BL51" s="1662"/>
      <c r="BM51" s="1662"/>
      <c r="BN51" s="1663"/>
      <c r="BO51" s="1668"/>
      <c r="BP51" s="1668"/>
      <c r="BQ51" s="1662"/>
      <c r="BR51" s="1668"/>
      <c r="BS51" s="1662"/>
      <c r="BT51" s="1662"/>
      <c r="BU51" s="1663"/>
      <c r="BV51" s="1665">
        <v>237624.82</v>
      </c>
      <c r="BW51" s="1668"/>
      <c r="BX51" s="1668"/>
      <c r="BY51" s="1662"/>
      <c r="BZ51" s="1662"/>
      <c r="CA51" s="1662"/>
      <c r="CB51" s="1662"/>
      <c r="CC51" s="1662"/>
      <c r="CD51" s="1724">
        <v>1692038.62</v>
      </c>
      <c r="CE51" s="1724">
        <v>1685584.66</v>
      </c>
      <c r="CF51" s="1724">
        <v>1213962.82</v>
      </c>
      <c r="CG51" s="1724">
        <v>72.02</v>
      </c>
      <c r="CH51" s="1724">
        <v>471621.84</v>
      </c>
      <c r="CI51" s="1724">
        <v>27.98</v>
      </c>
      <c r="CJ51" s="1724">
        <v>1685584.66</v>
      </c>
      <c r="CK51" s="1724">
        <v>100</v>
      </c>
      <c r="CL51" s="1725"/>
      <c r="CM51" s="1726"/>
      <c r="CN51" s="1727"/>
      <c r="CO51" s="1728"/>
      <c r="CP51" s="1726"/>
      <c r="CQ51" s="1724">
        <v>1213962.82</v>
      </c>
      <c r="CR51" s="1724">
        <v>1213962.82</v>
      </c>
      <c r="CS51" s="1724">
        <v>0</v>
      </c>
      <c r="CT51" s="1728"/>
      <c r="CU51" s="1726"/>
      <c r="CV51" s="1724">
        <v>1685584.66</v>
      </c>
      <c r="CW51" s="1724">
        <v>0</v>
      </c>
      <c r="CX51" s="1724">
        <v>0</v>
      </c>
      <c r="CY51" s="1724">
        <v>1316449.97</v>
      </c>
      <c r="CZ51" s="1724">
        <v>349072.51</v>
      </c>
      <c r="DA51" s="1724">
        <v>7420</v>
      </c>
      <c r="DB51" s="1724">
        <v>200</v>
      </c>
      <c r="DC51" s="1724">
        <v>12442.18</v>
      </c>
      <c r="DD51" s="1724">
        <v>1685584.66</v>
      </c>
      <c r="DE51" s="1724">
        <v>1213962.82</v>
      </c>
      <c r="DF51" s="1724">
        <v>1213962.82</v>
      </c>
      <c r="DG51" s="1724">
        <v>0</v>
      </c>
      <c r="DH51" s="1724">
        <v>471621.84</v>
      </c>
      <c r="DI51" s="1724">
        <v>471621.84</v>
      </c>
      <c r="DJ51" s="1724">
        <v>0</v>
      </c>
      <c r="DK51" s="1724">
        <v>471621.84</v>
      </c>
      <c r="DL51" s="1724">
        <v>0</v>
      </c>
      <c r="DM51" s="1724">
        <v>0</v>
      </c>
      <c r="DN51" s="1724">
        <v>0</v>
      </c>
      <c r="DO51" s="1724">
        <v>0</v>
      </c>
      <c r="DP51" s="1724">
        <v>0</v>
      </c>
      <c r="DQ51" s="1728"/>
      <c r="DR51" s="1727"/>
      <c r="DS51" s="1728"/>
      <c r="DT51" s="1726"/>
      <c r="DU51" s="1728"/>
      <c r="DV51" s="1726"/>
    </row>
    <row r="52" spans="1:126" ht="45" x14ac:dyDescent="0.25">
      <c r="A52" s="1662" t="s">
        <v>1758</v>
      </c>
      <c r="B52" s="1662" t="s">
        <v>1719</v>
      </c>
      <c r="C52" s="1662" t="s">
        <v>2623</v>
      </c>
      <c r="D52" s="1662" t="s">
        <v>2624</v>
      </c>
      <c r="E52" s="1662" t="s">
        <v>774</v>
      </c>
      <c r="F52" s="1662" t="s">
        <v>133</v>
      </c>
      <c r="G52" s="1662"/>
      <c r="H52" s="1662"/>
      <c r="I52" s="1662"/>
      <c r="J52" s="1662"/>
      <c r="K52" s="1668"/>
      <c r="L52" s="1668"/>
      <c r="M52" s="1662"/>
      <c r="N52" s="1662"/>
      <c r="O52" s="1662"/>
      <c r="P52" s="1662"/>
      <c r="Q52" s="1662"/>
      <c r="R52" s="1662"/>
      <c r="S52" s="1662"/>
      <c r="T52" s="1662"/>
      <c r="U52" s="1662"/>
      <c r="V52" s="1662"/>
      <c r="W52" s="1662"/>
      <c r="X52" s="1662"/>
      <c r="Y52" s="1662"/>
      <c r="Z52" s="1662"/>
      <c r="AA52" s="1662"/>
      <c r="AB52" s="1662"/>
      <c r="AC52" s="1662"/>
      <c r="AD52" s="1662"/>
      <c r="AE52" s="1662"/>
      <c r="AF52" s="1662"/>
      <c r="AG52" s="1662"/>
      <c r="AH52" s="1662"/>
      <c r="AI52" s="1662"/>
      <c r="AJ52" s="1662"/>
      <c r="AK52" s="1662"/>
      <c r="AL52" s="1662"/>
      <c r="AM52" s="1663"/>
      <c r="AN52" s="1662"/>
      <c r="AO52" s="1662"/>
      <c r="AP52" s="1662"/>
      <c r="AQ52" s="1662"/>
      <c r="AR52" s="1662"/>
      <c r="AS52" s="1662"/>
      <c r="AT52" s="1662"/>
      <c r="AU52" s="1662"/>
      <c r="AV52" s="1662"/>
      <c r="AW52" s="1662"/>
      <c r="AX52" s="1662"/>
      <c r="AY52" s="1662"/>
      <c r="AZ52" s="1662"/>
      <c r="BA52" s="1662"/>
      <c r="BB52" s="1662"/>
      <c r="BC52" s="1662"/>
      <c r="BD52" s="1662"/>
      <c r="BE52" s="1662"/>
      <c r="BF52" s="1662"/>
      <c r="BG52" s="1662"/>
      <c r="BH52" s="1662"/>
      <c r="BI52" s="1662"/>
      <c r="BJ52" s="1662"/>
      <c r="BK52" s="1662"/>
      <c r="BL52" s="1662"/>
      <c r="BM52" s="1662"/>
      <c r="BN52" s="1663"/>
      <c r="BO52" s="1668"/>
      <c r="BP52" s="1668"/>
      <c r="BQ52" s="1662"/>
      <c r="BR52" s="1668"/>
      <c r="BS52" s="1662"/>
      <c r="BT52" s="1662"/>
      <c r="BU52" s="1663"/>
      <c r="BV52" s="1665">
        <v>0</v>
      </c>
      <c r="BW52" s="1668"/>
      <c r="BX52" s="1668"/>
      <c r="BY52" s="1662"/>
      <c r="BZ52" s="1662"/>
      <c r="CA52" s="1662"/>
      <c r="CB52" s="1662"/>
      <c r="CC52" s="1662"/>
      <c r="CD52" s="1724">
        <v>496329.53</v>
      </c>
      <c r="CE52" s="1724">
        <v>496329.53</v>
      </c>
      <c r="CF52" s="1724">
        <v>421880.1</v>
      </c>
      <c r="CG52" s="1724">
        <v>85</v>
      </c>
      <c r="CH52" s="1724">
        <v>74449.429999999993</v>
      </c>
      <c r="CI52" s="1724">
        <v>15</v>
      </c>
      <c r="CJ52" s="1724">
        <v>496329.53</v>
      </c>
      <c r="CK52" s="1724">
        <v>100</v>
      </c>
      <c r="CL52" s="1725"/>
      <c r="CM52" s="1726"/>
      <c r="CN52" s="1727"/>
      <c r="CO52" s="1728"/>
      <c r="CP52" s="1726"/>
      <c r="CQ52" s="1724">
        <v>421880.1</v>
      </c>
      <c r="CR52" s="1724">
        <v>421880.1</v>
      </c>
      <c r="CS52" s="1724">
        <v>0</v>
      </c>
      <c r="CT52" s="1728"/>
      <c r="CU52" s="1726"/>
      <c r="CV52" s="1724">
        <v>496329.53</v>
      </c>
      <c r="CW52" s="1724">
        <v>0</v>
      </c>
      <c r="CX52" s="1724">
        <v>0</v>
      </c>
      <c r="CY52" s="1724">
        <v>334947.84000000003</v>
      </c>
      <c r="CZ52" s="1724">
        <v>158248.44</v>
      </c>
      <c r="DA52" s="1724">
        <v>0</v>
      </c>
      <c r="DB52" s="1724">
        <v>0</v>
      </c>
      <c r="DC52" s="1724">
        <v>3133.25</v>
      </c>
      <c r="DD52" s="1724">
        <v>496329.53</v>
      </c>
      <c r="DE52" s="1724">
        <v>421880.1</v>
      </c>
      <c r="DF52" s="1724">
        <v>421880.1</v>
      </c>
      <c r="DG52" s="1724">
        <v>0</v>
      </c>
      <c r="DH52" s="1724">
        <v>74449.429999999993</v>
      </c>
      <c r="DI52" s="1724">
        <v>74449.429999999993</v>
      </c>
      <c r="DJ52" s="1724">
        <v>0</v>
      </c>
      <c r="DK52" s="1724">
        <v>74449.429999999993</v>
      </c>
      <c r="DL52" s="1724">
        <v>0</v>
      </c>
      <c r="DM52" s="1724">
        <v>0</v>
      </c>
      <c r="DN52" s="1724">
        <v>0</v>
      </c>
      <c r="DO52" s="1724">
        <v>0</v>
      </c>
      <c r="DP52" s="1724">
        <v>0</v>
      </c>
      <c r="DQ52" s="1728"/>
      <c r="DR52" s="1727"/>
      <c r="DS52" s="1728"/>
      <c r="DT52" s="1726"/>
      <c r="DU52" s="1728"/>
      <c r="DV52" s="1726"/>
    </row>
    <row r="53" spans="1:126" ht="225" x14ac:dyDescent="0.25">
      <c r="A53" s="1662" t="s">
        <v>1759</v>
      </c>
      <c r="B53" s="1662" t="s">
        <v>1719</v>
      </c>
      <c r="C53" s="1662" t="s">
        <v>2623</v>
      </c>
      <c r="D53" s="1662" t="s">
        <v>2624</v>
      </c>
      <c r="E53" s="1662" t="s">
        <v>774</v>
      </c>
      <c r="F53" s="1662" t="s">
        <v>133</v>
      </c>
      <c r="G53" s="1662" t="s">
        <v>2625</v>
      </c>
      <c r="H53" s="1662" t="s">
        <v>2626</v>
      </c>
      <c r="I53" s="1662" t="s">
        <v>2613</v>
      </c>
      <c r="J53" s="1662" t="s">
        <v>718</v>
      </c>
      <c r="K53" s="1664">
        <v>42706</v>
      </c>
      <c r="L53" s="1664">
        <v>42811</v>
      </c>
      <c r="M53" s="1662" t="s">
        <v>2157</v>
      </c>
      <c r="N53" s="1662" t="s">
        <v>2109</v>
      </c>
      <c r="O53" s="1662" t="s">
        <v>2984</v>
      </c>
      <c r="P53" s="1662" t="s">
        <v>2833</v>
      </c>
      <c r="Q53" s="1662" t="s">
        <v>1749</v>
      </c>
      <c r="R53" s="1662" t="s">
        <v>2833</v>
      </c>
      <c r="S53" s="1662" t="s">
        <v>2833</v>
      </c>
      <c r="T53" s="1662"/>
      <c r="U53" s="1662" t="s">
        <v>2834</v>
      </c>
      <c r="V53" s="1662" t="s">
        <v>2833</v>
      </c>
      <c r="W53" s="1662" t="s">
        <v>2833</v>
      </c>
      <c r="X53" s="1662"/>
      <c r="Y53" s="1662" t="s">
        <v>2833</v>
      </c>
      <c r="Z53" s="1662"/>
      <c r="AA53" s="1662"/>
      <c r="AB53" s="1662" t="s">
        <v>2833</v>
      </c>
      <c r="AC53" s="1662" t="s">
        <v>2833</v>
      </c>
      <c r="AD53" s="1662" t="s">
        <v>2833</v>
      </c>
      <c r="AE53" s="1662"/>
      <c r="AF53" s="1662" t="s">
        <v>2985</v>
      </c>
      <c r="AG53" s="1662" t="s">
        <v>2986</v>
      </c>
      <c r="AH53" s="1662" t="s">
        <v>2867</v>
      </c>
      <c r="AI53" s="1662" t="s">
        <v>2838</v>
      </c>
      <c r="AJ53" s="1662" t="s">
        <v>2839</v>
      </c>
      <c r="AK53" s="1662" t="s">
        <v>2987</v>
      </c>
      <c r="AL53" s="1662" t="s">
        <v>2988</v>
      </c>
      <c r="AM53" s="1665">
        <v>100</v>
      </c>
      <c r="AN53" s="1662"/>
      <c r="AO53" s="1662"/>
      <c r="AP53" s="1662"/>
      <c r="AQ53" s="1662"/>
      <c r="AR53" s="1662"/>
      <c r="AS53" s="1662"/>
      <c r="AT53" s="1662" t="s">
        <v>2946</v>
      </c>
      <c r="AU53" s="1662" t="s">
        <v>2842</v>
      </c>
      <c r="AV53" s="1662" t="s">
        <v>2934</v>
      </c>
      <c r="AW53" s="1662"/>
      <c r="AX53" s="1662" t="s">
        <v>2989</v>
      </c>
      <c r="AY53" s="1662" t="s">
        <v>2874</v>
      </c>
      <c r="AZ53" s="1662" t="s">
        <v>161</v>
      </c>
      <c r="BA53" s="1662" t="s">
        <v>2888</v>
      </c>
      <c r="BB53" s="1662" t="s">
        <v>2833</v>
      </c>
      <c r="BC53" s="1662" t="s">
        <v>2876</v>
      </c>
      <c r="BD53" s="1662" t="s">
        <v>2849</v>
      </c>
      <c r="BE53" s="1662" t="s">
        <v>2889</v>
      </c>
      <c r="BF53" s="1662" t="s">
        <v>2990</v>
      </c>
      <c r="BG53" s="1662" t="s">
        <v>2891</v>
      </c>
      <c r="BH53" s="1662" t="s">
        <v>2604</v>
      </c>
      <c r="BI53" s="1662" t="s">
        <v>2881</v>
      </c>
      <c r="BJ53" s="1662" t="s">
        <v>2892</v>
      </c>
      <c r="BK53" s="1662" t="s">
        <v>2946</v>
      </c>
      <c r="BL53" s="1662" t="s">
        <v>2833</v>
      </c>
      <c r="BM53" s="1662" t="s">
        <v>2833</v>
      </c>
      <c r="BN53" s="1665">
        <v>0</v>
      </c>
      <c r="BO53" s="1664">
        <v>42811</v>
      </c>
      <c r="BP53" s="1664">
        <v>43539</v>
      </c>
      <c r="BQ53" s="1662" t="s">
        <v>2855</v>
      </c>
      <c r="BR53" s="1664">
        <v>46022</v>
      </c>
      <c r="BS53" s="1662" t="s">
        <v>2991</v>
      </c>
      <c r="BT53" s="1662" t="s">
        <v>2992</v>
      </c>
      <c r="BU53" s="1665">
        <v>0</v>
      </c>
      <c r="BV53" s="1665">
        <v>0</v>
      </c>
      <c r="BW53" s="1664">
        <v>43571</v>
      </c>
      <c r="BX53" s="1668"/>
      <c r="BY53" s="1662" t="s">
        <v>2096</v>
      </c>
      <c r="BZ53" s="1662" t="s">
        <v>2858</v>
      </c>
      <c r="CA53" s="1662" t="s">
        <v>2859</v>
      </c>
      <c r="CB53" s="1662" t="s">
        <v>2859</v>
      </c>
      <c r="CC53" s="1662" t="s">
        <v>2993</v>
      </c>
      <c r="CD53" s="1724">
        <v>288106</v>
      </c>
      <c r="CE53" s="1724">
        <v>288106</v>
      </c>
      <c r="CF53" s="1724">
        <v>244890.1</v>
      </c>
      <c r="CG53" s="1724">
        <v>85</v>
      </c>
      <c r="CH53" s="1724">
        <v>43215.9</v>
      </c>
      <c r="CI53" s="1724">
        <v>15</v>
      </c>
      <c r="CJ53" s="1724">
        <v>288106</v>
      </c>
      <c r="CK53" s="1724">
        <v>100</v>
      </c>
      <c r="CL53" s="1725" t="s">
        <v>2861</v>
      </c>
      <c r="CM53" s="1729">
        <v>42765</v>
      </c>
      <c r="CN53" s="1727"/>
      <c r="CO53" s="1728"/>
      <c r="CP53" s="1726"/>
      <c r="CQ53" s="1724">
        <v>244890.1</v>
      </c>
      <c r="CR53" s="1724">
        <v>244890.1</v>
      </c>
      <c r="CS53" s="1724">
        <v>0</v>
      </c>
      <c r="CT53" s="1728" t="s">
        <v>2861</v>
      </c>
      <c r="CU53" s="1729">
        <v>42786</v>
      </c>
      <c r="CV53" s="1724">
        <v>288106</v>
      </c>
      <c r="CW53" s="1724">
        <v>0</v>
      </c>
      <c r="CX53" s="1724">
        <v>0</v>
      </c>
      <c r="CY53" s="1724">
        <v>126724.31</v>
      </c>
      <c r="CZ53" s="1724">
        <v>158248.44</v>
      </c>
      <c r="DA53" s="1724">
        <v>0</v>
      </c>
      <c r="DB53" s="1724">
        <v>0</v>
      </c>
      <c r="DC53" s="1724">
        <v>3133.25</v>
      </c>
      <c r="DD53" s="1724">
        <v>288106</v>
      </c>
      <c r="DE53" s="1724">
        <v>244890.1</v>
      </c>
      <c r="DF53" s="1724">
        <v>244890.1</v>
      </c>
      <c r="DG53" s="1724">
        <v>0</v>
      </c>
      <c r="DH53" s="1724">
        <v>43215.9</v>
      </c>
      <c r="DI53" s="1724">
        <v>43215.9</v>
      </c>
      <c r="DJ53" s="1724">
        <v>0</v>
      </c>
      <c r="DK53" s="1724">
        <v>43215.9</v>
      </c>
      <c r="DL53" s="1724">
        <v>0</v>
      </c>
      <c r="DM53" s="1724">
        <v>0</v>
      </c>
      <c r="DN53" s="1724">
        <v>0</v>
      </c>
      <c r="DO53" s="1724">
        <v>0</v>
      </c>
      <c r="DP53" s="1724">
        <v>0</v>
      </c>
      <c r="DQ53" s="1728" t="s">
        <v>2886</v>
      </c>
      <c r="DR53" s="1724">
        <v>0</v>
      </c>
      <c r="DS53" s="1728" t="s">
        <v>2833</v>
      </c>
      <c r="DT53" s="1726"/>
      <c r="DU53" s="1728" t="s">
        <v>2833</v>
      </c>
      <c r="DV53" s="1726"/>
    </row>
    <row r="54" spans="1:126" ht="78.75" x14ac:dyDescent="0.25">
      <c r="A54" s="1662" t="s">
        <v>1760</v>
      </c>
      <c r="B54" s="1662" t="s">
        <v>1719</v>
      </c>
      <c r="C54" s="1662" t="s">
        <v>2623</v>
      </c>
      <c r="D54" s="1662" t="s">
        <v>2624</v>
      </c>
      <c r="E54" s="1662" t="s">
        <v>774</v>
      </c>
      <c r="F54" s="1662" t="s">
        <v>133</v>
      </c>
      <c r="G54" s="1662" t="s">
        <v>2625</v>
      </c>
      <c r="H54" s="1662" t="s">
        <v>2626</v>
      </c>
      <c r="I54" s="1662" t="s">
        <v>2613</v>
      </c>
      <c r="J54" s="1662" t="s">
        <v>719</v>
      </c>
      <c r="K54" s="1664">
        <v>42755</v>
      </c>
      <c r="L54" s="1664">
        <v>42835</v>
      </c>
      <c r="M54" s="1662" t="s">
        <v>272</v>
      </c>
      <c r="N54" s="1662" t="s">
        <v>2109</v>
      </c>
      <c r="O54" s="1662" t="s">
        <v>2994</v>
      </c>
      <c r="P54" s="1662" t="s">
        <v>2833</v>
      </c>
      <c r="Q54" s="1662" t="s">
        <v>1746</v>
      </c>
      <c r="R54" s="1662" t="s">
        <v>2833</v>
      </c>
      <c r="S54" s="1662" t="s">
        <v>2833</v>
      </c>
      <c r="T54" s="1662"/>
      <c r="U54" s="1662" t="s">
        <v>2834</v>
      </c>
      <c r="V54" s="1662" t="s">
        <v>2833</v>
      </c>
      <c r="W54" s="1662" t="s">
        <v>2833</v>
      </c>
      <c r="X54" s="1662"/>
      <c r="Y54" s="1662" t="s">
        <v>2833</v>
      </c>
      <c r="Z54" s="1662"/>
      <c r="AA54" s="1662"/>
      <c r="AB54" s="1662" t="s">
        <v>2833</v>
      </c>
      <c r="AC54" s="1662" t="s">
        <v>2833</v>
      </c>
      <c r="AD54" s="1662" t="s">
        <v>2833</v>
      </c>
      <c r="AE54" s="1662"/>
      <c r="AF54" s="1662" t="s">
        <v>2985</v>
      </c>
      <c r="AG54" s="1662" t="s">
        <v>2986</v>
      </c>
      <c r="AH54" s="1662" t="s">
        <v>2867</v>
      </c>
      <c r="AI54" s="1662" t="s">
        <v>2838</v>
      </c>
      <c r="AJ54" s="1662" t="s">
        <v>2839</v>
      </c>
      <c r="AK54" s="1662" t="s">
        <v>2987</v>
      </c>
      <c r="AL54" s="1662" t="s">
        <v>2988</v>
      </c>
      <c r="AM54" s="1665">
        <v>100</v>
      </c>
      <c r="AN54" s="1662"/>
      <c r="AO54" s="1662"/>
      <c r="AP54" s="1662"/>
      <c r="AQ54" s="1662"/>
      <c r="AR54" s="1662"/>
      <c r="AS54" s="1662"/>
      <c r="AT54" s="1662" t="s">
        <v>2842</v>
      </c>
      <c r="AU54" s="1662" t="s">
        <v>2842</v>
      </c>
      <c r="AV54" s="1662" t="s">
        <v>2934</v>
      </c>
      <c r="AW54" s="1662"/>
      <c r="AX54" s="1662" t="s">
        <v>2989</v>
      </c>
      <c r="AY54" s="1662" t="s">
        <v>2874</v>
      </c>
      <c r="AZ54" s="1662" t="s">
        <v>350</v>
      </c>
      <c r="BA54" s="1662" t="s">
        <v>2875</v>
      </c>
      <c r="BB54" s="1662" t="s">
        <v>2833</v>
      </c>
      <c r="BC54" s="1662" t="s">
        <v>2876</v>
      </c>
      <c r="BD54" s="1662" t="s">
        <v>2849</v>
      </c>
      <c r="BE54" s="1662" t="s">
        <v>2995</v>
      </c>
      <c r="BF54" s="1662" t="s">
        <v>2996</v>
      </c>
      <c r="BG54" s="1662" t="s">
        <v>2879</v>
      </c>
      <c r="BH54" s="1662" t="s">
        <v>2606</v>
      </c>
      <c r="BI54" s="1662" t="s">
        <v>2881</v>
      </c>
      <c r="BJ54" s="1662" t="s">
        <v>2882</v>
      </c>
      <c r="BK54" s="1662" t="s">
        <v>2842</v>
      </c>
      <c r="BL54" s="1662" t="s">
        <v>2833</v>
      </c>
      <c r="BM54" s="1662" t="s">
        <v>2833</v>
      </c>
      <c r="BN54" s="1665">
        <v>0</v>
      </c>
      <c r="BO54" s="1664">
        <v>42835</v>
      </c>
      <c r="BP54" s="1664">
        <v>43465</v>
      </c>
      <c r="BQ54" s="1662" t="s">
        <v>2855</v>
      </c>
      <c r="BR54" s="1664">
        <v>46022</v>
      </c>
      <c r="BS54" s="1662" t="s">
        <v>2883</v>
      </c>
      <c r="BT54" s="1662" t="s">
        <v>2997</v>
      </c>
      <c r="BU54" s="1665">
        <v>0</v>
      </c>
      <c r="BV54" s="1665">
        <v>0</v>
      </c>
      <c r="BW54" s="1664">
        <v>43496</v>
      </c>
      <c r="BX54" s="1668"/>
      <c r="BY54" s="1662" t="s">
        <v>2096</v>
      </c>
      <c r="BZ54" s="1662" t="s">
        <v>2859</v>
      </c>
      <c r="CA54" s="1662" t="s">
        <v>2859</v>
      </c>
      <c r="CB54" s="1662" t="s">
        <v>2859</v>
      </c>
      <c r="CC54" s="1662" t="s">
        <v>2993</v>
      </c>
      <c r="CD54" s="1724">
        <v>208223.53</v>
      </c>
      <c r="CE54" s="1724">
        <v>208223.53</v>
      </c>
      <c r="CF54" s="1724">
        <v>176990</v>
      </c>
      <c r="CG54" s="1724">
        <v>85</v>
      </c>
      <c r="CH54" s="1724">
        <v>31233.53</v>
      </c>
      <c r="CI54" s="1724">
        <v>15</v>
      </c>
      <c r="CJ54" s="1724">
        <v>208223.53</v>
      </c>
      <c r="CK54" s="1724">
        <v>100</v>
      </c>
      <c r="CL54" s="1725" t="s">
        <v>2861</v>
      </c>
      <c r="CM54" s="1729">
        <v>42800</v>
      </c>
      <c r="CN54" s="1727"/>
      <c r="CO54" s="1728"/>
      <c r="CP54" s="1726"/>
      <c r="CQ54" s="1724">
        <v>176990</v>
      </c>
      <c r="CR54" s="1724">
        <v>176990</v>
      </c>
      <c r="CS54" s="1724">
        <v>0</v>
      </c>
      <c r="CT54" s="1728" t="s">
        <v>2861</v>
      </c>
      <c r="CU54" s="1729">
        <v>42816</v>
      </c>
      <c r="CV54" s="1724">
        <v>208223.53</v>
      </c>
      <c r="CW54" s="1724">
        <v>0</v>
      </c>
      <c r="CX54" s="1724">
        <v>0</v>
      </c>
      <c r="CY54" s="1724">
        <v>208223.53</v>
      </c>
      <c r="CZ54" s="1724">
        <v>0</v>
      </c>
      <c r="DA54" s="1724">
        <v>0</v>
      </c>
      <c r="DB54" s="1724">
        <v>0</v>
      </c>
      <c r="DC54" s="1724">
        <v>0</v>
      </c>
      <c r="DD54" s="1724">
        <v>208223.53</v>
      </c>
      <c r="DE54" s="1724">
        <v>176990</v>
      </c>
      <c r="DF54" s="1724">
        <v>176990</v>
      </c>
      <c r="DG54" s="1724">
        <v>0</v>
      </c>
      <c r="DH54" s="1724">
        <v>31233.53</v>
      </c>
      <c r="DI54" s="1724">
        <v>31233.53</v>
      </c>
      <c r="DJ54" s="1724">
        <v>0</v>
      </c>
      <c r="DK54" s="1724">
        <v>31233.53</v>
      </c>
      <c r="DL54" s="1724">
        <v>0</v>
      </c>
      <c r="DM54" s="1724">
        <v>0</v>
      </c>
      <c r="DN54" s="1724">
        <v>0</v>
      </c>
      <c r="DO54" s="1724">
        <v>0</v>
      </c>
      <c r="DP54" s="1724">
        <v>0</v>
      </c>
      <c r="DQ54" s="1728" t="s">
        <v>2886</v>
      </c>
      <c r="DR54" s="1724">
        <v>0</v>
      </c>
      <c r="DS54" s="1728" t="s">
        <v>2833</v>
      </c>
      <c r="DT54" s="1726"/>
      <c r="DU54" s="1728" t="s">
        <v>2833</v>
      </c>
      <c r="DV54" s="1726"/>
    </row>
    <row r="55" spans="1:126" ht="22.5" x14ac:dyDescent="0.25">
      <c r="A55" s="1662" t="s">
        <v>1761</v>
      </c>
      <c r="B55" s="1662" t="s">
        <v>1719</v>
      </c>
      <c r="C55" s="1662" t="s">
        <v>2623</v>
      </c>
      <c r="D55" s="1662" t="s">
        <v>2624</v>
      </c>
      <c r="E55" s="1662" t="s">
        <v>182</v>
      </c>
      <c r="F55" s="1662" t="s">
        <v>256</v>
      </c>
      <c r="G55" s="1662"/>
      <c r="H55" s="1662"/>
      <c r="I55" s="1662"/>
      <c r="J55" s="1662"/>
      <c r="K55" s="1668"/>
      <c r="L55" s="1668"/>
      <c r="M55" s="1662"/>
      <c r="N55" s="1662"/>
      <c r="O55" s="1662"/>
      <c r="P55" s="1662"/>
      <c r="Q55" s="1662"/>
      <c r="R55" s="1662"/>
      <c r="S55" s="1662"/>
      <c r="T55" s="1662"/>
      <c r="U55" s="1662"/>
      <c r="V55" s="1662"/>
      <c r="W55" s="1662"/>
      <c r="X55" s="1662"/>
      <c r="Y55" s="1662"/>
      <c r="Z55" s="1662"/>
      <c r="AA55" s="1662"/>
      <c r="AB55" s="1662"/>
      <c r="AC55" s="1662"/>
      <c r="AD55" s="1662"/>
      <c r="AE55" s="1662"/>
      <c r="AF55" s="1662"/>
      <c r="AG55" s="1662"/>
      <c r="AH55" s="1662"/>
      <c r="AI55" s="1662"/>
      <c r="AJ55" s="1662"/>
      <c r="AK55" s="1662"/>
      <c r="AL55" s="1662"/>
      <c r="AM55" s="1663"/>
      <c r="AN55" s="1662"/>
      <c r="AO55" s="1662"/>
      <c r="AP55" s="1662"/>
      <c r="AQ55" s="1662"/>
      <c r="AR55" s="1662"/>
      <c r="AS55" s="1662"/>
      <c r="AT55" s="1662"/>
      <c r="AU55" s="1662"/>
      <c r="AV55" s="1662"/>
      <c r="AW55" s="1662"/>
      <c r="AX55" s="1662"/>
      <c r="AY55" s="1662"/>
      <c r="AZ55" s="1662"/>
      <c r="BA55" s="1662"/>
      <c r="BB55" s="1662"/>
      <c r="BC55" s="1662"/>
      <c r="BD55" s="1662"/>
      <c r="BE55" s="1662"/>
      <c r="BF55" s="1662"/>
      <c r="BG55" s="1662"/>
      <c r="BH55" s="1662"/>
      <c r="BI55" s="1662"/>
      <c r="BJ55" s="1662"/>
      <c r="BK55" s="1662"/>
      <c r="BL55" s="1662"/>
      <c r="BM55" s="1662"/>
      <c r="BN55" s="1663"/>
      <c r="BO55" s="1668"/>
      <c r="BP55" s="1668"/>
      <c r="BQ55" s="1662"/>
      <c r="BR55" s="1668"/>
      <c r="BS55" s="1662"/>
      <c r="BT55" s="1662"/>
      <c r="BU55" s="1663"/>
      <c r="BV55" s="1665">
        <v>237624.82</v>
      </c>
      <c r="BW55" s="1668"/>
      <c r="BX55" s="1668"/>
      <c r="BY55" s="1662"/>
      <c r="BZ55" s="1662"/>
      <c r="CA55" s="1662"/>
      <c r="CB55" s="1662"/>
      <c r="CC55" s="1662"/>
      <c r="CD55" s="1724">
        <v>1195709.0900000001</v>
      </c>
      <c r="CE55" s="1724">
        <v>1189255.1299999999</v>
      </c>
      <c r="CF55" s="1724">
        <v>792082.72</v>
      </c>
      <c r="CG55" s="1724">
        <v>66.599999999999994</v>
      </c>
      <c r="CH55" s="1724">
        <v>397172.41</v>
      </c>
      <c r="CI55" s="1724">
        <v>33.4</v>
      </c>
      <c r="CJ55" s="1724">
        <v>1189255.1299999999</v>
      </c>
      <c r="CK55" s="1724">
        <v>100</v>
      </c>
      <c r="CL55" s="1725"/>
      <c r="CM55" s="1726"/>
      <c r="CN55" s="1727"/>
      <c r="CO55" s="1728"/>
      <c r="CP55" s="1726"/>
      <c r="CQ55" s="1724">
        <v>792082.72</v>
      </c>
      <c r="CR55" s="1724">
        <v>792082.72</v>
      </c>
      <c r="CS55" s="1724">
        <v>0</v>
      </c>
      <c r="CT55" s="1728"/>
      <c r="CU55" s="1726"/>
      <c r="CV55" s="1724">
        <v>1189255.1299999999</v>
      </c>
      <c r="CW55" s="1724">
        <v>0</v>
      </c>
      <c r="CX55" s="1724">
        <v>0</v>
      </c>
      <c r="CY55" s="1724">
        <v>981502.13</v>
      </c>
      <c r="CZ55" s="1724">
        <v>190824.07</v>
      </c>
      <c r="DA55" s="1724">
        <v>7420</v>
      </c>
      <c r="DB55" s="1724">
        <v>200</v>
      </c>
      <c r="DC55" s="1724">
        <v>9308.93</v>
      </c>
      <c r="DD55" s="1724">
        <v>1189255.1299999999</v>
      </c>
      <c r="DE55" s="1724">
        <v>792082.72</v>
      </c>
      <c r="DF55" s="1724">
        <v>792082.72</v>
      </c>
      <c r="DG55" s="1724">
        <v>0</v>
      </c>
      <c r="DH55" s="1724">
        <v>397172.41</v>
      </c>
      <c r="DI55" s="1724">
        <v>397172.41</v>
      </c>
      <c r="DJ55" s="1724">
        <v>0</v>
      </c>
      <c r="DK55" s="1724">
        <v>397172.41</v>
      </c>
      <c r="DL55" s="1724">
        <v>0</v>
      </c>
      <c r="DM55" s="1724">
        <v>0</v>
      </c>
      <c r="DN55" s="1724">
        <v>0</v>
      </c>
      <c r="DO55" s="1724">
        <v>0</v>
      </c>
      <c r="DP55" s="1724">
        <v>0</v>
      </c>
      <c r="DQ55" s="1728"/>
      <c r="DR55" s="1727"/>
      <c r="DS55" s="1728"/>
      <c r="DT55" s="1726"/>
      <c r="DU55" s="1728"/>
      <c r="DV55" s="1726"/>
    </row>
    <row r="56" spans="1:126" ht="112.5" x14ac:dyDescent="0.25">
      <c r="A56" s="1662" t="s">
        <v>1762</v>
      </c>
      <c r="B56" s="1662" t="s">
        <v>1719</v>
      </c>
      <c r="C56" s="1662" t="s">
        <v>2623</v>
      </c>
      <c r="D56" s="1662" t="s">
        <v>2624</v>
      </c>
      <c r="E56" s="1662" t="s">
        <v>182</v>
      </c>
      <c r="F56" s="1662" t="s">
        <v>256</v>
      </c>
      <c r="G56" s="1662" t="s">
        <v>2627</v>
      </c>
      <c r="H56" s="1662" t="s">
        <v>2628</v>
      </c>
      <c r="I56" s="1662" t="s">
        <v>2613</v>
      </c>
      <c r="J56" s="1662" t="s">
        <v>1617</v>
      </c>
      <c r="K56" s="1664">
        <v>43178</v>
      </c>
      <c r="L56" s="1664">
        <v>43335</v>
      </c>
      <c r="M56" s="1662" t="s">
        <v>2998</v>
      </c>
      <c r="N56" s="1662" t="s">
        <v>2109</v>
      </c>
      <c r="O56" s="1662" t="s">
        <v>2999</v>
      </c>
      <c r="P56" s="1662" t="s">
        <v>2833</v>
      </c>
      <c r="Q56" s="1662" t="s">
        <v>1741</v>
      </c>
      <c r="R56" s="1662" t="s">
        <v>2833</v>
      </c>
      <c r="S56" s="1662" t="s">
        <v>2833</v>
      </c>
      <c r="T56" s="1662"/>
      <c r="U56" s="1662" t="s">
        <v>2834</v>
      </c>
      <c r="V56" s="1662" t="s">
        <v>2833</v>
      </c>
      <c r="W56" s="1662" t="s">
        <v>2833</v>
      </c>
      <c r="X56" s="1662"/>
      <c r="Y56" s="1662" t="s">
        <v>2833</v>
      </c>
      <c r="Z56" s="1662"/>
      <c r="AA56" s="1662"/>
      <c r="AB56" s="1662" t="s">
        <v>2833</v>
      </c>
      <c r="AC56" s="1662" t="s">
        <v>2833</v>
      </c>
      <c r="AD56" s="1662" t="s">
        <v>2833</v>
      </c>
      <c r="AE56" s="1662"/>
      <c r="AF56" s="1662" t="s">
        <v>3000</v>
      </c>
      <c r="AG56" s="1662" t="s">
        <v>3001</v>
      </c>
      <c r="AH56" s="1662" t="s">
        <v>2867</v>
      </c>
      <c r="AI56" s="1662" t="s">
        <v>2838</v>
      </c>
      <c r="AJ56" s="1662" t="s">
        <v>2839</v>
      </c>
      <c r="AK56" s="1662" t="s">
        <v>2987</v>
      </c>
      <c r="AL56" s="1662" t="s">
        <v>3002</v>
      </c>
      <c r="AM56" s="1665">
        <v>100</v>
      </c>
      <c r="AN56" s="1662"/>
      <c r="AO56" s="1662"/>
      <c r="AP56" s="1662"/>
      <c r="AQ56" s="1662"/>
      <c r="AR56" s="1662"/>
      <c r="AS56" s="1662"/>
      <c r="AT56" s="1662" t="s">
        <v>2946</v>
      </c>
      <c r="AU56" s="1662" t="s">
        <v>2842</v>
      </c>
      <c r="AV56" s="1662" t="s">
        <v>2934</v>
      </c>
      <c r="AW56" s="1662"/>
      <c r="AX56" s="1662" t="s">
        <v>3003</v>
      </c>
      <c r="AY56" s="1662" t="s">
        <v>2874</v>
      </c>
      <c r="AZ56" s="1662" t="s">
        <v>161</v>
      </c>
      <c r="BA56" s="1662" t="s">
        <v>2888</v>
      </c>
      <c r="BB56" s="1662" t="s">
        <v>2833</v>
      </c>
      <c r="BC56" s="1662" t="s">
        <v>2876</v>
      </c>
      <c r="BD56" s="1662" t="s">
        <v>2849</v>
      </c>
      <c r="BE56" s="1662" t="s">
        <v>2889</v>
      </c>
      <c r="BF56" s="1662" t="s">
        <v>3004</v>
      </c>
      <c r="BG56" s="1662" t="s">
        <v>2891</v>
      </c>
      <c r="BH56" s="1662" t="s">
        <v>2880</v>
      </c>
      <c r="BI56" s="1662" t="s">
        <v>2881</v>
      </c>
      <c r="BJ56" s="1662" t="s">
        <v>2892</v>
      </c>
      <c r="BK56" s="1662" t="s">
        <v>2946</v>
      </c>
      <c r="BL56" s="1662" t="s">
        <v>2833</v>
      </c>
      <c r="BM56" s="1662" t="s">
        <v>2833</v>
      </c>
      <c r="BN56" s="1665">
        <v>0</v>
      </c>
      <c r="BO56" s="1664">
        <v>42501</v>
      </c>
      <c r="BP56" s="1664">
        <v>43861</v>
      </c>
      <c r="BQ56" s="1662" t="s">
        <v>2855</v>
      </c>
      <c r="BR56" s="1664">
        <v>46387</v>
      </c>
      <c r="BS56" s="1662" t="s">
        <v>3005</v>
      </c>
      <c r="BT56" s="1662" t="s">
        <v>3006</v>
      </c>
      <c r="BU56" s="1665">
        <v>30</v>
      </c>
      <c r="BV56" s="1665">
        <v>61816.800000000003</v>
      </c>
      <c r="BW56" s="1664">
        <v>43891</v>
      </c>
      <c r="BX56" s="1668"/>
      <c r="BY56" s="1662" t="s">
        <v>2096</v>
      </c>
      <c r="BZ56" s="1662" t="s">
        <v>2858</v>
      </c>
      <c r="CA56" s="1662" t="s">
        <v>2859</v>
      </c>
      <c r="CB56" s="1662" t="s">
        <v>2859</v>
      </c>
      <c r="CC56" s="1662" t="s">
        <v>2993</v>
      </c>
      <c r="CD56" s="1724">
        <v>242419</v>
      </c>
      <c r="CE56" s="1724">
        <v>242419</v>
      </c>
      <c r="CF56" s="1724">
        <v>206056</v>
      </c>
      <c r="CG56" s="1724">
        <v>85</v>
      </c>
      <c r="CH56" s="1724">
        <v>36363</v>
      </c>
      <c r="CI56" s="1724">
        <v>15</v>
      </c>
      <c r="CJ56" s="1724">
        <v>242419</v>
      </c>
      <c r="CK56" s="1724">
        <v>100</v>
      </c>
      <c r="CL56" s="1725" t="s">
        <v>2861</v>
      </c>
      <c r="CM56" s="1729">
        <v>43237</v>
      </c>
      <c r="CN56" s="1727"/>
      <c r="CO56" s="1728"/>
      <c r="CP56" s="1726"/>
      <c r="CQ56" s="1724">
        <v>206056</v>
      </c>
      <c r="CR56" s="1724">
        <v>206056</v>
      </c>
      <c r="CS56" s="1724">
        <v>0</v>
      </c>
      <c r="CT56" s="1728" t="s">
        <v>2861</v>
      </c>
      <c r="CU56" s="1729">
        <v>43252</v>
      </c>
      <c r="CV56" s="1724">
        <v>242419</v>
      </c>
      <c r="CW56" s="1724">
        <v>0</v>
      </c>
      <c r="CX56" s="1724">
        <v>0</v>
      </c>
      <c r="CY56" s="1724">
        <v>182366.9</v>
      </c>
      <c r="CZ56" s="1724">
        <v>54994.5</v>
      </c>
      <c r="DA56" s="1724">
        <v>2420</v>
      </c>
      <c r="DB56" s="1724">
        <v>0</v>
      </c>
      <c r="DC56" s="1724">
        <v>2637.6</v>
      </c>
      <c r="DD56" s="1724">
        <v>242419</v>
      </c>
      <c r="DE56" s="1724">
        <v>206056</v>
      </c>
      <c r="DF56" s="1724">
        <v>206056</v>
      </c>
      <c r="DG56" s="1724">
        <v>0</v>
      </c>
      <c r="DH56" s="1724">
        <v>36363</v>
      </c>
      <c r="DI56" s="1724">
        <v>36363</v>
      </c>
      <c r="DJ56" s="1724">
        <v>0</v>
      </c>
      <c r="DK56" s="1724">
        <v>36363</v>
      </c>
      <c r="DL56" s="1724">
        <v>0</v>
      </c>
      <c r="DM56" s="1724">
        <v>0</v>
      </c>
      <c r="DN56" s="1724">
        <v>0</v>
      </c>
      <c r="DO56" s="1724">
        <v>0</v>
      </c>
      <c r="DP56" s="1724">
        <v>0</v>
      </c>
      <c r="DQ56" s="1728" t="s">
        <v>2886</v>
      </c>
      <c r="DR56" s="1724">
        <v>0</v>
      </c>
      <c r="DS56" s="1728" t="s">
        <v>2861</v>
      </c>
      <c r="DT56" s="1726" t="s">
        <v>3007</v>
      </c>
      <c r="DU56" s="1728" t="s">
        <v>2861</v>
      </c>
      <c r="DV56" s="1729">
        <v>43861</v>
      </c>
    </row>
    <row r="57" spans="1:126" ht="202.5" x14ac:dyDescent="0.25">
      <c r="A57" s="1662" t="s">
        <v>1763</v>
      </c>
      <c r="B57" s="1662" t="s">
        <v>1719</v>
      </c>
      <c r="C57" s="1662" t="s">
        <v>2623</v>
      </c>
      <c r="D57" s="1662" t="s">
        <v>2624</v>
      </c>
      <c r="E57" s="1662" t="s">
        <v>182</v>
      </c>
      <c r="F57" s="1662" t="s">
        <v>256</v>
      </c>
      <c r="G57" s="1662" t="s">
        <v>2627</v>
      </c>
      <c r="H57" s="1662" t="s">
        <v>2628</v>
      </c>
      <c r="I57" s="1662" t="s">
        <v>2613</v>
      </c>
      <c r="J57" s="1662" t="s">
        <v>1618</v>
      </c>
      <c r="K57" s="1664">
        <v>43189</v>
      </c>
      <c r="L57" s="1664">
        <v>43285</v>
      </c>
      <c r="M57" s="1662" t="s">
        <v>395</v>
      </c>
      <c r="N57" s="1662" t="s">
        <v>2109</v>
      </c>
      <c r="O57" s="1662" t="s">
        <v>3008</v>
      </c>
      <c r="P57" s="1662" t="s">
        <v>2833</v>
      </c>
      <c r="Q57" s="1662" t="s">
        <v>1738</v>
      </c>
      <c r="R57" s="1662" t="s">
        <v>2833</v>
      </c>
      <c r="S57" s="1662" t="s">
        <v>2833</v>
      </c>
      <c r="T57" s="1662"/>
      <c r="U57" s="1662" t="s">
        <v>2834</v>
      </c>
      <c r="V57" s="1662" t="s">
        <v>2833</v>
      </c>
      <c r="W57" s="1662" t="s">
        <v>2833</v>
      </c>
      <c r="X57" s="1662"/>
      <c r="Y57" s="1662" t="s">
        <v>2833</v>
      </c>
      <c r="Z57" s="1662"/>
      <c r="AA57" s="1662"/>
      <c r="AB57" s="1662" t="s">
        <v>2833</v>
      </c>
      <c r="AC57" s="1662" t="s">
        <v>2833</v>
      </c>
      <c r="AD57" s="1662" t="s">
        <v>2833</v>
      </c>
      <c r="AE57" s="1662"/>
      <c r="AF57" s="1662" t="s">
        <v>3000</v>
      </c>
      <c r="AG57" s="1662" t="s">
        <v>3001</v>
      </c>
      <c r="AH57" s="1662" t="s">
        <v>2867</v>
      </c>
      <c r="AI57" s="1662" t="s">
        <v>2838</v>
      </c>
      <c r="AJ57" s="1662" t="s">
        <v>2839</v>
      </c>
      <c r="AK57" s="1662" t="s">
        <v>2987</v>
      </c>
      <c r="AL57" s="1662" t="s">
        <v>3002</v>
      </c>
      <c r="AM57" s="1665">
        <v>100</v>
      </c>
      <c r="AN57" s="1662"/>
      <c r="AO57" s="1662"/>
      <c r="AP57" s="1662"/>
      <c r="AQ57" s="1662"/>
      <c r="AR57" s="1662"/>
      <c r="AS57" s="1662"/>
      <c r="AT57" s="1662" t="s">
        <v>2842</v>
      </c>
      <c r="AU57" s="1662" t="s">
        <v>2842</v>
      </c>
      <c r="AV57" s="1662" t="s">
        <v>2934</v>
      </c>
      <c r="AW57" s="1662"/>
      <c r="AX57" s="1662" t="s">
        <v>3003</v>
      </c>
      <c r="AY57" s="1662" t="s">
        <v>2874</v>
      </c>
      <c r="AZ57" s="1662" t="s">
        <v>236</v>
      </c>
      <c r="BA57" s="1662" t="s">
        <v>3009</v>
      </c>
      <c r="BB57" s="1662" t="s">
        <v>2833</v>
      </c>
      <c r="BC57" s="1662" t="s">
        <v>2876</v>
      </c>
      <c r="BD57" s="1662" t="s">
        <v>2849</v>
      </c>
      <c r="BE57" s="1662" t="s">
        <v>3010</v>
      </c>
      <c r="BF57" s="1662" t="s">
        <v>3011</v>
      </c>
      <c r="BG57" s="1662" t="s">
        <v>3012</v>
      </c>
      <c r="BH57" s="1662" t="s">
        <v>2050</v>
      </c>
      <c r="BI57" s="1662" t="s">
        <v>2881</v>
      </c>
      <c r="BJ57" s="1662" t="s">
        <v>2965</v>
      </c>
      <c r="BK57" s="1662" t="s">
        <v>2842</v>
      </c>
      <c r="BL57" s="1662" t="s">
        <v>2833</v>
      </c>
      <c r="BM57" s="1662" t="s">
        <v>2833</v>
      </c>
      <c r="BN57" s="1665">
        <v>0</v>
      </c>
      <c r="BO57" s="1664">
        <v>43039</v>
      </c>
      <c r="BP57" s="1664">
        <v>43738</v>
      </c>
      <c r="BQ57" s="1662" t="s">
        <v>2855</v>
      </c>
      <c r="BR57" s="1664">
        <v>46022</v>
      </c>
      <c r="BS57" s="1662" t="s">
        <v>3013</v>
      </c>
      <c r="BT57" s="1662" t="s">
        <v>3014</v>
      </c>
      <c r="BU57" s="1665">
        <v>30</v>
      </c>
      <c r="BV57" s="1665">
        <v>61816.800000000003</v>
      </c>
      <c r="BW57" s="1664">
        <v>43768</v>
      </c>
      <c r="BX57" s="1668"/>
      <c r="BY57" s="1662" t="s">
        <v>2096</v>
      </c>
      <c r="BZ57" s="1662" t="s">
        <v>2859</v>
      </c>
      <c r="CA57" s="1662" t="s">
        <v>2859</v>
      </c>
      <c r="CB57" s="1662" t="s">
        <v>2859</v>
      </c>
      <c r="CC57" s="1662" t="s">
        <v>2993</v>
      </c>
      <c r="CD57" s="1724">
        <v>304124.37</v>
      </c>
      <c r="CE57" s="1724">
        <v>297670.40999999997</v>
      </c>
      <c r="CF57" s="1724">
        <v>206056</v>
      </c>
      <c r="CG57" s="1724">
        <v>69.22</v>
      </c>
      <c r="CH57" s="1724">
        <v>91614.41</v>
      </c>
      <c r="CI57" s="1724">
        <v>30.78</v>
      </c>
      <c r="CJ57" s="1724">
        <v>297670.40999999997</v>
      </c>
      <c r="CK57" s="1724">
        <v>100</v>
      </c>
      <c r="CL57" s="1725" t="s">
        <v>2861</v>
      </c>
      <c r="CM57" s="1729">
        <v>43241</v>
      </c>
      <c r="CN57" s="1727"/>
      <c r="CO57" s="1728"/>
      <c r="CP57" s="1726"/>
      <c r="CQ57" s="1724">
        <v>206056</v>
      </c>
      <c r="CR57" s="1724">
        <v>206056</v>
      </c>
      <c r="CS57" s="1724">
        <v>0</v>
      </c>
      <c r="CT57" s="1728" t="s">
        <v>2861</v>
      </c>
      <c r="CU57" s="1729">
        <v>43252</v>
      </c>
      <c r="CV57" s="1724">
        <v>297670.40999999997</v>
      </c>
      <c r="CW57" s="1724">
        <v>0</v>
      </c>
      <c r="CX57" s="1724">
        <v>0</v>
      </c>
      <c r="CY57" s="1724">
        <v>231557.92</v>
      </c>
      <c r="CZ57" s="1724">
        <v>66112.490000000005</v>
      </c>
      <c r="DA57" s="1724">
        <v>0</v>
      </c>
      <c r="DB57" s="1724">
        <v>0</v>
      </c>
      <c r="DC57" s="1724">
        <v>0</v>
      </c>
      <c r="DD57" s="1724">
        <v>297670.40999999997</v>
      </c>
      <c r="DE57" s="1724">
        <v>206056</v>
      </c>
      <c r="DF57" s="1724">
        <v>206056</v>
      </c>
      <c r="DG57" s="1724">
        <v>0</v>
      </c>
      <c r="DH57" s="1724">
        <v>91614.41</v>
      </c>
      <c r="DI57" s="1724">
        <v>91614.41</v>
      </c>
      <c r="DJ57" s="1724">
        <v>0</v>
      </c>
      <c r="DK57" s="1724">
        <v>91614.41</v>
      </c>
      <c r="DL57" s="1724">
        <v>0</v>
      </c>
      <c r="DM57" s="1724">
        <v>0</v>
      </c>
      <c r="DN57" s="1724">
        <v>0</v>
      </c>
      <c r="DO57" s="1724">
        <v>0</v>
      </c>
      <c r="DP57" s="1724">
        <v>0</v>
      </c>
      <c r="DQ57" s="1728" t="s">
        <v>2886</v>
      </c>
      <c r="DR57" s="1724">
        <v>0</v>
      </c>
      <c r="DS57" s="1728" t="s">
        <v>2861</v>
      </c>
      <c r="DT57" s="1726" t="s">
        <v>3015</v>
      </c>
      <c r="DU57" s="1728" t="s">
        <v>2861</v>
      </c>
      <c r="DV57" s="1729">
        <v>43738</v>
      </c>
    </row>
    <row r="58" spans="1:126" ht="168.75" x14ac:dyDescent="0.25">
      <c r="A58" s="1662" t="s">
        <v>1764</v>
      </c>
      <c r="B58" s="1662" t="s">
        <v>1719</v>
      </c>
      <c r="C58" s="1662" t="s">
        <v>2623</v>
      </c>
      <c r="D58" s="1662" t="s">
        <v>2624</v>
      </c>
      <c r="E58" s="1662" t="s">
        <v>182</v>
      </c>
      <c r="F58" s="1662" t="s">
        <v>256</v>
      </c>
      <c r="G58" s="1662" t="s">
        <v>2627</v>
      </c>
      <c r="H58" s="1662" t="s">
        <v>2628</v>
      </c>
      <c r="I58" s="1662" t="s">
        <v>2613</v>
      </c>
      <c r="J58" s="1662" t="s">
        <v>1621</v>
      </c>
      <c r="K58" s="1664">
        <v>43189</v>
      </c>
      <c r="L58" s="1664">
        <v>43276</v>
      </c>
      <c r="M58" s="1662" t="s">
        <v>3016</v>
      </c>
      <c r="N58" s="1662" t="s">
        <v>2109</v>
      </c>
      <c r="O58" s="1662" t="s">
        <v>3017</v>
      </c>
      <c r="P58" s="1662" t="s">
        <v>2833</v>
      </c>
      <c r="Q58" s="1662" t="s">
        <v>1749</v>
      </c>
      <c r="R58" s="1662" t="s">
        <v>2833</v>
      </c>
      <c r="S58" s="1662" t="s">
        <v>2833</v>
      </c>
      <c r="T58" s="1662"/>
      <c r="U58" s="1662" t="s">
        <v>2834</v>
      </c>
      <c r="V58" s="1662" t="s">
        <v>2833</v>
      </c>
      <c r="W58" s="1662" t="s">
        <v>2833</v>
      </c>
      <c r="X58" s="1662"/>
      <c r="Y58" s="1662" t="s">
        <v>2833</v>
      </c>
      <c r="Z58" s="1662"/>
      <c r="AA58" s="1662"/>
      <c r="AB58" s="1662" t="s">
        <v>2833</v>
      </c>
      <c r="AC58" s="1662" t="s">
        <v>2833</v>
      </c>
      <c r="AD58" s="1662" t="s">
        <v>2833</v>
      </c>
      <c r="AE58" s="1662"/>
      <c r="AF58" s="1662" t="s">
        <v>3000</v>
      </c>
      <c r="AG58" s="1662" t="s">
        <v>3001</v>
      </c>
      <c r="AH58" s="1662" t="s">
        <v>2867</v>
      </c>
      <c r="AI58" s="1662" t="s">
        <v>2838</v>
      </c>
      <c r="AJ58" s="1662" t="s">
        <v>2839</v>
      </c>
      <c r="AK58" s="1662" t="s">
        <v>2987</v>
      </c>
      <c r="AL58" s="1662" t="s">
        <v>3002</v>
      </c>
      <c r="AM58" s="1665">
        <v>100</v>
      </c>
      <c r="AN58" s="1662"/>
      <c r="AO58" s="1662"/>
      <c r="AP58" s="1662"/>
      <c r="AQ58" s="1662"/>
      <c r="AR58" s="1662"/>
      <c r="AS58" s="1662"/>
      <c r="AT58" s="1662" t="s">
        <v>2842</v>
      </c>
      <c r="AU58" s="1662" t="s">
        <v>2842</v>
      </c>
      <c r="AV58" s="1662" t="s">
        <v>2934</v>
      </c>
      <c r="AW58" s="1662"/>
      <c r="AX58" s="1662" t="s">
        <v>3003</v>
      </c>
      <c r="AY58" s="1662" t="s">
        <v>2874</v>
      </c>
      <c r="AZ58" s="1662" t="s">
        <v>350</v>
      </c>
      <c r="BA58" s="1662" t="s">
        <v>2875</v>
      </c>
      <c r="BB58" s="1662" t="s">
        <v>2833</v>
      </c>
      <c r="BC58" s="1662" t="s">
        <v>2876</v>
      </c>
      <c r="BD58" s="1662" t="s">
        <v>2849</v>
      </c>
      <c r="BE58" s="1662" t="s">
        <v>2995</v>
      </c>
      <c r="BF58" s="1662" t="s">
        <v>3018</v>
      </c>
      <c r="BG58" s="1662" t="s">
        <v>3019</v>
      </c>
      <c r="BH58" s="1662" t="s">
        <v>2880</v>
      </c>
      <c r="BI58" s="1662" t="s">
        <v>2881</v>
      </c>
      <c r="BJ58" s="1662" t="s">
        <v>2882</v>
      </c>
      <c r="BK58" s="1662" t="s">
        <v>2842</v>
      </c>
      <c r="BL58" s="1662" t="s">
        <v>2833</v>
      </c>
      <c r="BM58" s="1662" t="s">
        <v>2833</v>
      </c>
      <c r="BN58" s="1665">
        <v>0</v>
      </c>
      <c r="BO58" s="1664">
        <v>43276</v>
      </c>
      <c r="BP58" s="1664">
        <v>44012</v>
      </c>
      <c r="BQ58" s="1662" t="s">
        <v>2855</v>
      </c>
      <c r="BR58" s="1664">
        <v>46387</v>
      </c>
      <c r="BS58" s="1662" t="s">
        <v>2883</v>
      </c>
      <c r="BT58" s="1662" t="s">
        <v>3020</v>
      </c>
      <c r="BU58" s="1665">
        <v>30</v>
      </c>
      <c r="BV58" s="1665">
        <v>61816.800000000003</v>
      </c>
      <c r="BW58" s="1664">
        <v>44042</v>
      </c>
      <c r="BX58" s="1668"/>
      <c r="BY58" s="1662" t="s">
        <v>2096</v>
      </c>
      <c r="BZ58" s="1662" t="s">
        <v>2858</v>
      </c>
      <c r="CA58" s="1662" t="s">
        <v>2859</v>
      </c>
      <c r="CB58" s="1662" t="s">
        <v>2859</v>
      </c>
      <c r="CC58" s="1662" t="s">
        <v>2993</v>
      </c>
      <c r="CD58" s="1724">
        <v>444560.16</v>
      </c>
      <c r="CE58" s="1724">
        <v>444560.16</v>
      </c>
      <c r="CF58" s="1724">
        <v>206056</v>
      </c>
      <c r="CG58" s="1724">
        <v>46.35</v>
      </c>
      <c r="CH58" s="1724">
        <v>238504.16</v>
      </c>
      <c r="CI58" s="1724">
        <v>53.65</v>
      </c>
      <c r="CJ58" s="1724">
        <v>444560.16</v>
      </c>
      <c r="CK58" s="1724">
        <v>100</v>
      </c>
      <c r="CL58" s="1725" t="s">
        <v>2861</v>
      </c>
      <c r="CM58" s="1729">
        <v>43243</v>
      </c>
      <c r="CN58" s="1727"/>
      <c r="CO58" s="1728"/>
      <c r="CP58" s="1726"/>
      <c r="CQ58" s="1724">
        <v>206056</v>
      </c>
      <c r="CR58" s="1724">
        <v>206056</v>
      </c>
      <c r="CS58" s="1724">
        <v>0</v>
      </c>
      <c r="CT58" s="1728" t="s">
        <v>2861</v>
      </c>
      <c r="CU58" s="1729">
        <v>43252</v>
      </c>
      <c r="CV58" s="1724">
        <v>444560.16</v>
      </c>
      <c r="CW58" s="1724">
        <v>0</v>
      </c>
      <c r="CX58" s="1724">
        <v>0</v>
      </c>
      <c r="CY58" s="1724">
        <v>429797</v>
      </c>
      <c r="CZ58" s="1724">
        <v>10318</v>
      </c>
      <c r="DA58" s="1724">
        <v>0</v>
      </c>
      <c r="DB58" s="1724">
        <v>0</v>
      </c>
      <c r="DC58" s="1724">
        <v>4445.16</v>
      </c>
      <c r="DD58" s="1724">
        <v>444560.16</v>
      </c>
      <c r="DE58" s="1724">
        <v>206056</v>
      </c>
      <c r="DF58" s="1724">
        <v>206056</v>
      </c>
      <c r="DG58" s="1724">
        <v>0</v>
      </c>
      <c r="DH58" s="1724">
        <v>238504.16</v>
      </c>
      <c r="DI58" s="1724">
        <v>238504.16</v>
      </c>
      <c r="DJ58" s="1724">
        <v>0</v>
      </c>
      <c r="DK58" s="1724">
        <v>238504.16</v>
      </c>
      <c r="DL58" s="1724">
        <v>0</v>
      </c>
      <c r="DM58" s="1724">
        <v>0</v>
      </c>
      <c r="DN58" s="1724">
        <v>0</v>
      </c>
      <c r="DO58" s="1724">
        <v>0</v>
      </c>
      <c r="DP58" s="1724">
        <v>0</v>
      </c>
      <c r="DQ58" s="1728" t="s">
        <v>2886</v>
      </c>
      <c r="DR58" s="1724">
        <v>0</v>
      </c>
      <c r="DS58" s="1728" t="s">
        <v>2833</v>
      </c>
      <c r="DT58" s="1726"/>
      <c r="DU58" s="1728" t="s">
        <v>2861</v>
      </c>
      <c r="DV58" s="1729">
        <v>44012</v>
      </c>
    </row>
    <row r="59" spans="1:126" ht="90" x14ac:dyDescent="0.25">
      <c r="A59" s="1662" t="s">
        <v>1765</v>
      </c>
      <c r="B59" s="1662" t="s">
        <v>1719</v>
      </c>
      <c r="C59" s="1662" t="s">
        <v>2623</v>
      </c>
      <c r="D59" s="1662" t="s">
        <v>2624</v>
      </c>
      <c r="E59" s="1662" t="s">
        <v>182</v>
      </c>
      <c r="F59" s="1662" t="s">
        <v>256</v>
      </c>
      <c r="G59" s="1662" t="s">
        <v>2627</v>
      </c>
      <c r="H59" s="1662" t="s">
        <v>2628</v>
      </c>
      <c r="I59" s="1662" t="s">
        <v>2613</v>
      </c>
      <c r="J59" s="1662" t="s">
        <v>1620</v>
      </c>
      <c r="K59" s="1664">
        <v>43214</v>
      </c>
      <c r="L59" s="1664">
        <v>43307</v>
      </c>
      <c r="M59" s="1662" t="s">
        <v>652</v>
      </c>
      <c r="N59" s="1662" t="s">
        <v>2109</v>
      </c>
      <c r="O59" s="1662" t="s">
        <v>3021</v>
      </c>
      <c r="P59" s="1662" t="s">
        <v>2833</v>
      </c>
      <c r="Q59" s="1662" t="s">
        <v>1746</v>
      </c>
      <c r="R59" s="1662" t="s">
        <v>2833</v>
      </c>
      <c r="S59" s="1662" t="s">
        <v>2833</v>
      </c>
      <c r="T59" s="1662"/>
      <c r="U59" s="1662" t="s">
        <v>2834</v>
      </c>
      <c r="V59" s="1662" t="s">
        <v>2833</v>
      </c>
      <c r="W59" s="1662" t="s">
        <v>2833</v>
      </c>
      <c r="X59" s="1662"/>
      <c r="Y59" s="1662" t="s">
        <v>2833</v>
      </c>
      <c r="Z59" s="1662"/>
      <c r="AA59" s="1662"/>
      <c r="AB59" s="1662" t="s">
        <v>2833</v>
      </c>
      <c r="AC59" s="1662" t="s">
        <v>2833</v>
      </c>
      <c r="AD59" s="1662" t="s">
        <v>2833</v>
      </c>
      <c r="AE59" s="1662"/>
      <c r="AF59" s="1662" t="s">
        <v>3000</v>
      </c>
      <c r="AG59" s="1662" t="s">
        <v>3001</v>
      </c>
      <c r="AH59" s="1662" t="s">
        <v>2867</v>
      </c>
      <c r="AI59" s="1662" t="s">
        <v>2838</v>
      </c>
      <c r="AJ59" s="1662" t="s">
        <v>2839</v>
      </c>
      <c r="AK59" s="1662" t="s">
        <v>2987</v>
      </c>
      <c r="AL59" s="1662" t="s">
        <v>3002</v>
      </c>
      <c r="AM59" s="1665">
        <v>100</v>
      </c>
      <c r="AN59" s="1662"/>
      <c r="AO59" s="1662"/>
      <c r="AP59" s="1662"/>
      <c r="AQ59" s="1662"/>
      <c r="AR59" s="1662"/>
      <c r="AS59" s="1662"/>
      <c r="AT59" s="1662" t="s">
        <v>2842</v>
      </c>
      <c r="AU59" s="1662" t="s">
        <v>2842</v>
      </c>
      <c r="AV59" s="1662" t="s">
        <v>2934</v>
      </c>
      <c r="AW59" s="1662"/>
      <c r="AX59" s="1662" t="s">
        <v>3003</v>
      </c>
      <c r="AY59" s="1662" t="s">
        <v>2874</v>
      </c>
      <c r="AZ59" s="1662" t="s">
        <v>284</v>
      </c>
      <c r="BA59" s="1662" t="s">
        <v>2896</v>
      </c>
      <c r="BB59" s="1662" t="s">
        <v>2833</v>
      </c>
      <c r="BC59" s="1662" t="s">
        <v>2876</v>
      </c>
      <c r="BD59" s="1662" t="s">
        <v>2849</v>
      </c>
      <c r="BE59" s="1662" t="s">
        <v>3022</v>
      </c>
      <c r="BF59" s="1662" t="s">
        <v>3023</v>
      </c>
      <c r="BG59" s="1662" t="s">
        <v>3024</v>
      </c>
      <c r="BH59" s="1662" t="s">
        <v>2880</v>
      </c>
      <c r="BI59" s="1662" t="s">
        <v>2881</v>
      </c>
      <c r="BJ59" s="1662" t="s">
        <v>2900</v>
      </c>
      <c r="BK59" s="1662" t="s">
        <v>2842</v>
      </c>
      <c r="BL59" s="1662" t="s">
        <v>2833</v>
      </c>
      <c r="BM59" s="1662" t="s">
        <v>2833</v>
      </c>
      <c r="BN59" s="1665">
        <v>0</v>
      </c>
      <c r="BO59" s="1664">
        <v>42515</v>
      </c>
      <c r="BP59" s="1664">
        <v>43951</v>
      </c>
      <c r="BQ59" s="1662" t="s">
        <v>2855</v>
      </c>
      <c r="BR59" s="1664">
        <v>46387</v>
      </c>
      <c r="BS59" s="1662" t="s">
        <v>2883</v>
      </c>
      <c r="BT59" s="1662" t="s">
        <v>3025</v>
      </c>
      <c r="BU59" s="1665">
        <v>30</v>
      </c>
      <c r="BV59" s="1665">
        <v>52174.42</v>
      </c>
      <c r="BW59" s="1664">
        <v>43981</v>
      </c>
      <c r="BX59" s="1668"/>
      <c r="BY59" s="1662" t="s">
        <v>2096</v>
      </c>
      <c r="BZ59" s="1662" t="s">
        <v>2858</v>
      </c>
      <c r="CA59" s="1662" t="s">
        <v>2859</v>
      </c>
      <c r="CB59" s="1662" t="s">
        <v>2859</v>
      </c>
      <c r="CC59" s="1662" t="s">
        <v>2993</v>
      </c>
      <c r="CD59" s="1724">
        <v>204605.56</v>
      </c>
      <c r="CE59" s="1724">
        <v>204605.56</v>
      </c>
      <c r="CF59" s="1724">
        <v>173914.72</v>
      </c>
      <c r="CG59" s="1724">
        <v>85</v>
      </c>
      <c r="CH59" s="1724">
        <v>30690.84</v>
      </c>
      <c r="CI59" s="1724">
        <v>15</v>
      </c>
      <c r="CJ59" s="1724">
        <v>204605.56</v>
      </c>
      <c r="CK59" s="1724">
        <v>100</v>
      </c>
      <c r="CL59" s="1725" t="s">
        <v>2861</v>
      </c>
      <c r="CM59" s="1729">
        <v>43272</v>
      </c>
      <c r="CN59" s="1727"/>
      <c r="CO59" s="1728"/>
      <c r="CP59" s="1726"/>
      <c r="CQ59" s="1724">
        <v>173914.72</v>
      </c>
      <c r="CR59" s="1724">
        <v>173914.72</v>
      </c>
      <c r="CS59" s="1724">
        <v>0</v>
      </c>
      <c r="CT59" s="1728" t="s">
        <v>2861</v>
      </c>
      <c r="CU59" s="1729">
        <v>43286</v>
      </c>
      <c r="CV59" s="1724">
        <v>204605.56</v>
      </c>
      <c r="CW59" s="1724">
        <v>0</v>
      </c>
      <c r="CX59" s="1724">
        <v>0</v>
      </c>
      <c r="CY59" s="1724">
        <v>137780.31</v>
      </c>
      <c r="CZ59" s="1724">
        <v>59399.08</v>
      </c>
      <c r="DA59" s="1724">
        <v>5000</v>
      </c>
      <c r="DB59" s="1724">
        <v>200</v>
      </c>
      <c r="DC59" s="1724">
        <v>2226.17</v>
      </c>
      <c r="DD59" s="1724">
        <v>204605.56</v>
      </c>
      <c r="DE59" s="1724">
        <v>173914.72</v>
      </c>
      <c r="DF59" s="1724">
        <v>173914.72</v>
      </c>
      <c r="DG59" s="1724">
        <v>0</v>
      </c>
      <c r="DH59" s="1724">
        <v>30690.84</v>
      </c>
      <c r="DI59" s="1724">
        <v>30690.84</v>
      </c>
      <c r="DJ59" s="1724">
        <v>0</v>
      </c>
      <c r="DK59" s="1724">
        <v>30690.84</v>
      </c>
      <c r="DL59" s="1724">
        <v>0</v>
      </c>
      <c r="DM59" s="1724">
        <v>0</v>
      </c>
      <c r="DN59" s="1724">
        <v>0</v>
      </c>
      <c r="DO59" s="1724">
        <v>0</v>
      </c>
      <c r="DP59" s="1724">
        <v>0</v>
      </c>
      <c r="DQ59" s="1728" t="s">
        <v>2886</v>
      </c>
      <c r="DR59" s="1724">
        <v>0</v>
      </c>
      <c r="DS59" s="1728" t="s">
        <v>2861</v>
      </c>
      <c r="DT59" s="1726" t="s">
        <v>3026</v>
      </c>
      <c r="DU59" s="1728" t="s">
        <v>2861</v>
      </c>
      <c r="DV59" s="1729">
        <v>43951</v>
      </c>
    </row>
    <row r="60" spans="1:126" x14ac:dyDescent="0.25">
      <c r="A60" s="1662" t="s">
        <v>1766</v>
      </c>
      <c r="B60" s="1662" t="s">
        <v>1719</v>
      </c>
      <c r="C60" s="1662" t="s">
        <v>2629</v>
      </c>
      <c r="D60" s="1662"/>
      <c r="E60" s="1662"/>
      <c r="F60" s="1662"/>
      <c r="G60" s="1662"/>
      <c r="H60" s="1662"/>
      <c r="I60" s="1662"/>
      <c r="J60" s="1662"/>
      <c r="K60" s="1668"/>
      <c r="L60" s="1668"/>
      <c r="M60" s="1662"/>
      <c r="N60" s="1662"/>
      <c r="O60" s="1662"/>
      <c r="P60" s="1662"/>
      <c r="Q60" s="1662"/>
      <c r="R60" s="1662"/>
      <c r="S60" s="1662"/>
      <c r="T60" s="1662"/>
      <c r="U60" s="1662"/>
      <c r="V60" s="1662"/>
      <c r="W60" s="1662"/>
      <c r="X60" s="1662"/>
      <c r="Y60" s="1662"/>
      <c r="Z60" s="1662"/>
      <c r="AA60" s="1662"/>
      <c r="AB60" s="1662"/>
      <c r="AC60" s="1662"/>
      <c r="AD60" s="1662"/>
      <c r="AE60" s="1662"/>
      <c r="AF60" s="1662"/>
      <c r="AG60" s="1662"/>
      <c r="AH60" s="1662"/>
      <c r="AI60" s="1662"/>
      <c r="AJ60" s="1662"/>
      <c r="AK60" s="1662"/>
      <c r="AL60" s="1662"/>
      <c r="AM60" s="1663"/>
      <c r="AN60" s="1662"/>
      <c r="AO60" s="1662"/>
      <c r="AP60" s="1662"/>
      <c r="AQ60" s="1662"/>
      <c r="AR60" s="1662"/>
      <c r="AS60" s="1662"/>
      <c r="AT60" s="1662"/>
      <c r="AU60" s="1662"/>
      <c r="AV60" s="1662"/>
      <c r="AW60" s="1662"/>
      <c r="AX60" s="1662"/>
      <c r="AY60" s="1662"/>
      <c r="AZ60" s="1662"/>
      <c r="BA60" s="1662"/>
      <c r="BB60" s="1662"/>
      <c r="BC60" s="1662"/>
      <c r="BD60" s="1662"/>
      <c r="BE60" s="1662"/>
      <c r="BF60" s="1662"/>
      <c r="BG60" s="1662"/>
      <c r="BH60" s="1662"/>
      <c r="BI60" s="1662"/>
      <c r="BJ60" s="1662"/>
      <c r="BK60" s="1662"/>
      <c r="BL60" s="1662"/>
      <c r="BM60" s="1662"/>
      <c r="BN60" s="1663"/>
      <c r="BO60" s="1668"/>
      <c r="BP60" s="1668"/>
      <c r="BQ60" s="1662"/>
      <c r="BR60" s="1668"/>
      <c r="BS60" s="1662"/>
      <c r="BT60" s="1662"/>
      <c r="BU60" s="1663"/>
      <c r="BV60" s="1665">
        <v>320384.25</v>
      </c>
      <c r="BW60" s="1668"/>
      <c r="BX60" s="1668"/>
      <c r="BY60" s="1662"/>
      <c r="BZ60" s="1662"/>
      <c r="CA60" s="1662"/>
      <c r="CB60" s="1662"/>
      <c r="CC60" s="1662"/>
      <c r="CD60" s="1724">
        <v>1256408.8400000001</v>
      </c>
      <c r="CE60" s="1724">
        <v>1256408.8400000001</v>
      </c>
      <c r="CF60" s="1724">
        <v>1067947.48</v>
      </c>
      <c r="CG60" s="1724">
        <v>85</v>
      </c>
      <c r="CH60" s="1724">
        <v>188461.36</v>
      </c>
      <c r="CI60" s="1724">
        <v>15</v>
      </c>
      <c r="CJ60" s="1724">
        <v>1256408.8400000001</v>
      </c>
      <c r="CK60" s="1724">
        <v>100</v>
      </c>
      <c r="CL60" s="1725"/>
      <c r="CM60" s="1726"/>
      <c r="CN60" s="1727"/>
      <c r="CO60" s="1728"/>
      <c r="CP60" s="1726"/>
      <c r="CQ60" s="1724">
        <v>1067947.28</v>
      </c>
      <c r="CR60" s="1724">
        <v>1067947.28</v>
      </c>
      <c r="CS60" s="1724">
        <v>0</v>
      </c>
      <c r="CT60" s="1728"/>
      <c r="CU60" s="1726"/>
      <c r="CV60" s="1724">
        <v>1256408.8400000001</v>
      </c>
      <c r="CW60" s="1724">
        <v>620</v>
      </c>
      <c r="CX60" s="1724">
        <v>0</v>
      </c>
      <c r="CY60" s="1724">
        <v>1150479.2</v>
      </c>
      <c r="CZ60" s="1724">
        <v>85885</v>
      </c>
      <c r="DA60" s="1724">
        <v>7550.4</v>
      </c>
      <c r="DB60" s="1724">
        <v>0</v>
      </c>
      <c r="DC60" s="1724">
        <v>11874.24</v>
      </c>
      <c r="DD60" s="1724">
        <v>1256408.8400000001</v>
      </c>
      <c r="DE60" s="1724">
        <v>1067947.48</v>
      </c>
      <c r="DF60" s="1724">
        <v>1067947.48</v>
      </c>
      <c r="DG60" s="1724">
        <v>0</v>
      </c>
      <c r="DH60" s="1724">
        <v>188461.36</v>
      </c>
      <c r="DI60" s="1724">
        <v>188461.36</v>
      </c>
      <c r="DJ60" s="1724">
        <v>0</v>
      </c>
      <c r="DK60" s="1724">
        <v>188461.36</v>
      </c>
      <c r="DL60" s="1724">
        <v>0</v>
      </c>
      <c r="DM60" s="1724">
        <v>0</v>
      </c>
      <c r="DN60" s="1724">
        <v>0</v>
      </c>
      <c r="DO60" s="1724">
        <v>0</v>
      </c>
      <c r="DP60" s="1724">
        <v>0</v>
      </c>
      <c r="DQ60" s="1728"/>
      <c r="DR60" s="1727"/>
      <c r="DS60" s="1728"/>
      <c r="DT60" s="1726"/>
      <c r="DU60" s="1728"/>
      <c r="DV60" s="1726"/>
    </row>
    <row r="61" spans="1:126" ht="22.5" x14ac:dyDescent="0.25">
      <c r="A61" s="1662" t="s">
        <v>1767</v>
      </c>
      <c r="B61" s="1662" t="s">
        <v>1719</v>
      </c>
      <c r="C61" s="1662" t="s">
        <v>2629</v>
      </c>
      <c r="D61" s="1662" t="s">
        <v>2630</v>
      </c>
      <c r="E61" s="1662"/>
      <c r="F61" s="1662"/>
      <c r="G61" s="1662"/>
      <c r="H61" s="1662"/>
      <c r="I61" s="1662"/>
      <c r="J61" s="1662"/>
      <c r="K61" s="1668"/>
      <c r="L61" s="1668"/>
      <c r="M61" s="1662"/>
      <c r="N61" s="1662"/>
      <c r="O61" s="1662"/>
      <c r="P61" s="1662"/>
      <c r="Q61" s="1662"/>
      <c r="R61" s="1662"/>
      <c r="S61" s="1662"/>
      <c r="T61" s="1662"/>
      <c r="U61" s="1662"/>
      <c r="V61" s="1662"/>
      <c r="W61" s="1662"/>
      <c r="X61" s="1662"/>
      <c r="Y61" s="1662"/>
      <c r="Z61" s="1662"/>
      <c r="AA61" s="1662"/>
      <c r="AB61" s="1662"/>
      <c r="AC61" s="1662"/>
      <c r="AD61" s="1662"/>
      <c r="AE61" s="1662"/>
      <c r="AF61" s="1662"/>
      <c r="AG61" s="1662"/>
      <c r="AH61" s="1662"/>
      <c r="AI61" s="1662"/>
      <c r="AJ61" s="1662"/>
      <c r="AK61" s="1662"/>
      <c r="AL61" s="1662"/>
      <c r="AM61" s="1663"/>
      <c r="AN61" s="1662"/>
      <c r="AO61" s="1662"/>
      <c r="AP61" s="1662"/>
      <c r="AQ61" s="1662"/>
      <c r="AR61" s="1662"/>
      <c r="AS61" s="1662"/>
      <c r="AT61" s="1662"/>
      <c r="AU61" s="1662"/>
      <c r="AV61" s="1662"/>
      <c r="AW61" s="1662"/>
      <c r="AX61" s="1662"/>
      <c r="AY61" s="1662"/>
      <c r="AZ61" s="1662"/>
      <c r="BA61" s="1662"/>
      <c r="BB61" s="1662"/>
      <c r="BC61" s="1662"/>
      <c r="BD61" s="1662"/>
      <c r="BE61" s="1662"/>
      <c r="BF61" s="1662"/>
      <c r="BG61" s="1662"/>
      <c r="BH61" s="1662"/>
      <c r="BI61" s="1662"/>
      <c r="BJ61" s="1662"/>
      <c r="BK61" s="1662"/>
      <c r="BL61" s="1662"/>
      <c r="BM61" s="1662"/>
      <c r="BN61" s="1663"/>
      <c r="BO61" s="1668"/>
      <c r="BP61" s="1668"/>
      <c r="BQ61" s="1662"/>
      <c r="BR61" s="1668"/>
      <c r="BS61" s="1662"/>
      <c r="BT61" s="1662"/>
      <c r="BU61" s="1663"/>
      <c r="BV61" s="1665">
        <v>320384.25</v>
      </c>
      <c r="BW61" s="1668"/>
      <c r="BX61" s="1668"/>
      <c r="BY61" s="1662"/>
      <c r="BZ61" s="1662"/>
      <c r="CA61" s="1662"/>
      <c r="CB61" s="1662"/>
      <c r="CC61" s="1662"/>
      <c r="CD61" s="1724">
        <v>1256408.8400000001</v>
      </c>
      <c r="CE61" s="1724">
        <v>1256408.8400000001</v>
      </c>
      <c r="CF61" s="1724">
        <v>1067947.48</v>
      </c>
      <c r="CG61" s="1724">
        <v>85</v>
      </c>
      <c r="CH61" s="1724">
        <v>188461.36</v>
      </c>
      <c r="CI61" s="1724">
        <v>15</v>
      </c>
      <c r="CJ61" s="1724">
        <v>1256408.8400000001</v>
      </c>
      <c r="CK61" s="1724">
        <v>100</v>
      </c>
      <c r="CL61" s="1725"/>
      <c r="CM61" s="1726"/>
      <c r="CN61" s="1727"/>
      <c r="CO61" s="1728"/>
      <c r="CP61" s="1726"/>
      <c r="CQ61" s="1724">
        <v>1067947.28</v>
      </c>
      <c r="CR61" s="1724">
        <v>1067947.28</v>
      </c>
      <c r="CS61" s="1724">
        <v>0</v>
      </c>
      <c r="CT61" s="1728"/>
      <c r="CU61" s="1726"/>
      <c r="CV61" s="1724">
        <v>1256408.8400000001</v>
      </c>
      <c r="CW61" s="1724">
        <v>620</v>
      </c>
      <c r="CX61" s="1724">
        <v>0</v>
      </c>
      <c r="CY61" s="1724">
        <v>1150479.2</v>
      </c>
      <c r="CZ61" s="1724">
        <v>85885</v>
      </c>
      <c r="DA61" s="1724">
        <v>7550.4</v>
      </c>
      <c r="DB61" s="1724">
        <v>0</v>
      </c>
      <c r="DC61" s="1724">
        <v>11874.24</v>
      </c>
      <c r="DD61" s="1724">
        <v>1256408.8400000001</v>
      </c>
      <c r="DE61" s="1724">
        <v>1067947.48</v>
      </c>
      <c r="DF61" s="1724">
        <v>1067947.48</v>
      </c>
      <c r="DG61" s="1724">
        <v>0</v>
      </c>
      <c r="DH61" s="1724">
        <v>188461.36</v>
      </c>
      <c r="DI61" s="1724">
        <v>188461.36</v>
      </c>
      <c r="DJ61" s="1724">
        <v>0</v>
      </c>
      <c r="DK61" s="1724">
        <v>188461.36</v>
      </c>
      <c r="DL61" s="1724">
        <v>0</v>
      </c>
      <c r="DM61" s="1724">
        <v>0</v>
      </c>
      <c r="DN61" s="1724">
        <v>0</v>
      </c>
      <c r="DO61" s="1724">
        <v>0</v>
      </c>
      <c r="DP61" s="1724">
        <v>0</v>
      </c>
      <c r="DQ61" s="1728"/>
      <c r="DR61" s="1727"/>
      <c r="DS61" s="1728"/>
      <c r="DT61" s="1726"/>
      <c r="DU61" s="1728"/>
      <c r="DV61" s="1726"/>
    </row>
    <row r="62" spans="1:126" ht="22.5" x14ac:dyDescent="0.25">
      <c r="A62" s="1662" t="s">
        <v>1768</v>
      </c>
      <c r="B62" s="1662" t="s">
        <v>1719</v>
      </c>
      <c r="C62" s="1662" t="s">
        <v>2629</v>
      </c>
      <c r="D62" s="1662" t="s">
        <v>2630</v>
      </c>
      <c r="E62" s="1662" t="s">
        <v>193</v>
      </c>
      <c r="F62" s="1662" t="s">
        <v>3027</v>
      </c>
      <c r="G62" s="1662"/>
      <c r="H62" s="1662"/>
      <c r="I62" s="1662"/>
      <c r="J62" s="1662"/>
      <c r="K62" s="1668"/>
      <c r="L62" s="1668"/>
      <c r="M62" s="1662"/>
      <c r="N62" s="1662"/>
      <c r="O62" s="1662"/>
      <c r="P62" s="1662"/>
      <c r="Q62" s="1662"/>
      <c r="R62" s="1662"/>
      <c r="S62" s="1662"/>
      <c r="T62" s="1662"/>
      <c r="U62" s="1662"/>
      <c r="V62" s="1662"/>
      <c r="W62" s="1662"/>
      <c r="X62" s="1662"/>
      <c r="Y62" s="1662"/>
      <c r="Z62" s="1662"/>
      <c r="AA62" s="1662"/>
      <c r="AB62" s="1662"/>
      <c r="AC62" s="1662"/>
      <c r="AD62" s="1662"/>
      <c r="AE62" s="1662"/>
      <c r="AF62" s="1662"/>
      <c r="AG62" s="1662"/>
      <c r="AH62" s="1662"/>
      <c r="AI62" s="1662"/>
      <c r="AJ62" s="1662"/>
      <c r="AK62" s="1662"/>
      <c r="AL62" s="1662"/>
      <c r="AM62" s="1663"/>
      <c r="AN62" s="1662"/>
      <c r="AO62" s="1662"/>
      <c r="AP62" s="1662"/>
      <c r="AQ62" s="1662"/>
      <c r="AR62" s="1662"/>
      <c r="AS62" s="1662"/>
      <c r="AT62" s="1662"/>
      <c r="AU62" s="1662"/>
      <c r="AV62" s="1662"/>
      <c r="AW62" s="1662"/>
      <c r="AX62" s="1662"/>
      <c r="AY62" s="1662"/>
      <c r="AZ62" s="1662"/>
      <c r="BA62" s="1662"/>
      <c r="BB62" s="1662"/>
      <c r="BC62" s="1662"/>
      <c r="BD62" s="1662"/>
      <c r="BE62" s="1662"/>
      <c r="BF62" s="1662"/>
      <c r="BG62" s="1662"/>
      <c r="BH62" s="1662"/>
      <c r="BI62" s="1662"/>
      <c r="BJ62" s="1662"/>
      <c r="BK62" s="1662"/>
      <c r="BL62" s="1662"/>
      <c r="BM62" s="1662"/>
      <c r="BN62" s="1663"/>
      <c r="BO62" s="1668"/>
      <c r="BP62" s="1668"/>
      <c r="BQ62" s="1662"/>
      <c r="BR62" s="1668"/>
      <c r="BS62" s="1662"/>
      <c r="BT62" s="1662"/>
      <c r="BU62" s="1663"/>
      <c r="BV62" s="1665">
        <v>320384.25</v>
      </c>
      <c r="BW62" s="1668"/>
      <c r="BX62" s="1668"/>
      <c r="BY62" s="1662"/>
      <c r="BZ62" s="1662"/>
      <c r="CA62" s="1662"/>
      <c r="CB62" s="1662"/>
      <c r="CC62" s="1662"/>
      <c r="CD62" s="1724">
        <v>1256408.8400000001</v>
      </c>
      <c r="CE62" s="1724">
        <v>1256408.8400000001</v>
      </c>
      <c r="CF62" s="1724">
        <v>1067947.48</v>
      </c>
      <c r="CG62" s="1724">
        <v>85</v>
      </c>
      <c r="CH62" s="1724">
        <v>188461.36</v>
      </c>
      <c r="CI62" s="1724">
        <v>15</v>
      </c>
      <c r="CJ62" s="1724">
        <v>1256408.8400000001</v>
      </c>
      <c r="CK62" s="1724">
        <v>100</v>
      </c>
      <c r="CL62" s="1725"/>
      <c r="CM62" s="1726"/>
      <c r="CN62" s="1727"/>
      <c r="CO62" s="1728"/>
      <c r="CP62" s="1726"/>
      <c r="CQ62" s="1724">
        <v>1067947.28</v>
      </c>
      <c r="CR62" s="1724">
        <v>1067947.28</v>
      </c>
      <c r="CS62" s="1724">
        <v>0</v>
      </c>
      <c r="CT62" s="1728"/>
      <c r="CU62" s="1726"/>
      <c r="CV62" s="1724">
        <v>1256408.8400000001</v>
      </c>
      <c r="CW62" s="1724">
        <v>620</v>
      </c>
      <c r="CX62" s="1724">
        <v>0</v>
      </c>
      <c r="CY62" s="1724">
        <v>1150479.2</v>
      </c>
      <c r="CZ62" s="1724">
        <v>85885</v>
      </c>
      <c r="DA62" s="1724">
        <v>7550.4</v>
      </c>
      <c r="DB62" s="1724">
        <v>0</v>
      </c>
      <c r="DC62" s="1724">
        <v>11874.24</v>
      </c>
      <c r="DD62" s="1724">
        <v>1256408.8400000001</v>
      </c>
      <c r="DE62" s="1724">
        <v>1067947.48</v>
      </c>
      <c r="DF62" s="1724">
        <v>1067947.48</v>
      </c>
      <c r="DG62" s="1724">
        <v>0</v>
      </c>
      <c r="DH62" s="1724">
        <v>188461.36</v>
      </c>
      <c r="DI62" s="1724">
        <v>188461.36</v>
      </c>
      <c r="DJ62" s="1724">
        <v>0</v>
      </c>
      <c r="DK62" s="1724">
        <v>188461.36</v>
      </c>
      <c r="DL62" s="1724">
        <v>0</v>
      </c>
      <c r="DM62" s="1724">
        <v>0</v>
      </c>
      <c r="DN62" s="1724">
        <v>0</v>
      </c>
      <c r="DO62" s="1724">
        <v>0</v>
      </c>
      <c r="DP62" s="1724">
        <v>0</v>
      </c>
      <c r="DQ62" s="1728"/>
      <c r="DR62" s="1727"/>
      <c r="DS62" s="1728"/>
      <c r="DT62" s="1726"/>
      <c r="DU62" s="1728"/>
      <c r="DV62" s="1726"/>
    </row>
    <row r="63" spans="1:126" ht="56.25" x14ac:dyDescent="0.25">
      <c r="A63" s="1662" t="s">
        <v>1769</v>
      </c>
      <c r="B63" s="1662" t="s">
        <v>1719</v>
      </c>
      <c r="C63" s="1662" t="s">
        <v>2629</v>
      </c>
      <c r="D63" s="1662" t="s">
        <v>2630</v>
      </c>
      <c r="E63" s="1662" t="s">
        <v>193</v>
      </c>
      <c r="F63" s="1662" t="s">
        <v>3027</v>
      </c>
      <c r="G63" s="1662" t="s">
        <v>2616</v>
      </c>
      <c r="H63" s="1662" t="s">
        <v>2617</v>
      </c>
      <c r="I63" s="1662" t="s">
        <v>2618</v>
      </c>
      <c r="J63" s="1662" t="s">
        <v>743</v>
      </c>
      <c r="K63" s="1664">
        <v>42769</v>
      </c>
      <c r="L63" s="1664">
        <v>43003</v>
      </c>
      <c r="M63" s="1662" t="s">
        <v>192</v>
      </c>
      <c r="N63" s="1662" t="s">
        <v>2109</v>
      </c>
      <c r="O63" s="1662" t="s">
        <v>3028</v>
      </c>
      <c r="P63" s="1662" t="s">
        <v>2833</v>
      </c>
      <c r="Q63" s="1662" t="s">
        <v>1734</v>
      </c>
      <c r="R63" s="1662" t="s">
        <v>2833</v>
      </c>
      <c r="S63" s="1662" t="s">
        <v>2833</v>
      </c>
      <c r="T63" s="1662"/>
      <c r="U63" s="1662" t="s">
        <v>2834</v>
      </c>
      <c r="V63" s="1662" t="s">
        <v>2833</v>
      </c>
      <c r="W63" s="1662" t="s">
        <v>2833</v>
      </c>
      <c r="X63" s="1662"/>
      <c r="Y63" s="1662" t="s">
        <v>2833</v>
      </c>
      <c r="Z63" s="1662"/>
      <c r="AA63" s="1662"/>
      <c r="AB63" s="1662" t="s">
        <v>2833</v>
      </c>
      <c r="AC63" s="1662" t="s">
        <v>2833</v>
      </c>
      <c r="AD63" s="1662" t="s">
        <v>2833</v>
      </c>
      <c r="AE63" s="1662"/>
      <c r="AF63" s="1662" t="s">
        <v>3029</v>
      </c>
      <c r="AG63" s="1662" t="s">
        <v>3030</v>
      </c>
      <c r="AH63" s="1662" t="s">
        <v>3031</v>
      </c>
      <c r="AI63" s="1662" t="s">
        <v>2838</v>
      </c>
      <c r="AJ63" s="1662" t="s">
        <v>2839</v>
      </c>
      <c r="AK63" s="1662" t="s">
        <v>2987</v>
      </c>
      <c r="AL63" s="1662" t="s">
        <v>3032</v>
      </c>
      <c r="AM63" s="1665">
        <v>100</v>
      </c>
      <c r="AN63" s="1662"/>
      <c r="AO63" s="1662"/>
      <c r="AP63" s="1662"/>
      <c r="AQ63" s="1662"/>
      <c r="AR63" s="1662"/>
      <c r="AS63" s="1662"/>
      <c r="AT63" s="1662" t="s">
        <v>2946</v>
      </c>
      <c r="AU63" s="1662" t="s">
        <v>2842</v>
      </c>
      <c r="AV63" s="1662" t="s">
        <v>2934</v>
      </c>
      <c r="AW63" s="1662"/>
      <c r="AX63" s="1662" t="s">
        <v>3033</v>
      </c>
      <c r="AY63" s="1662" t="s">
        <v>2874</v>
      </c>
      <c r="AZ63" s="1662" t="s">
        <v>184</v>
      </c>
      <c r="BA63" s="1662" t="s">
        <v>2904</v>
      </c>
      <c r="BB63" s="1662" t="s">
        <v>2833</v>
      </c>
      <c r="BC63" s="1662" t="s">
        <v>2876</v>
      </c>
      <c r="BD63" s="1662" t="s">
        <v>2849</v>
      </c>
      <c r="BE63" s="1662" t="s">
        <v>3034</v>
      </c>
      <c r="BF63" s="1662" t="s">
        <v>2906</v>
      </c>
      <c r="BG63" s="1662" t="s">
        <v>2907</v>
      </c>
      <c r="BH63" s="1662" t="s">
        <v>2880</v>
      </c>
      <c r="BI63" s="1662" t="s">
        <v>2881</v>
      </c>
      <c r="BJ63" s="1662" t="s">
        <v>2908</v>
      </c>
      <c r="BK63" s="1662" t="s">
        <v>2946</v>
      </c>
      <c r="BL63" s="1662" t="s">
        <v>2833</v>
      </c>
      <c r="BM63" s="1662" t="s">
        <v>2833</v>
      </c>
      <c r="BN63" s="1665">
        <v>0</v>
      </c>
      <c r="BO63" s="1664">
        <v>42971</v>
      </c>
      <c r="BP63" s="1664">
        <v>43373</v>
      </c>
      <c r="BQ63" s="1662" t="s">
        <v>3035</v>
      </c>
      <c r="BR63" s="1664">
        <v>45350</v>
      </c>
      <c r="BS63" s="1662" t="s">
        <v>3036</v>
      </c>
      <c r="BT63" s="1662" t="s">
        <v>3037</v>
      </c>
      <c r="BU63" s="1665">
        <v>30</v>
      </c>
      <c r="BV63" s="1665">
        <v>25950.240000000002</v>
      </c>
      <c r="BW63" s="1664">
        <v>43403</v>
      </c>
      <c r="BX63" s="1668"/>
      <c r="BY63" s="1662" t="s">
        <v>2096</v>
      </c>
      <c r="BZ63" s="1662" t="s">
        <v>2858</v>
      </c>
      <c r="CA63" s="1662" t="s">
        <v>2859</v>
      </c>
      <c r="CB63" s="1662" t="s">
        <v>2859</v>
      </c>
      <c r="CC63" s="1662" t="s">
        <v>2993</v>
      </c>
      <c r="CD63" s="1724">
        <v>101765.7</v>
      </c>
      <c r="CE63" s="1724">
        <v>101765.7</v>
      </c>
      <c r="CF63" s="1724">
        <v>86500.800000000003</v>
      </c>
      <c r="CG63" s="1724">
        <v>85</v>
      </c>
      <c r="CH63" s="1724">
        <v>15264.9</v>
      </c>
      <c r="CI63" s="1724">
        <v>15</v>
      </c>
      <c r="CJ63" s="1724">
        <v>101765.7</v>
      </c>
      <c r="CK63" s="1724">
        <v>100</v>
      </c>
      <c r="CL63" s="1725" t="s">
        <v>2861</v>
      </c>
      <c r="CM63" s="1729">
        <v>42950</v>
      </c>
      <c r="CN63" s="1727"/>
      <c r="CO63" s="1728"/>
      <c r="CP63" s="1726"/>
      <c r="CQ63" s="1724">
        <v>86500.6</v>
      </c>
      <c r="CR63" s="1724">
        <v>86500.6</v>
      </c>
      <c r="CS63" s="1724">
        <v>0</v>
      </c>
      <c r="CT63" s="1728" t="s">
        <v>2861</v>
      </c>
      <c r="CU63" s="1729">
        <v>42970</v>
      </c>
      <c r="CV63" s="1724">
        <v>101765.7</v>
      </c>
      <c r="CW63" s="1724">
        <v>0</v>
      </c>
      <c r="CX63" s="1724">
        <v>0</v>
      </c>
      <c r="CY63" s="1724">
        <v>100430</v>
      </c>
      <c r="CZ63" s="1724">
        <v>0</v>
      </c>
      <c r="DA63" s="1724">
        <v>0</v>
      </c>
      <c r="DB63" s="1724">
        <v>0</v>
      </c>
      <c r="DC63" s="1724">
        <v>1335.7</v>
      </c>
      <c r="DD63" s="1724">
        <v>101765.7</v>
      </c>
      <c r="DE63" s="1724">
        <v>86500.800000000003</v>
      </c>
      <c r="DF63" s="1724">
        <v>86500.800000000003</v>
      </c>
      <c r="DG63" s="1724">
        <v>0</v>
      </c>
      <c r="DH63" s="1724">
        <v>15264.9</v>
      </c>
      <c r="DI63" s="1724">
        <v>15264.9</v>
      </c>
      <c r="DJ63" s="1724">
        <v>0</v>
      </c>
      <c r="DK63" s="1724">
        <v>15264.9</v>
      </c>
      <c r="DL63" s="1724">
        <v>0</v>
      </c>
      <c r="DM63" s="1724">
        <v>0</v>
      </c>
      <c r="DN63" s="1724">
        <v>0</v>
      </c>
      <c r="DO63" s="1724">
        <v>0</v>
      </c>
      <c r="DP63" s="1724">
        <v>0</v>
      </c>
      <c r="DQ63" s="1728" t="s">
        <v>2886</v>
      </c>
      <c r="DR63" s="1724">
        <v>0</v>
      </c>
      <c r="DS63" s="1728" t="s">
        <v>2833</v>
      </c>
      <c r="DT63" s="1726"/>
      <c r="DU63" s="1728" t="s">
        <v>2833</v>
      </c>
      <c r="DV63" s="1726"/>
    </row>
    <row r="64" spans="1:126" ht="303.75" x14ac:dyDescent="0.25">
      <c r="A64" s="1662" t="s">
        <v>1770</v>
      </c>
      <c r="B64" s="1662" t="s">
        <v>1719</v>
      </c>
      <c r="C64" s="1662" t="s">
        <v>2629</v>
      </c>
      <c r="D64" s="1662" t="s">
        <v>2630</v>
      </c>
      <c r="E64" s="1662" t="s">
        <v>193</v>
      </c>
      <c r="F64" s="1662" t="s">
        <v>3027</v>
      </c>
      <c r="G64" s="1662" t="s">
        <v>2616</v>
      </c>
      <c r="H64" s="1662" t="s">
        <v>2617</v>
      </c>
      <c r="I64" s="1662" t="s">
        <v>2618</v>
      </c>
      <c r="J64" s="1662" t="s">
        <v>744</v>
      </c>
      <c r="K64" s="1664">
        <v>42797</v>
      </c>
      <c r="L64" s="1664">
        <v>42901</v>
      </c>
      <c r="M64" s="1662" t="s">
        <v>308</v>
      </c>
      <c r="N64" s="1662" t="s">
        <v>2109</v>
      </c>
      <c r="O64" s="1662" t="s">
        <v>3038</v>
      </c>
      <c r="P64" s="1662" t="s">
        <v>2833</v>
      </c>
      <c r="Q64" s="1662" t="s">
        <v>1743</v>
      </c>
      <c r="R64" s="1662" t="s">
        <v>2833</v>
      </c>
      <c r="S64" s="1662" t="s">
        <v>2833</v>
      </c>
      <c r="T64" s="1662"/>
      <c r="U64" s="1662" t="s">
        <v>2834</v>
      </c>
      <c r="V64" s="1662" t="s">
        <v>2833</v>
      </c>
      <c r="W64" s="1662" t="s">
        <v>2833</v>
      </c>
      <c r="X64" s="1662"/>
      <c r="Y64" s="1662" t="s">
        <v>2833</v>
      </c>
      <c r="Z64" s="1662"/>
      <c r="AA64" s="1662"/>
      <c r="AB64" s="1662" t="s">
        <v>2833</v>
      </c>
      <c r="AC64" s="1662" t="s">
        <v>2833</v>
      </c>
      <c r="AD64" s="1662" t="s">
        <v>2833</v>
      </c>
      <c r="AE64" s="1662"/>
      <c r="AF64" s="1662" t="s">
        <v>3029</v>
      </c>
      <c r="AG64" s="1662" t="s">
        <v>3030</v>
      </c>
      <c r="AH64" s="1662" t="s">
        <v>3031</v>
      </c>
      <c r="AI64" s="1662" t="s">
        <v>2838</v>
      </c>
      <c r="AJ64" s="1662" t="s">
        <v>2839</v>
      </c>
      <c r="AK64" s="1662" t="s">
        <v>2987</v>
      </c>
      <c r="AL64" s="1662" t="s">
        <v>3032</v>
      </c>
      <c r="AM64" s="1665">
        <v>100</v>
      </c>
      <c r="AN64" s="1662"/>
      <c r="AO64" s="1662"/>
      <c r="AP64" s="1662"/>
      <c r="AQ64" s="1662"/>
      <c r="AR64" s="1662"/>
      <c r="AS64" s="1662"/>
      <c r="AT64" s="1662" t="s">
        <v>2946</v>
      </c>
      <c r="AU64" s="1662" t="s">
        <v>2842</v>
      </c>
      <c r="AV64" s="1662" t="s">
        <v>2934</v>
      </c>
      <c r="AW64" s="1662"/>
      <c r="AX64" s="1662" t="s">
        <v>3033</v>
      </c>
      <c r="AY64" s="1662" t="s">
        <v>2874</v>
      </c>
      <c r="AZ64" s="1662" t="s">
        <v>284</v>
      </c>
      <c r="BA64" s="1662" t="s">
        <v>2896</v>
      </c>
      <c r="BB64" s="1662" t="s">
        <v>2833</v>
      </c>
      <c r="BC64" s="1662" t="s">
        <v>2876</v>
      </c>
      <c r="BD64" s="1662" t="s">
        <v>2849</v>
      </c>
      <c r="BE64" s="1662" t="s">
        <v>3022</v>
      </c>
      <c r="BF64" s="1662" t="s">
        <v>3039</v>
      </c>
      <c r="BG64" s="1662" t="s">
        <v>3024</v>
      </c>
      <c r="BH64" s="1662" t="s">
        <v>2880</v>
      </c>
      <c r="BI64" s="1662" t="s">
        <v>2881</v>
      </c>
      <c r="BJ64" s="1662" t="s">
        <v>2900</v>
      </c>
      <c r="BK64" s="1662" t="s">
        <v>2946</v>
      </c>
      <c r="BL64" s="1662" t="s">
        <v>2833</v>
      </c>
      <c r="BM64" s="1662" t="s">
        <v>2833</v>
      </c>
      <c r="BN64" s="1665">
        <v>0</v>
      </c>
      <c r="BO64" s="1664">
        <v>42733</v>
      </c>
      <c r="BP64" s="1664">
        <v>43465</v>
      </c>
      <c r="BQ64" s="1662" t="s">
        <v>2855</v>
      </c>
      <c r="BR64" s="1664">
        <v>45350</v>
      </c>
      <c r="BS64" s="1662" t="s">
        <v>3040</v>
      </c>
      <c r="BT64" s="1662" t="s">
        <v>3041</v>
      </c>
      <c r="BU64" s="1665">
        <v>30</v>
      </c>
      <c r="BV64" s="1665">
        <v>78928.11</v>
      </c>
      <c r="BW64" s="1664">
        <v>43496</v>
      </c>
      <c r="BX64" s="1668"/>
      <c r="BY64" s="1662" t="s">
        <v>2096</v>
      </c>
      <c r="BZ64" s="1662" t="s">
        <v>2858</v>
      </c>
      <c r="CA64" s="1662" t="s">
        <v>2859</v>
      </c>
      <c r="CB64" s="1662" t="s">
        <v>2859</v>
      </c>
      <c r="CC64" s="1662" t="s">
        <v>2885</v>
      </c>
      <c r="CD64" s="1724">
        <v>309522</v>
      </c>
      <c r="CE64" s="1724">
        <v>309522</v>
      </c>
      <c r="CF64" s="1724">
        <v>263093.7</v>
      </c>
      <c r="CG64" s="1724">
        <v>85</v>
      </c>
      <c r="CH64" s="1724">
        <v>46428.3</v>
      </c>
      <c r="CI64" s="1724">
        <v>15</v>
      </c>
      <c r="CJ64" s="1724">
        <v>309522</v>
      </c>
      <c r="CK64" s="1724">
        <v>100</v>
      </c>
      <c r="CL64" s="1725" t="s">
        <v>2861</v>
      </c>
      <c r="CM64" s="1729">
        <v>42852</v>
      </c>
      <c r="CN64" s="1727"/>
      <c r="CO64" s="1728"/>
      <c r="CP64" s="1726"/>
      <c r="CQ64" s="1724">
        <v>263093.7</v>
      </c>
      <c r="CR64" s="1724">
        <v>263093.7</v>
      </c>
      <c r="CS64" s="1724">
        <v>0</v>
      </c>
      <c r="CT64" s="1728" t="s">
        <v>2861</v>
      </c>
      <c r="CU64" s="1729">
        <v>42870</v>
      </c>
      <c r="CV64" s="1724">
        <v>309522</v>
      </c>
      <c r="CW64" s="1724">
        <v>0</v>
      </c>
      <c r="CX64" s="1724">
        <v>0</v>
      </c>
      <c r="CY64" s="1724">
        <v>306427</v>
      </c>
      <c r="CZ64" s="1724">
        <v>0</v>
      </c>
      <c r="DA64" s="1724">
        <v>0</v>
      </c>
      <c r="DB64" s="1724">
        <v>0</v>
      </c>
      <c r="DC64" s="1724">
        <v>3095</v>
      </c>
      <c r="DD64" s="1724">
        <v>309522</v>
      </c>
      <c r="DE64" s="1724">
        <v>263093.7</v>
      </c>
      <c r="DF64" s="1724">
        <v>263093.7</v>
      </c>
      <c r="DG64" s="1724">
        <v>0</v>
      </c>
      <c r="DH64" s="1724">
        <v>46428.3</v>
      </c>
      <c r="DI64" s="1724">
        <v>46428.3</v>
      </c>
      <c r="DJ64" s="1724">
        <v>0</v>
      </c>
      <c r="DK64" s="1724">
        <v>46428.3</v>
      </c>
      <c r="DL64" s="1724">
        <v>0</v>
      </c>
      <c r="DM64" s="1724">
        <v>0</v>
      </c>
      <c r="DN64" s="1724">
        <v>0</v>
      </c>
      <c r="DO64" s="1724">
        <v>0</v>
      </c>
      <c r="DP64" s="1724">
        <v>0</v>
      </c>
      <c r="DQ64" s="1728" t="s">
        <v>2886</v>
      </c>
      <c r="DR64" s="1724">
        <v>0</v>
      </c>
      <c r="DS64" s="1728" t="s">
        <v>2833</v>
      </c>
      <c r="DT64" s="1726"/>
      <c r="DU64" s="1728" t="s">
        <v>2833</v>
      </c>
      <c r="DV64" s="1726"/>
    </row>
    <row r="65" spans="1:126" ht="168.75" x14ac:dyDescent="0.25">
      <c r="A65" s="1662" t="s">
        <v>1771</v>
      </c>
      <c r="B65" s="1662" t="s">
        <v>1719</v>
      </c>
      <c r="C65" s="1662" t="s">
        <v>2629</v>
      </c>
      <c r="D65" s="1662" t="s">
        <v>2630</v>
      </c>
      <c r="E65" s="1662" t="s">
        <v>193</v>
      </c>
      <c r="F65" s="1662" t="s">
        <v>3027</v>
      </c>
      <c r="G65" s="1662" t="s">
        <v>2616</v>
      </c>
      <c r="H65" s="1662" t="s">
        <v>2617</v>
      </c>
      <c r="I65" s="1662" t="s">
        <v>2618</v>
      </c>
      <c r="J65" s="1662" t="s">
        <v>745</v>
      </c>
      <c r="K65" s="1664">
        <v>42825</v>
      </c>
      <c r="L65" s="1664">
        <v>42935</v>
      </c>
      <c r="M65" s="1662" t="s">
        <v>292</v>
      </c>
      <c r="N65" s="1662" t="s">
        <v>2109</v>
      </c>
      <c r="O65" s="1662" t="s">
        <v>3042</v>
      </c>
      <c r="P65" s="1662" t="s">
        <v>2833</v>
      </c>
      <c r="Q65" s="1662" t="s">
        <v>1741</v>
      </c>
      <c r="R65" s="1662" t="s">
        <v>2833</v>
      </c>
      <c r="S65" s="1662" t="s">
        <v>2833</v>
      </c>
      <c r="T65" s="1662"/>
      <c r="U65" s="1662" t="s">
        <v>2834</v>
      </c>
      <c r="V65" s="1662" t="s">
        <v>2833</v>
      </c>
      <c r="W65" s="1662" t="s">
        <v>2833</v>
      </c>
      <c r="X65" s="1662"/>
      <c r="Y65" s="1662" t="s">
        <v>2833</v>
      </c>
      <c r="Z65" s="1662"/>
      <c r="AA65" s="1662"/>
      <c r="AB65" s="1662" t="s">
        <v>2833</v>
      </c>
      <c r="AC65" s="1662" t="s">
        <v>2833</v>
      </c>
      <c r="AD65" s="1662" t="s">
        <v>2833</v>
      </c>
      <c r="AE65" s="1662"/>
      <c r="AF65" s="1662" t="s">
        <v>3029</v>
      </c>
      <c r="AG65" s="1662" t="s">
        <v>3030</v>
      </c>
      <c r="AH65" s="1662" t="s">
        <v>3031</v>
      </c>
      <c r="AI65" s="1662" t="s">
        <v>2838</v>
      </c>
      <c r="AJ65" s="1662" t="s">
        <v>2839</v>
      </c>
      <c r="AK65" s="1662" t="s">
        <v>2987</v>
      </c>
      <c r="AL65" s="1662" t="s">
        <v>3032</v>
      </c>
      <c r="AM65" s="1665">
        <v>100</v>
      </c>
      <c r="AN65" s="1662"/>
      <c r="AO65" s="1662"/>
      <c r="AP65" s="1662"/>
      <c r="AQ65" s="1662"/>
      <c r="AR65" s="1662"/>
      <c r="AS65" s="1662"/>
      <c r="AT65" s="1662" t="s">
        <v>2946</v>
      </c>
      <c r="AU65" s="1662" t="s">
        <v>2842</v>
      </c>
      <c r="AV65" s="1662" t="s">
        <v>2934</v>
      </c>
      <c r="AW65" s="1662"/>
      <c r="AX65" s="1662" t="s">
        <v>3033</v>
      </c>
      <c r="AY65" s="1662" t="s">
        <v>2874</v>
      </c>
      <c r="AZ65" s="1662" t="s">
        <v>161</v>
      </c>
      <c r="BA65" s="1662" t="s">
        <v>2888</v>
      </c>
      <c r="BB65" s="1662" t="s">
        <v>2833</v>
      </c>
      <c r="BC65" s="1662" t="s">
        <v>2876</v>
      </c>
      <c r="BD65" s="1662" t="s">
        <v>2849</v>
      </c>
      <c r="BE65" s="1662" t="s">
        <v>2889</v>
      </c>
      <c r="BF65" s="1662" t="s">
        <v>2890</v>
      </c>
      <c r="BG65" s="1662" t="s">
        <v>2891</v>
      </c>
      <c r="BH65" s="1662" t="s">
        <v>2880</v>
      </c>
      <c r="BI65" s="1662" t="s">
        <v>2881</v>
      </c>
      <c r="BJ65" s="1662" t="s">
        <v>2892</v>
      </c>
      <c r="BK65" s="1662" t="s">
        <v>2946</v>
      </c>
      <c r="BL65" s="1662" t="s">
        <v>2833</v>
      </c>
      <c r="BM65" s="1662" t="s">
        <v>2833</v>
      </c>
      <c r="BN65" s="1665">
        <v>0</v>
      </c>
      <c r="BO65" s="1664">
        <v>42776</v>
      </c>
      <c r="BP65" s="1664">
        <v>43465</v>
      </c>
      <c r="BQ65" s="1662" t="s">
        <v>2855</v>
      </c>
      <c r="BR65" s="1664">
        <v>45350</v>
      </c>
      <c r="BS65" s="1662" t="s">
        <v>3043</v>
      </c>
      <c r="BT65" s="1662" t="s">
        <v>3044</v>
      </c>
      <c r="BU65" s="1665">
        <v>30</v>
      </c>
      <c r="BV65" s="1665">
        <v>112786.14</v>
      </c>
      <c r="BW65" s="1664">
        <v>43496</v>
      </c>
      <c r="BX65" s="1668"/>
      <c r="BY65" s="1662" t="s">
        <v>2096</v>
      </c>
      <c r="BZ65" s="1662" t="s">
        <v>2858</v>
      </c>
      <c r="CA65" s="1662" t="s">
        <v>2859</v>
      </c>
      <c r="CB65" s="1662" t="s">
        <v>2859</v>
      </c>
      <c r="CC65" s="1662" t="s">
        <v>2993</v>
      </c>
      <c r="CD65" s="1724">
        <v>442298.59</v>
      </c>
      <c r="CE65" s="1724">
        <v>442298.59</v>
      </c>
      <c r="CF65" s="1724">
        <v>375953.81</v>
      </c>
      <c r="CG65" s="1724">
        <v>85</v>
      </c>
      <c r="CH65" s="1724">
        <v>66344.78</v>
      </c>
      <c r="CI65" s="1724">
        <v>15</v>
      </c>
      <c r="CJ65" s="1724">
        <v>442298.59</v>
      </c>
      <c r="CK65" s="1724">
        <v>100</v>
      </c>
      <c r="CL65" s="1725" t="s">
        <v>2861</v>
      </c>
      <c r="CM65" s="1729">
        <v>42900</v>
      </c>
      <c r="CN65" s="1727"/>
      <c r="CO65" s="1728"/>
      <c r="CP65" s="1726"/>
      <c r="CQ65" s="1724">
        <v>375953.81</v>
      </c>
      <c r="CR65" s="1724">
        <v>375953.81</v>
      </c>
      <c r="CS65" s="1724">
        <v>0</v>
      </c>
      <c r="CT65" s="1728" t="s">
        <v>2861</v>
      </c>
      <c r="CU65" s="1729">
        <v>42914</v>
      </c>
      <c r="CV65" s="1724">
        <v>442298.59</v>
      </c>
      <c r="CW65" s="1724">
        <v>620</v>
      </c>
      <c r="CX65" s="1724">
        <v>0</v>
      </c>
      <c r="CY65" s="1724">
        <v>347813.65</v>
      </c>
      <c r="CZ65" s="1724">
        <v>85885</v>
      </c>
      <c r="DA65" s="1724">
        <v>3557.4</v>
      </c>
      <c r="DB65" s="1724">
        <v>0</v>
      </c>
      <c r="DC65" s="1724">
        <v>4422.54</v>
      </c>
      <c r="DD65" s="1724">
        <v>442298.59</v>
      </c>
      <c r="DE65" s="1724">
        <v>375953.81</v>
      </c>
      <c r="DF65" s="1724">
        <v>375953.81</v>
      </c>
      <c r="DG65" s="1724">
        <v>0</v>
      </c>
      <c r="DH65" s="1724">
        <v>66344.78</v>
      </c>
      <c r="DI65" s="1724">
        <v>66344.78</v>
      </c>
      <c r="DJ65" s="1724">
        <v>0</v>
      </c>
      <c r="DK65" s="1724">
        <v>66344.78</v>
      </c>
      <c r="DL65" s="1724">
        <v>0</v>
      </c>
      <c r="DM65" s="1724">
        <v>0</v>
      </c>
      <c r="DN65" s="1724">
        <v>0</v>
      </c>
      <c r="DO65" s="1724">
        <v>0</v>
      </c>
      <c r="DP65" s="1724">
        <v>0</v>
      </c>
      <c r="DQ65" s="1728" t="s">
        <v>2886</v>
      </c>
      <c r="DR65" s="1724">
        <v>0</v>
      </c>
      <c r="DS65" s="1728" t="s">
        <v>2833</v>
      </c>
      <c r="DT65" s="1726"/>
      <c r="DU65" s="1728" t="s">
        <v>2833</v>
      </c>
      <c r="DV65" s="1726"/>
    </row>
    <row r="66" spans="1:126" ht="146.25" x14ac:dyDescent="0.25">
      <c r="A66" s="1662" t="s">
        <v>1457</v>
      </c>
      <c r="B66" s="1662" t="s">
        <v>1719</v>
      </c>
      <c r="C66" s="1662" t="s">
        <v>2629</v>
      </c>
      <c r="D66" s="1662" t="s">
        <v>2630</v>
      </c>
      <c r="E66" s="1662" t="s">
        <v>193</v>
      </c>
      <c r="F66" s="1662" t="s">
        <v>3027</v>
      </c>
      <c r="G66" s="1662" t="s">
        <v>2616</v>
      </c>
      <c r="H66" s="1662" t="s">
        <v>2617</v>
      </c>
      <c r="I66" s="1662" t="s">
        <v>2618</v>
      </c>
      <c r="J66" s="1662" t="s">
        <v>746</v>
      </c>
      <c r="K66" s="1664">
        <v>42867</v>
      </c>
      <c r="L66" s="1664">
        <v>42965</v>
      </c>
      <c r="M66" s="1662" t="s">
        <v>394</v>
      </c>
      <c r="N66" s="1662" t="s">
        <v>2109</v>
      </c>
      <c r="O66" s="1662" t="s">
        <v>3045</v>
      </c>
      <c r="P66" s="1662" t="s">
        <v>2833</v>
      </c>
      <c r="Q66" s="1662" t="s">
        <v>1736</v>
      </c>
      <c r="R66" s="1662" t="s">
        <v>2833</v>
      </c>
      <c r="S66" s="1662" t="s">
        <v>2833</v>
      </c>
      <c r="T66" s="1662"/>
      <c r="U66" s="1662" t="s">
        <v>2834</v>
      </c>
      <c r="V66" s="1662" t="s">
        <v>2833</v>
      </c>
      <c r="W66" s="1662" t="s">
        <v>2833</v>
      </c>
      <c r="X66" s="1662"/>
      <c r="Y66" s="1662" t="s">
        <v>2833</v>
      </c>
      <c r="Z66" s="1662"/>
      <c r="AA66" s="1662"/>
      <c r="AB66" s="1662" t="s">
        <v>2833</v>
      </c>
      <c r="AC66" s="1662" t="s">
        <v>2833</v>
      </c>
      <c r="AD66" s="1662" t="s">
        <v>2833</v>
      </c>
      <c r="AE66" s="1662"/>
      <c r="AF66" s="1662" t="s">
        <v>3029</v>
      </c>
      <c r="AG66" s="1662" t="s">
        <v>3030</v>
      </c>
      <c r="AH66" s="1662" t="s">
        <v>3031</v>
      </c>
      <c r="AI66" s="1662" t="s">
        <v>2838</v>
      </c>
      <c r="AJ66" s="1662" t="s">
        <v>2839</v>
      </c>
      <c r="AK66" s="1662" t="s">
        <v>2987</v>
      </c>
      <c r="AL66" s="1662" t="s">
        <v>3032</v>
      </c>
      <c r="AM66" s="1665">
        <v>100</v>
      </c>
      <c r="AN66" s="1662"/>
      <c r="AO66" s="1662"/>
      <c r="AP66" s="1662"/>
      <c r="AQ66" s="1662"/>
      <c r="AR66" s="1662"/>
      <c r="AS66" s="1662"/>
      <c r="AT66" s="1662" t="s">
        <v>2842</v>
      </c>
      <c r="AU66" s="1662" t="s">
        <v>2842</v>
      </c>
      <c r="AV66" s="1662" t="s">
        <v>2934</v>
      </c>
      <c r="AW66" s="1662"/>
      <c r="AX66" s="1662" t="s">
        <v>3033</v>
      </c>
      <c r="AY66" s="1662" t="s">
        <v>2874</v>
      </c>
      <c r="AZ66" s="1662" t="s">
        <v>350</v>
      </c>
      <c r="BA66" s="1662" t="s">
        <v>2875</v>
      </c>
      <c r="BB66" s="1662" t="s">
        <v>2833</v>
      </c>
      <c r="BC66" s="1662" t="s">
        <v>2876</v>
      </c>
      <c r="BD66" s="1662" t="s">
        <v>2849</v>
      </c>
      <c r="BE66" s="1662" t="s">
        <v>2877</v>
      </c>
      <c r="BF66" s="1662" t="s">
        <v>3018</v>
      </c>
      <c r="BG66" s="1662" t="s">
        <v>3019</v>
      </c>
      <c r="BH66" s="1662" t="s">
        <v>2880</v>
      </c>
      <c r="BI66" s="1662" t="s">
        <v>2881</v>
      </c>
      <c r="BJ66" s="1662" t="s">
        <v>2882</v>
      </c>
      <c r="BK66" s="1662" t="s">
        <v>2842</v>
      </c>
      <c r="BL66" s="1662" t="s">
        <v>2833</v>
      </c>
      <c r="BM66" s="1662" t="s">
        <v>2833</v>
      </c>
      <c r="BN66" s="1665">
        <v>0</v>
      </c>
      <c r="BO66" s="1664">
        <v>42947</v>
      </c>
      <c r="BP66" s="1664">
        <v>43404</v>
      </c>
      <c r="BQ66" s="1662" t="s">
        <v>2855</v>
      </c>
      <c r="BR66" s="1664">
        <v>45350</v>
      </c>
      <c r="BS66" s="1662" t="s">
        <v>2883</v>
      </c>
      <c r="BT66" s="1662" t="s">
        <v>3046</v>
      </c>
      <c r="BU66" s="1665">
        <v>30</v>
      </c>
      <c r="BV66" s="1665">
        <v>1018.22</v>
      </c>
      <c r="BW66" s="1664">
        <v>43434</v>
      </c>
      <c r="BX66" s="1668"/>
      <c r="BY66" s="1662" t="s">
        <v>2096</v>
      </c>
      <c r="BZ66" s="1662" t="s">
        <v>2859</v>
      </c>
      <c r="CA66" s="1662" t="s">
        <v>2859</v>
      </c>
      <c r="CB66" s="1662" t="s">
        <v>2859</v>
      </c>
      <c r="CC66" s="1662" t="s">
        <v>2885</v>
      </c>
      <c r="CD66" s="1724">
        <v>3993</v>
      </c>
      <c r="CE66" s="1724">
        <v>3993</v>
      </c>
      <c r="CF66" s="1724">
        <v>3394.05</v>
      </c>
      <c r="CG66" s="1724">
        <v>85</v>
      </c>
      <c r="CH66" s="1724">
        <v>598.95000000000005</v>
      </c>
      <c r="CI66" s="1724">
        <v>15</v>
      </c>
      <c r="CJ66" s="1724">
        <v>3993</v>
      </c>
      <c r="CK66" s="1724">
        <v>100</v>
      </c>
      <c r="CL66" s="1725" t="s">
        <v>2861</v>
      </c>
      <c r="CM66" s="1729">
        <v>42928</v>
      </c>
      <c r="CN66" s="1727"/>
      <c r="CO66" s="1728"/>
      <c r="CP66" s="1726"/>
      <c r="CQ66" s="1724">
        <v>3394.05</v>
      </c>
      <c r="CR66" s="1724">
        <v>3394.05</v>
      </c>
      <c r="CS66" s="1724">
        <v>0</v>
      </c>
      <c r="CT66" s="1728" t="s">
        <v>2861</v>
      </c>
      <c r="CU66" s="1729">
        <v>42940</v>
      </c>
      <c r="CV66" s="1724">
        <v>3993</v>
      </c>
      <c r="CW66" s="1724">
        <v>0</v>
      </c>
      <c r="CX66" s="1724">
        <v>0</v>
      </c>
      <c r="CY66" s="1724">
        <v>0</v>
      </c>
      <c r="CZ66" s="1724">
        <v>0</v>
      </c>
      <c r="DA66" s="1724">
        <v>3993</v>
      </c>
      <c r="DB66" s="1724">
        <v>0</v>
      </c>
      <c r="DC66" s="1724">
        <v>0</v>
      </c>
      <c r="DD66" s="1724">
        <v>3993</v>
      </c>
      <c r="DE66" s="1724">
        <v>3394.05</v>
      </c>
      <c r="DF66" s="1724">
        <v>3394.05</v>
      </c>
      <c r="DG66" s="1724">
        <v>0</v>
      </c>
      <c r="DH66" s="1724">
        <v>598.95000000000005</v>
      </c>
      <c r="DI66" s="1724">
        <v>598.95000000000005</v>
      </c>
      <c r="DJ66" s="1724">
        <v>0</v>
      </c>
      <c r="DK66" s="1724">
        <v>598.95000000000005</v>
      </c>
      <c r="DL66" s="1724">
        <v>0</v>
      </c>
      <c r="DM66" s="1724">
        <v>0</v>
      </c>
      <c r="DN66" s="1724">
        <v>0</v>
      </c>
      <c r="DO66" s="1724">
        <v>0</v>
      </c>
      <c r="DP66" s="1724">
        <v>0</v>
      </c>
      <c r="DQ66" s="1728" t="s">
        <v>2886</v>
      </c>
      <c r="DR66" s="1724">
        <v>0</v>
      </c>
      <c r="DS66" s="1728" t="s">
        <v>2833</v>
      </c>
      <c r="DT66" s="1726"/>
      <c r="DU66" s="1728" t="s">
        <v>2833</v>
      </c>
      <c r="DV66" s="1726"/>
    </row>
    <row r="67" spans="1:126" ht="157.5" x14ac:dyDescent="0.25">
      <c r="A67" s="1662" t="s">
        <v>1772</v>
      </c>
      <c r="B67" s="1662" t="s">
        <v>1719</v>
      </c>
      <c r="C67" s="1662" t="s">
        <v>2629</v>
      </c>
      <c r="D67" s="1662" t="s">
        <v>2630</v>
      </c>
      <c r="E67" s="1662" t="s">
        <v>193</v>
      </c>
      <c r="F67" s="1662" t="s">
        <v>3027</v>
      </c>
      <c r="G67" s="1662" t="s">
        <v>2616</v>
      </c>
      <c r="H67" s="1662" t="s">
        <v>2617</v>
      </c>
      <c r="I67" s="1662" t="s">
        <v>2618</v>
      </c>
      <c r="J67" s="1662" t="s">
        <v>747</v>
      </c>
      <c r="K67" s="1664">
        <v>42887</v>
      </c>
      <c r="L67" s="1664">
        <v>42936</v>
      </c>
      <c r="M67" s="1662" t="s">
        <v>383</v>
      </c>
      <c r="N67" s="1662" t="s">
        <v>2186</v>
      </c>
      <c r="O67" s="1662" t="s">
        <v>3047</v>
      </c>
      <c r="P67" s="1662" t="s">
        <v>2833</v>
      </c>
      <c r="Q67" s="1662" t="s">
        <v>1734</v>
      </c>
      <c r="R67" s="1662" t="s">
        <v>2833</v>
      </c>
      <c r="S67" s="1662" t="s">
        <v>2833</v>
      </c>
      <c r="T67" s="1662"/>
      <c r="U67" s="1662" t="s">
        <v>2834</v>
      </c>
      <c r="V67" s="1662" t="s">
        <v>2833</v>
      </c>
      <c r="W67" s="1662" t="s">
        <v>2833</v>
      </c>
      <c r="X67" s="1662"/>
      <c r="Y67" s="1662" t="s">
        <v>2833</v>
      </c>
      <c r="Z67" s="1662"/>
      <c r="AA67" s="1662"/>
      <c r="AB67" s="1662" t="s">
        <v>2833</v>
      </c>
      <c r="AC67" s="1662" t="s">
        <v>2833</v>
      </c>
      <c r="AD67" s="1662" t="s">
        <v>2833</v>
      </c>
      <c r="AE67" s="1662"/>
      <c r="AF67" s="1662" t="s">
        <v>3029</v>
      </c>
      <c r="AG67" s="1662" t="s">
        <v>3030</v>
      </c>
      <c r="AH67" s="1662" t="s">
        <v>3031</v>
      </c>
      <c r="AI67" s="1662" t="s">
        <v>2838</v>
      </c>
      <c r="AJ67" s="1662" t="s">
        <v>2839</v>
      </c>
      <c r="AK67" s="1662" t="s">
        <v>2987</v>
      </c>
      <c r="AL67" s="1662" t="s">
        <v>3032</v>
      </c>
      <c r="AM67" s="1665">
        <v>100</v>
      </c>
      <c r="AN67" s="1662"/>
      <c r="AO67" s="1662"/>
      <c r="AP67" s="1662"/>
      <c r="AQ67" s="1662"/>
      <c r="AR67" s="1662"/>
      <c r="AS67" s="1662"/>
      <c r="AT67" s="1662" t="s">
        <v>2960</v>
      </c>
      <c r="AU67" s="1662" t="s">
        <v>2842</v>
      </c>
      <c r="AV67" s="1662" t="s">
        <v>2934</v>
      </c>
      <c r="AW67" s="1662"/>
      <c r="AX67" s="1662" t="s">
        <v>3033</v>
      </c>
      <c r="AY67" s="1662" t="s">
        <v>2874</v>
      </c>
      <c r="AZ67" s="1662" t="s">
        <v>236</v>
      </c>
      <c r="BA67" s="1662" t="s">
        <v>3009</v>
      </c>
      <c r="BB67" s="1662" t="s">
        <v>2833</v>
      </c>
      <c r="BC67" s="1662" t="s">
        <v>2876</v>
      </c>
      <c r="BD67" s="1662" t="s">
        <v>2849</v>
      </c>
      <c r="BE67" s="1662" t="s">
        <v>3010</v>
      </c>
      <c r="BF67" s="1662" t="s">
        <v>3048</v>
      </c>
      <c r="BG67" s="1662" t="s">
        <v>3012</v>
      </c>
      <c r="BH67" s="1662" t="s">
        <v>2880</v>
      </c>
      <c r="BI67" s="1662" t="s">
        <v>2881</v>
      </c>
      <c r="BJ67" s="1662" t="s">
        <v>2965</v>
      </c>
      <c r="BK67" s="1662" t="s">
        <v>2960</v>
      </c>
      <c r="BL67" s="1662" t="s">
        <v>2833</v>
      </c>
      <c r="BM67" s="1662" t="s">
        <v>2833</v>
      </c>
      <c r="BN67" s="1665">
        <v>0</v>
      </c>
      <c r="BO67" s="1664">
        <v>42716</v>
      </c>
      <c r="BP67" s="1664">
        <v>43312</v>
      </c>
      <c r="BQ67" s="1662" t="s">
        <v>3035</v>
      </c>
      <c r="BR67" s="1664">
        <v>45350</v>
      </c>
      <c r="BS67" s="1662" t="s">
        <v>3049</v>
      </c>
      <c r="BT67" s="1662" t="s">
        <v>3050</v>
      </c>
      <c r="BU67" s="1665">
        <v>30</v>
      </c>
      <c r="BV67" s="1665">
        <v>30894.16</v>
      </c>
      <c r="BW67" s="1664">
        <v>43343</v>
      </c>
      <c r="BX67" s="1664">
        <v>43355</v>
      </c>
      <c r="BY67" s="1662" t="s">
        <v>2096</v>
      </c>
      <c r="BZ67" s="1662" t="s">
        <v>2859</v>
      </c>
      <c r="CA67" s="1662" t="s">
        <v>2859</v>
      </c>
      <c r="CB67" s="1662" t="s">
        <v>2859</v>
      </c>
      <c r="CC67" s="1662" t="s">
        <v>2993</v>
      </c>
      <c r="CD67" s="1724">
        <v>121153.55</v>
      </c>
      <c r="CE67" s="1724">
        <v>121153.55</v>
      </c>
      <c r="CF67" s="1724">
        <v>102980.52</v>
      </c>
      <c r="CG67" s="1724">
        <v>85</v>
      </c>
      <c r="CH67" s="1724">
        <v>18173.03</v>
      </c>
      <c r="CI67" s="1724">
        <v>15</v>
      </c>
      <c r="CJ67" s="1724">
        <v>121153.55</v>
      </c>
      <c r="CK67" s="1724">
        <v>100</v>
      </c>
      <c r="CL67" s="1725" t="s">
        <v>2861</v>
      </c>
      <c r="CM67" s="1729">
        <v>42905</v>
      </c>
      <c r="CN67" s="1727"/>
      <c r="CO67" s="1728"/>
      <c r="CP67" s="1726"/>
      <c r="CQ67" s="1724">
        <v>102980.52</v>
      </c>
      <c r="CR67" s="1724">
        <v>102980.52</v>
      </c>
      <c r="CS67" s="1724">
        <v>0</v>
      </c>
      <c r="CT67" s="1728" t="s">
        <v>2861</v>
      </c>
      <c r="CU67" s="1729">
        <v>42920</v>
      </c>
      <c r="CV67" s="1724">
        <v>121153.55</v>
      </c>
      <c r="CW67" s="1724">
        <v>0</v>
      </c>
      <c r="CX67" s="1724">
        <v>0</v>
      </c>
      <c r="CY67" s="1724">
        <v>121153.55</v>
      </c>
      <c r="CZ67" s="1724">
        <v>0</v>
      </c>
      <c r="DA67" s="1724">
        <v>0</v>
      </c>
      <c r="DB67" s="1724">
        <v>0</v>
      </c>
      <c r="DC67" s="1724">
        <v>0</v>
      </c>
      <c r="DD67" s="1724">
        <v>121153.55</v>
      </c>
      <c r="DE67" s="1724">
        <v>102980.52</v>
      </c>
      <c r="DF67" s="1724">
        <v>102980.52</v>
      </c>
      <c r="DG67" s="1724">
        <v>0</v>
      </c>
      <c r="DH67" s="1724">
        <v>18173.03</v>
      </c>
      <c r="DI67" s="1724">
        <v>18173.03</v>
      </c>
      <c r="DJ67" s="1724">
        <v>0</v>
      </c>
      <c r="DK67" s="1724">
        <v>18173.03</v>
      </c>
      <c r="DL67" s="1724">
        <v>0</v>
      </c>
      <c r="DM67" s="1724">
        <v>0</v>
      </c>
      <c r="DN67" s="1724">
        <v>0</v>
      </c>
      <c r="DO67" s="1724">
        <v>0</v>
      </c>
      <c r="DP67" s="1724">
        <v>0</v>
      </c>
      <c r="DQ67" s="1728" t="s">
        <v>2886</v>
      </c>
      <c r="DR67" s="1724">
        <v>0</v>
      </c>
      <c r="DS67" s="1728" t="s">
        <v>2833</v>
      </c>
      <c r="DT67" s="1726"/>
      <c r="DU67" s="1728" t="s">
        <v>2833</v>
      </c>
      <c r="DV67" s="1726"/>
    </row>
    <row r="68" spans="1:126" ht="56.25" x14ac:dyDescent="0.25">
      <c r="A68" s="1662" t="s">
        <v>1773</v>
      </c>
      <c r="B68" s="1662" t="s">
        <v>1719</v>
      </c>
      <c r="C68" s="1662" t="s">
        <v>2629</v>
      </c>
      <c r="D68" s="1662" t="s">
        <v>2630</v>
      </c>
      <c r="E68" s="1662" t="s">
        <v>193</v>
      </c>
      <c r="F68" s="1662" t="s">
        <v>3027</v>
      </c>
      <c r="G68" s="1662" t="s">
        <v>2616</v>
      </c>
      <c r="H68" s="1662" t="s">
        <v>2617</v>
      </c>
      <c r="I68" s="1662" t="s">
        <v>2618</v>
      </c>
      <c r="J68" s="1662" t="s">
        <v>1638</v>
      </c>
      <c r="K68" s="1664">
        <v>43320</v>
      </c>
      <c r="L68" s="1664">
        <v>43370</v>
      </c>
      <c r="M68" s="1662" t="s">
        <v>612</v>
      </c>
      <c r="N68" s="1662" t="s">
        <v>2109</v>
      </c>
      <c r="O68" s="1662" t="s">
        <v>3051</v>
      </c>
      <c r="P68" s="1662" t="s">
        <v>2833</v>
      </c>
      <c r="Q68" s="1662" t="s">
        <v>1734</v>
      </c>
      <c r="R68" s="1662" t="s">
        <v>2833</v>
      </c>
      <c r="S68" s="1662" t="s">
        <v>2833</v>
      </c>
      <c r="T68" s="1662"/>
      <c r="U68" s="1662" t="s">
        <v>2834</v>
      </c>
      <c r="V68" s="1662" t="s">
        <v>2833</v>
      </c>
      <c r="W68" s="1662" t="s">
        <v>2833</v>
      </c>
      <c r="X68" s="1662"/>
      <c r="Y68" s="1662" t="s">
        <v>2833</v>
      </c>
      <c r="Z68" s="1662"/>
      <c r="AA68" s="1662"/>
      <c r="AB68" s="1662" t="s">
        <v>2833</v>
      </c>
      <c r="AC68" s="1662" t="s">
        <v>2833</v>
      </c>
      <c r="AD68" s="1662" t="s">
        <v>2833</v>
      </c>
      <c r="AE68" s="1662"/>
      <c r="AF68" s="1662" t="s">
        <v>3029</v>
      </c>
      <c r="AG68" s="1662" t="s">
        <v>3030</v>
      </c>
      <c r="AH68" s="1662" t="s">
        <v>3031</v>
      </c>
      <c r="AI68" s="1662" t="s">
        <v>2838</v>
      </c>
      <c r="AJ68" s="1662" t="s">
        <v>2839</v>
      </c>
      <c r="AK68" s="1662" t="s">
        <v>2987</v>
      </c>
      <c r="AL68" s="1662" t="s">
        <v>3032</v>
      </c>
      <c r="AM68" s="1665">
        <v>100</v>
      </c>
      <c r="AN68" s="1662"/>
      <c r="AO68" s="1662"/>
      <c r="AP68" s="1662"/>
      <c r="AQ68" s="1662"/>
      <c r="AR68" s="1662"/>
      <c r="AS68" s="1662"/>
      <c r="AT68" s="1662" t="s">
        <v>2946</v>
      </c>
      <c r="AU68" s="1662" t="s">
        <v>2842</v>
      </c>
      <c r="AV68" s="1662" t="s">
        <v>2934</v>
      </c>
      <c r="AW68" s="1662"/>
      <c r="AX68" s="1662" t="s">
        <v>3033</v>
      </c>
      <c r="AY68" s="1662" t="s">
        <v>2874</v>
      </c>
      <c r="AZ68" s="1662" t="s">
        <v>184</v>
      </c>
      <c r="BA68" s="1662" t="s">
        <v>2904</v>
      </c>
      <c r="BB68" s="1662" t="s">
        <v>2833</v>
      </c>
      <c r="BC68" s="1662" t="s">
        <v>2876</v>
      </c>
      <c r="BD68" s="1662" t="s">
        <v>2849</v>
      </c>
      <c r="BE68" s="1662" t="s">
        <v>3034</v>
      </c>
      <c r="BF68" s="1662" t="s">
        <v>2906</v>
      </c>
      <c r="BG68" s="1662" t="s">
        <v>2907</v>
      </c>
      <c r="BH68" s="1662" t="s">
        <v>2880</v>
      </c>
      <c r="BI68" s="1662" t="s">
        <v>2881</v>
      </c>
      <c r="BJ68" s="1662" t="s">
        <v>2908</v>
      </c>
      <c r="BK68" s="1662" t="s">
        <v>2946</v>
      </c>
      <c r="BL68" s="1662" t="s">
        <v>2833</v>
      </c>
      <c r="BM68" s="1662" t="s">
        <v>2833</v>
      </c>
      <c r="BN68" s="1665">
        <v>0</v>
      </c>
      <c r="BO68" s="1664">
        <v>43245</v>
      </c>
      <c r="BP68" s="1664">
        <v>43728</v>
      </c>
      <c r="BQ68" s="1662" t="s">
        <v>3035</v>
      </c>
      <c r="BR68" s="1664">
        <v>45716</v>
      </c>
      <c r="BS68" s="1662" t="s">
        <v>2909</v>
      </c>
      <c r="BT68" s="1662" t="s">
        <v>3052</v>
      </c>
      <c r="BU68" s="1665">
        <v>30</v>
      </c>
      <c r="BV68" s="1665">
        <v>70807.38</v>
      </c>
      <c r="BW68" s="1664">
        <v>43758</v>
      </c>
      <c r="BX68" s="1668"/>
      <c r="BY68" s="1662" t="s">
        <v>2096</v>
      </c>
      <c r="BZ68" s="1662" t="s">
        <v>2858</v>
      </c>
      <c r="CA68" s="1662" t="s">
        <v>2859</v>
      </c>
      <c r="CB68" s="1662" t="s">
        <v>2859</v>
      </c>
      <c r="CC68" s="1662" t="s">
        <v>2993</v>
      </c>
      <c r="CD68" s="1724">
        <v>277676</v>
      </c>
      <c r="CE68" s="1724">
        <v>277676</v>
      </c>
      <c r="CF68" s="1724">
        <v>236024.6</v>
      </c>
      <c r="CG68" s="1724">
        <v>85</v>
      </c>
      <c r="CH68" s="1724">
        <v>41651.4</v>
      </c>
      <c r="CI68" s="1724">
        <v>15</v>
      </c>
      <c r="CJ68" s="1724">
        <v>277676</v>
      </c>
      <c r="CK68" s="1724">
        <v>100</v>
      </c>
      <c r="CL68" s="1725" t="s">
        <v>2861</v>
      </c>
      <c r="CM68" s="1729">
        <v>43326</v>
      </c>
      <c r="CN68" s="1727"/>
      <c r="CO68" s="1728"/>
      <c r="CP68" s="1726"/>
      <c r="CQ68" s="1724">
        <v>236024.6</v>
      </c>
      <c r="CR68" s="1724">
        <v>236024.6</v>
      </c>
      <c r="CS68" s="1724">
        <v>0</v>
      </c>
      <c r="CT68" s="1728" t="s">
        <v>2861</v>
      </c>
      <c r="CU68" s="1729">
        <v>43340</v>
      </c>
      <c r="CV68" s="1724">
        <v>277676</v>
      </c>
      <c r="CW68" s="1724">
        <v>0</v>
      </c>
      <c r="CX68" s="1724">
        <v>0</v>
      </c>
      <c r="CY68" s="1724">
        <v>274655</v>
      </c>
      <c r="CZ68" s="1724">
        <v>0</v>
      </c>
      <c r="DA68" s="1724">
        <v>0</v>
      </c>
      <c r="DB68" s="1724">
        <v>0</v>
      </c>
      <c r="DC68" s="1724">
        <v>3021</v>
      </c>
      <c r="DD68" s="1724">
        <v>277676</v>
      </c>
      <c r="DE68" s="1724">
        <v>236024.6</v>
      </c>
      <c r="DF68" s="1724">
        <v>236024.6</v>
      </c>
      <c r="DG68" s="1724">
        <v>0</v>
      </c>
      <c r="DH68" s="1724">
        <v>41651.4</v>
      </c>
      <c r="DI68" s="1724">
        <v>41651.4</v>
      </c>
      <c r="DJ68" s="1724">
        <v>0</v>
      </c>
      <c r="DK68" s="1724">
        <v>41651.4</v>
      </c>
      <c r="DL68" s="1724">
        <v>0</v>
      </c>
      <c r="DM68" s="1724">
        <v>0</v>
      </c>
      <c r="DN68" s="1724">
        <v>0</v>
      </c>
      <c r="DO68" s="1724">
        <v>0</v>
      </c>
      <c r="DP68" s="1724">
        <v>0</v>
      </c>
      <c r="DQ68" s="1728" t="s">
        <v>2886</v>
      </c>
      <c r="DR68" s="1724">
        <v>0</v>
      </c>
      <c r="DS68" s="1728" t="s">
        <v>2833</v>
      </c>
      <c r="DT68" s="1726"/>
      <c r="DU68" s="1728" t="s">
        <v>2833</v>
      </c>
      <c r="DV68" s="1726"/>
    </row>
    <row r="69" spans="1:126" x14ac:dyDescent="0.25">
      <c r="A69" s="1662" t="s">
        <v>1774</v>
      </c>
      <c r="B69" s="1662" t="s">
        <v>1722</v>
      </c>
      <c r="C69" s="1662"/>
      <c r="D69" s="1662"/>
      <c r="E69" s="1662"/>
      <c r="F69" s="1662"/>
      <c r="G69" s="1662"/>
      <c r="H69" s="1662"/>
      <c r="I69" s="1662"/>
      <c r="J69" s="1662"/>
      <c r="K69" s="1668"/>
      <c r="L69" s="1668"/>
      <c r="M69" s="1662"/>
      <c r="N69" s="1662"/>
      <c r="O69" s="1662"/>
      <c r="P69" s="1662"/>
      <c r="Q69" s="1662"/>
      <c r="R69" s="1662"/>
      <c r="S69" s="1662"/>
      <c r="T69" s="1662"/>
      <c r="U69" s="1662"/>
      <c r="V69" s="1662"/>
      <c r="W69" s="1662"/>
      <c r="X69" s="1662"/>
      <c r="Y69" s="1662"/>
      <c r="Z69" s="1662"/>
      <c r="AA69" s="1662"/>
      <c r="AB69" s="1662"/>
      <c r="AC69" s="1662"/>
      <c r="AD69" s="1662"/>
      <c r="AE69" s="1662"/>
      <c r="AF69" s="1662"/>
      <c r="AG69" s="1662"/>
      <c r="AH69" s="1662"/>
      <c r="AI69" s="1662"/>
      <c r="AJ69" s="1662"/>
      <c r="AK69" s="1662"/>
      <c r="AL69" s="1662"/>
      <c r="AM69" s="1663"/>
      <c r="AN69" s="1662"/>
      <c r="AO69" s="1662"/>
      <c r="AP69" s="1662"/>
      <c r="AQ69" s="1662"/>
      <c r="AR69" s="1662"/>
      <c r="AS69" s="1662"/>
      <c r="AT69" s="1662"/>
      <c r="AU69" s="1662"/>
      <c r="AV69" s="1662"/>
      <c r="AW69" s="1662"/>
      <c r="AX69" s="1662"/>
      <c r="AY69" s="1662"/>
      <c r="AZ69" s="1662"/>
      <c r="BA69" s="1662"/>
      <c r="BB69" s="1662"/>
      <c r="BC69" s="1662"/>
      <c r="BD69" s="1662"/>
      <c r="BE69" s="1662"/>
      <c r="BF69" s="1662"/>
      <c r="BG69" s="1662"/>
      <c r="BH69" s="1662"/>
      <c r="BI69" s="1662"/>
      <c r="BJ69" s="1662"/>
      <c r="BK69" s="1662"/>
      <c r="BL69" s="1662"/>
      <c r="BM69" s="1662"/>
      <c r="BN69" s="1663"/>
      <c r="BO69" s="1668"/>
      <c r="BP69" s="1668"/>
      <c r="BQ69" s="1662"/>
      <c r="BR69" s="1668"/>
      <c r="BS69" s="1662"/>
      <c r="BT69" s="1662"/>
      <c r="BU69" s="1663"/>
      <c r="BV69" s="1665">
        <v>60253.2</v>
      </c>
      <c r="BW69" s="1668"/>
      <c r="BX69" s="1668"/>
      <c r="BY69" s="1662"/>
      <c r="BZ69" s="1662"/>
      <c r="CA69" s="1662"/>
      <c r="CB69" s="1662"/>
      <c r="CC69" s="1662"/>
      <c r="CD69" s="1724">
        <v>3037678.89</v>
      </c>
      <c r="CE69" s="1724">
        <v>2750143.04</v>
      </c>
      <c r="CF69" s="1724">
        <v>2304870</v>
      </c>
      <c r="CG69" s="1724">
        <v>83.81</v>
      </c>
      <c r="CH69" s="1724">
        <v>445273.04</v>
      </c>
      <c r="CI69" s="1724">
        <v>16.190000000000001</v>
      </c>
      <c r="CJ69" s="1724">
        <v>2750143.04</v>
      </c>
      <c r="CK69" s="1724">
        <v>100</v>
      </c>
      <c r="CL69" s="1725"/>
      <c r="CM69" s="1726"/>
      <c r="CN69" s="1727"/>
      <c r="CO69" s="1728"/>
      <c r="CP69" s="1726"/>
      <c r="CQ69" s="1724">
        <v>2304870</v>
      </c>
      <c r="CR69" s="1724">
        <v>2304870</v>
      </c>
      <c r="CS69" s="1724">
        <v>0</v>
      </c>
      <c r="CT69" s="1728"/>
      <c r="CU69" s="1726"/>
      <c r="CV69" s="1724">
        <v>2750143.04</v>
      </c>
      <c r="CW69" s="1724">
        <v>0</v>
      </c>
      <c r="CX69" s="1724">
        <v>0</v>
      </c>
      <c r="CY69" s="1724">
        <v>2739214.04</v>
      </c>
      <c r="CZ69" s="1724">
        <v>0</v>
      </c>
      <c r="DA69" s="1724">
        <v>8509</v>
      </c>
      <c r="DB69" s="1724">
        <v>2420</v>
      </c>
      <c r="DC69" s="1724">
        <v>0</v>
      </c>
      <c r="DD69" s="1724">
        <v>2750143.04</v>
      </c>
      <c r="DE69" s="1724">
        <v>2304870</v>
      </c>
      <c r="DF69" s="1724">
        <v>2304870</v>
      </c>
      <c r="DG69" s="1724">
        <v>0</v>
      </c>
      <c r="DH69" s="1724">
        <v>445273.04</v>
      </c>
      <c r="DI69" s="1724">
        <v>445273.04</v>
      </c>
      <c r="DJ69" s="1724">
        <v>62660</v>
      </c>
      <c r="DK69" s="1724">
        <v>382613.04</v>
      </c>
      <c r="DL69" s="1724">
        <v>0</v>
      </c>
      <c r="DM69" s="1724">
        <v>0</v>
      </c>
      <c r="DN69" s="1724">
        <v>0</v>
      </c>
      <c r="DO69" s="1724">
        <v>0</v>
      </c>
      <c r="DP69" s="1724">
        <v>0</v>
      </c>
      <c r="DQ69" s="1728"/>
      <c r="DR69" s="1727"/>
      <c r="DS69" s="1728"/>
      <c r="DT69" s="1726"/>
      <c r="DU69" s="1728"/>
      <c r="DV69" s="1726"/>
    </row>
    <row r="70" spans="1:126" x14ac:dyDescent="0.25">
      <c r="A70" s="1662" t="s">
        <v>1775</v>
      </c>
      <c r="B70" s="1662" t="s">
        <v>1722</v>
      </c>
      <c r="C70" s="1662" t="s">
        <v>2631</v>
      </c>
      <c r="D70" s="1662"/>
      <c r="E70" s="1662"/>
      <c r="F70" s="1662"/>
      <c r="G70" s="1662"/>
      <c r="H70" s="1662"/>
      <c r="I70" s="1662"/>
      <c r="J70" s="1662"/>
      <c r="K70" s="1668"/>
      <c r="L70" s="1668"/>
      <c r="M70" s="1662"/>
      <c r="N70" s="1662"/>
      <c r="O70" s="1662"/>
      <c r="P70" s="1662"/>
      <c r="Q70" s="1662"/>
      <c r="R70" s="1662"/>
      <c r="S70" s="1662"/>
      <c r="T70" s="1662"/>
      <c r="U70" s="1662"/>
      <c r="V70" s="1662"/>
      <c r="W70" s="1662"/>
      <c r="X70" s="1662"/>
      <c r="Y70" s="1662"/>
      <c r="Z70" s="1662"/>
      <c r="AA70" s="1662"/>
      <c r="AB70" s="1662"/>
      <c r="AC70" s="1662"/>
      <c r="AD70" s="1662"/>
      <c r="AE70" s="1662"/>
      <c r="AF70" s="1662"/>
      <c r="AG70" s="1662"/>
      <c r="AH70" s="1662"/>
      <c r="AI70" s="1662"/>
      <c r="AJ70" s="1662"/>
      <c r="AK70" s="1662"/>
      <c r="AL70" s="1662"/>
      <c r="AM70" s="1663"/>
      <c r="AN70" s="1662"/>
      <c r="AO70" s="1662"/>
      <c r="AP70" s="1662"/>
      <c r="AQ70" s="1662"/>
      <c r="AR70" s="1662"/>
      <c r="AS70" s="1662"/>
      <c r="AT70" s="1662"/>
      <c r="AU70" s="1662"/>
      <c r="AV70" s="1662"/>
      <c r="AW70" s="1662"/>
      <c r="AX70" s="1662"/>
      <c r="AY70" s="1662"/>
      <c r="AZ70" s="1662"/>
      <c r="BA70" s="1662"/>
      <c r="BB70" s="1662"/>
      <c r="BC70" s="1662"/>
      <c r="BD70" s="1662"/>
      <c r="BE70" s="1662"/>
      <c r="BF70" s="1662"/>
      <c r="BG70" s="1662"/>
      <c r="BH70" s="1662"/>
      <c r="BI70" s="1662"/>
      <c r="BJ70" s="1662"/>
      <c r="BK70" s="1662"/>
      <c r="BL70" s="1662"/>
      <c r="BM70" s="1662"/>
      <c r="BN70" s="1663"/>
      <c r="BO70" s="1668"/>
      <c r="BP70" s="1668"/>
      <c r="BQ70" s="1662"/>
      <c r="BR70" s="1668"/>
      <c r="BS70" s="1662"/>
      <c r="BT70" s="1662"/>
      <c r="BU70" s="1663"/>
      <c r="BV70" s="1665">
        <v>60253.2</v>
      </c>
      <c r="BW70" s="1668"/>
      <c r="BX70" s="1668"/>
      <c r="BY70" s="1662"/>
      <c r="BZ70" s="1662"/>
      <c r="CA70" s="1662"/>
      <c r="CB70" s="1662"/>
      <c r="CC70" s="1662"/>
      <c r="CD70" s="1724">
        <v>3037678.89</v>
      </c>
      <c r="CE70" s="1724">
        <v>2750143.04</v>
      </c>
      <c r="CF70" s="1724">
        <v>2304870</v>
      </c>
      <c r="CG70" s="1724">
        <v>83.81</v>
      </c>
      <c r="CH70" s="1724">
        <v>445273.04</v>
      </c>
      <c r="CI70" s="1724">
        <v>16.190000000000001</v>
      </c>
      <c r="CJ70" s="1724">
        <v>2750143.04</v>
      </c>
      <c r="CK70" s="1724">
        <v>100</v>
      </c>
      <c r="CL70" s="1725"/>
      <c r="CM70" s="1726"/>
      <c r="CN70" s="1727"/>
      <c r="CO70" s="1728"/>
      <c r="CP70" s="1726"/>
      <c r="CQ70" s="1724">
        <v>2304870</v>
      </c>
      <c r="CR70" s="1724">
        <v>2304870</v>
      </c>
      <c r="CS70" s="1724">
        <v>0</v>
      </c>
      <c r="CT70" s="1728"/>
      <c r="CU70" s="1726"/>
      <c r="CV70" s="1724">
        <v>2750143.04</v>
      </c>
      <c r="CW70" s="1724">
        <v>0</v>
      </c>
      <c r="CX70" s="1724">
        <v>0</v>
      </c>
      <c r="CY70" s="1724">
        <v>2739214.04</v>
      </c>
      <c r="CZ70" s="1724">
        <v>0</v>
      </c>
      <c r="DA70" s="1724">
        <v>8509</v>
      </c>
      <c r="DB70" s="1724">
        <v>2420</v>
      </c>
      <c r="DC70" s="1724">
        <v>0</v>
      </c>
      <c r="DD70" s="1724">
        <v>2750143.04</v>
      </c>
      <c r="DE70" s="1724">
        <v>2304870</v>
      </c>
      <c r="DF70" s="1724">
        <v>2304870</v>
      </c>
      <c r="DG70" s="1724">
        <v>0</v>
      </c>
      <c r="DH70" s="1724">
        <v>445273.04</v>
      </c>
      <c r="DI70" s="1724">
        <v>445273.04</v>
      </c>
      <c r="DJ70" s="1724">
        <v>62660</v>
      </c>
      <c r="DK70" s="1724">
        <v>382613.04</v>
      </c>
      <c r="DL70" s="1724">
        <v>0</v>
      </c>
      <c r="DM70" s="1724">
        <v>0</v>
      </c>
      <c r="DN70" s="1724">
        <v>0</v>
      </c>
      <c r="DO70" s="1724">
        <v>0</v>
      </c>
      <c r="DP70" s="1724">
        <v>0</v>
      </c>
      <c r="DQ70" s="1728"/>
      <c r="DR70" s="1727"/>
      <c r="DS70" s="1728"/>
      <c r="DT70" s="1726"/>
      <c r="DU70" s="1728"/>
      <c r="DV70" s="1726"/>
    </row>
    <row r="71" spans="1:126" ht="22.5" x14ac:dyDescent="0.25">
      <c r="A71" s="1662" t="s">
        <v>1776</v>
      </c>
      <c r="B71" s="1662" t="s">
        <v>1722</v>
      </c>
      <c r="C71" s="1662" t="s">
        <v>2631</v>
      </c>
      <c r="D71" s="1662" t="s">
        <v>2632</v>
      </c>
      <c r="E71" s="1662"/>
      <c r="F71" s="1662"/>
      <c r="G71" s="1662"/>
      <c r="H71" s="1662"/>
      <c r="I71" s="1662"/>
      <c r="J71" s="1662"/>
      <c r="K71" s="1668"/>
      <c r="L71" s="1668"/>
      <c r="M71" s="1662"/>
      <c r="N71" s="1662"/>
      <c r="O71" s="1662"/>
      <c r="P71" s="1662"/>
      <c r="Q71" s="1662"/>
      <c r="R71" s="1662"/>
      <c r="S71" s="1662"/>
      <c r="T71" s="1662"/>
      <c r="U71" s="1662"/>
      <c r="V71" s="1662"/>
      <c r="W71" s="1662"/>
      <c r="X71" s="1662"/>
      <c r="Y71" s="1662"/>
      <c r="Z71" s="1662"/>
      <c r="AA71" s="1662"/>
      <c r="AB71" s="1662"/>
      <c r="AC71" s="1662"/>
      <c r="AD71" s="1662"/>
      <c r="AE71" s="1662"/>
      <c r="AF71" s="1662"/>
      <c r="AG71" s="1662"/>
      <c r="AH71" s="1662"/>
      <c r="AI71" s="1662"/>
      <c r="AJ71" s="1662"/>
      <c r="AK71" s="1662"/>
      <c r="AL71" s="1662"/>
      <c r="AM71" s="1663"/>
      <c r="AN71" s="1662"/>
      <c r="AO71" s="1662"/>
      <c r="AP71" s="1662"/>
      <c r="AQ71" s="1662"/>
      <c r="AR71" s="1662"/>
      <c r="AS71" s="1662"/>
      <c r="AT71" s="1662"/>
      <c r="AU71" s="1662"/>
      <c r="AV71" s="1662"/>
      <c r="AW71" s="1662"/>
      <c r="AX71" s="1662"/>
      <c r="AY71" s="1662"/>
      <c r="AZ71" s="1662"/>
      <c r="BA71" s="1662"/>
      <c r="BB71" s="1662"/>
      <c r="BC71" s="1662"/>
      <c r="BD71" s="1662"/>
      <c r="BE71" s="1662"/>
      <c r="BF71" s="1662"/>
      <c r="BG71" s="1662"/>
      <c r="BH71" s="1662"/>
      <c r="BI71" s="1662"/>
      <c r="BJ71" s="1662"/>
      <c r="BK71" s="1662"/>
      <c r="BL71" s="1662"/>
      <c r="BM71" s="1662"/>
      <c r="BN71" s="1663"/>
      <c r="BO71" s="1668"/>
      <c r="BP71" s="1668"/>
      <c r="BQ71" s="1662"/>
      <c r="BR71" s="1668"/>
      <c r="BS71" s="1662"/>
      <c r="BT71" s="1662"/>
      <c r="BU71" s="1663"/>
      <c r="BV71" s="1665">
        <v>60253.2</v>
      </c>
      <c r="BW71" s="1668"/>
      <c r="BX71" s="1668"/>
      <c r="BY71" s="1662"/>
      <c r="BZ71" s="1662"/>
      <c r="CA71" s="1662"/>
      <c r="CB71" s="1662"/>
      <c r="CC71" s="1662"/>
      <c r="CD71" s="1724">
        <v>3037678.89</v>
      </c>
      <c r="CE71" s="1724">
        <v>2750143.04</v>
      </c>
      <c r="CF71" s="1724">
        <v>2304870</v>
      </c>
      <c r="CG71" s="1724">
        <v>83.81</v>
      </c>
      <c r="CH71" s="1724">
        <v>445273.04</v>
      </c>
      <c r="CI71" s="1724">
        <v>16.190000000000001</v>
      </c>
      <c r="CJ71" s="1724">
        <v>2750143.04</v>
      </c>
      <c r="CK71" s="1724">
        <v>100</v>
      </c>
      <c r="CL71" s="1725"/>
      <c r="CM71" s="1726"/>
      <c r="CN71" s="1727"/>
      <c r="CO71" s="1728"/>
      <c r="CP71" s="1726"/>
      <c r="CQ71" s="1724">
        <v>2304870</v>
      </c>
      <c r="CR71" s="1724">
        <v>2304870</v>
      </c>
      <c r="CS71" s="1724">
        <v>0</v>
      </c>
      <c r="CT71" s="1728"/>
      <c r="CU71" s="1726"/>
      <c r="CV71" s="1724">
        <v>2750143.04</v>
      </c>
      <c r="CW71" s="1724">
        <v>0</v>
      </c>
      <c r="CX71" s="1724">
        <v>0</v>
      </c>
      <c r="CY71" s="1724">
        <v>2739214.04</v>
      </c>
      <c r="CZ71" s="1724">
        <v>0</v>
      </c>
      <c r="DA71" s="1724">
        <v>8509</v>
      </c>
      <c r="DB71" s="1724">
        <v>2420</v>
      </c>
      <c r="DC71" s="1724">
        <v>0</v>
      </c>
      <c r="DD71" s="1724">
        <v>2750143.04</v>
      </c>
      <c r="DE71" s="1724">
        <v>2304870</v>
      </c>
      <c r="DF71" s="1724">
        <v>2304870</v>
      </c>
      <c r="DG71" s="1724">
        <v>0</v>
      </c>
      <c r="DH71" s="1724">
        <v>445273.04</v>
      </c>
      <c r="DI71" s="1724">
        <v>445273.04</v>
      </c>
      <c r="DJ71" s="1724">
        <v>62660</v>
      </c>
      <c r="DK71" s="1724">
        <v>382613.04</v>
      </c>
      <c r="DL71" s="1724">
        <v>0</v>
      </c>
      <c r="DM71" s="1724">
        <v>0</v>
      </c>
      <c r="DN71" s="1724">
        <v>0</v>
      </c>
      <c r="DO71" s="1724">
        <v>0</v>
      </c>
      <c r="DP71" s="1724">
        <v>0</v>
      </c>
      <c r="DQ71" s="1728"/>
      <c r="DR71" s="1727"/>
      <c r="DS71" s="1728"/>
      <c r="DT71" s="1726"/>
      <c r="DU71" s="1728"/>
      <c r="DV71" s="1726"/>
    </row>
    <row r="72" spans="1:126" ht="22.5" x14ac:dyDescent="0.25">
      <c r="A72" s="1662" t="s">
        <v>2138</v>
      </c>
      <c r="B72" s="1662" t="s">
        <v>1722</v>
      </c>
      <c r="C72" s="1662" t="s">
        <v>2631</v>
      </c>
      <c r="D72" s="1662" t="s">
        <v>2632</v>
      </c>
      <c r="E72" s="1662" t="s">
        <v>141</v>
      </c>
      <c r="F72" s="1662" t="s">
        <v>294</v>
      </c>
      <c r="G72" s="1662"/>
      <c r="H72" s="1662"/>
      <c r="I72" s="1662"/>
      <c r="J72" s="1662"/>
      <c r="K72" s="1668"/>
      <c r="L72" s="1668"/>
      <c r="M72" s="1662"/>
      <c r="N72" s="1662"/>
      <c r="O72" s="1662"/>
      <c r="P72" s="1662"/>
      <c r="Q72" s="1662"/>
      <c r="R72" s="1662"/>
      <c r="S72" s="1662"/>
      <c r="T72" s="1662"/>
      <c r="U72" s="1662"/>
      <c r="V72" s="1662"/>
      <c r="W72" s="1662"/>
      <c r="X72" s="1662"/>
      <c r="Y72" s="1662"/>
      <c r="Z72" s="1662"/>
      <c r="AA72" s="1662"/>
      <c r="AB72" s="1662"/>
      <c r="AC72" s="1662"/>
      <c r="AD72" s="1662"/>
      <c r="AE72" s="1662"/>
      <c r="AF72" s="1662"/>
      <c r="AG72" s="1662"/>
      <c r="AH72" s="1662"/>
      <c r="AI72" s="1662"/>
      <c r="AJ72" s="1662"/>
      <c r="AK72" s="1662"/>
      <c r="AL72" s="1662"/>
      <c r="AM72" s="1663"/>
      <c r="AN72" s="1662"/>
      <c r="AO72" s="1662"/>
      <c r="AP72" s="1662"/>
      <c r="AQ72" s="1662"/>
      <c r="AR72" s="1662"/>
      <c r="AS72" s="1662"/>
      <c r="AT72" s="1662"/>
      <c r="AU72" s="1662"/>
      <c r="AV72" s="1662"/>
      <c r="AW72" s="1662"/>
      <c r="AX72" s="1662"/>
      <c r="AY72" s="1662"/>
      <c r="AZ72" s="1662"/>
      <c r="BA72" s="1662"/>
      <c r="BB72" s="1662"/>
      <c r="BC72" s="1662"/>
      <c r="BD72" s="1662"/>
      <c r="BE72" s="1662"/>
      <c r="BF72" s="1662"/>
      <c r="BG72" s="1662"/>
      <c r="BH72" s="1662"/>
      <c r="BI72" s="1662"/>
      <c r="BJ72" s="1662"/>
      <c r="BK72" s="1662"/>
      <c r="BL72" s="1662"/>
      <c r="BM72" s="1662"/>
      <c r="BN72" s="1663"/>
      <c r="BO72" s="1668"/>
      <c r="BP72" s="1668"/>
      <c r="BQ72" s="1662"/>
      <c r="BR72" s="1668"/>
      <c r="BS72" s="1662"/>
      <c r="BT72" s="1662"/>
      <c r="BU72" s="1663"/>
      <c r="BV72" s="1665">
        <v>60253.2</v>
      </c>
      <c r="BW72" s="1668"/>
      <c r="BX72" s="1668"/>
      <c r="BY72" s="1662"/>
      <c r="BZ72" s="1662"/>
      <c r="CA72" s="1662"/>
      <c r="CB72" s="1662"/>
      <c r="CC72" s="1662"/>
      <c r="CD72" s="1724">
        <v>3037678.89</v>
      </c>
      <c r="CE72" s="1724">
        <v>2750143.04</v>
      </c>
      <c r="CF72" s="1724">
        <v>2304870</v>
      </c>
      <c r="CG72" s="1724">
        <v>83.81</v>
      </c>
      <c r="CH72" s="1724">
        <v>445273.04</v>
      </c>
      <c r="CI72" s="1724">
        <v>16.190000000000001</v>
      </c>
      <c r="CJ72" s="1724">
        <v>2750143.04</v>
      </c>
      <c r="CK72" s="1724">
        <v>100</v>
      </c>
      <c r="CL72" s="1725"/>
      <c r="CM72" s="1726"/>
      <c r="CN72" s="1727"/>
      <c r="CO72" s="1728"/>
      <c r="CP72" s="1726"/>
      <c r="CQ72" s="1724">
        <v>2304870</v>
      </c>
      <c r="CR72" s="1724">
        <v>2304870</v>
      </c>
      <c r="CS72" s="1724">
        <v>0</v>
      </c>
      <c r="CT72" s="1728"/>
      <c r="CU72" s="1726"/>
      <c r="CV72" s="1724">
        <v>2750143.04</v>
      </c>
      <c r="CW72" s="1724">
        <v>0</v>
      </c>
      <c r="CX72" s="1724">
        <v>0</v>
      </c>
      <c r="CY72" s="1724">
        <v>2739214.04</v>
      </c>
      <c r="CZ72" s="1724">
        <v>0</v>
      </c>
      <c r="DA72" s="1724">
        <v>8509</v>
      </c>
      <c r="DB72" s="1724">
        <v>2420</v>
      </c>
      <c r="DC72" s="1724">
        <v>0</v>
      </c>
      <c r="DD72" s="1724">
        <v>2750143.04</v>
      </c>
      <c r="DE72" s="1724">
        <v>2304870</v>
      </c>
      <c r="DF72" s="1724">
        <v>2304870</v>
      </c>
      <c r="DG72" s="1724">
        <v>0</v>
      </c>
      <c r="DH72" s="1724">
        <v>445273.04</v>
      </c>
      <c r="DI72" s="1724">
        <v>445273.04</v>
      </c>
      <c r="DJ72" s="1724">
        <v>62660</v>
      </c>
      <c r="DK72" s="1724">
        <v>382613.04</v>
      </c>
      <c r="DL72" s="1724">
        <v>0</v>
      </c>
      <c r="DM72" s="1724">
        <v>0</v>
      </c>
      <c r="DN72" s="1724">
        <v>0</v>
      </c>
      <c r="DO72" s="1724">
        <v>0</v>
      </c>
      <c r="DP72" s="1724">
        <v>0</v>
      </c>
      <c r="DQ72" s="1728"/>
      <c r="DR72" s="1727"/>
      <c r="DS72" s="1728"/>
      <c r="DT72" s="1726"/>
      <c r="DU72" s="1728"/>
      <c r="DV72" s="1726"/>
    </row>
    <row r="73" spans="1:126" ht="90" x14ac:dyDescent="0.25">
      <c r="A73" s="1662" t="s">
        <v>2139</v>
      </c>
      <c r="B73" s="1662" t="s">
        <v>1722</v>
      </c>
      <c r="C73" s="1662" t="s">
        <v>2631</v>
      </c>
      <c r="D73" s="1662" t="s">
        <v>2632</v>
      </c>
      <c r="E73" s="1662" t="s">
        <v>141</v>
      </c>
      <c r="F73" s="1662" t="s">
        <v>294</v>
      </c>
      <c r="G73" s="1662" t="s">
        <v>2611</v>
      </c>
      <c r="H73" s="1662" t="s">
        <v>2612</v>
      </c>
      <c r="I73" s="1662" t="s">
        <v>2613</v>
      </c>
      <c r="J73" s="1662" t="s">
        <v>730</v>
      </c>
      <c r="K73" s="1664">
        <v>42851</v>
      </c>
      <c r="L73" s="1664">
        <v>42920</v>
      </c>
      <c r="M73" s="1662" t="s">
        <v>2201</v>
      </c>
      <c r="N73" s="1662" t="s">
        <v>2109</v>
      </c>
      <c r="O73" s="1662" t="s">
        <v>3053</v>
      </c>
      <c r="P73" s="1662" t="s">
        <v>2833</v>
      </c>
      <c r="Q73" s="1662" t="s">
        <v>1738</v>
      </c>
      <c r="R73" s="1662" t="s">
        <v>2833</v>
      </c>
      <c r="S73" s="1662" t="s">
        <v>2833</v>
      </c>
      <c r="T73" s="1662"/>
      <c r="U73" s="1662" t="s">
        <v>2834</v>
      </c>
      <c r="V73" s="1662" t="s">
        <v>2861</v>
      </c>
      <c r="W73" s="1662" t="s">
        <v>2833</v>
      </c>
      <c r="X73" s="1662"/>
      <c r="Y73" s="1662" t="s">
        <v>2833</v>
      </c>
      <c r="Z73" s="1662"/>
      <c r="AA73" s="1662"/>
      <c r="AB73" s="1662" t="s">
        <v>2833</v>
      </c>
      <c r="AC73" s="1662" t="s">
        <v>2833</v>
      </c>
      <c r="AD73" s="1662" t="s">
        <v>2833</v>
      </c>
      <c r="AE73" s="1662"/>
      <c r="AF73" s="1662" t="s">
        <v>2865</v>
      </c>
      <c r="AG73" s="1662" t="s">
        <v>2866</v>
      </c>
      <c r="AH73" s="1662" t="s">
        <v>2867</v>
      </c>
      <c r="AI73" s="1662" t="s">
        <v>2838</v>
      </c>
      <c r="AJ73" s="1662" t="s">
        <v>2839</v>
      </c>
      <c r="AK73" s="1662" t="s">
        <v>3054</v>
      </c>
      <c r="AL73" s="1662" t="s">
        <v>3055</v>
      </c>
      <c r="AM73" s="1665">
        <v>100</v>
      </c>
      <c r="AN73" s="1662"/>
      <c r="AO73" s="1662"/>
      <c r="AP73" s="1662"/>
      <c r="AQ73" s="1662"/>
      <c r="AR73" s="1662"/>
      <c r="AS73" s="1662"/>
      <c r="AT73" s="1662" t="s">
        <v>2870</v>
      </c>
      <c r="AU73" s="1662" t="s">
        <v>2871</v>
      </c>
      <c r="AV73" s="1662" t="s">
        <v>3056</v>
      </c>
      <c r="AW73" s="1662"/>
      <c r="AX73" s="1662" t="s">
        <v>2873</v>
      </c>
      <c r="AY73" s="1662" t="s">
        <v>2874</v>
      </c>
      <c r="AZ73" s="1662" t="s">
        <v>350</v>
      </c>
      <c r="BA73" s="1662" t="s">
        <v>2875</v>
      </c>
      <c r="BB73" s="1662" t="s">
        <v>2833</v>
      </c>
      <c r="BC73" s="1662" t="s">
        <v>2876</v>
      </c>
      <c r="BD73" s="1662" t="s">
        <v>2849</v>
      </c>
      <c r="BE73" s="1662" t="s">
        <v>2877</v>
      </c>
      <c r="BF73" s="1662" t="s">
        <v>3018</v>
      </c>
      <c r="BG73" s="1662" t="s">
        <v>3019</v>
      </c>
      <c r="BH73" s="1662" t="s">
        <v>2880</v>
      </c>
      <c r="BI73" s="1662" t="s">
        <v>2881</v>
      </c>
      <c r="BJ73" s="1662" t="s">
        <v>2882</v>
      </c>
      <c r="BK73" s="1662" t="s">
        <v>2870</v>
      </c>
      <c r="BL73" s="1662" t="s">
        <v>2833</v>
      </c>
      <c r="BM73" s="1662" t="s">
        <v>2833</v>
      </c>
      <c r="BN73" s="1665">
        <v>0</v>
      </c>
      <c r="BO73" s="1664">
        <v>41751</v>
      </c>
      <c r="BP73" s="1664">
        <v>43373</v>
      </c>
      <c r="BQ73" s="1662" t="s">
        <v>2855</v>
      </c>
      <c r="BR73" s="1664">
        <v>45657</v>
      </c>
      <c r="BS73" s="1662" t="s">
        <v>2883</v>
      </c>
      <c r="BT73" s="1662" t="s">
        <v>3057</v>
      </c>
      <c r="BU73" s="1665">
        <v>0</v>
      </c>
      <c r="BV73" s="1665">
        <v>0</v>
      </c>
      <c r="BW73" s="1664">
        <v>43403</v>
      </c>
      <c r="BX73" s="1668"/>
      <c r="BY73" s="1662" t="s">
        <v>2096</v>
      </c>
      <c r="BZ73" s="1662" t="s">
        <v>2859</v>
      </c>
      <c r="CA73" s="1662" t="s">
        <v>2859</v>
      </c>
      <c r="CB73" s="1662" t="s">
        <v>2859</v>
      </c>
      <c r="CC73" s="1662" t="s">
        <v>2885</v>
      </c>
      <c r="CD73" s="1724">
        <v>1028779.4</v>
      </c>
      <c r="CE73" s="1724">
        <v>879927.06</v>
      </c>
      <c r="CF73" s="1724">
        <v>747938</v>
      </c>
      <c r="CG73" s="1724">
        <v>85</v>
      </c>
      <c r="CH73" s="1724">
        <v>131989.06</v>
      </c>
      <c r="CI73" s="1724">
        <v>15</v>
      </c>
      <c r="CJ73" s="1724">
        <v>879927.06</v>
      </c>
      <c r="CK73" s="1724">
        <v>100</v>
      </c>
      <c r="CL73" s="1725" t="s">
        <v>2861</v>
      </c>
      <c r="CM73" s="1729">
        <v>42880</v>
      </c>
      <c r="CN73" s="1727"/>
      <c r="CO73" s="1728"/>
      <c r="CP73" s="1726"/>
      <c r="CQ73" s="1724">
        <v>747938</v>
      </c>
      <c r="CR73" s="1724">
        <v>747938</v>
      </c>
      <c r="CS73" s="1724">
        <v>0</v>
      </c>
      <c r="CT73" s="1728" t="s">
        <v>2861</v>
      </c>
      <c r="CU73" s="1729">
        <v>42891</v>
      </c>
      <c r="CV73" s="1724">
        <v>879927.06</v>
      </c>
      <c r="CW73" s="1724">
        <v>0</v>
      </c>
      <c r="CX73" s="1724">
        <v>0</v>
      </c>
      <c r="CY73" s="1724">
        <v>876418.06</v>
      </c>
      <c r="CZ73" s="1724">
        <v>0</v>
      </c>
      <c r="DA73" s="1724">
        <v>3509</v>
      </c>
      <c r="DB73" s="1724">
        <v>0</v>
      </c>
      <c r="DC73" s="1724">
        <v>0</v>
      </c>
      <c r="DD73" s="1724">
        <v>879927.06</v>
      </c>
      <c r="DE73" s="1724">
        <v>747938</v>
      </c>
      <c r="DF73" s="1724">
        <v>747938</v>
      </c>
      <c r="DG73" s="1724">
        <v>0</v>
      </c>
      <c r="DH73" s="1724">
        <v>131989.06</v>
      </c>
      <c r="DI73" s="1724">
        <v>131989.06</v>
      </c>
      <c r="DJ73" s="1724">
        <v>0</v>
      </c>
      <c r="DK73" s="1724">
        <v>131989.06</v>
      </c>
      <c r="DL73" s="1724">
        <v>0</v>
      </c>
      <c r="DM73" s="1724">
        <v>0</v>
      </c>
      <c r="DN73" s="1724">
        <v>0</v>
      </c>
      <c r="DO73" s="1724">
        <v>0</v>
      </c>
      <c r="DP73" s="1724">
        <v>0</v>
      </c>
      <c r="DQ73" s="1728" t="s">
        <v>2886</v>
      </c>
      <c r="DR73" s="1724">
        <v>0</v>
      </c>
      <c r="DS73" s="1728" t="s">
        <v>2833</v>
      </c>
      <c r="DT73" s="1726"/>
      <c r="DU73" s="1728" t="s">
        <v>2833</v>
      </c>
      <c r="DV73" s="1726"/>
    </row>
    <row r="74" spans="1:126" ht="135" x14ac:dyDescent="0.25">
      <c r="A74" s="1662" t="s">
        <v>2140</v>
      </c>
      <c r="B74" s="1662" t="s">
        <v>1722</v>
      </c>
      <c r="C74" s="1662" t="s">
        <v>2631</v>
      </c>
      <c r="D74" s="1662" t="s">
        <v>2632</v>
      </c>
      <c r="E74" s="1662" t="s">
        <v>141</v>
      </c>
      <c r="F74" s="1662" t="s">
        <v>294</v>
      </c>
      <c r="G74" s="1662" t="s">
        <v>2611</v>
      </c>
      <c r="H74" s="1662" t="s">
        <v>2612</v>
      </c>
      <c r="I74" s="1662" t="s">
        <v>2613</v>
      </c>
      <c r="J74" s="1662" t="s">
        <v>731</v>
      </c>
      <c r="K74" s="1664">
        <v>42887</v>
      </c>
      <c r="L74" s="1664">
        <v>42992</v>
      </c>
      <c r="M74" s="1662" t="s">
        <v>2209</v>
      </c>
      <c r="N74" s="1662" t="s">
        <v>2109</v>
      </c>
      <c r="O74" s="1662" t="s">
        <v>3058</v>
      </c>
      <c r="P74" s="1662" t="s">
        <v>2833</v>
      </c>
      <c r="Q74" s="1662" t="s">
        <v>1760</v>
      </c>
      <c r="R74" s="1662" t="s">
        <v>2833</v>
      </c>
      <c r="S74" s="1662" t="s">
        <v>2833</v>
      </c>
      <c r="T74" s="1662"/>
      <c r="U74" s="1662" t="s">
        <v>2834</v>
      </c>
      <c r="V74" s="1662" t="s">
        <v>2861</v>
      </c>
      <c r="W74" s="1662" t="s">
        <v>2833</v>
      </c>
      <c r="X74" s="1662"/>
      <c r="Y74" s="1662" t="s">
        <v>2833</v>
      </c>
      <c r="Z74" s="1662"/>
      <c r="AA74" s="1662"/>
      <c r="AB74" s="1662" t="s">
        <v>2833</v>
      </c>
      <c r="AC74" s="1662" t="s">
        <v>2833</v>
      </c>
      <c r="AD74" s="1662" t="s">
        <v>2833</v>
      </c>
      <c r="AE74" s="1662"/>
      <c r="AF74" s="1662" t="s">
        <v>2865</v>
      </c>
      <c r="AG74" s="1662" t="s">
        <v>2866</v>
      </c>
      <c r="AH74" s="1662" t="s">
        <v>2867</v>
      </c>
      <c r="AI74" s="1662" t="s">
        <v>2838</v>
      </c>
      <c r="AJ74" s="1662" t="s">
        <v>2839</v>
      </c>
      <c r="AK74" s="1662" t="s">
        <v>3054</v>
      </c>
      <c r="AL74" s="1662" t="s">
        <v>3055</v>
      </c>
      <c r="AM74" s="1665">
        <v>100</v>
      </c>
      <c r="AN74" s="1662"/>
      <c r="AO74" s="1662"/>
      <c r="AP74" s="1662"/>
      <c r="AQ74" s="1662"/>
      <c r="AR74" s="1662"/>
      <c r="AS74" s="1662"/>
      <c r="AT74" s="1662" t="s">
        <v>2842</v>
      </c>
      <c r="AU74" s="1662" t="s">
        <v>2871</v>
      </c>
      <c r="AV74" s="1662" t="s">
        <v>3056</v>
      </c>
      <c r="AW74" s="1662"/>
      <c r="AX74" s="1662" t="s">
        <v>2873</v>
      </c>
      <c r="AY74" s="1662" t="s">
        <v>2874</v>
      </c>
      <c r="AZ74" s="1662" t="s">
        <v>284</v>
      </c>
      <c r="BA74" s="1662" t="s">
        <v>2896</v>
      </c>
      <c r="BB74" s="1662" t="s">
        <v>2833</v>
      </c>
      <c r="BC74" s="1662" t="s">
        <v>2876</v>
      </c>
      <c r="BD74" s="1662" t="s">
        <v>2849</v>
      </c>
      <c r="BE74" s="1662" t="s">
        <v>3022</v>
      </c>
      <c r="BF74" s="1662" t="s">
        <v>2898</v>
      </c>
      <c r="BG74" s="1662" t="s">
        <v>2899</v>
      </c>
      <c r="BH74" s="1662" t="s">
        <v>2880</v>
      </c>
      <c r="BI74" s="1662" t="s">
        <v>2881</v>
      </c>
      <c r="BJ74" s="1662" t="s">
        <v>2900</v>
      </c>
      <c r="BK74" s="1662" t="s">
        <v>2842</v>
      </c>
      <c r="BL74" s="1662" t="s">
        <v>2833</v>
      </c>
      <c r="BM74" s="1662" t="s">
        <v>2833</v>
      </c>
      <c r="BN74" s="1665">
        <v>0</v>
      </c>
      <c r="BO74" s="1664">
        <v>41975</v>
      </c>
      <c r="BP74" s="1664">
        <v>44074</v>
      </c>
      <c r="BQ74" s="1662" t="s">
        <v>2855</v>
      </c>
      <c r="BR74" s="1664">
        <v>46387</v>
      </c>
      <c r="BS74" s="1662" t="s">
        <v>2901</v>
      </c>
      <c r="BT74" s="1662" t="s">
        <v>3059</v>
      </c>
      <c r="BU74" s="1665">
        <v>0</v>
      </c>
      <c r="BV74" s="1665">
        <v>0</v>
      </c>
      <c r="BW74" s="1664">
        <v>44104</v>
      </c>
      <c r="BX74" s="1668"/>
      <c r="BY74" s="1662" t="s">
        <v>2096</v>
      </c>
      <c r="BZ74" s="1662" t="s">
        <v>2859</v>
      </c>
      <c r="CA74" s="1662" t="s">
        <v>2859</v>
      </c>
      <c r="CB74" s="1662" t="s">
        <v>2859</v>
      </c>
      <c r="CC74" s="1662" t="s">
        <v>2885</v>
      </c>
      <c r="CD74" s="1724">
        <v>852966.65</v>
      </c>
      <c r="CE74" s="1724">
        <v>835464</v>
      </c>
      <c r="CF74" s="1724">
        <v>710144</v>
      </c>
      <c r="CG74" s="1724">
        <v>85</v>
      </c>
      <c r="CH74" s="1724">
        <v>125320</v>
      </c>
      <c r="CI74" s="1724">
        <v>15</v>
      </c>
      <c r="CJ74" s="1724">
        <v>835464</v>
      </c>
      <c r="CK74" s="1724">
        <v>100</v>
      </c>
      <c r="CL74" s="1725" t="s">
        <v>2861</v>
      </c>
      <c r="CM74" s="1729">
        <v>42944</v>
      </c>
      <c r="CN74" s="1727"/>
      <c r="CO74" s="1728"/>
      <c r="CP74" s="1726"/>
      <c r="CQ74" s="1724">
        <v>710144</v>
      </c>
      <c r="CR74" s="1724">
        <v>710144</v>
      </c>
      <c r="CS74" s="1724">
        <v>0</v>
      </c>
      <c r="CT74" s="1728" t="s">
        <v>2861</v>
      </c>
      <c r="CU74" s="1729">
        <v>42993</v>
      </c>
      <c r="CV74" s="1724">
        <v>835464</v>
      </c>
      <c r="CW74" s="1724">
        <v>0</v>
      </c>
      <c r="CX74" s="1724">
        <v>0</v>
      </c>
      <c r="CY74" s="1724">
        <v>828044</v>
      </c>
      <c r="CZ74" s="1724">
        <v>0</v>
      </c>
      <c r="DA74" s="1724">
        <v>5000</v>
      </c>
      <c r="DB74" s="1724">
        <v>2420</v>
      </c>
      <c r="DC74" s="1724">
        <v>0</v>
      </c>
      <c r="DD74" s="1724">
        <v>835464</v>
      </c>
      <c r="DE74" s="1724">
        <v>710144</v>
      </c>
      <c r="DF74" s="1724">
        <v>710144</v>
      </c>
      <c r="DG74" s="1724">
        <v>0</v>
      </c>
      <c r="DH74" s="1724">
        <v>125320</v>
      </c>
      <c r="DI74" s="1724">
        <v>125320</v>
      </c>
      <c r="DJ74" s="1724">
        <v>62660</v>
      </c>
      <c r="DK74" s="1724">
        <v>62660</v>
      </c>
      <c r="DL74" s="1724">
        <v>0</v>
      </c>
      <c r="DM74" s="1724">
        <v>0</v>
      </c>
      <c r="DN74" s="1724">
        <v>0</v>
      </c>
      <c r="DO74" s="1724">
        <v>0</v>
      </c>
      <c r="DP74" s="1724">
        <v>0</v>
      </c>
      <c r="DQ74" s="1728" t="s">
        <v>2886</v>
      </c>
      <c r="DR74" s="1724">
        <v>0</v>
      </c>
      <c r="DS74" s="1728" t="s">
        <v>2833</v>
      </c>
      <c r="DT74" s="1726"/>
      <c r="DU74" s="1728" t="s">
        <v>2833</v>
      </c>
      <c r="DV74" s="1726"/>
    </row>
    <row r="75" spans="1:126" ht="191.25" x14ac:dyDescent="0.25">
      <c r="A75" s="1662" t="s">
        <v>2141</v>
      </c>
      <c r="B75" s="1662" t="s">
        <v>1722</v>
      </c>
      <c r="C75" s="1662" t="s">
        <v>2631</v>
      </c>
      <c r="D75" s="1662" t="s">
        <v>2632</v>
      </c>
      <c r="E75" s="1662" t="s">
        <v>141</v>
      </c>
      <c r="F75" s="1662" t="s">
        <v>294</v>
      </c>
      <c r="G75" s="1662" t="s">
        <v>2611</v>
      </c>
      <c r="H75" s="1662" t="s">
        <v>2612</v>
      </c>
      <c r="I75" s="1662" t="s">
        <v>2613</v>
      </c>
      <c r="J75" s="1662" t="s">
        <v>1615</v>
      </c>
      <c r="K75" s="1664">
        <v>43130</v>
      </c>
      <c r="L75" s="1664">
        <v>43217</v>
      </c>
      <c r="M75" s="1662" t="s">
        <v>3060</v>
      </c>
      <c r="N75" s="1662" t="s">
        <v>2109</v>
      </c>
      <c r="O75" s="1662" t="s">
        <v>3061</v>
      </c>
      <c r="P75" s="1662" t="s">
        <v>2833</v>
      </c>
      <c r="Q75" s="1662" t="s">
        <v>1741</v>
      </c>
      <c r="R75" s="1662" t="s">
        <v>2833</v>
      </c>
      <c r="S75" s="1662" t="s">
        <v>2833</v>
      </c>
      <c r="T75" s="1662"/>
      <c r="U75" s="1662" t="s">
        <v>2834</v>
      </c>
      <c r="V75" s="1662" t="s">
        <v>2861</v>
      </c>
      <c r="W75" s="1662" t="s">
        <v>2833</v>
      </c>
      <c r="X75" s="1662"/>
      <c r="Y75" s="1662" t="s">
        <v>2833</v>
      </c>
      <c r="Z75" s="1662"/>
      <c r="AA75" s="1662"/>
      <c r="AB75" s="1662" t="s">
        <v>2833</v>
      </c>
      <c r="AC75" s="1662" t="s">
        <v>2833</v>
      </c>
      <c r="AD75" s="1662" t="s">
        <v>2833</v>
      </c>
      <c r="AE75" s="1662"/>
      <c r="AF75" s="1662" t="s">
        <v>2865</v>
      </c>
      <c r="AG75" s="1662" t="s">
        <v>2866</v>
      </c>
      <c r="AH75" s="1662" t="s">
        <v>2867</v>
      </c>
      <c r="AI75" s="1662" t="s">
        <v>2838</v>
      </c>
      <c r="AJ75" s="1662" t="s">
        <v>2839</v>
      </c>
      <c r="AK75" s="1662" t="s">
        <v>3054</v>
      </c>
      <c r="AL75" s="1662" t="s">
        <v>3055</v>
      </c>
      <c r="AM75" s="1665">
        <v>100</v>
      </c>
      <c r="AN75" s="1662"/>
      <c r="AO75" s="1662"/>
      <c r="AP75" s="1662"/>
      <c r="AQ75" s="1662"/>
      <c r="AR75" s="1662"/>
      <c r="AS75" s="1662"/>
      <c r="AT75" s="1662" t="s">
        <v>2842</v>
      </c>
      <c r="AU75" s="1662" t="s">
        <v>2871</v>
      </c>
      <c r="AV75" s="1662" t="s">
        <v>3056</v>
      </c>
      <c r="AW75" s="1662"/>
      <c r="AX75" s="1662" t="s">
        <v>2873</v>
      </c>
      <c r="AY75" s="1662" t="s">
        <v>2874</v>
      </c>
      <c r="AZ75" s="1662" t="s">
        <v>161</v>
      </c>
      <c r="BA75" s="1662" t="s">
        <v>2888</v>
      </c>
      <c r="BB75" s="1662" t="s">
        <v>2833</v>
      </c>
      <c r="BC75" s="1662" t="s">
        <v>2876</v>
      </c>
      <c r="BD75" s="1662" t="s">
        <v>2849</v>
      </c>
      <c r="BE75" s="1662" t="s">
        <v>2889</v>
      </c>
      <c r="BF75" s="1662" t="s">
        <v>2890</v>
      </c>
      <c r="BG75" s="1662" t="s">
        <v>2891</v>
      </c>
      <c r="BH75" s="1662" t="s">
        <v>2880</v>
      </c>
      <c r="BI75" s="1662" t="s">
        <v>2881</v>
      </c>
      <c r="BJ75" s="1662" t="s">
        <v>2892</v>
      </c>
      <c r="BK75" s="1662" t="s">
        <v>2842</v>
      </c>
      <c r="BL75" s="1662" t="s">
        <v>2833</v>
      </c>
      <c r="BM75" s="1662" t="s">
        <v>2833</v>
      </c>
      <c r="BN75" s="1665">
        <v>0</v>
      </c>
      <c r="BO75" s="1664">
        <v>42765</v>
      </c>
      <c r="BP75" s="1664">
        <v>43738</v>
      </c>
      <c r="BQ75" s="1662" t="s">
        <v>2855</v>
      </c>
      <c r="BR75" s="1664">
        <v>46022</v>
      </c>
      <c r="BS75" s="1662" t="s">
        <v>2893</v>
      </c>
      <c r="BT75" s="1662" t="s">
        <v>3062</v>
      </c>
      <c r="BU75" s="1665">
        <v>0</v>
      </c>
      <c r="BV75" s="1665">
        <v>0</v>
      </c>
      <c r="BW75" s="1664">
        <v>43768</v>
      </c>
      <c r="BX75" s="1668"/>
      <c r="BY75" s="1662" t="s">
        <v>2096</v>
      </c>
      <c r="BZ75" s="1662" t="s">
        <v>2859</v>
      </c>
      <c r="CA75" s="1662" t="s">
        <v>2859</v>
      </c>
      <c r="CB75" s="1662" t="s">
        <v>2859</v>
      </c>
      <c r="CC75" s="1662" t="s">
        <v>2885</v>
      </c>
      <c r="CD75" s="1724">
        <v>857560.44</v>
      </c>
      <c r="CE75" s="1724">
        <v>759934</v>
      </c>
      <c r="CF75" s="1724">
        <v>645944</v>
      </c>
      <c r="CG75" s="1724">
        <v>85</v>
      </c>
      <c r="CH75" s="1724">
        <v>113990</v>
      </c>
      <c r="CI75" s="1724">
        <v>15</v>
      </c>
      <c r="CJ75" s="1724">
        <v>759934</v>
      </c>
      <c r="CK75" s="1724">
        <v>100</v>
      </c>
      <c r="CL75" s="1725" t="s">
        <v>2861</v>
      </c>
      <c r="CM75" s="1729">
        <v>43179</v>
      </c>
      <c r="CN75" s="1727"/>
      <c r="CO75" s="1728"/>
      <c r="CP75" s="1726"/>
      <c r="CQ75" s="1724">
        <v>645944</v>
      </c>
      <c r="CR75" s="1724">
        <v>645944</v>
      </c>
      <c r="CS75" s="1724">
        <v>0</v>
      </c>
      <c r="CT75" s="1728" t="s">
        <v>2861</v>
      </c>
      <c r="CU75" s="1729">
        <v>43187</v>
      </c>
      <c r="CV75" s="1724">
        <v>759934</v>
      </c>
      <c r="CW75" s="1724">
        <v>0</v>
      </c>
      <c r="CX75" s="1724">
        <v>0</v>
      </c>
      <c r="CY75" s="1724">
        <v>759934</v>
      </c>
      <c r="CZ75" s="1724">
        <v>0</v>
      </c>
      <c r="DA75" s="1724">
        <v>0</v>
      </c>
      <c r="DB75" s="1724">
        <v>0</v>
      </c>
      <c r="DC75" s="1724">
        <v>0</v>
      </c>
      <c r="DD75" s="1724">
        <v>759934</v>
      </c>
      <c r="DE75" s="1724">
        <v>645944</v>
      </c>
      <c r="DF75" s="1724">
        <v>645944</v>
      </c>
      <c r="DG75" s="1724">
        <v>0</v>
      </c>
      <c r="DH75" s="1724">
        <v>113990</v>
      </c>
      <c r="DI75" s="1724">
        <v>113990</v>
      </c>
      <c r="DJ75" s="1724">
        <v>0</v>
      </c>
      <c r="DK75" s="1724">
        <v>113990</v>
      </c>
      <c r="DL75" s="1724">
        <v>0</v>
      </c>
      <c r="DM75" s="1724">
        <v>0</v>
      </c>
      <c r="DN75" s="1724">
        <v>0</v>
      </c>
      <c r="DO75" s="1724">
        <v>0</v>
      </c>
      <c r="DP75" s="1724">
        <v>0</v>
      </c>
      <c r="DQ75" s="1728" t="s">
        <v>2886</v>
      </c>
      <c r="DR75" s="1724">
        <v>0</v>
      </c>
      <c r="DS75" s="1728" t="s">
        <v>2833</v>
      </c>
      <c r="DT75" s="1726"/>
      <c r="DU75" s="1728" t="s">
        <v>2833</v>
      </c>
      <c r="DV75" s="1726"/>
    </row>
    <row r="76" spans="1:126" ht="101.25" x14ac:dyDescent="0.25">
      <c r="A76" s="1662" t="s">
        <v>2142</v>
      </c>
      <c r="B76" s="1662" t="s">
        <v>1722</v>
      </c>
      <c r="C76" s="1662" t="s">
        <v>2631</v>
      </c>
      <c r="D76" s="1662" t="s">
        <v>2632</v>
      </c>
      <c r="E76" s="1662" t="s">
        <v>141</v>
      </c>
      <c r="F76" s="1662" t="s">
        <v>294</v>
      </c>
      <c r="G76" s="1662" t="s">
        <v>2611</v>
      </c>
      <c r="H76" s="1662" t="s">
        <v>2612</v>
      </c>
      <c r="I76" s="1662" t="s">
        <v>2613</v>
      </c>
      <c r="J76" s="1662" t="s">
        <v>1614</v>
      </c>
      <c r="K76" s="1664">
        <v>43270</v>
      </c>
      <c r="L76" s="1664">
        <v>43367</v>
      </c>
      <c r="M76" s="1662" t="s">
        <v>3063</v>
      </c>
      <c r="N76" s="1662" t="s">
        <v>2109</v>
      </c>
      <c r="O76" s="1662" t="s">
        <v>3064</v>
      </c>
      <c r="P76" s="1662" t="s">
        <v>2833</v>
      </c>
      <c r="Q76" s="1662" t="s">
        <v>1734</v>
      </c>
      <c r="R76" s="1662" t="s">
        <v>2833</v>
      </c>
      <c r="S76" s="1662" t="s">
        <v>2833</v>
      </c>
      <c r="T76" s="1662"/>
      <c r="U76" s="1662" t="s">
        <v>2834</v>
      </c>
      <c r="V76" s="1662" t="s">
        <v>2833</v>
      </c>
      <c r="W76" s="1662" t="s">
        <v>2833</v>
      </c>
      <c r="X76" s="1662"/>
      <c r="Y76" s="1662" t="s">
        <v>2833</v>
      </c>
      <c r="Z76" s="1662"/>
      <c r="AA76" s="1662"/>
      <c r="AB76" s="1662" t="s">
        <v>2833</v>
      </c>
      <c r="AC76" s="1662" t="s">
        <v>2833</v>
      </c>
      <c r="AD76" s="1662" t="s">
        <v>2833</v>
      </c>
      <c r="AE76" s="1662"/>
      <c r="AF76" s="1662" t="s">
        <v>2865</v>
      </c>
      <c r="AG76" s="1662" t="s">
        <v>2866</v>
      </c>
      <c r="AH76" s="1662" t="s">
        <v>2867</v>
      </c>
      <c r="AI76" s="1662" t="s">
        <v>2838</v>
      </c>
      <c r="AJ76" s="1662" t="s">
        <v>2839</v>
      </c>
      <c r="AK76" s="1662" t="s">
        <v>3054</v>
      </c>
      <c r="AL76" s="1662" t="s">
        <v>3055</v>
      </c>
      <c r="AM76" s="1665">
        <v>100</v>
      </c>
      <c r="AN76" s="1662"/>
      <c r="AO76" s="1662"/>
      <c r="AP76" s="1662"/>
      <c r="AQ76" s="1662"/>
      <c r="AR76" s="1662"/>
      <c r="AS76" s="1662"/>
      <c r="AT76" s="1662" t="s">
        <v>2842</v>
      </c>
      <c r="AU76" s="1662" t="s">
        <v>2842</v>
      </c>
      <c r="AV76" s="1662" t="s">
        <v>3056</v>
      </c>
      <c r="AW76" s="1662"/>
      <c r="AX76" s="1662" t="s">
        <v>2873</v>
      </c>
      <c r="AY76" s="1662" t="s">
        <v>2874</v>
      </c>
      <c r="AZ76" s="1662" t="s">
        <v>184</v>
      </c>
      <c r="BA76" s="1662" t="s">
        <v>2904</v>
      </c>
      <c r="BB76" s="1662" t="s">
        <v>2833</v>
      </c>
      <c r="BC76" s="1662" t="s">
        <v>2876</v>
      </c>
      <c r="BD76" s="1662" t="s">
        <v>2849</v>
      </c>
      <c r="BE76" s="1662" t="s">
        <v>2905</v>
      </c>
      <c r="BF76" s="1662" t="s">
        <v>2906</v>
      </c>
      <c r="BG76" s="1662" t="s">
        <v>2907</v>
      </c>
      <c r="BH76" s="1662" t="s">
        <v>2880</v>
      </c>
      <c r="BI76" s="1662" t="s">
        <v>2881</v>
      </c>
      <c r="BJ76" s="1662" t="s">
        <v>2908</v>
      </c>
      <c r="BK76" s="1662" t="s">
        <v>2842</v>
      </c>
      <c r="BL76" s="1662" t="s">
        <v>2833</v>
      </c>
      <c r="BM76" s="1662" t="s">
        <v>2833</v>
      </c>
      <c r="BN76" s="1665">
        <v>0</v>
      </c>
      <c r="BO76" s="1664">
        <v>43123</v>
      </c>
      <c r="BP76" s="1664">
        <v>43738</v>
      </c>
      <c r="BQ76" s="1662" t="s">
        <v>2855</v>
      </c>
      <c r="BR76" s="1664">
        <v>46022</v>
      </c>
      <c r="BS76" s="1662" t="s">
        <v>2883</v>
      </c>
      <c r="BT76" s="1662" t="s">
        <v>3065</v>
      </c>
      <c r="BU76" s="1665">
        <v>30</v>
      </c>
      <c r="BV76" s="1665">
        <v>60253.2</v>
      </c>
      <c r="BW76" s="1664">
        <v>43768</v>
      </c>
      <c r="BX76" s="1668"/>
      <c r="BY76" s="1662" t="s">
        <v>2096</v>
      </c>
      <c r="BZ76" s="1662" t="s">
        <v>2859</v>
      </c>
      <c r="CA76" s="1662" t="s">
        <v>2859</v>
      </c>
      <c r="CB76" s="1662" t="s">
        <v>2859</v>
      </c>
      <c r="CC76" s="1662" t="s">
        <v>2993</v>
      </c>
      <c r="CD76" s="1724">
        <v>298372.40000000002</v>
      </c>
      <c r="CE76" s="1724">
        <v>274817.98</v>
      </c>
      <c r="CF76" s="1724">
        <v>200844</v>
      </c>
      <c r="CG76" s="1724">
        <v>73.08</v>
      </c>
      <c r="CH76" s="1724">
        <v>73973.98</v>
      </c>
      <c r="CI76" s="1724">
        <v>26.92</v>
      </c>
      <c r="CJ76" s="1724">
        <v>274817.98</v>
      </c>
      <c r="CK76" s="1724">
        <v>100</v>
      </c>
      <c r="CL76" s="1725" t="s">
        <v>2861</v>
      </c>
      <c r="CM76" s="1729">
        <v>43329</v>
      </c>
      <c r="CN76" s="1727"/>
      <c r="CO76" s="1728"/>
      <c r="CP76" s="1726"/>
      <c r="CQ76" s="1724">
        <v>200844</v>
      </c>
      <c r="CR76" s="1724">
        <v>200844</v>
      </c>
      <c r="CS76" s="1724">
        <v>0</v>
      </c>
      <c r="CT76" s="1728" t="s">
        <v>2861</v>
      </c>
      <c r="CU76" s="1729">
        <v>43336</v>
      </c>
      <c r="CV76" s="1724">
        <v>274817.98</v>
      </c>
      <c r="CW76" s="1724">
        <v>0</v>
      </c>
      <c r="CX76" s="1724">
        <v>0</v>
      </c>
      <c r="CY76" s="1724">
        <v>274817.98</v>
      </c>
      <c r="CZ76" s="1724">
        <v>0</v>
      </c>
      <c r="DA76" s="1724">
        <v>0</v>
      </c>
      <c r="DB76" s="1724">
        <v>0</v>
      </c>
      <c r="DC76" s="1724">
        <v>0</v>
      </c>
      <c r="DD76" s="1724">
        <v>274817.98</v>
      </c>
      <c r="DE76" s="1724">
        <v>200844</v>
      </c>
      <c r="DF76" s="1724">
        <v>200844</v>
      </c>
      <c r="DG76" s="1724">
        <v>0</v>
      </c>
      <c r="DH76" s="1724">
        <v>73973.98</v>
      </c>
      <c r="DI76" s="1724">
        <v>73973.98</v>
      </c>
      <c r="DJ76" s="1724">
        <v>0</v>
      </c>
      <c r="DK76" s="1724">
        <v>73973.98</v>
      </c>
      <c r="DL76" s="1724">
        <v>0</v>
      </c>
      <c r="DM76" s="1724">
        <v>0</v>
      </c>
      <c r="DN76" s="1724">
        <v>0</v>
      </c>
      <c r="DO76" s="1724">
        <v>0</v>
      </c>
      <c r="DP76" s="1724">
        <v>0</v>
      </c>
      <c r="DQ76" s="1728" t="s">
        <v>2886</v>
      </c>
      <c r="DR76" s="1724">
        <v>0</v>
      </c>
      <c r="DS76" s="1728" t="s">
        <v>2833</v>
      </c>
      <c r="DT76" s="1726"/>
      <c r="DU76" s="1728" t="s">
        <v>2861</v>
      </c>
      <c r="DV76" s="1729">
        <v>43738</v>
      </c>
    </row>
    <row r="77" spans="1:126" x14ac:dyDescent="0.25">
      <c r="A77" s="1662" t="s">
        <v>2143</v>
      </c>
      <c r="B77" s="1662" t="s">
        <v>1725</v>
      </c>
      <c r="C77" s="1662"/>
      <c r="D77" s="1662"/>
      <c r="E77" s="1662"/>
      <c r="F77" s="1662"/>
      <c r="G77" s="1662"/>
      <c r="H77" s="1662"/>
      <c r="I77" s="1662"/>
      <c r="J77" s="1662"/>
      <c r="K77" s="1668"/>
      <c r="L77" s="1668"/>
      <c r="M77" s="1662"/>
      <c r="N77" s="1662"/>
      <c r="O77" s="1662"/>
      <c r="P77" s="1662"/>
      <c r="Q77" s="1662"/>
      <c r="R77" s="1662"/>
      <c r="S77" s="1662"/>
      <c r="T77" s="1662"/>
      <c r="U77" s="1662"/>
      <c r="V77" s="1662"/>
      <c r="W77" s="1662"/>
      <c r="X77" s="1662"/>
      <c r="Y77" s="1662"/>
      <c r="Z77" s="1662"/>
      <c r="AA77" s="1662"/>
      <c r="AB77" s="1662"/>
      <c r="AC77" s="1662"/>
      <c r="AD77" s="1662"/>
      <c r="AE77" s="1662"/>
      <c r="AF77" s="1662"/>
      <c r="AG77" s="1662"/>
      <c r="AH77" s="1662"/>
      <c r="AI77" s="1662"/>
      <c r="AJ77" s="1662"/>
      <c r="AK77" s="1662"/>
      <c r="AL77" s="1662"/>
      <c r="AM77" s="1663"/>
      <c r="AN77" s="1662"/>
      <c r="AO77" s="1662"/>
      <c r="AP77" s="1662"/>
      <c r="AQ77" s="1662"/>
      <c r="AR77" s="1662"/>
      <c r="AS77" s="1662"/>
      <c r="AT77" s="1662"/>
      <c r="AU77" s="1662"/>
      <c r="AV77" s="1662"/>
      <c r="AW77" s="1662"/>
      <c r="AX77" s="1662"/>
      <c r="AY77" s="1662"/>
      <c r="AZ77" s="1662"/>
      <c r="BA77" s="1662"/>
      <c r="BB77" s="1662"/>
      <c r="BC77" s="1662"/>
      <c r="BD77" s="1662"/>
      <c r="BE77" s="1662"/>
      <c r="BF77" s="1662"/>
      <c r="BG77" s="1662"/>
      <c r="BH77" s="1662"/>
      <c r="BI77" s="1662"/>
      <c r="BJ77" s="1662"/>
      <c r="BK77" s="1662"/>
      <c r="BL77" s="1662"/>
      <c r="BM77" s="1662"/>
      <c r="BN77" s="1663"/>
      <c r="BO77" s="1668"/>
      <c r="BP77" s="1668"/>
      <c r="BQ77" s="1662"/>
      <c r="BR77" s="1668"/>
      <c r="BS77" s="1662"/>
      <c r="BT77" s="1662"/>
      <c r="BU77" s="1663"/>
      <c r="BV77" s="1665">
        <v>1598308</v>
      </c>
      <c r="BW77" s="1668"/>
      <c r="BX77" s="1668"/>
      <c r="BY77" s="1662"/>
      <c r="BZ77" s="1662"/>
      <c r="CA77" s="1662"/>
      <c r="CB77" s="1662"/>
      <c r="CC77" s="1662"/>
      <c r="CD77" s="1724">
        <v>7003928.6200000001</v>
      </c>
      <c r="CE77" s="1724">
        <v>6681630.5099999998</v>
      </c>
      <c r="CF77" s="1724">
        <v>5399693.2999999998</v>
      </c>
      <c r="CG77" s="1724">
        <v>80.81</v>
      </c>
      <c r="CH77" s="1724">
        <v>1281937.21</v>
      </c>
      <c r="CI77" s="1724">
        <v>19.190000000000001</v>
      </c>
      <c r="CJ77" s="1724">
        <v>6681630.5099999998</v>
      </c>
      <c r="CK77" s="1724">
        <v>100</v>
      </c>
      <c r="CL77" s="1725"/>
      <c r="CM77" s="1726"/>
      <c r="CN77" s="1727"/>
      <c r="CO77" s="1728"/>
      <c r="CP77" s="1726"/>
      <c r="CQ77" s="1724">
        <v>5327693.3</v>
      </c>
      <c r="CR77" s="1724">
        <v>4958018.13</v>
      </c>
      <c r="CS77" s="1724">
        <v>369675.17</v>
      </c>
      <c r="CT77" s="1728"/>
      <c r="CU77" s="1726"/>
      <c r="CV77" s="1724">
        <v>6723591.7999999998</v>
      </c>
      <c r="CW77" s="1724">
        <v>0</v>
      </c>
      <c r="CX77" s="1724">
        <v>0</v>
      </c>
      <c r="CY77" s="1724">
        <v>5944248.7599999998</v>
      </c>
      <c r="CZ77" s="1724">
        <v>713373.47</v>
      </c>
      <c r="DA77" s="1724">
        <v>8420</v>
      </c>
      <c r="DB77" s="1724">
        <v>1895.93</v>
      </c>
      <c r="DC77" s="1724">
        <v>55653.64</v>
      </c>
      <c r="DD77" s="1724">
        <v>6723591.7999999998</v>
      </c>
      <c r="DE77" s="1724">
        <v>5327693.3</v>
      </c>
      <c r="DF77" s="1724">
        <v>4958018.13</v>
      </c>
      <c r="DG77" s="1724">
        <v>369675.17</v>
      </c>
      <c r="DH77" s="1724">
        <v>1395898.5</v>
      </c>
      <c r="DI77" s="1724">
        <v>1395898.5</v>
      </c>
      <c r="DJ77" s="1724">
        <v>352400.82</v>
      </c>
      <c r="DK77" s="1724">
        <v>1043497.68</v>
      </c>
      <c r="DL77" s="1724">
        <v>0</v>
      </c>
      <c r="DM77" s="1724">
        <v>0</v>
      </c>
      <c r="DN77" s="1724">
        <v>0</v>
      </c>
      <c r="DO77" s="1724">
        <v>0</v>
      </c>
      <c r="DP77" s="1724">
        <v>0</v>
      </c>
      <c r="DQ77" s="1728"/>
      <c r="DR77" s="1727"/>
      <c r="DS77" s="1728"/>
      <c r="DT77" s="1726"/>
      <c r="DU77" s="1728"/>
      <c r="DV77" s="1726"/>
    </row>
    <row r="78" spans="1:126" x14ac:dyDescent="0.25">
      <c r="A78" s="1662" t="s">
        <v>2144</v>
      </c>
      <c r="B78" s="1662" t="s">
        <v>1725</v>
      </c>
      <c r="C78" s="1662" t="s">
        <v>2633</v>
      </c>
      <c r="D78" s="1662"/>
      <c r="E78" s="1662"/>
      <c r="F78" s="1662"/>
      <c r="G78" s="1662"/>
      <c r="H78" s="1662"/>
      <c r="I78" s="1662"/>
      <c r="J78" s="1662"/>
      <c r="K78" s="1668"/>
      <c r="L78" s="1668"/>
      <c r="M78" s="1662"/>
      <c r="N78" s="1662"/>
      <c r="O78" s="1662"/>
      <c r="P78" s="1662"/>
      <c r="Q78" s="1662"/>
      <c r="R78" s="1662"/>
      <c r="S78" s="1662"/>
      <c r="T78" s="1662"/>
      <c r="U78" s="1662"/>
      <c r="V78" s="1662"/>
      <c r="W78" s="1662"/>
      <c r="X78" s="1662"/>
      <c r="Y78" s="1662"/>
      <c r="Z78" s="1662"/>
      <c r="AA78" s="1662"/>
      <c r="AB78" s="1662"/>
      <c r="AC78" s="1662"/>
      <c r="AD78" s="1662"/>
      <c r="AE78" s="1662"/>
      <c r="AF78" s="1662"/>
      <c r="AG78" s="1662"/>
      <c r="AH78" s="1662"/>
      <c r="AI78" s="1662"/>
      <c r="AJ78" s="1662"/>
      <c r="AK78" s="1662"/>
      <c r="AL78" s="1662"/>
      <c r="AM78" s="1663"/>
      <c r="AN78" s="1662"/>
      <c r="AO78" s="1662"/>
      <c r="AP78" s="1662"/>
      <c r="AQ78" s="1662"/>
      <c r="AR78" s="1662"/>
      <c r="AS78" s="1662"/>
      <c r="AT78" s="1662"/>
      <c r="AU78" s="1662"/>
      <c r="AV78" s="1662"/>
      <c r="AW78" s="1662"/>
      <c r="AX78" s="1662"/>
      <c r="AY78" s="1662"/>
      <c r="AZ78" s="1662"/>
      <c r="BA78" s="1662"/>
      <c r="BB78" s="1662"/>
      <c r="BC78" s="1662"/>
      <c r="BD78" s="1662"/>
      <c r="BE78" s="1662"/>
      <c r="BF78" s="1662"/>
      <c r="BG78" s="1662"/>
      <c r="BH78" s="1662"/>
      <c r="BI78" s="1662"/>
      <c r="BJ78" s="1662"/>
      <c r="BK78" s="1662"/>
      <c r="BL78" s="1662"/>
      <c r="BM78" s="1662"/>
      <c r="BN78" s="1663"/>
      <c r="BO78" s="1668"/>
      <c r="BP78" s="1668"/>
      <c r="BQ78" s="1662"/>
      <c r="BR78" s="1668"/>
      <c r="BS78" s="1662"/>
      <c r="BT78" s="1662"/>
      <c r="BU78" s="1663"/>
      <c r="BV78" s="1665">
        <v>1598308</v>
      </c>
      <c r="BW78" s="1668"/>
      <c r="BX78" s="1668"/>
      <c r="BY78" s="1662"/>
      <c r="BZ78" s="1662"/>
      <c r="CA78" s="1662"/>
      <c r="CB78" s="1662"/>
      <c r="CC78" s="1662"/>
      <c r="CD78" s="1724">
        <v>7003928.6200000001</v>
      </c>
      <c r="CE78" s="1724">
        <v>6681630.5099999998</v>
      </c>
      <c r="CF78" s="1724">
        <v>5399693.2999999998</v>
      </c>
      <c r="CG78" s="1724">
        <v>80.81</v>
      </c>
      <c r="CH78" s="1724">
        <v>1281937.21</v>
      </c>
      <c r="CI78" s="1724">
        <v>19.190000000000001</v>
      </c>
      <c r="CJ78" s="1724">
        <v>6681630.5099999998</v>
      </c>
      <c r="CK78" s="1724">
        <v>100</v>
      </c>
      <c r="CL78" s="1725"/>
      <c r="CM78" s="1726"/>
      <c r="CN78" s="1727"/>
      <c r="CO78" s="1728"/>
      <c r="CP78" s="1726"/>
      <c r="CQ78" s="1724">
        <v>5327693.3</v>
      </c>
      <c r="CR78" s="1724">
        <v>4958018.13</v>
      </c>
      <c r="CS78" s="1724">
        <v>369675.17</v>
      </c>
      <c r="CT78" s="1728"/>
      <c r="CU78" s="1726"/>
      <c r="CV78" s="1724">
        <v>6723591.7999999998</v>
      </c>
      <c r="CW78" s="1724">
        <v>0</v>
      </c>
      <c r="CX78" s="1724">
        <v>0</v>
      </c>
      <c r="CY78" s="1724">
        <v>5944248.7599999998</v>
      </c>
      <c r="CZ78" s="1724">
        <v>713373.47</v>
      </c>
      <c r="DA78" s="1724">
        <v>8420</v>
      </c>
      <c r="DB78" s="1724">
        <v>1895.93</v>
      </c>
      <c r="DC78" s="1724">
        <v>55653.64</v>
      </c>
      <c r="DD78" s="1724">
        <v>6723591.7999999998</v>
      </c>
      <c r="DE78" s="1724">
        <v>5327693.3</v>
      </c>
      <c r="DF78" s="1724">
        <v>4958018.13</v>
      </c>
      <c r="DG78" s="1724">
        <v>369675.17</v>
      </c>
      <c r="DH78" s="1724">
        <v>1395898.5</v>
      </c>
      <c r="DI78" s="1724">
        <v>1395898.5</v>
      </c>
      <c r="DJ78" s="1724">
        <v>352400.82</v>
      </c>
      <c r="DK78" s="1724">
        <v>1043497.68</v>
      </c>
      <c r="DL78" s="1724">
        <v>0</v>
      </c>
      <c r="DM78" s="1724">
        <v>0</v>
      </c>
      <c r="DN78" s="1724">
        <v>0</v>
      </c>
      <c r="DO78" s="1724">
        <v>0</v>
      </c>
      <c r="DP78" s="1724">
        <v>0</v>
      </c>
      <c r="DQ78" s="1728"/>
      <c r="DR78" s="1727"/>
      <c r="DS78" s="1728"/>
      <c r="DT78" s="1726"/>
      <c r="DU78" s="1728"/>
      <c r="DV78" s="1726"/>
    </row>
    <row r="79" spans="1:126" ht="22.5" x14ac:dyDescent="0.25">
      <c r="A79" s="1662" t="s">
        <v>2066</v>
      </c>
      <c r="B79" s="1662" t="s">
        <v>1725</v>
      </c>
      <c r="C79" s="1662" t="s">
        <v>2633</v>
      </c>
      <c r="D79" s="1662" t="s">
        <v>2634</v>
      </c>
      <c r="E79" s="1662"/>
      <c r="F79" s="1662"/>
      <c r="G79" s="1662"/>
      <c r="H79" s="1662"/>
      <c r="I79" s="1662"/>
      <c r="J79" s="1662"/>
      <c r="K79" s="1668"/>
      <c r="L79" s="1668"/>
      <c r="M79" s="1662"/>
      <c r="N79" s="1662"/>
      <c r="O79" s="1662"/>
      <c r="P79" s="1662"/>
      <c r="Q79" s="1662"/>
      <c r="R79" s="1662"/>
      <c r="S79" s="1662"/>
      <c r="T79" s="1662"/>
      <c r="U79" s="1662"/>
      <c r="V79" s="1662"/>
      <c r="W79" s="1662"/>
      <c r="X79" s="1662"/>
      <c r="Y79" s="1662"/>
      <c r="Z79" s="1662"/>
      <c r="AA79" s="1662"/>
      <c r="AB79" s="1662"/>
      <c r="AC79" s="1662"/>
      <c r="AD79" s="1662"/>
      <c r="AE79" s="1662"/>
      <c r="AF79" s="1662"/>
      <c r="AG79" s="1662"/>
      <c r="AH79" s="1662"/>
      <c r="AI79" s="1662"/>
      <c r="AJ79" s="1662"/>
      <c r="AK79" s="1662"/>
      <c r="AL79" s="1662"/>
      <c r="AM79" s="1663"/>
      <c r="AN79" s="1662"/>
      <c r="AO79" s="1662"/>
      <c r="AP79" s="1662"/>
      <c r="AQ79" s="1662"/>
      <c r="AR79" s="1662"/>
      <c r="AS79" s="1662"/>
      <c r="AT79" s="1662"/>
      <c r="AU79" s="1662"/>
      <c r="AV79" s="1662"/>
      <c r="AW79" s="1662"/>
      <c r="AX79" s="1662"/>
      <c r="AY79" s="1662"/>
      <c r="AZ79" s="1662"/>
      <c r="BA79" s="1662"/>
      <c r="BB79" s="1662"/>
      <c r="BC79" s="1662"/>
      <c r="BD79" s="1662"/>
      <c r="BE79" s="1662"/>
      <c r="BF79" s="1662"/>
      <c r="BG79" s="1662"/>
      <c r="BH79" s="1662"/>
      <c r="BI79" s="1662"/>
      <c r="BJ79" s="1662"/>
      <c r="BK79" s="1662"/>
      <c r="BL79" s="1662"/>
      <c r="BM79" s="1662"/>
      <c r="BN79" s="1663"/>
      <c r="BO79" s="1668"/>
      <c r="BP79" s="1668"/>
      <c r="BQ79" s="1662"/>
      <c r="BR79" s="1668"/>
      <c r="BS79" s="1662"/>
      <c r="BT79" s="1662"/>
      <c r="BU79" s="1663"/>
      <c r="BV79" s="1665">
        <v>1598308</v>
      </c>
      <c r="BW79" s="1668"/>
      <c r="BX79" s="1668"/>
      <c r="BY79" s="1662"/>
      <c r="BZ79" s="1662"/>
      <c r="CA79" s="1662"/>
      <c r="CB79" s="1662"/>
      <c r="CC79" s="1662"/>
      <c r="CD79" s="1724">
        <v>7003928.6200000001</v>
      </c>
      <c r="CE79" s="1724">
        <v>6681630.5099999998</v>
      </c>
      <c r="CF79" s="1724">
        <v>5399693.2999999998</v>
      </c>
      <c r="CG79" s="1724">
        <v>80.81</v>
      </c>
      <c r="CH79" s="1724">
        <v>1281937.21</v>
      </c>
      <c r="CI79" s="1724">
        <v>19.190000000000001</v>
      </c>
      <c r="CJ79" s="1724">
        <v>6681630.5099999998</v>
      </c>
      <c r="CK79" s="1724">
        <v>100</v>
      </c>
      <c r="CL79" s="1725"/>
      <c r="CM79" s="1726"/>
      <c r="CN79" s="1727"/>
      <c r="CO79" s="1728"/>
      <c r="CP79" s="1726"/>
      <c r="CQ79" s="1724">
        <v>5327693.3</v>
      </c>
      <c r="CR79" s="1724">
        <v>4958018.13</v>
      </c>
      <c r="CS79" s="1724">
        <v>369675.17</v>
      </c>
      <c r="CT79" s="1728"/>
      <c r="CU79" s="1726"/>
      <c r="CV79" s="1724">
        <v>6723591.7999999998</v>
      </c>
      <c r="CW79" s="1724">
        <v>0</v>
      </c>
      <c r="CX79" s="1724">
        <v>0</v>
      </c>
      <c r="CY79" s="1724">
        <v>5944248.7599999998</v>
      </c>
      <c r="CZ79" s="1724">
        <v>713373.47</v>
      </c>
      <c r="DA79" s="1724">
        <v>8420</v>
      </c>
      <c r="DB79" s="1724">
        <v>1895.93</v>
      </c>
      <c r="DC79" s="1724">
        <v>55653.64</v>
      </c>
      <c r="DD79" s="1724">
        <v>6723591.7999999998</v>
      </c>
      <c r="DE79" s="1724">
        <v>5327693.3</v>
      </c>
      <c r="DF79" s="1724">
        <v>4958018.13</v>
      </c>
      <c r="DG79" s="1724">
        <v>369675.17</v>
      </c>
      <c r="DH79" s="1724">
        <v>1395898.5</v>
      </c>
      <c r="DI79" s="1724">
        <v>1395898.5</v>
      </c>
      <c r="DJ79" s="1724">
        <v>352400.82</v>
      </c>
      <c r="DK79" s="1724">
        <v>1043497.68</v>
      </c>
      <c r="DL79" s="1724">
        <v>0</v>
      </c>
      <c r="DM79" s="1724">
        <v>0</v>
      </c>
      <c r="DN79" s="1724">
        <v>0</v>
      </c>
      <c r="DO79" s="1724">
        <v>0</v>
      </c>
      <c r="DP79" s="1724">
        <v>0</v>
      </c>
      <c r="DQ79" s="1728"/>
      <c r="DR79" s="1727"/>
      <c r="DS79" s="1728"/>
      <c r="DT79" s="1726"/>
      <c r="DU79" s="1728"/>
      <c r="DV79" s="1726"/>
    </row>
    <row r="80" spans="1:126" ht="22.5" x14ac:dyDescent="0.25">
      <c r="A80" s="1662" t="s">
        <v>2067</v>
      </c>
      <c r="B80" s="1662" t="s">
        <v>1725</v>
      </c>
      <c r="C80" s="1662" t="s">
        <v>2633</v>
      </c>
      <c r="D80" s="1662" t="s">
        <v>2634</v>
      </c>
      <c r="E80" s="1662" t="s">
        <v>145</v>
      </c>
      <c r="F80" s="1662" t="s">
        <v>379</v>
      </c>
      <c r="G80" s="1662"/>
      <c r="H80" s="1662"/>
      <c r="I80" s="1662"/>
      <c r="J80" s="1662"/>
      <c r="K80" s="1668"/>
      <c r="L80" s="1668"/>
      <c r="M80" s="1662"/>
      <c r="N80" s="1662"/>
      <c r="O80" s="1662"/>
      <c r="P80" s="1662"/>
      <c r="Q80" s="1662"/>
      <c r="R80" s="1662"/>
      <c r="S80" s="1662"/>
      <c r="T80" s="1662"/>
      <c r="U80" s="1662"/>
      <c r="V80" s="1662"/>
      <c r="W80" s="1662"/>
      <c r="X80" s="1662"/>
      <c r="Y80" s="1662"/>
      <c r="Z80" s="1662"/>
      <c r="AA80" s="1662"/>
      <c r="AB80" s="1662"/>
      <c r="AC80" s="1662"/>
      <c r="AD80" s="1662"/>
      <c r="AE80" s="1662"/>
      <c r="AF80" s="1662"/>
      <c r="AG80" s="1662"/>
      <c r="AH80" s="1662"/>
      <c r="AI80" s="1662"/>
      <c r="AJ80" s="1662"/>
      <c r="AK80" s="1662"/>
      <c r="AL80" s="1662"/>
      <c r="AM80" s="1663"/>
      <c r="AN80" s="1662"/>
      <c r="AO80" s="1662"/>
      <c r="AP80" s="1662"/>
      <c r="AQ80" s="1662"/>
      <c r="AR80" s="1662"/>
      <c r="AS80" s="1662"/>
      <c r="AT80" s="1662"/>
      <c r="AU80" s="1662"/>
      <c r="AV80" s="1662"/>
      <c r="AW80" s="1662"/>
      <c r="AX80" s="1662"/>
      <c r="AY80" s="1662"/>
      <c r="AZ80" s="1662"/>
      <c r="BA80" s="1662"/>
      <c r="BB80" s="1662"/>
      <c r="BC80" s="1662"/>
      <c r="BD80" s="1662"/>
      <c r="BE80" s="1662"/>
      <c r="BF80" s="1662"/>
      <c r="BG80" s="1662"/>
      <c r="BH80" s="1662"/>
      <c r="BI80" s="1662"/>
      <c r="BJ80" s="1662"/>
      <c r="BK80" s="1662"/>
      <c r="BL80" s="1662"/>
      <c r="BM80" s="1662"/>
      <c r="BN80" s="1663"/>
      <c r="BO80" s="1668"/>
      <c r="BP80" s="1668"/>
      <c r="BQ80" s="1662"/>
      <c r="BR80" s="1668"/>
      <c r="BS80" s="1662"/>
      <c r="BT80" s="1662"/>
      <c r="BU80" s="1663"/>
      <c r="BV80" s="1665">
        <v>1050979.99</v>
      </c>
      <c r="BW80" s="1668"/>
      <c r="BX80" s="1668"/>
      <c r="BY80" s="1662"/>
      <c r="BZ80" s="1662"/>
      <c r="CA80" s="1662"/>
      <c r="CB80" s="1662"/>
      <c r="CC80" s="1662"/>
      <c r="CD80" s="1724">
        <v>4148400</v>
      </c>
      <c r="CE80" s="1724">
        <v>3932465.29</v>
      </c>
      <c r="CF80" s="1724">
        <v>3503266.63</v>
      </c>
      <c r="CG80" s="1724">
        <v>89.09</v>
      </c>
      <c r="CH80" s="1724">
        <v>429198.66</v>
      </c>
      <c r="CI80" s="1724">
        <v>10.91</v>
      </c>
      <c r="CJ80" s="1724">
        <v>3932465.29</v>
      </c>
      <c r="CK80" s="1724">
        <v>100</v>
      </c>
      <c r="CL80" s="1725"/>
      <c r="CM80" s="1726"/>
      <c r="CN80" s="1727"/>
      <c r="CO80" s="1728"/>
      <c r="CP80" s="1726"/>
      <c r="CQ80" s="1724">
        <v>3503266.63</v>
      </c>
      <c r="CR80" s="1724">
        <v>3184369.54</v>
      </c>
      <c r="CS80" s="1724">
        <v>318897.09000000003</v>
      </c>
      <c r="CT80" s="1728"/>
      <c r="CU80" s="1726"/>
      <c r="CV80" s="1724">
        <v>3932465.29</v>
      </c>
      <c r="CW80" s="1724">
        <v>0</v>
      </c>
      <c r="CX80" s="1724">
        <v>0</v>
      </c>
      <c r="CY80" s="1724">
        <v>3894879.87</v>
      </c>
      <c r="CZ80" s="1724">
        <v>0</v>
      </c>
      <c r="DA80" s="1724">
        <v>0</v>
      </c>
      <c r="DB80" s="1724">
        <v>1222.77</v>
      </c>
      <c r="DC80" s="1724">
        <v>36362.65</v>
      </c>
      <c r="DD80" s="1724">
        <v>3932465.29</v>
      </c>
      <c r="DE80" s="1724">
        <v>3503266.63</v>
      </c>
      <c r="DF80" s="1724">
        <v>3184369.54</v>
      </c>
      <c r="DG80" s="1724">
        <v>318897.09000000003</v>
      </c>
      <c r="DH80" s="1724">
        <v>429198.66</v>
      </c>
      <c r="DI80" s="1724">
        <v>429198.66</v>
      </c>
      <c r="DJ80" s="1724">
        <v>0</v>
      </c>
      <c r="DK80" s="1724">
        <v>429198.66</v>
      </c>
      <c r="DL80" s="1724">
        <v>0</v>
      </c>
      <c r="DM80" s="1724">
        <v>0</v>
      </c>
      <c r="DN80" s="1724">
        <v>0</v>
      </c>
      <c r="DO80" s="1724">
        <v>0</v>
      </c>
      <c r="DP80" s="1724">
        <v>0</v>
      </c>
      <c r="DQ80" s="1728"/>
      <c r="DR80" s="1727"/>
      <c r="DS80" s="1728"/>
      <c r="DT80" s="1726"/>
      <c r="DU80" s="1728"/>
      <c r="DV80" s="1726"/>
    </row>
    <row r="81" spans="1:126" ht="270" x14ac:dyDescent="0.25">
      <c r="A81" s="1662" t="s">
        <v>2146</v>
      </c>
      <c r="B81" s="1662" t="s">
        <v>1725</v>
      </c>
      <c r="C81" s="1662" t="s">
        <v>2633</v>
      </c>
      <c r="D81" s="1662" t="s">
        <v>2634</v>
      </c>
      <c r="E81" s="1662" t="s">
        <v>145</v>
      </c>
      <c r="F81" s="1662" t="s">
        <v>379</v>
      </c>
      <c r="G81" s="1662" t="s">
        <v>2635</v>
      </c>
      <c r="H81" s="1662" t="s">
        <v>2628</v>
      </c>
      <c r="I81" s="1662" t="s">
        <v>2613</v>
      </c>
      <c r="J81" s="1662" t="s">
        <v>720</v>
      </c>
      <c r="K81" s="1664">
        <v>42555</v>
      </c>
      <c r="L81" s="1664">
        <v>42733</v>
      </c>
      <c r="M81" s="1662" t="s">
        <v>303</v>
      </c>
      <c r="N81" s="1662" t="s">
        <v>2109</v>
      </c>
      <c r="O81" s="1662" t="s">
        <v>3066</v>
      </c>
      <c r="P81" s="1662" t="s">
        <v>2833</v>
      </c>
      <c r="Q81" s="1662" t="s">
        <v>1746</v>
      </c>
      <c r="R81" s="1662" t="s">
        <v>2833</v>
      </c>
      <c r="S81" s="1662" t="s">
        <v>2833</v>
      </c>
      <c r="T81" s="1662"/>
      <c r="U81" s="1662" t="s">
        <v>2834</v>
      </c>
      <c r="V81" s="1662" t="s">
        <v>2861</v>
      </c>
      <c r="W81" s="1662" t="s">
        <v>2833</v>
      </c>
      <c r="X81" s="1662"/>
      <c r="Y81" s="1662" t="s">
        <v>2833</v>
      </c>
      <c r="Z81" s="1662"/>
      <c r="AA81" s="1662"/>
      <c r="AB81" s="1662" t="s">
        <v>2833</v>
      </c>
      <c r="AC81" s="1662" t="s">
        <v>2833</v>
      </c>
      <c r="AD81" s="1662" t="s">
        <v>2833</v>
      </c>
      <c r="AE81" s="1662"/>
      <c r="AF81" s="1662" t="s">
        <v>3067</v>
      </c>
      <c r="AG81" s="1662" t="s">
        <v>3068</v>
      </c>
      <c r="AH81" s="1662" t="s">
        <v>2867</v>
      </c>
      <c r="AI81" s="1662" t="s">
        <v>2838</v>
      </c>
      <c r="AJ81" s="1662" t="s">
        <v>2839</v>
      </c>
      <c r="AK81" s="1662" t="s">
        <v>3069</v>
      </c>
      <c r="AL81" s="1662" t="s">
        <v>3070</v>
      </c>
      <c r="AM81" s="1665">
        <v>100</v>
      </c>
      <c r="AN81" s="1662"/>
      <c r="AO81" s="1662"/>
      <c r="AP81" s="1662"/>
      <c r="AQ81" s="1662"/>
      <c r="AR81" s="1662"/>
      <c r="AS81" s="1662"/>
      <c r="AT81" s="1662" t="s">
        <v>2946</v>
      </c>
      <c r="AU81" s="1662" t="s">
        <v>2871</v>
      </c>
      <c r="AV81" s="1662" t="s">
        <v>3071</v>
      </c>
      <c r="AW81" s="1662"/>
      <c r="AX81" s="1662" t="s">
        <v>2989</v>
      </c>
      <c r="AY81" s="1662" t="s">
        <v>2874</v>
      </c>
      <c r="AZ81" s="1662" t="s">
        <v>284</v>
      </c>
      <c r="BA81" s="1662" t="s">
        <v>2896</v>
      </c>
      <c r="BB81" s="1662" t="s">
        <v>2833</v>
      </c>
      <c r="BC81" s="1662" t="s">
        <v>2876</v>
      </c>
      <c r="BD81" s="1662" t="s">
        <v>2849</v>
      </c>
      <c r="BE81" s="1662" t="s">
        <v>3022</v>
      </c>
      <c r="BF81" s="1662" t="s">
        <v>3039</v>
      </c>
      <c r="BG81" s="1662" t="s">
        <v>3024</v>
      </c>
      <c r="BH81" s="1662" t="s">
        <v>2880</v>
      </c>
      <c r="BI81" s="1662" t="s">
        <v>2881</v>
      </c>
      <c r="BJ81" s="1662" t="s">
        <v>2900</v>
      </c>
      <c r="BK81" s="1662" t="s">
        <v>2946</v>
      </c>
      <c r="BL81" s="1662" t="s">
        <v>2833</v>
      </c>
      <c r="BM81" s="1662" t="s">
        <v>2833</v>
      </c>
      <c r="BN81" s="1665">
        <v>0</v>
      </c>
      <c r="BO81" s="1664">
        <v>41969</v>
      </c>
      <c r="BP81" s="1664">
        <v>43354</v>
      </c>
      <c r="BQ81" s="1662" t="s">
        <v>2855</v>
      </c>
      <c r="BR81" s="1664">
        <v>45657</v>
      </c>
      <c r="BS81" s="1662" t="s">
        <v>2901</v>
      </c>
      <c r="BT81" s="1662" t="s">
        <v>3072</v>
      </c>
      <c r="BU81" s="1665">
        <v>30</v>
      </c>
      <c r="BV81" s="1665">
        <v>432325.62</v>
      </c>
      <c r="BW81" s="1664">
        <v>43385</v>
      </c>
      <c r="BX81" s="1668"/>
      <c r="BY81" s="1662" t="s">
        <v>2096</v>
      </c>
      <c r="BZ81" s="1662" t="s">
        <v>2858</v>
      </c>
      <c r="CA81" s="1662" t="s">
        <v>2859</v>
      </c>
      <c r="CB81" s="1662" t="s">
        <v>2859</v>
      </c>
      <c r="CC81" s="1662" t="s">
        <v>2885</v>
      </c>
      <c r="CD81" s="1724">
        <v>1717956.08</v>
      </c>
      <c r="CE81" s="1724">
        <v>1516932.01</v>
      </c>
      <c r="CF81" s="1724">
        <v>1441085.4</v>
      </c>
      <c r="CG81" s="1724">
        <v>95</v>
      </c>
      <c r="CH81" s="1724">
        <v>75846.61</v>
      </c>
      <c r="CI81" s="1724">
        <v>5</v>
      </c>
      <c r="CJ81" s="1724">
        <v>1516932.01</v>
      </c>
      <c r="CK81" s="1724">
        <v>100</v>
      </c>
      <c r="CL81" s="1725" t="s">
        <v>2861</v>
      </c>
      <c r="CM81" s="1729">
        <v>42677</v>
      </c>
      <c r="CN81" s="1727"/>
      <c r="CO81" s="1728"/>
      <c r="CP81" s="1726"/>
      <c r="CQ81" s="1724">
        <v>1441085.4</v>
      </c>
      <c r="CR81" s="1724">
        <v>1289392.2</v>
      </c>
      <c r="CS81" s="1724">
        <v>151693.20000000001</v>
      </c>
      <c r="CT81" s="1728" t="s">
        <v>2861</v>
      </c>
      <c r="CU81" s="1729">
        <v>42699</v>
      </c>
      <c r="CV81" s="1724">
        <v>1516932.01</v>
      </c>
      <c r="CW81" s="1724">
        <v>0</v>
      </c>
      <c r="CX81" s="1724">
        <v>0</v>
      </c>
      <c r="CY81" s="1724">
        <v>1503348.81</v>
      </c>
      <c r="CZ81" s="1724">
        <v>0</v>
      </c>
      <c r="DA81" s="1724">
        <v>0</v>
      </c>
      <c r="DB81" s="1724">
        <v>201.6</v>
      </c>
      <c r="DC81" s="1724">
        <v>13381.6</v>
      </c>
      <c r="DD81" s="1724">
        <v>1516932.01</v>
      </c>
      <c r="DE81" s="1724">
        <v>1441085.4</v>
      </c>
      <c r="DF81" s="1724">
        <v>1289392.2</v>
      </c>
      <c r="DG81" s="1724">
        <v>151693.20000000001</v>
      </c>
      <c r="DH81" s="1724">
        <v>75846.61</v>
      </c>
      <c r="DI81" s="1724">
        <v>75846.61</v>
      </c>
      <c r="DJ81" s="1724">
        <v>0</v>
      </c>
      <c r="DK81" s="1724">
        <v>75846.61</v>
      </c>
      <c r="DL81" s="1724">
        <v>0</v>
      </c>
      <c r="DM81" s="1724">
        <v>0</v>
      </c>
      <c r="DN81" s="1724">
        <v>0</v>
      </c>
      <c r="DO81" s="1724">
        <v>0</v>
      </c>
      <c r="DP81" s="1724">
        <v>0</v>
      </c>
      <c r="DQ81" s="1728" t="s">
        <v>2886</v>
      </c>
      <c r="DR81" s="1724">
        <v>0</v>
      </c>
      <c r="DS81" s="1728" t="s">
        <v>2833</v>
      </c>
      <c r="DT81" s="1726"/>
      <c r="DU81" s="1728" t="s">
        <v>2861</v>
      </c>
      <c r="DV81" s="1729">
        <v>43354</v>
      </c>
    </row>
    <row r="82" spans="1:126" ht="157.5" x14ac:dyDescent="0.25">
      <c r="A82" s="1662" t="s">
        <v>2069</v>
      </c>
      <c r="B82" s="1662" t="s">
        <v>1725</v>
      </c>
      <c r="C82" s="1662" t="s">
        <v>2633</v>
      </c>
      <c r="D82" s="1662" t="s">
        <v>2634</v>
      </c>
      <c r="E82" s="1662" t="s">
        <v>145</v>
      </c>
      <c r="F82" s="1662" t="s">
        <v>379</v>
      </c>
      <c r="G82" s="1662" t="s">
        <v>2635</v>
      </c>
      <c r="H82" s="1662" t="s">
        <v>2628</v>
      </c>
      <c r="I82" s="1662" t="s">
        <v>2613</v>
      </c>
      <c r="J82" s="1662" t="s">
        <v>721</v>
      </c>
      <c r="K82" s="1664">
        <v>42863</v>
      </c>
      <c r="L82" s="1664">
        <v>42984</v>
      </c>
      <c r="M82" s="1662" t="s">
        <v>305</v>
      </c>
      <c r="N82" s="1662" t="s">
        <v>2109</v>
      </c>
      <c r="O82" s="1662" t="s">
        <v>3073</v>
      </c>
      <c r="P82" s="1662" t="s">
        <v>2833</v>
      </c>
      <c r="Q82" s="1662" t="s">
        <v>1750</v>
      </c>
      <c r="R82" s="1662" t="s">
        <v>2833</v>
      </c>
      <c r="S82" s="1662" t="s">
        <v>2833</v>
      </c>
      <c r="T82" s="1662"/>
      <c r="U82" s="1662" t="s">
        <v>2834</v>
      </c>
      <c r="V82" s="1662" t="s">
        <v>2861</v>
      </c>
      <c r="W82" s="1662" t="s">
        <v>2833</v>
      </c>
      <c r="X82" s="1662"/>
      <c r="Y82" s="1662" t="s">
        <v>2833</v>
      </c>
      <c r="Z82" s="1662"/>
      <c r="AA82" s="1662"/>
      <c r="AB82" s="1662" t="s">
        <v>2833</v>
      </c>
      <c r="AC82" s="1662" t="s">
        <v>2833</v>
      </c>
      <c r="AD82" s="1662" t="s">
        <v>2833</v>
      </c>
      <c r="AE82" s="1662"/>
      <c r="AF82" s="1662" t="s">
        <v>3067</v>
      </c>
      <c r="AG82" s="1662" t="s">
        <v>3068</v>
      </c>
      <c r="AH82" s="1662" t="s">
        <v>2867</v>
      </c>
      <c r="AI82" s="1662" t="s">
        <v>2838</v>
      </c>
      <c r="AJ82" s="1662" t="s">
        <v>2839</v>
      </c>
      <c r="AK82" s="1662" t="s">
        <v>3069</v>
      </c>
      <c r="AL82" s="1662" t="s">
        <v>3070</v>
      </c>
      <c r="AM82" s="1665">
        <v>100</v>
      </c>
      <c r="AN82" s="1662"/>
      <c r="AO82" s="1662"/>
      <c r="AP82" s="1662"/>
      <c r="AQ82" s="1662"/>
      <c r="AR82" s="1662"/>
      <c r="AS82" s="1662"/>
      <c r="AT82" s="1662" t="s">
        <v>2946</v>
      </c>
      <c r="AU82" s="1662" t="s">
        <v>2871</v>
      </c>
      <c r="AV82" s="1662" t="s">
        <v>3071</v>
      </c>
      <c r="AW82" s="1662"/>
      <c r="AX82" s="1662" t="s">
        <v>2989</v>
      </c>
      <c r="AY82" s="1662" t="s">
        <v>2874</v>
      </c>
      <c r="AZ82" s="1662" t="s">
        <v>284</v>
      </c>
      <c r="BA82" s="1662" t="s">
        <v>2896</v>
      </c>
      <c r="BB82" s="1662" t="s">
        <v>2833</v>
      </c>
      <c r="BC82" s="1662" t="s">
        <v>2876</v>
      </c>
      <c r="BD82" s="1662" t="s">
        <v>2849</v>
      </c>
      <c r="BE82" s="1662" t="s">
        <v>3022</v>
      </c>
      <c r="BF82" s="1662" t="s">
        <v>3039</v>
      </c>
      <c r="BG82" s="1662" t="s">
        <v>3024</v>
      </c>
      <c r="BH82" s="1662" t="s">
        <v>2880</v>
      </c>
      <c r="BI82" s="1662" t="s">
        <v>2881</v>
      </c>
      <c r="BJ82" s="1662" t="s">
        <v>2900</v>
      </c>
      <c r="BK82" s="1662" t="s">
        <v>2946</v>
      </c>
      <c r="BL82" s="1662" t="s">
        <v>2833</v>
      </c>
      <c r="BM82" s="1662" t="s">
        <v>2833</v>
      </c>
      <c r="BN82" s="1665">
        <v>0</v>
      </c>
      <c r="BO82" s="1664">
        <v>42095</v>
      </c>
      <c r="BP82" s="1664">
        <v>43738</v>
      </c>
      <c r="BQ82" s="1662" t="s">
        <v>2855</v>
      </c>
      <c r="BR82" s="1664">
        <v>46022</v>
      </c>
      <c r="BS82" s="1662" t="s">
        <v>3074</v>
      </c>
      <c r="BT82" s="1662" t="s">
        <v>3075</v>
      </c>
      <c r="BU82" s="1665">
        <v>30</v>
      </c>
      <c r="BV82" s="1665">
        <v>276172.46999999997</v>
      </c>
      <c r="BW82" s="1664">
        <v>43768</v>
      </c>
      <c r="BX82" s="1668"/>
      <c r="BY82" s="1662" t="s">
        <v>2096</v>
      </c>
      <c r="BZ82" s="1662" t="s">
        <v>2858</v>
      </c>
      <c r="CA82" s="1662" t="s">
        <v>2859</v>
      </c>
      <c r="CB82" s="1662" t="s">
        <v>2859</v>
      </c>
      <c r="CC82" s="1662" t="s">
        <v>2993</v>
      </c>
      <c r="CD82" s="1724">
        <v>1004001.13</v>
      </c>
      <c r="CE82" s="1724">
        <v>995216.11</v>
      </c>
      <c r="CF82" s="1724">
        <v>920574.9</v>
      </c>
      <c r="CG82" s="1724">
        <v>92.5</v>
      </c>
      <c r="CH82" s="1724">
        <v>74641.210000000006</v>
      </c>
      <c r="CI82" s="1724">
        <v>7.5</v>
      </c>
      <c r="CJ82" s="1724">
        <v>995216.11</v>
      </c>
      <c r="CK82" s="1724">
        <v>100</v>
      </c>
      <c r="CL82" s="1725" t="s">
        <v>2861</v>
      </c>
      <c r="CM82" s="1729">
        <v>42951</v>
      </c>
      <c r="CN82" s="1727"/>
      <c r="CO82" s="1728"/>
      <c r="CP82" s="1726"/>
      <c r="CQ82" s="1724">
        <v>920574.9</v>
      </c>
      <c r="CR82" s="1724">
        <v>845933.69</v>
      </c>
      <c r="CS82" s="1724">
        <v>74641.210000000006</v>
      </c>
      <c r="CT82" s="1728" t="s">
        <v>2861</v>
      </c>
      <c r="CU82" s="1729">
        <v>42971</v>
      </c>
      <c r="CV82" s="1724">
        <v>995216.11</v>
      </c>
      <c r="CW82" s="1724">
        <v>0</v>
      </c>
      <c r="CX82" s="1724">
        <v>0</v>
      </c>
      <c r="CY82" s="1724">
        <v>986235.22</v>
      </c>
      <c r="CZ82" s="1724">
        <v>0</v>
      </c>
      <c r="DA82" s="1724">
        <v>0</v>
      </c>
      <c r="DB82" s="1724">
        <v>201.6</v>
      </c>
      <c r="DC82" s="1724">
        <v>8779.2900000000009</v>
      </c>
      <c r="DD82" s="1724">
        <v>995216.11</v>
      </c>
      <c r="DE82" s="1724">
        <v>920574.9</v>
      </c>
      <c r="DF82" s="1724">
        <v>845933.69</v>
      </c>
      <c r="DG82" s="1724">
        <v>74641.210000000006</v>
      </c>
      <c r="DH82" s="1724">
        <v>74641.210000000006</v>
      </c>
      <c r="DI82" s="1724">
        <v>74641.210000000006</v>
      </c>
      <c r="DJ82" s="1724">
        <v>0</v>
      </c>
      <c r="DK82" s="1724">
        <v>74641.210000000006</v>
      </c>
      <c r="DL82" s="1724">
        <v>0</v>
      </c>
      <c r="DM82" s="1724">
        <v>0</v>
      </c>
      <c r="DN82" s="1724">
        <v>0</v>
      </c>
      <c r="DO82" s="1724">
        <v>0</v>
      </c>
      <c r="DP82" s="1724">
        <v>0</v>
      </c>
      <c r="DQ82" s="1728" t="s">
        <v>2886</v>
      </c>
      <c r="DR82" s="1724">
        <v>0</v>
      </c>
      <c r="DS82" s="1728" t="s">
        <v>2833</v>
      </c>
      <c r="DT82" s="1726"/>
      <c r="DU82" s="1728" t="s">
        <v>2861</v>
      </c>
      <c r="DV82" s="1729">
        <v>43738</v>
      </c>
    </row>
    <row r="83" spans="1:126" ht="123.75" x14ac:dyDescent="0.25">
      <c r="A83" s="1662" t="s">
        <v>2070</v>
      </c>
      <c r="B83" s="1662" t="s">
        <v>1725</v>
      </c>
      <c r="C83" s="1662" t="s">
        <v>2633</v>
      </c>
      <c r="D83" s="1662" t="s">
        <v>2634</v>
      </c>
      <c r="E83" s="1662" t="s">
        <v>145</v>
      </c>
      <c r="F83" s="1662" t="s">
        <v>379</v>
      </c>
      <c r="G83" s="1662" t="s">
        <v>2635</v>
      </c>
      <c r="H83" s="1662" t="s">
        <v>2628</v>
      </c>
      <c r="I83" s="1662" t="s">
        <v>2613</v>
      </c>
      <c r="J83" s="1662" t="s">
        <v>822</v>
      </c>
      <c r="K83" s="1664">
        <v>43007</v>
      </c>
      <c r="L83" s="1664">
        <v>43105</v>
      </c>
      <c r="M83" s="1662" t="s">
        <v>651</v>
      </c>
      <c r="N83" s="1662" t="s">
        <v>2109</v>
      </c>
      <c r="O83" s="1662" t="s">
        <v>3076</v>
      </c>
      <c r="P83" s="1662" t="s">
        <v>2833</v>
      </c>
      <c r="Q83" s="1662" t="s">
        <v>1747</v>
      </c>
      <c r="R83" s="1662" t="s">
        <v>2833</v>
      </c>
      <c r="S83" s="1662" t="s">
        <v>2833</v>
      </c>
      <c r="T83" s="1662"/>
      <c r="U83" s="1662" t="s">
        <v>2834</v>
      </c>
      <c r="V83" s="1662" t="s">
        <v>2861</v>
      </c>
      <c r="W83" s="1662" t="s">
        <v>2833</v>
      </c>
      <c r="X83" s="1662"/>
      <c r="Y83" s="1662" t="s">
        <v>2833</v>
      </c>
      <c r="Z83" s="1662"/>
      <c r="AA83" s="1662"/>
      <c r="AB83" s="1662" t="s">
        <v>2833</v>
      </c>
      <c r="AC83" s="1662" t="s">
        <v>2833</v>
      </c>
      <c r="AD83" s="1662" t="s">
        <v>2833</v>
      </c>
      <c r="AE83" s="1662"/>
      <c r="AF83" s="1662" t="s">
        <v>3067</v>
      </c>
      <c r="AG83" s="1662" t="s">
        <v>3068</v>
      </c>
      <c r="AH83" s="1662" t="s">
        <v>2867</v>
      </c>
      <c r="AI83" s="1662" t="s">
        <v>2838</v>
      </c>
      <c r="AJ83" s="1662" t="s">
        <v>2839</v>
      </c>
      <c r="AK83" s="1662" t="s">
        <v>3069</v>
      </c>
      <c r="AL83" s="1662" t="s">
        <v>3070</v>
      </c>
      <c r="AM83" s="1665">
        <v>100</v>
      </c>
      <c r="AN83" s="1662"/>
      <c r="AO83" s="1662"/>
      <c r="AP83" s="1662"/>
      <c r="AQ83" s="1662"/>
      <c r="AR83" s="1662"/>
      <c r="AS83" s="1662"/>
      <c r="AT83" s="1662" t="s">
        <v>2946</v>
      </c>
      <c r="AU83" s="1662" t="s">
        <v>2871</v>
      </c>
      <c r="AV83" s="1662" t="s">
        <v>3071</v>
      </c>
      <c r="AW83" s="1662"/>
      <c r="AX83" s="1662" t="s">
        <v>2989</v>
      </c>
      <c r="AY83" s="1662" t="s">
        <v>2874</v>
      </c>
      <c r="AZ83" s="1662" t="s">
        <v>284</v>
      </c>
      <c r="BA83" s="1662" t="s">
        <v>2896</v>
      </c>
      <c r="BB83" s="1662" t="s">
        <v>2833</v>
      </c>
      <c r="BC83" s="1662" t="s">
        <v>2876</v>
      </c>
      <c r="BD83" s="1662" t="s">
        <v>2849</v>
      </c>
      <c r="BE83" s="1662" t="s">
        <v>3022</v>
      </c>
      <c r="BF83" s="1662" t="s">
        <v>3039</v>
      </c>
      <c r="BG83" s="1662" t="s">
        <v>3024</v>
      </c>
      <c r="BH83" s="1662" t="s">
        <v>2880</v>
      </c>
      <c r="BI83" s="1662" t="s">
        <v>2881</v>
      </c>
      <c r="BJ83" s="1662" t="s">
        <v>2900</v>
      </c>
      <c r="BK83" s="1662" t="s">
        <v>2946</v>
      </c>
      <c r="BL83" s="1662" t="s">
        <v>2833</v>
      </c>
      <c r="BM83" s="1662" t="s">
        <v>2833</v>
      </c>
      <c r="BN83" s="1665">
        <v>0</v>
      </c>
      <c r="BO83" s="1664">
        <v>42796</v>
      </c>
      <c r="BP83" s="1664">
        <v>43769</v>
      </c>
      <c r="BQ83" s="1662" t="s">
        <v>2855</v>
      </c>
      <c r="BR83" s="1664">
        <v>46022</v>
      </c>
      <c r="BS83" s="1662" t="s">
        <v>2883</v>
      </c>
      <c r="BT83" s="1662" t="s">
        <v>3077</v>
      </c>
      <c r="BU83" s="1665">
        <v>30</v>
      </c>
      <c r="BV83" s="1665">
        <v>167656.9</v>
      </c>
      <c r="BW83" s="1664">
        <v>43799</v>
      </c>
      <c r="BX83" s="1668"/>
      <c r="BY83" s="1662" t="s">
        <v>2096</v>
      </c>
      <c r="BZ83" s="1662" t="s">
        <v>2858</v>
      </c>
      <c r="CA83" s="1662" t="s">
        <v>2859</v>
      </c>
      <c r="CB83" s="1662" t="s">
        <v>2859</v>
      </c>
      <c r="CC83" s="1662" t="s">
        <v>2993</v>
      </c>
      <c r="CD83" s="1724">
        <v>763371.63</v>
      </c>
      <c r="CE83" s="1724">
        <v>757246.01</v>
      </c>
      <c r="CF83" s="1724">
        <v>558856.32999999996</v>
      </c>
      <c r="CG83" s="1724">
        <v>73.8</v>
      </c>
      <c r="CH83" s="1724">
        <v>198389.68</v>
      </c>
      <c r="CI83" s="1724">
        <v>26.2</v>
      </c>
      <c r="CJ83" s="1724">
        <v>757246.01</v>
      </c>
      <c r="CK83" s="1724">
        <v>100</v>
      </c>
      <c r="CL83" s="1725" t="s">
        <v>2861</v>
      </c>
      <c r="CM83" s="1729">
        <v>43063</v>
      </c>
      <c r="CN83" s="1727"/>
      <c r="CO83" s="1728"/>
      <c r="CP83" s="1726"/>
      <c r="CQ83" s="1724">
        <v>558856.32999999996</v>
      </c>
      <c r="CR83" s="1724">
        <v>513543.65</v>
      </c>
      <c r="CS83" s="1724">
        <v>45312.68</v>
      </c>
      <c r="CT83" s="1728" t="s">
        <v>2861</v>
      </c>
      <c r="CU83" s="1729">
        <v>43084</v>
      </c>
      <c r="CV83" s="1724">
        <v>757246.01</v>
      </c>
      <c r="CW83" s="1724">
        <v>0</v>
      </c>
      <c r="CX83" s="1724">
        <v>0</v>
      </c>
      <c r="CY83" s="1724">
        <v>749474.3</v>
      </c>
      <c r="CZ83" s="1724">
        <v>0</v>
      </c>
      <c r="DA83" s="1724">
        <v>0</v>
      </c>
      <c r="DB83" s="1724">
        <v>200</v>
      </c>
      <c r="DC83" s="1724">
        <v>7571.71</v>
      </c>
      <c r="DD83" s="1724">
        <v>757246.01</v>
      </c>
      <c r="DE83" s="1724">
        <v>558856.32999999996</v>
      </c>
      <c r="DF83" s="1724">
        <v>513543.65</v>
      </c>
      <c r="DG83" s="1724">
        <v>45312.68</v>
      </c>
      <c r="DH83" s="1724">
        <v>198389.68</v>
      </c>
      <c r="DI83" s="1724">
        <v>198389.68</v>
      </c>
      <c r="DJ83" s="1724">
        <v>0</v>
      </c>
      <c r="DK83" s="1724">
        <v>198389.68</v>
      </c>
      <c r="DL83" s="1724">
        <v>0</v>
      </c>
      <c r="DM83" s="1724">
        <v>0</v>
      </c>
      <c r="DN83" s="1724">
        <v>0</v>
      </c>
      <c r="DO83" s="1724">
        <v>0</v>
      </c>
      <c r="DP83" s="1724">
        <v>0</v>
      </c>
      <c r="DQ83" s="1728" t="s">
        <v>2886</v>
      </c>
      <c r="DR83" s="1724">
        <v>0</v>
      </c>
      <c r="DS83" s="1728" t="s">
        <v>2861</v>
      </c>
      <c r="DT83" s="1726" t="s">
        <v>3078</v>
      </c>
      <c r="DU83" s="1728" t="s">
        <v>2861</v>
      </c>
      <c r="DV83" s="1729">
        <v>43769</v>
      </c>
    </row>
    <row r="84" spans="1:126" ht="123.75" x14ac:dyDescent="0.25">
      <c r="A84" s="1662" t="s">
        <v>2071</v>
      </c>
      <c r="B84" s="1662" t="s">
        <v>1725</v>
      </c>
      <c r="C84" s="1662" t="s">
        <v>2633</v>
      </c>
      <c r="D84" s="1662" t="s">
        <v>2634</v>
      </c>
      <c r="E84" s="1662" t="s">
        <v>145</v>
      </c>
      <c r="F84" s="1662" t="s">
        <v>379</v>
      </c>
      <c r="G84" s="1662" t="s">
        <v>2635</v>
      </c>
      <c r="H84" s="1662" t="s">
        <v>2628</v>
      </c>
      <c r="I84" s="1662" t="s">
        <v>2613</v>
      </c>
      <c r="J84" s="1662" t="s">
        <v>1622</v>
      </c>
      <c r="K84" s="1664">
        <v>43238</v>
      </c>
      <c r="L84" s="1664">
        <v>43321</v>
      </c>
      <c r="M84" s="1662" t="s">
        <v>3079</v>
      </c>
      <c r="N84" s="1662" t="s">
        <v>2109</v>
      </c>
      <c r="O84" s="1662" t="s">
        <v>3080</v>
      </c>
      <c r="P84" s="1662" t="s">
        <v>2833</v>
      </c>
      <c r="Q84" s="1662" t="s">
        <v>1747</v>
      </c>
      <c r="R84" s="1662" t="s">
        <v>2833</v>
      </c>
      <c r="S84" s="1662" t="s">
        <v>2833</v>
      </c>
      <c r="T84" s="1662"/>
      <c r="U84" s="1662" t="s">
        <v>2834</v>
      </c>
      <c r="V84" s="1662" t="s">
        <v>2861</v>
      </c>
      <c r="W84" s="1662" t="s">
        <v>2833</v>
      </c>
      <c r="X84" s="1662"/>
      <c r="Y84" s="1662" t="s">
        <v>2833</v>
      </c>
      <c r="Z84" s="1662"/>
      <c r="AA84" s="1662"/>
      <c r="AB84" s="1662" t="s">
        <v>2833</v>
      </c>
      <c r="AC84" s="1662" t="s">
        <v>2833</v>
      </c>
      <c r="AD84" s="1662" t="s">
        <v>2833</v>
      </c>
      <c r="AE84" s="1662"/>
      <c r="AF84" s="1662" t="s">
        <v>3067</v>
      </c>
      <c r="AG84" s="1662" t="s">
        <v>3068</v>
      </c>
      <c r="AH84" s="1662" t="s">
        <v>2867</v>
      </c>
      <c r="AI84" s="1662" t="s">
        <v>2838</v>
      </c>
      <c r="AJ84" s="1662" t="s">
        <v>2839</v>
      </c>
      <c r="AK84" s="1662" t="s">
        <v>3069</v>
      </c>
      <c r="AL84" s="1662" t="s">
        <v>3070</v>
      </c>
      <c r="AM84" s="1665">
        <v>100</v>
      </c>
      <c r="AN84" s="1662"/>
      <c r="AO84" s="1662"/>
      <c r="AP84" s="1662"/>
      <c r="AQ84" s="1662"/>
      <c r="AR84" s="1662"/>
      <c r="AS84" s="1662"/>
      <c r="AT84" s="1662" t="s">
        <v>2946</v>
      </c>
      <c r="AU84" s="1662" t="s">
        <v>2871</v>
      </c>
      <c r="AV84" s="1662" t="s">
        <v>3071</v>
      </c>
      <c r="AW84" s="1662"/>
      <c r="AX84" s="1662" t="s">
        <v>2989</v>
      </c>
      <c r="AY84" s="1662" t="s">
        <v>2874</v>
      </c>
      <c r="AZ84" s="1662" t="s">
        <v>284</v>
      </c>
      <c r="BA84" s="1662" t="s">
        <v>2896</v>
      </c>
      <c r="BB84" s="1662" t="s">
        <v>2833</v>
      </c>
      <c r="BC84" s="1662" t="s">
        <v>2876</v>
      </c>
      <c r="BD84" s="1662" t="s">
        <v>2849</v>
      </c>
      <c r="BE84" s="1662" t="s">
        <v>3022</v>
      </c>
      <c r="BF84" s="1662" t="s">
        <v>3039</v>
      </c>
      <c r="BG84" s="1662" t="s">
        <v>3024</v>
      </c>
      <c r="BH84" s="1662" t="s">
        <v>2880</v>
      </c>
      <c r="BI84" s="1662" t="s">
        <v>2881</v>
      </c>
      <c r="BJ84" s="1662" t="s">
        <v>2900</v>
      </c>
      <c r="BK84" s="1662" t="s">
        <v>2946</v>
      </c>
      <c r="BL84" s="1662" t="s">
        <v>2833</v>
      </c>
      <c r="BM84" s="1662" t="s">
        <v>2833</v>
      </c>
      <c r="BN84" s="1665">
        <v>0</v>
      </c>
      <c r="BO84" s="1664">
        <v>41967</v>
      </c>
      <c r="BP84" s="1664">
        <v>43982</v>
      </c>
      <c r="BQ84" s="1662" t="s">
        <v>2855</v>
      </c>
      <c r="BR84" s="1664">
        <v>46387</v>
      </c>
      <c r="BS84" s="1662" t="s">
        <v>2883</v>
      </c>
      <c r="BT84" s="1662" t="s">
        <v>3081</v>
      </c>
      <c r="BU84" s="1665">
        <v>30</v>
      </c>
      <c r="BV84" s="1665">
        <v>174825</v>
      </c>
      <c r="BW84" s="1664">
        <v>44012</v>
      </c>
      <c r="BX84" s="1668"/>
      <c r="BY84" s="1662" t="s">
        <v>2096</v>
      </c>
      <c r="BZ84" s="1662" t="s">
        <v>2858</v>
      </c>
      <c r="CA84" s="1662" t="s">
        <v>2859</v>
      </c>
      <c r="CB84" s="1662" t="s">
        <v>2859</v>
      </c>
      <c r="CC84" s="1662" t="s">
        <v>2993</v>
      </c>
      <c r="CD84" s="1724">
        <v>663071.16</v>
      </c>
      <c r="CE84" s="1724">
        <v>663071.16</v>
      </c>
      <c r="CF84" s="1724">
        <v>582750</v>
      </c>
      <c r="CG84" s="1724">
        <v>87.89</v>
      </c>
      <c r="CH84" s="1724">
        <v>80321.16</v>
      </c>
      <c r="CI84" s="1724">
        <v>12.11</v>
      </c>
      <c r="CJ84" s="1724">
        <v>663071.16</v>
      </c>
      <c r="CK84" s="1724">
        <v>100</v>
      </c>
      <c r="CL84" s="1725" t="s">
        <v>2861</v>
      </c>
      <c r="CM84" s="1729">
        <v>43286</v>
      </c>
      <c r="CN84" s="1727"/>
      <c r="CO84" s="1728"/>
      <c r="CP84" s="1726"/>
      <c r="CQ84" s="1724">
        <v>582750</v>
      </c>
      <c r="CR84" s="1724">
        <v>535500</v>
      </c>
      <c r="CS84" s="1724">
        <v>47250</v>
      </c>
      <c r="CT84" s="1728" t="s">
        <v>2861</v>
      </c>
      <c r="CU84" s="1729">
        <v>43304</v>
      </c>
      <c r="CV84" s="1724">
        <v>663071.16</v>
      </c>
      <c r="CW84" s="1724">
        <v>0</v>
      </c>
      <c r="CX84" s="1724">
        <v>0</v>
      </c>
      <c r="CY84" s="1724">
        <v>655821.54</v>
      </c>
      <c r="CZ84" s="1724">
        <v>0</v>
      </c>
      <c r="DA84" s="1724">
        <v>0</v>
      </c>
      <c r="DB84" s="1724">
        <v>619.57000000000005</v>
      </c>
      <c r="DC84" s="1724">
        <v>6630.05</v>
      </c>
      <c r="DD84" s="1724">
        <v>663071.16</v>
      </c>
      <c r="DE84" s="1724">
        <v>582750</v>
      </c>
      <c r="DF84" s="1724">
        <v>535500</v>
      </c>
      <c r="DG84" s="1724">
        <v>47250</v>
      </c>
      <c r="DH84" s="1724">
        <v>80321.16</v>
      </c>
      <c r="DI84" s="1724">
        <v>80321.16</v>
      </c>
      <c r="DJ84" s="1724">
        <v>0</v>
      </c>
      <c r="DK84" s="1724">
        <v>80321.16</v>
      </c>
      <c r="DL84" s="1724">
        <v>0</v>
      </c>
      <c r="DM84" s="1724">
        <v>0</v>
      </c>
      <c r="DN84" s="1724">
        <v>0</v>
      </c>
      <c r="DO84" s="1724">
        <v>0</v>
      </c>
      <c r="DP84" s="1724">
        <v>0</v>
      </c>
      <c r="DQ84" s="1728" t="s">
        <v>2886</v>
      </c>
      <c r="DR84" s="1724">
        <v>0</v>
      </c>
      <c r="DS84" s="1728" t="s">
        <v>2833</v>
      </c>
      <c r="DT84" s="1726"/>
      <c r="DU84" s="1728" t="s">
        <v>2861</v>
      </c>
      <c r="DV84" s="1729">
        <v>43982</v>
      </c>
    </row>
    <row r="85" spans="1:126" ht="33.75" x14ac:dyDescent="0.25">
      <c r="A85" s="1662" t="s">
        <v>2072</v>
      </c>
      <c r="B85" s="1662" t="s">
        <v>1725</v>
      </c>
      <c r="C85" s="1662" t="s">
        <v>2633</v>
      </c>
      <c r="D85" s="1662" t="s">
        <v>2634</v>
      </c>
      <c r="E85" s="1662" t="s">
        <v>268</v>
      </c>
      <c r="F85" s="1662" t="s">
        <v>3082</v>
      </c>
      <c r="G85" s="1662"/>
      <c r="H85" s="1662"/>
      <c r="I85" s="1662"/>
      <c r="J85" s="1662"/>
      <c r="K85" s="1668"/>
      <c r="L85" s="1668"/>
      <c r="M85" s="1662"/>
      <c r="N85" s="1662"/>
      <c r="O85" s="1662"/>
      <c r="P85" s="1662"/>
      <c r="Q85" s="1662"/>
      <c r="R85" s="1662"/>
      <c r="S85" s="1662"/>
      <c r="T85" s="1662"/>
      <c r="U85" s="1662"/>
      <c r="V85" s="1662"/>
      <c r="W85" s="1662"/>
      <c r="X85" s="1662"/>
      <c r="Y85" s="1662"/>
      <c r="Z85" s="1662"/>
      <c r="AA85" s="1662"/>
      <c r="AB85" s="1662"/>
      <c r="AC85" s="1662"/>
      <c r="AD85" s="1662"/>
      <c r="AE85" s="1662"/>
      <c r="AF85" s="1662"/>
      <c r="AG85" s="1662"/>
      <c r="AH85" s="1662"/>
      <c r="AI85" s="1662"/>
      <c r="AJ85" s="1662"/>
      <c r="AK85" s="1662"/>
      <c r="AL85" s="1662"/>
      <c r="AM85" s="1663"/>
      <c r="AN85" s="1662"/>
      <c r="AO85" s="1662"/>
      <c r="AP85" s="1662"/>
      <c r="AQ85" s="1662"/>
      <c r="AR85" s="1662"/>
      <c r="AS85" s="1662"/>
      <c r="AT85" s="1662"/>
      <c r="AU85" s="1662"/>
      <c r="AV85" s="1662"/>
      <c r="AW85" s="1662"/>
      <c r="AX85" s="1662"/>
      <c r="AY85" s="1662"/>
      <c r="AZ85" s="1662"/>
      <c r="BA85" s="1662"/>
      <c r="BB85" s="1662"/>
      <c r="BC85" s="1662"/>
      <c r="BD85" s="1662"/>
      <c r="BE85" s="1662"/>
      <c r="BF85" s="1662"/>
      <c r="BG85" s="1662"/>
      <c r="BH85" s="1662"/>
      <c r="BI85" s="1662"/>
      <c r="BJ85" s="1662"/>
      <c r="BK85" s="1662"/>
      <c r="BL85" s="1662"/>
      <c r="BM85" s="1662"/>
      <c r="BN85" s="1663"/>
      <c r="BO85" s="1668"/>
      <c r="BP85" s="1668"/>
      <c r="BQ85" s="1662"/>
      <c r="BR85" s="1668"/>
      <c r="BS85" s="1662"/>
      <c r="BT85" s="1662"/>
      <c r="BU85" s="1663"/>
      <c r="BV85" s="1665">
        <v>187878.89</v>
      </c>
      <c r="BW85" s="1668"/>
      <c r="BX85" s="1668"/>
      <c r="BY85" s="1662"/>
      <c r="BZ85" s="1662"/>
      <c r="CA85" s="1662"/>
      <c r="CB85" s="1662"/>
      <c r="CC85" s="1662"/>
      <c r="CD85" s="1724">
        <v>882693.11</v>
      </c>
      <c r="CE85" s="1724">
        <v>776329.71</v>
      </c>
      <c r="CF85" s="1724">
        <v>698262.97</v>
      </c>
      <c r="CG85" s="1724">
        <v>89.94</v>
      </c>
      <c r="CH85" s="1724">
        <v>78066.740000000005</v>
      </c>
      <c r="CI85" s="1724">
        <v>10.06</v>
      </c>
      <c r="CJ85" s="1724">
        <v>776329.71</v>
      </c>
      <c r="CK85" s="1724">
        <v>100</v>
      </c>
      <c r="CL85" s="1725"/>
      <c r="CM85" s="1726"/>
      <c r="CN85" s="1727"/>
      <c r="CO85" s="1728"/>
      <c r="CP85" s="1726"/>
      <c r="CQ85" s="1724">
        <v>626262.97</v>
      </c>
      <c r="CR85" s="1724">
        <v>575484.89</v>
      </c>
      <c r="CS85" s="1724">
        <v>50778.080000000002</v>
      </c>
      <c r="CT85" s="1728"/>
      <c r="CU85" s="1726"/>
      <c r="CV85" s="1724">
        <v>818291</v>
      </c>
      <c r="CW85" s="1724">
        <v>0</v>
      </c>
      <c r="CX85" s="1724">
        <v>0</v>
      </c>
      <c r="CY85" s="1724">
        <v>796705.84</v>
      </c>
      <c r="CZ85" s="1724">
        <v>17512</v>
      </c>
      <c r="DA85" s="1724">
        <v>0</v>
      </c>
      <c r="DB85" s="1724">
        <v>373.16</v>
      </c>
      <c r="DC85" s="1724">
        <v>3700</v>
      </c>
      <c r="DD85" s="1724">
        <v>818291</v>
      </c>
      <c r="DE85" s="1724">
        <v>626262.97</v>
      </c>
      <c r="DF85" s="1724">
        <v>575484.89</v>
      </c>
      <c r="DG85" s="1724">
        <v>50778.080000000002</v>
      </c>
      <c r="DH85" s="1724">
        <v>192028.03</v>
      </c>
      <c r="DI85" s="1724">
        <v>192028.03</v>
      </c>
      <c r="DJ85" s="1724">
        <v>0</v>
      </c>
      <c r="DK85" s="1724">
        <v>192028.03</v>
      </c>
      <c r="DL85" s="1724">
        <v>0</v>
      </c>
      <c r="DM85" s="1724">
        <v>0</v>
      </c>
      <c r="DN85" s="1724">
        <v>0</v>
      </c>
      <c r="DO85" s="1724">
        <v>0</v>
      </c>
      <c r="DP85" s="1724">
        <v>0</v>
      </c>
      <c r="DQ85" s="1728"/>
      <c r="DR85" s="1727"/>
      <c r="DS85" s="1728"/>
      <c r="DT85" s="1726"/>
      <c r="DU85" s="1728"/>
      <c r="DV85" s="1726"/>
    </row>
    <row r="86" spans="1:126" ht="191.25" x14ac:dyDescent="0.25">
      <c r="A86" s="1662" t="s">
        <v>2073</v>
      </c>
      <c r="B86" s="1662" t="s">
        <v>1725</v>
      </c>
      <c r="C86" s="1662" t="s">
        <v>2633</v>
      </c>
      <c r="D86" s="1662" t="s">
        <v>2634</v>
      </c>
      <c r="E86" s="1662" t="s">
        <v>268</v>
      </c>
      <c r="F86" s="1662" t="s">
        <v>3082</v>
      </c>
      <c r="G86" s="1662" t="s">
        <v>2635</v>
      </c>
      <c r="H86" s="1662" t="s">
        <v>2628</v>
      </c>
      <c r="I86" s="1662" t="s">
        <v>2613</v>
      </c>
      <c r="J86" s="1662" t="s">
        <v>722</v>
      </c>
      <c r="K86" s="1664">
        <v>42583</v>
      </c>
      <c r="L86" s="1664">
        <v>42699</v>
      </c>
      <c r="M86" s="1662" t="s">
        <v>160</v>
      </c>
      <c r="N86" s="1662" t="s">
        <v>2109</v>
      </c>
      <c r="O86" s="1662" t="s">
        <v>3083</v>
      </c>
      <c r="P86" s="1662" t="s">
        <v>2833</v>
      </c>
      <c r="Q86" s="1662" t="s">
        <v>1755</v>
      </c>
      <c r="R86" s="1662" t="s">
        <v>2833</v>
      </c>
      <c r="S86" s="1662" t="s">
        <v>2833</v>
      </c>
      <c r="T86" s="1662"/>
      <c r="U86" s="1662" t="s">
        <v>2834</v>
      </c>
      <c r="V86" s="1662" t="s">
        <v>2861</v>
      </c>
      <c r="W86" s="1662" t="s">
        <v>2833</v>
      </c>
      <c r="X86" s="1662"/>
      <c r="Y86" s="1662" t="s">
        <v>2833</v>
      </c>
      <c r="Z86" s="1662"/>
      <c r="AA86" s="1662"/>
      <c r="AB86" s="1662" t="s">
        <v>2833</v>
      </c>
      <c r="AC86" s="1662" t="s">
        <v>2833</v>
      </c>
      <c r="AD86" s="1662" t="s">
        <v>2833</v>
      </c>
      <c r="AE86" s="1662"/>
      <c r="AF86" s="1662" t="s">
        <v>3067</v>
      </c>
      <c r="AG86" s="1662" t="s">
        <v>3068</v>
      </c>
      <c r="AH86" s="1662" t="s">
        <v>2867</v>
      </c>
      <c r="AI86" s="1662" t="s">
        <v>2838</v>
      </c>
      <c r="AJ86" s="1662" t="s">
        <v>2839</v>
      </c>
      <c r="AK86" s="1662" t="s">
        <v>3069</v>
      </c>
      <c r="AL86" s="1662" t="s">
        <v>3070</v>
      </c>
      <c r="AM86" s="1665">
        <v>100</v>
      </c>
      <c r="AN86" s="1662"/>
      <c r="AO86" s="1662"/>
      <c r="AP86" s="1662"/>
      <c r="AQ86" s="1662"/>
      <c r="AR86" s="1662"/>
      <c r="AS86" s="1662"/>
      <c r="AT86" s="1662" t="s">
        <v>2960</v>
      </c>
      <c r="AU86" s="1662" t="s">
        <v>2871</v>
      </c>
      <c r="AV86" s="1662" t="s">
        <v>3071</v>
      </c>
      <c r="AW86" s="1662"/>
      <c r="AX86" s="1662" t="s">
        <v>2989</v>
      </c>
      <c r="AY86" s="1662" t="s">
        <v>2874</v>
      </c>
      <c r="AZ86" s="1662" t="s">
        <v>236</v>
      </c>
      <c r="BA86" s="1662" t="s">
        <v>3009</v>
      </c>
      <c r="BB86" s="1662" t="s">
        <v>2833</v>
      </c>
      <c r="BC86" s="1662" t="s">
        <v>2876</v>
      </c>
      <c r="BD86" s="1662" t="s">
        <v>2849</v>
      </c>
      <c r="BE86" s="1662" t="s">
        <v>3010</v>
      </c>
      <c r="BF86" s="1662" t="s">
        <v>3011</v>
      </c>
      <c r="BG86" s="1662" t="s">
        <v>3012</v>
      </c>
      <c r="BH86" s="1662" t="s">
        <v>2880</v>
      </c>
      <c r="BI86" s="1662" t="s">
        <v>2881</v>
      </c>
      <c r="BJ86" s="1662" t="s">
        <v>2965</v>
      </c>
      <c r="BK86" s="1662" t="s">
        <v>2960</v>
      </c>
      <c r="BL86" s="1662" t="s">
        <v>2833</v>
      </c>
      <c r="BM86" s="1662" t="s">
        <v>2833</v>
      </c>
      <c r="BN86" s="1665">
        <v>0</v>
      </c>
      <c r="BO86" s="1664">
        <v>42468</v>
      </c>
      <c r="BP86" s="1664">
        <v>43616</v>
      </c>
      <c r="BQ86" s="1662" t="s">
        <v>2855</v>
      </c>
      <c r="BR86" s="1664">
        <v>46022</v>
      </c>
      <c r="BS86" s="1662" t="s">
        <v>3084</v>
      </c>
      <c r="BT86" s="1662" t="s">
        <v>3085</v>
      </c>
      <c r="BU86" s="1665">
        <v>30</v>
      </c>
      <c r="BV86" s="1665">
        <v>92555.7</v>
      </c>
      <c r="BW86" s="1664">
        <v>43646</v>
      </c>
      <c r="BX86" s="1668"/>
      <c r="BY86" s="1662" t="s">
        <v>2096</v>
      </c>
      <c r="BZ86" s="1662" t="s">
        <v>2859</v>
      </c>
      <c r="CA86" s="1662" t="s">
        <v>2859</v>
      </c>
      <c r="CB86" s="1662" t="s">
        <v>2859</v>
      </c>
      <c r="CC86" s="1662" t="s">
        <v>2993</v>
      </c>
      <c r="CD86" s="1724">
        <v>539186.11</v>
      </c>
      <c r="CE86" s="1724">
        <v>432822.71</v>
      </c>
      <c r="CF86" s="1724">
        <v>380519</v>
      </c>
      <c r="CG86" s="1724">
        <v>87.92</v>
      </c>
      <c r="CH86" s="1724">
        <v>52303.71</v>
      </c>
      <c r="CI86" s="1724">
        <v>12.08</v>
      </c>
      <c r="CJ86" s="1724">
        <v>432822.71</v>
      </c>
      <c r="CK86" s="1724">
        <v>100</v>
      </c>
      <c r="CL86" s="1725" t="s">
        <v>2861</v>
      </c>
      <c r="CM86" s="1729">
        <v>42643</v>
      </c>
      <c r="CN86" s="1727"/>
      <c r="CO86" s="1728"/>
      <c r="CP86" s="1726"/>
      <c r="CQ86" s="1724">
        <v>308519</v>
      </c>
      <c r="CR86" s="1724">
        <v>283503.94</v>
      </c>
      <c r="CS86" s="1724">
        <v>25015.06</v>
      </c>
      <c r="CT86" s="1728" t="s">
        <v>2861</v>
      </c>
      <c r="CU86" s="1729">
        <v>42668</v>
      </c>
      <c r="CV86" s="1724">
        <v>474784</v>
      </c>
      <c r="CW86" s="1724">
        <v>0</v>
      </c>
      <c r="CX86" s="1724">
        <v>0</v>
      </c>
      <c r="CY86" s="1724">
        <v>457136</v>
      </c>
      <c r="CZ86" s="1724">
        <v>17512</v>
      </c>
      <c r="DA86" s="1724">
        <v>0</v>
      </c>
      <c r="DB86" s="1724">
        <v>136</v>
      </c>
      <c r="DC86" s="1724">
        <v>0</v>
      </c>
      <c r="DD86" s="1724">
        <v>474784</v>
      </c>
      <c r="DE86" s="1724">
        <v>308519</v>
      </c>
      <c r="DF86" s="1724">
        <v>283503.94</v>
      </c>
      <c r="DG86" s="1724">
        <v>25015.06</v>
      </c>
      <c r="DH86" s="1724">
        <v>166265</v>
      </c>
      <c r="DI86" s="1724">
        <v>166265</v>
      </c>
      <c r="DJ86" s="1724">
        <v>0</v>
      </c>
      <c r="DK86" s="1724">
        <v>166265</v>
      </c>
      <c r="DL86" s="1724">
        <v>0</v>
      </c>
      <c r="DM86" s="1724">
        <v>0</v>
      </c>
      <c r="DN86" s="1724">
        <v>0</v>
      </c>
      <c r="DO86" s="1724">
        <v>0</v>
      </c>
      <c r="DP86" s="1724">
        <v>0</v>
      </c>
      <c r="DQ86" s="1728" t="s">
        <v>2886</v>
      </c>
      <c r="DR86" s="1724">
        <v>0</v>
      </c>
      <c r="DS86" s="1728" t="s">
        <v>2833</v>
      </c>
      <c r="DT86" s="1726"/>
      <c r="DU86" s="1728" t="s">
        <v>2861</v>
      </c>
      <c r="DV86" s="1729">
        <v>43616</v>
      </c>
    </row>
    <row r="87" spans="1:126" ht="101.25" x14ac:dyDescent="0.25">
      <c r="A87" s="1662" t="s">
        <v>2147</v>
      </c>
      <c r="B87" s="1662" t="s">
        <v>1725</v>
      </c>
      <c r="C87" s="1662" t="s">
        <v>2633</v>
      </c>
      <c r="D87" s="1662" t="s">
        <v>2634</v>
      </c>
      <c r="E87" s="1662" t="s">
        <v>268</v>
      </c>
      <c r="F87" s="1662" t="s">
        <v>3082</v>
      </c>
      <c r="G87" s="1662" t="s">
        <v>2635</v>
      </c>
      <c r="H87" s="1662" t="s">
        <v>2628</v>
      </c>
      <c r="I87" s="1662" t="s">
        <v>2613</v>
      </c>
      <c r="J87" s="1662" t="s">
        <v>723</v>
      </c>
      <c r="K87" s="1664">
        <v>42580</v>
      </c>
      <c r="L87" s="1664">
        <v>42709</v>
      </c>
      <c r="M87" s="1662" t="s">
        <v>301</v>
      </c>
      <c r="N87" s="1662" t="s">
        <v>2109</v>
      </c>
      <c r="O87" s="1662" t="s">
        <v>3086</v>
      </c>
      <c r="P87" s="1662" t="s">
        <v>2833</v>
      </c>
      <c r="Q87" s="1662" t="s">
        <v>1753</v>
      </c>
      <c r="R87" s="1662" t="s">
        <v>2833</v>
      </c>
      <c r="S87" s="1662" t="s">
        <v>2833</v>
      </c>
      <c r="T87" s="1662"/>
      <c r="U87" s="1662" t="s">
        <v>2834</v>
      </c>
      <c r="V87" s="1662" t="s">
        <v>2861</v>
      </c>
      <c r="W87" s="1662" t="s">
        <v>2833</v>
      </c>
      <c r="X87" s="1662"/>
      <c r="Y87" s="1662" t="s">
        <v>2833</v>
      </c>
      <c r="Z87" s="1662"/>
      <c r="AA87" s="1662"/>
      <c r="AB87" s="1662" t="s">
        <v>2833</v>
      </c>
      <c r="AC87" s="1662" t="s">
        <v>2833</v>
      </c>
      <c r="AD87" s="1662" t="s">
        <v>2833</v>
      </c>
      <c r="AE87" s="1662"/>
      <c r="AF87" s="1662" t="s">
        <v>3067</v>
      </c>
      <c r="AG87" s="1662" t="s">
        <v>3068</v>
      </c>
      <c r="AH87" s="1662" t="s">
        <v>2867</v>
      </c>
      <c r="AI87" s="1662" t="s">
        <v>2838</v>
      </c>
      <c r="AJ87" s="1662" t="s">
        <v>2839</v>
      </c>
      <c r="AK87" s="1662" t="s">
        <v>3069</v>
      </c>
      <c r="AL87" s="1662" t="s">
        <v>3070</v>
      </c>
      <c r="AM87" s="1665">
        <v>100</v>
      </c>
      <c r="AN87" s="1662"/>
      <c r="AO87" s="1662"/>
      <c r="AP87" s="1662"/>
      <c r="AQ87" s="1662"/>
      <c r="AR87" s="1662"/>
      <c r="AS87" s="1662"/>
      <c r="AT87" s="1662" t="s">
        <v>2946</v>
      </c>
      <c r="AU87" s="1662" t="s">
        <v>2871</v>
      </c>
      <c r="AV87" s="1662" t="s">
        <v>3071</v>
      </c>
      <c r="AW87" s="1662"/>
      <c r="AX87" s="1662" t="s">
        <v>2989</v>
      </c>
      <c r="AY87" s="1662" t="s">
        <v>2874</v>
      </c>
      <c r="AZ87" s="1662" t="s">
        <v>161</v>
      </c>
      <c r="BA87" s="1662" t="s">
        <v>2888</v>
      </c>
      <c r="BB87" s="1662" t="s">
        <v>2833</v>
      </c>
      <c r="BC87" s="1662" t="s">
        <v>2876</v>
      </c>
      <c r="BD87" s="1662" t="s">
        <v>2849</v>
      </c>
      <c r="BE87" s="1662" t="s">
        <v>2889</v>
      </c>
      <c r="BF87" s="1662" t="s">
        <v>2890</v>
      </c>
      <c r="BG87" s="1662" t="s">
        <v>2891</v>
      </c>
      <c r="BH87" s="1662" t="s">
        <v>2880</v>
      </c>
      <c r="BI87" s="1662" t="s">
        <v>2881</v>
      </c>
      <c r="BJ87" s="1662" t="s">
        <v>2892</v>
      </c>
      <c r="BK87" s="1662" t="s">
        <v>2946</v>
      </c>
      <c r="BL87" s="1662" t="s">
        <v>2833</v>
      </c>
      <c r="BM87" s="1662" t="s">
        <v>2833</v>
      </c>
      <c r="BN87" s="1665">
        <v>0</v>
      </c>
      <c r="BO87" s="1664">
        <v>42383</v>
      </c>
      <c r="BP87" s="1664">
        <v>43553</v>
      </c>
      <c r="BQ87" s="1662" t="s">
        <v>2855</v>
      </c>
      <c r="BR87" s="1664">
        <v>46022</v>
      </c>
      <c r="BS87" s="1662" t="s">
        <v>2991</v>
      </c>
      <c r="BT87" s="1662" t="s">
        <v>3087</v>
      </c>
      <c r="BU87" s="1665">
        <v>30</v>
      </c>
      <c r="BV87" s="1665">
        <v>95323.19</v>
      </c>
      <c r="BW87" s="1664">
        <v>43583</v>
      </c>
      <c r="BX87" s="1668"/>
      <c r="BY87" s="1662" t="s">
        <v>2096</v>
      </c>
      <c r="BZ87" s="1662" t="s">
        <v>2858</v>
      </c>
      <c r="CA87" s="1662" t="s">
        <v>2859</v>
      </c>
      <c r="CB87" s="1662" t="s">
        <v>2859</v>
      </c>
      <c r="CC87" s="1662" t="s">
        <v>2993</v>
      </c>
      <c r="CD87" s="1724">
        <v>343507</v>
      </c>
      <c r="CE87" s="1724">
        <v>343507</v>
      </c>
      <c r="CF87" s="1724">
        <v>317743.96999999997</v>
      </c>
      <c r="CG87" s="1724">
        <v>92.5</v>
      </c>
      <c r="CH87" s="1724">
        <v>25763.03</v>
      </c>
      <c r="CI87" s="1724">
        <v>7.5</v>
      </c>
      <c r="CJ87" s="1724">
        <v>343507</v>
      </c>
      <c r="CK87" s="1724">
        <v>100</v>
      </c>
      <c r="CL87" s="1725" t="s">
        <v>2861</v>
      </c>
      <c r="CM87" s="1729">
        <v>42640</v>
      </c>
      <c r="CN87" s="1727"/>
      <c r="CO87" s="1728"/>
      <c r="CP87" s="1726"/>
      <c r="CQ87" s="1724">
        <v>317743.96999999997</v>
      </c>
      <c r="CR87" s="1724">
        <v>291980.95</v>
      </c>
      <c r="CS87" s="1724">
        <v>25763.02</v>
      </c>
      <c r="CT87" s="1728" t="s">
        <v>2861</v>
      </c>
      <c r="CU87" s="1729">
        <v>42668</v>
      </c>
      <c r="CV87" s="1724">
        <v>343507</v>
      </c>
      <c r="CW87" s="1724">
        <v>0</v>
      </c>
      <c r="CX87" s="1724">
        <v>0</v>
      </c>
      <c r="CY87" s="1724">
        <v>339569.84</v>
      </c>
      <c r="CZ87" s="1724">
        <v>0</v>
      </c>
      <c r="DA87" s="1724">
        <v>0</v>
      </c>
      <c r="DB87" s="1724">
        <v>237.16</v>
      </c>
      <c r="DC87" s="1724">
        <v>3700</v>
      </c>
      <c r="DD87" s="1724">
        <v>343507</v>
      </c>
      <c r="DE87" s="1724">
        <v>317743.96999999997</v>
      </c>
      <c r="DF87" s="1724">
        <v>291980.95</v>
      </c>
      <c r="DG87" s="1724">
        <v>25763.02</v>
      </c>
      <c r="DH87" s="1724">
        <v>25763.03</v>
      </c>
      <c r="DI87" s="1724">
        <v>25763.03</v>
      </c>
      <c r="DJ87" s="1724">
        <v>0</v>
      </c>
      <c r="DK87" s="1724">
        <v>25763.03</v>
      </c>
      <c r="DL87" s="1724">
        <v>0</v>
      </c>
      <c r="DM87" s="1724">
        <v>0</v>
      </c>
      <c r="DN87" s="1724">
        <v>0</v>
      </c>
      <c r="DO87" s="1724">
        <v>0</v>
      </c>
      <c r="DP87" s="1724">
        <v>0</v>
      </c>
      <c r="DQ87" s="1728" t="s">
        <v>2886</v>
      </c>
      <c r="DR87" s="1724">
        <v>0</v>
      </c>
      <c r="DS87" s="1728" t="s">
        <v>2833</v>
      </c>
      <c r="DT87" s="1726"/>
      <c r="DU87" s="1728" t="s">
        <v>2861</v>
      </c>
      <c r="DV87" s="1729">
        <v>43553</v>
      </c>
    </row>
    <row r="88" spans="1:126" ht="33.75" x14ac:dyDescent="0.25">
      <c r="A88" s="1662" t="s">
        <v>2148</v>
      </c>
      <c r="B88" s="1662" t="s">
        <v>1725</v>
      </c>
      <c r="C88" s="1662" t="s">
        <v>2633</v>
      </c>
      <c r="D88" s="1662" t="s">
        <v>2634</v>
      </c>
      <c r="E88" s="1662" t="s">
        <v>143</v>
      </c>
      <c r="F88" s="1662" t="s">
        <v>255</v>
      </c>
      <c r="G88" s="1662"/>
      <c r="H88" s="1662"/>
      <c r="I88" s="1662"/>
      <c r="J88" s="1662"/>
      <c r="K88" s="1668"/>
      <c r="L88" s="1668"/>
      <c r="M88" s="1662"/>
      <c r="N88" s="1662"/>
      <c r="O88" s="1662"/>
      <c r="P88" s="1662"/>
      <c r="Q88" s="1662"/>
      <c r="R88" s="1662"/>
      <c r="S88" s="1662"/>
      <c r="T88" s="1662"/>
      <c r="U88" s="1662"/>
      <c r="V88" s="1662"/>
      <c r="W88" s="1662"/>
      <c r="X88" s="1662"/>
      <c r="Y88" s="1662"/>
      <c r="Z88" s="1662"/>
      <c r="AA88" s="1662"/>
      <c r="AB88" s="1662"/>
      <c r="AC88" s="1662"/>
      <c r="AD88" s="1662"/>
      <c r="AE88" s="1662"/>
      <c r="AF88" s="1662"/>
      <c r="AG88" s="1662"/>
      <c r="AH88" s="1662"/>
      <c r="AI88" s="1662"/>
      <c r="AJ88" s="1662"/>
      <c r="AK88" s="1662"/>
      <c r="AL88" s="1662"/>
      <c r="AM88" s="1663"/>
      <c r="AN88" s="1662"/>
      <c r="AO88" s="1662"/>
      <c r="AP88" s="1662"/>
      <c r="AQ88" s="1662"/>
      <c r="AR88" s="1662"/>
      <c r="AS88" s="1662"/>
      <c r="AT88" s="1662"/>
      <c r="AU88" s="1662"/>
      <c r="AV88" s="1662"/>
      <c r="AW88" s="1662"/>
      <c r="AX88" s="1662"/>
      <c r="AY88" s="1662"/>
      <c r="AZ88" s="1662"/>
      <c r="BA88" s="1662"/>
      <c r="BB88" s="1662"/>
      <c r="BC88" s="1662"/>
      <c r="BD88" s="1662"/>
      <c r="BE88" s="1662"/>
      <c r="BF88" s="1662"/>
      <c r="BG88" s="1662"/>
      <c r="BH88" s="1662"/>
      <c r="BI88" s="1662"/>
      <c r="BJ88" s="1662"/>
      <c r="BK88" s="1662"/>
      <c r="BL88" s="1662"/>
      <c r="BM88" s="1662"/>
      <c r="BN88" s="1663"/>
      <c r="BO88" s="1668"/>
      <c r="BP88" s="1668"/>
      <c r="BQ88" s="1662"/>
      <c r="BR88" s="1668"/>
      <c r="BS88" s="1662"/>
      <c r="BT88" s="1662"/>
      <c r="BU88" s="1663"/>
      <c r="BV88" s="1665">
        <v>359449.12</v>
      </c>
      <c r="BW88" s="1668"/>
      <c r="BX88" s="1668"/>
      <c r="BY88" s="1662"/>
      <c r="BZ88" s="1662"/>
      <c r="CA88" s="1662"/>
      <c r="CB88" s="1662"/>
      <c r="CC88" s="1662"/>
      <c r="CD88" s="1724">
        <v>1972835.51</v>
      </c>
      <c r="CE88" s="1724">
        <v>1972835.51</v>
      </c>
      <c r="CF88" s="1724">
        <v>1198163.7</v>
      </c>
      <c r="CG88" s="1724">
        <v>60.73</v>
      </c>
      <c r="CH88" s="1724">
        <v>774671.81</v>
      </c>
      <c r="CI88" s="1724">
        <v>39.270000000000003</v>
      </c>
      <c r="CJ88" s="1724">
        <v>1972835.51</v>
      </c>
      <c r="CK88" s="1724">
        <v>100</v>
      </c>
      <c r="CL88" s="1725"/>
      <c r="CM88" s="1726"/>
      <c r="CN88" s="1727"/>
      <c r="CO88" s="1728"/>
      <c r="CP88" s="1726"/>
      <c r="CQ88" s="1724">
        <v>1198163.7</v>
      </c>
      <c r="CR88" s="1724">
        <v>1198163.7</v>
      </c>
      <c r="CS88" s="1724">
        <v>0</v>
      </c>
      <c r="CT88" s="1728"/>
      <c r="CU88" s="1726"/>
      <c r="CV88" s="1724">
        <v>1972835.51</v>
      </c>
      <c r="CW88" s="1724">
        <v>0</v>
      </c>
      <c r="CX88" s="1724">
        <v>0</v>
      </c>
      <c r="CY88" s="1724">
        <v>1252663.05</v>
      </c>
      <c r="CZ88" s="1724">
        <v>695861.47</v>
      </c>
      <c r="DA88" s="1724">
        <v>8420</v>
      </c>
      <c r="DB88" s="1724">
        <v>300</v>
      </c>
      <c r="DC88" s="1724">
        <v>15590.99</v>
      </c>
      <c r="DD88" s="1724">
        <v>1972835.51</v>
      </c>
      <c r="DE88" s="1724">
        <v>1198163.7</v>
      </c>
      <c r="DF88" s="1724">
        <v>1198163.7</v>
      </c>
      <c r="DG88" s="1724">
        <v>0</v>
      </c>
      <c r="DH88" s="1724">
        <v>774671.81</v>
      </c>
      <c r="DI88" s="1724">
        <v>774671.81</v>
      </c>
      <c r="DJ88" s="1724">
        <v>352400.82</v>
      </c>
      <c r="DK88" s="1724">
        <v>422270.99</v>
      </c>
      <c r="DL88" s="1724">
        <v>0</v>
      </c>
      <c r="DM88" s="1724">
        <v>0</v>
      </c>
      <c r="DN88" s="1724">
        <v>0</v>
      </c>
      <c r="DO88" s="1724">
        <v>0</v>
      </c>
      <c r="DP88" s="1724">
        <v>0</v>
      </c>
      <c r="DQ88" s="1728"/>
      <c r="DR88" s="1727"/>
      <c r="DS88" s="1728"/>
      <c r="DT88" s="1726"/>
      <c r="DU88" s="1728"/>
      <c r="DV88" s="1726"/>
    </row>
    <row r="89" spans="1:126" ht="168.75" x14ac:dyDescent="0.25">
      <c r="A89" s="1662" t="s">
        <v>2149</v>
      </c>
      <c r="B89" s="1662" t="s">
        <v>1725</v>
      </c>
      <c r="C89" s="1662" t="s">
        <v>2633</v>
      </c>
      <c r="D89" s="1662" t="s">
        <v>2634</v>
      </c>
      <c r="E89" s="1662" t="s">
        <v>143</v>
      </c>
      <c r="F89" s="1662" t="s">
        <v>255</v>
      </c>
      <c r="G89" s="1662" t="s">
        <v>2627</v>
      </c>
      <c r="H89" s="1662" t="s">
        <v>2628</v>
      </c>
      <c r="I89" s="1662" t="s">
        <v>2613</v>
      </c>
      <c r="J89" s="1662" t="s">
        <v>724</v>
      </c>
      <c r="K89" s="1664">
        <v>42754</v>
      </c>
      <c r="L89" s="1664">
        <v>42860</v>
      </c>
      <c r="M89" s="1662" t="s">
        <v>134</v>
      </c>
      <c r="N89" s="1662" t="s">
        <v>2109</v>
      </c>
      <c r="O89" s="1662" t="s">
        <v>3088</v>
      </c>
      <c r="P89" s="1662" t="s">
        <v>2833</v>
      </c>
      <c r="Q89" s="1662" t="s">
        <v>1749</v>
      </c>
      <c r="R89" s="1662" t="s">
        <v>2833</v>
      </c>
      <c r="S89" s="1662" t="s">
        <v>2833</v>
      </c>
      <c r="T89" s="1662"/>
      <c r="U89" s="1662" t="s">
        <v>2834</v>
      </c>
      <c r="V89" s="1662" t="s">
        <v>2861</v>
      </c>
      <c r="W89" s="1662" t="s">
        <v>2833</v>
      </c>
      <c r="X89" s="1662"/>
      <c r="Y89" s="1662" t="s">
        <v>2833</v>
      </c>
      <c r="Z89" s="1662"/>
      <c r="AA89" s="1662"/>
      <c r="AB89" s="1662" t="s">
        <v>2833</v>
      </c>
      <c r="AC89" s="1662" t="s">
        <v>2833</v>
      </c>
      <c r="AD89" s="1662" t="s">
        <v>2833</v>
      </c>
      <c r="AE89" s="1662"/>
      <c r="AF89" s="1662" t="s">
        <v>3089</v>
      </c>
      <c r="AG89" s="1662" t="s">
        <v>3001</v>
      </c>
      <c r="AH89" s="1662" t="s">
        <v>2867</v>
      </c>
      <c r="AI89" s="1662" t="s">
        <v>2838</v>
      </c>
      <c r="AJ89" s="1662" t="s">
        <v>2839</v>
      </c>
      <c r="AK89" s="1662" t="s">
        <v>3069</v>
      </c>
      <c r="AL89" s="1662" t="s">
        <v>3070</v>
      </c>
      <c r="AM89" s="1665">
        <v>100</v>
      </c>
      <c r="AN89" s="1662"/>
      <c r="AO89" s="1662"/>
      <c r="AP89" s="1662"/>
      <c r="AQ89" s="1662"/>
      <c r="AR89" s="1662"/>
      <c r="AS89" s="1662"/>
      <c r="AT89" s="1662" t="s">
        <v>2946</v>
      </c>
      <c r="AU89" s="1662" t="s">
        <v>2871</v>
      </c>
      <c r="AV89" s="1662" t="s">
        <v>3071</v>
      </c>
      <c r="AW89" s="1662"/>
      <c r="AX89" s="1662" t="s">
        <v>3003</v>
      </c>
      <c r="AY89" s="1662" t="s">
        <v>2874</v>
      </c>
      <c r="AZ89" s="1662" t="s">
        <v>284</v>
      </c>
      <c r="BA89" s="1662" t="s">
        <v>2896</v>
      </c>
      <c r="BB89" s="1662" t="s">
        <v>2833</v>
      </c>
      <c r="BC89" s="1662" t="s">
        <v>2876</v>
      </c>
      <c r="BD89" s="1662" t="s">
        <v>2849</v>
      </c>
      <c r="BE89" s="1662" t="s">
        <v>3022</v>
      </c>
      <c r="BF89" s="1662" t="s">
        <v>3023</v>
      </c>
      <c r="BG89" s="1662" t="s">
        <v>3024</v>
      </c>
      <c r="BH89" s="1662" t="s">
        <v>2880</v>
      </c>
      <c r="BI89" s="1662" t="s">
        <v>2881</v>
      </c>
      <c r="BJ89" s="1662" t="s">
        <v>2900</v>
      </c>
      <c r="BK89" s="1662" t="s">
        <v>2946</v>
      </c>
      <c r="BL89" s="1662" t="s">
        <v>2833</v>
      </c>
      <c r="BM89" s="1662" t="s">
        <v>2833</v>
      </c>
      <c r="BN89" s="1665">
        <v>0</v>
      </c>
      <c r="BO89" s="1664">
        <v>42327</v>
      </c>
      <c r="BP89" s="1664">
        <v>43585</v>
      </c>
      <c r="BQ89" s="1662" t="s">
        <v>2855</v>
      </c>
      <c r="BR89" s="1664">
        <v>46022</v>
      </c>
      <c r="BS89" s="1662" t="s">
        <v>2883</v>
      </c>
      <c r="BT89" s="1662" t="s">
        <v>3090</v>
      </c>
      <c r="BU89" s="1665">
        <v>30</v>
      </c>
      <c r="BV89" s="1665">
        <v>89862.26</v>
      </c>
      <c r="BW89" s="1664">
        <v>43615</v>
      </c>
      <c r="BX89" s="1668"/>
      <c r="BY89" s="1662" t="s">
        <v>2096</v>
      </c>
      <c r="BZ89" s="1662" t="s">
        <v>2858</v>
      </c>
      <c r="CA89" s="1662" t="s">
        <v>2859</v>
      </c>
      <c r="CB89" s="1662" t="s">
        <v>2859</v>
      </c>
      <c r="CC89" s="1662" t="s">
        <v>2993</v>
      </c>
      <c r="CD89" s="1724">
        <v>352401</v>
      </c>
      <c r="CE89" s="1724">
        <v>352401</v>
      </c>
      <c r="CF89" s="1724">
        <v>299540.84999999998</v>
      </c>
      <c r="CG89" s="1724">
        <v>85</v>
      </c>
      <c r="CH89" s="1724">
        <v>52860.15</v>
      </c>
      <c r="CI89" s="1724">
        <v>15</v>
      </c>
      <c r="CJ89" s="1724">
        <v>352401</v>
      </c>
      <c r="CK89" s="1724">
        <v>100</v>
      </c>
      <c r="CL89" s="1725" t="s">
        <v>2861</v>
      </c>
      <c r="CM89" s="1729">
        <v>42811</v>
      </c>
      <c r="CN89" s="1727"/>
      <c r="CO89" s="1728"/>
      <c r="CP89" s="1726"/>
      <c r="CQ89" s="1724">
        <v>299540.84999999998</v>
      </c>
      <c r="CR89" s="1724">
        <v>299540.84999999998</v>
      </c>
      <c r="CS89" s="1724">
        <v>0</v>
      </c>
      <c r="CT89" s="1728" t="s">
        <v>2861</v>
      </c>
      <c r="CU89" s="1729">
        <v>42821</v>
      </c>
      <c r="CV89" s="1724">
        <v>352401</v>
      </c>
      <c r="CW89" s="1724">
        <v>0</v>
      </c>
      <c r="CX89" s="1724">
        <v>0</v>
      </c>
      <c r="CY89" s="1724">
        <v>78480.77</v>
      </c>
      <c r="CZ89" s="1724">
        <v>264086</v>
      </c>
      <c r="DA89" s="1724">
        <v>6000</v>
      </c>
      <c r="DB89" s="1724">
        <v>0</v>
      </c>
      <c r="DC89" s="1724">
        <v>3834.23</v>
      </c>
      <c r="DD89" s="1724">
        <v>352401</v>
      </c>
      <c r="DE89" s="1724">
        <v>299540.84999999998</v>
      </c>
      <c r="DF89" s="1724">
        <v>299540.84999999998</v>
      </c>
      <c r="DG89" s="1724">
        <v>0</v>
      </c>
      <c r="DH89" s="1724">
        <v>52860.15</v>
      </c>
      <c r="DI89" s="1724">
        <v>52860.15</v>
      </c>
      <c r="DJ89" s="1724">
        <v>0</v>
      </c>
      <c r="DK89" s="1724">
        <v>52860.15</v>
      </c>
      <c r="DL89" s="1724">
        <v>0</v>
      </c>
      <c r="DM89" s="1724">
        <v>0</v>
      </c>
      <c r="DN89" s="1724">
        <v>0</v>
      </c>
      <c r="DO89" s="1724">
        <v>0</v>
      </c>
      <c r="DP89" s="1724">
        <v>0</v>
      </c>
      <c r="DQ89" s="1728" t="s">
        <v>2886</v>
      </c>
      <c r="DR89" s="1724">
        <v>0</v>
      </c>
      <c r="DS89" s="1728" t="s">
        <v>2833</v>
      </c>
      <c r="DT89" s="1726"/>
      <c r="DU89" s="1728" t="s">
        <v>2861</v>
      </c>
      <c r="DV89" s="1729">
        <v>43585</v>
      </c>
    </row>
    <row r="90" spans="1:126" ht="135" x14ac:dyDescent="0.25">
      <c r="A90" s="1662" t="s">
        <v>2077</v>
      </c>
      <c r="B90" s="1662" t="s">
        <v>1725</v>
      </c>
      <c r="C90" s="1662" t="s">
        <v>2633</v>
      </c>
      <c r="D90" s="1662" t="s">
        <v>2634</v>
      </c>
      <c r="E90" s="1662" t="s">
        <v>143</v>
      </c>
      <c r="F90" s="1662" t="s">
        <v>255</v>
      </c>
      <c r="G90" s="1662" t="s">
        <v>2627</v>
      </c>
      <c r="H90" s="1662" t="s">
        <v>2628</v>
      </c>
      <c r="I90" s="1662" t="s">
        <v>2613</v>
      </c>
      <c r="J90" s="1662" t="s">
        <v>725</v>
      </c>
      <c r="K90" s="1664">
        <v>42761</v>
      </c>
      <c r="L90" s="1664">
        <v>42886</v>
      </c>
      <c r="M90" s="1662" t="s">
        <v>2279</v>
      </c>
      <c r="N90" s="1662" t="s">
        <v>2109</v>
      </c>
      <c r="O90" s="1662" t="s">
        <v>3091</v>
      </c>
      <c r="P90" s="1662" t="s">
        <v>2833</v>
      </c>
      <c r="Q90" s="1662" t="s">
        <v>1739</v>
      </c>
      <c r="R90" s="1662" t="s">
        <v>2833</v>
      </c>
      <c r="S90" s="1662" t="s">
        <v>2833</v>
      </c>
      <c r="T90" s="1662"/>
      <c r="U90" s="1662" t="s">
        <v>2834</v>
      </c>
      <c r="V90" s="1662" t="s">
        <v>2861</v>
      </c>
      <c r="W90" s="1662" t="s">
        <v>2833</v>
      </c>
      <c r="X90" s="1662"/>
      <c r="Y90" s="1662" t="s">
        <v>2833</v>
      </c>
      <c r="Z90" s="1662"/>
      <c r="AA90" s="1662"/>
      <c r="AB90" s="1662" t="s">
        <v>2833</v>
      </c>
      <c r="AC90" s="1662" t="s">
        <v>2833</v>
      </c>
      <c r="AD90" s="1662" t="s">
        <v>2833</v>
      </c>
      <c r="AE90" s="1662"/>
      <c r="AF90" s="1662" t="s">
        <v>3089</v>
      </c>
      <c r="AG90" s="1662" t="s">
        <v>3001</v>
      </c>
      <c r="AH90" s="1662" t="s">
        <v>2867</v>
      </c>
      <c r="AI90" s="1662" t="s">
        <v>2838</v>
      </c>
      <c r="AJ90" s="1662" t="s">
        <v>2839</v>
      </c>
      <c r="AK90" s="1662" t="s">
        <v>3092</v>
      </c>
      <c r="AL90" s="1662" t="s">
        <v>3070</v>
      </c>
      <c r="AM90" s="1665">
        <v>100</v>
      </c>
      <c r="AN90" s="1662"/>
      <c r="AO90" s="1662"/>
      <c r="AP90" s="1662"/>
      <c r="AQ90" s="1662"/>
      <c r="AR90" s="1662"/>
      <c r="AS90" s="1662"/>
      <c r="AT90" s="1662" t="s">
        <v>2870</v>
      </c>
      <c r="AU90" s="1662" t="s">
        <v>2871</v>
      </c>
      <c r="AV90" s="1662" t="s">
        <v>3071</v>
      </c>
      <c r="AW90" s="1662"/>
      <c r="AX90" s="1662" t="s">
        <v>3003</v>
      </c>
      <c r="AY90" s="1662" t="s">
        <v>2874</v>
      </c>
      <c r="AZ90" s="1662" t="s">
        <v>350</v>
      </c>
      <c r="BA90" s="1662" t="s">
        <v>2875</v>
      </c>
      <c r="BB90" s="1662" t="s">
        <v>2833</v>
      </c>
      <c r="BC90" s="1662" t="s">
        <v>2876</v>
      </c>
      <c r="BD90" s="1662" t="s">
        <v>2849</v>
      </c>
      <c r="BE90" s="1662" t="s">
        <v>2995</v>
      </c>
      <c r="BF90" s="1662" t="s">
        <v>3018</v>
      </c>
      <c r="BG90" s="1662" t="s">
        <v>3019</v>
      </c>
      <c r="BH90" s="1662" t="s">
        <v>2880</v>
      </c>
      <c r="BI90" s="1662" t="s">
        <v>2881</v>
      </c>
      <c r="BJ90" s="1662" t="s">
        <v>2882</v>
      </c>
      <c r="BK90" s="1662" t="s">
        <v>2870</v>
      </c>
      <c r="BL90" s="1662" t="s">
        <v>2833</v>
      </c>
      <c r="BM90" s="1662" t="s">
        <v>2833</v>
      </c>
      <c r="BN90" s="1665">
        <v>0</v>
      </c>
      <c r="BO90" s="1664">
        <v>42584</v>
      </c>
      <c r="BP90" s="1664">
        <v>43373</v>
      </c>
      <c r="BQ90" s="1662" t="s">
        <v>2855</v>
      </c>
      <c r="BR90" s="1664">
        <v>45657</v>
      </c>
      <c r="BS90" s="1662" t="s">
        <v>2883</v>
      </c>
      <c r="BT90" s="1662" t="s">
        <v>3093</v>
      </c>
      <c r="BU90" s="1665">
        <v>30</v>
      </c>
      <c r="BV90" s="1665">
        <v>89862.3</v>
      </c>
      <c r="BW90" s="1664">
        <v>43403</v>
      </c>
      <c r="BX90" s="1668"/>
      <c r="BY90" s="1662" t="s">
        <v>2096</v>
      </c>
      <c r="BZ90" s="1662" t="s">
        <v>2858</v>
      </c>
      <c r="CA90" s="1662" t="s">
        <v>2859</v>
      </c>
      <c r="CB90" s="1662" t="s">
        <v>2859</v>
      </c>
      <c r="CC90" s="1662" t="s">
        <v>2993</v>
      </c>
      <c r="CD90" s="1724">
        <v>783264.16</v>
      </c>
      <c r="CE90" s="1724">
        <v>783264.16</v>
      </c>
      <c r="CF90" s="1724">
        <v>299541</v>
      </c>
      <c r="CG90" s="1724">
        <v>38.24</v>
      </c>
      <c r="CH90" s="1724">
        <v>483723.16</v>
      </c>
      <c r="CI90" s="1724">
        <v>61.76</v>
      </c>
      <c r="CJ90" s="1724">
        <v>783264.16</v>
      </c>
      <c r="CK90" s="1724">
        <v>100</v>
      </c>
      <c r="CL90" s="1725" t="s">
        <v>2861</v>
      </c>
      <c r="CM90" s="1729">
        <v>42816</v>
      </c>
      <c r="CN90" s="1727"/>
      <c r="CO90" s="1728"/>
      <c r="CP90" s="1726"/>
      <c r="CQ90" s="1724">
        <v>299541</v>
      </c>
      <c r="CR90" s="1724">
        <v>299541</v>
      </c>
      <c r="CS90" s="1724">
        <v>0</v>
      </c>
      <c r="CT90" s="1728" t="s">
        <v>2861</v>
      </c>
      <c r="CU90" s="1729">
        <v>42831</v>
      </c>
      <c r="CV90" s="1724">
        <v>783264.16</v>
      </c>
      <c r="CW90" s="1724">
        <v>0</v>
      </c>
      <c r="CX90" s="1724">
        <v>0</v>
      </c>
      <c r="CY90" s="1724">
        <v>671498.54</v>
      </c>
      <c r="CZ90" s="1724">
        <v>104556.07</v>
      </c>
      <c r="DA90" s="1724">
        <v>0</v>
      </c>
      <c r="DB90" s="1724">
        <v>300</v>
      </c>
      <c r="DC90" s="1724">
        <v>6909.55</v>
      </c>
      <c r="DD90" s="1724">
        <v>783264.16</v>
      </c>
      <c r="DE90" s="1724">
        <v>299541</v>
      </c>
      <c r="DF90" s="1724">
        <v>299541</v>
      </c>
      <c r="DG90" s="1724">
        <v>0</v>
      </c>
      <c r="DH90" s="1724">
        <v>483723.16</v>
      </c>
      <c r="DI90" s="1724">
        <v>483723.16</v>
      </c>
      <c r="DJ90" s="1724">
        <v>352400.82</v>
      </c>
      <c r="DK90" s="1724">
        <v>131322.34</v>
      </c>
      <c r="DL90" s="1724">
        <v>0</v>
      </c>
      <c r="DM90" s="1724">
        <v>0</v>
      </c>
      <c r="DN90" s="1724">
        <v>0</v>
      </c>
      <c r="DO90" s="1724">
        <v>0</v>
      </c>
      <c r="DP90" s="1724">
        <v>0</v>
      </c>
      <c r="DQ90" s="1728" t="s">
        <v>2886</v>
      </c>
      <c r="DR90" s="1724">
        <v>0</v>
      </c>
      <c r="DS90" s="1728" t="s">
        <v>2833</v>
      </c>
      <c r="DT90" s="1726"/>
      <c r="DU90" s="1728" t="s">
        <v>2861</v>
      </c>
      <c r="DV90" s="1729">
        <v>43373</v>
      </c>
    </row>
    <row r="91" spans="1:126" ht="135" x14ac:dyDescent="0.25">
      <c r="A91" s="1662" t="s">
        <v>2078</v>
      </c>
      <c r="B91" s="1662" t="s">
        <v>1725</v>
      </c>
      <c r="C91" s="1662" t="s">
        <v>2633</v>
      </c>
      <c r="D91" s="1662" t="s">
        <v>2634</v>
      </c>
      <c r="E91" s="1662" t="s">
        <v>143</v>
      </c>
      <c r="F91" s="1662" t="s">
        <v>255</v>
      </c>
      <c r="G91" s="1662" t="s">
        <v>2627</v>
      </c>
      <c r="H91" s="1662" t="s">
        <v>2628</v>
      </c>
      <c r="I91" s="1662" t="s">
        <v>2613</v>
      </c>
      <c r="J91" s="1662" t="s">
        <v>726</v>
      </c>
      <c r="K91" s="1664">
        <v>42762</v>
      </c>
      <c r="L91" s="1664">
        <v>42857</v>
      </c>
      <c r="M91" s="1662" t="s">
        <v>2292</v>
      </c>
      <c r="N91" s="1662" t="s">
        <v>2109</v>
      </c>
      <c r="O91" s="1662" t="s">
        <v>3094</v>
      </c>
      <c r="P91" s="1662" t="s">
        <v>2833</v>
      </c>
      <c r="Q91" s="1662" t="s">
        <v>1757</v>
      </c>
      <c r="R91" s="1662" t="s">
        <v>2833</v>
      </c>
      <c r="S91" s="1662" t="s">
        <v>2833</v>
      </c>
      <c r="T91" s="1662"/>
      <c r="U91" s="1662" t="s">
        <v>2834</v>
      </c>
      <c r="V91" s="1662" t="s">
        <v>2833</v>
      </c>
      <c r="W91" s="1662" t="s">
        <v>2833</v>
      </c>
      <c r="X91" s="1662"/>
      <c r="Y91" s="1662" t="s">
        <v>2833</v>
      </c>
      <c r="Z91" s="1662"/>
      <c r="AA91" s="1662"/>
      <c r="AB91" s="1662" t="s">
        <v>2833</v>
      </c>
      <c r="AC91" s="1662" t="s">
        <v>2833</v>
      </c>
      <c r="AD91" s="1662" t="s">
        <v>2833</v>
      </c>
      <c r="AE91" s="1662"/>
      <c r="AF91" s="1662" t="s">
        <v>3089</v>
      </c>
      <c r="AG91" s="1662" t="s">
        <v>3001</v>
      </c>
      <c r="AH91" s="1662" t="s">
        <v>2867</v>
      </c>
      <c r="AI91" s="1662" t="s">
        <v>2838</v>
      </c>
      <c r="AJ91" s="1662" t="s">
        <v>2839</v>
      </c>
      <c r="AK91" s="1662" t="s">
        <v>3069</v>
      </c>
      <c r="AL91" s="1662" t="s">
        <v>3070</v>
      </c>
      <c r="AM91" s="1665">
        <v>100</v>
      </c>
      <c r="AN91" s="1662"/>
      <c r="AO91" s="1662"/>
      <c r="AP91" s="1662"/>
      <c r="AQ91" s="1662"/>
      <c r="AR91" s="1662"/>
      <c r="AS91" s="1662"/>
      <c r="AT91" s="1662" t="s">
        <v>2960</v>
      </c>
      <c r="AU91" s="1662" t="s">
        <v>2871</v>
      </c>
      <c r="AV91" s="1662" t="s">
        <v>3071</v>
      </c>
      <c r="AW91" s="1662"/>
      <c r="AX91" s="1662" t="s">
        <v>3003</v>
      </c>
      <c r="AY91" s="1662" t="s">
        <v>2874</v>
      </c>
      <c r="AZ91" s="1662" t="s">
        <v>236</v>
      </c>
      <c r="BA91" s="1662" t="s">
        <v>3009</v>
      </c>
      <c r="BB91" s="1662" t="s">
        <v>2833</v>
      </c>
      <c r="BC91" s="1662" t="s">
        <v>2876</v>
      </c>
      <c r="BD91" s="1662" t="s">
        <v>2849</v>
      </c>
      <c r="BE91" s="1662" t="s">
        <v>3010</v>
      </c>
      <c r="BF91" s="1662" t="s">
        <v>3011</v>
      </c>
      <c r="BG91" s="1662" t="s">
        <v>3012</v>
      </c>
      <c r="BH91" s="1662" t="s">
        <v>2880</v>
      </c>
      <c r="BI91" s="1662" t="s">
        <v>2881</v>
      </c>
      <c r="BJ91" s="1662" t="s">
        <v>2965</v>
      </c>
      <c r="BK91" s="1662" t="s">
        <v>2960</v>
      </c>
      <c r="BL91" s="1662" t="s">
        <v>2833</v>
      </c>
      <c r="BM91" s="1662" t="s">
        <v>2833</v>
      </c>
      <c r="BN91" s="1665">
        <v>0</v>
      </c>
      <c r="BO91" s="1664">
        <v>42857</v>
      </c>
      <c r="BP91" s="1664">
        <v>43830</v>
      </c>
      <c r="BQ91" s="1662" t="s">
        <v>2855</v>
      </c>
      <c r="BR91" s="1664">
        <v>45657</v>
      </c>
      <c r="BS91" s="1662" t="s">
        <v>3095</v>
      </c>
      <c r="BT91" s="1662" t="s">
        <v>3096</v>
      </c>
      <c r="BU91" s="1665">
        <v>30</v>
      </c>
      <c r="BV91" s="1665">
        <v>89862.26</v>
      </c>
      <c r="BW91" s="1664">
        <v>43860</v>
      </c>
      <c r="BX91" s="1668"/>
      <c r="BY91" s="1662" t="s">
        <v>2096</v>
      </c>
      <c r="BZ91" s="1662" t="s">
        <v>2859</v>
      </c>
      <c r="CA91" s="1662" t="s">
        <v>2859</v>
      </c>
      <c r="CB91" s="1662" t="s">
        <v>2859</v>
      </c>
      <c r="CC91" s="1662" t="s">
        <v>2993</v>
      </c>
      <c r="CD91" s="1724">
        <v>352401</v>
      </c>
      <c r="CE91" s="1724">
        <v>352401</v>
      </c>
      <c r="CF91" s="1724">
        <v>299540.84999999998</v>
      </c>
      <c r="CG91" s="1724">
        <v>85</v>
      </c>
      <c r="CH91" s="1724">
        <v>52860.15</v>
      </c>
      <c r="CI91" s="1724">
        <v>15</v>
      </c>
      <c r="CJ91" s="1724">
        <v>352401</v>
      </c>
      <c r="CK91" s="1724">
        <v>100</v>
      </c>
      <c r="CL91" s="1725" t="s">
        <v>2861</v>
      </c>
      <c r="CM91" s="1729">
        <v>42804</v>
      </c>
      <c r="CN91" s="1727"/>
      <c r="CO91" s="1728"/>
      <c r="CP91" s="1726"/>
      <c r="CQ91" s="1724">
        <v>299540.84999999998</v>
      </c>
      <c r="CR91" s="1724">
        <v>299540.84999999998</v>
      </c>
      <c r="CS91" s="1724">
        <v>0</v>
      </c>
      <c r="CT91" s="1728" t="s">
        <v>2861</v>
      </c>
      <c r="CU91" s="1729">
        <v>42821</v>
      </c>
      <c r="CV91" s="1724">
        <v>352401</v>
      </c>
      <c r="CW91" s="1724">
        <v>0</v>
      </c>
      <c r="CX91" s="1724">
        <v>0</v>
      </c>
      <c r="CY91" s="1724">
        <v>140180</v>
      </c>
      <c r="CZ91" s="1724">
        <v>212221</v>
      </c>
      <c r="DA91" s="1724">
        <v>0</v>
      </c>
      <c r="DB91" s="1724">
        <v>0</v>
      </c>
      <c r="DC91" s="1724">
        <v>0</v>
      </c>
      <c r="DD91" s="1724">
        <v>352401</v>
      </c>
      <c r="DE91" s="1724">
        <v>299540.84999999998</v>
      </c>
      <c r="DF91" s="1724">
        <v>299540.84999999998</v>
      </c>
      <c r="DG91" s="1724">
        <v>0</v>
      </c>
      <c r="DH91" s="1724">
        <v>52860.15</v>
      </c>
      <c r="DI91" s="1724">
        <v>52860.15</v>
      </c>
      <c r="DJ91" s="1724">
        <v>0</v>
      </c>
      <c r="DK91" s="1724">
        <v>52860.15</v>
      </c>
      <c r="DL91" s="1724">
        <v>0</v>
      </c>
      <c r="DM91" s="1724">
        <v>0</v>
      </c>
      <c r="DN91" s="1724">
        <v>0</v>
      </c>
      <c r="DO91" s="1724">
        <v>0</v>
      </c>
      <c r="DP91" s="1724">
        <v>0</v>
      </c>
      <c r="DQ91" s="1728" t="s">
        <v>2886</v>
      </c>
      <c r="DR91" s="1724">
        <v>0</v>
      </c>
      <c r="DS91" s="1728" t="s">
        <v>2833</v>
      </c>
      <c r="DT91" s="1726"/>
      <c r="DU91" s="1728" t="s">
        <v>2861</v>
      </c>
      <c r="DV91" s="1729">
        <v>43830</v>
      </c>
    </row>
    <row r="92" spans="1:126" ht="168.75" x14ac:dyDescent="0.25">
      <c r="A92" s="1662" t="s">
        <v>2151</v>
      </c>
      <c r="B92" s="1662" t="s">
        <v>1725</v>
      </c>
      <c r="C92" s="1662" t="s">
        <v>2633</v>
      </c>
      <c r="D92" s="1662" t="s">
        <v>2634</v>
      </c>
      <c r="E92" s="1662" t="s">
        <v>143</v>
      </c>
      <c r="F92" s="1662" t="s">
        <v>255</v>
      </c>
      <c r="G92" s="1662" t="s">
        <v>2627</v>
      </c>
      <c r="H92" s="1662" t="s">
        <v>2628</v>
      </c>
      <c r="I92" s="1662" t="s">
        <v>2613</v>
      </c>
      <c r="J92" s="1662" t="s">
        <v>1255</v>
      </c>
      <c r="K92" s="1664">
        <v>43097</v>
      </c>
      <c r="L92" s="1664">
        <v>43203</v>
      </c>
      <c r="M92" s="1662" t="s">
        <v>320</v>
      </c>
      <c r="N92" s="1662" t="s">
        <v>2109</v>
      </c>
      <c r="O92" s="1662" t="s">
        <v>3097</v>
      </c>
      <c r="P92" s="1662" t="s">
        <v>2833</v>
      </c>
      <c r="Q92" s="1662" t="s">
        <v>1745</v>
      </c>
      <c r="R92" s="1662" t="s">
        <v>2833</v>
      </c>
      <c r="S92" s="1662" t="s">
        <v>2833</v>
      </c>
      <c r="T92" s="1662"/>
      <c r="U92" s="1662" t="s">
        <v>2834</v>
      </c>
      <c r="V92" s="1662" t="s">
        <v>2861</v>
      </c>
      <c r="W92" s="1662" t="s">
        <v>2833</v>
      </c>
      <c r="X92" s="1662"/>
      <c r="Y92" s="1662" t="s">
        <v>2833</v>
      </c>
      <c r="Z92" s="1662"/>
      <c r="AA92" s="1662"/>
      <c r="AB92" s="1662" t="s">
        <v>2833</v>
      </c>
      <c r="AC92" s="1662" t="s">
        <v>2833</v>
      </c>
      <c r="AD92" s="1662" t="s">
        <v>2833</v>
      </c>
      <c r="AE92" s="1662"/>
      <c r="AF92" s="1662" t="s">
        <v>3089</v>
      </c>
      <c r="AG92" s="1662" t="s">
        <v>3001</v>
      </c>
      <c r="AH92" s="1662" t="s">
        <v>2867</v>
      </c>
      <c r="AI92" s="1662" t="s">
        <v>2838</v>
      </c>
      <c r="AJ92" s="1662" t="s">
        <v>2839</v>
      </c>
      <c r="AK92" s="1662" t="s">
        <v>3069</v>
      </c>
      <c r="AL92" s="1662" t="s">
        <v>3070</v>
      </c>
      <c r="AM92" s="1665">
        <v>100</v>
      </c>
      <c r="AN92" s="1662"/>
      <c r="AO92" s="1662"/>
      <c r="AP92" s="1662"/>
      <c r="AQ92" s="1662"/>
      <c r="AR92" s="1662"/>
      <c r="AS92" s="1662"/>
      <c r="AT92" s="1662" t="s">
        <v>2946</v>
      </c>
      <c r="AU92" s="1662" t="s">
        <v>2871</v>
      </c>
      <c r="AV92" s="1662" t="s">
        <v>3071</v>
      </c>
      <c r="AW92" s="1662"/>
      <c r="AX92" s="1662" t="s">
        <v>3003</v>
      </c>
      <c r="AY92" s="1662" t="s">
        <v>2874</v>
      </c>
      <c r="AZ92" s="1662" t="s">
        <v>161</v>
      </c>
      <c r="BA92" s="1662" t="s">
        <v>2888</v>
      </c>
      <c r="BB92" s="1662" t="s">
        <v>2833</v>
      </c>
      <c r="BC92" s="1662" t="s">
        <v>2876</v>
      </c>
      <c r="BD92" s="1662" t="s">
        <v>2849</v>
      </c>
      <c r="BE92" s="1662" t="s">
        <v>3098</v>
      </c>
      <c r="BF92" s="1662" t="s">
        <v>3099</v>
      </c>
      <c r="BG92" s="1662" t="s">
        <v>2891</v>
      </c>
      <c r="BH92" s="1662" t="s">
        <v>2880</v>
      </c>
      <c r="BI92" s="1662" t="s">
        <v>2881</v>
      </c>
      <c r="BJ92" s="1662" t="s">
        <v>2892</v>
      </c>
      <c r="BK92" s="1662" t="s">
        <v>2946</v>
      </c>
      <c r="BL92" s="1662" t="s">
        <v>2833</v>
      </c>
      <c r="BM92" s="1662" t="s">
        <v>2833</v>
      </c>
      <c r="BN92" s="1665">
        <v>0</v>
      </c>
      <c r="BO92" s="1664">
        <v>42501</v>
      </c>
      <c r="BP92" s="1664">
        <v>43830</v>
      </c>
      <c r="BQ92" s="1662" t="s">
        <v>2855</v>
      </c>
      <c r="BR92" s="1664">
        <v>46022</v>
      </c>
      <c r="BS92" s="1662" t="s">
        <v>2893</v>
      </c>
      <c r="BT92" s="1662" t="s">
        <v>3100</v>
      </c>
      <c r="BU92" s="1665">
        <v>30</v>
      </c>
      <c r="BV92" s="1665">
        <v>89862.3</v>
      </c>
      <c r="BW92" s="1664">
        <v>43860</v>
      </c>
      <c r="BX92" s="1668"/>
      <c r="BY92" s="1662" t="s">
        <v>2096</v>
      </c>
      <c r="BZ92" s="1662" t="s">
        <v>2858</v>
      </c>
      <c r="CA92" s="1662" t="s">
        <v>2859</v>
      </c>
      <c r="CB92" s="1662" t="s">
        <v>2859</v>
      </c>
      <c r="CC92" s="1662" t="s">
        <v>2993</v>
      </c>
      <c r="CD92" s="1724">
        <v>484769.35</v>
      </c>
      <c r="CE92" s="1724">
        <v>484769.35</v>
      </c>
      <c r="CF92" s="1724">
        <v>299541</v>
      </c>
      <c r="CG92" s="1724">
        <v>61.79</v>
      </c>
      <c r="CH92" s="1724">
        <v>185228.35</v>
      </c>
      <c r="CI92" s="1724">
        <v>38.21</v>
      </c>
      <c r="CJ92" s="1724">
        <v>484769.35</v>
      </c>
      <c r="CK92" s="1724">
        <v>100</v>
      </c>
      <c r="CL92" s="1725" t="s">
        <v>2861</v>
      </c>
      <c r="CM92" s="1729">
        <v>43154</v>
      </c>
      <c r="CN92" s="1727"/>
      <c r="CO92" s="1728"/>
      <c r="CP92" s="1726"/>
      <c r="CQ92" s="1724">
        <v>299541</v>
      </c>
      <c r="CR92" s="1724">
        <v>299541</v>
      </c>
      <c r="CS92" s="1724">
        <v>0</v>
      </c>
      <c r="CT92" s="1728" t="s">
        <v>2861</v>
      </c>
      <c r="CU92" s="1729">
        <v>43178</v>
      </c>
      <c r="CV92" s="1724">
        <v>484769.35</v>
      </c>
      <c r="CW92" s="1724">
        <v>0</v>
      </c>
      <c r="CX92" s="1724">
        <v>0</v>
      </c>
      <c r="CY92" s="1724">
        <v>362503.74</v>
      </c>
      <c r="CZ92" s="1724">
        <v>114998.39999999999</v>
      </c>
      <c r="DA92" s="1724">
        <v>2420</v>
      </c>
      <c r="DB92" s="1724">
        <v>0</v>
      </c>
      <c r="DC92" s="1724">
        <v>4847.21</v>
      </c>
      <c r="DD92" s="1724">
        <v>484769.35</v>
      </c>
      <c r="DE92" s="1724">
        <v>299541</v>
      </c>
      <c r="DF92" s="1724">
        <v>299541</v>
      </c>
      <c r="DG92" s="1724">
        <v>0</v>
      </c>
      <c r="DH92" s="1724">
        <v>185228.35</v>
      </c>
      <c r="DI92" s="1724">
        <v>185228.35</v>
      </c>
      <c r="DJ92" s="1724">
        <v>0</v>
      </c>
      <c r="DK92" s="1724">
        <v>185228.35</v>
      </c>
      <c r="DL92" s="1724">
        <v>0</v>
      </c>
      <c r="DM92" s="1724">
        <v>0</v>
      </c>
      <c r="DN92" s="1724">
        <v>0</v>
      </c>
      <c r="DO92" s="1724">
        <v>0</v>
      </c>
      <c r="DP92" s="1724">
        <v>0</v>
      </c>
      <c r="DQ92" s="1728" t="s">
        <v>2886</v>
      </c>
      <c r="DR92" s="1724">
        <v>0</v>
      </c>
      <c r="DS92" s="1728" t="s">
        <v>2833</v>
      </c>
      <c r="DT92" s="1726"/>
      <c r="DU92" s="1728" t="s">
        <v>2861</v>
      </c>
      <c r="DV92" s="1729">
        <v>43830</v>
      </c>
    </row>
    <row r="93" spans="1:126" x14ac:dyDescent="0.25">
      <c r="A93" s="1662" t="s">
        <v>2080</v>
      </c>
      <c r="B93" s="1662" t="s">
        <v>1727</v>
      </c>
      <c r="C93" s="1662"/>
      <c r="D93" s="1662"/>
      <c r="E93" s="1662"/>
      <c r="F93" s="1662"/>
      <c r="G93" s="1662"/>
      <c r="H93" s="1662"/>
      <c r="I93" s="1662"/>
      <c r="J93" s="1662"/>
      <c r="K93" s="1668"/>
      <c r="L93" s="1668"/>
      <c r="M93" s="1662"/>
      <c r="N93" s="1662"/>
      <c r="O93" s="1662"/>
      <c r="P93" s="1662"/>
      <c r="Q93" s="1662"/>
      <c r="R93" s="1662"/>
      <c r="S93" s="1662"/>
      <c r="T93" s="1662"/>
      <c r="U93" s="1662"/>
      <c r="V93" s="1662"/>
      <c r="W93" s="1662"/>
      <c r="X93" s="1662"/>
      <c r="Y93" s="1662"/>
      <c r="Z93" s="1662"/>
      <c r="AA93" s="1662"/>
      <c r="AB93" s="1662"/>
      <c r="AC93" s="1662"/>
      <c r="AD93" s="1662"/>
      <c r="AE93" s="1662"/>
      <c r="AF93" s="1662"/>
      <c r="AG93" s="1662"/>
      <c r="AH93" s="1662"/>
      <c r="AI93" s="1662"/>
      <c r="AJ93" s="1662"/>
      <c r="AK93" s="1662"/>
      <c r="AL93" s="1662"/>
      <c r="AM93" s="1663"/>
      <c r="AN93" s="1662"/>
      <c r="AO93" s="1662"/>
      <c r="AP93" s="1662"/>
      <c r="AQ93" s="1662"/>
      <c r="AR93" s="1662"/>
      <c r="AS93" s="1662"/>
      <c r="AT93" s="1662"/>
      <c r="AU93" s="1662"/>
      <c r="AV93" s="1662"/>
      <c r="AW93" s="1662"/>
      <c r="AX93" s="1662"/>
      <c r="AY93" s="1662"/>
      <c r="AZ93" s="1662"/>
      <c r="BA93" s="1662"/>
      <c r="BB93" s="1662"/>
      <c r="BC93" s="1662"/>
      <c r="BD93" s="1662"/>
      <c r="BE93" s="1662"/>
      <c r="BF93" s="1662"/>
      <c r="BG93" s="1662"/>
      <c r="BH93" s="1662"/>
      <c r="BI93" s="1662"/>
      <c r="BJ93" s="1662"/>
      <c r="BK93" s="1662"/>
      <c r="BL93" s="1662"/>
      <c r="BM93" s="1662"/>
      <c r="BN93" s="1663"/>
      <c r="BO93" s="1668"/>
      <c r="BP93" s="1668"/>
      <c r="BQ93" s="1662"/>
      <c r="BR93" s="1668"/>
      <c r="BS93" s="1662"/>
      <c r="BT93" s="1662"/>
      <c r="BU93" s="1663"/>
      <c r="BV93" s="1665">
        <v>2570754.4500000002</v>
      </c>
      <c r="BW93" s="1668"/>
      <c r="BX93" s="1668"/>
      <c r="BY93" s="1662"/>
      <c r="BZ93" s="1662"/>
      <c r="CA93" s="1662"/>
      <c r="CB93" s="1662"/>
      <c r="CC93" s="1662"/>
      <c r="CD93" s="1724">
        <v>10262357.25</v>
      </c>
      <c r="CE93" s="1724">
        <v>10086784.77</v>
      </c>
      <c r="CF93" s="1724">
        <v>8571324.2799999993</v>
      </c>
      <c r="CG93" s="1724">
        <v>84.98</v>
      </c>
      <c r="CH93" s="1724">
        <v>1515460.49</v>
      </c>
      <c r="CI93" s="1724">
        <v>15.02</v>
      </c>
      <c r="CJ93" s="1724">
        <v>10086784.77</v>
      </c>
      <c r="CK93" s="1724">
        <v>100</v>
      </c>
      <c r="CL93" s="1725"/>
      <c r="CM93" s="1726"/>
      <c r="CN93" s="1727"/>
      <c r="CO93" s="1728"/>
      <c r="CP93" s="1726"/>
      <c r="CQ93" s="1724">
        <v>8571324.2699999996</v>
      </c>
      <c r="CR93" s="1724">
        <v>7789935.7199999997</v>
      </c>
      <c r="CS93" s="1724">
        <v>781388.55</v>
      </c>
      <c r="CT93" s="1728"/>
      <c r="CU93" s="1726"/>
      <c r="CV93" s="1724">
        <v>10086784.77</v>
      </c>
      <c r="CW93" s="1724">
        <v>0</v>
      </c>
      <c r="CX93" s="1724">
        <v>2404440.48</v>
      </c>
      <c r="CY93" s="1724">
        <v>4424730.7699999996</v>
      </c>
      <c r="CZ93" s="1724">
        <v>231185.23</v>
      </c>
      <c r="DA93" s="1724">
        <v>2231785.4500000002</v>
      </c>
      <c r="DB93" s="1724">
        <v>5050.41</v>
      </c>
      <c r="DC93" s="1724">
        <v>789592.43</v>
      </c>
      <c r="DD93" s="1724">
        <v>10034955.83</v>
      </c>
      <c r="DE93" s="1724">
        <v>8571324.2699999996</v>
      </c>
      <c r="DF93" s="1724">
        <v>7789935.7199999997</v>
      </c>
      <c r="DG93" s="1724">
        <v>781388.55</v>
      </c>
      <c r="DH93" s="1724">
        <v>1515460.5</v>
      </c>
      <c r="DI93" s="1724">
        <v>1463631.56</v>
      </c>
      <c r="DJ93" s="1724">
        <v>0</v>
      </c>
      <c r="DK93" s="1724">
        <v>1462331.61</v>
      </c>
      <c r="DL93" s="1724">
        <v>1299.95</v>
      </c>
      <c r="DM93" s="1724">
        <v>51828.94</v>
      </c>
      <c r="DN93" s="1724">
        <v>51828.94</v>
      </c>
      <c r="DO93" s="1724">
        <v>0</v>
      </c>
      <c r="DP93" s="1724">
        <v>0</v>
      </c>
      <c r="DQ93" s="1728"/>
      <c r="DR93" s="1727"/>
      <c r="DS93" s="1728"/>
      <c r="DT93" s="1726"/>
      <c r="DU93" s="1728"/>
      <c r="DV93" s="1726"/>
    </row>
    <row r="94" spans="1:126" x14ac:dyDescent="0.25">
      <c r="A94" s="1662" t="s">
        <v>2081</v>
      </c>
      <c r="B94" s="1662" t="s">
        <v>1727</v>
      </c>
      <c r="C94" s="1662" t="s">
        <v>2636</v>
      </c>
      <c r="D94" s="1662"/>
      <c r="E94" s="1662"/>
      <c r="F94" s="1662"/>
      <c r="G94" s="1662"/>
      <c r="H94" s="1662"/>
      <c r="I94" s="1662"/>
      <c r="J94" s="1662"/>
      <c r="K94" s="1668"/>
      <c r="L94" s="1668"/>
      <c r="M94" s="1662"/>
      <c r="N94" s="1662"/>
      <c r="O94" s="1662"/>
      <c r="P94" s="1662"/>
      <c r="Q94" s="1662"/>
      <c r="R94" s="1662"/>
      <c r="S94" s="1662"/>
      <c r="T94" s="1662"/>
      <c r="U94" s="1662"/>
      <c r="V94" s="1662"/>
      <c r="W94" s="1662"/>
      <c r="X94" s="1662"/>
      <c r="Y94" s="1662"/>
      <c r="Z94" s="1662"/>
      <c r="AA94" s="1662"/>
      <c r="AB94" s="1662"/>
      <c r="AC94" s="1662"/>
      <c r="AD94" s="1662"/>
      <c r="AE94" s="1662"/>
      <c r="AF94" s="1662"/>
      <c r="AG94" s="1662"/>
      <c r="AH94" s="1662"/>
      <c r="AI94" s="1662"/>
      <c r="AJ94" s="1662"/>
      <c r="AK94" s="1662"/>
      <c r="AL94" s="1662"/>
      <c r="AM94" s="1663"/>
      <c r="AN94" s="1662"/>
      <c r="AO94" s="1662"/>
      <c r="AP94" s="1662"/>
      <c r="AQ94" s="1662"/>
      <c r="AR94" s="1662"/>
      <c r="AS94" s="1662"/>
      <c r="AT94" s="1662"/>
      <c r="AU94" s="1662"/>
      <c r="AV94" s="1662"/>
      <c r="AW94" s="1662"/>
      <c r="AX94" s="1662"/>
      <c r="AY94" s="1662"/>
      <c r="AZ94" s="1662"/>
      <c r="BA94" s="1662"/>
      <c r="BB94" s="1662"/>
      <c r="BC94" s="1662"/>
      <c r="BD94" s="1662"/>
      <c r="BE94" s="1662"/>
      <c r="BF94" s="1662"/>
      <c r="BG94" s="1662"/>
      <c r="BH94" s="1662"/>
      <c r="BI94" s="1662"/>
      <c r="BJ94" s="1662"/>
      <c r="BK94" s="1662"/>
      <c r="BL94" s="1662"/>
      <c r="BM94" s="1662"/>
      <c r="BN94" s="1663"/>
      <c r="BO94" s="1668"/>
      <c r="BP94" s="1668"/>
      <c r="BQ94" s="1662"/>
      <c r="BR94" s="1668"/>
      <c r="BS94" s="1662"/>
      <c r="BT94" s="1662"/>
      <c r="BU94" s="1663"/>
      <c r="BV94" s="1665">
        <v>1028604.8</v>
      </c>
      <c r="BW94" s="1668"/>
      <c r="BX94" s="1668"/>
      <c r="BY94" s="1662"/>
      <c r="BZ94" s="1662"/>
      <c r="CA94" s="1662"/>
      <c r="CB94" s="1662"/>
      <c r="CC94" s="1662"/>
      <c r="CD94" s="1724">
        <v>4260805.87</v>
      </c>
      <c r="CE94" s="1724">
        <v>4238690.67</v>
      </c>
      <c r="CF94" s="1724">
        <v>3428682.65</v>
      </c>
      <c r="CG94" s="1724">
        <v>80.89</v>
      </c>
      <c r="CH94" s="1724">
        <v>810008.02</v>
      </c>
      <c r="CI94" s="1724">
        <v>19.11</v>
      </c>
      <c r="CJ94" s="1724">
        <v>4238690.67</v>
      </c>
      <c r="CK94" s="1724">
        <v>100</v>
      </c>
      <c r="CL94" s="1725"/>
      <c r="CM94" s="1726"/>
      <c r="CN94" s="1727"/>
      <c r="CO94" s="1728"/>
      <c r="CP94" s="1726"/>
      <c r="CQ94" s="1724">
        <v>3428682.64</v>
      </c>
      <c r="CR94" s="1724">
        <v>3406734.79</v>
      </c>
      <c r="CS94" s="1724">
        <v>21947.85</v>
      </c>
      <c r="CT94" s="1728"/>
      <c r="CU94" s="1726"/>
      <c r="CV94" s="1724">
        <v>4238690.67</v>
      </c>
      <c r="CW94" s="1724">
        <v>0</v>
      </c>
      <c r="CX94" s="1724">
        <v>2404440.48</v>
      </c>
      <c r="CY94" s="1724">
        <v>1734652.97</v>
      </c>
      <c r="CZ94" s="1724">
        <v>55632.98</v>
      </c>
      <c r="DA94" s="1724">
        <v>11374</v>
      </c>
      <c r="DB94" s="1724">
        <v>2610.79</v>
      </c>
      <c r="DC94" s="1724">
        <v>29979.45</v>
      </c>
      <c r="DD94" s="1724">
        <v>4238690.67</v>
      </c>
      <c r="DE94" s="1724">
        <v>3428682.64</v>
      </c>
      <c r="DF94" s="1724">
        <v>3406734.79</v>
      </c>
      <c r="DG94" s="1724">
        <v>21947.85</v>
      </c>
      <c r="DH94" s="1724">
        <v>810008.03</v>
      </c>
      <c r="DI94" s="1724">
        <v>810008.03</v>
      </c>
      <c r="DJ94" s="1724">
        <v>0</v>
      </c>
      <c r="DK94" s="1724">
        <v>810008.03</v>
      </c>
      <c r="DL94" s="1724">
        <v>0</v>
      </c>
      <c r="DM94" s="1724">
        <v>0</v>
      </c>
      <c r="DN94" s="1724">
        <v>0</v>
      </c>
      <c r="DO94" s="1724">
        <v>0</v>
      </c>
      <c r="DP94" s="1724">
        <v>0</v>
      </c>
      <c r="DQ94" s="1728"/>
      <c r="DR94" s="1727"/>
      <c r="DS94" s="1728"/>
      <c r="DT94" s="1726"/>
      <c r="DU94" s="1728"/>
      <c r="DV94" s="1726"/>
    </row>
    <row r="95" spans="1:126" ht="22.5" x14ac:dyDescent="0.25">
      <c r="A95" s="1662" t="s">
        <v>2082</v>
      </c>
      <c r="B95" s="1662" t="s">
        <v>1727</v>
      </c>
      <c r="C95" s="1662" t="s">
        <v>2636</v>
      </c>
      <c r="D95" s="1662" t="s">
        <v>2637</v>
      </c>
      <c r="E95" s="1662"/>
      <c r="F95" s="1662"/>
      <c r="G95" s="1662"/>
      <c r="H95" s="1662"/>
      <c r="I95" s="1662"/>
      <c r="J95" s="1662"/>
      <c r="K95" s="1668"/>
      <c r="L95" s="1668"/>
      <c r="M95" s="1662"/>
      <c r="N95" s="1662"/>
      <c r="O95" s="1662"/>
      <c r="P95" s="1662"/>
      <c r="Q95" s="1662"/>
      <c r="R95" s="1662"/>
      <c r="S95" s="1662"/>
      <c r="T95" s="1662"/>
      <c r="U95" s="1662"/>
      <c r="V95" s="1662"/>
      <c r="W95" s="1662"/>
      <c r="X95" s="1662"/>
      <c r="Y95" s="1662"/>
      <c r="Z95" s="1662"/>
      <c r="AA95" s="1662"/>
      <c r="AB95" s="1662"/>
      <c r="AC95" s="1662"/>
      <c r="AD95" s="1662"/>
      <c r="AE95" s="1662"/>
      <c r="AF95" s="1662"/>
      <c r="AG95" s="1662"/>
      <c r="AH95" s="1662"/>
      <c r="AI95" s="1662"/>
      <c r="AJ95" s="1662"/>
      <c r="AK95" s="1662"/>
      <c r="AL95" s="1662"/>
      <c r="AM95" s="1663"/>
      <c r="AN95" s="1662"/>
      <c r="AO95" s="1662"/>
      <c r="AP95" s="1662"/>
      <c r="AQ95" s="1662"/>
      <c r="AR95" s="1662"/>
      <c r="AS95" s="1662"/>
      <c r="AT95" s="1662"/>
      <c r="AU95" s="1662"/>
      <c r="AV95" s="1662"/>
      <c r="AW95" s="1662"/>
      <c r="AX95" s="1662"/>
      <c r="AY95" s="1662"/>
      <c r="AZ95" s="1662"/>
      <c r="BA95" s="1662"/>
      <c r="BB95" s="1662"/>
      <c r="BC95" s="1662"/>
      <c r="BD95" s="1662"/>
      <c r="BE95" s="1662"/>
      <c r="BF95" s="1662"/>
      <c r="BG95" s="1662"/>
      <c r="BH95" s="1662"/>
      <c r="BI95" s="1662"/>
      <c r="BJ95" s="1662"/>
      <c r="BK95" s="1662"/>
      <c r="BL95" s="1662"/>
      <c r="BM95" s="1662"/>
      <c r="BN95" s="1663"/>
      <c r="BO95" s="1668"/>
      <c r="BP95" s="1668"/>
      <c r="BQ95" s="1662"/>
      <c r="BR95" s="1668"/>
      <c r="BS95" s="1662"/>
      <c r="BT95" s="1662"/>
      <c r="BU95" s="1663"/>
      <c r="BV95" s="1665">
        <v>272312.7</v>
      </c>
      <c r="BW95" s="1668"/>
      <c r="BX95" s="1668"/>
      <c r="BY95" s="1662"/>
      <c r="BZ95" s="1662"/>
      <c r="CA95" s="1662"/>
      <c r="CB95" s="1662"/>
      <c r="CC95" s="1662"/>
      <c r="CD95" s="1724">
        <v>1292252.51</v>
      </c>
      <c r="CE95" s="1724">
        <v>1272489.55</v>
      </c>
      <c r="CF95" s="1724">
        <v>907709</v>
      </c>
      <c r="CG95" s="1724">
        <v>71.33</v>
      </c>
      <c r="CH95" s="1724">
        <v>364780.55</v>
      </c>
      <c r="CI95" s="1724">
        <v>28.67</v>
      </c>
      <c r="CJ95" s="1724">
        <v>1272489.55</v>
      </c>
      <c r="CK95" s="1724">
        <v>100</v>
      </c>
      <c r="CL95" s="1725"/>
      <c r="CM95" s="1726"/>
      <c r="CN95" s="1727"/>
      <c r="CO95" s="1728"/>
      <c r="CP95" s="1726"/>
      <c r="CQ95" s="1724">
        <v>907709</v>
      </c>
      <c r="CR95" s="1724">
        <v>885761.15</v>
      </c>
      <c r="CS95" s="1724">
        <v>21947.85</v>
      </c>
      <c r="CT95" s="1728"/>
      <c r="CU95" s="1726"/>
      <c r="CV95" s="1724">
        <v>1272489.55</v>
      </c>
      <c r="CW95" s="1724">
        <v>0</v>
      </c>
      <c r="CX95" s="1724">
        <v>0</v>
      </c>
      <c r="CY95" s="1724">
        <v>1216888.03</v>
      </c>
      <c r="CZ95" s="1724">
        <v>44396.46</v>
      </c>
      <c r="DA95" s="1724">
        <v>0</v>
      </c>
      <c r="DB95" s="1724">
        <v>851.75</v>
      </c>
      <c r="DC95" s="1724">
        <v>10353.31</v>
      </c>
      <c r="DD95" s="1724">
        <v>1272489.55</v>
      </c>
      <c r="DE95" s="1724">
        <v>907709</v>
      </c>
      <c r="DF95" s="1724">
        <v>885761.15</v>
      </c>
      <c r="DG95" s="1724">
        <v>21947.85</v>
      </c>
      <c r="DH95" s="1724">
        <v>364780.55</v>
      </c>
      <c r="DI95" s="1724">
        <v>364780.55</v>
      </c>
      <c r="DJ95" s="1724">
        <v>0</v>
      </c>
      <c r="DK95" s="1724">
        <v>364780.55</v>
      </c>
      <c r="DL95" s="1724">
        <v>0</v>
      </c>
      <c r="DM95" s="1724">
        <v>0</v>
      </c>
      <c r="DN95" s="1724">
        <v>0</v>
      </c>
      <c r="DO95" s="1724">
        <v>0</v>
      </c>
      <c r="DP95" s="1724">
        <v>0</v>
      </c>
      <c r="DQ95" s="1728"/>
      <c r="DR95" s="1727"/>
      <c r="DS95" s="1728"/>
      <c r="DT95" s="1726"/>
      <c r="DU95" s="1728"/>
      <c r="DV95" s="1726"/>
    </row>
    <row r="96" spans="1:126" ht="22.5" x14ac:dyDescent="0.25">
      <c r="A96" s="1662" t="s">
        <v>2083</v>
      </c>
      <c r="B96" s="1662" t="s">
        <v>1727</v>
      </c>
      <c r="C96" s="1662" t="s">
        <v>2636</v>
      </c>
      <c r="D96" s="1662" t="s">
        <v>2637</v>
      </c>
      <c r="E96" s="1662" t="s">
        <v>2308</v>
      </c>
      <c r="F96" s="1662" t="s">
        <v>3101</v>
      </c>
      <c r="G96" s="1662"/>
      <c r="H96" s="1662"/>
      <c r="I96" s="1662"/>
      <c r="J96" s="1662"/>
      <c r="K96" s="1668"/>
      <c r="L96" s="1668"/>
      <c r="M96" s="1662"/>
      <c r="N96" s="1662"/>
      <c r="O96" s="1662"/>
      <c r="P96" s="1662"/>
      <c r="Q96" s="1662"/>
      <c r="R96" s="1662"/>
      <c r="S96" s="1662"/>
      <c r="T96" s="1662"/>
      <c r="U96" s="1662"/>
      <c r="V96" s="1662"/>
      <c r="W96" s="1662"/>
      <c r="X96" s="1662"/>
      <c r="Y96" s="1662"/>
      <c r="Z96" s="1662"/>
      <c r="AA96" s="1662"/>
      <c r="AB96" s="1662"/>
      <c r="AC96" s="1662"/>
      <c r="AD96" s="1662"/>
      <c r="AE96" s="1662"/>
      <c r="AF96" s="1662"/>
      <c r="AG96" s="1662"/>
      <c r="AH96" s="1662"/>
      <c r="AI96" s="1662"/>
      <c r="AJ96" s="1662"/>
      <c r="AK96" s="1662"/>
      <c r="AL96" s="1662"/>
      <c r="AM96" s="1663"/>
      <c r="AN96" s="1662"/>
      <c r="AO96" s="1662"/>
      <c r="AP96" s="1662"/>
      <c r="AQ96" s="1662"/>
      <c r="AR96" s="1662"/>
      <c r="AS96" s="1662"/>
      <c r="AT96" s="1662"/>
      <c r="AU96" s="1662"/>
      <c r="AV96" s="1662"/>
      <c r="AW96" s="1662"/>
      <c r="AX96" s="1662"/>
      <c r="AY96" s="1662"/>
      <c r="AZ96" s="1662"/>
      <c r="BA96" s="1662"/>
      <c r="BB96" s="1662"/>
      <c r="BC96" s="1662"/>
      <c r="BD96" s="1662"/>
      <c r="BE96" s="1662"/>
      <c r="BF96" s="1662"/>
      <c r="BG96" s="1662"/>
      <c r="BH96" s="1662"/>
      <c r="BI96" s="1662"/>
      <c r="BJ96" s="1662"/>
      <c r="BK96" s="1662"/>
      <c r="BL96" s="1662"/>
      <c r="BM96" s="1662"/>
      <c r="BN96" s="1663"/>
      <c r="BO96" s="1668"/>
      <c r="BP96" s="1668"/>
      <c r="BQ96" s="1662"/>
      <c r="BR96" s="1668"/>
      <c r="BS96" s="1662"/>
      <c r="BT96" s="1662"/>
      <c r="BU96" s="1663"/>
      <c r="BV96" s="1665">
        <v>272312.7</v>
      </c>
      <c r="BW96" s="1668"/>
      <c r="BX96" s="1668"/>
      <c r="BY96" s="1662"/>
      <c r="BZ96" s="1662"/>
      <c r="CA96" s="1662"/>
      <c r="CB96" s="1662"/>
      <c r="CC96" s="1662"/>
      <c r="CD96" s="1724">
        <v>1292252.51</v>
      </c>
      <c r="CE96" s="1724">
        <v>1272489.55</v>
      </c>
      <c r="CF96" s="1724">
        <v>907709</v>
      </c>
      <c r="CG96" s="1724">
        <v>71.33</v>
      </c>
      <c r="CH96" s="1724">
        <v>364780.55</v>
      </c>
      <c r="CI96" s="1724">
        <v>28.67</v>
      </c>
      <c r="CJ96" s="1724">
        <v>1272489.55</v>
      </c>
      <c r="CK96" s="1724">
        <v>100</v>
      </c>
      <c r="CL96" s="1725"/>
      <c r="CM96" s="1726"/>
      <c r="CN96" s="1727"/>
      <c r="CO96" s="1728"/>
      <c r="CP96" s="1726"/>
      <c r="CQ96" s="1724">
        <v>907709</v>
      </c>
      <c r="CR96" s="1724">
        <v>885761.15</v>
      </c>
      <c r="CS96" s="1724">
        <v>21947.85</v>
      </c>
      <c r="CT96" s="1728"/>
      <c r="CU96" s="1726"/>
      <c r="CV96" s="1724">
        <v>1272489.55</v>
      </c>
      <c r="CW96" s="1724">
        <v>0</v>
      </c>
      <c r="CX96" s="1724">
        <v>0</v>
      </c>
      <c r="CY96" s="1724">
        <v>1216888.03</v>
      </c>
      <c r="CZ96" s="1724">
        <v>44396.46</v>
      </c>
      <c r="DA96" s="1724">
        <v>0</v>
      </c>
      <c r="DB96" s="1724">
        <v>851.75</v>
      </c>
      <c r="DC96" s="1724">
        <v>10353.31</v>
      </c>
      <c r="DD96" s="1724">
        <v>1272489.55</v>
      </c>
      <c r="DE96" s="1724">
        <v>907709</v>
      </c>
      <c r="DF96" s="1724">
        <v>885761.15</v>
      </c>
      <c r="DG96" s="1724">
        <v>21947.85</v>
      </c>
      <c r="DH96" s="1724">
        <v>364780.55</v>
      </c>
      <c r="DI96" s="1724">
        <v>364780.55</v>
      </c>
      <c r="DJ96" s="1724">
        <v>0</v>
      </c>
      <c r="DK96" s="1724">
        <v>364780.55</v>
      </c>
      <c r="DL96" s="1724">
        <v>0</v>
      </c>
      <c r="DM96" s="1724">
        <v>0</v>
      </c>
      <c r="DN96" s="1724">
        <v>0</v>
      </c>
      <c r="DO96" s="1724">
        <v>0</v>
      </c>
      <c r="DP96" s="1724">
        <v>0</v>
      </c>
      <c r="DQ96" s="1728"/>
      <c r="DR96" s="1727"/>
      <c r="DS96" s="1728"/>
      <c r="DT96" s="1726"/>
      <c r="DU96" s="1728"/>
      <c r="DV96" s="1726"/>
    </row>
    <row r="97" spans="1:126" ht="90" x14ac:dyDescent="0.25">
      <c r="A97" s="1662" t="s">
        <v>2084</v>
      </c>
      <c r="B97" s="1662" t="s">
        <v>1727</v>
      </c>
      <c r="C97" s="1662" t="s">
        <v>2636</v>
      </c>
      <c r="D97" s="1662" t="s">
        <v>2637</v>
      </c>
      <c r="E97" s="1662" t="s">
        <v>2308</v>
      </c>
      <c r="F97" s="1662" t="s">
        <v>3101</v>
      </c>
      <c r="G97" s="1662" t="s">
        <v>2638</v>
      </c>
      <c r="H97" s="1662" t="s">
        <v>2628</v>
      </c>
      <c r="I97" s="1662" t="s">
        <v>2613</v>
      </c>
      <c r="J97" s="1662" t="s">
        <v>733</v>
      </c>
      <c r="K97" s="1664">
        <v>42734</v>
      </c>
      <c r="L97" s="1664">
        <v>42851</v>
      </c>
      <c r="M97" s="1662" t="s">
        <v>315</v>
      </c>
      <c r="N97" s="1662" t="s">
        <v>2109</v>
      </c>
      <c r="O97" s="1662" t="s">
        <v>3102</v>
      </c>
      <c r="P97" s="1662" t="s">
        <v>2833</v>
      </c>
      <c r="Q97" s="1662" t="s">
        <v>1753</v>
      </c>
      <c r="R97" s="1662" t="s">
        <v>2833</v>
      </c>
      <c r="S97" s="1662" t="s">
        <v>2833</v>
      </c>
      <c r="T97" s="1662"/>
      <c r="U97" s="1662" t="s">
        <v>2834</v>
      </c>
      <c r="V97" s="1662" t="s">
        <v>2833</v>
      </c>
      <c r="W97" s="1662" t="s">
        <v>2833</v>
      </c>
      <c r="X97" s="1662"/>
      <c r="Y97" s="1662" t="s">
        <v>2833</v>
      </c>
      <c r="Z97" s="1662"/>
      <c r="AA97" s="1662"/>
      <c r="AB97" s="1662" t="s">
        <v>2833</v>
      </c>
      <c r="AC97" s="1662" t="s">
        <v>2833</v>
      </c>
      <c r="AD97" s="1662" t="s">
        <v>2833</v>
      </c>
      <c r="AE97" s="1662"/>
      <c r="AF97" s="1662" t="s">
        <v>3103</v>
      </c>
      <c r="AG97" s="1662" t="s">
        <v>3104</v>
      </c>
      <c r="AH97" s="1662" t="s">
        <v>2867</v>
      </c>
      <c r="AI97" s="1662" t="s">
        <v>2838</v>
      </c>
      <c r="AJ97" s="1662" t="s">
        <v>2839</v>
      </c>
      <c r="AK97" s="1662" t="s">
        <v>3069</v>
      </c>
      <c r="AL97" s="1662" t="s">
        <v>3070</v>
      </c>
      <c r="AM97" s="1665">
        <v>100</v>
      </c>
      <c r="AN97" s="1662"/>
      <c r="AO97" s="1662"/>
      <c r="AP97" s="1662"/>
      <c r="AQ97" s="1662"/>
      <c r="AR97" s="1662"/>
      <c r="AS97" s="1662"/>
      <c r="AT97" s="1662" t="s">
        <v>2960</v>
      </c>
      <c r="AU97" s="1662" t="s">
        <v>2842</v>
      </c>
      <c r="AV97" s="1662" t="s">
        <v>3105</v>
      </c>
      <c r="AW97" s="1662"/>
      <c r="AX97" s="1662" t="s">
        <v>3106</v>
      </c>
      <c r="AY97" s="1662" t="s">
        <v>2874</v>
      </c>
      <c r="AZ97" s="1662" t="s">
        <v>236</v>
      </c>
      <c r="BA97" s="1662" t="s">
        <v>3009</v>
      </c>
      <c r="BB97" s="1662" t="s">
        <v>2833</v>
      </c>
      <c r="BC97" s="1662" t="s">
        <v>2876</v>
      </c>
      <c r="BD97" s="1662" t="s">
        <v>2849</v>
      </c>
      <c r="BE97" s="1662" t="s">
        <v>3010</v>
      </c>
      <c r="BF97" s="1662" t="s">
        <v>3107</v>
      </c>
      <c r="BG97" s="1662" t="s">
        <v>3012</v>
      </c>
      <c r="BH97" s="1662" t="s">
        <v>2050</v>
      </c>
      <c r="BI97" s="1662" t="s">
        <v>2881</v>
      </c>
      <c r="BJ97" s="1662" t="s">
        <v>2965</v>
      </c>
      <c r="BK97" s="1662" t="s">
        <v>2960</v>
      </c>
      <c r="BL97" s="1662" t="s">
        <v>2833</v>
      </c>
      <c r="BM97" s="1662" t="s">
        <v>2833</v>
      </c>
      <c r="BN97" s="1665">
        <v>0</v>
      </c>
      <c r="BO97" s="1664">
        <v>42851</v>
      </c>
      <c r="BP97" s="1664">
        <v>43708</v>
      </c>
      <c r="BQ97" s="1662" t="s">
        <v>2855</v>
      </c>
      <c r="BR97" s="1664">
        <v>46022</v>
      </c>
      <c r="BS97" s="1662" t="s">
        <v>3108</v>
      </c>
      <c r="BT97" s="1662" t="s">
        <v>3096</v>
      </c>
      <c r="BU97" s="1665">
        <v>30</v>
      </c>
      <c r="BV97" s="1665">
        <v>38616.300000000003</v>
      </c>
      <c r="BW97" s="1664">
        <v>43738</v>
      </c>
      <c r="BX97" s="1668"/>
      <c r="BY97" s="1662" t="s">
        <v>2096</v>
      </c>
      <c r="BZ97" s="1662" t="s">
        <v>2859</v>
      </c>
      <c r="CA97" s="1662" t="s">
        <v>2859</v>
      </c>
      <c r="CB97" s="1662" t="s">
        <v>2859</v>
      </c>
      <c r="CC97" s="1662" t="s">
        <v>2993</v>
      </c>
      <c r="CD97" s="1724">
        <v>151437</v>
      </c>
      <c r="CE97" s="1724">
        <v>151437</v>
      </c>
      <c r="CF97" s="1724">
        <v>128721</v>
      </c>
      <c r="CG97" s="1724">
        <v>85</v>
      </c>
      <c r="CH97" s="1724">
        <v>22716</v>
      </c>
      <c r="CI97" s="1724">
        <v>15</v>
      </c>
      <c r="CJ97" s="1724">
        <v>151437</v>
      </c>
      <c r="CK97" s="1724">
        <v>100</v>
      </c>
      <c r="CL97" s="1725" t="s">
        <v>2861</v>
      </c>
      <c r="CM97" s="1729">
        <v>42794</v>
      </c>
      <c r="CN97" s="1727"/>
      <c r="CO97" s="1728"/>
      <c r="CP97" s="1726"/>
      <c r="CQ97" s="1724">
        <v>128721</v>
      </c>
      <c r="CR97" s="1724">
        <v>128721</v>
      </c>
      <c r="CS97" s="1724">
        <v>0</v>
      </c>
      <c r="CT97" s="1728" t="s">
        <v>2861</v>
      </c>
      <c r="CU97" s="1729">
        <v>42810</v>
      </c>
      <c r="CV97" s="1724">
        <v>151437</v>
      </c>
      <c r="CW97" s="1724">
        <v>0</v>
      </c>
      <c r="CX97" s="1724">
        <v>0</v>
      </c>
      <c r="CY97" s="1724">
        <v>147587</v>
      </c>
      <c r="CZ97" s="1724">
        <v>3850</v>
      </c>
      <c r="DA97" s="1724">
        <v>0</v>
      </c>
      <c r="DB97" s="1724">
        <v>0</v>
      </c>
      <c r="DC97" s="1724">
        <v>0</v>
      </c>
      <c r="DD97" s="1724">
        <v>151437</v>
      </c>
      <c r="DE97" s="1724">
        <v>128721</v>
      </c>
      <c r="DF97" s="1724">
        <v>128721</v>
      </c>
      <c r="DG97" s="1724">
        <v>0</v>
      </c>
      <c r="DH97" s="1724">
        <v>22716</v>
      </c>
      <c r="DI97" s="1724">
        <v>22716</v>
      </c>
      <c r="DJ97" s="1724">
        <v>0</v>
      </c>
      <c r="DK97" s="1724">
        <v>22716</v>
      </c>
      <c r="DL97" s="1724">
        <v>0</v>
      </c>
      <c r="DM97" s="1724">
        <v>0</v>
      </c>
      <c r="DN97" s="1724">
        <v>0</v>
      </c>
      <c r="DO97" s="1724">
        <v>0</v>
      </c>
      <c r="DP97" s="1724">
        <v>0</v>
      </c>
      <c r="DQ97" s="1728" t="s">
        <v>2886</v>
      </c>
      <c r="DR97" s="1724">
        <v>0</v>
      </c>
      <c r="DS97" s="1728" t="s">
        <v>2833</v>
      </c>
      <c r="DT97" s="1726"/>
      <c r="DU97" s="1728" t="s">
        <v>2861</v>
      </c>
      <c r="DV97" s="1729">
        <v>43708</v>
      </c>
    </row>
    <row r="98" spans="1:126" ht="123.75" x14ac:dyDescent="0.25">
      <c r="A98" s="1662" t="s">
        <v>2085</v>
      </c>
      <c r="B98" s="1662" t="s">
        <v>1727</v>
      </c>
      <c r="C98" s="1662" t="s">
        <v>2636</v>
      </c>
      <c r="D98" s="1662" t="s">
        <v>2637</v>
      </c>
      <c r="E98" s="1662" t="s">
        <v>2308</v>
      </c>
      <c r="F98" s="1662" t="s">
        <v>3101</v>
      </c>
      <c r="G98" s="1662" t="s">
        <v>2638</v>
      </c>
      <c r="H98" s="1662" t="s">
        <v>2628</v>
      </c>
      <c r="I98" s="1662" t="s">
        <v>2613</v>
      </c>
      <c r="J98" s="1662" t="s">
        <v>732</v>
      </c>
      <c r="K98" s="1664">
        <v>42734</v>
      </c>
      <c r="L98" s="1664">
        <v>42849</v>
      </c>
      <c r="M98" s="1662" t="s">
        <v>313</v>
      </c>
      <c r="N98" s="1662" t="s">
        <v>2109</v>
      </c>
      <c r="O98" s="1662" t="s">
        <v>3109</v>
      </c>
      <c r="P98" s="1662" t="s">
        <v>2833</v>
      </c>
      <c r="Q98" s="1662" t="s">
        <v>1745</v>
      </c>
      <c r="R98" s="1662" t="s">
        <v>2833</v>
      </c>
      <c r="S98" s="1662" t="s">
        <v>2833</v>
      </c>
      <c r="T98" s="1662"/>
      <c r="U98" s="1662" t="s">
        <v>2834</v>
      </c>
      <c r="V98" s="1662" t="s">
        <v>2833</v>
      </c>
      <c r="W98" s="1662" t="s">
        <v>2833</v>
      </c>
      <c r="X98" s="1662"/>
      <c r="Y98" s="1662" t="s">
        <v>2833</v>
      </c>
      <c r="Z98" s="1662"/>
      <c r="AA98" s="1662"/>
      <c r="AB98" s="1662" t="s">
        <v>2833</v>
      </c>
      <c r="AC98" s="1662" t="s">
        <v>2833</v>
      </c>
      <c r="AD98" s="1662" t="s">
        <v>2833</v>
      </c>
      <c r="AE98" s="1662"/>
      <c r="AF98" s="1662" t="s">
        <v>3103</v>
      </c>
      <c r="AG98" s="1662" t="s">
        <v>3104</v>
      </c>
      <c r="AH98" s="1662" t="s">
        <v>2867</v>
      </c>
      <c r="AI98" s="1662" t="s">
        <v>2838</v>
      </c>
      <c r="AJ98" s="1662" t="s">
        <v>2839</v>
      </c>
      <c r="AK98" s="1662" t="s">
        <v>3069</v>
      </c>
      <c r="AL98" s="1662" t="s">
        <v>3070</v>
      </c>
      <c r="AM98" s="1665">
        <v>100</v>
      </c>
      <c r="AN98" s="1662"/>
      <c r="AO98" s="1662"/>
      <c r="AP98" s="1662"/>
      <c r="AQ98" s="1662"/>
      <c r="AR98" s="1662"/>
      <c r="AS98" s="1662"/>
      <c r="AT98" s="1662" t="s">
        <v>2946</v>
      </c>
      <c r="AU98" s="1662" t="s">
        <v>2842</v>
      </c>
      <c r="AV98" s="1662" t="s">
        <v>3105</v>
      </c>
      <c r="AW98" s="1662"/>
      <c r="AX98" s="1662" t="s">
        <v>3106</v>
      </c>
      <c r="AY98" s="1662" t="s">
        <v>2874</v>
      </c>
      <c r="AZ98" s="1662" t="s">
        <v>284</v>
      </c>
      <c r="BA98" s="1662" t="s">
        <v>2896</v>
      </c>
      <c r="BB98" s="1662" t="s">
        <v>2833</v>
      </c>
      <c r="BC98" s="1662" t="s">
        <v>2876</v>
      </c>
      <c r="BD98" s="1662" t="s">
        <v>2849</v>
      </c>
      <c r="BE98" s="1662" t="s">
        <v>2897</v>
      </c>
      <c r="BF98" s="1662" t="s">
        <v>3110</v>
      </c>
      <c r="BG98" s="1662" t="s">
        <v>2899</v>
      </c>
      <c r="BH98" s="1662" t="s">
        <v>2050</v>
      </c>
      <c r="BI98" s="1662" t="s">
        <v>2881</v>
      </c>
      <c r="BJ98" s="1662" t="s">
        <v>2900</v>
      </c>
      <c r="BK98" s="1662" t="s">
        <v>2946</v>
      </c>
      <c r="BL98" s="1662" t="s">
        <v>2833</v>
      </c>
      <c r="BM98" s="1662" t="s">
        <v>2833</v>
      </c>
      <c r="BN98" s="1665">
        <v>0</v>
      </c>
      <c r="BO98" s="1664">
        <v>42849</v>
      </c>
      <c r="BP98" s="1664">
        <v>43465</v>
      </c>
      <c r="BQ98" s="1662" t="s">
        <v>2855</v>
      </c>
      <c r="BR98" s="1664">
        <v>45657</v>
      </c>
      <c r="BS98" s="1662" t="s">
        <v>2901</v>
      </c>
      <c r="BT98" s="1662" t="s">
        <v>3111</v>
      </c>
      <c r="BU98" s="1665">
        <v>30</v>
      </c>
      <c r="BV98" s="1665">
        <v>37862.400000000001</v>
      </c>
      <c r="BW98" s="1664">
        <v>43495</v>
      </c>
      <c r="BX98" s="1668"/>
      <c r="BY98" s="1662" t="s">
        <v>2096</v>
      </c>
      <c r="BZ98" s="1662" t="s">
        <v>2858</v>
      </c>
      <c r="CA98" s="1662" t="s">
        <v>2859</v>
      </c>
      <c r="CB98" s="1662" t="s">
        <v>2859</v>
      </c>
      <c r="CC98" s="1662" t="s">
        <v>2993</v>
      </c>
      <c r="CD98" s="1724">
        <v>148480</v>
      </c>
      <c r="CE98" s="1724">
        <v>148480</v>
      </c>
      <c r="CF98" s="1724">
        <v>126208</v>
      </c>
      <c r="CG98" s="1724">
        <v>85</v>
      </c>
      <c r="CH98" s="1724">
        <v>22272</v>
      </c>
      <c r="CI98" s="1724">
        <v>15</v>
      </c>
      <c r="CJ98" s="1724">
        <v>148480</v>
      </c>
      <c r="CK98" s="1724">
        <v>100</v>
      </c>
      <c r="CL98" s="1725" t="s">
        <v>2861</v>
      </c>
      <c r="CM98" s="1729">
        <v>42793</v>
      </c>
      <c r="CN98" s="1727"/>
      <c r="CO98" s="1728"/>
      <c r="CP98" s="1726"/>
      <c r="CQ98" s="1724">
        <v>126208</v>
      </c>
      <c r="CR98" s="1724">
        <v>126208</v>
      </c>
      <c r="CS98" s="1724">
        <v>0</v>
      </c>
      <c r="CT98" s="1728" t="s">
        <v>2861</v>
      </c>
      <c r="CU98" s="1729">
        <v>42810</v>
      </c>
      <c r="CV98" s="1724">
        <v>148480</v>
      </c>
      <c r="CW98" s="1724">
        <v>0</v>
      </c>
      <c r="CX98" s="1724">
        <v>0</v>
      </c>
      <c r="CY98" s="1724">
        <v>132503.12</v>
      </c>
      <c r="CZ98" s="1724">
        <v>14001</v>
      </c>
      <c r="DA98" s="1724">
        <v>0</v>
      </c>
      <c r="DB98" s="1724">
        <v>29</v>
      </c>
      <c r="DC98" s="1724">
        <v>1946.88</v>
      </c>
      <c r="DD98" s="1724">
        <v>148480</v>
      </c>
      <c r="DE98" s="1724">
        <v>126208</v>
      </c>
      <c r="DF98" s="1724">
        <v>126208</v>
      </c>
      <c r="DG98" s="1724">
        <v>0</v>
      </c>
      <c r="DH98" s="1724">
        <v>22272</v>
      </c>
      <c r="DI98" s="1724">
        <v>22272</v>
      </c>
      <c r="DJ98" s="1724">
        <v>0</v>
      </c>
      <c r="DK98" s="1724">
        <v>22272</v>
      </c>
      <c r="DL98" s="1724">
        <v>0</v>
      </c>
      <c r="DM98" s="1724">
        <v>0</v>
      </c>
      <c r="DN98" s="1724">
        <v>0</v>
      </c>
      <c r="DO98" s="1724">
        <v>0</v>
      </c>
      <c r="DP98" s="1724">
        <v>0</v>
      </c>
      <c r="DQ98" s="1728" t="s">
        <v>2886</v>
      </c>
      <c r="DR98" s="1724">
        <v>0</v>
      </c>
      <c r="DS98" s="1728" t="s">
        <v>2833</v>
      </c>
      <c r="DT98" s="1726"/>
      <c r="DU98" s="1728" t="s">
        <v>2861</v>
      </c>
      <c r="DV98" s="1729">
        <v>43465</v>
      </c>
    </row>
    <row r="99" spans="1:126" ht="135" x14ac:dyDescent="0.25">
      <c r="A99" s="1662" t="s">
        <v>2086</v>
      </c>
      <c r="B99" s="1662" t="s">
        <v>1727</v>
      </c>
      <c r="C99" s="1662" t="s">
        <v>2636</v>
      </c>
      <c r="D99" s="1662" t="s">
        <v>2637</v>
      </c>
      <c r="E99" s="1662" t="s">
        <v>2308</v>
      </c>
      <c r="F99" s="1662" t="s">
        <v>3101</v>
      </c>
      <c r="G99" s="1662" t="s">
        <v>2638</v>
      </c>
      <c r="H99" s="1662" t="s">
        <v>2628</v>
      </c>
      <c r="I99" s="1662" t="s">
        <v>2613</v>
      </c>
      <c r="J99" s="1662" t="s">
        <v>734</v>
      </c>
      <c r="K99" s="1664">
        <v>42737</v>
      </c>
      <c r="L99" s="1664">
        <v>42825</v>
      </c>
      <c r="M99" s="1662" t="s">
        <v>316</v>
      </c>
      <c r="N99" s="1662" t="s">
        <v>2109</v>
      </c>
      <c r="O99" s="1662" t="s">
        <v>3112</v>
      </c>
      <c r="P99" s="1662" t="s">
        <v>2833</v>
      </c>
      <c r="Q99" s="1662" t="s">
        <v>1750</v>
      </c>
      <c r="R99" s="1662" t="s">
        <v>2833</v>
      </c>
      <c r="S99" s="1662" t="s">
        <v>2833</v>
      </c>
      <c r="T99" s="1662"/>
      <c r="U99" s="1662" t="s">
        <v>2834</v>
      </c>
      <c r="V99" s="1662" t="s">
        <v>2833</v>
      </c>
      <c r="W99" s="1662" t="s">
        <v>2833</v>
      </c>
      <c r="X99" s="1662"/>
      <c r="Y99" s="1662" t="s">
        <v>2833</v>
      </c>
      <c r="Z99" s="1662"/>
      <c r="AA99" s="1662"/>
      <c r="AB99" s="1662" t="s">
        <v>2833</v>
      </c>
      <c r="AC99" s="1662" t="s">
        <v>2833</v>
      </c>
      <c r="AD99" s="1662" t="s">
        <v>2833</v>
      </c>
      <c r="AE99" s="1662"/>
      <c r="AF99" s="1662" t="s">
        <v>3103</v>
      </c>
      <c r="AG99" s="1662" t="s">
        <v>3104</v>
      </c>
      <c r="AH99" s="1662" t="s">
        <v>2915</v>
      </c>
      <c r="AI99" s="1662" t="s">
        <v>2838</v>
      </c>
      <c r="AJ99" s="1662" t="s">
        <v>2839</v>
      </c>
      <c r="AK99" s="1662" t="s">
        <v>3069</v>
      </c>
      <c r="AL99" s="1662" t="s">
        <v>3070</v>
      </c>
      <c r="AM99" s="1665">
        <v>100</v>
      </c>
      <c r="AN99" s="1662"/>
      <c r="AO99" s="1662"/>
      <c r="AP99" s="1662"/>
      <c r="AQ99" s="1662"/>
      <c r="AR99" s="1662"/>
      <c r="AS99" s="1662"/>
      <c r="AT99" s="1662" t="s">
        <v>2946</v>
      </c>
      <c r="AU99" s="1662" t="s">
        <v>2842</v>
      </c>
      <c r="AV99" s="1662" t="s">
        <v>3105</v>
      </c>
      <c r="AW99" s="1662"/>
      <c r="AX99" s="1662" t="s">
        <v>3106</v>
      </c>
      <c r="AY99" s="1662" t="s">
        <v>2874</v>
      </c>
      <c r="AZ99" s="1662" t="s">
        <v>317</v>
      </c>
      <c r="BA99" s="1662" t="s">
        <v>3113</v>
      </c>
      <c r="BB99" s="1662" t="s">
        <v>2833</v>
      </c>
      <c r="BC99" s="1662" t="s">
        <v>2848</v>
      </c>
      <c r="BD99" s="1662" t="s">
        <v>2849</v>
      </c>
      <c r="BE99" s="1662" t="s">
        <v>3114</v>
      </c>
      <c r="BF99" s="1662" t="s">
        <v>3115</v>
      </c>
      <c r="BG99" s="1662" t="s">
        <v>3116</v>
      </c>
      <c r="BH99" s="1662" t="s">
        <v>2880</v>
      </c>
      <c r="BI99" s="1662" t="s">
        <v>2881</v>
      </c>
      <c r="BJ99" s="1662" t="s">
        <v>2892</v>
      </c>
      <c r="BK99" s="1662" t="s">
        <v>2946</v>
      </c>
      <c r="BL99" s="1662" t="s">
        <v>2833</v>
      </c>
      <c r="BM99" s="1662" t="s">
        <v>2833</v>
      </c>
      <c r="BN99" s="1665">
        <v>0</v>
      </c>
      <c r="BO99" s="1664">
        <v>42825</v>
      </c>
      <c r="BP99" s="1664">
        <v>43585</v>
      </c>
      <c r="BQ99" s="1662" t="s">
        <v>2855</v>
      </c>
      <c r="BR99" s="1664">
        <v>46022</v>
      </c>
      <c r="BS99" s="1662" t="s">
        <v>3108</v>
      </c>
      <c r="BT99" s="1662" t="s">
        <v>3117</v>
      </c>
      <c r="BU99" s="1665">
        <v>30</v>
      </c>
      <c r="BV99" s="1665">
        <v>43895.7</v>
      </c>
      <c r="BW99" s="1664">
        <v>43615</v>
      </c>
      <c r="BX99" s="1668"/>
      <c r="BY99" s="1662" t="s">
        <v>2096</v>
      </c>
      <c r="BZ99" s="1662" t="s">
        <v>2858</v>
      </c>
      <c r="CA99" s="1662" t="s">
        <v>2859</v>
      </c>
      <c r="CB99" s="1662" t="s">
        <v>2859</v>
      </c>
      <c r="CC99" s="1662" t="s">
        <v>2993</v>
      </c>
      <c r="CD99" s="1724">
        <v>166081.96</v>
      </c>
      <c r="CE99" s="1724">
        <v>146319</v>
      </c>
      <c r="CF99" s="1724">
        <v>146319</v>
      </c>
      <c r="CG99" s="1724">
        <v>100</v>
      </c>
      <c r="CH99" s="1724">
        <v>0</v>
      </c>
      <c r="CI99" s="1724">
        <v>0</v>
      </c>
      <c r="CJ99" s="1724">
        <v>146319</v>
      </c>
      <c r="CK99" s="1724">
        <v>100</v>
      </c>
      <c r="CL99" s="1725" t="s">
        <v>2861</v>
      </c>
      <c r="CM99" s="1729">
        <v>42793</v>
      </c>
      <c r="CN99" s="1727"/>
      <c r="CO99" s="1728"/>
      <c r="CP99" s="1726"/>
      <c r="CQ99" s="1724">
        <v>146319</v>
      </c>
      <c r="CR99" s="1724">
        <v>124371.15</v>
      </c>
      <c r="CS99" s="1724">
        <v>21947.85</v>
      </c>
      <c r="CT99" s="1728" t="s">
        <v>2861</v>
      </c>
      <c r="CU99" s="1729">
        <v>42807</v>
      </c>
      <c r="CV99" s="1724">
        <v>146319</v>
      </c>
      <c r="CW99" s="1724">
        <v>0</v>
      </c>
      <c r="CX99" s="1724">
        <v>0</v>
      </c>
      <c r="CY99" s="1724">
        <v>128462.87</v>
      </c>
      <c r="CZ99" s="1724">
        <v>15717.83</v>
      </c>
      <c r="DA99" s="1724">
        <v>0</v>
      </c>
      <c r="DB99" s="1724">
        <v>217.8</v>
      </c>
      <c r="DC99" s="1724">
        <v>1920.5</v>
      </c>
      <c r="DD99" s="1724">
        <v>146319</v>
      </c>
      <c r="DE99" s="1724">
        <v>146319</v>
      </c>
      <c r="DF99" s="1724">
        <v>124371.15</v>
      </c>
      <c r="DG99" s="1724">
        <v>21947.85</v>
      </c>
      <c r="DH99" s="1724">
        <v>0</v>
      </c>
      <c r="DI99" s="1724">
        <v>0</v>
      </c>
      <c r="DJ99" s="1724">
        <v>0</v>
      </c>
      <c r="DK99" s="1724">
        <v>0</v>
      </c>
      <c r="DL99" s="1724">
        <v>0</v>
      </c>
      <c r="DM99" s="1724">
        <v>0</v>
      </c>
      <c r="DN99" s="1724">
        <v>0</v>
      </c>
      <c r="DO99" s="1724">
        <v>0</v>
      </c>
      <c r="DP99" s="1724">
        <v>0</v>
      </c>
      <c r="DQ99" s="1728" t="s">
        <v>2886</v>
      </c>
      <c r="DR99" s="1724">
        <v>0</v>
      </c>
      <c r="DS99" s="1728" t="s">
        <v>2833</v>
      </c>
      <c r="DT99" s="1726"/>
      <c r="DU99" s="1728" t="s">
        <v>2861</v>
      </c>
      <c r="DV99" s="1729">
        <v>43585</v>
      </c>
    </row>
    <row r="100" spans="1:126" ht="78.75" x14ac:dyDescent="0.25">
      <c r="A100" s="1662" t="s">
        <v>2087</v>
      </c>
      <c r="B100" s="1662" t="s">
        <v>1727</v>
      </c>
      <c r="C100" s="1662" t="s">
        <v>2636</v>
      </c>
      <c r="D100" s="1662" t="s">
        <v>2637</v>
      </c>
      <c r="E100" s="1662" t="s">
        <v>2308</v>
      </c>
      <c r="F100" s="1662" t="s">
        <v>3101</v>
      </c>
      <c r="G100" s="1662" t="s">
        <v>2638</v>
      </c>
      <c r="H100" s="1662" t="s">
        <v>2628</v>
      </c>
      <c r="I100" s="1662" t="s">
        <v>2613</v>
      </c>
      <c r="J100" s="1662" t="s">
        <v>735</v>
      </c>
      <c r="K100" s="1664">
        <v>42738</v>
      </c>
      <c r="L100" s="1664">
        <v>42888</v>
      </c>
      <c r="M100" s="1662" t="s">
        <v>314</v>
      </c>
      <c r="N100" s="1662" t="s">
        <v>2109</v>
      </c>
      <c r="O100" s="1662" t="s">
        <v>3118</v>
      </c>
      <c r="P100" s="1662" t="s">
        <v>2833</v>
      </c>
      <c r="Q100" s="1662" t="s">
        <v>1749</v>
      </c>
      <c r="R100" s="1662" t="s">
        <v>2833</v>
      </c>
      <c r="S100" s="1662" t="s">
        <v>2833</v>
      </c>
      <c r="T100" s="1662"/>
      <c r="U100" s="1662" t="s">
        <v>2834</v>
      </c>
      <c r="V100" s="1662" t="s">
        <v>2833</v>
      </c>
      <c r="W100" s="1662" t="s">
        <v>2833</v>
      </c>
      <c r="X100" s="1662"/>
      <c r="Y100" s="1662" t="s">
        <v>2833</v>
      </c>
      <c r="Z100" s="1662"/>
      <c r="AA100" s="1662"/>
      <c r="AB100" s="1662" t="s">
        <v>2833</v>
      </c>
      <c r="AC100" s="1662" t="s">
        <v>2833</v>
      </c>
      <c r="AD100" s="1662" t="s">
        <v>2833</v>
      </c>
      <c r="AE100" s="1662"/>
      <c r="AF100" s="1662" t="s">
        <v>3103</v>
      </c>
      <c r="AG100" s="1662" t="s">
        <v>3104</v>
      </c>
      <c r="AH100" s="1662" t="s">
        <v>2867</v>
      </c>
      <c r="AI100" s="1662" t="s">
        <v>2838</v>
      </c>
      <c r="AJ100" s="1662" t="s">
        <v>2839</v>
      </c>
      <c r="AK100" s="1662" t="s">
        <v>3069</v>
      </c>
      <c r="AL100" s="1662" t="s">
        <v>3070</v>
      </c>
      <c r="AM100" s="1665">
        <v>100</v>
      </c>
      <c r="AN100" s="1662"/>
      <c r="AO100" s="1662"/>
      <c r="AP100" s="1662"/>
      <c r="AQ100" s="1662"/>
      <c r="AR100" s="1662"/>
      <c r="AS100" s="1662"/>
      <c r="AT100" s="1662" t="s">
        <v>2946</v>
      </c>
      <c r="AU100" s="1662" t="s">
        <v>2842</v>
      </c>
      <c r="AV100" s="1662" t="s">
        <v>3105</v>
      </c>
      <c r="AW100" s="1662"/>
      <c r="AX100" s="1662" t="s">
        <v>3106</v>
      </c>
      <c r="AY100" s="1662" t="s">
        <v>2874</v>
      </c>
      <c r="AZ100" s="1662" t="s">
        <v>184</v>
      </c>
      <c r="BA100" s="1662" t="s">
        <v>2904</v>
      </c>
      <c r="BB100" s="1662" t="s">
        <v>2833</v>
      </c>
      <c r="BC100" s="1662" t="s">
        <v>2876</v>
      </c>
      <c r="BD100" s="1662" t="s">
        <v>2849</v>
      </c>
      <c r="BE100" s="1662" t="s">
        <v>3034</v>
      </c>
      <c r="BF100" s="1662" t="s">
        <v>3119</v>
      </c>
      <c r="BG100" s="1662" t="s">
        <v>2907</v>
      </c>
      <c r="BH100" s="1662" t="s">
        <v>2050</v>
      </c>
      <c r="BI100" s="1662" t="s">
        <v>2881</v>
      </c>
      <c r="BJ100" s="1662" t="s">
        <v>2908</v>
      </c>
      <c r="BK100" s="1662" t="s">
        <v>2946</v>
      </c>
      <c r="BL100" s="1662" t="s">
        <v>2833</v>
      </c>
      <c r="BM100" s="1662" t="s">
        <v>2833</v>
      </c>
      <c r="BN100" s="1665">
        <v>0</v>
      </c>
      <c r="BO100" s="1664">
        <v>42888</v>
      </c>
      <c r="BP100" s="1664">
        <v>43616</v>
      </c>
      <c r="BQ100" s="1662" t="s">
        <v>2855</v>
      </c>
      <c r="BR100" s="1664">
        <v>46022</v>
      </c>
      <c r="BS100" s="1662" t="s">
        <v>2883</v>
      </c>
      <c r="BT100" s="1662" t="s">
        <v>3120</v>
      </c>
      <c r="BU100" s="1665">
        <v>30</v>
      </c>
      <c r="BV100" s="1665">
        <v>48030</v>
      </c>
      <c r="BW100" s="1664">
        <v>43646</v>
      </c>
      <c r="BX100" s="1668"/>
      <c r="BY100" s="1662" t="s">
        <v>2096</v>
      </c>
      <c r="BZ100" s="1662" t="s">
        <v>2858</v>
      </c>
      <c r="CA100" s="1662" t="s">
        <v>2859</v>
      </c>
      <c r="CB100" s="1662" t="s">
        <v>2859</v>
      </c>
      <c r="CC100" s="1662" t="s">
        <v>2993</v>
      </c>
      <c r="CD100" s="1724">
        <v>188353</v>
      </c>
      <c r="CE100" s="1724">
        <v>188353</v>
      </c>
      <c r="CF100" s="1724">
        <v>160100</v>
      </c>
      <c r="CG100" s="1724">
        <v>85</v>
      </c>
      <c r="CH100" s="1724">
        <v>28253</v>
      </c>
      <c r="CI100" s="1724">
        <v>15</v>
      </c>
      <c r="CJ100" s="1724">
        <v>188353</v>
      </c>
      <c r="CK100" s="1724">
        <v>100</v>
      </c>
      <c r="CL100" s="1725" t="s">
        <v>2861</v>
      </c>
      <c r="CM100" s="1729">
        <v>42795</v>
      </c>
      <c r="CN100" s="1727"/>
      <c r="CO100" s="1728"/>
      <c r="CP100" s="1726"/>
      <c r="CQ100" s="1724">
        <v>160100</v>
      </c>
      <c r="CR100" s="1724">
        <v>160100</v>
      </c>
      <c r="CS100" s="1724">
        <v>0</v>
      </c>
      <c r="CT100" s="1728" t="s">
        <v>2861</v>
      </c>
      <c r="CU100" s="1729">
        <v>42859</v>
      </c>
      <c r="CV100" s="1724">
        <v>188353</v>
      </c>
      <c r="CW100" s="1724">
        <v>0</v>
      </c>
      <c r="CX100" s="1724">
        <v>0</v>
      </c>
      <c r="CY100" s="1724">
        <v>175184.49</v>
      </c>
      <c r="CZ100" s="1724">
        <v>10827.63</v>
      </c>
      <c r="DA100" s="1724">
        <v>0</v>
      </c>
      <c r="DB100" s="1724">
        <v>354.95</v>
      </c>
      <c r="DC100" s="1724">
        <v>1985.93</v>
      </c>
      <c r="DD100" s="1724">
        <v>188353</v>
      </c>
      <c r="DE100" s="1724">
        <v>160100</v>
      </c>
      <c r="DF100" s="1724">
        <v>160100</v>
      </c>
      <c r="DG100" s="1724">
        <v>0</v>
      </c>
      <c r="DH100" s="1724">
        <v>28253</v>
      </c>
      <c r="DI100" s="1724">
        <v>28253</v>
      </c>
      <c r="DJ100" s="1724">
        <v>0</v>
      </c>
      <c r="DK100" s="1724">
        <v>28253</v>
      </c>
      <c r="DL100" s="1724">
        <v>0</v>
      </c>
      <c r="DM100" s="1724">
        <v>0</v>
      </c>
      <c r="DN100" s="1724">
        <v>0</v>
      </c>
      <c r="DO100" s="1724">
        <v>0</v>
      </c>
      <c r="DP100" s="1724">
        <v>0</v>
      </c>
      <c r="DQ100" s="1728" t="s">
        <v>2886</v>
      </c>
      <c r="DR100" s="1724">
        <v>0</v>
      </c>
      <c r="DS100" s="1728" t="s">
        <v>2833</v>
      </c>
      <c r="DT100" s="1726"/>
      <c r="DU100" s="1728" t="s">
        <v>2861</v>
      </c>
      <c r="DV100" s="1729">
        <v>43616</v>
      </c>
    </row>
    <row r="101" spans="1:126" ht="78.75" x14ac:dyDescent="0.25">
      <c r="A101" s="1662" t="s">
        <v>2088</v>
      </c>
      <c r="B101" s="1662" t="s">
        <v>1727</v>
      </c>
      <c r="C101" s="1662" t="s">
        <v>2636</v>
      </c>
      <c r="D101" s="1662" t="s">
        <v>2637</v>
      </c>
      <c r="E101" s="1662" t="s">
        <v>2308</v>
      </c>
      <c r="F101" s="1662" t="s">
        <v>3101</v>
      </c>
      <c r="G101" s="1662" t="s">
        <v>2638</v>
      </c>
      <c r="H101" s="1662" t="s">
        <v>2628</v>
      </c>
      <c r="I101" s="1662" t="s">
        <v>2613</v>
      </c>
      <c r="J101" s="1662" t="s">
        <v>736</v>
      </c>
      <c r="K101" s="1664">
        <v>42766</v>
      </c>
      <c r="L101" s="1664">
        <v>42936</v>
      </c>
      <c r="M101" s="1662" t="s">
        <v>218</v>
      </c>
      <c r="N101" s="1662" t="s">
        <v>2109</v>
      </c>
      <c r="O101" s="1662" t="s">
        <v>3121</v>
      </c>
      <c r="P101" s="1662" t="s">
        <v>2833</v>
      </c>
      <c r="Q101" s="1662" t="s">
        <v>1747</v>
      </c>
      <c r="R101" s="1662" t="s">
        <v>2833</v>
      </c>
      <c r="S101" s="1662" t="s">
        <v>2833</v>
      </c>
      <c r="T101" s="1662"/>
      <c r="U101" s="1662" t="s">
        <v>2834</v>
      </c>
      <c r="V101" s="1662" t="s">
        <v>2833</v>
      </c>
      <c r="W101" s="1662" t="s">
        <v>2861</v>
      </c>
      <c r="X101" s="1662"/>
      <c r="Y101" s="1662" t="s">
        <v>2833</v>
      </c>
      <c r="Z101" s="1662"/>
      <c r="AA101" s="1662"/>
      <c r="AB101" s="1662" t="s">
        <v>2833</v>
      </c>
      <c r="AC101" s="1662" t="s">
        <v>2833</v>
      </c>
      <c r="AD101" s="1662" t="s">
        <v>2833</v>
      </c>
      <c r="AE101" s="1662"/>
      <c r="AF101" s="1662" t="s">
        <v>3103</v>
      </c>
      <c r="AG101" s="1662" t="s">
        <v>3104</v>
      </c>
      <c r="AH101" s="1662" t="s">
        <v>2867</v>
      </c>
      <c r="AI101" s="1662" t="s">
        <v>2838</v>
      </c>
      <c r="AJ101" s="1662" t="s">
        <v>2839</v>
      </c>
      <c r="AK101" s="1662" t="s">
        <v>3069</v>
      </c>
      <c r="AL101" s="1662" t="s">
        <v>3070</v>
      </c>
      <c r="AM101" s="1665">
        <v>100</v>
      </c>
      <c r="AN101" s="1662"/>
      <c r="AO101" s="1662"/>
      <c r="AP101" s="1662"/>
      <c r="AQ101" s="1662"/>
      <c r="AR101" s="1662"/>
      <c r="AS101" s="1662"/>
      <c r="AT101" s="1662" t="s">
        <v>2842</v>
      </c>
      <c r="AU101" s="1662" t="s">
        <v>2842</v>
      </c>
      <c r="AV101" s="1662" t="s">
        <v>3105</v>
      </c>
      <c r="AW101" s="1662"/>
      <c r="AX101" s="1662" t="s">
        <v>3106</v>
      </c>
      <c r="AY101" s="1662" t="s">
        <v>2874</v>
      </c>
      <c r="AZ101" s="1662" t="s">
        <v>350</v>
      </c>
      <c r="BA101" s="1662" t="s">
        <v>2875</v>
      </c>
      <c r="BB101" s="1662" t="s">
        <v>2833</v>
      </c>
      <c r="BC101" s="1662" t="s">
        <v>2876</v>
      </c>
      <c r="BD101" s="1662" t="s">
        <v>2849</v>
      </c>
      <c r="BE101" s="1662" t="s">
        <v>2877</v>
      </c>
      <c r="BF101" s="1662" t="s">
        <v>3122</v>
      </c>
      <c r="BG101" s="1662" t="s">
        <v>3019</v>
      </c>
      <c r="BH101" s="1662" t="s">
        <v>2050</v>
      </c>
      <c r="BI101" s="1662" t="s">
        <v>2881</v>
      </c>
      <c r="BJ101" s="1662" t="s">
        <v>2882</v>
      </c>
      <c r="BK101" s="1662" t="s">
        <v>2842</v>
      </c>
      <c r="BL101" s="1662" t="s">
        <v>2833</v>
      </c>
      <c r="BM101" s="1662" t="s">
        <v>2833</v>
      </c>
      <c r="BN101" s="1665">
        <v>0</v>
      </c>
      <c r="BO101" s="1664">
        <v>42936</v>
      </c>
      <c r="BP101" s="1664">
        <v>43616</v>
      </c>
      <c r="BQ101" s="1662" t="s">
        <v>2855</v>
      </c>
      <c r="BR101" s="1664">
        <v>46022</v>
      </c>
      <c r="BS101" s="1662" t="s">
        <v>2883</v>
      </c>
      <c r="BT101" s="1662" t="s">
        <v>3123</v>
      </c>
      <c r="BU101" s="1665">
        <v>30</v>
      </c>
      <c r="BV101" s="1665">
        <v>103908.3</v>
      </c>
      <c r="BW101" s="1664">
        <v>43646</v>
      </c>
      <c r="BX101" s="1668"/>
      <c r="BY101" s="1662" t="s">
        <v>2096</v>
      </c>
      <c r="BZ101" s="1662" t="s">
        <v>2858</v>
      </c>
      <c r="CA101" s="1662" t="s">
        <v>2859</v>
      </c>
      <c r="CB101" s="1662" t="s">
        <v>2859</v>
      </c>
      <c r="CC101" s="1662" t="s">
        <v>2993</v>
      </c>
      <c r="CD101" s="1724">
        <v>637900.55000000005</v>
      </c>
      <c r="CE101" s="1724">
        <v>637900.55000000005</v>
      </c>
      <c r="CF101" s="1724">
        <v>346361</v>
      </c>
      <c r="CG101" s="1724">
        <v>54.3</v>
      </c>
      <c r="CH101" s="1724">
        <v>291539.55</v>
      </c>
      <c r="CI101" s="1724">
        <v>45.7</v>
      </c>
      <c r="CJ101" s="1724">
        <v>637900.55000000005</v>
      </c>
      <c r="CK101" s="1724">
        <v>100</v>
      </c>
      <c r="CL101" s="1725" t="s">
        <v>2861</v>
      </c>
      <c r="CM101" s="1729">
        <v>42823</v>
      </c>
      <c r="CN101" s="1727"/>
      <c r="CO101" s="1728"/>
      <c r="CP101" s="1726"/>
      <c r="CQ101" s="1724">
        <v>346361</v>
      </c>
      <c r="CR101" s="1724">
        <v>346361</v>
      </c>
      <c r="CS101" s="1724">
        <v>0</v>
      </c>
      <c r="CT101" s="1728" t="s">
        <v>2861</v>
      </c>
      <c r="CU101" s="1729">
        <v>42837</v>
      </c>
      <c r="CV101" s="1724">
        <v>637900.55000000005</v>
      </c>
      <c r="CW101" s="1724">
        <v>0</v>
      </c>
      <c r="CX101" s="1724">
        <v>0</v>
      </c>
      <c r="CY101" s="1724">
        <v>633150.55000000005</v>
      </c>
      <c r="CZ101" s="1724">
        <v>0</v>
      </c>
      <c r="DA101" s="1724">
        <v>0</v>
      </c>
      <c r="DB101" s="1724">
        <v>250</v>
      </c>
      <c r="DC101" s="1724">
        <v>4500</v>
      </c>
      <c r="DD101" s="1724">
        <v>637900.55000000005</v>
      </c>
      <c r="DE101" s="1724">
        <v>346361</v>
      </c>
      <c r="DF101" s="1724">
        <v>346361</v>
      </c>
      <c r="DG101" s="1724">
        <v>0</v>
      </c>
      <c r="DH101" s="1724">
        <v>291539.55</v>
      </c>
      <c r="DI101" s="1724">
        <v>291539.55</v>
      </c>
      <c r="DJ101" s="1724">
        <v>0</v>
      </c>
      <c r="DK101" s="1724">
        <v>291539.55</v>
      </c>
      <c r="DL101" s="1724">
        <v>0</v>
      </c>
      <c r="DM101" s="1724">
        <v>0</v>
      </c>
      <c r="DN101" s="1724">
        <v>0</v>
      </c>
      <c r="DO101" s="1724">
        <v>0</v>
      </c>
      <c r="DP101" s="1724">
        <v>0</v>
      </c>
      <c r="DQ101" s="1728" t="s">
        <v>2886</v>
      </c>
      <c r="DR101" s="1724">
        <v>0</v>
      </c>
      <c r="DS101" s="1728" t="s">
        <v>2833</v>
      </c>
      <c r="DT101" s="1726"/>
      <c r="DU101" s="1728" t="s">
        <v>2861</v>
      </c>
      <c r="DV101" s="1729">
        <v>43616</v>
      </c>
    </row>
    <row r="102" spans="1:126" ht="22.5" x14ac:dyDescent="0.25">
      <c r="A102" s="1662" t="s">
        <v>2089</v>
      </c>
      <c r="B102" s="1662" t="s">
        <v>1727</v>
      </c>
      <c r="C102" s="1662" t="s">
        <v>2636</v>
      </c>
      <c r="D102" s="1662" t="s">
        <v>2639</v>
      </c>
      <c r="E102" s="1662"/>
      <c r="F102" s="1662"/>
      <c r="G102" s="1662"/>
      <c r="H102" s="1662"/>
      <c r="I102" s="1662"/>
      <c r="J102" s="1662"/>
      <c r="K102" s="1668"/>
      <c r="L102" s="1668"/>
      <c r="M102" s="1662"/>
      <c r="N102" s="1662"/>
      <c r="O102" s="1662"/>
      <c r="P102" s="1662"/>
      <c r="Q102" s="1662"/>
      <c r="R102" s="1662"/>
      <c r="S102" s="1662"/>
      <c r="T102" s="1662"/>
      <c r="U102" s="1662"/>
      <c r="V102" s="1662"/>
      <c r="W102" s="1662"/>
      <c r="X102" s="1662"/>
      <c r="Y102" s="1662"/>
      <c r="Z102" s="1662"/>
      <c r="AA102" s="1662"/>
      <c r="AB102" s="1662"/>
      <c r="AC102" s="1662"/>
      <c r="AD102" s="1662"/>
      <c r="AE102" s="1662"/>
      <c r="AF102" s="1662"/>
      <c r="AG102" s="1662"/>
      <c r="AH102" s="1662"/>
      <c r="AI102" s="1662"/>
      <c r="AJ102" s="1662"/>
      <c r="AK102" s="1662"/>
      <c r="AL102" s="1662"/>
      <c r="AM102" s="1663"/>
      <c r="AN102" s="1662"/>
      <c r="AO102" s="1662"/>
      <c r="AP102" s="1662"/>
      <c r="AQ102" s="1662"/>
      <c r="AR102" s="1662"/>
      <c r="AS102" s="1662"/>
      <c r="AT102" s="1662"/>
      <c r="AU102" s="1662"/>
      <c r="AV102" s="1662"/>
      <c r="AW102" s="1662"/>
      <c r="AX102" s="1662"/>
      <c r="AY102" s="1662"/>
      <c r="AZ102" s="1662"/>
      <c r="BA102" s="1662"/>
      <c r="BB102" s="1662"/>
      <c r="BC102" s="1662"/>
      <c r="BD102" s="1662"/>
      <c r="BE102" s="1662"/>
      <c r="BF102" s="1662"/>
      <c r="BG102" s="1662"/>
      <c r="BH102" s="1662"/>
      <c r="BI102" s="1662"/>
      <c r="BJ102" s="1662"/>
      <c r="BK102" s="1662"/>
      <c r="BL102" s="1662"/>
      <c r="BM102" s="1662"/>
      <c r="BN102" s="1663"/>
      <c r="BO102" s="1668"/>
      <c r="BP102" s="1668"/>
      <c r="BQ102" s="1662"/>
      <c r="BR102" s="1668"/>
      <c r="BS102" s="1662"/>
      <c r="BT102" s="1662"/>
      <c r="BU102" s="1663"/>
      <c r="BV102" s="1665">
        <v>756292.1</v>
      </c>
      <c r="BW102" s="1668"/>
      <c r="BX102" s="1668"/>
      <c r="BY102" s="1662"/>
      <c r="BZ102" s="1662"/>
      <c r="CA102" s="1662"/>
      <c r="CB102" s="1662"/>
      <c r="CC102" s="1662"/>
      <c r="CD102" s="1724">
        <v>2968553.36</v>
      </c>
      <c r="CE102" s="1724">
        <v>2966201.12</v>
      </c>
      <c r="CF102" s="1724">
        <v>2520973.65</v>
      </c>
      <c r="CG102" s="1724">
        <v>84.99</v>
      </c>
      <c r="CH102" s="1724">
        <v>445227.47</v>
      </c>
      <c r="CI102" s="1724">
        <v>15.01</v>
      </c>
      <c r="CJ102" s="1724">
        <v>2966201.12</v>
      </c>
      <c r="CK102" s="1724">
        <v>100</v>
      </c>
      <c r="CL102" s="1725"/>
      <c r="CM102" s="1726"/>
      <c r="CN102" s="1727"/>
      <c r="CO102" s="1728"/>
      <c r="CP102" s="1726"/>
      <c r="CQ102" s="1724">
        <v>2520973.64</v>
      </c>
      <c r="CR102" s="1724">
        <v>2520973.64</v>
      </c>
      <c r="CS102" s="1724">
        <v>0</v>
      </c>
      <c r="CT102" s="1728"/>
      <c r="CU102" s="1726"/>
      <c r="CV102" s="1724">
        <v>2966201.12</v>
      </c>
      <c r="CW102" s="1724">
        <v>0</v>
      </c>
      <c r="CX102" s="1724">
        <v>2404440.48</v>
      </c>
      <c r="CY102" s="1724">
        <v>517764.94</v>
      </c>
      <c r="CZ102" s="1724">
        <v>11236.52</v>
      </c>
      <c r="DA102" s="1724">
        <v>11374</v>
      </c>
      <c r="DB102" s="1724">
        <v>1759.04</v>
      </c>
      <c r="DC102" s="1724">
        <v>19626.14</v>
      </c>
      <c r="DD102" s="1724">
        <v>2966201.12</v>
      </c>
      <c r="DE102" s="1724">
        <v>2520973.64</v>
      </c>
      <c r="DF102" s="1724">
        <v>2520973.64</v>
      </c>
      <c r="DG102" s="1724">
        <v>0</v>
      </c>
      <c r="DH102" s="1724">
        <v>445227.48</v>
      </c>
      <c r="DI102" s="1724">
        <v>445227.48</v>
      </c>
      <c r="DJ102" s="1724">
        <v>0</v>
      </c>
      <c r="DK102" s="1724">
        <v>445227.48</v>
      </c>
      <c r="DL102" s="1724">
        <v>0</v>
      </c>
      <c r="DM102" s="1724">
        <v>0</v>
      </c>
      <c r="DN102" s="1724">
        <v>0</v>
      </c>
      <c r="DO102" s="1724">
        <v>0</v>
      </c>
      <c r="DP102" s="1724">
        <v>0</v>
      </c>
      <c r="DQ102" s="1728"/>
      <c r="DR102" s="1727"/>
      <c r="DS102" s="1728"/>
      <c r="DT102" s="1726"/>
      <c r="DU102" s="1728"/>
      <c r="DV102" s="1726"/>
    </row>
    <row r="103" spans="1:126" ht="22.5" x14ac:dyDescent="0.25">
      <c r="A103" s="1662" t="s">
        <v>2090</v>
      </c>
      <c r="B103" s="1662" t="s">
        <v>1727</v>
      </c>
      <c r="C103" s="1662" t="s">
        <v>2636</v>
      </c>
      <c r="D103" s="1662" t="s">
        <v>2639</v>
      </c>
      <c r="E103" s="1662" t="s">
        <v>2342</v>
      </c>
      <c r="F103" s="1662" t="s">
        <v>264</v>
      </c>
      <c r="G103" s="1662"/>
      <c r="H103" s="1662"/>
      <c r="I103" s="1662"/>
      <c r="J103" s="1662"/>
      <c r="K103" s="1668"/>
      <c r="L103" s="1668"/>
      <c r="M103" s="1662"/>
      <c r="N103" s="1662"/>
      <c r="O103" s="1662"/>
      <c r="P103" s="1662"/>
      <c r="Q103" s="1662"/>
      <c r="R103" s="1662"/>
      <c r="S103" s="1662"/>
      <c r="T103" s="1662"/>
      <c r="U103" s="1662"/>
      <c r="V103" s="1662"/>
      <c r="W103" s="1662"/>
      <c r="X103" s="1662"/>
      <c r="Y103" s="1662"/>
      <c r="Z103" s="1662"/>
      <c r="AA103" s="1662"/>
      <c r="AB103" s="1662"/>
      <c r="AC103" s="1662"/>
      <c r="AD103" s="1662"/>
      <c r="AE103" s="1662"/>
      <c r="AF103" s="1662"/>
      <c r="AG103" s="1662"/>
      <c r="AH103" s="1662"/>
      <c r="AI103" s="1662"/>
      <c r="AJ103" s="1662"/>
      <c r="AK103" s="1662"/>
      <c r="AL103" s="1662"/>
      <c r="AM103" s="1663"/>
      <c r="AN103" s="1662"/>
      <c r="AO103" s="1662"/>
      <c r="AP103" s="1662"/>
      <c r="AQ103" s="1662"/>
      <c r="AR103" s="1662"/>
      <c r="AS103" s="1662"/>
      <c r="AT103" s="1662"/>
      <c r="AU103" s="1662"/>
      <c r="AV103" s="1662"/>
      <c r="AW103" s="1662"/>
      <c r="AX103" s="1662"/>
      <c r="AY103" s="1662"/>
      <c r="AZ103" s="1662"/>
      <c r="BA103" s="1662"/>
      <c r="BB103" s="1662"/>
      <c r="BC103" s="1662"/>
      <c r="BD103" s="1662"/>
      <c r="BE103" s="1662"/>
      <c r="BF103" s="1662"/>
      <c r="BG103" s="1662"/>
      <c r="BH103" s="1662"/>
      <c r="BI103" s="1662"/>
      <c r="BJ103" s="1662"/>
      <c r="BK103" s="1662"/>
      <c r="BL103" s="1662"/>
      <c r="BM103" s="1662"/>
      <c r="BN103" s="1663"/>
      <c r="BO103" s="1668"/>
      <c r="BP103" s="1668"/>
      <c r="BQ103" s="1662"/>
      <c r="BR103" s="1668"/>
      <c r="BS103" s="1662"/>
      <c r="BT103" s="1662"/>
      <c r="BU103" s="1663"/>
      <c r="BV103" s="1665">
        <v>756292.1</v>
      </c>
      <c r="BW103" s="1668"/>
      <c r="BX103" s="1668"/>
      <c r="BY103" s="1662"/>
      <c r="BZ103" s="1662"/>
      <c r="CA103" s="1662"/>
      <c r="CB103" s="1662"/>
      <c r="CC103" s="1662"/>
      <c r="CD103" s="1724">
        <v>2968553.36</v>
      </c>
      <c r="CE103" s="1724">
        <v>2966201.12</v>
      </c>
      <c r="CF103" s="1724">
        <v>2520973.65</v>
      </c>
      <c r="CG103" s="1724">
        <v>84.99</v>
      </c>
      <c r="CH103" s="1724">
        <v>445227.47</v>
      </c>
      <c r="CI103" s="1724">
        <v>15.01</v>
      </c>
      <c r="CJ103" s="1724">
        <v>2966201.12</v>
      </c>
      <c r="CK103" s="1724">
        <v>100</v>
      </c>
      <c r="CL103" s="1725"/>
      <c r="CM103" s="1726"/>
      <c r="CN103" s="1727"/>
      <c r="CO103" s="1728"/>
      <c r="CP103" s="1726"/>
      <c r="CQ103" s="1724">
        <v>2520973.64</v>
      </c>
      <c r="CR103" s="1724">
        <v>2520973.64</v>
      </c>
      <c r="CS103" s="1724">
        <v>0</v>
      </c>
      <c r="CT103" s="1728"/>
      <c r="CU103" s="1726"/>
      <c r="CV103" s="1724">
        <v>2966201.12</v>
      </c>
      <c r="CW103" s="1724">
        <v>0</v>
      </c>
      <c r="CX103" s="1724">
        <v>2404440.48</v>
      </c>
      <c r="CY103" s="1724">
        <v>517764.94</v>
      </c>
      <c r="CZ103" s="1724">
        <v>11236.52</v>
      </c>
      <c r="DA103" s="1724">
        <v>11374</v>
      </c>
      <c r="DB103" s="1724">
        <v>1759.04</v>
      </c>
      <c r="DC103" s="1724">
        <v>19626.14</v>
      </c>
      <c r="DD103" s="1724">
        <v>2966201.12</v>
      </c>
      <c r="DE103" s="1724">
        <v>2520973.64</v>
      </c>
      <c r="DF103" s="1724">
        <v>2520973.64</v>
      </c>
      <c r="DG103" s="1724">
        <v>0</v>
      </c>
      <c r="DH103" s="1724">
        <v>445227.48</v>
      </c>
      <c r="DI103" s="1724">
        <v>445227.48</v>
      </c>
      <c r="DJ103" s="1724">
        <v>0</v>
      </c>
      <c r="DK103" s="1724">
        <v>445227.48</v>
      </c>
      <c r="DL103" s="1724">
        <v>0</v>
      </c>
      <c r="DM103" s="1724">
        <v>0</v>
      </c>
      <c r="DN103" s="1724">
        <v>0</v>
      </c>
      <c r="DO103" s="1724">
        <v>0</v>
      </c>
      <c r="DP103" s="1724">
        <v>0</v>
      </c>
      <c r="DQ103" s="1728"/>
      <c r="DR103" s="1727"/>
      <c r="DS103" s="1728"/>
      <c r="DT103" s="1726"/>
      <c r="DU103" s="1728"/>
      <c r="DV103" s="1726"/>
    </row>
    <row r="104" spans="1:126" ht="78.75" x14ac:dyDescent="0.25">
      <c r="A104" s="1662" t="s">
        <v>2091</v>
      </c>
      <c r="B104" s="1662" t="s">
        <v>1727</v>
      </c>
      <c r="C104" s="1662" t="s">
        <v>2636</v>
      </c>
      <c r="D104" s="1662" t="s">
        <v>2639</v>
      </c>
      <c r="E104" s="1662" t="s">
        <v>2342</v>
      </c>
      <c r="F104" s="1662" t="s">
        <v>264</v>
      </c>
      <c r="G104" s="1662" t="s">
        <v>2638</v>
      </c>
      <c r="H104" s="1662" t="s">
        <v>2628</v>
      </c>
      <c r="I104" s="1662" t="s">
        <v>2613</v>
      </c>
      <c r="J104" s="1662" t="s">
        <v>737</v>
      </c>
      <c r="K104" s="1664">
        <v>42506</v>
      </c>
      <c r="L104" s="1664">
        <v>42605</v>
      </c>
      <c r="M104" s="1662" t="s">
        <v>279</v>
      </c>
      <c r="N104" s="1662" t="s">
        <v>2109</v>
      </c>
      <c r="O104" s="1662" t="s">
        <v>3124</v>
      </c>
      <c r="P104" s="1662" t="s">
        <v>2833</v>
      </c>
      <c r="Q104" s="1662" t="s">
        <v>1761</v>
      </c>
      <c r="R104" s="1662" t="s">
        <v>2833</v>
      </c>
      <c r="S104" s="1662" t="s">
        <v>2833</v>
      </c>
      <c r="T104" s="1662"/>
      <c r="U104" s="1662" t="s">
        <v>2834</v>
      </c>
      <c r="V104" s="1662" t="s">
        <v>2833</v>
      </c>
      <c r="W104" s="1662" t="s">
        <v>2833</v>
      </c>
      <c r="X104" s="1662"/>
      <c r="Y104" s="1662" t="s">
        <v>2833</v>
      </c>
      <c r="Z104" s="1662"/>
      <c r="AA104" s="1662"/>
      <c r="AB104" s="1662" t="s">
        <v>2833</v>
      </c>
      <c r="AC104" s="1662" t="s">
        <v>2833</v>
      </c>
      <c r="AD104" s="1662" t="s">
        <v>2833</v>
      </c>
      <c r="AE104" s="1662"/>
      <c r="AF104" s="1662" t="s">
        <v>3125</v>
      </c>
      <c r="AG104" s="1662" t="s">
        <v>3126</v>
      </c>
      <c r="AH104" s="1662" t="s">
        <v>2867</v>
      </c>
      <c r="AI104" s="1662" t="s">
        <v>2838</v>
      </c>
      <c r="AJ104" s="1662" t="s">
        <v>2839</v>
      </c>
      <c r="AK104" s="1662" t="s">
        <v>3069</v>
      </c>
      <c r="AL104" s="1662" t="s">
        <v>3127</v>
      </c>
      <c r="AM104" s="1665">
        <v>100</v>
      </c>
      <c r="AN104" s="1662"/>
      <c r="AO104" s="1662"/>
      <c r="AP104" s="1662"/>
      <c r="AQ104" s="1662"/>
      <c r="AR104" s="1662"/>
      <c r="AS104" s="1662"/>
      <c r="AT104" s="1662" t="s">
        <v>2946</v>
      </c>
      <c r="AU104" s="1662" t="s">
        <v>2842</v>
      </c>
      <c r="AV104" s="1662" t="s">
        <v>3105</v>
      </c>
      <c r="AW104" s="1662"/>
      <c r="AX104" s="1662" t="s">
        <v>3106</v>
      </c>
      <c r="AY104" s="1662" t="s">
        <v>2874</v>
      </c>
      <c r="AZ104" s="1662" t="s">
        <v>284</v>
      </c>
      <c r="BA104" s="1662" t="s">
        <v>2896</v>
      </c>
      <c r="BB104" s="1662" t="s">
        <v>2833</v>
      </c>
      <c r="BC104" s="1662" t="s">
        <v>2876</v>
      </c>
      <c r="BD104" s="1662" t="s">
        <v>2849</v>
      </c>
      <c r="BE104" s="1662" t="s">
        <v>3022</v>
      </c>
      <c r="BF104" s="1662" t="s">
        <v>3039</v>
      </c>
      <c r="BG104" s="1662" t="s">
        <v>3024</v>
      </c>
      <c r="BH104" s="1662" t="s">
        <v>2880</v>
      </c>
      <c r="BI104" s="1662" t="s">
        <v>2881</v>
      </c>
      <c r="BJ104" s="1662" t="s">
        <v>2900</v>
      </c>
      <c r="BK104" s="1662" t="s">
        <v>2946</v>
      </c>
      <c r="BL104" s="1662" t="s">
        <v>2833</v>
      </c>
      <c r="BM104" s="1662" t="s">
        <v>2833</v>
      </c>
      <c r="BN104" s="1665">
        <v>0</v>
      </c>
      <c r="BO104" s="1664">
        <v>42296</v>
      </c>
      <c r="BP104" s="1664">
        <v>43708</v>
      </c>
      <c r="BQ104" s="1662" t="s">
        <v>2855</v>
      </c>
      <c r="BR104" s="1664">
        <v>46022</v>
      </c>
      <c r="BS104" s="1662" t="s">
        <v>3128</v>
      </c>
      <c r="BT104" s="1662" t="s">
        <v>3129</v>
      </c>
      <c r="BU104" s="1665">
        <v>30</v>
      </c>
      <c r="BV104" s="1665">
        <v>187807.2</v>
      </c>
      <c r="BW104" s="1664">
        <v>43738</v>
      </c>
      <c r="BX104" s="1668"/>
      <c r="BY104" s="1662" t="s">
        <v>2096</v>
      </c>
      <c r="BZ104" s="1662" t="s">
        <v>2858</v>
      </c>
      <c r="CA104" s="1662" t="s">
        <v>2859</v>
      </c>
      <c r="CB104" s="1662" t="s">
        <v>2859</v>
      </c>
      <c r="CC104" s="1662" t="s">
        <v>2993</v>
      </c>
      <c r="CD104" s="1724">
        <v>736499</v>
      </c>
      <c r="CE104" s="1724">
        <v>736499</v>
      </c>
      <c r="CF104" s="1724">
        <v>626024</v>
      </c>
      <c r="CG104" s="1724">
        <v>85</v>
      </c>
      <c r="CH104" s="1724">
        <v>110475</v>
      </c>
      <c r="CI104" s="1724">
        <v>15</v>
      </c>
      <c r="CJ104" s="1724">
        <v>736499</v>
      </c>
      <c r="CK104" s="1724">
        <v>100</v>
      </c>
      <c r="CL104" s="1725" t="s">
        <v>2861</v>
      </c>
      <c r="CM104" s="1729">
        <v>42562</v>
      </c>
      <c r="CN104" s="1727"/>
      <c r="CO104" s="1728"/>
      <c r="CP104" s="1726"/>
      <c r="CQ104" s="1724">
        <v>626024</v>
      </c>
      <c r="CR104" s="1724">
        <v>626024</v>
      </c>
      <c r="CS104" s="1724">
        <v>0</v>
      </c>
      <c r="CT104" s="1728" t="s">
        <v>2861</v>
      </c>
      <c r="CU104" s="1729">
        <v>42565</v>
      </c>
      <c r="CV104" s="1724">
        <v>736499</v>
      </c>
      <c r="CW104" s="1724">
        <v>0</v>
      </c>
      <c r="CX104" s="1724">
        <v>716619.48</v>
      </c>
      <c r="CY104" s="1724">
        <v>0</v>
      </c>
      <c r="CZ104" s="1724">
        <v>5470.52</v>
      </c>
      <c r="DA104" s="1724">
        <v>6655</v>
      </c>
      <c r="DB104" s="1724">
        <v>500</v>
      </c>
      <c r="DC104" s="1724">
        <v>7254</v>
      </c>
      <c r="DD104" s="1724">
        <v>736499</v>
      </c>
      <c r="DE104" s="1724">
        <v>626024</v>
      </c>
      <c r="DF104" s="1724">
        <v>626024</v>
      </c>
      <c r="DG104" s="1724">
        <v>0</v>
      </c>
      <c r="DH104" s="1724">
        <v>110475</v>
      </c>
      <c r="DI104" s="1724">
        <v>110475</v>
      </c>
      <c r="DJ104" s="1724">
        <v>0</v>
      </c>
      <c r="DK104" s="1724">
        <v>110475</v>
      </c>
      <c r="DL104" s="1724">
        <v>0</v>
      </c>
      <c r="DM104" s="1724">
        <v>0</v>
      </c>
      <c r="DN104" s="1724">
        <v>0</v>
      </c>
      <c r="DO104" s="1724">
        <v>0</v>
      </c>
      <c r="DP104" s="1724">
        <v>0</v>
      </c>
      <c r="DQ104" s="1728"/>
      <c r="DR104" s="1724">
        <v>0</v>
      </c>
      <c r="DS104" s="1728" t="s">
        <v>2833</v>
      </c>
      <c r="DT104" s="1726"/>
      <c r="DU104" s="1728" t="s">
        <v>2861</v>
      </c>
      <c r="DV104" s="1729">
        <v>43708</v>
      </c>
    </row>
    <row r="105" spans="1:126" ht="78.75" x14ac:dyDescent="0.25">
      <c r="A105" s="1662" t="s">
        <v>2092</v>
      </c>
      <c r="B105" s="1662" t="s">
        <v>1727</v>
      </c>
      <c r="C105" s="1662" t="s">
        <v>2636</v>
      </c>
      <c r="D105" s="1662" t="s">
        <v>2639</v>
      </c>
      <c r="E105" s="1662" t="s">
        <v>2342</v>
      </c>
      <c r="F105" s="1662" t="s">
        <v>264</v>
      </c>
      <c r="G105" s="1662" t="s">
        <v>2638</v>
      </c>
      <c r="H105" s="1662" t="s">
        <v>2628</v>
      </c>
      <c r="I105" s="1662" t="s">
        <v>2613</v>
      </c>
      <c r="J105" s="1662" t="s">
        <v>738</v>
      </c>
      <c r="K105" s="1664">
        <v>42563</v>
      </c>
      <c r="L105" s="1664">
        <v>42599</v>
      </c>
      <c r="M105" s="1662" t="s">
        <v>220</v>
      </c>
      <c r="N105" s="1662" t="s">
        <v>2109</v>
      </c>
      <c r="O105" s="1662" t="s">
        <v>3130</v>
      </c>
      <c r="P105" s="1662" t="s">
        <v>2833</v>
      </c>
      <c r="Q105" s="1662" t="s">
        <v>1761</v>
      </c>
      <c r="R105" s="1662" t="s">
        <v>2833</v>
      </c>
      <c r="S105" s="1662" t="s">
        <v>2833</v>
      </c>
      <c r="T105" s="1662"/>
      <c r="U105" s="1662" t="s">
        <v>2834</v>
      </c>
      <c r="V105" s="1662" t="s">
        <v>2833</v>
      </c>
      <c r="W105" s="1662" t="s">
        <v>2833</v>
      </c>
      <c r="X105" s="1662"/>
      <c r="Y105" s="1662" t="s">
        <v>2833</v>
      </c>
      <c r="Z105" s="1662"/>
      <c r="AA105" s="1662"/>
      <c r="AB105" s="1662" t="s">
        <v>2833</v>
      </c>
      <c r="AC105" s="1662" t="s">
        <v>2833</v>
      </c>
      <c r="AD105" s="1662" t="s">
        <v>2833</v>
      </c>
      <c r="AE105" s="1662"/>
      <c r="AF105" s="1662" t="s">
        <v>3125</v>
      </c>
      <c r="AG105" s="1662" t="s">
        <v>3126</v>
      </c>
      <c r="AH105" s="1662" t="s">
        <v>2867</v>
      </c>
      <c r="AI105" s="1662" t="s">
        <v>2838</v>
      </c>
      <c r="AJ105" s="1662" t="s">
        <v>2839</v>
      </c>
      <c r="AK105" s="1662" t="s">
        <v>3069</v>
      </c>
      <c r="AL105" s="1662" t="s">
        <v>3127</v>
      </c>
      <c r="AM105" s="1665">
        <v>100</v>
      </c>
      <c r="AN105" s="1662"/>
      <c r="AO105" s="1662"/>
      <c r="AP105" s="1662"/>
      <c r="AQ105" s="1662"/>
      <c r="AR105" s="1662"/>
      <c r="AS105" s="1662"/>
      <c r="AT105" s="1662" t="s">
        <v>2842</v>
      </c>
      <c r="AU105" s="1662" t="s">
        <v>2842</v>
      </c>
      <c r="AV105" s="1662" t="s">
        <v>3105</v>
      </c>
      <c r="AW105" s="1662"/>
      <c r="AX105" s="1662" t="s">
        <v>3106</v>
      </c>
      <c r="AY105" s="1662" t="s">
        <v>2874</v>
      </c>
      <c r="AZ105" s="1662" t="s">
        <v>350</v>
      </c>
      <c r="BA105" s="1662" t="s">
        <v>2875</v>
      </c>
      <c r="BB105" s="1662" t="s">
        <v>2833</v>
      </c>
      <c r="BC105" s="1662" t="s">
        <v>2876</v>
      </c>
      <c r="BD105" s="1662" t="s">
        <v>2849</v>
      </c>
      <c r="BE105" s="1662" t="s">
        <v>2877</v>
      </c>
      <c r="BF105" s="1662" t="s">
        <v>3018</v>
      </c>
      <c r="BG105" s="1662" t="s">
        <v>3019</v>
      </c>
      <c r="BH105" s="1662" t="s">
        <v>2880</v>
      </c>
      <c r="BI105" s="1662" t="s">
        <v>2881</v>
      </c>
      <c r="BJ105" s="1662" t="s">
        <v>2882</v>
      </c>
      <c r="BK105" s="1662" t="s">
        <v>2842</v>
      </c>
      <c r="BL105" s="1662" t="s">
        <v>2833</v>
      </c>
      <c r="BM105" s="1662" t="s">
        <v>2833</v>
      </c>
      <c r="BN105" s="1665">
        <v>0</v>
      </c>
      <c r="BO105" s="1664">
        <v>42598</v>
      </c>
      <c r="BP105" s="1664">
        <v>43707</v>
      </c>
      <c r="BQ105" s="1662" t="s">
        <v>2855</v>
      </c>
      <c r="BR105" s="1664">
        <v>46022</v>
      </c>
      <c r="BS105" s="1662" t="s">
        <v>2883</v>
      </c>
      <c r="BT105" s="1662" t="s">
        <v>3131</v>
      </c>
      <c r="BU105" s="1665">
        <v>30</v>
      </c>
      <c r="BV105" s="1665">
        <v>227394</v>
      </c>
      <c r="BW105" s="1664">
        <v>43737</v>
      </c>
      <c r="BX105" s="1668"/>
      <c r="BY105" s="1662" t="s">
        <v>2096</v>
      </c>
      <c r="BZ105" s="1662" t="s">
        <v>2858</v>
      </c>
      <c r="CA105" s="1662" t="s">
        <v>2859</v>
      </c>
      <c r="CB105" s="1662" t="s">
        <v>2859</v>
      </c>
      <c r="CC105" s="1662" t="s">
        <v>2993</v>
      </c>
      <c r="CD105" s="1724">
        <v>894093.42</v>
      </c>
      <c r="CE105" s="1724">
        <v>891741.18</v>
      </c>
      <c r="CF105" s="1724">
        <v>757980</v>
      </c>
      <c r="CG105" s="1724">
        <v>85</v>
      </c>
      <c r="CH105" s="1724">
        <v>133761.18</v>
      </c>
      <c r="CI105" s="1724">
        <v>15</v>
      </c>
      <c r="CJ105" s="1724">
        <v>891741.18</v>
      </c>
      <c r="CK105" s="1724">
        <v>100</v>
      </c>
      <c r="CL105" s="1725" t="s">
        <v>2861</v>
      </c>
      <c r="CM105" s="1729">
        <v>42564</v>
      </c>
      <c r="CN105" s="1727"/>
      <c r="CO105" s="1728"/>
      <c r="CP105" s="1726"/>
      <c r="CQ105" s="1724">
        <v>757980</v>
      </c>
      <c r="CR105" s="1724">
        <v>757980</v>
      </c>
      <c r="CS105" s="1724">
        <v>0</v>
      </c>
      <c r="CT105" s="1728" t="s">
        <v>2861</v>
      </c>
      <c r="CU105" s="1729">
        <v>42576</v>
      </c>
      <c r="CV105" s="1724">
        <v>891741.18</v>
      </c>
      <c r="CW105" s="1724">
        <v>0</v>
      </c>
      <c r="CX105" s="1724">
        <v>884999.1</v>
      </c>
      <c r="CY105" s="1724">
        <v>0</v>
      </c>
      <c r="CZ105" s="1724">
        <v>0</v>
      </c>
      <c r="DA105" s="1724">
        <v>0</v>
      </c>
      <c r="DB105" s="1724">
        <v>1000</v>
      </c>
      <c r="DC105" s="1724">
        <v>5742.08</v>
      </c>
      <c r="DD105" s="1724">
        <v>891741.18</v>
      </c>
      <c r="DE105" s="1724">
        <v>757980</v>
      </c>
      <c r="DF105" s="1724">
        <v>757980</v>
      </c>
      <c r="DG105" s="1724">
        <v>0</v>
      </c>
      <c r="DH105" s="1724">
        <v>133761.18</v>
      </c>
      <c r="DI105" s="1724">
        <v>133761.18</v>
      </c>
      <c r="DJ105" s="1724">
        <v>0</v>
      </c>
      <c r="DK105" s="1724">
        <v>133761.18</v>
      </c>
      <c r="DL105" s="1724">
        <v>0</v>
      </c>
      <c r="DM105" s="1724">
        <v>0</v>
      </c>
      <c r="DN105" s="1724">
        <v>0</v>
      </c>
      <c r="DO105" s="1724">
        <v>0</v>
      </c>
      <c r="DP105" s="1724">
        <v>0</v>
      </c>
      <c r="DQ105" s="1728" t="s">
        <v>2886</v>
      </c>
      <c r="DR105" s="1724">
        <v>0</v>
      </c>
      <c r="DS105" s="1728" t="s">
        <v>2833</v>
      </c>
      <c r="DT105" s="1726"/>
      <c r="DU105" s="1728" t="s">
        <v>2861</v>
      </c>
      <c r="DV105" s="1729">
        <v>43707</v>
      </c>
    </row>
    <row r="106" spans="1:126" ht="146.25" x14ac:dyDescent="0.25">
      <c r="A106" s="1662" t="s">
        <v>2093</v>
      </c>
      <c r="B106" s="1662" t="s">
        <v>1727</v>
      </c>
      <c r="C106" s="1662" t="s">
        <v>2636</v>
      </c>
      <c r="D106" s="1662" t="s">
        <v>2639</v>
      </c>
      <c r="E106" s="1662" t="s">
        <v>2342</v>
      </c>
      <c r="F106" s="1662" t="s">
        <v>264</v>
      </c>
      <c r="G106" s="1662" t="s">
        <v>2638</v>
      </c>
      <c r="H106" s="1662" t="s">
        <v>2628</v>
      </c>
      <c r="I106" s="1662" t="s">
        <v>2613</v>
      </c>
      <c r="J106" s="1662" t="s">
        <v>739</v>
      </c>
      <c r="K106" s="1664">
        <v>42515</v>
      </c>
      <c r="L106" s="1664">
        <v>42593</v>
      </c>
      <c r="M106" s="1662" t="s">
        <v>238</v>
      </c>
      <c r="N106" s="1662" t="s">
        <v>2109</v>
      </c>
      <c r="O106" s="1662" t="s">
        <v>3132</v>
      </c>
      <c r="P106" s="1662" t="s">
        <v>2833</v>
      </c>
      <c r="Q106" s="1662" t="s">
        <v>1757</v>
      </c>
      <c r="R106" s="1662" t="s">
        <v>2833</v>
      </c>
      <c r="S106" s="1662" t="s">
        <v>2833</v>
      </c>
      <c r="T106" s="1662"/>
      <c r="U106" s="1662" t="s">
        <v>2834</v>
      </c>
      <c r="V106" s="1662" t="s">
        <v>2833</v>
      </c>
      <c r="W106" s="1662" t="s">
        <v>2833</v>
      </c>
      <c r="X106" s="1662"/>
      <c r="Y106" s="1662" t="s">
        <v>2833</v>
      </c>
      <c r="Z106" s="1662"/>
      <c r="AA106" s="1662"/>
      <c r="AB106" s="1662" t="s">
        <v>2833</v>
      </c>
      <c r="AC106" s="1662" t="s">
        <v>2833</v>
      </c>
      <c r="AD106" s="1662" t="s">
        <v>2833</v>
      </c>
      <c r="AE106" s="1662"/>
      <c r="AF106" s="1662" t="s">
        <v>3125</v>
      </c>
      <c r="AG106" s="1662" t="s">
        <v>3126</v>
      </c>
      <c r="AH106" s="1662" t="s">
        <v>2867</v>
      </c>
      <c r="AI106" s="1662" t="s">
        <v>2838</v>
      </c>
      <c r="AJ106" s="1662" t="s">
        <v>2839</v>
      </c>
      <c r="AK106" s="1662" t="s">
        <v>3069</v>
      </c>
      <c r="AL106" s="1662" t="s">
        <v>3127</v>
      </c>
      <c r="AM106" s="1665">
        <v>100</v>
      </c>
      <c r="AN106" s="1662"/>
      <c r="AO106" s="1662"/>
      <c r="AP106" s="1662"/>
      <c r="AQ106" s="1662"/>
      <c r="AR106" s="1662"/>
      <c r="AS106" s="1662"/>
      <c r="AT106" s="1662" t="s">
        <v>2960</v>
      </c>
      <c r="AU106" s="1662" t="s">
        <v>2842</v>
      </c>
      <c r="AV106" s="1662" t="s">
        <v>3105</v>
      </c>
      <c r="AW106" s="1662"/>
      <c r="AX106" s="1662" t="s">
        <v>3133</v>
      </c>
      <c r="AY106" s="1662" t="s">
        <v>2874</v>
      </c>
      <c r="AZ106" s="1662" t="s">
        <v>236</v>
      </c>
      <c r="BA106" s="1662" t="s">
        <v>3009</v>
      </c>
      <c r="BB106" s="1662" t="s">
        <v>2833</v>
      </c>
      <c r="BC106" s="1662" t="s">
        <v>2876</v>
      </c>
      <c r="BD106" s="1662" t="s">
        <v>2849</v>
      </c>
      <c r="BE106" s="1662" t="s">
        <v>3010</v>
      </c>
      <c r="BF106" s="1662" t="s">
        <v>3134</v>
      </c>
      <c r="BG106" s="1662" t="s">
        <v>3012</v>
      </c>
      <c r="BH106" s="1662" t="s">
        <v>2880</v>
      </c>
      <c r="BI106" s="1662" t="s">
        <v>2881</v>
      </c>
      <c r="BJ106" s="1662" t="s">
        <v>2965</v>
      </c>
      <c r="BK106" s="1662" t="s">
        <v>2960</v>
      </c>
      <c r="BL106" s="1662" t="s">
        <v>2833</v>
      </c>
      <c r="BM106" s="1662" t="s">
        <v>2833</v>
      </c>
      <c r="BN106" s="1665">
        <v>0</v>
      </c>
      <c r="BO106" s="1664">
        <v>42593</v>
      </c>
      <c r="BP106" s="1664">
        <v>43585</v>
      </c>
      <c r="BQ106" s="1662" t="s">
        <v>2855</v>
      </c>
      <c r="BR106" s="1664">
        <v>46022</v>
      </c>
      <c r="BS106" s="1662" t="s">
        <v>3108</v>
      </c>
      <c r="BT106" s="1662" t="s">
        <v>3096</v>
      </c>
      <c r="BU106" s="1665">
        <v>30</v>
      </c>
      <c r="BV106" s="1665">
        <v>185505.6</v>
      </c>
      <c r="BW106" s="1664">
        <v>43615</v>
      </c>
      <c r="BX106" s="1668"/>
      <c r="BY106" s="1662" t="s">
        <v>2096</v>
      </c>
      <c r="BZ106" s="1662" t="s">
        <v>2858</v>
      </c>
      <c r="CA106" s="1662" t="s">
        <v>2859</v>
      </c>
      <c r="CB106" s="1662" t="s">
        <v>2859</v>
      </c>
      <c r="CC106" s="1662" t="s">
        <v>2993</v>
      </c>
      <c r="CD106" s="1724">
        <v>727472.94</v>
      </c>
      <c r="CE106" s="1724">
        <v>727472.94</v>
      </c>
      <c r="CF106" s="1724">
        <v>618352</v>
      </c>
      <c r="CG106" s="1724">
        <v>85</v>
      </c>
      <c r="CH106" s="1724">
        <v>109120.94</v>
      </c>
      <c r="CI106" s="1724">
        <v>15</v>
      </c>
      <c r="CJ106" s="1724">
        <v>727472.94</v>
      </c>
      <c r="CK106" s="1724">
        <v>100</v>
      </c>
      <c r="CL106" s="1725" t="s">
        <v>2861</v>
      </c>
      <c r="CM106" s="1729">
        <v>42555</v>
      </c>
      <c r="CN106" s="1727"/>
      <c r="CO106" s="1728"/>
      <c r="CP106" s="1726"/>
      <c r="CQ106" s="1724">
        <v>618351.99</v>
      </c>
      <c r="CR106" s="1724">
        <v>618351.99</v>
      </c>
      <c r="CS106" s="1724">
        <v>0</v>
      </c>
      <c r="CT106" s="1728" t="s">
        <v>2861</v>
      </c>
      <c r="CU106" s="1729">
        <v>42555</v>
      </c>
      <c r="CV106" s="1724">
        <v>727472.94</v>
      </c>
      <c r="CW106" s="1724">
        <v>0</v>
      </c>
      <c r="CX106" s="1724">
        <v>727443.9</v>
      </c>
      <c r="CY106" s="1724">
        <v>0</v>
      </c>
      <c r="CZ106" s="1724">
        <v>0</v>
      </c>
      <c r="DA106" s="1724">
        <v>0</v>
      </c>
      <c r="DB106" s="1724">
        <v>29.04</v>
      </c>
      <c r="DC106" s="1724">
        <v>0</v>
      </c>
      <c r="DD106" s="1724">
        <v>727472.94</v>
      </c>
      <c r="DE106" s="1724">
        <v>618351.99</v>
      </c>
      <c r="DF106" s="1724">
        <v>618351.99</v>
      </c>
      <c r="DG106" s="1724">
        <v>0</v>
      </c>
      <c r="DH106" s="1724">
        <v>109120.95</v>
      </c>
      <c r="DI106" s="1724">
        <v>109120.95</v>
      </c>
      <c r="DJ106" s="1724">
        <v>0</v>
      </c>
      <c r="DK106" s="1724">
        <v>109120.95</v>
      </c>
      <c r="DL106" s="1724">
        <v>0</v>
      </c>
      <c r="DM106" s="1724">
        <v>0</v>
      </c>
      <c r="DN106" s="1724">
        <v>0</v>
      </c>
      <c r="DO106" s="1724">
        <v>0</v>
      </c>
      <c r="DP106" s="1724">
        <v>0</v>
      </c>
      <c r="DQ106" s="1728" t="s">
        <v>2886</v>
      </c>
      <c r="DR106" s="1724">
        <v>0</v>
      </c>
      <c r="DS106" s="1728" t="s">
        <v>2833</v>
      </c>
      <c r="DT106" s="1726"/>
      <c r="DU106" s="1728" t="s">
        <v>2861</v>
      </c>
      <c r="DV106" s="1729">
        <v>43585</v>
      </c>
    </row>
    <row r="107" spans="1:126" ht="67.5" x14ac:dyDescent="0.25">
      <c r="A107" s="1662" t="s">
        <v>2094</v>
      </c>
      <c r="B107" s="1662" t="s">
        <v>1727</v>
      </c>
      <c r="C107" s="1662" t="s">
        <v>2636</v>
      </c>
      <c r="D107" s="1662" t="s">
        <v>2639</v>
      </c>
      <c r="E107" s="1662" t="s">
        <v>2342</v>
      </c>
      <c r="F107" s="1662" t="s">
        <v>264</v>
      </c>
      <c r="G107" s="1662" t="s">
        <v>2638</v>
      </c>
      <c r="H107" s="1662" t="s">
        <v>2628</v>
      </c>
      <c r="I107" s="1662" t="s">
        <v>2613</v>
      </c>
      <c r="J107" s="1662" t="s">
        <v>740</v>
      </c>
      <c r="K107" s="1664">
        <v>42566</v>
      </c>
      <c r="L107" s="1664">
        <v>42613</v>
      </c>
      <c r="M107" s="1662" t="s">
        <v>283</v>
      </c>
      <c r="N107" s="1662" t="s">
        <v>2109</v>
      </c>
      <c r="O107" s="1662" t="s">
        <v>3135</v>
      </c>
      <c r="P107" s="1662" t="s">
        <v>2833</v>
      </c>
      <c r="Q107" s="1662" t="s">
        <v>1755</v>
      </c>
      <c r="R107" s="1662" t="s">
        <v>2833</v>
      </c>
      <c r="S107" s="1662" t="s">
        <v>2833</v>
      </c>
      <c r="T107" s="1662"/>
      <c r="U107" s="1662" t="s">
        <v>2834</v>
      </c>
      <c r="V107" s="1662" t="s">
        <v>2833</v>
      </c>
      <c r="W107" s="1662" t="s">
        <v>2833</v>
      </c>
      <c r="X107" s="1662"/>
      <c r="Y107" s="1662" t="s">
        <v>2833</v>
      </c>
      <c r="Z107" s="1662"/>
      <c r="AA107" s="1662"/>
      <c r="AB107" s="1662" t="s">
        <v>2833</v>
      </c>
      <c r="AC107" s="1662" t="s">
        <v>2833</v>
      </c>
      <c r="AD107" s="1662" t="s">
        <v>2833</v>
      </c>
      <c r="AE107" s="1662"/>
      <c r="AF107" s="1662" t="s">
        <v>3125</v>
      </c>
      <c r="AG107" s="1662" t="s">
        <v>3126</v>
      </c>
      <c r="AH107" s="1662" t="s">
        <v>2867</v>
      </c>
      <c r="AI107" s="1662" t="s">
        <v>2838</v>
      </c>
      <c r="AJ107" s="1662" t="s">
        <v>2839</v>
      </c>
      <c r="AK107" s="1662" t="s">
        <v>3069</v>
      </c>
      <c r="AL107" s="1662" t="s">
        <v>3127</v>
      </c>
      <c r="AM107" s="1665">
        <v>100</v>
      </c>
      <c r="AN107" s="1662"/>
      <c r="AO107" s="1662"/>
      <c r="AP107" s="1662"/>
      <c r="AQ107" s="1662"/>
      <c r="AR107" s="1662"/>
      <c r="AS107" s="1662"/>
      <c r="AT107" s="1662" t="s">
        <v>2946</v>
      </c>
      <c r="AU107" s="1662" t="s">
        <v>2842</v>
      </c>
      <c r="AV107" s="1662" t="s">
        <v>3105</v>
      </c>
      <c r="AW107" s="1662"/>
      <c r="AX107" s="1662" t="s">
        <v>3133</v>
      </c>
      <c r="AY107" s="1662" t="s">
        <v>2874</v>
      </c>
      <c r="AZ107" s="1662" t="s">
        <v>161</v>
      </c>
      <c r="BA107" s="1662" t="s">
        <v>2888</v>
      </c>
      <c r="BB107" s="1662" t="s">
        <v>2833</v>
      </c>
      <c r="BC107" s="1662" t="s">
        <v>2876</v>
      </c>
      <c r="BD107" s="1662" t="s">
        <v>2849</v>
      </c>
      <c r="BE107" s="1662" t="s">
        <v>3098</v>
      </c>
      <c r="BF107" s="1662" t="s">
        <v>2890</v>
      </c>
      <c r="BG107" s="1662" t="s">
        <v>2891</v>
      </c>
      <c r="BH107" s="1662" t="s">
        <v>2880</v>
      </c>
      <c r="BI107" s="1662" t="s">
        <v>2881</v>
      </c>
      <c r="BJ107" s="1662" t="s">
        <v>2892</v>
      </c>
      <c r="BK107" s="1662" t="s">
        <v>2946</v>
      </c>
      <c r="BL107" s="1662" t="s">
        <v>2833</v>
      </c>
      <c r="BM107" s="1662" t="s">
        <v>2833</v>
      </c>
      <c r="BN107" s="1665">
        <v>0</v>
      </c>
      <c r="BO107" s="1664">
        <v>42382</v>
      </c>
      <c r="BP107" s="1664">
        <v>43524</v>
      </c>
      <c r="BQ107" s="1662" t="s">
        <v>2855</v>
      </c>
      <c r="BR107" s="1664">
        <v>45657</v>
      </c>
      <c r="BS107" s="1662" t="s">
        <v>2991</v>
      </c>
      <c r="BT107" s="1662" t="s">
        <v>3136</v>
      </c>
      <c r="BU107" s="1665">
        <v>30</v>
      </c>
      <c r="BV107" s="1665">
        <v>93903.6</v>
      </c>
      <c r="BW107" s="1664">
        <v>43554</v>
      </c>
      <c r="BX107" s="1668"/>
      <c r="BY107" s="1662" t="s">
        <v>2096</v>
      </c>
      <c r="BZ107" s="1662" t="s">
        <v>2858</v>
      </c>
      <c r="CA107" s="1662" t="s">
        <v>2859</v>
      </c>
      <c r="CB107" s="1662" t="s">
        <v>2859</v>
      </c>
      <c r="CC107" s="1662" t="s">
        <v>2993</v>
      </c>
      <c r="CD107" s="1724">
        <v>368599</v>
      </c>
      <c r="CE107" s="1724">
        <v>368599</v>
      </c>
      <c r="CF107" s="1724">
        <v>313012</v>
      </c>
      <c r="CG107" s="1724">
        <v>84.92</v>
      </c>
      <c r="CH107" s="1724">
        <v>55587</v>
      </c>
      <c r="CI107" s="1724">
        <v>15.08</v>
      </c>
      <c r="CJ107" s="1724">
        <v>368599</v>
      </c>
      <c r="CK107" s="1724">
        <v>100</v>
      </c>
      <c r="CL107" s="1725" t="s">
        <v>2861</v>
      </c>
      <c r="CM107" s="1729">
        <v>42573</v>
      </c>
      <c r="CN107" s="1727"/>
      <c r="CO107" s="1728"/>
      <c r="CP107" s="1726"/>
      <c r="CQ107" s="1724">
        <v>313012</v>
      </c>
      <c r="CR107" s="1724">
        <v>313012</v>
      </c>
      <c r="CS107" s="1724">
        <v>0</v>
      </c>
      <c r="CT107" s="1728" t="s">
        <v>2861</v>
      </c>
      <c r="CU107" s="1729">
        <v>42586</v>
      </c>
      <c r="CV107" s="1724">
        <v>368599</v>
      </c>
      <c r="CW107" s="1724">
        <v>0</v>
      </c>
      <c r="CX107" s="1724">
        <v>75378</v>
      </c>
      <c r="CY107" s="1724">
        <v>280240</v>
      </c>
      <c r="CZ107" s="1724">
        <v>4032</v>
      </c>
      <c r="DA107" s="1724">
        <v>4719</v>
      </c>
      <c r="DB107" s="1724">
        <v>230</v>
      </c>
      <c r="DC107" s="1724">
        <v>4000</v>
      </c>
      <c r="DD107" s="1724">
        <v>368599</v>
      </c>
      <c r="DE107" s="1724">
        <v>313012</v>
      </c>
      <c r="DF107" s="1724">
        <v>313012</v>
      </c>
      <c r="DG107" s="1724">
        <v>0</v>
      </c>
      <c r="DH107" s="1724">
        <v>55587</v>
      </c>
      <c r="DI107" s="1724">
        <v>55587</v>
      </c>
      <c r="DJ107" s="1724">
        <v>0</v>
      </c>
      <c r="DK107" s="1724">
        <v>55587</v>
      </c>
      <c r="DL107" s="1724">
        <v>0</v>
      </c>
      <c r="DM107" s="1724">
        <v>0</v>
      </c>
      <c r="DN107" s="1724">
        <v>0</v>
      </c>
      <c r="DO107" s="1724">
        <v>0</v>
      </c>
      <c r="DP107" s="1724">
        <v>0</v>
      </c>
      <c r="DQ107" s="1728"/>
      <c r="DR107" s="1724">
        <v>0</v>
      </c>
      <c r="DS107" s="1728" t="s">
        <v>2833</v>
      </c>
      <c r="DT107" s="1726"/>
      <c r="DU107" s="1728" t="s">
        <v>2861</v>
      </c>
      <c r="DV107" s="1729">
        <v>43524</v>
      </c>
    </row>
    <row r="108" spans="1:126" ht="67.5" x14ac:dyDescent="0.25">
      <c r="A108" s="1662" t="s">
        <v>2095</v>
      </c>
      <c r="B108" s="1662" t="s">
        <v>1727</v>
      </c>
      <c r="C108" s="1662" t="s">
        <v>2636</v>
      </c>
      <c r="D108" s="1662" t="s">
        <v>2639</v>
      </c>
      <c r="E108" s="1662" t="s">
        <v>2342</v>
      </c>
      <c r="F108" s="1662" t="s">
        <v>264</v>
      </c>
      <c r="G108" s="1662" t="s">
        <v>2638</v>
      </c>
      <c r="H108" s="1662" t="s">
        <v>2628</v>
      </c>
      <c r="I108" s="1662" t="s">
        <v>2613</v>
      </c>
      <c r="J108" s="1662" t="s">
        <v>741</v>
      </c>
      <c r="K108" s="1664">
        <v>42523</v>
      </c>
      <c r="L108" s="1664">
        <v>42626</v>
      </c>
      <c r="M108" s="1662" t="s">
        <v>189</v>
      </c>
      <c r="N108" s="1662" t="s">
        <v>2109</v>
      </c>
      <c r="O108" s="1662" t="s">
        <v>3137</v>
      </c>
      <c r="P108" s="1662" t="s">
        <v>2833</v>
      </c>
      <c r="Q108" s="1662" t="s">
        <v>1748</v>
      </c>
      <c r="R108" s="1662" t="s">
        <v>2833</v>
      </c>
      <c r="S108" s="1662" t="s">
        <v>2833</v>
      </c>
      <c r="T108" s="1662"/>
      <c r="U108" s="1662" t="s">
        <v>2834</v>
      </c>
      <c r="V108" s="1662" t="s">
        <v>2833</v>
      </c>
      <c r="W108" s="1662" t="s">
        <v>2833</v>
      </c>
      <c r="X108" s="1662"/>
      <c r="Y108" s="1662" t="s">
        <v>2833</v>
      </c>
      <c r="Z108" s="1662"/>
      <c r="AA108" s="1662"/>
      <c r="AB108" s="1662" t="s">
        <v>2833</v>
      </c>
      <c r="AC108" s="1662" t="s">
        <v>2833</v>
      </c>
      <c r="AD108" s="1662" t="s">
        <v>2833</v>
      </c>
      <c r="AE108" s="1662"/>
      <c r="AF108" s="1662" t="s">
        <v>3125</v>
      </c>
      <c r="AG108" s="1662" t="s">
        <v>3126</v>
      </c>
      <c r="AH108" s="1662" t="s">
        <v>2867</v>
      </c>
      <c r="AI108" s="1662" t="s">
        <v>2838</v>
      </c>
      <c r="AJ108" s="1662" t="s">
        <v>2839</v>
      </c>
      <c r="AK108" s="1662" t="s">
        <v>3069</v>
      </c>
      <c r="AL108" s="1662" t="s">
        <v>3127</v>
      </c>
      <c r="AM108" s="1665">
        <v>100</v>
      </c>
      <c r="AN108" s="1662"/>
      <c r="AO108" s="1662"/>
      <c r="AP108" s="1662"/>
      <c r="AQ108" s="1662"/>
      <c r="AR108" s="1662"/>
      <c r="AS108" s="1662"/>
      <c r="AT108" s="1662" t="s">
        <v>2946</v>
      </c>
      <c r="AU108" s="1662" t="s">
        <v>2842</v>
      </c>
      <c r="AV108" s="1662" t="s">
        <v>3105</v>
      </c>
      <c r="AW108" s="1662"/>
      <c r="AX108" s="1662" t="s">
        <v>3106</v>
      </c>
      <c r="AY108" s="1662" t="s">
        <v>2874</v>
      </c>
      <c r="AZ108" s="1662" t="s">
        <v>184</v>
      </c>
      <c r="BA108" s="1662" t="s">
        <v>2904</v>
      </c>
      <c r="BB108" s="1662" t="s">
        <v>2833</v>
      </c>
      <c r="BC108" s="1662" t="s">
        <v>2876</v>
      </c>
      <c r="BD108" s="1662" t="s">
        <v>2849</v>
      </c>
      <c r="BE108" s="1662" t="s">
        <v>2905</v>
      </c>
      <c r="BF108" s="1662" t="s">
        <v>2906</v>
      </c>
      <c r="BG108" s="1662" t="s">
        <v>3138</v>
      </c>
      <c r="BH108" s="1662" t="s">
        <v>2880</v>
      </c>
      <c r="BI108" s="1662" t="s">
        <v>2881</v>
      </c>
      <c r="BJ108" s="1662" t="s">
        <v>2908</v>
      </c>
      <c r="BK108" s="1662" t="s">
        <v>2946</v>
      </c>
      <c r="BL108" s="1662" t="s">
        <v>2833</v>
      </c>
      <c r="BM108" s="1662" t="s">
        <v>2833</v>
      </c>
      <c r="BN108" s="1665">
        <v>0</v>
      </c>
      <c r="BO108" s="1664">
        <v>42522</v>
      </c>
      <c r="BP108" s="1664">
        <v>43343</v>
      </c>
      <c r="BQ108" s="1662" t="s">
        <v>2855</v>
      </c>
      <c r="BR108" s="1664">
        <v>45657</v>
      </c>
      <c r="BS108" s="1662" t="s">
        <v>2883</v>
      </c>
      <c r="BT108" s="1662" t="s">
        <v>3139</v>
      </c>
      <c r="BU108" s="1665">
        <v>30</v>
      </c>
      <c r="BV108" s="1665">
        <v>61681.7</v>
      </c>
      <c r="BW108" s="1664">
        <v>43373</v>
      </c>
      <c r="BX108" s="1668"/>
      <c r="BY108" s="1662" t="s">
        <v>2096</v>
      </c>
      <c r="BZ108" s="1662" t="s">
        <v>2858</v>
      </c>
      <c r="CA108" s="1662" t="s">
        <v>2859</v>
      </c>
      <c r="CB108" s="1662" t="s">
        <v>2859</v>
      </c>
      <c r="CC108" s="1662" t="s">
        <v>2993</v>
      </c>
      <c r="CD108" s="1724">
        <v>241889</v>
      </c>
      <c r="CE108" s="1724">
        <v>241889</v>
      </c>
      <c r="CF108" s="1724">
        <v>205605.65</v>
      </c>
      <c r="CG108" s="1724">
        <v>85</v>
      </c>
      <c r="CH108" s="1724">
        <v>36283.35</v>
      </c>
      <c r="CI108" s="1724">
        <v>15</v>
      </c>
      <c r="CJ108" s="1724">
        <v>241889</v>
      </c>
      <c r="CK108" s="1724">
        <v>100</v>
      </c>
      <c r="CL108" s="1725" t="s">
        <v>2861</v>
      </c>
      <c r="CM108" s="1729">
        <v>42580</v>
      </c>
      <c r="CN108" s="1727"/>
      <c r="CO108" s="1728"/>
      <c r="CP108" s="1726"/>
      <c r="CQ108" s="1724">
        <v>205605.65</v>
      </c>
      <c r="CR108" s="1724">
        <v>205605.65</v>
      </c>
      <c r="CS108" s="1724">
        <v>0</v>
      </c>
      <c r="CT108" s="1728" t="s">
        <v>2861</v>
      </c>
      <c r="CU108" s="1729">
        <v>42592</v>
      </c>
      <c r="CV108" s="1724">
        <v>241889</v>
      </c>
      <c r="CW108" s="1724">
        <v>0</v>
      </c>
      <c r="CX108" s="1724">
        <v>0</v>
      </c>
      <c r="CY108" s="1724">
        <v>237524.94</v>
      </c>
      <c r="CZ108" s="1724">
        <v>1734</v>
      </c>
      <c r="DA108" s="1724">
        <v>0</v>
      </c>
      <c r="DB108" s="1724">
        <v>0</v>
      </c>
      <c r="DC108" s="1724">
        <v>2630.06</v>
      </c>
      <c r="DD108" s="1724">
        <v>241889</v>
      </c>
      <c r="DE108" s="1724">
        <v>205605.65</v>
      </c>
      <c r="DF108" s="1724">
        <v>205605.65</v>
      </c>
      <c r="DG108" s="1724">
        <v>0</v>
      </c>
      <c r="DH108" s="1724">
        <v>36283.35</v>
      </c>
      <c r="DI108" s="1724">
        <v>36283.35</v>
      </c>
      <c r="DJ108" s="1724">
        <v>0</v>
      </c>
      <c r="DK108" s="1724">
        <v>36283.35</v>
      </c>
      <c r="DL108" s="1724">
        <v>0</v>
      </c>
      <c r="DM108" s="1724">
        <v>0</v>
      </c>
      <c r="DN108" s="1724">
        <v>0</v>
      </c>
      <c r="DO108" s="1724">
        <v>0</v>
      </c>
      <c r="DP108" s="1724">
        <v>0</v>
      </c>
      <c r="DQ108" s="1728" t="s">
        <v>2886</v>
      </c>
      <c r="DR108" s="1724">
        <v>0</v>
      </c>
      <c r="DS108" s="1728" t="s">
        <v>2833</v>
      </c>
      <c r="DT108" s="1726"/>
      <c r="DU108" s="1728" t="s">
        <v>2861</v>
      </c>
      <c r="DV108" s="1729">
        <v>43343</v>
      </c>
    </row>
    <row r="109" spans="1:126" x14ac:dyDescent="0.25">
      <c r="A109" s="1662" t="s">
        <v>2096</v>
      </c>
      <c r="B109" s="1662" t="s">
        <v>1727</v>
      </c>
      <c r="C109" s="1662" t="s">
        <v>2640</v>
      </c>
      <c r="D109" s="1662"/>
      <c r="E109" s="1662"/>
      <c r="F109" s="1662"/>
      <c r="G109" s="1662"/>
      <c r="H109" s="1662"/>
      <c r="I109" s="1662"/>
      <c r="J109" s="1662"/>
      <c r="K109" s="1668"/>
      <c r="L109" s="1668"/>
      <c r="M109" s="1662"/>
      <c r="N109" s="1662"/>
      <c r="O109" s="1662"/>
      <c r="P109" s="1662"/>
      <c r="Q109" s="1662"/>
      <c r="R109" s="1662"/>
      <c r="S109" s="1662"/>
      <c r="T109" s="1662"/>
      <c r="U109" s="1662"/>
      <c r="V109" s="1662"/>
      <c r="W109" s="1662"/>
      <c r="X109" s="1662"/>
      <c r="Y109" s="1662"/>
      <c r="Z109" s="1662"/>
      <c r="AA109" s="1662"/>
      <c r="AB109" s="1662"/>
      <c r="AC109" s="1662"/>
      <c r="AD109" s="1662"/>
      <c r="AE109" s="1662"/>
      <c r="AF109" s="1662"/>
      <c r="AG109" s="1662"/>
      <c r="AH109" s="1662"/>
      <c r="AI109" s="1662"/>
      <c r="AJ109" s="1662"/>
      <c r="AK109" s="1662"/>
      <c r="AL109" s="1662"/>
      <c r="AM109" s="1663"/>
      <c r="AN109" s="1662"/>
      <c r="AO109" s="1662"/>
      <c r="AP109" s="1662"/>
      <c r="AQ109" s="1662"/>
      <c r="AR109" s="1662"/>
      <c r="AS109" s="1662"/>
      <c r="AT109" s="1662"/>
      <c r="AU109" s="1662"/>
      <c r="AV109" s="1662"/>
      <c r="AW109" s="1662"/>
      <c r="AX109" s="1662"/>
      <c r="AY109" s="1662"/>
      <c r="AZ109" s="1662"/>
      <c r="BA109" s="1662"/>
      <c r="BB109" s="1662"/>
      <c r="BC109" s="1662"/>
      <c r="BD109" s="1662"/>
      <c r="BE109" s="1662"/>
      <c r="BF109" s="1662"/>
      <c r="BG109" s="1662"/>
      <c r="BH109" s="1662"/>
      <c r="BI109" s="1662"/>
      <c r="BJ109" s="1662"/>
      <c r="BK109" s="1662"/>
      <c r="BL109" s="1662"/>
      <c r="BM109" s="1662"/>
      <c r="BN109" s="1663"/>
      <c r="BO109" s="1668"/>
      <c r="BP109" s="1668"/>
      <c r="BQ109" s="1662"/>
      <c r="BR109" s="1668"/>
      <c r="BS109" s="1662"/>
      <c r="BT109" s="1662"/>
      <c r="BU109" s="1663"/>
      <c r="BV109" s="1665">
        <v>629926.61</v>
      </c>
      <c r="BW109" s="1668"/>
      <c r="BX109" s="1668"/>
      <c r="BY109" s="1662"/>
      <c r="BZ109" s="1662"/>
      <c r="CA109" s="1662"/>
      <c r="CB109" s="1662"/>
      <c r="CC109" s="1662"/>
      <c r="CD109" s="1724">
        <v>2827316.08</v>
      </c>
      <c r="CE109" s="1724">
        <v>2673858.7999999998</v>
      </c>
      <c r="CF109" s="1724">
        <v>2099755.38</v>
      </c>
      <c r="CG109" s="1724">
        <v>78.53</v>
      </c>
      <c r="CH109" s="1724">
        <v>574103.42000000004</v>
      </c>
      <c r="CI109" s="1724">
        <v>21.47</v>
      </c>
      <c r="CJ109" s="1724">
        <v>2673858.7999999998</v>
      </c>
      <c r="CK109" s="1724">
        <v>100</v>
      </c>
      <c r="CL109" s="1725"/>
      <c r="CM109" s="1726"/>
      <c r="CN109" s="1727"/>
      <c r="CO109" s="1728"/>
      <c r="CP109" s="1726"/>
      <c r="CQ109" s="1724">
        <v>2099755.38</v>
      </c>
      <c r="CR109" s="1724">
        <v>1929504.64</v>
      </c>
      <c r="CS109" s="1724">
        <v>170250.74</v>
      </c>
      <c r="CT109" s="1728"/>
      <c r="CU109" s="1726"/>
      <c r="CV109" s="1724">
        <v>2673858.7999999998</v>
      </c>
      <c r="CW109" s="1724">
        <v>0</v>
      </c>
      <c r="CX109" s="1724">
        <v>0</v>
      </c>
      <c r="CY109" s="1724">
        <v>2650322.1</v>
      </c>
      <c r="CZ109" s="1724">
        <v>8022.9</v>
      </c>
      <c r="DA109" s="1724">
        <v>0</v>
      </c>
      <c r="DB109" s="1724">
        <v>2269.9</v>
      </c>
      <c r="DC109" s="1724">
        <v>13243.9</v>
      </c>
      <c r="DD109" s="1724">
        <v>2673858.7999999998</v>
      </c>
      <c r="DE109" s="1724">
        <v>2099755.38</v>
      </c>
      <c r="DF109" s="1724">
        <v>1929504.64</v>
      </c>
      <c r="DG109" s="1724">
        <v>170250.74</v>
      </c>
      <c r="DH109" s="1724">
        <v>574103.42000000004</v>
      </c>
      <c r="DI109" s="1724">
        <v>574103.42000000004</v>
      </c>
      <c r="DJ109" s="1724">
        <v>0</v>
      </c>
      <c r="DK109" s="1724">
        <v>574103.42000000004</v>
      </c>
      <c r="DL109" s="1724">
        <v>0</v>
      </c>
      <c r="DM109" s="1724">
        <v>0</v>
      </c>
      <c r="DN109" s="1724">
        <v>0</v>
      </c>
      <c r="DO109" s="1724">
        <v>0</v>
      </c>
      <c r="DP109" s="1724">
        <v>0</v>
      </c>
      <c r="DQ109" s="1728"/>
      <c r="DR109" s="1727"/>
      <c r="DS109" s="1728"/>
      <c r="DT109" s="1726"/>
      <c r="DU109" s="1728"/>
      <c r="DV109" s="1726"/>
    </row>
    <row r="110" spans="1:126" ht="22.5" x14ac:dyDescent="0.25">
      <c r="A110" s="1662" t="s">
        <v>2154</v>
      </c>
      <c r="B110" s="1662" t="s">
        <v>1727</v>
      </c>
      <c r="C110" s="1662" t="s">
        <v>2640</v>
      </c>
      <c r="D110" s="1662" t="s">
        <v>2641</v>
      </c>
      <c r="E110" s="1662"/>
      <c r="F110" s="1662"/>
      <c r="G110" s="1662"/>
      <c r="H110" s="1662"/>
      <c r="I110" s="1662"/>
      <c r="J110" s="1662"/>
      <c r="K110" s="1668"/>
      <c r="L110" s="1668"/>
      <c r="M110" s="1662"/>
      <c r="N110" s="1662"/>
      <c r="O110" s="1662"/>
      <c r="P110" s="1662"/>
      <c r="Q110" s="1662"/>
      <c r="R110" s="1662"/>
      <c r="S110" s="1662"/>
      <c r="T110" s="1662"/>
      <c r="U110" s="1662"/>
      <c r="V110" s="1662"/>
      <c r="W110" s="1662"/>
      <c r="X110" s="1662"/>
      <c r="Y110" s="1662"/>
      <c r="Z110" s="1662"/>
      <c r="AA110" s="1662"/>
      <c r="AB110" s="1662"/>
      <c r="AC110" s="1662"/>
      <c r="AD110" s="1662"/>
      <c r="AE110" s="1662"/>
      <c r="AF110" s="1662"/>
      <c r="AG110" s="1662"/>
      <c r="AH110" s="1662"/>
      <c r="AI110" s="1662"/>
      <c r="AJ110" s="1662"/>
      <c r="AK110" s="1662"/>
      <c r="AL110" s="1662"/>
      <c r="AM110" s="1663"/>
      <c r="AN110" s="1662"/>
      <c r="AO110" s="1662"/>
      <c r="AP110" s="1662"/>
      <c r="AQ110" s="1662"/>
      <c r="AR110" s="1662"/>
      <c r="AS110" s="1662"/>
      <c r="AT110" s="1662"/>
      <c r="AU110" s="1662"/>
      <c r="AV110" s="1662"/>
      <c r="AW110" s="1662"/>
      <c r="AX110" s="1662"/>
      <c r="AY110" s="1662"/>
      <c r="AZ110" s="1662"/>
      <c r="BA110" s="1662"/>
      <c r="BB110" s="1662"/>
      <c r="BC110" s="1662"/>
      <c r="BD110" s="1662"/>
      <c r="BE110" s="1662"/>
      <c r="BF110" s="1662"/>
      <c r="BG110" s="1662"/>
      <c r="BH110" s="1662"/>
      <c r="BI110" s="1662"/>
      <c r="BJ110" s="1662"/>
      <c r="BK110" s="1662"/>
      <c r="BL110" s="1662"/>
      <c r="BM110" s="1662"/>
      <c r="BN110" s="1663"/>
      <c r="BO110" s="1668"/>
      <c r="BP110" s="1668"/>
      <c r="BQ110" s="1662"/>
      <c r="BR110" s="1668"/>
      <c r="BS110" s="1662"/>
      <c r="BT110" s="1662"/>
      <c r="BU110" s="1663"/>
      <c r="BV110" s="1665">
        <v>629926.61</v>
      </c>
      <c r="BW110" s="1668"/>
      <c r="BX110" s="1668"/>
      <c r="BY110" s="1662"/>
      <c r="BZ110" s="1662"/>
      <c r="CA110" s="1662"/>
      <c r="CB110" s="1662"/>
      <c r="CC110" s="1662"/>
      <c r="CD110" s="1724">
        <v>2827316.08</v>
      </c>
      <c r="CE110" s="1724">
        <v>2673858.7999999998</v>
      </c>
      <c r="CF110" s="1724">
        <v>2099755.38</v>
      </c>
      <c r="CG110" s="1724">
        <v>78.53</v>
      </c>
      <c r="CH110" s="1724">
        <v>574103.42000000004</v>
      </c>
      <c r="CI110" s="1724">
        <v>21.47</v>
      </c>
      <c r="CJ110" s="1724">
        <v>2673858.7999999998</v>
      </c>
      <c r="CK110" s="1724">
        <v>100</v>
      </c>
      <c r="CL110" s="1725"/>
      <c r="CM110" s="1726"/>
      <c r="CN110" s="1727"/>
      <c r="CO110" s="1728"/>
      <c r="CP110" s="1726"/>
      <c r="CQ110" s="1724">
        <v>2099755.38</v>
      </c>
      <c r="CR110" s="1724">
        <v>1929504.64</v>
      </c>
      <c r="CS110" s="1724">
        <v>170250.74</v>
      </c>
      <c r="CT110" s="1728"/>
      <c r="CU110" s="1726"/>
      <c r="CV110" s="1724">
        <v>2673858.7999999998</v>
      </c>
      <c r="CW110" s="1724">
        <v>0</v>
      </c>
      <c r="CX110" s="1724">
        <v>0</v>
      </c>
      <c r="CY110" s="1724">
        <v>2650322.1</v>
      </c>
      <c r="CZ110" s="1724">
        <v>8022.9</v>
      </c>
      <c r="DA110" s="1724">
        <v>0</v>
      </c>
      <c r="DB110" s="1724">
        <v>2269.9</v>
      </c>
      <c r="DC110" s="1724">
        <v>13243.9</v>
      </c>
      <c r="DD110" s="1724">
        <v>2673858.7999999998</v>
      </c>
      <c r="DE110" s="1724">
        <v>2099755.38</v>
      </c>
      <c r="DF110" s="1724">
        <v>1929504.64</v>
      </c>
      <c r="DG110" s="1724">
        <v>170250.74</v>
      </c>
      <c r="DH110" s="1724">
        <v>574103.42000000004</v>
      </c>
      <c r="DI110" s="1724">
        <v>574103.42000000004</v>
      </c>
      <c r="DJ110" s="1724">
        <v>0</v>
      </c>
      <c r="DK110" s="1724">
        <v>574103.42000000004</v>
      </c>
      <c r="DL110" s="1724">
        <v>0</v>
      </c>
      <c r="DM110" s="1724">
        <v>0</v>
      </c>
      <c r="DN110" s="1724">
        <v>0</v>
      </c>
      <c r="DO110" s="1724">
        <v>0</v>
      </c>
      <c r="DP110" s="1724">
        <v>0</v>
      </c>
      <c r="DQ110" s="1728"/>
      <c r="DR110" s="1727"/>
      <c r="DS110" s="1728"/>
      <c r="DT110" s="1726"/>
      <c r="DU110" s="1728"/>
      <c r="DV110" s="1726"/>
    </row>
    <row r="111" spans="1:126" ht="22.5" x14ac:dyDescent="0.25">
      <c r="A111" s="1662" t="s">
        <v>2155</v>
      </c>
      <c r="B111" s="1662" t="s">
        <v>1727</v>
      </c>
      <c r="C111" s="1662" t="s">
        <v>2640</v>
      </c>
      <c r="D111" s="1662" t="s">
        <v>2641</v>
      </c>
      <c r="E111" s="1662" t="s">
        <v>2396</v>
      </c>
      <c r="F111" s="1662" t="s">
        <v>378</v>
      </c>
      <c r="G111" s="1662"/>
      <c r="H111" s="1662"/>
      <c r="I111" s="1662"/>
      <c r="J111" s="1662"/>
      <c r="K111" s="1668"/>
      <c r="L111" s="1668"/>
      <c r="M111" s="1662"/>
      <c r="N111" s="1662"/>
      <c r="O111" s="1662"/>
      <c r="P111" s="1662"/>
      <c r="Q111" s="1662"/>
      <c r="R111" s="1662"/>
      <c r="S111" s="1662"/>
      <c r="T111" s="1662"/>
      <c r="U111" s="1662"/>
      <c r="V111" s="1662"/>
      <c r="W111" s="1662"/>
      <c r="X111" s="1662"/>
      <c r="Y111" s="1662"/>
      <c r="Z111" s="1662"/>
      <c r="AA111" s="1662"/>
      <c r="AB111" s="1662"/>
      <c r="AC111" s="1662"/>
      <c r="AD111" s="1662"/>
      <c r="AE111" s="1662"/>
      <c r="AF111" s="1662"/>
      <c r="AG111" s="1662"/>
      <c r="AH111" s="1662"/>
      <c r="AI111" s="1662"/>
      <c r="AJ111" s="1662"/>
      <c r="AK111" s="1662"/>
      <c r="AL111" s="1662"/>
      <c r="AM111" s="1663"/>
      <c r="AN111" s="1662"/>
      <c r="AO111" s="1662"/>
      <c r="AP111" s="1662"/>
      <c r="AQ111" s="1662"/>
      <c r="AR111" s="1662"/>
      <c r="AS111" s="1662"/>
      <c r="AT111" s="1662"/>
      <c r="AU111" s="1662"/>
      <c r="AV111" s="1662"/>
      <c r="AW111" s="1662"/>
      <c r="AX111" s="1662"/>
      <c r="AY111" s="1662"/>
      <c r="AZ111" s="1662"/>
      <c r="BA111" s="1662"/>
      <c r="BB111" s="1662"/>
      <c r="BC111" s="1662"/>
      <c r="BD111" s="1662"/>
      <c r="BE111" s="1662"/>
      <c r="BF111" s="1662"/>
      <c r="BG111" s="1662"/>
      <c r="BH111" s="1662"/>
      <c r="BI111" s="1662"/>
      <c r="BJ111" s="1662"/>
      <c r="BK111" s="1662"/>
      <c r="BL111" s="1662"/>
      <c r="BM111" s="1662"/>
      <c r="BN111" s="1663"/>
      <c r="BO111" s="1668"/>
      <c r="BP111" s="1668"/>
      <c r="BQ111" s="1662"/>
      <c r="BR111" s="1668"/>
      <c r="BS111" s="1662"/>
      <c r="BT111" s="1662"/>
      <c r="BU111" s="1663"/>
      <c r="BV111" s="1665">
        <v>629926.61</v>
      </c>
      <c r="BW111" s="1668"/>
      <c r="BX111" s="1668"/>
      <c r="BY111" s="1662"/>
      <c r="BZ111" s="1662"/>
      <c r="CA111" s="1662"/>
      <c r="CB111" s="1662"/>
      <c r="CC111" s="1662"/>
      <c r="CD111" s="1724">
        <v>2827316.08</v>
      </c>
      <c r="CE111" s="1724">
        <v>2673858.7999999998</v>
      </c>
      <c r="CF111" s="1724">
        <v>2099755.38</v>
      </c>
      <c r="CG111" s="1724">
        <v>78.53</v>
      </c>
      <c r="CH111" s="1724">
        <v>574103.42000000004</v>
      </c>
      <c r="CI111" s="1724">
        <v>21.47</v>
      </c>
      <c r="CJ111" s="1724">
        <v>2673858.7999999998</v>
      </c>
      <c r="CK111" s="1724">
        <v>100</v>
      </c>
      <c r="CL111" s="1725"/>
      <c r="CM111" s="1726"/>
      <c r="CN111" s="1727"/>
      <c r="CO111" s="1728"/>
      <c r="CP111" s="1726"/>
      <c r="CQ111" s="1724">
        <v>2099755.38</v>
      </c>
      <c r="CR111" s="1724">
        <v>1929504.64</v>
      </c>
      <c r="CS111" s="1724">
        <v>170250.74</v>
      </c>
      <c r="CT111" s="1728"/>
      <c r="CU111" s="1726"/>
      <c r="CV111" s="1724">
        <v>2673858.7999999998</v>
      </c>
      <c r="CW111" s="1724">
        <v>0</v>
      </c>
      <c r="CX111" s="1724">
        <v>0</v>
      </c>
      <c r="CY111" s="1724">
        <v>2650322.1</v>
      </c>
      <c r="CZ111" s="1724">
        <v>8022.9</v>
      </c>
      <c r="DA111" s="1724">
        <v>0</v>
      </c>
      <c r="DB111" s="1724">
        <v>2269.9</v>
      </c>
      <c r="DC111" s="1724">
        <v>13243.9</v>
      </c>
      <c r="DD111" s="1724">
        <v>2673858.7999999998</v>
      </c>
      <c r="DE111" s="1724">
        <v>2099755.38</v>
      </c>
      <c r="DF111" s="1724">
        <v>1929504.64</v>
      </c>
      <c r="DG111" s="1724">
        <v>170250.74</v>
      </c>
      <c r="DH111" s="1724">
        <v>574103.42000000004</v>
      </c>
      <c r="DI111" s="1724">
        <v>574103.42000000004</v>
      </c>
      <c r="DJ111" s="1724">
        <v>0</v>
      </c>
      <c r="DK111" s="1724">
        <v>574103.42000000004</v>
      </c>
      <c r="DL111" s="1724">
        <v>0</v>
      </c>
      <c r="DM111" s="1724">
        <v>0</v>
      </c>
      <c r="DN111" s="1724">
        <v>0</v>
      </c>
      <c r="DO111" s="1724">
        <v>0</v>
      </c>
      <c r="DP111" s="1724">
        <v>0</v>
      </c>
      <c r="DQ111" s="1728"/>
      <c r="DR111" s="1727"/>
      <c r="DS111" s="1728"/>
      <c r="DT111" s="1726"/>
      <c r="DU111" s="1728"/>
      <c r="DV111" s="1726"/>
    </row>
    <row r="112" spans="1:126" ht="101.25" x14ac:dyDescent="0.25">
      <c r="A112" s="1662" t="s">
        <v>2156</v>
      </c>
      <c r="B112" s="1662" t="s">
        <v>1727</v>
      </c>
      <c r="C112" s="1662" t="s">
        <v>2640</v>
      </c>
      <c r="D112" s="1662" t="s">
        <v>2641</v>
      </c>
      <c r="E112" s="1662" t="s">
        <v>2396</v>
      </c>
      <c r="F112" s="1662" t="s">
        <v>378</v>
      </c>
      <c r="G112" s="1662" t="s">
        <v>2635</v>
      </c>
      <c r="H112" s="1662" t="s">
        <v>2628</v>
      </c>
      <c r="I112" s="1662" t="s">
        <v>2613</v>
      </c>
      <c r="J112" s="1662" t="s">
        <v>1226</v>
      </c>
      <c r="K112" s="1664">
        <v>43039</v>
      </c>
      <c r="L112" s="1664">
        <v>43125</v>
      </c>
      <c r="M112" s="1662" t="s">
        <v>125</v>
      </c>
      <c r="N112" s="1662" t="s">
        <v>2109</v>
      </c>
      <c r="O112" s="1662" t="s">
        <v>3140</v>
      </c>
      <c r="P112" s="1662" t="s">
        <v>2833</v>
      </c>
      <c r="Q112" s="1662" t="s">
        <v>1750</v>
      </c>
      <c r="R112" s="1662" t="s">
        <v>2833</v>
      </c>
      <c r="S112" s="1662" t="s">
        <v>2833</v>
      </c>
      <c r="T112" s="1662"/>
      <c r="U112" s="1662" t="s">
        <v>2834</v>
      </c>
      <c r="V112" s="1662" t="s">
        <v>2833</v>
      </c>
      <c r="W112" s="1662" t="s">
        <v>2833</v>
      </c>
      <c r="X112" s="1662"/>
      <c r="Y112" s="1662" t="s">
        <v>2833</v>
      </c>
      <c r="Z112" s="1662"/>
      <c r="AA112" s="1662"/>
      <c r="AB112" s="1662" t="s">
        <v>2833</v>
      </c>
      <c r="AC112" s="1662" t="s">
        <v>2833</v>
      </c>
      <c r="AD112" s="1662" t="s">
        <v>2833</v>
      </c>
      <c r="AE112" s="1662"/>
      <c r="AF112" s="1662" t="s">
        <v>3141</v>
      </c>
      <c r="AG112" s="1662" t="s">
        <v>3068</v>
      </c>
      <c r="AH112" s="1662" t="s">
        <v>2867</v>
      </c>
      <c r="AI112" s="1662" t="s">
        <v>2838</v>
      </c>
      <c r="AJ112" s="1662" t="s">
        <v>2839</v>
      </c>
      <c r="AK112" s="1662" t="s">
        <v>3069</v>
      </c>
      <c r="AL112" s="1662" t="s">
        <v>3070</v>
      </c>
      <c r="AM112" s="1665">
        <v>100</v>
      </c>
      <c r="AN112" s="1662"/>
      <c r="AO112" s="1662"/>
      <c r="AP112" s="1662"/>
      <c r="AQ112" s="1662"/>
      <c r="AR112" s="1662"/>
      <c r="AS112" s="1662"/>
      <c r="AT112" s="1662" t="s">
        <v>2946</v>
      </c>
      <c r="AU112" s="1662" t="s">
        <v>3142</v>
      </c>
      <c r="AV112" s="1662" t="s">
        <v>3105</v>
      </c>
      <c r="AW112" s="1662"/>
      <c r="AX112" s="1662" t="s">
        <v>2989</v>
      </c>
      <c r="AY112" s="1662" t="s">
        <v>2874</v>
      </c>
      <c r="AZ112" s="1662" t="s">
        <v>284</v>
      </c>
      <c r="BA112" s="1662" t="s">
        <v>2896</v>
      </c>
      <c r="BB112" s="1662" t="s">
        <v>2833</v>
      </c>
      <c r="BC112" s="1662" t="s">
        <v>2876</v>
      </c>
      <c r="BD112" s="1662" t="s">
        <v>2849</v>
      </c>
      <c r="BE112" s="1662" t="s">
        <v>3022</v>
      </c>
      <c r="BF112" s="1662" t="s">
        <v>3039</v>
      </c>
      <c r="BG112" s="1662" t="s">
        <v>3024</v>
      </c>
      <c r="BH112" s="1662" t="s">
        <v>2880</v>
      </c>
      <c r="BI112" s="1662" t="s">
        <v>2881</v>
      </c>
      <c r="BJ112" s="1662" t="s">
        <v>2900</v>
      </c>
      <c r="BK112" s="1662" t="s">
        <v>2946</v>
      </c>
      <c r="BL112" s="1662" t="s">
        <v>2833</v>
      </c>
      <c r="BM112" s="1662" t="s">
        <v>2833</v>
      </c>
      <c r="BN112" s="1665">
        <v>0</v>
      </c>
      <c r="BO112" s="1664">
        <v>42188</v>
      </c>
      <c r="BP112" s="1664">
        <v>43890</v>
      </c>
      <c r="BQ112" s="1662" t="s">
        <v>2855</v>
      </c>
      <c r="BR112" s="1664">
        <v>46387</v>
      </c>
      <c r="BS112" s="1662" t="s">
        <v>2883</v>
      </c>
      <c r="BT112" s="1662" t="s">
        <v>3143</v>
      </c>
      <c r="BU112" s="1665">
        <v>30</v>
      </c>
      <c r="BV112" s="1665">
        <v>167894.21</v>
      </c>
      <c r="BW112" s="1664">
        <v>43920</v>
      </c>
      <c r="BX112" s="1668"/>
      <c r="BY112" s="1662" t="s">
        <v>2096</v>
      </c>
      <c r="BZ112" s="1662" t="s">
        <v>2858</v>
      </c>
      <c r="CA112" s="1662" t="s">
        <v>2859</v>
      </c>
      <c r="CB112" s="1662" t="s">
        <v>2859</v>
      </c>
      <c r="CC112" s="1662" t="s">
        <v>2993</v>
      </c>
      <c r="CD112" s="1724">
        <v>613844.72</v>
      </c>
      <c r="CE112" s="1724">
        <v>605024.19999999995</v>
      </c>
      <c r="CF112" s="1724">
        <v>559647.38</v>
      </c>
      <c r="CG112" s="1724">
        <v>92.5</v>
      </c>
      <c r="CH112" s="1724">
        <v>45376.82</v>
      </c>
      <c r="CI112" s="1724">
        <v>7.5</v>
      </c>
      <c r="CJ112" s="1724">
        <v>605024.19999999995</v>
      </c>
      <c r="CK112" s="1724">
        <v>100</v>
      </c>
      <c r="CL112" s="1725" t="s">
        <v>2861</v>
      </c>
      <c r="CM112" s="1729">
        <v>43098</v>
      </c>
      <c r="CN112" s="1727"/>
      <c r="CO112" s="1728"/>
      <c r="CP112" s="1726"/>
      <c r="CQ112" s="1724">
        <v>559647.38</v>
      </c>
      <c r="CR112" s="1724">
        <v>514270.57</v>
      </c>
      <c r="CS112" s="1724">
        <v>45376.81</v>
      </c>
      <c r="CT112" s="1728" t="s">
        <v>2861</v>
      </c>
      <c r="CU112" s="1729">
        <v>43115</v>
      </c>
      <c r="CV112" s="1724">
        <v>605024.19999999995</v>
      </c>
      <c r="CW112" s="1724">
        <v>0</v>
      </c>
      <c r="CX112" s="1724">
        <v>0</v>
      </c>
      <c r="CY112" s="1724">
        <v>598474.56000000006</v>
      </c>
      <c r="CZ112" s="1724">
        <v>0</v>
      </c>
      <c r="DA112" s="1724">
        <v>0</v>
      </c>
      <c r="DB112" s="1724">
        <v>500</v>
      </c>
      <c r="DC112" s="1724">
        <v>6049.64</v>
      </c>
      <c r="DD112" s="1724">
        <v>605024.19999999995</v>
      </c>
      <c r="DE112" s="1724">
        <v>559647.38</v>
      </c>
      <c r="DF112" s="1724">
        <v>514270.57</v>
      </c>
      <c r="DG112" s="1724">
        <v>45376.81</v>
      </c>
      <c r="DH112" s="1724">
        <v>45376.82</v>
      </c>
      <c r="DI112" s="1724">
        <v>45376.82</v>
      </c>
      <c r="DJ112" s="1724">
        <v>0</v>
      </c>
      <c r="DK112" s="1724">
        <v>45376.82</v>
      </c>
      <c r="DL112" s="1724">
        <v>0</v>
      </c>
      <c r="DM112" s="1724">
        <v>0</v>
      </c>
      <c r="DN112" s="1724">
        <v>0</v>
      </c>
      <c r="DO112" s="1724">
        <v>0</v>
      </c>
      <c r="DP112" s="1724">
        <v>0</v>
      </c>
      <c r="DQ112" s="1728" t="s">
        <v>2886</v>
      </c>
      <c r="DR112" s="1724">
        <v>0</v>
      </c>
      <c r="DS112" s="1728" t="s">
        <v>2861</v>
      </c>
      <c r="DT112" s="1726" t="s">
        <v>3144</v>
      </c>
      <c r="DU112" s="1728" t="s">
        <v>2861</v>
      </c>
      <c r="DV112" s="1729">
        <v>43890</v>
      </c>
    </row>
    <row r="113" spans="1:126" ht="112.5" x14ac:dyDescent="0.25">
      <c r="A113" s="1662" t="s">
        <v>2100</v>
      </c>
      <c r="B113" s="1662" t="s">
        <v>1727</v>
      </c>
      <c r="C113" s="1662" t="s">
        <v>2640</v>
      </c>
      <c r="D113" s="1662" t="s">
        <v>2641</v>
      </c>
      <c r="E113" s="1662" t="s">
        <v>2396</v>
      </c>
      <c r="F113" s="1662" t="s">
        <v>378</v>
      </c>
      <c r="G113" s="1662" t="s">
        <v>2635</v>
      </c>
      <c r="H113" s="1662" t="s">
        <v>2628</v>
      </c>
      <c r="I113" s="1662" t="s">
        <v>2613</v>
      </c>
      <c r="J113" s="1662" t="s">
        <v>1623</v>
      </c>
      <c r="K113" s="1664">
        <v>43188</v>
      </c>
      <c r="L113" s="1664">
        <v>43279</v>
      </c>
      <c r="M113" s="1662" t="s">
        <v>124</v>
      </c>
      <c r="N113" s="1662" t="s">
        <v>2109</v>
      </c>
      <c r="O113" s="1662" t="s">
        <v>3145</v>
      </c>
      <c r="P113" s="1662" t="s">
        <v>2833</v>
      </c>
      <c r="Q113" s="1662" t="s">
        <v>1755</v>
      </c>
      <c r="R113" s="1662" t="s">
        <v>2833</v>
      </c>
      <c r="S113" s="1662" t="s">
        <v>2833</v>
      </c>
      <c r="T113" s="1662"/>
      <c r="U113" s="1662" t="s">
        <v>2834</v>
      </c>
      <c r="V113" s="1662" t="s">
        <v>2833</v>
      </c>
      <c r="W113" s="1662" t="s">
        <v>2833</v>
      </c>
      <c r="X113" s="1662"/>
      <c r="Y113" s="1662" t="s">
        <v>2833</v>
      </c>
      <c r="Z113" s="1662"/>
      <c r="AA113" s="1662"/>
      <c r="AB113" s="1662" t="s">
        <v>2833</v>
      </c>
      <c r="AC113" s="1662" t="s">
        <v>2833</v>
      </c>
      <c r="AD113" s="1662" t="s">
        <v>2833</v>
      </c>
      <c r="AE113" s="1662"/>
      <c r="AF113" s="1662" t="s">
        <v>3141</v>
      </c>
      <c r="AG113" s="1662" t="s">
        <v>3068</v>
      </c>
      <c r="AH113" s="1662" t="s">
        <v>2867</v>
      </c>
      <c r="AI113" s="1662" t="s">
        <v>2838</v>
      </c>
      <c r="AJ113" s="1662" t="s">
        <v>2839</v>
      </c>
      <c r="AK113" s="1662" t="s">
        <v>3069</v>
      </c>
      <c r="AL113" s="1662" t="s">
        <v>3070</v>
      </c>
      <c r="AM113" s="1665">
        <v>100</v>
      </c>
      <c r="AN113" s="1662"/>
      <c r="AO113" s="1662"/>
      <c r="AP113" s="1662"/>
      <c r="AQ113" s="1662"/>
      <c r="AR113" s="1662"/>
      <c r="AS113" s="1662"/>
      <c r="AT113" s="1662" t="s">
        <v>2946</v>
      </c>
      <c r="AU113" s="1662" t="s">
        <v>3142</v>
      </c>
      <c r="AV113" s="1662" t="s">
        <v>3105</v>
      </c>
      <c r="AW113" s="1662"/>
      <c r="AX113" s="1662" t="s">
        <v>2989</v>
      </c>
      <c r="AY113" s="1662" t="s">
        <v>2874</v>
      </c>
      <c r="AZ113" s="1662" t="s">
        <v>284</v>
      </c>
      <c r="BA113" s="1662" t="s">
        <v>2896</v>
      </c>
      <c r="BB113" s="1662" t="s">
        <v>2833</v>
      </c>
      <c r="BC113" s="1662" t="s">
        <v>2876</v>
      </c>
      <c r="BD113" s="1662" t="s">
        <v>2849</v>
      </c>
      <c r="BE113" s="1662" t="s">
        <v>3022</v>
      </c>
      <c r="BF113" s="1662" t="s">
        <v>3039</v>
      </c>
      <c r="BG113" s="1662" t="s">
        <v>3024</v>
      </c>
      <c r="BH113" s="1662" t="s">
        <v>2880</v>
      </c>
      <c r="BI113" s="1662" t="s">
        <v>2881</v>
      </c>
      <c r="BJ113" s="1662" t="s">
        <v>2900</v>
      </c>
      <c r="BK113" s="1662" t="s">
        <v>2946</v>
      </c>
      <c r="BL113" s="1662" t="s">
        <v>2833</v>
      </c>
      <c r="BM113" s="1662" t="s">
        <v>2833</v>
      </c>
      <c r="BN113" s="1665">
        <v>0</v>
      </c>
      <c r="BO113" s="1664">
        <v>42188</v>
      </c>
      <c r="BP113" s="1664">
        <v>44196</v>
      </c>
      <c r="BQ113" s="1662" t="s">
        <v>2855</v>
      </c>
      <c r="BR113" s="1664">
        <v>46387</v>
      </c>
      <c r="BS113" s="1662" t="s">
        <v>2883</v>
      </c>
      <c r="BT113" s="1662" t="s">
        <v>3146</v>
      </c>
      <c r="BU113" s="1665">
        <v>30</v>
      </c>
      <c r="BV113" s="1665">
        <v>159102.6</v>
      </c>
      <c r="BW113" s="1664">
        <v>44226</v>
      </c>
      <c r="BX113" s="1668"/>
      <c r="BY113" s="1662" t="s">
        <v>2096</v>
      </c>
      <c r="BZ113" s="1662" t="s">
        <v>2858</v>
      </c>
      <c r="CA113" s="1662" t="s">
        <v>2859</v>
      </c>
      <c r="CB113" s="1662" t="s">
        <v>2859</v>
      </c>
      <c r="CC113" s="1662" t="s">
        <v>2993</v>
      </c>
      <c r="CD113" s="1724">
        <v>954174.37</v>
      </c>
      <c r="CE113" s="1724">
        <v>815537.61</v>
      </c>
      <c r="CF113" s="1724">
        <v>530342</v>
      </c>
      <c r="CG113" s="1724">
        <v>65.03</v>
      </c>
      <c r="CH113" s="1724">
        <v>285195.61</v>
      </c>
      <c r="CI113" s="1724">
        <v>34.97</v>
      </c>
      <c r="CJ113" s="1724">
        <v>815537.61</v>
      </c>
      <c r="CK113" s="1724">
        <v>100</v>
      </c>
      <c r="CL113" s="1725" t="s">
        <v>2861</v>
      </c>
      <c r="CM113" s="1729">
        <v>43245</v>
      </c>
      <c r="CN113" s="1727"/>
      <c r="CO113" s="1728"/>
      <c r="CP113" s="1726"/>
      <c r="CQ113" s="1724">
        <v>530342</v>
      </c>
      <c r="CR113" s="1724">
        <v>487341</v>
      </c>
      <c r="CS113" s="1724">
        <v>43001</v>
      </c>
      <c r="CT113" s="1728" t="s">
        <v>2861</v>
      </c>
      <c r="CU113" s="1729">
        <v>43259</v>
      </c>
      <c r="CV113" s="1724">
        <v>815537.61</v>
      </c>
      <c r="CW113" s="1724">
        <v>0</v>
      </c>
      <c r="CX113" s="1724">
        <v>0</v>
      </c>
      <c r="CY113" s="1724">
        <v>808143.35</v>
      </c>
      <c r="CZ113" s="1724">
        <v>0</v>
      </c>
      <c r="DA113" s="1724">
        <v>0</v>
      </c>
      <c r="DB113" s="1724">
        <v>200</v>
      </c>
      <c r="DC113" s="1724">
        <v>7194.26</v>
      </c>
      <c r="DD113" s="1724">
        <v>815537.61</v>
      </c>
      <c r="DE113" s="1724">
        <v>530342</v>
      </c>
      <c r="DF113" s="1724">
        <v>487341</v>
      </c>
      <c r="DG113" s="1724">
        <v>43001</v>
      </c>
      <c r="DH113" s="1724">
        <v>285195.61</v>
      </c>
      <c r="DI113" s="1724">
        <v>285195.61</v>
      </c>
      <c r="DJ113" s="1724">
        <v>0</v>
      </c>
      <c r="DK113" s="1724">
        <v>285195.61</v>
      </c>
      <c r="DL113" s="1724">
        <v>0</v>
      </c>
      <c r="DM113" s="1724">
        <v>0</v>
      </c>
      <c r="DN113" s="1724">
        <v>0</v>
      </c>
      <c r="DO113" s="1724">
        <v>0</v>
      </c>
      <c r="DP113" s="1724">
        <v>0</v>
      </c>
      <c r="DQ113" s="1728" t="s">
        <v>2886</v>
      </c>
      <c r="DR113" s="1724">
        <v>0</v>
      </c>
      <c r="DS113" s="1728" t="s">
        <v>2833</v>
      </c>
      <c r="DT113" s="1726"/>
      <c r="DU113" s="1728" t="s">
        <v>2861</v>
      </c>
      <c r="DV113" s="1729">
        <v>44196</v>
      </c>
    </row>
    <row r="114" spans="1:126" ht="146.25" x14ac:dyDescent="0.25">
      <c r="A114" s="1662" t="s">
        <v>2101</v>
      </c>
      <c r="B114" s="1662" t="s">
        <v>1727</v>
      </c>
      <c r="C114" s="1662" t="s">
        <v>2640</v>
      </c>
      <c r="D114" s="1662" t="s">
        <v>2641</v>
      </c>
      <c r="E114" s="1662" t="s">
        <v>2396</v>
      </c>
      <c r="F114" s="1662" t="s">
        <v>378</v>
      </c>
      <c r="G114" s="1662" t="s">
        <v>2635</v>
      </c>
      <c r="H114" s="1662" t="s">
        <v>2628</v>
      </c>
      <c r="I114" s="1662" t="s">
        <v>2613</v>
      </c>
      <c r="J114" s="1662" t="s">
        <v>1624</v>
      </c>
      <c r="K114" s="1664">
        <v>43251</v>
      </c>
      <c r="L114" s="1664">
        <v>43328</v>
      </c>
      <c r="M114" s="1662" t="s">
        <v>390</v>
      </c>
      <c r="N114" s="1662" t="s">
        <v>2109</v>
      </c>
      <c r="O114" s="1662" t="s">
        <v>3147</v>
      </c>
      <c r="P114" s="1662" t="s">
        <v>2833</v>
      </c>
      <c r="Q114" s="1662" t="s">
        <v>1734</v>
      </c>
      <c r="R114" s="1662" t="s">
        <v>2833</v>
      </c>
      <c r="S114" s="1662" t="s">
        <v>2833</v>
      </c>
      <c r="T114" s="1662"/>
      <c r="U114" s="1662" t="s">
        <v>2834</v>
      </c>
      <c r="V114" s="1662" t="s">
        <v>2833</v>
      </c>
      <c r="W114" s="1662" t="s">
        <v>2833</v>
      </c>
      <c r="X114" s="1662"/>
      <c r="Y114" s="1662" t="s">
        <v>2833</v>
      </c>
      <c r="Z114" s="1662"/>
      <c r="AA114" s="1662"/>
      <c r="AB114" s="1662" t="s">
        <v>2833</v>
      </c>
      <c r="AC114" s="1662" t="s">
        <v>2833</v>
      </c>
      <c r="AD114" s="1662" t="s">
        <v>2833</v>
      </c>
      <c r="AE114" s="1662"/>
      <c r="AF114" s="1662" t="s">
        <v>3141</v>
      </c>
      <c r="AG114" s="1662" t="s">
        <v>3068</v>
      </c>
      <c r="AH114" s="1662" t="s">
        <v>2867</v>
      </c>
      <c r="AI114" s="1662" t="s">
        <v>2838</v>
      </c>
      <c r="AJ114" s="1662" t="s">
        <v>2839</v>
      </c>
      <c r="AK114" s="1662" t="s">
        <v>3069</v>
      </c>
      <c r="AL114" s="1662" t="s">
        <v>3070</v>
      </c>
      <c r="AM114" s="1665">
        <v>100</v>
      </c>
      <c r="AN114" s="1662"/>
      <c r="AO114" s="1662"/>
      <c r="AP114" s="1662"/>
      <c r="AQ114" s="1662"/>
      <c r="AR114" s="1662"/>
      <c r="AS114" s="1662"/>
      <c r="AT114" s="1662" t="s">
        <v>2960</v>
      </c>
      <c r="AU114" s="1662" t="s">
        <v>3142</v>
      </c>
      <c r="AV114" s="1662" t="s">
        <v>3105</v>
      </c>
      <c r="AW114" s="1662"/>
      <c r="AX114" s="1662" t="s">
        <v>2989</v>
      </c>
      <c r="AY114" s="1662" t="s">
        <v>2874</v>
      </c>
      <c r="AZ114" s="1662" t="s">
        <v>236</v>
      </c>
      <c r="BA114" s="1662" t="s">
        <v>3009</v>
      </c>
      <c r="BB114" s="1662" t="s">
        <v>2833</v>
      </c>
      <c r="BC114" s="1662" t="s">
        <v>2876</v>
      </c>
      <c r="BD114" s="1662" t="s">
        <v>2849</v>
      </c>
      <c r="BE114" s="1662" t="s">
        <v>3010</v>
      </c>
      <c r="BF114" s="1662" t="s">
        <v>3148</v>
      </c>
      <c r="BG114" s="1662" t="s">
        <v>3012</v>
      </c>
      <c r="BH114" s="1662" t="s">
        <v>2880</v>
      </c>
      <c r="BI114" s="1662" t="s">
        <v>2881</v>
      </c>
      <c r="BJ114" s="1662" t="s">
        <v>2965</v>
      </c>
      <c r="BK114" s="1662" t="s">
        <v>2960</v>
      </c>
      <c r="BL114" s="1662" t="s">
        <v>2833</v>
      </c>
      <c r="BM114" s="1662" t="s">
        <v>2833</v>
      </c>
      <c r="BN114" s="1665">
        <v>0</v>
      </c>
      <c r="BO114" s="1664">
        <v>42524</v>
      </c>
      <c r="BP114" s="1664">
        <v>43708</v>
      </c>
      <c r="BQ114" s="1662" t="s">
        <v>2855</v>
      </c>
      <c r="BR114" s="1664">
        <v>46022</v>
      </c>
      <c r="BS114" s="1662" t="s">
        <v>3108</v>
      </c>
      <c r="BT114" s="1662" t="s">
        <v>3149</v>
      </c>
      <c r="BU114" s="1665">
        <v>30</v>
      </c>
      <c r="BV114" s="1665">
        <v>115928.7</v>
      </c>
      <c r="BW114" s="1664">
        <v>43738</v>
      </c>
      <c r="BX114" s="1668"/>
      <c r="BY114" s="1662" t="s">
        <v>2096</v>
      </c>
      <c r="BZ114" s="1662" t="s">
        <v>2859</v>
      </c>
      <c r="CA114" s="1662" t="s">
        <v>2859</v>
      </c>
      <c r="CB114" s="1662" t="s">
        <v>2859</v>
      </c>
      <c r="CC114" s="1662" t="s">
        <v>2993</v>
      </c>
      <c r="CD114" s="1724">
        <v>579418.99</v>
      </c>
      <c r="CE114" s="1724">
        <v>579418.99</v>
      </c>
      <c r="CF114" s="1724">
        <v>386429</v>
      </c>
      <c r="CG114" s="1724">
        <v>66.69</v>
      </c>
      <c r="CH114" s="1724">
        <v>192989.99</v>
      </c>
      <c r="CI114" s="1724">
        <v>33.31</v>
      </c>
      <c r="CJ114" s="1724">
        <v>579418.99</v>
      </c>
      <c r="CK114" s="1724">
        <v>100</v>
      </c>
      <c r="CL114" s="1725" t="s">
        <v>2861</v>
      </c>
      <c r="CM114" s="1729">
        <v>43305</v>
      </c>
      <c r="CN114" s="1727"/>
      <c r="CO114" s="1728"/>
      <c r="CP114" s="1726"/>
      <c r="CQ114" s="1724">
        <v>386429</v>
      </c>
      <c r="CR114" s="1724">
        <v>355096.91</v>
      </c>
      <c r="CS114" s="1724">
        <v>31332.09</v>
      </c>
      <c r="CT114" s="1728" t="s">
        <v>2861</v>
      </c>
      <c r="CU114" s="1729">
        <v>43313</v>
      </c>
      <c r="CV114" s="1724">
        <v>579418.99</v>
      </c>
      <c r="CW114" s="1724">
        <v>0</v>
      </c>
      <c r="CX114" s="1724">
        <v>0</v>
      </c>
      <c r="CY114" s="1724">
        <v>571299.29</v>
      </c>
      <c r="CZ114" s="1724">
        <v>8022.9</v>
      </c>
      <c r="DA114" s="1724">
        <v>0</v>
      </c>
      <c r="DB114" s="1724">
        <v>96.8</v>
      </c>
      <c r="DC114" s="1724">
        <v>0</v>
      </c>
      <c r="DD114" s="1724">
        <v>579418.99</v>
      </c>
      <c r="DE114" s="1724">
        <v>386429</v>
      </c>
      <c r="DF114" s="1724">
        <v>355096.91</v>
      </c>
      <c r="DG114" s="1724">
        <v>31332.09</v>
      </c>
      <c r="DH114" s="1724">
        <v>192989.99</v>
      </c>
      <c r="DI114" s="1724">
        <v>192989.99</v>
      </c>
      <c r="DJ114" s="1724">
        <v>0</v>
      </c>
      <c r="DK114" s="1724">
        <v>192989.99</v>
      </c>
      <c r="DL114" s="1724">
        <v>0</v>
      </c>
      <c r="DM114" s="1724">
        <v>0</v>
      </c>
      <c r="DN114" s="1724">
        <v>0</v>
      </c>
      <c r="DO114" s="1724">
        <v>0</v>
      </c>
      <c r="DP114" s="1724">
        <v>0</v>
      </c>
      <c r="DQ114" s="1728" t="s">
        <v>2886</v>
      </c>
      <c r="DR114" s="1724">
        <v>0</v>
      </c>
      <c r="DS114" s="1728" t="s">
        <v>2861</v>
      </c>
      <c r="DT114" s="1726" t="s">
        <v>3015</v>
      </c>
      <c r="DU114" s="1728" t="s">
        <v>2861</v>
      </c>
      <c r="DV114" s="1729">
        <v>43708</v>
      </c>
    </row>
    <row r="115" spans="1:126" ht="112.5" x14ac:dyDescent="0.25">
      <c r="A115" s="1662" t="s">
        <v>2158</v>
      </c>
      <c r="B115" s="1662" t="s">
        <v>1727</v>
      </c>
      <c r="C115" s="1662" t="s">
        <v>2640</v>
      </c>
      <c r="D115" s="1662" t="s">
        <v>2641</v>
      </c>
      <c r="E115" s="1662" t="s">
        <v>2396</v>
      </c>
      <c r="F115" s="1662" t="s">
        <v>378</v>
      </c>
      <c r="G115" s="1662" t="s">
        <v>2635</v>
      </c>
      <c r="H115" s="1662" t="s">
        <v>2628</v>
      </c>
      <c r="I115" s="1662" t="s">
        <v>2613</v>
      </c>
      <c r="J115" s="1662" t="s">
        <v>1625</v>
      </c>
      <c r="K115" s="1664">
        <v>43252</v>
      </c>
      <c r="L115" s="1664">
        <v>43333</v>
      </c>
      <c r="M115" s="1662" t="s">
        <v>391</v>
      </c>
      <c r="N115" s="1662" t="s">
        <v>2109</v>
      </c>
      <c r="O115" s="1662" t="s">
        <v>3150</v>
      </c>
      <c r="P115" s="1662" t="s">
        <v>2833</v>
      </c>
      <c r="Q115" s="1662" t="s">
        <v>1739</v>
      </c>
      <c r="R115" s="1662" t="s">
        <v>2833</v>
      </c>
      <c r="S115" s="1662" t="s">
        <v>2833</v>
      </c>
      <c r="T115" s="1662"/>
      <c r="U115" s="1662" t="s">
        <v>2834</v>
      </c>
      <c r="V115" s="1662" t="s">
        <v>2833</v>
      </c>
      <c r="W115" s="1662" t="s">
        <v>2833</v>
      </c>
      <c r="X115" s="1662"/>
      <c r="Y115" s="1662" t="s">
        <v>2833</v>
      </c>
      <c r="Z115" s="1662"/>
      <c r="AA115" s="1662"/>
      <c r="AB115" s="1662" t="s">
        <v>2833</v>
      </c>
      <c r="AC115" s="1662" t="s">
        <v>2833</v>
      </c>
      <c r="AD115" s="1662" t="s">
        <v>2833</v>
      </c>
      <c r="AE115" s="1662"/>
      <c r="AF115" s="1662" t="s">
        <v>3141</v>
      </c>
      <c r="AG115" s="1662" t="s">
        <v>3068</v>
      </c>
      <c r="AH115" s="1662" t="s">
        <v>3031</v>
      </c>
      <c r="AI115" s="1662" t="s">
        <v>2838</v>
      </c>
      <c r="AJ115" s="1662" t="s">
        <v>2839</v>
      </c>
      <c r="AK115" s="1662" t="s">
        <v>3069</v>
      </c>
      <c r="AL115" s="1662" t="s">
        <v>3070</v>
      </c>
      <c r="AM115" s="1665">
        <v>100</v>
      </c>
      <c r="AN115" s="1662"/>
      <c r="AO115" s="1662"/>
      <c r="AP115" s="1662"/>
      <c r="AQ115" s="1662"/>
      <c r="AR115" s="1662"/>
      <c r="AS115" s="1662"/>
      <c r="AT115" s="1662" t="s">
        <v>2960</v>
      </c>
      <c r="AU115" s="1662" t="s">
        <v>3142</v>
      </c>
      <c r="AV115" s="1662" t="s">
        <v>3105</v>
      </c>
      <c r="AW115" s="1662"/>
      <c r="AX115" s="1662" t="s">
        <v>2989</v>
      </c>
      <c r="AY115" s="1662" t="s">
        <v>2874</v>
      </c>
      <c r="AZ115" s="1662" t="s">
        <v>236</v>
      </c>
      <c r="BA115" s="1662" t="s">
        <v>3009</v>
      </c>
      <c r="BB115" s="1662" t="s">
        <v>2833</v>
      </c>
      <c r="BC115" s="1662" t="s">
        <v>2876</v>
      </c>
      <c r="BD115" s="1662" t="s">
        <v>2849</v>
      </c>
      <c r="BE115" s="1662" t="s">
        <v>3010</v>
      </c>
      <c r="BF115" s="1662" t="s">
        <v>3151</v>
      </c>
      <c r="BG115" s="1662" t="s">
        <v>3012</v>
      </c>
      <c r="BH115" s="1662" t="s">
        <v>2880</v>
      </c>
      <c r="BI115" s="1662" t="s">
        <v>2881</v>
      </c>
      <c r="BJ115" s="1662" t="s">
        <v>2965</v>
      </c>
      <c r="BK115" s="1662" t="s">
        <v>2960</v>
      </c>
      <c r="BL115" s="1662" t="s">
        <v>2833</v>
      </c>
      <c r="BM115" s="1662" t="s">
        <v>2833</v>
      </c>
      <c r="BN115" s="1665">
        <v>0</v>
      </c>
      <c r="BO115" s="1664">
        <v>43333</v>
      </c>
      <c r="BP115" s="1664">
        <v>43830</v>
      </c>
      <c r="BQ115" s="1662" t="s">
        <v>2855</v>
      </c>
      <c r="BR115" s="1664">
        <v>46022</v>
      </c>
      <c r="BS115" s="1662" t="s">
        <v>3108</v>
      </c>
      <c r="BT115" s="1662" t="s">
        <v>3152</v>
      </c>
      <c r="BU115" s="1665">
        <v>30</v>
      </c>
      <c r="BV115" s="1665">
        <v>187001.1</v>
      </c>
      <c r="BW115" s="1664">
        <v>43860</v>
      </c>
      <c r="BX115" s="1668"/>
      <c r="BY115" s="1662" t="s">
        <v>2096</v>
      </c>
      <c r="BZ115" s="1662" t="s">
        <v>2859</v>
      </c>
      <c r="CA115" s="1662" t="s">
        <v>2859</v>
      </c>
      <c r="CB115" s="1662" t="s">
        <v>2859</v>
      </c>
      <c r="CC115" s="1662" t="s">
        <v>2993</v>
      </c>
      <c r="CD115" s="1724">
        <v>679878</v>
      </c>
      <c r="CE115" s="1724">
        <v>673878</v>
      </c>
      <c r="CF115" s="1724">
        <v>623337</v>
      </c>
      <c r="CG115" s="1724">
        <v>92.5</v>
      </c>
      <c r="CH115" s="1724">
        <v>50541</v>
      </c>
      <c r="CI115" s="1724">
        <v>7.5</v>
      </c>
      <c r="CJ115" s="1724">
        <v>673878</v>
      </c>
      <c r="CK115" s="1724">
        <v>100</v>
      </c>
      <c r="CL115" s="1725" t="s">
        <v>2861</v>
      </c>
      <c r="CM115" s="1729">
        <v>43306</v>
      </c>
      <c r="CN115" s="1727"/>
      <c r="CO115" s="1728"/>
      <c r="CP115" s="1726"/>
      <c r="CQ115" s="1724">
        <v>623337</v>
      </c>
      <c r="CR115" s="1724">
        <v>572796.16000000003</v>
      </c>
      <c r="CS115" s="1724">
        <v>50540.84</v>
      </c>
      <c r="CT115" s="1728" t="s">
        <v>2861</v>
      </c>
      <c r="CU115" s="1729">
        <v>43312</v>
      </c>
      <c r="CV115" s="1724">
        <v>673878</v>
      </c>
      <c r="CW115" s="1724">
        <v>0</v>
      </c>
      <c r="CX115" s="1724">
        <v>0</v>
      </c>
      <c r="CY115" s="1724">
        <v>672404.9</v>
      </c>
      <c r="CZ115" s="1724">
        <v>0</v>
      </c>
      <c r="DA115" s="1724">
        <v>0</v>
      </c>
      <c r="DB115" s="1724">
        <v>1473.1</v>
      </c>
      <c r="DC115" s="1724">
        <v>0</v>
      </c>
      <c r="DD115" s="1724">
        <v>673878</v>
      </c>
      <c r="DE115" s="1724">
        <v>623337</v>
      </c>
      <c r="DF115" s="1724">
        <v>572796.16000000003</v>
      </c>
      <c r="DG115" s="1724">
        <v>50540.84</v>
      </c>
      <c r="DH115" s="1724">
        <v>50541</v>
      </c>
      <c r="DI115" s="1724">
        <v>50541</v>
      </c>
      <c r="DJ115" s="1724">
        <v>0</v>
      </c>
      <c r="DK115" s="1724">
        <v>50541</v>
      </c>
      <c r="DL115" s="1724">
        <v>0</v>
      </c>
      <c r="DM115" s="1724">
        <v>0</v>
      </c>
      <c r="DN115" s="1724">
        <v>0</v>
      </c>
      <c r="DO115" s="1724">
        <v>0</v>
      </c>
      <c r="DP115" s="1724">
        <v>0</v>
      </c>
      <c r="DQ115" s="1728" t="s">
        <v>2886</v>
      </c>
      <c r="DR115" s="1724">
        <v>0</v>
      </c>
      <c r="DS115" s="1728" t="s">
        <v>2861</v>
      </c>
      <c r="DT115" s="1726" t="s">
        <v>3153</v>
      </c>
      <c r="DU115" s="1728" t="s">
        <v>2861</v>
      </c>
      <c r="DV115" s="1729">
        <v>43830</v>
      </c>
    </row>
    <row r="116" spans="1:126" x14ac:dyDescent="0.25">
      <c r="A116" s="1662" t="s">
        <v>2103</v>
      </c>
      <c r="B116" s="1662" t="s">
        <v>1727</v>
      </c>
      <c r="C116" s="1662" t="s">
        <v>2642</v>
      </c>
      <c r="D116" s="1662"/>
      <c r="E116" s="1662"/>
      <c r="F116" s="1662"/>
      <c r="G116" s="1662"/>
      <c r="H116" s="1662"/>
      <c r="I116" s="1662"/>
      <c r="J116" s="1662"/>
      <c r="K116" s="1668"/>
      <c r="L116" s="1668"/>
      <c r="M116" s="1662"/>
      <c r="N116" s="1662"/>
      <c r="O116" s="1662"/>
      <c r="P116" s="1662"/>
      <c r="Q116" s="1662"/>
      <c r="R116" s="1662"/>
      <c r="S116" s="1662"/>
      <c r="T116" s="1662"/>
      <c r="U116" s="1662"/>
      <c r="V116" s="1662"/>
      <c r="W116" s="1662"/>
      <c r="X116" s="1662"/>
      <c r="Y116" s="1662"/>
      <c r="Z116" s="1662"/>
      <c r="AA116" s="1662"/>
      <c r="AB116" s="1662"/>
      <c r="AC116" s="1662"/>
      <c r="AD116" s="1662"/>
      <c r="AE116" s="1662"/>
      <c r="AF116" s="1662"/>
      <c r="AG116" s="1662"/>
      <c r="AH116" s="1662"/>
      <c r="AI116" s="1662"/>
      <c r="AJ116" s="1662"/>
      <c r="AK116" s="1662"/>
      <c r="AL116" s="1662"/>
      <c r="AM116" s="1663"/>
      <c r="AN116" s="1662"/>
      <c r="AO116" s="1662"/>
      <c r="AP116" s="1662"/>
      <c r="AQ116" s="1662"/>
      <c r="AR116" s="1662"/>
      <c r="AS116" s="1662"/>
      <c r="AT116" s="1662"/>
      <c r="AU116" s="1662"/>
      <c r="AV116" s="1662"/>
      <c r="AW116" s="1662"/>
      <c r="AX116" s="1662"/>
      <c r="AY116" s="1662"/>
      <c r="AZ116" s="1662"/>
      <c r="BA116" s="1662"/>
      <c r="BB116" s="1662"/>
      <c r="BC116" s="1662"/>
      <c r="BD116" s="1662"/>
      <c r="BE116" s="1662"/>
      <c r="BF116" s="1662"/>
      <c r="BG116" s="1662"/>
      <c r="BH116" s="1662"/>
      <c r="BI116" s="1662"/>
      <c r="BJ116" s="1662"/>
      <c r="BK116" s="1662"/>
      <c r="BL116" s="1662"/>
      <c r="BM116" s="1662"/>
      <c r="BN116" s="1663"/>
      <c r="BO116" s="1668"/>
      <c r="BP116" s="1668"/>
      <c r="BQ116" s="1662"/>
      <c r="BR116" s="1668"/>
      <c r="BS116" s="1662"/>
      <c r="BT116" s="1662"/>
      <c r="BU116" s="1663"/>
      <c r="BV116" s="1665">
        <v>879529.28</v>
      </c>
      <c r="BW116" s="1668"/>
      <c r="BX116" s="1668"/>
      <c r="BY116" s="1662"/>
      <c r="BZ116" s="1662"/>
      <c r="CA116" s="1662"/>
      <c r="CB116" s="1662"/>
      <c r="CC116" s="1662"/>
      <c r="CD116" s="1724">
        <v>3011284.3</v>
      </c>
      <c r="CE116" s="1724">
        <v>3011284.3</v>
      </c>
      <c r="CF116" s="1724">
        <v>2931764.19</v>
      </c>
      <c r="CG116" s="1724">
        <v>97.36</v>
      </c>
      <c r="CH116" s="1724">
        <v>79520.11</v>
      </c>
      <c r="CI116" s="1724">
        <v>2.64</v>
      </c>
      <c r="CJ116" s="1724">
        <v>3011284.3</v>
      </c>
      <c r="CK116" s="1724">
        <v>100</v>
      </c>
      <c r="CL116" s="1725"/>
      <c r="CM116" s="1726"/>
      <c r="CN116" s="1727"/>
      <c r="CO116" s="1728"/>
      <c r="CP116" s="1726"/>
      <c r="CQ116" s="1724">
        <v>2931764.19</v>
      </c>
      <c r="CR116" s="1724">
        <v>2351584.13</v>
      </c>
      <c r="CS116" s="1724">
        <v>580180.06000000006</v>
      </c>
      <c r="CT116" s="1728"/>
      <c r="CU116" s="1726"/>
      <c r="CV116" s="1724">
        <v>3011284.3</v>
      </c>
      <c r="CW116" s="1724">
        <v>0</v>
      </c>
      <c r="CX116" s="1724">
        <v>0</v>
      </c>
      <c r="CY116" s="1724">
        <v>39755.699999999997</v>
      </c>
      <c r="CZ116" s="1724">
        <v>132894.06</v>
      </c>
      <c r="DA116" s="1724">
        <v>2123646.2599999998</v>
      </c>
      <c r="DB116" s="1724">
        <v>49.14</v>
      </c>
      <c r="DC116" s="1724">
        <v>714939.14</v>
      </c>
      <c r="DD116" s="1724">
        <v>3011284.3</v>
      </c>
      <c r="DE116" s="1724">
        <v>2931764.19</v>
      </c>
      <c r="DF116" s="1724">
        <v>2351584.13</v>
      </c>
      <c r="DG116" s="1724">
        <v>580180.06000000006</v>
      </c>
      <c r="DH116" s="1724">
        <v>79520.11</v>
      </c>
      <c r="DI116" s="1724">
        <v>79520.11</v>
      </c>
      <c r="DJ116" s="1724">
        <v>0</v>
      </c>
      <c r="DK116" s="1724">
        <v>78220.160000000003</v>
      </c>
      <c r="DL116" s="1724">
        <v>1299.95</v>
      </c>
      <c r="DM116" s="1724">
        <v>0</v>
      </c>
      <c r="DN116" s="1724">
        <v>0</v>
      </c>
      <c r="DO116" s="1724">
        <v>0</v>
      </c>
      <c r="DP116" s="1724">
        <v>0</v>
      </c>
      <c r="DQ116" s="1728"/>
      <c r="DR116" s="1727"/>
      <c r="DS116" s="1728"/>
      <c r="DT116" s="1726"/>
      <c r="DU116" s="1728"/>
      <c r="DV116" s="1726"/>
    </row>
    <row r="117" spans="1:126" ht="22.5" x14ac:dyDescent="0.25">
      <c r="A117" s="1662" t="s">
        <v>2104</v>
      </c>
      <c r="B117" s="1662" t="s">
        <v>1727</v>
      </c>
      <c r="C117" s="1662" t="s">
        <v>2642</v>
      </c>
      <c r="D117" s="1662" t="s">
        <v>2643</v>
      </c>
      <c r="E117" s="1662"/>
      <c r="F117" s="1662"/>
      <c r="G117" s="1662"/>
      <c r="H117" s="1662"/>
      <c r="I117" s="1662"/>
      <c r="J117" s="1662"/>
      <c r="K117" s="1668"/>
      <c r="L117" s="1668"/>
      <c r="M117" s="1662"/>
      <c r="N117" s="1662"/>
      <c r="O117" s="1662"/>
      <c r="P117" s="1662"/>
      <c r="Q117" s="1662"/>
      <c r="R117" s="1662"/>
      <c r="S117" s="1662"/>
      <c r="T117" s="1662"/>
      <c r="U117" s="1662"/>
      <c r="V117" s="1662"/>
      <c r="W117" s="1662"/>
      <c r="X117" s="1662"/>
      <c r="Y117" s="1662"/>
      <c r="Z117" s="1662"/>
      <c r="AA117" s="1662"/>
      <c r="AB117" s="1662"/>
      <c r="AC117" s="1662"/>
      <c r="AD117" s="1662"/>
      <c r="AE117" s="1662"/>
      <c r="AF117" s="1662"/>
      <c r="AG117" s="1662"/>
      <c r="AH117" s="1662"/>
      <c r="AI117" s="1662"/>
      <c r="AJ117" s="1662"/>
      <c r="AK117" s="1662"/>
      <c r="AL117" s="1662"/>
      <c r="AM117" s="1663"/>
      <c r="AN117" s="1662"/>
      <c r="AO117" s="1662"/>
      <c r="AP117" s="1662"/>
      <c r="AQ117" s="1662"/>
      <c r="AR117" s="1662"/>
      <c r="AS117" s="1662"/>
      <c r="AT117" s="1662"/>
      <c r="AU117" s="1662"/>
      <c r="AV117" s="1662"/>
      <c r="AW117" s="1662"/>
      <c r="AX117" s="1662"/>
      <c r="AY117" s="1662"/>
      <c r="AZ117" s="1662"/>
      <c r="BA117" s="1662"/>
      <c r="BB117" s="1662"/>
      <c r="BC117" s="1662"/>
      <c r="BD117" s="1662"/>
      <c r="BE117" s="1662"/>
      <c r="BF117" s="1662"/>
      <c r="BG117" s="1662"/>
      <c r="BH117" s="1662"/>
      <c r="BI117" s="1662"/>
      <c r="BJ117" s="1662"/>
      <c r="BK117" s="1662"/>
      <c r="BL117" s="1662"/>
      <c r="BM117" s="1662"/>
      <c r="BN117" s="1663"/>
      <c r="BO117" s="1668"/>
      <c r="BP117" s="1668"/>
      <c r="BQ117" s="1662"/>
      <c r="BR117" s="1668"/>
      <c r="BS117" s="1662"/>
      <c r="BT117" s="1662"/>
      <c r="BU117" s="1663"/>
      <c r="BV117" s="1665">
        <v>585325.98</v>
      </c>
      <c r="BW117" s="1668"/>
      <c r="BX117" s="1668"/>
      <c r="BY117" s="1662"/>
      <c r="BZ117" s="1662"/>
      <c r="CA117" s="1662"/>
      <c r="CB117" s="1662"/>
      <c r="CC117" s="1662"/>
      <c r="CD117" s="1724">
        <v>1951086.58</v>
      </c>
      <c r="CE117" s="1724">
        <v>1951086.58</v>
      </c>
      <c r="CF117" s="1724">
        <v>1951086.58</v>
      </c>
      <c r="CG117" s="1724">
        <v>100</v>
      </c>
      <c r="CH117" s="1724">
        <v>0</v>
      </c>
      <c r="CI117" s="1724">
        <v>0</v>
      </c>
      <c r="CJ117" s="1724">
        <v>1951086.58</v>
      </c>
      <c r="CK117" s="1724">
        <v>100</v>
      </c>
      <c r="CL117" s="1725"/>
      <c r="CM117" s="1726"/>
      <c r="CN117" s="1727"/>
      <c r="CO117" s="1728"/>
      <c r="CP117" s="1726"/>
      <c r="CQ117" s="1724">
        <v>1951086.58</v>
      </c>
      <c r="CR117" s="1724">
        <v>1451086.58</v>
      </c>
      <c r="CS117" s="1724">
        <v>500000</v>
      </c>
      <c r="CT117" s="1728"/>
      <c r="CU117" s="1726"/>
      <c r="CV117" s="1724">
        <v>1951086.58</v>
      </c>
      <c r="CW117" s="1724">
        <v>0</v>
      </c>
      <c r="CX117" s="1724">
        <v>0</v>
      </c>
      <c r="CY117" s="1724">
        <v>0</v>
      </c>
      <c r="CZ117" s="1724">
        <v>0</v>
      </c>
      <c r="DA117" s="1724">
        <v>1393633.27</v>
      </c>
      <c r="DB117" s="1724">
        <v>0</v>
      </c>
      <c r="DC117" s="1724">
        <v>557453.31000000006</v>
      </c>
      <c r="DD117" s="1724">
        <v>1951086.58</v>
      </c>
      <c r="DE117" s="1724">
        <v>1951086.58</v>
      </c>
      <c r="DF117" s="1724">
        <v>1451086.58</v>
      </c>
      <c r="DG117" s="1724">
        <v>500000</v>
      </c>
      <c r="DH117" s="1724">
        <v>0</v>
      </c>
      <c r="DI117" s="1724">
        <v>0</v>
      </c>
      <c r="DJ117" s="1724">
        <v>0</v>
      </c>
      <c r="DK117" s="1724">
        <v>0</v>
      </c>
      <c r="DL117" s="1724">
        <v>0</v>
      </c>
      <c r="DM117" s="1724">
        <v>0</v>
      </c>
      <c r="DN117" s="1724">
        <v>0</v>
      </c>
      <c r="DO117" s="1724">
        <v>0</v>
      </c>
      <c r="DP117" s="1724">
        <v>0</v>
      </c>
      <c r="DQ117" s="1728"/>
      <c r="DR117" s="1727"/>
      <c r="DS117" s="1728"/>
      <c r="DT117" s="1726"/>
      <c r="DU117" s="1728"/>
      <c r="DV117" s="1726"/>
    </row>
    <row r="118" spans="1:126" ht="22.5" x14ac:dyDescent="0.25">
      <c r="A118" s="1662" t="s">
        <v>2105</v>
      </c>
      <c r="B118" s="1662" t="s">
        <v>1727</v>
      </c>
      <c r="C118" s="1662" t="s">
        <v>2642</v>
      </c>
      <c r="D118" s="1662" t="s">
        <v>2643</v>
      </c>
      <c r="E118" s="1662" t="s">
        <v>2405</v>
      </c>
      <c r="F118" s="1662" t="s">
        <v>3154</v>
      </c>
      <c r="G118" s="1662"/>
      <c r="H118" s="1662"/>
      <c r="I118" s="1662"/>
      <c r="J118" s="1662"/>
      <c r="K118" s="1668"/>
      <c r="L118" s="1668"/>
      <c r="M118" s="1662"/>
      <c r="N118" s="1662"/>
      <c r="O118" s="1662"/>
      <c r="P118" s="1662"/>
      <c r="Q118" s="1662"/>
      <c r="R118" s="1662"/>
      <c r="S118" s="1662"/>
      <c r="T118" s="1662"/>
      <c r="U118" s="1662"/>
      <c r="V118" s="1662"/>
      <c r="W118" s="1662"/>
      <c r="X118" s="1662"/>
      <c r="Y118" s="1662"/>
      <c r="Z118" s="1662"/>
      <c r="AA118" s="1662"/>
      <c r="AB118" s="1662"/>
      <c r="AC118" s="1662"/>
      <c r="AD118" s="1662"/>
      <c r="AE118" s="1662"/>
      <c r="AF118" s="1662"/>
      <c r="AG118" s="1662"/>
      <c r="AH118" s="1662"/>
      <c r="AI118" s="1662"/>
      <c r="AJ118" s="1662"/>
      <c r="AK118" s="1662"/>
      <c r="AL118" s="1662"/>
      <c r="AM118" s="1663"/>
      <c r="AN118" s="1662"/>
      <c r="AO118" s="1662"/>
      <c r="AP118" s="1662"/>
      <c r="AQ118" s="1662"/>
      <c r="AR118" s="1662"/>
      <c r="AS118" s="1662"/>
      <c r="AT118" s="1662"/>
      <c r="AU118" s="1662"/>
      <c r="AV118" s="1662"/>
      <c r="AW118" s="1662"/>
      <c r="AX118" s="1662"/>
      <c r="AY118" s="1662"/>
      <c r="AZ118" s="1662"/>
      <c r="BA118" s="1662"/>
      <c r="BB118" s="1662"/>
      <c r="BC118" s="1662"/>
      <c r="BD118" s="1662"/>
      <c r="BE118" s="1662"/>
      <c r="BF118" s="1662"/>
      <c r="BG118" s="1662"/>
      <c r="BH118" s="1662"/>
      <c r="BI118" s="1662"/>
      <c r="BJ118" s="1662"/>
      <c r="BK118" s="1662"/>
      <c r="BL118" s="1662"/>
      <c r="BM118" s="1662"/>
      <c r="BN118" s="1663"/>
      <c r="BO118" s="1668"/>
      <c r="BP118" s="1668"/>
      <c r="BQ118" s="1662"/>
      <c r="BR118" s="1668"/>
      <c r="BS118" s="1662"/>
      <c r="BT118" s="1662"/>
      <c r="BU118" s="1663"/>
      <c r="BV118" s="1665">
        <v>585325.98</v>
      </c>
      <c r="BW118" s="1668"/>
      <c r="BX118" s="1668"/>
      <c r="BY118" s="1662"/>
      <c r="BZ118" s="1662"/>
      <c r="CA118" s="1662"/>
      <c r="CB118" s="1662"/>
      <c r="CC118" s="1662"/>
      <c r="CD118" s="1724">
        <v>1951086.58</v>
      </c>
      <c r="CE118" s="1724">
        <v>1951086.58</v>
      </c>
      <c r="CF118" s="1724">
        <v>1951086.58</v>
      </c>
      <c r="CG118" s="1724">
        <v>100</v>
      </c>
      <c r="CH118" s="1724">
        <v>0</v>
      </c>
      <c r="CI118" s="1724">
        <v>0</v>
      </c>
      <c r="CJ118" s="1724">
        <v>1951086.58</v>
      </c>
      <c r="CK118" s="1724">
        <v>100</v>
      </c>
      <c r="CL118" s="1725"/>
      <c r="CM118" s="1726"/>
      <c r="CN118" s="1727"/>
      <c r="CO118" s="1728"/>
      <c r="CP118" s="1726"/>
      <c r="CQ118" s="1724">
        <v>1951086.58</v>
      </c>
      <c r="CR118" s="1724">
        <v>1451086.58</v>
      </c>
      <c r="CS118" s="1724">
        <v>500000</v>
      </c>
      <c r="CT118" s="1728"/>
      <c r="CU118" s="1726"/>
      <c r="CV118" s="1724">
        <v>1951086.58</v>
      </c>
      <c r="CW118" s="1724">
        <v>0</v>
      </c>
      <c r="CX118" s="1724">
        <v>0</v>
      </c>
      <c r="CY118" s="1724">
        <v>0</v>
      </c>
      <c r="CZ118" s="1724">
        <v>0</v>
      </c>
      <c r="DA118" s="1724">
        <v>1393633.27</v>
      </c>
      <c r="DB118" s="1724">
        <v>0</v>
      </c>
      <c r="DC118" s="1724">
        <v>557453.31000000006</v>
      </c>
      <c r="DD118" s="1724">
        <v>1951086.58</v>
      </c>
      <c r="DE118" s="1724">
        <v>1951086.58</v>
      </c>
      <c r="DF118" s="1724">
        <v>1451086.58</v>
      </c>
      <c r="DG118" s="1724">
        <v>500000</v>
      </c>
      <c r="DH118" s="1724">
        <v>0</v>
      </c>
      <c r="DI118" s="1724">
        <v>0</v>
      </c>
      <c r="DJ118" s="1724">
        <v>0</v>
      </c>
      <c r="DK118" s="1724">
        <v>0</v>
      </c>
      <c r="DL118" s="1724">
        <v>0</v>
      </c>
      <c r="DM118" s="1724">
        <v>0</v>
      </c>
      <c r="DN118" s="1724">
        <v>0</v>
      </c>
      <c r="DO118" s="1724">
        <v>0</v>
      </c>
      <c r="DP118" s="1724">
        <v>0</v>
      </c>
      <c r="DQ118" s="1728"/>
      <c r="DR118" s="1727"/>
      <c r="DS118" s="1728"/>
      <c r="DT118" s="1726"/>
      <c r="DU118" s="1728"/>
      <c r="DV118" s="1726"/>
    </row>
    <row r="119" spans="1:126" ht="258.75" x14ac:dyDescent="0.25">
      <c r="A119" s="1662" t="s">
        <v>2106</v>
      </c>
      <c r="B119" s="1662" t="s">
        <v>1727</v>
      </c>
      <c r="C119" s="1662" t="s">
        <v>2642</v>
      </c>
      <c r="D119" s="1662" t="s">
        <v>2643</v>
      </c>
      <c r="E119" s="1662" t="s">
        <v>2405</v>
      </c>
      <c r="F119" s="1662" t="s">
        <v>3154</v>
      </c>
      <c r="G119" s="1662" t="s">
        <v>2638</v>
      </c>
      <c r="H119" s="1662" t="s">
        <v>2644</v>
      </c>
      <c r="I119" s="1662" t="s">
        <v>2645</v>
      </c>
      <c r="J119" s="1662" t="s">
        <v>2407</v>
      </c>
      <c r="K119" s="1664">
        <v>42926</v>
      </c>
      <c r="L119" s="1664">
        <v>43005</v>
      </c>
      <c r="M119" s="1662" t="s">
        <v>2408</v>
      </c>
      <c r="N119" s="1662" t="s">
        <v>2109</v>
      </c>
      <c r="O119" s="1662" t="s">
        <v>3155</v>
      </c>
      <c r="P119" s="1662" t="s">
        <v>2833</v>
      </c>
      <c r="Q119" s="1662" t="s">
        <v>1761</v>
      </c>
      <c r="R119" s="1662" t="s">
        <v>2833</v>
      </c>
      <c r="S119" s="1662" t="s">
        <v>2833</v>
      </c>
      <c r="T119" s="1662" t="s">
        <v>2861</v>
      </c>
      <c r="U119" s="1662" t="s">
        <v>2834</v>
      </c>
      <c r="V119" s="1662" t="s">
        <v>2833</v>
      </c>
      <c r="W119" s="1662" t="s">
        <v>2833</v>
      </c>
      <c r="X119" s="1662" t="s">
        <v>2833</v>
      </c>
      <c r="Y119" s="1662" t="s">
        <v>2833</v>
      </c>
      <c r="Z119" s="1662" t="s">
        <v>2861</v>
      </c>
      <c r="AA119" s="1662" t="s">
        <v>2861</v>
      </c>
      <c r="AB119" s="1662" t="s">
        <v>2833</v>
      </c>
      <c r="AC119" s="1662" t="s">
        <v>2833</v>
      </c>
      <c r="AD119" s="1662" t="s">
        <v>2833</v>
      </c>
      <c r="AE119" s="1662"/>
      <c r="AF119" s="1662" t="s">
        <v>3156</v>
      </c>
      <c r="AG119" s="1662" t="s">
        <v>3157</v>
      </c>
      <c r="AH119" s="1662" t="s">
        <v>3031</v>
      </c>
      <c r="AI119" s="1662" t="s">
        <v>2838</v>
      </c>
      <c r="AJ119" s="1662" t="s">
        <v>2839</v>
      </c>
      <c r="AK119" s="1662" t="s">
        <v>3158</v>
      </c>
      <c r="AL119" s="1662" t="s">
        <v>3159</v>
      </c>
      <c r="AM119" s="1665">
        <v>100</v>
      </c>
      <c r="AN119" s="1662"/>
      <c r="AO119" s="1662"/>
      <c r="AP119" s="1662"/>
      <c r="AQ119" s="1662"/>
      <c r="AR119" s="1662"/>
      <c r="AS119" s="1662"/>
      <c r="AT119" s="1662" t="s">
        <v>2946</v>
      </c>
      <c r="AU119" s="1662" t="s">
        <v>2842</v>
      </c>
      <c r="AV119" s="1662" t="s">
        <v>3105</v>
      </c>
      <c r="AW119" s="1662" t="s">
        <v>3160</v>
      </c>
      <c r="AX119" s="1662" t="s">
        <v>3106</v>
      </c>
      <c r="AY119" s="1662" t="s">
        <v>3161</v>
      </c>
      <c r="AZ119" s="1662" t="s">
        <v>3162</v>
      </c>
      <c r="BA119" s="1662" t="s">
        <v>3163</v>
      </c>
      <c r="BB119" s="1662" t="s">
        <v>2833</v>
      </c>
      <c r="BC119" s="1662" t="s">
        <v>2876</v>
      </c>
      <c r="BD119" s="1662" t="s">
        <v>2849</v>
      </c>
      <c r="BE119" s="1662" t="s">
        <v>3164</v>
      </c>
      <c r="BF119" s="1662" t="s">
        <v>3165</v>
      </c>
      <c r="BG119" s="1662" t="s">
        <v>3166</v>
      </c>
      <c r="BH119" s="1662" t="s">
        <v>2604</v>
      </c>
      <c r="BI119" s="1662" t="s">
        <v>3167</v>
      </c>
      <c r="BJ119" s="1662" t="s">
        <v>3168</v>
      </c>
      <c r="BK119" s="1662" t="s">
        <v>2946</v>
      </c>
      <c r="BL119" s="1662" t="s">
        <v>2833</v>
      </c>
      <c r="BM119" s="1662" t="s">
        <v>2833</v>
      </c>
      <c r="BN119" s="1665">
        <v>0</v>
      </c>
      <c r="BO119" s="1664">
        <v>43005</v>
      </c>
      <c r="BP119" s="1664">
        <v>44101</v>
      </c>
      <c r="BQ119" s="1662" t="s">
        <v>3035</v>
      </c>
      <c r="BR119" s="1664">
        <v>47483</v>
      </c>
      <c r="BS119" s="1662" t="s">
        <v>3108</v>
      </c>
      <c r="BT119" s="1662" t="s">
        <v>3169</v>
      </c>
      <c r="BU119" s="1665">
        <v>30</v>
      </c>
      <c r="BV119" s="1665">
        <v>40839.919999999998</v>
      </c>
      <c r="BW119" s="1664">
        <v>44161</v>
      </c>
      <c r="BX119" s="1668"/>
      <c r="BY119" s="1662" t="s">
        <v>2096</v>
      </c>
      <c r="BZ119" s="1662" t="s">
        <v>2858</v>
      </c>
      <c r="CA119" s="1662" t="s">
        <v>2858</v>
      </c>
      <c r="CB119" s="1662" t="s">
        <v>2859</v>
      </c>
      <c r="CC119" s="1662" t="s">
        <v>2885</v>
      </c>
      <c r="CD119" s="1724">
        <v>136133.06</v>
      </c>
      <c r="CE119" s="1724">
        <v>136133.06</v>
      </c>
      <c r="CF119" s="1724">
        <v>136133.06</v>
      </c>
      <c r="CG119" s="1724">
        <v>100</v>
      </c>
      <c r="CH119" s="1724">
        <v>0</v>
      </c>
      <c r="CI119" s="1724">
        <v>0</v>
      </c>
      <c r="CJ119" s="1724">
        <v>136133.06</v>
      </c>
      <c r="CK119" s="1724">
        <v>100</v>
      </c>
      <c r="CL119" s="1725" t="s">
        <v>2861</v>
      </c>
      <c r="CM119" s="1729">
        <v>42965</v>
      </c>
      <c r="CN119" s="1727"/>
      <c r="CO119" s="1728"/>
      <c r="CP119" s="1726"/>
      <c r="CQ119" s="1724">
        <v>136133.06</v>
      </c>
      <c r="CR119" s="1724">
        <v>136133.06</v>
      </c>
      <c r="CS119" s="1724">
        <v>0</v>
      </c>
      <c r="CT119" s="1728" t="s">
        <v>2861</v>
      </c>
      <c r="CU119" s="1729">
        <v>42978</v>
      </c>
      <c r="CV119" s="1724">
        <v>136133.06</v>
      </c>
      <c r="CW119" s="1724">
        <v>0</v>
      </c>
      <c r="CX119" s="1724">
        <v>0</v>
      </c>
      <c r="CY119" s="1724">
        <v>0</v>
      </c>
      <c r="CZ119" s="1724">
        <v>0</v>
      </c>
      <c r="DA119" s="1724">
        <v>97237.9</v>
      </c>
      <c r="DB119" s="1724">
        <v>0</v>
      </c>
      <c r="DC119" s="1724">
        <v>38895.160000000003</v>
      </c>
      <c r="DD119" s="1724">
        <v>136133.06</v>
      </c>
      <c r="DE119" s="1724">
        <v>136133.06</v>
      </c>
      <c r="DF119" s="1724">
        <v>136133.06</v>
      </c>
      <c r="DG119" s="1724">
        <v>0</v>
      </c>
      <c r="DH119" s="1724">
        <v>0</v>
      </c>
      <c r="DI119" s="1724">
        <v>0</v>
      </c>
      <c r="DJ119" s="1724">
        <v>0</v>
      </c>
      <c r="DK119" s="1724">
        <v>0</v>
      </c>
      <c r="DL119" s="1724">
        <v>0</v>
      </c>
      <c r="DM119" s="1724">
        <v>0</v>
      </c>
      <c r="DN119" s="1724">
        <v>0</v>
      </c>
      <c r="DO119" s="1724">
        <v>0</v>
      </c>
      <c r="DP119" s="1724">
        <v>0</v>
      </c>
      <c r="DQ119" s="1728" t="s">
        <v>2886</v>
      </c>
      <c r="DR119" s="1724">
        <v>0</v>
      </c>
      <c r="DS119" s="1728" t="s">
        <v>2833</v>
      </c>
      <c r="DT119" s="1726"/>
      <c r="DU119" s="1728" t="s">
        <v>2833</v>
      </c>
      <c r="DV119" s="1726"/>
    </row>
    <row r="120" spans="1:126" ht="281.25" x14ac:dyDescent="0.25">
      <c r="A120" s="1662" t="s">
        <v>2160</v>
      </c>
      <c r="B120" s="1662" t="s">
        <v>1727</v>
      </c>
      <c r="C120" s="1662" t="s">
        <v>2642</v>
      </c>
      <c r="D120" s="1662" t="s">
        <v>2643</v>
      </c>
      <c r="E120" s="1662" t="s">
        <v>2405</v>
      </c>
      <c r="F120" s="1662" t="s">
        <v>3154</v>
      </c>
      <c r="G120" s="1662" t="s">
        <v>2638</v>
      </c>
      <c r="H120" s="1662" t="s">
        <v>2644</v>
      </c>
      <c r="I120" s="1662" t="s">
        <v>2645</v>
      </c>
      <c r="J120" s="1662" t="s">
        <v>2417</v>
      </c>
      <c r="K120" s="1664">
        <v>42928</v>
      </c>
      <c r="L120" s="1664">
        <v>43005</v>
      </c>
      <c r="M120" s="1662" t="s">
        <v>2418</v>
      </c>
      <c r="N120" s="1662" t="s">
        <v>2109</v>
      </c>
      <c r="O120" s="1662" t="s">
        <v>3170</v>
      </c>
      <c r="P120" s="1662" t="s">
        <v>2833</v>
      </c>
      <c r="Q120" s="1662" t="s">
        <v>1772</v>
      </c>
      <c r="R120" s="1662" t="s">
        <v>2833</v>
      </c>
      <c r="S120" s="1662" t="s">
        <v>2833</v>
      </c>
      <c r="T120" s="1662" t="s">
        <v>2861</v>
      </c>
      <c r="U120" s="1662" t="s">
        <v>2834</v>
      </c>
      <c r="V120" s="1662" t="s">
        <v>2833</v>
      </c>
      <c r="W120" s="1662" t="s">
        <v>2833</v>
      </c>
      <c r="X120" s="1662" t="s">
        <v>2833</v>
      </c>
      <c r="Y120" s="1662" t="s">
        <v>2833</v>
      </c>
      <c r="Z120" s="1662" t="s">
        <v>2861</v>
      </c>
      <c r="AA120" s="1662" t="s">
        <v>2861</v>
      </c>
      <c r="AB120" s="1662" t="s">
        <v>2833</v>
      </c>
      <c r="AC120" s="1662" t="s">
        <v>2833</v>
      </c>
      <c r="AD120" s="1662" t="s">
        <v>2833</v>
      </c>
      <c r="AE120" s="1662"/>
      <c r="AF120" s="1662" t="s">
        <v>3156</v>
      </c>
      <c r="AG120" s="1662" t="s">
        <v>3157</v>
      </c>
      <c r="AH120" s="1662" t="s">
        <v>3031</v>
      </c>
      <c r="AI120" s="1662" t="s">
        <v>2838</v>
      </c>
      <c r="AJ120" s="1662" t="s">
        <v>2839</v>
      </c>
      <c r="AK120" s="1662" t="s">
        <v>3158</v>
      </c>
      <c r="AL120" s="1662" t="s">
        <v>3159</v>
      </c>
      <c r="AM120" s="1665">
        <v>100</v>
      </c>
      <c r="AN120" s="1662"/>
      <c r="AO120" s="1662"/>
      <c r="AP120" s="1662"/>
      <c r="AQ120" s="1662"/>
      <c r="AR120" s="1662"/>
      <c r="AS120" s="1662"/>
      <c r="AT120" s="1662" t="s">
        <v>2870</v>
      </c>
      <c r="AU120" s="1662" t="s">
        <v>2842</v>
      </c>
      <c r="AV120" s="1662" t="s">
        <v>3105</v>
      </c>
      <c r="AW120" s="1662" t="s">
        <v>3160</v>
      </c>
      <c r="AX120" s="1662" t="s">
        <v>3106</v>
      </c>
      <c r="AY120" s="1662" t="s">
        <v>3171</v>
      </c>
      <c r="AZ120" s="1662" t="s">
        <v>3172</v>
      </c>
      <c r="BA120" s="1662" t="s">
        <v>3173</v>
      </c>
      <c r="BB120" s="1662" t="s">
        <v>2833</v>
      </c>
      <c r="BC120" s="1662" t="s">
        <v>2876</v>
      </c>
      <c r="BD120" s="1662" t="s">
        <v>2849</v>
      </c>
      <c r="BE120" s="1662" t="s">
        <v>3174</v>
      </c>
      <c r="BF120" s="1662" t="s">
        <v>3175</v>
      </c>
      <c r="BG120" s="1662" t="s">
        <v>3176</v>
      </c>
      <c r="BH120" s="1662" t="s">
        <v>2124</v>
      </c>
      <c r="BI120" s="1662" t="s">
        <v>3177</v>
      </c>
      <c r="BJ120" s="1662" t="s">
        <v>3178</v>
      </c>
      <c r="BK120" s="1662" t="s">
        <v>2870</v>
      </c>
      <c r="BL120" s="1662" t="s">
        <v>2833</v>
      </c>
      <c r="BM120" s="1662" t="s">
        <v>2833</v>
      </c>
      <c r="BN120" s="1665">
        <v>0</v>
      </c>
      <c r="BO120" s="1664">
        <v>43005</v>
      </c>
      <c r="BP120" s="1664">
        <v>44466</v>
      </c>
      <c r="BQ120" s="1662" t="s">
        <v>3035</v>
      </c>
      <c r="BR120" s="1664">
        <v>47483</v>
      </c>
      <c r="BS120" s="1662" t="s">
        <v>2991</v>
      </c>
      <c r="BT120" s="1662" t="s">
        <v>3179</v>
      </c>
      <c r="BU120" s="1665">
        <v>30</v>
      </c>
      <c r="BV120" s="1665">
        <v>544486.06000000006</v>
      </c>
      <c r="BW120" s="1664">
        <v>44526</v>
      </c>
      <c r="BX120" s="1668"/>
      <c r="BY120" s="1662" t="s">
        <v>2096</v>
      </c>
      <c r="BZ120" s="1662" t="s">
        <v>2858</v>
      </c>
      <c r="CA120" s="1662" t="s">
        <v>2858</v>
      </c>
      <c r="CB120" s="1662" t="s">
        <v>2859</v>
      </c>
      <c r="CC120" s="1662" t="s">
        <v>2885</v>
      </c>
      <c r="CD120" s="1724">
        <v>1814953.52</v>
      </c>
      <c r="CE120" s="1724">
        <v>1814953.52</v>
      </c>
      <c r="CF120" s="1724">
        <v>1814953.52</v>
      </c>
      <c r="CG120" s="1724">
        <v>100</v>
      </c>
      <c r="CH120" s="1724">
        <v>0</v>
      </c>
      <c r="CI120" s="1724">
        <v>0</v>
      </c>
      <c r="CJ120" s="1724">
        <v>1814953.52</v>
      </c>
      <c r="CK120" s="1724">
        <v>100</v>
      </c>
      <c r="CL120" s="1725" t="s">
        <v>2861</v>
      </c>
      <c r="CM120" s="1729">
        <v>42965</v>
      </c>
      <c r="CN120" s="1727"/>
      <c r="CO120" s="1728"/>
      <c r="CP120" s="1726"/>
      <c r="CQ120" s="1724">
        <v>1814953.52</v>
      </c>
      <c r="CR120" s="1724">
        <v>1314953.52</v>
      </c>
      <c r="CS120" s="1724">
        <v>500000</v>
      </c>
      <c r="CT120" s="1728" t="s">
        <v>2861</v>
      </c>
      <c r="CU120" s="1729">
        <v>42978</v>
      </c>
      <c r="CV120" s="1724">
        <v>1814953.52</v>
      </c>
      <c r="CW120" s="1724">
        <v>0</v>
      </c>
      <c r="CX120" s="1724">
        <v>0</v>
      </c>
      <c r="CY120" s="1724">
        <v>0</v>
      </c>
      <c r="CZ120" s="1724">
        <v>0</v>
      </c>
      <c r="DA120" s="1724">
        <v>1296395.3700000001</v>
      </c>
      <c r="DB120" s="1724">
        <v>0</v>
      </c>
      <c r="DC120" s="1724">
        <v>518558.15</v>
      </c>
      <c r="DD120" s="1724">
        <v>1814953.52</v>
      </c>
      <c r="DE120" s="1724">
        <v>1814953.52</v>
      </c>
      <c r="DF120" s="1724">
        <v>1314953.52</v>
      </c>
      <c r="DG120" s="1724">
        <v>500000</v>
      </c>
      <c r="DH120" s="1724">
        <v>0</v>
      </c>
      <c r="DI120" s="1724">
        <v>0</v>
      </c>
      <c r="DJ120" s="1724">
        <v>0</v>
      </c>
      <c r="DK120" s="1724">
        <v>0</v>
      </c>
      <c r="DL120" s="1724">
        <v>0</v>
      </c>
      <c r="DM120" s="1724">
        <v>0</v>
      </c>
      <c r="DN120" s="1724">
        <v>0</v>
      </c>
      <c r="DO120" s="1724">
        <v>0</v>
      </c>
      <c r="DP120" s="1724">
        <v>0</v>
      </c>
      <c r="DQ120" s="1728" t="s">
        <v>2886</v>
      </c>
      <c r="DR120" s="1724">
        <v>0</v>
      </c>
      <c r="DS120" s="1728" t="s">
        <v>2833</v>
      </c>
      <c r="DT120" s="1726"/>
      <c r="DU120" s="1728" t="s">
        <v>2833</v>
      </c>
      <c r="DV120" s="1726"/>
    </row>
    <row r="121" spans="1:126" ht="22.5" x14ac:dyDescent="0.25">
      <c r="A121" s="1662" t="s">
        <v>2161</v>
      </c>
      <c r="B121" s="1662" t="s">
        <v>1727</v>
      </c>
      <c r="C121" s="1662" t="s">
        <v>2642</v>
      </c>
      <c r="D121" s="1662" t="s">
        <v>2646</v>
      </c>
      <c r="E121" s="1662"/>
      <c r="F121" s="1662"/>
      <c r="G121" s="1662"/>
      <c r="H121" s="1662"/>
      <c r="I121" s="1662"/>
      <c r="J121" s="1662"/>
      <c r="K121" s="1668"/>
      <c r="L121" s="1668"/>
      <c r="M121" s="1662"/>
      <c r="N121" s="1662"/>
      <c r="O121" s="1662"/>
      <c r="P121" s="1662"/>
      <c r="Q121" s="1662"/>
      <c r="R121" s="1662"/>
      <c r="S121" s="1662"/>
      <c r="T121" s="1662"/>
      <c r="U121" s="1662"/>
      <c r="V121" s="1662"/>
      <c r="W121" s="1662"/>
      <c r="X121" s="1662"/>
      <c r="Y121" s="1662"/>
      <c r="Z121" s="1662"/>
      <c r="AA121" s="1662"/>
      <c r="AB121" s="1662"/>
      <c r="AC121" s="1662"/>
      <c r="AD121" s="1662"/>
      <c r="AE121" s="1662"/>
      <c r="AF121" s="1662"/>
      <c r="AG121" s="1662"/>
      <c r="AH121" s="1662"/>
      <c r="AI121" s="1662"/>
      <c r="AJ121" s="1662"/>
      <c r="AK121" s="1662"/>
      <c r="AL121" s="1662"/>
      <c r="AM121" s="1663"/>
      <c r="AN121" s="1662"/>
      <c r="AO121" s="1662"/>
      <c r="AP121" s="1662"/>
      <c r="AQ121" s="1662"/>
      <c r="AR121" s="1662"/>
      <c r="AS121" s="1662"/>
      <c r="AT121" s="1662"/>
      <c r="AU121" s="1662"/>
      <c r="AV121" s="1662"/>
      <c r="AW121" s="1662"/>
      <c r="AX121" s="1662"/>
      <c r="AY121" s="1662"/>
      <c r="AZ121" s="1662"/>
      <c r="BA121" s="1662"/>
      <c r="BB121" s="1662"/>
      <c r="BC121" s="1662"/>
      <c r="BD121" s="1662"/>
      <c r="BE121" s="1662"/>
      <c r="BF121" s="1662"/>
      <c r="BG121" s="1662"/>
      <c r="BH121" s="1662"/>
      <c r="BI121" s="1662"/>
      <c r="BJ121" s="1662"/>
      <c r="BK121" s="1662"/>
      <c r="BL121" s="1662"/>
      <c r="BM121" s="1662"/>
      <c r="BN121" s="1663"/>
      <c r="BO121" s="1668"/>
      <c r="BP121" s="1668"/>
      <c r="BQ121" s="1662"/>
      <c r="BR121" s="1668"/>
      <c r="BS121" s="1662"/>
      <c r="BT121" s="1662"/>
      <c r="BU121" s="1663"/>
      <c r="BV121" s="1665">
        <v>294203.3</v>
      </c>
      <c r="BW121" s="1668"/>
      <c r="BX121" s="1668"/>
      <c r="BY121" s="1662"/>
      <c r="BZ121" s="1662"/>
      <c r="CA121" s="1662"/>
      <c r="CB121" s="1662"/>
      <c r="CC121" s="1662"/>
      <c r="CD121" s="1724">
        <v>1060197.72</v>
      </c>
      <c r="CE121" s="1724">
        <v>1060197.72</v>
      </c>
      <c r="CF121" s="1724">
        <v>980677.61</v>
      </c>
      <c r="CG121" s="1724">
        <v>92.5</v>
      </c>
      <c r="CH121" s="1724">
        <v>79520.11</v>
      </c>
      <c r="CI121" s="1724">
        <v>7.5</v>
      </c>
      <c r="CJ121" s="1724">
        <v>1060197.72</v>
      </c>
      <c r="CK121" s="1724">
        <v>100</v>
      </c>
      <c r="CL121" s="1725"/>
      <c r="CM121" s="1726"/>
      <c r="CN121" s="1727"/>
      <c r="CO121" s="1728"/>
      <c r="CP121" s="1726"/>
      <c r="CQ121" s="1724">
        <v>980677.61</v>
      </c>
      <c r="CR121" s="1724">
        <v>900497.55</v>
      </c>
      <c r="CS121" s="1724">
        <v>80180.06</v>
      </c>
      <c r="CT121" s="1728"/>
      <c r="CU121" s="1726"/>
      <c r="CV121" s="1724">
        <v>1060197.72</v>
      </c>
      <c r="CW121" s="1724">
        <v>0</v>
      </c>
      <c r="CX121" s="1724">
        <v>0</v>
      </c>
      <c r="CY121" s="1724">
        <v>39755.699999999997</v>
      </c>
      <c r="CZ121" s="1724">
        <v>132894.06</v>
      </c>
      <c r="DA121" s="1724">
        <v>730012.99</v>
      </c>
      <c r="DB121" s="1724">
        <v>49.14</v>
      </c>
      <c r="DC121" s="1724">
        <v>157485.82999999999</v>
      </c>
      <c r="DD121" s="1724">
        <v>1060197.72</v>
      </c>
      <c r="DE121" s="1724">
        <v>980677.61</v>
      </c>
      <c r="DF121" s="1724">
        <v>900497.55</v>
      </c>
      <c r="DG121" s="1724">
        <v>80180.06</v>
      </c>
      <c r="DH121" s="1724">
        <v>79520.11</v>
      </c>
      <c r="DI121" s="1724">
        <v>79520.11</v>
      </c>
      <c r="DJ121" s="1724">
        <v>0</v>
      </c>
      <c r="DK121" s="1724">
        <v>78220.160000000003</v>
      </c>
      <c r="DL121" s="1724">
        <v>1299.95</v>
      </c>
      <c r="DM121" s="1724">
        <v>0</v>
      </c>
      <c r="DN121" s="1724">
        <v>0</v>
      </c>
      <c r="DO121" s="1724">
        <v>0</v>
      </c>
      <c r="DP121" s="1724">
        <v>0</v>
      </c>
      <c r="DQ121" s="1728"/>
      <c r="DR121" s="1727"/>
      <c r="DS121" s="1728"/>
      <c r="DT121" s="1726"/>
      <c r="DU121" s="1728"/>
      <c r="DV121" s="1726"/>
    </row>
    <row r="122" spans="1:126" ht="33.75" x14ac:dyDescent="0.25">
      <c r="A122" s="1662" t="s">
        <v>2162</v>
      </c>
      <c r="B122" s="1662" t="s">
        <v>1727</v>
      </c>
      <c r="C122" s="1662" t="s">
        <v>2642</v>
      </c>
      <c r="D122" s="1662" t="s">
        <v>2646</v>
      </c>
      <c r="E122" s="1662" t="s">
        <v>1193</v>
      </c>
      <c r="F122" s="1662" t="s">
        <v>1219</v>
      </c>
      <c r="G122" s="1662"/>
      <c r="H122" s="1662"/>
      <c r="I122" s="1662"/>
      <c r="J122" s="1662"/>
      <c r="K122" s="1668"/>
      <c r="L122" s="1668"/>
      <c r="M122" s="1662"/>
      <c r="N122" s="1662"/>
      <c r="O122" s="1662"/>
      <c r="P122" s="1662"/>
      <c r="Q122" s="1662"/>
      <c r="R122" s="1662"/>
      <c r="S122" s="1662"/>
      <c r="T122" s="1662"/>
      <c r="U122" s="1662"/>
      <c r="V122" s="1662"/>
      <c r="W122" s="1662"/>
      <c r="X122" s="1662"/>
      <c r="Y122" s="1662"/>
      <c r="Z122" s="1662"/>
      <c r="AA122" s="1662"/>
      <c r="AB122" s="1662"/>
      <c r="AC122" s="1662"/>
      <c r="AD122" s="1662"/>
      <c r="AE122" s="1662"/>
      <c r="AF122" s="1662"/>
      <c r="AG122" s="1662"/>
      <c r="AH122" s="1662"/>
      <c r="AI122" s="1662"/>
      <c r="AJ122" s="1662"/>
      <c r="AK122" s="1662"/>
      <c r="AL122" s="1662"/>
      <c r="AM122" s="1663"/>
      <c r="AN122" s="1662"/>
      <c r="AO122" s="1662"/>
      <c r="AP122" s="1662"/>
      <c r="AQ122" s="1662"/>
      <c r="AR122" s="1662"/>
      <c r="AS122" s="1662"/>
      <c r="AT122" s="1662"/>
      <c r="AU122" s="1662"/>
      <c r="AV122" s="1662"/>
      <c r="AW122" s="1662"/>
      <c r="AX122" s="1662"/>
      <c r="AY122" s="1662"/>
      <c r="AZ122" s="1662"/>
      <c r="BA122" s="1662"/>
      <c r="BB122" s="1662"/>
      <c r="BC122" s="1662"/>
      <c r="BD122" s="1662"/>
      <c r="BE122" s="1662"/>
      <c r="BF122" s="1662"/>
      <c r="BG122" s="1662"/>
      <c r="BH122" s="1662"/>
      <c r="BI122" s="1662"/>
      <c r="BJ122" s="1662"/>
      <c r="BK122" s="1662"/>
      <c r="BL122" s="1662"/>
      <c r="BM122" s="1662"/>
      <c r="BN122" s="1663"/>
      <c r="BO122" s="1668"/>
      <c r="BP122" s="1668"/>
      <c r="BQ122" s="1662"/>
      <c r="BR122" s="1668"/>
      <c r="BS122" s="1662"/>
      <c r="BT122" s="1662"/>
      <c r="BU122" s="1663"/>
      <c r="BV122" s="1665">
        <v>276108.15000000002</v>
      </c>
      <c r="BW122" s="1668"/>
      <c r="BX122" s="1668"/>
      <c r="BY122" s="1662"/>
      <c r="BZ122" s="1662"/>
      <c r="CA122" s="1662"/>
      <c r="CB122" s="1662"/>
      <c r="CC122" s="1662"/>
      <c r="CD122" s="1724">
        <v>994984.54</v>
      </c>
      <c r="CE122" s="1724">
        <v>994984.54</v>
      </c>
      <c r="CF122" s="1724">
        <v>920360.47</v>
      </c>
      <c r="CG122" s="1724">
        <v>92.5</v>
      </c>
      <c r="CH122" s="1724">
        <v>74624.070000000007</v>
      </c>
      <c r="CI122" s="1724">
        <v>7.5</v>
      </c>
      <c r="CJ122" s="1724">
        <v>994984.54</v>
      </c>
      <c r="CK122" s="1724">
        <v>100</v>
      </c>
      <c r="CL122" s="1725"/>
      <c r="CM122" s="1726"/>
      <c r="CN122" s="1727"/>
      <c r="CO122" s="1728"/>
      <c r="CP122" s="1726"/>
      <c r="CQ122" s="1724">
        <v>920360.47</v>
      </c>
      <c r="CR122" s="1724">
        <v>845736.85</v>
      </c>
      <c r="CS122" s="1724">
        <v>74623.62</v>
      </c>
      <c r="CT122" s="1728"/>
      <c r="CU122" s="1726"/>
      <c r="CV122" s="1724">
        <v>994984.54</v>
      </c>
      <c r="CW122" s="1724">
        <v>0</v>
      </c>
      <c r="CX122" s="1724">
        <v>0</v>
      </c>
      <c r="CY122" s="1724">
        <v>39755.699999999997</v>
      </c>
      <c r="CZ122" s="1724">
        <v>132894.06</v>
      </c>
      <c r="DA122" s="1724">
        <v>673010.24</v>
      </c>
      <c r="DB122" s="1724">
        <v>49.14</v>
      </c>
      <c r="DC122" s="1724">
        <v>149275.4</v>
      </c>
      <c r="DD122" s="1724">
        <v>994984.54</v>
      </c>
      <c r="DE122" s="1724">
        <v>920360.47</v>
      </c>
      <c r="DF122" s="1724">
        <v>845736.85</v>
      </c>
      <c r="DG122" s="1724">
        <v>74623.62</v>
      </c>
      <c r="DH122" s="1724">
        <v>74624.070000000007</v>
      </c>
      <c r="DI122" s="1724">
        <v>74624.070000000007</v>
      </c>
      <c r="DJ122" s="1724">
        <v>0</v>
      </c>
      <c r="DK122" s="1724">
        <v>74624.070000000007</v>
      </c>
      <c r="DL122" s="1724">
        <v>0</v>
      </c>
      <c r="DM122" s="1724">
        <v>0</v>
      </c>
      <c r="DN122" s="1724">
        <v>0</v>
      </c>
      <c r="DO122" s="1724">
        <v>0</v>
      </c>
      <c r="DP122" s="1724">
        <v>0</v>
      </c>
      <c r="DQ122" s="1728"/>
      <c r="DR122" s="1727"/>
      <c r="DS122" s="1728"/>
      <c r="DT122" s="1726"/>
      <c r="DU122" s="1728"/>
      <c r="DV122" s="1726"/>
    </row>
    <row r="123" spans="1:126" ht="101.25" x14ac:dyDescent="0.25">
      <c r="A123" s="1662" t="s">
        <v>2163</v>
      </c>
      <c r="B123" s="1662" t="s">
        <v>1727</v>
      </c>
      <c r="C123" s="1662" t="s">
        <v>2642</v>
      </c>
      <c r="D123" s="1662" t="s">
        <v>2646</v>
      </c>
      <c r="E123" s="1662" t="s">
        <v>1193</v>
      </c>
      <c r="F123" s="1662" t="s">
        <v>1219</v>
      </c>
      <c r="G123" s="1662" t="s">
        <v>2647</v>
      </c>
      <c r="H123" s="1662" t="s">
        <v>2644</v>
      </c>
      <c r="I123" s="1662" t="s">
        <v>2645</v>
      </c>
      <c r="J123" s="1662" t="s">
        <v>1626</v>
      </c>
      <c r="K123" s="1664">
        <v>43217</v>
      </c>
      <c r="L123" s="1664">
        <v>43284</v>
      </c>
      <c r="M123" s="1662" t="s">
        <v>2429</v>
      </c>
      <c r="N123" s="1662" t="s">
        <v>2109</v>
      </c>
      <c r="O123" s="1662" t="s">
        <v>3180</v>
      </c>
      <c r="P123" s="1662" t="s">
        <v>2833</v>
      </c>
      <c r="Q123" s="1662" t="s">
        <v>1762</v>
      </c>
      <c r="R123" s="1662" t="s">
        <v>2833</v>
      </c>
      <c r="S123" s="1662" t="s">
        <v>2833</v>
      </c>
      <c r="T123" s="1662" t="s">
        <v>2861</v>
      </c>
      <c r="U123" s="1662" t="s">
        <v>2834</v>
      </c>
      <c r="V123" s="1662" t="s">
        <v>2833</v>
      </c>
      <c r="W123" s="1662" t="s">
        <v>2833</v>
      </c>
      <c r="X123" s="1662" t="s">
        <v>2833</v>
      </c>
      <c r="Y123" s="1662" t="s">
        <v>2833</v>
      </c>
      <c r="Z123" s="1662" t="s">
        <v>2833</v>
      </c>
      <c r="AA123" s="1662" t="s">
        <v>2833</v>
      </c>
      <c r="AB123" s="1662" t="s">
        <v>2833</v>
      </c>
      <c r="AC123" s="1662" t="s">
        <v>2833</v>
      </c>
      <c r="AD123" s="1662" t="s">
        <v>2833</v>
      </c>
      <c r="AE123" s="1662"/>
      <c r="AF123" s="1662" t="s">
        <v>3181</v>
      </c>
      <c r="AG123" s="1662" t="s">
        <v>3182</v>
      </c>
      <c r="AH123" s="1662" t="s">
        <v>3031</v>
      </c>
      <c r="AI123" s="1662" t="s">
        <v>2838</v>
      </c>
      <c r="AJ123" s="1662" t="s">
        <v>2839</v>
      </c>
      <c r="AK123" s="1662" t="s">
        <v>3158</v>
      </c>
      <c r="AL123" s="1662" t="s">
        <v>3159</v>
      </c>
      <c r="AM123" s="1665">
        <v>100</v>
      </c>
      <c r="AN123" s="1662"/>
      <c r="AO123" s="1662"/>
      <c r="AP123" s="1662"/>
      <c r="AQ123" s="1662"/>
      <c r="AR123" s="1662"/>
      <c r="AS123" s="1662"/>
      <c r="AT123" s="1662" t="s">
        <v>2870</v>
      </c>
      <c r="AU123" s="1662" t="s">
        <v>2842</v>
      </c>
      <c r="AV123" s="1662" t="s">
        <v>3105</v>
      </c>
      <c r="AW123" s="1662" t="s">
        <v>3160</v>
      </c>
      <c r="AX123" s="1662" t="s">
        <v>3183</v>
      </c>
      <c r="AY123" s="1662" t="s">
        <v>2874</v>
      </c>
      <c r="AZ123" s="1662" t="s">
        <v>350</v>
      </c>
      <c r="BA123" s="1662" t="s">
        <v>2875</v>
      </c>
      <c r="BB123" s="1662" t="s">
        <v>2833</v>
      </c>
      <c r="BC123" s="1662" t="s">
        <v>2876</v>
      </c>
      <c r="BD123" s="1662" t="s">
        <v>2849</v>
      </c>
      <c r="BE123" s="1662" t="s">
        <v>2877</v>
      </c>
      <c r="BF123" s="1662" t="s">
        <v>3184</v>
      </c>
      <c r="BG123" s="1662" t="s">
        <v>3019</v>
      </c>
      <c r="BH123" s="1662" t="s">
        <v>2050</v>
      </c>
      <c r="BI123" s="1662" t="s">
        <v>2881</v>
      </c>
      <c r="BJ123" s="1662" t="s">
        <v>2882</v>
      </c>
      <c r="BK123" s="1662" t="s">
        <v>2870</v>
      </c>
      <c r="BL123" s="1662" t="s">
        <v>2833</v>
      </c>
      <c r="BM123" s="1662" t="s">
        <v>2833</v>
      </c>
      <c r="BN123" s="1665">
        <v>0</v>
      </c>
      <c r="BO123" s="1664">
        <v>43284</v>
      </c>
      <c r="BP123" s="1664">
        <v>44380</v>
      </c>
      <c r="BQ123" s="1662" t="s">
        <v>2855</v>
      </c>
      <c r="BR123" s="1664">
        <v>47483</v>
      </c>
      <c r="BS123" s="1662" t="s">
        <v>3185</v>
      </c>
      <c r="BT123" s="1662" t="s">
        <v>3186</v>
      </c>
      <c r="BU123" s="1665">
        <v>30</v>
      </c>
      <c r="BV123" s="1665">
        <v>55221.39</v>
      </c>
      <c r="BW123" s="1664">
        <v>44440</v>
      </c>
      <c r="BX123" s="1668"/>
      <c r="BY123" s="1662" t="s">
        <v>2096</v>
      </c>
      <c r="BZ123" s="1662" t="s">
        <v>2858</v>
      </c>
      <c r="CA123" s="1662" t="s">
        <v>2858</v>
      </c>
      <c r="CB123" s="1662" t="s">
        <v>2859</v>
      </c>
      <c r="CC123" s="1662" t="s">
        <v>2885</v>
      </c>
      <c r="CD123" s="1724">
        <v>198996</v>
      </c>
      <c r="CE123" s="1724">
        <v>198996</v>
      </c>
      <c r="CF123" s="1724">
        <v>184071.3</v>
      </c>
      <c r="CG123" s="1724">
        <v>92.5</v>
      </c>
      <c r="CH123" s="1724">
        <v>14924.7</v>
      </c>
      <c r="CI123" s="1724">
        <v>7.5</v>
      </c>
      <c r="CJ123" s="1724">
        <v>198996</v>
      </c>
      <c r="CK123" s="1724">
        <v>100</v>
      </c>
      <c r="CL123" s="1725" t="s">
        <v>2861</v>
      </c>
      <c r="CM123" s="1729">
        <v>43263</v>
      </c>
      <c r="CN123" s="1727"/>
      <c r="CO123" s="1728"/>
      <c r="CP123" s="1726"/>
      <c r="CQ123" s="1724">
        <v>184071.3</v>
      </c>
      <c r="CR123" s="1724">
        <v>169146.6</v>
      </c>
      <c r="CS123" s="1724">
        <v>14924.7</v>
      </c>
      <c r="CT123" s="1728" t="s">
        <v>2861</v>
      </c>
      <c r="CU123" s="1729">
        <v>43266</v>
      </c>
      <c r="CV123" s="1724">
        <v>198996</v>
      </c>
      <c r="CW123" s="1724">
        <v>0</v>
      </c>
      <c r="CX123" s="1724">
        <v>0</v>
      </c>
      <c r="CY123" s="1724">
        <v>0</v>
      </c>
      <c r="CZ123" s="1724">
        <v>34600</v>
      </c>
      <c r="DA123" s="1724">
        <v>132599</v>
      </c>
      <c r="DB123" s="1724">
        <v>25</v>
      </c>
      <c r="DC123" s="1724">
        <v>31772</v>
      </c>
      <c r="DD123" s="1724">
        <v>198996</v>
      </c>
      <c r="DE123" s="1724">
        <v>184071.3</v>
      </c>
      <c r="DF123" s="1724">
        <v>169146.6</v>
      </c>
      <c r="DG123" s="1724">
        <v>14924.7</v>
      </c>
      <c r="DH123" s="1724">
        <v>14924.7</v>
      </c>
      <c r="DI123" s="1724">
        <v>14924.7</v>
      </c>
      <c r="DJ123" s="1724">
        <v>0</v>
      </c>
      <c r="DK123" s="1724">
        <v>14924.7</v>
      </c>
      <c r="DL123" s="1724">
        <v>0</v>
      </c>
      <c r="DM123" s="1724">
        <v>0</v>
      </c>
      <c r="DN123" s="1724">
        <v>0</v>
      </c>
      <c r="DO123" s="1724">
        <v>0</v>
      </c>
      <c r="DP123" s="1724">
        <v>0</v>
      </c>
      <c r="DQ123" s="1728" t="s">
        <v>2886</v>
      </c>
      <c r="DR123" s="1724">
        <v>0</v>
      </c>
      <c r="DS123" s="1728" t="s">
        <v>2833</v>
      </c>
      <c r="DT123" s="1726"/>
      <c r="DU123" s="1728" t="s">
        <v>2833</v>
      </c>
      <c r="DV123" s="1726"/>
    </row>
    <row r="124" spans="1:126" ht="146.25" x14ac:dyDescent="0.25">
      <c r="A124" s="1662" t="s">
        <v>2164</v>
      </c>
      <c r="B124" s="1662" t="s">
        <v>1727</v>
      </c>
      <c r="C124" s="1662" t="s">
        <v>2642</v>
      </c>
      <c r="D124" s="1662" t="s">
        <v>2646</v>
      </c>
      <c r="E124" s="1662" t="s">
        <v>1193</v>
      </c>
      <c r="F124" s="1662" t="s">
        <v>1219</v>
      </c>
      <c r="G124" s="1662" t="s">
        <v>2647</v>
      </c>
      <c r="H124" s="1662" t="s">
        <v>2644</v>
      </c>
      <c r="I124" s="1662" t="s">
        <v>2645</v>
      </c>
      <c r="J124" s="1662" t="s">
        <v>1627</v>
      </c>
      <c r="K124" s="1664">
        <v>43217</v>
      </c>
      <c r="L124" s="1664">
        <v>43284</v>
      </c>
      <c r="M124" s="1662" t="s">
        <v>1213</v>
      </c>
      <c r="N124" s="1662" t="s">
        <v>2109</v>
      </c>
      <c r="O124" s="1662" t="s">
        <v>3187</v>
      </c>
      <c r="P124" s="1662" t="s">
        <v>2833</v>
      </c>
      <c r="Q124" s="1662" t="s">
        <v>1762</v>
      </c>
      <c r="R124" s="1662" t="s">
        <v>2833</v>
      </c>
      <c r="S124" s="1662" t="s">
        <v>2833</v>
      </c>
      <c r="T124" s="1662" t="s">
        <v>2861</v>
      </c>
      <c r="U124" s="1662" t="s">
        <v>2834</v>
      </c>
      <c r="V124" s="1662" t="s">
        <v>2833</v>
      </c>
      <c r="W124" s="1662" t="s">
        <v>2833</v>
      </c>
      <c r="X124" s="1662" t="s">
        <v>2833</v>
      </c>
      <c r="Y124" s="1662" t="s">
        <v>2833</v>
      </c>
      <c r="Z124" s="1662" t="s">
        <v>2833</v>
      </c>
      <c r="AA124" s="1662" t="s">
        <v>2833</v>
      </c>
      <c r="AB124" s="1662" t="s">
        <v>2833</v>
      </c>
      <c r="AC124" s="1662" t="s">
        <v>2833</v>
      </c>
      <c r="AD124" s="1662" t="s">
        <v>2833</v>
      </c>
      <c r="AE124" s="1662"/>
      <c r="AF124" s="1662" t="s">
        <v>3181</v>
      </c>
      <c r="AG124" s="1662" t="s">
        <v>3182</v>
      </c>
      <c r="AH124" s="1662" t="s">
        <v>3031</v>
      </c>
      <c r="AI124" s="1662" t="s">
        <v>2838</v>
      </c>
      <c r="AJ124" s="1662" t="s">
        <v>2839</v>
      </c>
      <c r="AK124" s="1662" t="s">
        <v>3158</v>
      </c>
      <c r="AL124" s="1662" t="s">
        <v>3159</v>
      </c>
      <c r="AM124" s="1665">
        <v>100</v>
      </c>
      <c r="AN124" s="1662"/>
      <c r="AO124" s="1662"/>
      <c r="AP124" s="1662"/>
      <c r="AQ124" s="1662"/>
      <c r="AR124" s="1662"/>
      <c r="AS124" s="1662"/>
      <c r="AT124" s="1662" t="s">
        <v>2946</v>
      </c>
      <c r="AU124" s="1662" t="s">
        <v>2842</v>
      </c>
      <c r="AV124" s="1662" t="s">
        <v>3105</v>
      </c>
      <c r="AW124" s="1662" t="s">
        <v>3160</v>
      </c>
      <c r="AX124" s="1662" t="s">
        <v>3183</v>
      </c>
      <c r="AY124" s="1662" t="s">
        <v>2874</v>
      </c>
      <c r="AZ124" s="1662" t="s">
        <v>1214</v>
      </c>
      <c r="BA124" s="1662" t="s">
        <v>3188</v>
      </c>
      <c r="BB124" s="1662" t="s">
        <v>2833</v>
      </c>
      <c r="BC124" s="1662" t="s">
        <v>2876</v>
      </c>
      <c r="BD124" s="1662" t="s">
        <v>2849</v>
      </c>
      <c r="BE124" s="1662" t="s">
        <v>3189</v>
      </c>
      <c r="BF124" s="1662" t="s">
        <v>3190</v>
      </c>
      <c r="BG124" s="1662" t="s">
        <v>3191</v>
      </c>
      <c r="BH124" s="1662" t="s">
        <v>2880</v>
      </c>
      <c r="BI124" s="1662" t="s">
        <v>2881</v>
      </c>
      <c r="BJ124" s="1662" t="s">
        <v>2892</v>
      </c>
      <c r="BK124" s="1662" t="s">
        <v>2946</v>
      </c>
      <c r="BL124" s="1662" t="s">
        <v>2833</v>
      </c>
      <c r="BM124" s="1662" t="s">
        <v>2833</v>
      </c>
      <c r="BN124" s="1665">
        <v>0</v>
      </c>
      <c r="BO124" s="1664">
        <v>43284</v>
      </c>
      <c r="BP124" s="1664">
        <v>44380</v>
      </c>
      <c r="BQ124" s="1662" t="s">
        <v>3035</v>
      </c>
      <c r="BR124" s="1664">
        <v>47483</v>
      </c>
      <c r="BS124" s="1662" t="s">
        <v>3192</v>
      </c>
      <c r="BT124" s="1662" t="s">
        <v>3193</v>
      </c>
      <c r="BU124" s="1665">
        <v>30</v>
      </c>
      <c r="BV124" s="1665">
        <v>55221.72</v>
      </c>
      <c r="BW124" s="1664">
        <v>44440</v>
      </c>
      <c r="BX124" s="1668"/>
      <c r="BY124" s="1662" t="s">
        <v>2096</v>
      </c>
      <c r="BZ124" s="1662" t="s">
        <v>2858</v>
      </c>
      <c r="CA124" s="1662" t="s">
        <v>2858</v>
      </c>
      <c r="CB124" s="1662" t="s">
        <v>2859</v>
      </c>
      <c r="CC124" s="1662" t="s">
        <v>2885</v>
      </c>
      <c r="CD124" s="1724">
        <v>198997.18</v>
      </c>
      <c r="CE124" s="1724">
        <v>198997.18</v>
      </c>
      <c r="CF124" s="1724">
        <v>184072.39</v>
      </c>
      <c r="CG124" s="1724">
        <v>92.5</v>
      </c>
      <c r="CH124" s="1724">
        <v>14924.79</v>
      </c>
      <c r="CI124" s="1724">
        <v>7.5</v>
      </c>
      <c r="CJ124" s="1724">
        <v>198997.18</v>
      </c>
      <c r="CK124" s="1724">
        <v>100</v>
      </c>
      <c r="CL124" s="1725" t="s">
        <v>2861</v>
      </c>
      <c r="CM124" s="1729">
        <v>43263</v>
      </c>
      <c r="CN124" s="1727"/>
      <c r="CO124" s="1728"/>
      <c r="CP124" s="1726"/>
      <c r="CQ124" s="1724">
        <v>184072.39</v>
      </c>
      <c r="CR124" s="1724">
        <v>169147.6</v>
      </c>
      <c r="CS124" s="1724">
        <v>14924.79</v>
      </c>
      <c r="CT124" s="1728" t="s">
        <v>2861</v>
      </c>
      <c r="CU124" s="1729">
        <v>43266</v>
      </c>
      <c r="CV124" s="1724">
        <v>198997.18</v>
      </c>
      <c r="CW124" s="1724">
        <v>0</v>
      </c>
      <c r="CX124" s="1724">
        <v>0</v>
      </c>
      <c r="CY124" s="1724">
        <v>0</v>
      </c>
      <c r="CZ124" s="1724">
        <v>8769.48</v>
      </c>
      <c r="DA124" s="1724">
        <v>158455.57999999999</v>
      </c>
      <c r="DB124" s="1724">
        <v>0</v>
      </c>
      <c r="DC124" s="1724">
        <v>31772.12</v>
      </c>
      <c r="DD124" s="1724">
        <v>198997.18</v>
      </c>
      <c r="DE124" s="1724">
        <v>184072.39</v>
      </c>
      <c r="DF124" s="1724">
        <v>169147.6</v>
      </c>
      <c r="DG124" s="1724">
        <v>14924.79</v>
      </c>
      <c r="DH124" s="1724">
        <v>14924.79</v>
      </c>
      <c r="DI124" s="1724">
        <v>14924.79</v>
      </c>
      <c r="DJ124" s="1724">
        <v>0</v>
      </c>
      <c r="DK124" s="1724">
        <v>14924.79</v>
      </c>
      <c r="DL124" s="1724">
        <v>0</v>
      </c>
      <c r="DM124" s="1724">
        <v>0</v>
      </c>
      <c r="DN124" s="1724">
        <v>0</v>
      </c>
      <c r="DO124" s="1724">
        <v>0</v>
      </c>
      <c r="DP124" s="1724">
        <v>0</v>
      </c>
      <c r="DQ124" s="1728" t="s">
        <v>2886</v>
      </c>
      <c r="DR124" s="1724">
        <v>0</v>
      </c>
      <c r="DS124" s="1728" t="s">
        <v>2833</v>
      </c>
      <c r="DT124" s="1726"/>
      <c r="DU124" s="1728" t="s">
        <v>2833</v>
      </c>
      <c r="DV124" s="1726"/>
    </row>
    <row r="125" spans="1:126" ht="202.5" x14ac:dyDescent="0.25">
      <c r="A125" s="1662" t="s">
        <v>2165</v>
      </c>
      <c r="B125" s="1662" t="s">
        <v>1727</v>
      </c>
      <c r="C125" s="1662" t="s">
        <v>2642</v>
      </c>
      <c r="D125" s="1662" t="s">
        <v>2646</v>
      </c>
      <c r="E125" s="1662" t="s">
        <v>1193</v>
      </c>
      <c r="F125" s="1662" t="s">
        <v>1219</v>
      </c>
      <c r="G125" s="1662" t="s">
        <v>2647</v>
      </c>
      <c r="H125" s="1662" t="s">
        <v>2644</v>
      </c>
      <c r="I125" s="1662" t="s">
        <v>2645</v>
      </c>
      <c r="J125" s="1662" t="s">
        <v>1628</v>
      </c>
      <c r="K125" s="1664">
        <v>43217</v>
      </c>
      <c r="L125" s="1664">
        <v>43286</v>
      </c>
      <c r="M125" s="1662" t="s">
        <v>1215</v>
      </c>
      <c r="N125" s="1662" t="s">
        <v>2109</v>
      </c>
      <c r="O125" s="1662" t="s">
        <v>3194</v>
      </c>
      <c r="P125" s="1662" t="s">
        <v>2833</v>
      </c>
      <c r="Q125" s="1662" t="s">
        <v>1762</v>
      </c>
      <c r="R125" s="1662" t="s">
        <v>2833</v>
      </c>
      <c r="S125" s="1662" t="s">
        <v>2833</v>
      </c>
      <c r="T125" s="1662" t="s">
        <v>2861</v>
      </c>
      <c r="U125" s="1662" t="s">
        <v>2834</v>
      </c>
      <c r="V125" s="1662" t="s">
        <v>2833</v>
      </c>
      <c r="W125" s="1662" t="s">
        <v>2833</v>
      </c>
      <c r="X125" s="1662" t="s">
        <v>2833</v>
      </c>
      <c r="Y125" s="1662" t="s">
        <v>2833</v>
      </c>
      <c r="Z125" s="1662" t="s">
        <v>2833</v>
      </c>
      <c r="AA125" s="1662" t="s">
        <v>2833</v>
      </c>
      <c r="AB125" s="1662" t="s">
        <v>2833</v>
      </c>
      <c r="AC125" s="1662" t="s">
        <v>2833</v>
      </c>
      <c r="AD125" s="1662" t="s">
        <v>2833</v>
      </c>
      <c r="AE125" s="1662"/>
      <c r="AF125" s="1662" t="s">
        <v>3181</v>
      </c>
      <c r="AG125" s="1662" t="s">
        <v>3182</v>
      </c>
      <c r="AH125" s="1662" t="s">
        <v>3031</v>
      </c>
      <c r="AI125" s="1662" t="s">
        <v>2838</v>
      </c>
      <c r="AJ125" s="1662" t="s">
        <v>2839</v>
      </c>
      <c r="AK125" s="1662" t="s">
        <v>3158</v>
      </c>
      <c r="AL125" s="1662" t="s">
        <v>3159</v>
      </c>
      <c r="AM125" s="1665">
        <v>100</v>
      </c>
      <c r="AN125" s="1662"/>
      <c r="AO125" s="1662"/>
      <c r="AP125" s="1662"/>
      <c r="AQ125" s="1662"/>
      <c r="AR125" s="1662"/>
      <c r="AS125" s="1662"/>
      <c r="AT125" s="1662" t="s">
        <v>2960</v>
      </c>
      <c r="AU125" s="1662" t="s">
        <v>2842</v>
      </c>
      <c r="AV125" s="1662" t="s">
        <v>3105</v>
      </c>
      <c r="AW125" s="1662" t="s">
        <v>3160</v>
      </c>
      <c r="AX125" s="1662" t="s">
        <v>3183</v>
      </c>
      <c r="AY125" s="1662" t="s">
        <v>2874</v>
      </c>
      <c r="AZ125" s="1662" t="s">
        <v>1216</v>
      </c>
      <c r="BA125" s="1662" t="s">
        <v>3195</v>
      </c>
      <c r="BB125" s="1662" t="s">
        <v>2833</v>
      </c>
      <c r="BC125" s="1662" t="s">
        <v>2876</v>
      </c>
      <c r="BD125" s="1662" t="s">
        <v>2849</v>
      </c>
      <c r="BE125" s="1662" t="s">
        <v>3196</v>
      </c>
      <c r="BF125" s="1662" t="s">
        <v>3197</v>
      </c>
      <c r="BG125" s="1662" t="s">
        <v>3198</v>
      </c>
      <c r="BH125" s="1662" t="s">
        <v>2880</v>
      </c>
      <c r="BI125" s="1662" t="s">
        <v>2881</v>
      </c>
      <c r="BJ125" s="1662" t="s">
        <v>2965</v>
      </c>
      <c r="BK125" s="1662" t="s">
        <v>2960</v>
      </c>
      <c r="BL125" s="1662" t="s">
        <v>2833</v>
      </c>
      <c r="BM125" s="1662" t="s">
        <v>2833</v>
      </c>
      <c r="BN125" s="1665">
        <v>0</v>
      </c>
      <c r="BO125" s="1664">
        <v>43262</v>
      </c>
      <c r="BP125" s="1664">
        <v>44382</v>
      </c>
      <c r="BQ125" s="1662" t="s">
        <v>3035</v>
      </c>
      <c r="BR125" s="1664">
        <v>47483</v>
      </c>
      <c r="BS125" s="1662" t="s">
        <v>2941</v>
      </c>
      <c r="BT125" s="1662" t="s">
        <v>3199</v>
      </c>
      <c r="BU125" s="1665">
        <v>30</v>
      </c>
      <c r="BV125" s="1665">
        <v>55221.72</v>
      </c>
      <c r="BW125" s="1664">
        <v>44442</v>
      </c>
      <c r="BX125" s="1668"/>
      <c r="BY125" s="1662" t="s">
        <v>2096</v>
      </c>
      <c r="BZ125" s="1662" t="s">
        <v>2858</v>
      </c>
      <c r="CA125" s="1662" t="s">
        <v>2858</v>
      </c>
      <c r="CB125" s="1662" t="s">
        <v>2859</v>
      </c>
      <c r="CC125" s="1662" t="s">
        <v>2993</v>
      </c>
      <c r="CD125" s="1724">
        <v>198997.18</v>
      </c>
      <c r="CE125" s="1724">
        <v>198997.18</v>
      </c>
      <c r="CF125" s="1724">
        <v>184072.39</v>
      </c>
      <c r="CG125" s="1724">
        <v>92.5</v>
      </c>
      <c r="CH125" s="1724">
        <v>14924.79</v>
      </c>
      <c r="CI125" s="1724">
        <v>7.5</v>
      </c>
      <c r="CJ125" s="1724">
        <v>198997.18</v>
      </c>
      <c r="CK125" s="1724">
        <v>100</v>
      </c>
      <c r="CL125" s="1725" t="s">
        <v>2861</v>
      </c>
      <c r="CM125" s="1729">
        <v>43259</v>
      </c>
      <c r="CN125" s="1727"/>
      <c r="CO125" s="1728"/>
      <c r="CP125" s="1726"/>
      <c r="CQ125" s="1724">
        <v>184072.39</v>
      </c>
      <c r="CR125" s="1724">
        <v>169147.6</v>
      </c>
      <c r="CS125" s="1724">
        <v>14924.79</v>
      </c>
      <c r="CT125" s="1728" t="s">
        <v>2861</v>
      </c>
      <c r="CU125" s="1729">
        <v>43266</v>
      </c>
      <c r="CV125" s="1724">
        <v>198997.18</v>
      </c>
      <c r="CW125" s="1724">
        <v>0</v>
      </c>
      <c r="CX125" s="1724">
        <v>0</v>
      </c>
      <c r="CY125" s="1724">
        <v>0</v>
      </c>
      <c r="CZ125" s="1724">
        <v>20941.78</v>
      </c>
      <c r="DA125" s="1724">
        <v>146295.4</v>
      </c>
      <c r="DB125" s="1724">
        <v>0</v>
      </c>
      <c r="DC125" s="1724">
        <v>31760</v>
      </c>
      <c r="DD125" s="1724">
        <v>198997.18</v>
      </c>
      <c r="DE125" s="1724">
        <v>184072.39</v>
      </c>
      <c r="DF125" s="1724">
        <v>169147.6</v>
      </c>
      <c r="DG125" s="1724">
        <v>14924.79</v>
      </c>
      <c r="DH125" s="1724">
        <v>14924.79</v>
      </c>
      <c r="DI125" s="1724">
        <v>14924.79</v>
      </c>
      <c r="DJ125" s="1724">
        <v>0</v>
      </c>
      <c r="DK125" s="1724">
        <v>14924.79</v>
      </c>
      <c r="DL125" s="1724">
        <v>0</v>
      </c>
      <c r="DM125" s="1724">
        <v>0</v>
      </c>
      <c r="DN125" s="1724">
        <v>0</v>
      </c>
      <c r="DO125" s="1724">
        <v>0</v>
      </c>
      <c r="DP125" s="1724">
        <v>0</v>
      </c>
      <c r="DQ125" s="1728" t="s">
        <v>2886</v>
      </c>
      <c r="DR125" s="1724">
        <v>0</v>
      </c>
      <c r="DS125" s="1728" t="s">
        <v>2833</v>
      </c>
      <c r="DT125" s="1726"/>
      <c r="DU125" s="1728" t="s">
        <v>2833</v>
      </c>
      <c r="DV125" s="1726"/>
    </row>
    <row r="126" spans="1:126" ht="225" x14ac:dyDescent="0.25">
      <c r="A126" s="1662" t="s">
        <v>2166</v>
      </c>
      <c r="B126" s="1662" t="s">
        <v>1727</v>
      </c>
      <c r="C126" s="1662" t="s">
        <v>2642</v>
      </c>
      <c r="D126" s="1662" t="s">
        <v>2646</v>
      </c>
      <c r="E126" s="1662" t="s">
        <v>1193</v>
      </c>
      <c r="F126" s="1662" t="s">
        <v>1219</v>
      </c>
      <c r="G126" s="1662" t="s">
        <v>2647</v>
      </c>
      <c r="H126" s="1662" t="s">
        <v>2644</v>
      </c>
      <c r="I126" s="1662" t="s">
        <v>2645</v>
      </c>
      <c r="J126" s="1662" t="s">
        <v>1629</v>
      </c>
      <c r="K126" s="1664">
        <v>43220</v>
      </c>
      <c r="L126" s="1664">
        <v>43284</v>
      </c>
      <c r="M126" s="1662" t="s">
        <v>2438</v>
      </c>
      <c r="N126" s="1662" t="s">
        <v>2109</v>
      </c>
      <c r="O126" s="1662" t="s">
        <v>3200</v>
      </c>
      <c r="P126" s="1662" t="s">
        <v>2833</v>
      </c>
      <c r="Q126" s="1662" t="s">
        <v>1762</v>
      </c>
      <c r="R126" s="1662" t="s">
        <v>2833</v>
      </c>
      <c r="S126" s="1662" t="s">
        <v>2833</v>
      </c>
      <c r="T126" s="1662" t="s">
        <v>2861</v>
      </c>
      <c r="U126" s="1662" t="s">
        <v>2834</v>
      </c>
      <c r="V126" s="1662" t="s">
        <v>2833</v>
      </c>
      <c r="W126" s="1662" t="s">
        <v>2833</v>
      </c>
      <c r="X126" s="1662" t="s">
        <v>2833</v>
      </c>
      <c r="Y126" s="1662" t="s">
        <v>2833</v>
      </c>
      <c r="Z126" s="1662" t="s">
        <v>2833</v>
      </c>
      <c r="AA126" s="1662" t="s">
        <v>2833</v>
      </c>
      <c r="AB126" s="1662" t="s">
        <v>2833</v>
      </c>
      <c r="AC126" s="1662" t="s">
        <v>2861</v>
      </c>
      <c r="AD126" s="1662" t="s">
        <v>2833</v>
      </c>
      <c r="AE126" s="1662"/>
      <c r="AF126" s="1662" t="s">
        <v>3181</v>
      </c>
      <c r="AG126" s="1662" t="s">
        <v>3182</v>
      </c>
      <c r="AH126" s="1662" t="s">
        <v>3031</v>
      </c>
      <c r="AI126" s="1662" t="s">
        <v>2838</v>
      </c>
      <c r="AJ126" s="1662" t="s">
        <v>2839</v>
      </c>
      <c r="AK126" s="1662" t="s">
        <v>3158</v>
      </c>
      <c r="AL126" s="1662" t="s">
        <v>3159</v>
      </c>
      <c r="AM126" s="1665">
        <v>100</v>
      </c>
      <c r="AN126" s="1662"/>
      <c r="AO126" s="1662"/>
      <c r="AP126" s="1662"/>
      <c r="AQ126" s="1662"/>
      <c r="AR126" s="1662"/>
      <c r="AS126" s="1662"/>
      <c r="AT126" s="1662" t="s">
        <v>2946</v>
      </c>
      <c r="AU126" s="1662" t="s">
        <v>2842</v>
      </c>
      <c r="AV126" s="1662" t="s">
        <v>3105</v>
      </c>
      <c r="AW126" s="1662" t="s">
        <v>3160</v>
      </c>
      <c r="AX126" s="1662" t="s">
        <v>3183</v>
      </c>
      <c r="AY126" s="1662" t="s">
        <v>2874</v>
      </c>
      <c r="AZ126" s="1662" t="s">
        <v>1195</v>
      </c>
      <c r="BA126" s="1662" t="s">
        <v>3201</v>
      </c>
      <c r="BB126" s="1662" t="s">
        <v>2833</v>
      </c>
      <c r="BC126" s="1662" t="s">
        <v>2876</v>
      </c>
      <c r="BD126" s="1662" t="s">
        <v>2849</v>
      </c>
      <c r="BE126" s="1662" t="s">
        <v>3202</v>
      </c>
      <c r="BF126" s="1662" t="s">
        <v>3203</v>
      </c>
      <c r="BG126" s="1662" t="s">
        <v>3204</v>
      </c>
      <c r="BH126" s="1662" t="s">
        <v>2880</v>
      </c>
      <c r="BI126" s="1662" t="s">
        <v>2881</v>
      </c>
      <c r="BJ126" s="1662" t="s">
        <v>2908</v>
      </c>
      <c r="BK126" s="1662" t="s">
        <v>2946</v>
      </c>
      <c r="BL126" s="1662" t="s">
        <v>2833</v>
      </c>
      <c r="BM126" s="1662" t="s">
        <v>2833</v>
      </c>
      <c r="BN126" s="1665">
        <v>0</v>
      </c>
      <c r="BO126" s="1664">
        <v>43284</v>
      </c>
      <c r="BP126" s="1664">
        <v>44380</v>
      </c>
      <c r="BQ126" s="1662" t="s">
        <v>2855</v>
      </c>
      <c r="BR126" s="1664">
        <v>47483</v>
      </c>
      <c r="BS126" s="1662" t="s">
        <v>3205</v>
      </c>
      <c r="BT126" s="1662" t="s">
        <v>3206</v>
      </c>
      <c r="BU126" s="1665">
        <v>30</v>
      </c>
      <c r="BV126" s="1665">
        <v>55221.72</v>
      </c>
      <c r="BW126" s="1664">
        <v>44440</v>
      </c>
      <c r="BX126" s="1668"/>
      <c r="BY126" s="1662" t="s">
        <v>2096</v>
      </c>
      <c r="BZ126" s="1662" t="s">
        <v>2858</v>
      </c>
      <c r="CA126" s="1662" t="s">
        <v>2858</v>
      </c>
      <c r="CB126" s="1662" t="s">
        <v>2859</v>
      </c>
      <c r="CC126" s="1662" t="s">
        <v>2993</v>
      </c>
      <c r="CD126" s="1724">
        <v>198997.18</v>
      </c>
      <c r="CE126" s="1724">
        <v>198997.18</v>
      </c>
      <c r="CF126" s="1724">
        <v>184072.39</v>
      </c>
      <c r="CG126" s="1724">
        <v>92.5</v>
      </c>
      <c r="CH126" s="1724">
        <v>14924.79</v>
      </c>
      <c r="CI126" s="1724">
        <v>7.5</v>
      </c>
      <c r="CJ126" s="1724">
        <v>198997.18</v>
      </c>
      <c r="CK126" s="1724">
        <v>100</v>
      </c>
      <c r="CL126" s="1725" t="s">
        <v>2861</v>
      </c>
      <c r="CM126" s="1729">
        <v>43259</v>
      </c>
      <c r="CN126" s="1727"/>
      <c r="CO126" s="1728"/>
      <c r="CP126" s="1726"/>
      <c r="CQ126" s="1724">
        <v>184072.39</v>
      </c>
      <c r="CR126" s="1724">
        <v>169147.6</v>
      </c>
      <c r="CS126" s="1724">
        <v>14924.79</v>
      </c>
      <c r="CT126" s="1728" t="s">
        <v>2861</v>
      </c>
      <c r="CU126" s="1729">
        <v>43266</v>
      </c>
      <c r="CV126" s="1724">
        <v>198997.18</v>
      </c>
      <c r="CW126" s="1724">
        <v>0</v>
      </c>
      <c r="CX126" s="1724">
        <v>0</v>
      </c>
      <c r="CY126" s="1724">
        <v>19856</v>
      </c>
      <c r="CZ126" s="1724">
        <v>36571.53</v>
      </c>
      <c r="DA126" s="1724">
        <v>117125.88</v>
      </c>
      <c r="DB126" s="1724">
        <v>24.14</v>
      </c>
      <c r="DC126" s="1724">
        <v>25419.63</v>
      </c>
      <c r="DD126" s="1724">
        <v>198997.18</v>
      </c>
      <c r="DE126" s="1724">
        <v>184072.39</v>
      </c>
      <c r="DF126" s="1724">
        <v>169147.6</v>
      </c>
      <c r="DG126" s="1724">
        <v>14924.79</v>
      </c>
      <c r="DH126" s="1724">
        <v>14924.79</v>
      </c>
      <c r="DI126" s="1724">
        <v>14924.79</v>
      </c>
      <c r="DJ126" s="1724">
        <v>0</v>
      </c>
      <c r="DK126" s="1724">
        <v>14924.79</v>
      </c>
      <c r="DL126" s="1724">
        <v>0</v>
      </c>
      <c r="DM126" s="1724">
        <v>0</v>
      </c>
      <c r="DN126" s="1724">
        <v>0</v>
      </c>
      <c r="DO126" s="1724">
        <v>0</v>
      </c>
      <c r="DP126" s="1724">
        <v>0</v>
      </c>
      <c r="DQ126" s="1728" t="s">
        <v>2886</v>
      </c>
      <c r="DR126" s="1724">
        <v>0</v>
      </c>
      <c r="DS126" s="1728" t="s">
        <v>2833</v>
      </c>
      <c r="DT126" s="1726"/>
      <c r="DU126" s="1728" t="s">
        <v>2833</v>
      </c>
      <c r="DV126" s="1726"/>
    </row>
    <row r="127" spans="1:126" ht="213.75" x14ac:dyDescent="0.25">
      <c r="A127" s="1662" t="s">
        <v>2167</v>
      </c>
      <c r="B127" s="1662" t="s">
        <v>1727</v>
      </c>
      <c r="C127" s="1662" t="s">
        <v>2642</v>
      </c>
      <c r="D127" s="1662" t="s">
        <v>2646</v>
      </c>
      <c r="E127" s="1662" t="s">
        <v>1193</v>
      </c>
      <c r="F127" s="1662" t="s">
        <v>1219</v>
      </c>
      <c r="G127" s="1662" t="s">
        <v>2647</v>
      </c>
      <c r="H127" s="1662" t="s">
        <v>2644</v>
      </c>
      <c r="I127" s="1662" t="s">
        <v>2645</v>
      </c>
      <c r="J127" s="1662" t="s">
        <v>1630</v>
      </c>
      <c r="K127" s="1664">
        <v>43223</v>
      </c>
      <c r="L127" s="1664">
        <v>43298</v>
      </c>
      <c r="M127" s="1662" t="s">
        <v>1196</v>
      </c>
      <c r="N127" s="1662" t="s">
        <v>2109</v>
      </c>
      <c r="O127" s="1662" t="s">
        <v>3207</v>
      </c>
      <c r="P127" s="1662" t="s">
        <v>2833</v>
      </c>
      <c r="Q127" s="1662" t="s">
        <v>1761</v>
      </c>
      <c r="R127" s="1662" t="s">
        <v>2833</v>
      </c>
      <c r="S127" s="1662" t="s">
        <v>2833</v>
      </c>
      <c r="T127" s="1662" t="s">
        <v>2861</v>
      </c>
      <c r="U127" s="1662" t="s">
        <v>2834</v>
      </c>
      <c r="V127" s="1662" t="s">
        <v>2833</v>
      </c>
      <c r="W127" s="1662" t="s">
        <v>2833</v>
      </c>
      <c r="X127" s="1662" t="s">
        <v>2833</v>
      </c>
      <c r="Y127" s="1662" t="s">
        <v>2833</v>
      </c>
      <c r="Z127" s="1662" t="s">
        <v>2833</v>
      </c>
      <c r="AA127" s="1662" t="s">
        <v>2833</v>
      </c>
      <c r="AB127" s="1662" t="s">
        <v>2833</v>
      </c>
      <c r="AC127" s="1662" t="s">
        <v>2833</v>
      </c>
      <c r="AD127" s="1662" t="s">
        <v>2833</v>
      </c>
      <c r="AE127" s="1662"/>
      <c r="AF127" s="1662" t="s">
        <v>3181</v>
      </c>
      <c r="AG127" s="1662" t="s">
        <v>3182</v>
      </c>
      <c r="AH127" s="1662" t="s">
        <v>3031</v>
      </c>
      <c r="AI127" s="1662" t="s">
        <v>2838</v>
      </c>
      <c r="AJ127" s="1662" t="s">
        <v>2839</v>
      </c>
      <c r="AK127" s="1662" t="s">
        <v>3158</v>
      </c>
      <c r="AL127" s="1662" t="s">
        <v>3159</v>
      </c>
      <c r="AM127" s="1665">
        <v>100</v>
      </c>
      <c r="AN127" s="1662"/>
      <c r="AO127" s="1662"/>
      <c r="AP127" s="1662"/>
      <c r="AQ127" s="1662"/>
      <c r="AR127" s="1662"/>
      <c r="AS127" s="1662"/>
      <c r="AT127" s="1662" t="s">
        <v>2946</v>
      </c>
      <c r="AU127" s="1662" t="s">
        <v>2842</v>
      </c>
      <c r="AV127" s="1662" t="s">
        <v>3105</v>
      </c>
      <c r="AW127" s="1662" t="s">
        <v>3160</v>
      </c>
      <c r="AX127" s="1662" t="s">
        <v>3183</v>
      </c>
      <c r="AY127" s="1662" t="s">
        <v>2874</v>
      </c>
      <c r="AZ127" s="1662" t="s">
        <v>278</v>
      </c>
      <c r="BA127" s="1662" t="s">
        <v>3208</v>
      </c>
      <c r="BB127" s="1662" t="s">
        <v>2833</v>
      </c>
      <c r="BC127" s="1662" t="s">
        <v>2876</v>
      </c>
      <c r="BD127" s="1662" t="s">
        <v>2849</v>
      </c>
      <c r="BE127" s="1662" t="s">
        <v>3209</v>
      </c>
      <c r="BF127" s="1662" t="s">
        <v>3210</v>
      </c>
      <c r="BG127" s="1662" t="s">
        <v>3211</v>
      </c>
      <c r="BH127" s="1662" t="s">
        <v>2880</v>
      </c>
      <c r="BI127" s="1662" t="s">
        <v>2881</v>
      </c>
      <c r="BJ127" s="1662" t="s">
        <v>2900</v>
      </c>
      <c r="BK127" s="1662" t="s">
        <v>2946</v>
      </c>
      <c r="BL127" s="1662" t="s">
        <v>2833</v>
      </c>
      <c r="BM127" s="1662" t="s">
        <v>2833</v>
      </c>
      <c r="BN127" s="1665">
        <v>0</v>
      </c>
      <c r="BO127" s="1664">
        <v>43298</v>
      </c>
      <c r="BP127" s="1664">
        <v>44394</v>
      </c>
      <c r="BQ127" s="1662" t="s">
        <v>2855</v>
      </c>
      <c r="BR127" s="1664">
        <v>47483</v>
      </c>
      <c r="BS127" s="1662" t="s">
        <v>2883</v>
      </c>
      <c r="BT127" s="1662" t="s">
        <v>3212</v>
      </c>
      <c r="BU127" s="1665">
        <v>30</v>
      </c>
      <c r="BV127" s="1665">
        <v>55221.599999999999</v>
      </c>
      <c r="BW127" s="1664">
        <v>44454</v>
      </c>
      <c r="BX127" s="1668"/>
      <c r="BY127" s="1662" t="s">
        <v>2096</v>
      </c>
      <c r="BZ127" s="1662" t="s">
        <v>2858</v>
      </c>
      <c r="CA127" s="1662" t="s">
        <v>2858</v>
      </c>
      <c r="CB127" s="1662" t="s">
        <v>2859</v>
      </c>
      <c r="CC127" s="1662" t="s">
        <v>2885</v>
      </c>
      <c r="CD127" s="1724">
        <v>198997</v>
      </c>
      <c r="CE127" s="1724">
        <v>198997</v>
      </c>
      <c r="CF127" s="1724">
        <v>184072</v>
      </c>
      <c r="CG127" s="1724">
        <v>92.5</v>
      </c>
      <c r="CH127" s="1724">
        <v>14925</v>
      </c>
      <c r="CI127" s="1724">
        <v>7.5</v>
      </c>
      <c r="CJ127" s="1724">
        <v>198997</v>
      </c>
      <c r="CK127" s="1724">
        <v>100</v>
      </c>
      <c r="CL127" s="1725" t="s">
        <v>2861</v>
      </c>
      <c r="CM127" s="1729">
        <v>43266</v>
      </c>
      <c r="CN127" s="1727"/>
      <c r="CO127" s="1728"/>
      <c r="CP127" s="1726"/>
      <c r="CQ127" s="1724">
        <v>184072</v>
      </c>
      <c r="CR127" s="1724">
        <v>169147.45</v>
      </c>
      <c r="CS127" s="1724">
        <v>14924.55</v>
      </c>
      <c r="CT127" s="1728" t="s">
        <v>2861</v>
      </c>
      <c r="CU127" s="1729">
        <v>43272</v>
      </c>
      <c r="CV127" s="1724">
        <v>198997</v>
      </c>
      <c r="CW127" s="1724">
        <v>0</v>
      </c>
      <c r="CX127" s="1724">
        <v>0</v>
      </c>
      <c r="CY127" s="1724">
        <v>19899.7</v>
      </c>
      <c r="CZ127" s="1724">
        <v>32011.27</v>
      </c>
      <c r="DA127" s="1724">
        <v>118534.38</v>
      </c>
      <c r="DB127" s="1724">
        <v>0</v>
      </c>
      <c r="DC127" s="1724">
        <v>28551.65</v>
      </c>
      <c r="DD127" s="1724">
        <v>198997</v>
      </c>
      <c r="DE127" s="1724">
        <v>184072</v>
      </c>
      <c r="DF127" s="1724">
        <v>169147.45</v>
      </c>
      <c r="DG127" s="1724">
        <v>14924.55</v>
      </c>
      <c r="DH127" s="1724">
        <v>14925</v>
      </c>
      <c r="DI127" s="1724">
        <v>14925</v>
      </c>
      <c r="DJ127" s="1724">
        <v>0</v>
      </c>
      <c r="DK127" s="1724">
        <v>14925</v>
      </c>
      <c r="DL127" s="1724">
        <v>0</v>
      </c>
      <c r="DM127" s="1724">
        <v>0</v>
      </c>
      <c r="DN127" s="1724">
        <v>0</v>
      </c>
      <c r="DO127" s="1724">
        <v>0</v>
      </c>
      <c r="DP127" s="1724">
        <v>0</v>
      </c>
      <c r="DQ127" s="1728" t="s">
        <v>2886</v>
      </c>
      <c r="DR127" s="1724">
        <v>0</v>
      </c>
      <c r="DS127" s="1728" t="s">
        <v>2833</v>
      </c>
      <c r="DT127" s="1726"/>
      <c r="DU127" s="1728" t="s">
        <v>2833</v>
      </c>
      <c r="DV127" s="1726"/>
    </row>
    <row r="128" spans="1:126" ht="78.75" x14ac:dyDescent="0.25">
      <c r="A128" s="1662" t="s">
        <v>2168</v>
      </c>
      <c r="B128" s="1662" t="s">
        <v>1727</v>
      </c>
      <c r="C128" s="1662" t="s">
        <v>2642</v>
      </c>
      <c r="D128" s="1662" t="s">
        <v>2646</v>
      </c>
      <c r="E128" s="1662" t="s">
        <v>1208</v>
      </c>
      <c r="F128" s="1662" t="s">
        <v>3213</v>
      </c>
      <c r="G128" s="1662"/>
      <c r="H128" s="1662"/>
      <c r="I128" s="1662"/>
      <c r="J128" s="1662"/>
      <c r="K128" s="1668"/>
      <c r="L128" s="1668"/>
      <c r="M128" s="1662"/>
      <c r="N128" s="1662"/>
      <c r="O128" s="1662"/>
      <c r="P128" s="1662"/>
      <c r="Q128" s="1662"/>
      <c r="R128" s="1662"/>
      <c r="S128" s="1662"/>
      <c r="T128" s="1662"/>
      <c r="U128" s="1662"/>
      <c r="V128" s="1662"/>
      <c r="W128" s="1662"/>
      <c r="X128" s="1662"/>
      <c r="Y128" s="1662"/>
      <c r="Z128" s="1662"/>
      <c r="AA128" s="1662"/>
      <c r="AB128" s="1662"/>
      <c r="AC128" s="1662"/>
      <c r="AD128" s="1662"/>
      <c r="AE128" s="1662"/>
      <c r="AF128" s="1662"/>
      <c r="AG128" s="1662"/>
      <c r="AH128" s="1662"/>
      <c r="AI128" s="1662"/>
      <c r="AJ128" s="1662"/>
      <c r="AK128" s="1662"/>
      <c r="AL128" s="1662"/>
      <c r="AM128" s="1663"/>
      <c r="AN128" s="1662"/>
      <c r="AO128" s="1662"/>
      <c r="AP128" s="1662"/>
      <c r="AQ128" s="1662"/>
      <c r="AR128" s="1662"/>
      <c r="AS128" s="1662"/>
      <c r="AT128" s="1662"/>
      <c r="AU128" s="1662"/>
      <c r="AV128" s="1662"/>
      <c r="AW128" s="1662"/>
      <c r="AX128" s="1662"/>
      <c r="AY128" s="1662"/>
      <c r="AZ128" s="1662"/>
      <c r="BA128" s="1662"/>
      <c r="BB128" s="1662"/>
      <c r="BC128" s="1662"/>
      <c r="BD128" s="1662"/>
      <c r="BE128" s="1662"/>
      <c r="BF128" s="1662"/>
      <c r="BG128" s="1662"/>
      <c r="BH128" s="1662"/>
      <c r="BI128" s="1662"/>
      <c r="BJ128" s="1662"/>
      <c r="BK128" s="1662"/>
      <c r="BL128" s="1662"/>
      <c r="BM128" s="1662"/>
      <c r="BN128" s="1663"/>
      <c r="BO128" s="1668"/>
      <c r="BP128" s="1668"/>
      <c r="BQ128" s="1662"/>
      <c r="BR128" s="1668"/>
      <c r="BS128" s="1662"/>
      <c r="BT128" s="1662"/>
      <c r="BU128" s="1663"/>
      <c r="BV128" s="1665">
        <v>18095.150000000001</v>
      </c>
      <c r="BW128" s="1668"/>
      <c r="BX128" s="1668"/>
      <c r="BY128" s="1662"/>
      <c r="BZ128" s="1662"/>
      <c r="CA128" s="1662"/>
      <c r="CB128" s="1662"/>
      <c r="CC128" s="1662"/>
      <c r="CD128" s="1724">
        <v>65213.18</v>
      </c>
      <c r="CE128" s="1724">
        <v>65213.18</v>
      </c>
      <c r="CF128" s="1724">
        <v>60317.14</v>
      </c>
      <c r="CG128" s="1724">
        <v>92.49</v>
      </c>
      <c r="CH128" s="1724">
        <v>4896.04</v>
      </c>
      <c r="CI128" s="1724">
        <v>7.51</v>
      </c>
      <c r="CJ128" s="1724">
        <v>65213.18</v>
      </c>
      <c r="CK128" s="1724">
        <v>100</v>
      </c>
      <c r="CL128" s="1725"/>
      <c r="CM128" s="1726"/>
      <c r="CN128" s="1727"/>
      <c r="CO128" s="1728"/>
      <c r="CP128" s="1726"/>
      <c r="CQ128" s="1724">
        <v>60317.14</v>
      </c>
      <c r="CR128" s="1724">
        <v>54760.7</v>
      </c>
      <c r="CS128" s="1724">
        <v>5556.44</v>
      </c>
      <c r="CT128" s="1728"/>
      <c r="CU128" s="1726"/>
      <c r="CV128" s="1724">
        <v>65213.18</v>
      </c>
      <c r="CW128" s="1724">
        <v>0</v>
      </c>
      <c r="CX128" s="1724">
        <v>0</v>
      </c>
      <c r="CY128" s="1724">
        <v>0</v>
      </c>
      <c r="CZ128" s="1724">
        <v>0</v>
      </c>
      <c r="DA128" s="1724">
        <v>57002.75</v>
      </c>
      <c r="DB128" s="1724">
        <v>0</v>
      </c>
      <c r="DC128" s="1724">
        <v>8210.43</v>
      </c>
      <c r="DD128" s="1724">
        <v>65213.18</v>
      </c>
      <c r="DE128" s="1724">
        <v>60317.14</v>
      </c>
      <c r="DF128" s="1724">
        <v>54760.7</v>
      </c>
      <c r="DG128" s="1724">
        <v>5556.44</v>
      </c>
      <c r="DH128" s="1724">
        <v>4896.04</v>
      </c>
      <c r="DI128" s="1724">
        <v>4896.04</v>
      </c>
      <c r="DJ128" s="1724">
        <v>0</v>
      </c>
      <c r="DK128" s="1724">
        <v>3596.09</v>
      </c>
      <c r="DL128" s="1724">
        <v>1299.95</v>
      </c>
      <c r="DM128" s="1724">
        <v>0</v>
      </c>
      <c r="DN128" s="1724">
        <v>0</v>
      </c>
      <c r="DO128" s="1724">
        <v>0</v>
      </c>
      <c r="DP128" s="1724">
        <v>0</v>
      </c>
      <c r="DQ128" s="1728"/>
      <c r="DR128" s="1727"/>
      <c r="DS128" s="1728"/>
      <c r="DT128" s="1726"/>
      <c r="DU128" s="1728"/>
      <c r="DV128" s="1726"/>
    </row>
    <row r="129" spans="1:126" ht="146.25" x14ac:dyDescent="0.25">
      <c r="A129" s="1662" t="s">
        <v>2169</v>
      </c>
      <c r="B129" s="1662" t="s">
        <v>1727</v>
      </c>
      <c r="C129" s="1662" t="s">
        <v>2642</v>
      </c>
      <c r="D129" s="1662" t="s">
        <v>2646</v>
      </c>
      <c r="E129" s="1662" t="s">
        <v>1208</v>
      </c>
      <c r="F129" s="1662" t="s">
        <v>3213</v>
      </c>
      <c r="G129" s="1662" t="s">
        <v>2647</v>
      </c>
      <c r="H129" s="1662" t="s">
        <v>2644</v>
      </c>
      <c r="I129" s="1662" t="s">
        <v>2645</v>
      </c>
      <c r="J129" s="1662" t="s">
        <v>1631</v>
      </c>
      <c r="K129" s="1664">
        <v>43188</v>
      </c>
      <c r="L129" s="1664">
        <v>43235</v>
      </c>
      <c r="M129" s="1662" t="s">
        <v>3214</v>
      </c>
      <c r="N129" s="1662" t="s">
        <v>2109</v>
      </c>
      <c r="O129" s="1662" t="s">
        <v>3215</v>
      </c>
      <c r="P129" s="1662" t="s">
        <v>2833</v>
      </c>
      <c r="Q129" s="1662" t="s">
        <v>1767</v>
      </c>
      <c r="R129" s="1662" t="s">
        <v>2833</v>
      </c>
      <c r="S129" s="1662" t="s">
        <v>2833</v>
      </c>
      <c r="T129" s="1662" t="s">
        <v>2861</v>
      </c>
      <c r="U129" s="1662" t="s">
        <v>3216</v>
      </c>
      <c r="V129" s="1662" t="s">
        <v>2833</v>
      </c>
      <c r="W129" s="1662" t="s">
        <v>2833</v>
      </c>
      <c r="X129" s="1662" t="s">
        <v>2833</v>
      </c>
      <c r="Y129" s="1662" t="s">
        <v>2833</v>
      </c>
      <c r="Z129" s="1662" t="s">
        <v>2833</v>
      </c>
      <c r="AA129" s="1662" t="s">
        <v>2833</v>
      </c>
      <c r="AB129" s="1662" t="s">
        <v>2833</v>
      </c>
      <c r="AC129" s="1662" t="s">
        <v>2833</v>
      </c>
      <c r="AD129" s="1662" t="s">
        <v>2833</v>
      </c>
      <c r="AE129" s="1662"/>
      <c r="AF129" s="1662" t="s">
        <v>3181</v>
      </c>
      <c r="AG129" s="1662" t="s">
        <v>3182</v>
      </c>
      <c r="AH129" s="1662" t="s">
        <v>3031</v>
      </c>
      <c r="AI129" s="1662" t="s">
        <v>2838</v>
      </c>
      <c r="AJ129" s="1662" t="s">
        <v>2839</v>
      </c>
      <c r="AK129" s="1662" t="s">
        <v>3158</v>
      </c>
      <c r="AL129" s="1662" t="s">
        <v>3159</v>
      </c>
      <c r="AM129" s="1665">
        <v>100</v>
      </c>
      <c r="AN129" s="1662"/>
      <c r="AO129" s="1662"/>
      <c r="AP129" s="1662"/>
      <c r="AQ129" s="1662"/>
      <c r="AR129" s="1662"/>
      <c r="AS129" s="1662"/>
      <c r="AT129" s="1662" t="s">
        <v>2946</v>
      </c>
      <c r="AU129" s="1662" t="s">
        <v>2842</v>
      </c>
      <c r="AV129" s="1662" t="s">
        <v>3105</v>
      </c>
      <c r="AW129" s="1662" t="s">
        <v>3160</v>
      </c>
      <c r="AX129" s="1662" t="s">
        <v>3183</v>
      </c>
      <c r="AY129" s="1662" t="s">
        <v>2874</v>
      </c>
      <c r="AZ129" s="1662" t="s">
        <v>161</v>
      </c>
      <c r="BA129" s="1662" t="s">
        <v>2888</v>
      </c>
      <c r="BB129" s="1662" t="s">
        <v>2833</v>
      </c>
      <c r="BC129" s="1662" t="s">
        <v>2876</v>
      </c>
      <c r="BD129" s="1662" t="s">
        <v>2849</v>
      </c>
      <c r="BE129" s="1662" t="s">
        <v>3217</v>
      </c>
      <c r="BF129" s="1662" t="s">
        <v>2890</v>
      </c>
      <c r="BG129" s="1662" t="s">
        <v>2891</v>
      </c>
      <c r="BH129" s="1662" t="s">
        <v>2050</v>
      </c>
      <c r="BI129" s="1662" t="s">
        <v>2881</v>
      </c>
      <c r="BJ129" s="1662" t="s">
        <v>2892</v>
      </c>
      <c r="BK129" s="1662" t="s">
        <v>2946</v>
      </c>
      <c r="BL129" s="1662" t="s">
        <v>2833</v>
      </c>
      <c r="BM129" s="1662" t="s">
        <v>2833</v>
      </c>
      <c r="BN129" s="1665">
        <v>0</v>
      </c>
      <c r="BO129" s="1664">
        <v>43235</v>
      </c>
      <c r="BP129" s="1664">
        <v>44530</v>
      </c>
      <c r="BQ129" s="1662" t="s">
        <v>3035</v>
      </c>
      <c r="BR129" s="1664">
        <v>47483</v>
      </c>
      <c r="BS129" s="1662" t="s">
        <v>2893</v>
      </c>
      <c r="BT129" s="1662" t="s">
        <v>3218</v>
      </c>
      <c r="BU129" s="1665">
        <v>30</v>
      </c>
      <c r="BV129" s="1665">
        <v>4224.6000000000004</v>
      </c>
      <c r="BW129" s="1664">
        <v>44590</v>
      </c>
      <c r="BX129" s="1668"/>
      <c r="BY129" s="1662" t="s">
        <v>2247</v>
      </c>
      <c r="BZ129" s="1662" t="s">
        <v>2858</v>
      </c>
      <c r="CA129" s="1662" t="s">
        <v>2858</v>
      </c>
      <c r="CB129" s="1662" t="s">
        <v>2859</v>
      </c>
      <c r="CC129" s="1662" t="s">
        <v>2993</v>
      </c>
      <c r="CD129" s="1724">
        <v>15224</v>
      </c>
      <c r="CE129" s="1724">
        <v>15224</v>
      </c>
      <c r="CF129" s="1724">
        <v>14082</v>
      </c>
      <c r="CG129" s="1724">
        <v>92.5</v>
      </c>
      <c r="CH129" s="1724">
        <v>1142</v>
      </c>
      <c r="CI129" s="1724">
        <v>7.5</v>
      </c>
      <c r="CJ129" s="1724">
        <v>15224</v>
      </c>
      <c r="CK129" s="1724">
        <v>100</v>
      </c>
      <c r="CL129" s="1725" t="s">
        <v>2861</v>
      </c>
      <c r="CM129" s="1729">
        <v>43207</v>
      </c>
      <c r="CN129" s="1727"/>
      <c r="CO129" s="1728"/>
      <c r="CP129" s="1726"/>
      <c r="CQ129" s="1724">
        <v>14082</v>
      </c>
      <c r="CR129" s="1724">
        <v>12940.4</v>
      </c>
      <c r="CS129" s="1724">
        <v>1141.5999999999999</v>
      </c>
      <c r="CT129" s="1728" t="s">
        <v>2861</v>
      </c>
      <c r="CU129" s="1729">
        <v>43215</v>
      </c>
      <c r="CV129" s="1724">
        <v>15224</v>
      </c>
      <c r="CW129" s="1724">
        <v>0</v>
      </c>
      <c r="CX129" s="1724">
        <v>0</v>
      </c>
      <c r="CY129" s="1724">
        <v>0</v>
      </c>
      <c r="CZ129" s="1724">
        <v>0</v>
      </c>
      <c r="DA129" s="1724">
        <v>12182.4</v>
      </c>
      <c r="DB129" s="1724">
        <v>0</v>
      </c>
      <c r="DC129" s="1724">
        <v>3041.6</v>
      </c>
      <c r="DD129" s="1724">
        <v>15224</v>
      </c>
      <c r="DE129" s="1724">
        <v>14082</v>
      </c>
      <c r="DF129" s="1724">
        <v>12940.4</v>
      </c>
      <c r="DG129" s="1724">
        <v>1141.5999999999999</v>
      </c>
      <c r="DH129" s="1724">
        <v>1142</v>
      </c>
      <c r="DI129" s="1724">
        <v>1142</v>
      </c>
      <c r="DJ129" s="1724">
        <v>0</v>
      </c>
      <c r="DK129" s="1724">
        <v>1142</v>
      </c>
      <c r="DL129" s="1724">
        <v>0</v>
      </c>
      <c r="DM129" s="1724">
        <v>0</v>
      </c>
      <c r="DN129" s="1724">
        <v>0</v>
      </c>
      <c r="DO129" s="1724">
        <v>0</v>
      </c>
      <c r="DP129" s="1724">
        <v>0</v>
      </c>
      <c r="DQ129" s="1728" t="s">
        <v>2886</v>
      </c>
      <c r="DR129" s="1724">
        <v>0</v>
      </c>
      <c r="DS129" s="1728" t="s">
        <v>2833</v>
      </c>
      <c r="DT129" s="1726"/>
      <c r="DU129" s="1728" t="s">
        <v>2833</v>
      </c>
      <c r="DV129" s="1726"/>
    </row>
    <row r="130" spans="1:126" ht="146.25" x14ac:dyDescent="0.25">
      <c r="A130" s="1662" t="s">
        <v>2170</v>
      </c>
      <c r="B130" s="1662" t="s">
        <v>1727</v>
      </c>
      <c r="C130" s="1662" t="s">
        <v>2642</v>
      </c>
      <c r="D130" s="1662" t="s">
        <v>2646</v>
      </c>
      <c r="E130" s="1662" t="s">
        <v>1208</v>
      </c>
      <c r="F130" s="1662" t="s">
        <v>3213</v>
      </c>
      <c r="G130" s="1662" t="s">
        <v>2647</v>
      </c>
      <c r="H130" s="1662" t="s">
        <v>2644</v>
      </c>
      <c r="I130" s="1662" t="s">
        <v>2645</v>
      </c>
      <c r="J130" s="1662" t="s">
        <v>1632</v>
      </c>
      <c r="K130" s="1664">
        <v>43255</v>
      </c>
      <c r="L130" s="1664">
        <v>43322</v>
      </c>
      <c r="M130" s="1662" t="s">
        <v>1217</v>
      </c>
      <c r="N130" s="1662" t="s">
        <v>2109</v>
      </c>
      <c r="O130" s="1662" t="s">
        <v>3219</v>
      </c>
      <c r="P130" s="1662" t="s">
        <v>2833</v>
      </c>
      <c r="Q130" s="1662" t="s">
        <v>1762</v>
      </c>
      <c r="R130" s="1662" t="s">
        <v>2833</v>
      </c>
      <c r="S130" s="1662" t="s">
        <v>2833</v>
      </c>
      <c r="T130" s="1662" t="s">
        <v>2861</v>
      </c>
      <c r="U130" s="1662" t="s">
        <v>3216</v>
      </c>
      <c r="V130" s="1662" t="s">
        <v>2833</v>
      </c>
      <c r="W130" s="1662" t="s">
        <v>2833</v>
      </c>
      <c r="X130" s="1662" t="s">
        <v>2833</v>
      </c>
      <c r="Y130" s="1662" t="s">
        <v>2833</v>
      </c>
      <c r="Z130" s="1662" t="s">
        <v>2833</v>
      </c>
      <c r="AA130" s="1662" t="s">
        <v>2833</v>
      </c>
      <c r="AB130" s="1662" t="s">
        <v>2833</v>
      </c>
      <c r="AC130" s="1662" t="s">
        <v>2833</v>
      </c>
      <c r="AD130" s="1662" t="s">
        <v>2833</v>
      </c>
      <c r="AE130" s="1662"/>
      <c r="AF130" s="1662" t="s">
        <v>3181</v>
      </c>
      <c r="AG130" s="1662" t="s">
        <v>3182</v>
      </c>
      <c r="AH130" s="1662" t="s">
        <v>3031</v>
      </c>
      <c r="AI130" s="1662" t="s">
        <v>2838</v>
      </c>
      <c r="AJ130" s="1662" t="s">
        <v>2839</v>
      </c>
      <c r="AK130" s="1662" t="s">
        <v>3158</v>
      </c>
      <c r="AL130" s="1662" t="s">
        <v>3159</v>
      </c>
      <c r="AM130" s="1665">
        <v>100</v>
      </c>
      <c r="AN130" s="1662"/>
      <c r="AO130" s="1662"/>
      <c r="AP130" s="1662"/>
      <c r="AQ130" s="1662"/>
      <c r="AR130" s="1662"/>
      <c r="AS130" s="1662"/>
      <c r="AT130" s="1662" t="s">
        <v>2960</v>
      </c>
      <c r="AU130" s="1662" t="s">
        <v>2842</v>
      </c>
      <c r="AV130" s="1662" t="s">
        <v>3105</v>
      </c>
      <c r="AW130" s="1662" t="s">
        <v>3160</v>
      </c>
      <c r="AX130" s="1662" t="s">
        <v>3183</v>
      </c>
      <c r="AY130" s="1662" t="s">
        <v>2874</v>
      </c>
      <c r="AZ130" s="1662" t="s">
        <v>3220</v>
      </c>
      <c r="BA130" s="1662" t="s">
        <v>3221</v>
      </c>
      <c r="BB130" s="1662" t="s">
        <v>2833</v>
      </c>
      <c r="BC130" s="1662" t="s">
        <v>2848</v>
      </c>
      <c r="BD130" s="1662" t="s">
        <v>2849</v>
      </c>
      <c r="BE130" s="1662" t="s">
        <v>3222</v>
      </c>
      <c r="BF130" s="1662" t="s">
        <v>3223</v>
      </c>
      <c r="BG130" s="1662" t="s">
        <v>3224</v>
      </c>
      <c r="BH130" s="1662" t="s">
        <v>2880</v>
      </c>
      <c r="BI130" s="1662" t="s">
        <v>2881</v>
      </c>
      <c r="BJ130" s="1662" t="s">
        <v>2965</v>
      </c>
      <c r="BK130" s="1662" t="s">
        <v>2960</v>
      </c>
      <c r="BL130" s="1662" t="s">
        <v>2833</v>
      </c>
      <c r="BM130" s="1662" t="s">
        <v>2833</v>
      </c>
      <c r="BN130" s="1665">
        <v>0</v>
      </c>
      <c r="BO130" s="1664">
        <v>43322</v>
      </c>
      <c r="BP130" s="1664">
        <v>44418</v>
      </c>
      <c r="BQ130" s="1662" t="s">
        <v>3035</v>
      </c>
      <c r="BR130" s="1664">
        <v>47483</v>
      </c>
      <c r="BS130" s="1662" t="s">
        <v>2893</v>
      </c>
      <c r="BT130" s="1662" t="s">
        <v>3225</v>
      </c>
      <c r="BU130" s="1665">
        <v>30</v>
      </c>
      <c r="BV130" s="1665">
        <v>1891.44</v>
      </c>
      <c r="BW130" s="1664">
        <v>44478</v>
      </c>
      <c r="BX130" s="1668"/>
      <c r="BY130" s="1662" t="s">
        <v>2247</v>
      </c>
      <c r="BZ130" s="1662" t="s">
        <v>2858</v>
      </c>
      <c r="CA130" s="1662" t="s">
        <v>2858</v>
      </c>
      <c r="CB130" s="1662" t="s">
        <v>2859</v>
      </c>
      <c r="CC130" s="1662" t="s">
        <v>2993</v>
      </c>
      <c r="CD130" s="1724">
        <v>6816</v>
      </c>
      <c r="CE130" s="1724">
        <v>6816</v>
      </c>
      <c r="CF130" s="1724">
        <v>6304.8</v>
      </c>
      <c r="CG130" s="1724">
        <v>92.5</v>
      </c>
      <c r="CH130" s="1724">
        <v>511.2</v>
      </c>
      <c r="CI130" s="1724">
        <v>7.5</v>
      </c>
      <c r="CJ130" s="1724">
        <v>6816</v>
      </c>
      <c r="CK130" s="1724">
        <v>100</v>
      </c>
      <c r="CL130" s="1725" t="s">
        <v>2861</v>
      </c>
      <c r="CM130" s="1729">
        <v>43294</v>
      </c>
      <c r="CN130" s="1727"/>
      <c r="CO130" s="1728"/>
      <c r="CP130" s="1726"/>
      <c r="CQ130" s="1724">
        <v>6304.8</v>
      </c>
      <c r="CR130" s="1724">
        <v>5793.6</v>
      </c>
      <c r="CS130" s="1724">
        <v>511.2</v>
      </c>
      <c r="CT130" s="1728" t="s">
        <v>2861</v>
      </c>
      <c r="CU130" s="1729">
        <v>43306</v>
      </c>
      <c r="CV130" s="1724">
        <v>6816</v>
      </c>
      <c r="CW130" s="1724">
        <v>0</v>
      </c>
      <c r="CX130" s="1724">
        <v>0</v>
      </c>
      <c r="CY130" s="1724">
        <v>0</v>
      </c>
      <c r="CZ130" s="1724">
        <v>0</v>
      </c>
      <c r="DA130" s="1724">
        <v>5664.4</v>
      </c>
      <c r="DB130" s="1724">
        <v>0</v>
      </c>
      <c r="DC130" s="1724">
        <v>1151.5999999999999</v>
      </c>
      <c r="DD130" s="1724">
        <v>6816</v>
      </c>
      <c r="DE130" s="1724">
        <v>6304.8</v>
      </c>
      <c r="DF130" s="1724">
        <v>5793.6</v>
      </c>
      <c r="DG130" s="1724">
        <v>511.2</v>
      </c>
      <c r="DH130" s="1724">
        <v>511.2</v>
      </c>
      <c r="DI130" s="1724">
        <v>511.2</v>
      </c>
      <c r="DJ130" s="1724">
        <v>0</v>
      </c>
      <c r="DK130" s="1724">
        <v>0</v>
      </c>
      <c r="DL130" s="1724">
        <v>511.2</v>
      </c>
      <c r="DM130" s="1724">
        <v>0</v>
      </c>
      <c r="DN130" s="1724">
        <v>0</v>
      </c>
      <c r="DO130" s="1724">
        <v>0</v>
      </c>
      <c r="DP130" s="1724">
        <v>0</v>
      </c>
      <c r="DQ130" s="1728" t="s">
        <v>2886</v>
      </c>
      <c r="DR130" s="1724">
        <v>0</v>
      </c>
      <c r="DS130" s="1728" t="s">
        <v>2833</v>
      </c>
      <c r="DT130" s="1726"/>
      <c r="DU130" s="1728" t="s">
        <v>2833</v>
      </c>
      <c r="DV130" s="1726"/>
    </row>
    <row r="131" spans="1:126" ht="236.25" x14ac:dyDescent="0.25">
      <c r="A131" s="1662" t="s">
        <v>2171</v>
      </c>
      <c r="B131" s="1662" t="s">
        <v>1727</v>
      </c>
      <c r="C131" s="1662" t="s">
        <v>2642</v>
      </c>
      <c r="D131" s="1662" t="s">
        <v>2646</v>
      </c>
      <c r="E131" s="1662" t="s">
        <v>1208</v>
      </c>
      <c r="F131" s="1662" t="s">
        <v>3213</v>
      </c>
      <c r="G131" s="1662" t="s">
        <v>2647</v>
      </c>
      <c r="H131" s="1662" t="s">
        <v>2644</v>
      </c>
      <c r="I131" s="1662" t="s">
        <v>2645</v>
      </c>
      <c r="J131" s="1662" t="s">
        <v>1633</v>
      </c>
      <c r="K131" s="1664">
        <v>43278</v>
      </c>
      <c r="L131" s="1664">
        <v>43349</v>
      </c>
      <c r="M131" s="1662" t="s">
        <v>1224</v>
      </c>
      <c r="N131" s="1662" t="s">
        <v>2109</v>
      </c>
      <c r="O131" s="1662" t="s">
        <v>3226</v>
      </c>
      <c r="P131" s="1662" t="s">
        <v>2833</v>
      </c>
      <c r="Q131" s="1662" t="s">
        <v>1762</v>
      </c>
      <c r="R131" s="1662" t="s">
        <v>2833</v>
      </c>
      <c r="S131" s="1662" t="s">
        <v>2833</v>
      </c>
      <c r="T131" s="1662" t="s">
        <v>2861</v>
      </c>
      <c r="U131" s="1662" t="s">
        <v>3216</v>
      </c>
      <c r="V131" s="1662" t="s">
        <v>2833</v>
      </c>
      <c r="W131" s="1662" t="s">
        <v>2833</v>
      </c>
      <c r="X131" s="1662" t="s">
        <v>2833</v>
      </c>
      <c r="Y131" s="1662" t="s">
        <v>2833</v>
      </c>
      <c r="Z131" s="1662" t="s">
        <v>2833</v>
      </c>
      <c r="AA131" s="1662" t="s">
        <v>2833</v>
      </c>
      <c r="AB131" s="1662" t="s">
        <v>2833</v>
      </c>
      <c r="AC131" s="1662" t="s">
        <v>2833</v>
      </c>
      <c r="AD131" s="1662" t="s">
        <v>2833</v>
      </c>
      <c r="AE131" s="1662"/>
      <c r="AF131" s="1662" t="s">
        <v>3181</v>
      </c>
      <c r="AG131" s="1662" t="s">
        <v>3182</v>
      </c>
      <c r="AH131" s="1662" t="s">
        <v>3031</v>
      </c>
      <c r="AI131" s="1662" t="s">
        <v>2838</v>
      </c>
      <c r="AJ131" s="1662" t="s">
        <v>2839</v>
      </c>
      <c r="AK131" s="1662" t="s">
        <v>3158</v>
      </c>
      <c r="AL131" s="1662" t="s">
        <v>3159</v>
      </c>
      <c r="AM131" s="1665">
        <v>100</v>
      </c>
      <c r="AN131" s="1662"/>
      <c r="AO131" s="1662"/>
      <c r="AP131" s="1662"/>
      <c r="AQ131" s="1662"/>
      <c r="AR131" s="1662"/>
      <c r="AS131" s="1662"/>
      <c r="AT131" s="1662" t="s">
        <v>2946</v>
      </c>
      <c r="AU131" s="1662" t="s">
        <v>2842</v>
      </c>
      <c r="AV131" s="1662" t="s">
        <v>3105</v>
      </c>
      <c r="AW131" s="1662" t="s">
        <v>3160</v>
      </c>
      <c r="AX131" s="1662" t="s">
        <v>3183</v>
      </c>
      <c r="AY131" s="1662" t="s">
        <v>2874</v>
      </c>
      <c r="AZ131" s="1662" t="s">
        <v>284</v>
      </c>
      <c r="BA131" s="1662" t="s">
        <v>2896</v>
      </c>
      <c r="BB131" s="1662" t="s">
        <v>2833</v>
      </c>
      <c r="BC131" s="1662" t="s">
        <v>2876</v>
      </c>
      <c r="BD131" s="1662" t="s">
        <v>2849</v>
      </c>
      <c r="BE131" s="1662" t="s">
        <v>3022</v>
      </c>
      <c r="BF131" s="1662" t="s">
        <v>3227</v>
      </c>
      <c r="BG131" s="1662" t="s">
        <v>3024</v>
      </c>
      <c r="BH131" s="1662" t="s">
        <v>2050</v>
      </c>
      <c r="BI131" s="1662" t="s">
        <v>2881</v>
      </c>
      <c r="BJ131" s="1662" t="s">
        <v>2900</v>
      </c>
      <c r="BK131" s="1662" t="s">
        <v>2946</v>
      </c>
      <c r="BL131" s="1662" t="s">
        <v>2833</v>
      </c>
      <c r="BM131" s="1662" t="s">
        <v>2833</v>
      </c>
      <c r="BN131" s="1665">
        <v>0</v>
      </c>
      <c r="BO131" s="1664">
        <v>43349</v>
      </c>
      <c r="BP131" s="1664">
        <v>44445</v>
      </c>
      <c r="BQ131" s="1662" t="s">
        <v>3035</v>
      </c>
      <c r="BR131" s="1664">
        <v>47483</v>
      </c>
      <c r="BS131" s="1662" t="s">
        <v>2883</v>
      </c>
      <c r="BT131" s="1662" t="s">
        <v>3228</v>
      </c>
      <c r="BU131" s="1665">
        <v>30</v>
      </c>
      <c r="BV131" s="1665">
        <v>4350.8999999999996</v>
      </c>
      <c r="BW131" s="1664">
        <v>44505</v>
      </c>
      <c r="BX131" s="1668"/>
      <c r="BY131" s="1662" t="s">
        <v>2247</v>
      </c>
      <c r="BZ131" s="1662" t="s">
        <v>2858</v>
      </c>
      <c r="CA131" s="1662" t="s">
        <v>2858</v>
      </c>
      <c r="CB131" s="1662" t="s">
        <v>2859</v>
      </c>
      <c r="CC131" s="1662" t="s">
        <v>2993</v>
      </c>
      <c r="CD131" s="1724">
        <v>15679</v>
      </c>
      <c r="CE131" s="1724">
        <v>15679</v>
      </c>
      <c r="CF131" s="1724">
        <v>14503</v>
      </c>
      <c r="CG131" s="1724">
        <v>92.5</v>
      </c>
      <c r="CH131" s="1724">
        <v>1176</v>
      </c>
      <c r="CI131" s="1724">
        <v>7.5</v>
      </c>
      <c r="CJ131" s="1724">
        <v>15679</v>
      </c>
      <c r="CK131" s="1724">
        <v>100</v>
      </c>
      <c r="CL131" s="1725" t="s">
        <v>2861</v>
      </c>
      <c r="CM131" s="1729">
        <v>43326</v>
      </c>
      <c r="CN131" s="1727"/>
      <c r="CO131" s="1728"/>
      <c r="CP131" s="1726"/>
      <c r="CQ131" s="1724">
        <v>14503</v>
      </c>
      <c r="CR131" s="1724">
        <v>13327</v>
      </c>
      <c r="CS131" s="1724">
        <v>1176</v>
      </c>
      <c r="CT131" s="1728" t="s">
        <v>2861</v>
      </c>
      <c r="CU131" s="1729">
        <v>43334</v>
      </c>
      <c r="CV131" s="1724">
        <v>15679</v>
      </c>
      <c r="CW131" s="1724">
        <v>0</v>
      </c>
      <c r="CX131" s="1724">
        <v>0</v>
      </c>
      <c r="CY131" s="1724">
        <v>0</v>
      </c>
      <c r="CZ131" s="1724">
        <v>0</v>
      </c>
      <c r="DA131" s="1724">
        <v>14000</v>
      </c>
      <c r="DB131" s="1724">
        <v>0</v>
      </c>
      <c r="DC131" s="1724">
        <v>1679</v>
      </c>
      <c r="DD131" s="1724">
        <v>15679</v>
      </c>
      <c r="DE131" s="1724">
        <v>14503</v>
      </c>
      <c r="DF131" s="1724">
        <v>13327</v>
      </c>
      <c r="DG131" s="1724">
        <v>1176</v>
      </c>
      <c r="DH131" s="1724">
        <v>1176</v>
      </c>
      <c r="DI131" s="1724">
        <v>1176</v>
      </c>
      <c r="DJ131" s="1724">
        <v>0</v>
      </c>
      <c r="DK131" s="1724">
        <v>1176</v>
      </c>
      <c r="DL131" s="1724">
        <v>0</v>
      </c>
      <c r="DM131" s="1724">
        <v>0</v>
      </c>
      <c r="DN131" s="1724">
        <v>0</v>
      </c>
      <c r="DO131" s="1724">
        <v>0</v>
      </c>
      <c r="DP131" s="1724">
        <v>0</v>
      </c>
      <c r="DQ131" s="1728" t="s">
        <v>2886</v>
      </c>
      <c r="DR131" s="1724">
        <v>0</v>
      </c>
      <c r="DS131" s="1728" t="s">
        <v>2833</v>
      </c>
      <c r="DT131" s="1726"/>
      <c r="DU131" s="1728" t="s">
        <v>2833</v>
      </c>
      <c r="DV131" s="1726"/>
    </row>
    <row r="132" spans="1:126" ht="168.75" x14ac:dyDescent="0.25">
      <c r="A132" s="1662" t="s">
        <v>2172</v>
      </c>
      <c r="B132" s="1662" t="s">
        <v>1727</v>
      </c>
      <c r="C132" s="1662" t="s">
        <v>2642</v>
      </c>
      <c r="D132" s="1662" t="s">
        <v>2646</v>
      </c>
      <c r="E132" s="1662" t="s">
        <v>1208</v>
      </c>
      <c r="F132" s="1662" t="s">
        <v>3213</v>
      </c>
      <c r="G132" s="1662" t="s">
        <v>2647</v>
      </c>
      <c r="H132" s="1662" t="s">
        <v>2644</v>
      </c>
      <c r="I132" s="1662" t="s">
        <v>2645</v>
      </c>
      <c r="J132" s="1662" t="s">
        <v>1634</v>
      </c>
      <c r="K132" s="1664">
        <v>43280</v>
      </c>
      <c r="L132" s="1664">
        <v>43409</v>
      </c>
      <c r="M132" s="1662" t="s">
        <v>3229</v>
      </c>
      <c r="N132" s="1662" t="s">
        <v>3230</v>
      </c>
      <c r="O132" s="1662" t="s">
        <v>3231</v>
      </c>
      <c r="P132" s="1662" t="s">
        <v>2833</v>
      </c>
      <c r="Q132" s="1662" t="s">
        <v>1768</v>
      </c>
      <c r="R132" s="1662" t="s">
        <v>2833</v>
      </c>
      <c r="S132" s="1662" t="s">
        <v>2833</v>
      </c>
      <c r="T132" s="1662" t="s">
        <v>2861</v>
      </c>
      <c r="U132" s="1662" t="s">
        <v>3216</v>
      </c>
      <c r="V132" s="1662" t="s">
        <v>2833</v>
      </c>
      <c r="W132" s="1662" t="s">
        <v>2833</v>
      </c>
      <c r="X132" s="1662" t="s">
        <v>2833</v>
      </c>
      <c r="Y132" s="1662" t="s">
        <v>2833</v>
      </c>
      <c r="Z132" s="1662" t="s">
        <v>2833</v>
      </c>
      <c r="AA132" s="1662" t="s">
        <v>2833</v>
      </c>
      <c r="AB132" s="1662" t="s">
        <v>2833</v>
      </c>
      <c r="AC132" s="1662" t="s">
        <v>2833</v>
      </c>
      <c r="AD132" s="1662" t="s">
        <v>2833</v>
      </c>
      <c r="AE132" s="1662"/>
      <c r="AF132" s="1662" t="s">
        <v>3181</v>
      </c>
      <c r="AG132" s="1662" t="s">
        <v>3182</v>
      </c>
      <c r="AH132" s="1662" t="s">
        <v>3031</v>
      </c>
      <c r="AI132" s="1662" t="s">
        <v>2838</v>
      </c>
      <c r="AJ132" s="1662" t="s">
        <v>2839</v>
      </c>
      <c r="AK132" s="1662" t="s">
        <v>3158</v>
      </c>
      <c r="AL132" s="1662" t="s">
        <v>3159</v>
      </c>
      <c r="AM132" s="1665">
        <v>100</v>
      </c>
      <c r="AN132" s="1662"/>
      <c r="AO132" s="1662"/>
      <c r="AP132" s="1662"/>
      <c r="AQ132" s="1662"/>
      <c r="AR132" s="1662"/>
      <c r="AS132" s="1662"/>
      <c r="AT132" s="1662" t="s">
        <v>2946</v>
      </c>
      <c r="AU132" s="1662" t="s">
        <v>2842</v>
      </c>
      <c r="AV132" s="1662" t="s">
        <v>3105</v>
      </c>
      <c r="AW132" s="1662" t="s">
        <v>3160</v>
      </c>
      <c r="AX132" s="1662" t="s">
        <v>3183</v>
      </c>
      <c r="AY132" s="1662" t="s">
        <v>2874</v>
      </c>
      <c r="AZ132" s="1662" t="s">
        <v>3232</v>
      </c>
      <c r="BA132" s="1662" t="s">
        <v>3233</v>
      </c>
      <c r="BB132" s="1662" t="s">
        <v>2833</v>
      </c>
      <c r="BC132" s="1662" t="s">
        <v>2848</v>
      </c>
      <c r="BD132" s="1662" t="s">
        <v>2849</v>
      </c>
      <c r="BE132" s="1662" t="s">
        <v>3234</v>
      </c>
      <c r="BF132" s="1662" t="s">
        <v>3235</v>
      </c>
      <c r="BG132" s="1662" t="s">
        <v>3236</v>
      </c>
      <c r="BH132" s="1662" t="s">
        <v>2880</v>
      </c>
      <c r="BI132" s="1662" t="s">
        <v>2881</v>
      </c>
      <c r="BJ132" s="1662" t="s">
        <v>2908</v>
      </c>
      <c r="BK132" s="1662" t="s">
        <v>2946</v>
      </c>
      <c r="BL132" s="1662" t="s">
        <v>2833</v>
      </c>
      <c r="BM132" s="1662" t="s">
        <v>2833</v>
      </c>
      <c r="BN132" s="1665">
        <v>0</v>
      </c>
      <c r="BO132" s="1664">
        <v>43409</v>
      </c>
      <c r="BP132" s="1664">
        <v>44686</v>
      </c>
      <c r="BQ132" s="1662" t="s">
        <v>3035</v>
      </c>
      <c r="BR132" s="1664">
        <v>47483</v>
      </c>
      <c r="BS132" s="1662" t="s">
        <v>3205</v>
      </c>
      <c r="BT132" s="1662" t="s">
        <v>3237</v>
      </c>
      <c r="BU132" s="1665">
        <v>30</v>
      </c>
      <c r="BV132" s="1665">
        <v>2899.28</v>
      </c>
      <c r="BW132" s="1664">
        <v>44746</v>
      </c>
      <c r="BX132" s="1668"/>
      <c r="BY132" s="1662" t="s">
        <v>2247</v>
      </c>
      <c r="BZ132" s="1662" t="s">
        <v>2858</v>
      </c>
      <c r="CA132" s="1662" t="s">
        <v>2858</v>
      </c>
      <c r="CB132" s="1662" t="s">
        <v>2859</v>
      </c>
      <c r="CC132" s="1662" t="s">
        <v>2993</v>
      </c>
      <c r="CD132" s="1724">
        <v>10453</v>
      </c>
      <c r="CE132" s="1724">
        <v>10453</v>
      </c>
      <c r="CF132" s="1724">
        <v>9664.25</v>
      </c>
      <c r="CG132" s="1724">
        <v>92.45</v>
      </c>
      <c r="CH132" s="1724">
        <v>788.75</v>
      </c>
      <c r="CI132" s="1724">
        <v>7.55</v>
      </c>
      <c r="CJ132" s="1724">
        <v>10453</v>
      </c>
      <c r="CK132" s="1724">
        <v>100</v>
      </c>
      <c r="CL132" s="1725" t="s">
        <v>2861</v>
      </c>
      <c r="CM132" s="1729">
        <v>43378</v>
      </c>
      <c r="CN132" s="1727"/>
      <c r="CO132" s="1728"/>
      <c r="CP132" s="1726"/>
      <c r="CQ132" s="1724">
        <v>9664.25</v>
      </c>
      <c r="CR132" s="1724">
        <v>8214.61</v>
      </c>
      <c r="CS132" s="1724">
        <v>1449.64</v>
      </c>
      <c r="CT132" s="1728" t="s">
        <v>2861</v>
      </c>
      <c r="CU132" s="1729">
        <v>43388</v>
      </c>
      <c r="CV132" s="1724">
        <v>10453</v>
      </c>
      <c r="CW132" s="1724">
        <v>0</v>
      </c>
      <c r="CX132" s="1724">
        <v>0</v>
      </c>
      <c r="CY132" s="1724">
        <v>0</v>
      </c>
      <c r="CZ132" s="1724">
        <v>0</v>
      </c>
      <c r="DA132" s="1724">
        <v>8432.75</v>
      </c>
      <c r="DB132" s="1724">
        <v>0</v>
      </c>
      <c r="DC132" s="1724">
        <v>2020.25</v>
      </c>
      <c r="DD132" s="1724">
        <v>10453</v>
      </c>
      <c r="DE132" s="1724">
        <v>9664.25</v>
      </c>
      <c r="DF132" s="1724">
        <v>8214.61</v>
      </c>
      <c r="DG132" s="1724">
        <v>1449.64</v>
      </c>
      <c r="DH132" s="1724">
        <v>788.75</v>
      </c>
      <c r="DI132" s="1724">
        <v>788.75</v>
      </c>
      <c r="DJ132" s="1724">
        <v>0</v>
      </c>
      <c r="DK132" s="1724">
        <v>0</v>
      </c>
      <c r="DL132" s="1724">
        <v>788.75</v>
      </c>
      <c r="DM132" s="1724">
        <v>0</v>
      </c>
      <c r="DN132" s="1724">
        <v>0</v>
      </c>
      <c r="DO132" s="1724">
        <v>0</v>
      </c>
      <c r="DP132" s="1724">
        <v>0</v>
      </c>
      <c r="DQ132" s="1728" t="s">
        <v>2886</v>
      </c>
      <c r="DR132" s="1724">
        <v>0</v>
      </c>
      <c r="DS132" s="1728" t="s">
        <v>2833</v>
      </c>
      <c r="DT132" s="1726"/>
      <c r="DU132" s="1728" t="s">
        <v>2833</v>
      </c>
      <c r="DV132" s="1726"/>
    </row>
    <row r="133" spans="1:126" ht="101.25" x14ac:dyDescent="0.25">
      <c r="A133" s="1662" t="s">
        <v>2173</v>
      </c>
      <c r="B133" s="1662" t="s">
        <v>1727</v>
      </c>
      <c r="C133" s="1662" t="s">
        <v>2642</v>
      </c>
      <c r="D133" s="1662" t="s">
        <v>2646</v>
      </c>
      <c r="E133" s="1662" t="s">
        <v>1208</v>
      </c>
      <c r="F133" s="1662" t="s">
        <v>3213</v>
      </c>
      <c r="G133" s="1662" t="s">
        <v>2647</v>
      </c>
      <c r="H133" s="1662" t="s">
        <v>2644</v>
      </c>
      <c r="I133" s="1662" t="s">
        <v>2645</v>
      </c>
      <c r="J133" s="1662" t="s">
        <v>1648</v>
      </c>
      <c r="K133" s="1664">
        <v>43285</v>
      </c>
      <c r="L133" s="1664">
        <v>43353</v>
      </c>
      <c r="M133" s="1662" t="s">
        <v>1207</v>
      </c>
      <c r="N133" s="1662" t="s">
        <v>2109</v>
      </c>
      <c r="O133" s="1662" t="s">
        <v>3238</v>
      </c>
      <c r="P133" s="1662" t="s">
        <v>2833</v>
      </c>
      <c r="Q133" s="1662" t="s">
        <v>1762</v>
      </c>
      <c r="R133" s="1662" t="s">
        <v>2833</v>
      </c>
      <c r="S133" s="1662" t="s">
        <v>2833</v>
      </c>
      <c r="T133" s="1662" t="s">
        <v>2861</v>
      </c>
      <c r="U133" s="1662" t="s">
        <v>3216</v>
      </c>
      <c r="V133" s="1662" t="s">
        <v>2833</v>
      </c>
      <c r="W133" s="1662" t="s">
        <v>2833</v>
      </c>
      <c r="X133" s="1662" t="s">
        <v>2833</v>
      </c>
      <c r="Y133" s="1662" t="s">
        <v>2833</v>
      </c>
      <c r="Z133" s="1662" t="s">
        <v>2833</v>
      </c>
      <c r="AA133" s="1662" t="s">
        <v>2833</v>
      </c>
      <c r="AB133" s="1662" t="s">
        <v>2833</v>
      </c>
      <c r="AC133" s="1662" t="s">
        <v>2833</v>
      </c>
      <c r="AD133" s="1662" t="s">
        <v>2833</v>
      </c>
      <c r="AE133" s="1662"/>
      <c r="AF133" s="1662" t="s">
        <v>3181</v>
      </c>
      <c r="AG133" s="1662" t="s">
        <v>3182</v>
      </c>
      <c r="AH133" s="1662" t="s">
        <v>3031</v>
      </c>
      <c r="AI133" s="1662" t="s">
        <v>2838</v>
      </c>
      <c r="AJ133" s="1662" t="s">
        <v>2839</v>
      </c>
      <c r="AK133" s="1662" t="s">
        <v>3158</v>
      </c>
      <c r="AL133" s="1662" t="s">
        <v>3159</v>
      </c>
      <c r="AM133" s="1665">
        <v>100</v>
      </c>
      <c r="AN133" s="1662"/>
      <c r="AO133" s="1662"/>
      <c r="AP133" s="1662"/>
      <c r="AQ133" s="1662"/>
      <c r="AR133" s="1662"/>
      <c r="AS133" s="1662"/>
      <c r="AT133" s="1662" t="s">
        <v>2870</v>
      </c>
      <c r="AU133" s="1662" t="s">
        <v>2842</v>
      </c>
      <c r="AV133" s="1662" t="s">
        <v>3105</v>
      </c>
      <c r="AW133" s="1662" t="s">
        <v>3160</v>
      </c>
      <c r="AX133" s="1662" t="s">
        <v>3183</v>
      </c>
      <c r="AY133" s="1662" t="s">
        <v>2874</v>
      </c>
      <c r="AZ133" s="1662" t="s">
        <v>350</v>
      </c>
      <c r="BA133" s="1662" t="s">
        <v>2875</v>
      </c>
      <c r="BB133" s="1662" t="s">
        <v>2833</v>
      </c>
      <c r="BC133" s="1662" t="s">
        <v>2876</v>
      </c>
      <c r="BD133" s="1662" t="s">
        <v>2849</v>
      </c>
      <c r="BE133" s="1662" t="s">
        <v>2877</v>
      </c>
      <c r="BF133" s="1662" t="s">
        <v>3184</v>
      </c>
      <c r="BG133" s="1662" t="s">
        <v>3019</v>
      </c>
      <c r="BH133" s="1662" t="s">
        <v>2050</v>
      </c>
      <c r="BI133" s="1662" t="s">
        <v>2881</v>
      </c>
      <c r="BJ133" s="1662" t="s">
        <v>2882</v>
      </c>
      <c r="BK133" s="1662" t="s">
        <v>2870</v>
      </c>
      <c r="BL133" s="1662" t="s">
        <v>2833</v>
      </c>
      <c r="BM133" s="1662" t="s">
        <v>2833</v>
      </c>
      <c r="BN133" s="1665">
        <v>0</v>
      </c>
      <c r="BO133" s="1664">
        <v>43353</v>
      </c>
      <c r="BP133" s="1664">
        <v>44449</v>
      </c>
      <c r="BQ133" s="1662" t="s">
        <v>3035</v>
      </c>
      <c r="BR133" s="1664">
        <v>47483</v>
      </c>
      <c r="BS133" s="1662" t="s">
        <v>3239</v>
      </c>
      <c r="BT133" s="1662" t="s">
        <v>3240</v>
      </c>
      <c r="BU133" s="1665">
        <v>30</v>
      </c>
      <c r="BV133" s="1665">
        <v>4728.93</v>
      </c>
      <c r="BW133" s="1664">
        <v>44509</v>
      </c>
      <c r="BX133" s="1668"/>
      <c r="BY133" s="1662" t="s">
        <v>2247</v>
      </c>
      <c r="BZ133" s="1662" t="s">
        <v>2858</v>
      </c>
      <c r="CA133" s="1662" t="s">
        <v>2858</v>
      </c>
      <c r="CB133" s="1662" t="s">
        <v>2859</v>
      </c>
      <c r="CC133" s="1662" t="s">
        <v>2993</v>
      </c>
      <c r="CD133" s="1724">
        <v>17041.18</v>
      </c>
      <c r="CE133" s="1724">
        <v>17041.18</v>
      </c>
      <c r="CF133" s="1724">
        <v>15763.09</v>
      </c>
      <c r="CG133" s="1724">
        <v>92.5</v>
      </c>
      <c r="CH133" s="1724">
        <v>1278.0899999999999</v>
      </c>
      <c r="CI133" s="1724">
        <v>7.5</v>
      </c>
      <c r="CJ133" s="1724">
        <v>17041.18</v>
      </c>
      <c r="CK133" s="1724">
        <v>100</v>
      </c>
      <c r="CL133" s="1725" t="s">
        <v>2861</v>
      </c>
      <c r="CM133" s="1729">
        <v>43315</v>
      </c>
      <c r="CN133" s="1727"/>
      <c r="CO133" s="1728"/>
      <c r="CP133" s="1726"/>
      <c r="CQ133" s="1724">
        <v>15763.09</v>
      </c>
      <c r="CR133" s="1724">
        <v>14485.09</v>
      </c>
      <c r="CS133" s="1724">
        <v>1278</v>
      </c>
      <c r="CT133" s="1728" t="s">
        <v>2861</v>
      </c>
      <c r="CU133" s="1729">
        <v>43329</v>
      </c>
      <c r="CV133" s="1724">
        <v>17041.18</v>
      </c>
      <c r="CW133" s="1724">
        <v>0</v>
      </c>
      <c r="CX133" s="1724">
        <v>0</v>
      </c>
      <c r="CY133" s="1724">
        <v>0</v>
      </c>
      <c r="CZ133" s="1724">
        <v>0</v>
      </c>
      <c r="DA133" s="1724">
        <v>16723.2</v>
      </c>
      <c r="DB133" s="1724">
        <v>0</v>
      </c>
      <c r="DC133" s="1724">
        <v>317.98</v>
      </c>
      <c r="DD133" s="1724">
        <v>17041.18</v>
      </c>
      <c r="DE133" s="1724">
        <v>15763.09</v>
      </c>
      <c r="DF133" s="1724">
        <v>14485.09</v>
      </c>
      <c r="DG133" s="1724">
        <v>1278</v>
      </c>
      <c r="DH133" s="1724">
        <v>1278.0899999999999</v>
      </c>
      <c r="DI133" s="1724">
        <v>1278.0899999999999</v>
      </c>
      <c r="DJ133" s="1724">
        <v>0</v>
      </c>
      <c r="DK133" s="1724">
        <v>1278.0899999999999</v>
      </c>
      <c r="DL133" s="1724">
        <v>0</v>
      </c>
      <c r="DM133" s="1724">
        <v>0</v>
      </c>
      <c r="DN133" s="1724">
        <v>0</v>
      </c>
      <c r="DO133" s="1724">
        <v>0</v>
      </c>
      <c r="DP133" s="1724">
        <v>0</v>
      </c>
      <c r="DQ133" s="1728" t="s">
        <v>2886</v>
      </c>
      <c r="DR133" s="1724">
        <v>0</v>
      </c>
      <c r="DS133" s="1728" t="s">
        <v>2833</v>
      </c>
      <c r="DT133" s="1726"/>
      <c r="DU133" s="1728" t="s">
        <v>2833</v>
      </c>
      <c r="DV133" s="1726"/>
    </row>
    <row r="134" spans="1:126" x14ac:dyDescent="0.25">
      <c r="A134" s="1662" t="s">
        <v>2174</v>
      </c>
      <c r="B134" s="1662" t="s">
        <v>1727</v>
      </c>
      <c r="C134" s="1662" t="s">
        <v>2648</v>
      </c>
      <c r="D134" s="1662"/>
      <c r="E134" s="1662"/>
      <c r="F134" s="1662"/>
      <c r="G134" s="1662"/>
      <c r="H134" s="1662"/>
      <c r="I134" s="1662"/>
      <c r="J134" s="1662"/>
      <c r="K134" s="1668"/>
      <c r="L134" s="1668"/>
      <c r="M134" s="1662"/>
      <c r="N134" s="1662"/>
      <c r="O134" s="1662"/>
      <c r="P134" s="1662"/>
      <c r="Q134" s="1662"/>
      <c r="R134" s="1662"/>
      <c r="S134" s="1662"/>
      <c r="T134" s="1662"/>
      <c r="U134" s="1662"/>
      <c r="V134" s="1662"/>
      <c r="W134" s="1662"/>
      <c r="X134" s="1662"/>
      <c r="Y134" s="1662"/>
      <c r="Z134" s="1662"/>
      <c r="AA134" s="1662"/>
      <c r="AB134" s="1662"/>
      <c r="AC134" s="1662"/>
      <c r="AD134" s="1662"/>
      <c r="AE134" s="1662"/>
      <c r="AF134" s="1662"/>
      <c r="AG134" s="1662"/>
      <c r="AH134" s="1662"/>
      <c r="AI134" s="1662"/>
      <c r="AJ134" s="1662"/>
      <c r="AK134" s="1662"/>
      <c r="AL134" s="1662"/>
      <c r="AM134" s="1663"/>
      <c r="AN134" s="1662"/>
      <c r="AO134" s="1662"/>
      <c r="AP134" s="1662"/>
      <c r="AQ134" s="1662"/>
      <c r="AR134" s="1662"/>
      <c r="AS134" s="1662"/>
      <c r="AT134" s="1662"/>
      <c r="AU134" s="1662"/>
      <c r="AV134" s="1662"/>
      <c r="AW134" s="1662"/>
      <c r="AX134" s="1662"/>
      <c r="AY134" s="1662"/>
      <c r="AZ134" s="1662"/>
      <c r="BA134" s="1662"/>
      <c r="BB134" s="1662"/>
      <c r="BC134" s="1662"/>
      <c r="BD134" s="1662"/>
      <c r="BE134" s="1662"/>
      <c r="BF134" s="1662"/>
      <c r="BG134" s="1662"/>
      <c r="BH134" s="1662"/>
      <c r="BI134" s="1662"/>
      <c r="BJ134" s="1662"/>
      <c r="BK134" s="1662"/>
      <c r="BL134" s="1662"/>
      <c r="BM134" s="1662"/>
      <c r="BN134" s="1663"/>
      <c r="BO134" s="1668"/>
      <c r="BP134" s="1668"/>
      <c r="BQ134" s="1662"/>
      <c r="BR134" s="1668"/>
      <c r="BS134" s="1662"/>
      <c r="BT134" s="1662"/>
      <c r="BU134" s="1663"/>
      <c r="BV134" s="1665">
        <v>32693.759999999998</v>
      </c>
      <c r="BW134" s="1668"/>
      <c r="BX134" s="1668"/>
      <c r="BY134" s="1662"/>
      <c r="BZ134" s="1662"/>
      <c r="CA134" s="1662"/>
      <c r="CB134" s="1662"/>
      <c r="CC134" s="1662"/>
      <c r="CD134" s="1724">
        <v>162951</v>
      </c>
      <c r="CE134" s="1724">
        <v>162951</v>
      </c>
      <c r="CF134" s="1724">
        <v>111122.06</v>
      </c>
      <c r="CG134" s="1724">
        <v>68.19</v>
      </c>
      <c r="CH134" s="1724">
        <v>51828.94</v>
      </c>
      <c r="CI134" s="1724">
        <v>31.81</v>
      </c>
      <c r="CJ134" s="1724">
        <v>162951</v>
      </c>
      <c r="CK134" s="1724">
        <v>100</v>
      </c>
      <c r="CL134" s="1725"/>
      <c r="CM134" s="1726"/>
      <c r="CN134" s="1727"/>
      <c r="CO134" s="1728"/>
      <c r="CP134" s="1726"/>
      <c r="CQ134" s="1724">
        <v>111122.06</v>
      </c>
      <c r="CR134" s="1724">
        <v>102112.16</v>
      </c>
      <c r="CS134" s="1724">
        <v>9009.9</v>
      </c>
      <c r="CT134" s="1728"/>
      <c r="CU134" s="1726"/>
      <c r="CV134" s="1724">
        <v>162951</v>
      </c>
      <c r="CW134" s="1724">
        <v>0</v>
      </c>
      <c r="CX134" s="1724">
        <v>0</v>
      </c>
      <c r="CY134" s="1724">
        <v>0</v>
      </c>
      <c r="CZ134" s="1724">
        <v>34635.29</v>
      </c>
      <c r="DA134" s="1724">
        <v>96765.19</v>
      </c>
      <c r="DB134" s="1724">
        <v>120.58</v>
      </c>
      <c r="DC134" s="1724">
        <v>31429.94</v>
      </c>
      <c r="DD134" s="1724">
        <v>111122.06</v>
      </c>
      <c r="DE134" s="1724">
        <v>111122.06</v>
      </c>
      <c r="DF134" s="1724">
        <v>102112.16</v>
      </c>
      <c r="DG134" s="1724">
        <v>9009.9</v>
      </c>
      <c r="DH134" s="1724">
        <v>51828.94</v>
      </c>
      <c r="DI134" s="1724">
        <v>0</v>
      </c>
      <c r="DJ134" s="1724">
        <v>0</v>
      </c>
      <c r="DK134" s="1724">
        <v>0</v>
      </c>
      <c r="DL134" s="1724">
        <v>0</v>
      </c>
      <c r="DM134" s="1724">
        <v>51828.94</v>
      </c>
      <c r="DN134" s="1724">
        <v>51828.94</v>
      </c>
      <c r="DO134" s="1724">
        <v>0</v>
      </c>
      <c r="DP134" s="1724">
        <v>0</v>
      </c>
      <c r="DQ134" s="1728"/>
      <c r="DR134" s="1727"/>
      <c r="DS134" s="1728"/>
      <c r="DT134" s="1726"/>
      <c r="DU134" s="1728"/>
      <c r="DV134" s="1726"/>
    </row>
    <row r="135" spans="1:126" ht="22.5" x14ac:dyDescent="0.25">
      <c r="A135" s="1662" t="s">
        <v>2175</v>
      </c>
      <c r="B135" s="1662" t="s">
        <v>1727</v>
      </c>
      <c r="C135" s="1662" t="s">
        <v>2648</v>
      </c>
      <c r="D135" s="1662" t="s">
        <v>2649</v>
      </c>
      <c r="E135" s="1662"/>
      <c r="F135" s="1662"/>
      <c r="G135" s="1662"/>
      <c r="H135" s="1662"/>
      <c r="I135" s="1662"/>
      <c r="J135" s="1662"/>
      <c r="K135" s="1668"/>
      <c r="L135" s="1668"/>
      <c r="M135" s="1662"/>
      <c r="N135" s="1662"/>
      <c r="O135" s="1662"/>
      <c r="P135" s="1662"/>
      <c r="Q135" s="1662"/>
      <c r="R135" s="1662"/>
      <c r="S135" s="1662"/>
      <c r="T135" s="1662"/>
      <c r="U135" s="1662"/>
      <c r="V135" s="1662"/>
      <c r="W135" s="1662"/>
      <c r="X135" s="1662"/>
      <c r="Y135" s="1662"/>
      <c r="Z135" s="1662"/>
      <c r="AA135" s="1662"/>
      <c r="AB135" s="1662"/>
      <c r="AC135" s="1662"/>
      <c r="AD135" s="1662"/>
      <c r="AE135" s="1662"/>
      <c r="AF135" s="1662"/>
      <c r="AG135" s="1662"/>
      <c r="AH135" s="1662"/>
      <c r="AI135" s="1662"/>
      <c r="AJ135" s="1662"/>
      <c r="AK135" s="1662"/>
      <c r="AL135" s="1662"/>
      <c r="AM135" s="1663"/>
      <c r="AN135" s="1662"/>
      <c r="AO135" s="1662"/>
      <c r="AP135" s="1662"/>
      <c r="AQ135" s="1662"/>
      <c r="AR135" s="1662"/>
      <c r="AS135" s="1662"/>
      <c r="AT135" s="1662"/>
      <c r="AU135" s="1662"/>
      <c r="AV135" s="1662"/>
      <c r="AW135" s="1662"/>
      <c r="AX135" s="1662"/>
      <c r="AY135" s="1662"/>
      <c r="AZ135" s="1662"/>
      <c r="BA135" s="1662"/>
      <c r="BB135" s="1662"/>
      <c r="BC135" s="1662"/>
      <c r="BD135" s="1662"/>
      <c r="BE135" s="1662"/>
      <c r="BF135" s="1662"/>
      <c r="BG135" s="1662"/>
      <c r="BH135" s="1662"/>
      <c r="BI135" s="1662"/>
      <c r="BJ135" s="1662"/>
      <c r="BK135" s="1662"/>
      <c r="BL135" s="1662"/>
      <c r="BM135" s="1662"/>
      <c r="BN135" s="1663"/>
      <c r="BO135" s="1668"/>
      <c r="BP135" s="1668"/>
      <c r="BQ135" s="1662"/>
      <c r="BR135" s="1668"/>
      <c r="BS135" s="1662"/>
      <c r="BT135" s="1662"/>
      <c r="BU135" s="1663"/>
      <c r="BV135" s="1665">
        <v>32693.759999999998</v>
      </c>
      <c r="BW135" s="1668"/>
      <c r="BX135" s="1668"/>
      <c r="BY135" s="1662"/>
      <c r="BZ135" s="1662"/>
      <c r="CA135" s="1662"/>
      <c r="CB135" s="1662"/>
      <c r="CC135" s="1662"/>
      <c r="CD135" s="1724">
        <v>162951</v>
      </c>
      <c r="CE135" s="1724">
        <v>162951</v>
      </c>
      <c r="CF135" s="1724">
        <v>111122.06</v>
      </c>
      <c r="CG135" s="1724">
        <v>68.19</v>
      </c>
      <c r="CH135" s="1724">
        <v>51828.94</v>
      </c>
      <c r="CI135" s="1724">
        <v>31.81</v>
      </c>
      <c r="CJ135" s="1724">
        <v>162951</v>
      </c>
      <c r="CK135" s="1724">
        <v>100</v>
      </c>
      <c r="CL135" s="1725"/>
      <c r="CM135" s="1726"/>
      <c r="CN135" s="1727"/>
      <c r="CO135" s="1728"/>
      <c r="CP135" s="1726"/>
      <c r="CQ135" s="1724">
        <v>111122.06</v>
      </c>
      <c r="CR135" s="1724">
        <v>102112.16</v>
      </c>
      <c r="CS135" s="1724">
        <v>9009.9</v>
      </c>
      <c r="CT135" s="1728"/>
      <c r="CU135" s="1726"/>
      <c r="CV135" s="1724">
        <v>162951</v>
      </c>
      <c r="CW135" s="1724">
        <v>0</v>
      </c>
      <c r="CX135" s="1724">
        <v>0</v>
      </c>
      <c r="CY135" s="1724">
        <v>0</v>
      </c>
      <c r="CZ135" s="1724">
        <v>34635.29</v>
      </c>
      <c r="DA135" s="1724">
        <v>96765.19</v>
      </c>
      <c r="DB135" s="1724">
        <v>120.58</v>
      </c>
      <c r="DC135" s="1724">
        <v>31429.94</v>
      </c>
      <c r="DD135" s="1724">
        <v>111122.06</v>
      </c>
      <c r="DE135" s="1724">
        <v>111122.06</v>
      </c>
      <c r="DF135" s="1724">
        <v>102112.16</v>
      </c>
      <c r="DG135" s="1724">
        <v>9009.9</v>
      </c>
      <c r="DH135" s="1724">
        <v>51828.94</v>
      </c>
      <c r="DI135" s="1724">
        <v>0</v>
      </c>
      <c r="DJ135" s="1724">
        <v>0</v>
      </c>
      <c r="DK135" s="1724">
        <v>0</v>
      </c>
      <c r="DL135" s="1724">
        <v>0</v>
      </c>
      <c r="DM135" s="1724">
        <v>51828.94</v>
      </c>
      <c r="DN135" s="1724">
        <v>51828.94</v>
      </c>
      <c r="DO135" s="1724">
        <v>0</v>
      </c>
      <c r="DP135" s="1724">
        <v>0</v>
      </c>
      <c r="DQ135" s="1728"/>
      <c r="DR135" s="1727"/>
      <c r="DS135" s="1728"/>
      <c r="DT135" s="1726"/>
      <c r="DU135" s="1728"/>
      <c r="DV135" s="1726"/>
    </row>
    <row r="136" spans="1:126" ht="22.5" x14ac:dyDescent="0.25">
      <c r="A136" s="1662" t="s">
        <v>2176</v>
      </c>
      <c r="B136" s="1662" t="s">
        <v>1727</v>
      </c>
      <c r="C136" s="1662" t="s">
        <v>2648</v>
      </c>
      <c r="D136" s="1662" t="s">
        <v>2649</v>
      </c>
      <c r="E136" s="1662" t="s">
        <v>2444</v>
      </c>
      <c r="F136" s="1662" t="s">
        <v>3241</v>
      </c>
      <c r="G136" s="1662"/>
      <c r="H136" s="1662"/>
      <c r="I136" s="1662"/>
      <c r="J136" s="1662"/>
      <c r="K136" s="1668"/>
      <c r="L136" s="1668"/>
      <c r="M136" s="1662"/>
      <c r="N136" s="1662"/>
      <c r="O136" s="1662"/>
      <c r="P136" s="1662"/>
      <c r="Q136" s="1662"/>
      <c r="R136" s="1662"/>
      <c r="S136" s="1662"/>
      <c r="T136" s="1662"/>
      <c r="U136" s="1662"/>
      <c r="V136" s="1662"/>
      <c r="W136" s="1662"/>
      <c r="X136" s="1662"/>
      <c r="Y136" s="1662"/>
      <c r="Z136" s="1662"/>
      <c r="AA136" s="1662"/>
      <c r="AB136" s="1662"/>
      <c r="AC136" s="1662"/>
      <c r="AD136" s="1662"/>
      <c r="AE136" s="1662"/>
      <c r="AF136" s="1662"/>
      <c r="AG136" s="1662"/>
      <c r="AH136" s="1662"/>
      <c r="AI136" s="1662"/>
      <c r="AJ136" s="1662"/>
      <c r="AK136" s="1662"/>
      <c r="AL136" s="1662"/>
      <c r="AM136" s="1663"/>
      <c r="AN136" s="1662"/>
      <c r="AO136" s="1662"/>
      <c r="AP136" s="1662"/>
      <c r="AQ136" s="1662"/>
      <c r="AR136" s="1662"/>
      <c r="AS136" s="1662"/>
      <c r="AT136" s="1662"/>
      <c r="AU136" s="1662"/>
      <c r="AV136" s="1662"/>
      <c r="AW136" s="1662"/>
      <c r="AX136" s="1662"/>
      <c r="AY136" s="1662"/>
      <c r="AZ136" s="1662"/>
      <c r="BA136" s="1662"/>
      <c r="BB136" s="1662"/>
      <c r="BC136" s="1662"/>
      <c r="BD136" s="1662"/>
      <c r="BE136" s="1662"/>
      <c r="BF136" s="1662"/>
      <c r="BG136" s="1662"/>
      <c r="BH136" s="1662"/>
      <c r="BI136" s="1662"/>
      <c r="BJ136" s="1662"/>
      <c r="BK136" s="1662"/>
      <c r="BL136" s="1662"/>
      <c r="BM136" s="1662"/>
      <c r="BN136" s="1663"/>
      <c r="BO136" s="1668"/>
      <c r="BP136" s="1668"/>
      <c r="BQ136" s="1662"/>
      <c r="BR136" s="1668"/>
      <c r="BS136" s="1662"/>
      <c r="BT136" s="1662"/>
      <c r="BU136" s="1663"/>
      <c r="BV136" s="1665">
        <v>32693.759999999998</v>
      </c>
      <c r="BW136" s="1668"/>
      <c r="BX136" s="1668"/>
      <c r="BY136" s="1662"/>
      <c r="BZ136" s="1662"/>
      <c r="CA136" s="1662"/>
      <c r="CB136" s="1662"/>
      <c r="CC136" s="1662"/>
      <c r="CD136" s="1724">
        <v>162951</v>
      </c>
      <c r="CE136" s="1724">
        <v>162951</v>
      </c>
      <c r="CF136" s="1724">
        <v>111122.06</v>
      </c>
      <c r="CG136" s="1724">
        <v>68.19</v>
      </c>
      <c r="CH136" s="1724">
        <v>51828.94</v>
      </c>
      <c r="CI136" s="1724">
        <v>31.81</v>
      </c>
      <c r="CJ136" s="1724">
        <v>162951</v>
      </c>
      <c r="CK136" s="1724">
        <v>100</v>
      </c>
      <c r="CL136" s="1725"/>
      <c r="CM136" s="1726"/>
      <c r="CN136" s="1727"/>
      <c r="CO136" s="1728"/>
      <c r="CP136" s="1726"/>
      <c r="CQ136" s="1724">
        <v>111122.06</v>
      </c>
      <c r="CR136" s="1724">
        <v>102112.16</v>
      </c>
      <c r="CS136" s="1724">
        <v>9009.9</v>
      </c>
      <c r="CT136" s="1728"/>
      <c r="CU136" s="1726"/>
      <c r="CV136" s="1724">
        <v>162951</v>
      </c>
      <c r="CW136" s="1724">
        <v>0</v>
      </c>
      <c r="CX136" s="1724">
        <v>0</v>
      </c>
      <c r="CY136" s="1724">
        <v>0</v>
      </c>
      <c r="CZ136" s="1724">
        <v>34635.29</v>
      </c>
      <c r="DA136" s="1724">
        <v>96765.19</v>
      </c>
      <c r="DB136" s="1724">
        <v>120.58</v>
      </c>
      <c r="DC136" s="1724">
        <v>31429.94</v>
      </c>
      <c r="DD136" s="1724">
        <v>111122.06</v>
      </c>
      <c r="DE136" s="1724">
        <v>111122.06</v>
      </c>
      <c r="DF136" s="1724">
        <v>102112.16</v>
      </c>
      <c r="DG136" s="1724">
        <v>9009.9</v>
      </c>
      <c r="DH136" s="1724">
        <v>51828.94</v>
      </c>
      <c r="DI136" s="1724">
        <v>0</v>
      </c>
      <c r="DJ136" s="1724">
        <v>0</v>
      </c>
      <c r="DK136" s="1724">
        <v>0</v>
      </c>
      <c r="DL136" s="1724">
        <v>0</v>
      </c>
      <c r="DM136" s="1724">
        <v>51828.94</v>
      </c>
      <c r="DN136" s="1724">
        <v>51828.94</v>
      </c>
      <c r="DO136" s="1724">
        <v>0</v>
      </c>
      <c r="DP136" s="1724">
        <v>0</v>
      </c>
      <c r="DQ136" s="1728"/>
      <c r="DR136" s="1727"/>
      <c r="DS136" s="1728"/>
      <c r="DT136" s="1726"/>
      <c r="DU136" s="1728"/>
      <c r="DV136" s="1726"/>
    </row>
    <row r="137" spans="1:126" ht="168.75" x14ac:dyDescent="0.25">
      <c r="A137" s="1662" t="s">
        <v>2177</v>
      </c>
      <c r="B137" s="1662" t="s">
        <v>1727</v>
      </c>
      <c r="C137" s="1662" t="s">
        <v>2648</v>
      </c>
      <c r="D137" s="1662" t="s">
        <v>2649</v>
      </c>
      <c r="E137" s="1662" t="s">
        <v>2444</v>
      </c>
      <c r="F137" s="1662" t="s">
        <v>3241</v>
      </c>
      <c r="G137" s="1662" t="s">
        <v>2635</v>
      </c>
      <c r="H137" s="1662" t="s">
        <v>2644</v>
      </c>
      <c r="I137" s="1662" t="s">
        <v>2645</v>
      </c>
      <c r="J137" s="1662" t="s">
        <v>2446</v>
      </c>
      <c r="K137" s="1664">
        <v>43229</v>
      </c>
      <c r="L137" s="1664">
        <v>43362</v>
      </c>
      <c r="M137" s="1662" t="s">
        <v>2447</v>
      </c>
      <c r="N137" s="1662" t="s">
        <v>2109</v>
      </c>
      <c r="O137" s="1662" t="s">
        <v>3242</v>
      </c>
      <c r="P137" s="1662" t="s">
        <v>2833</v>
      </c>
      <c r="Q137" s="1662" t="s">
        <v>1749</v>
      </c>
      <c r="R137" s="1662" t="s">
        <v>2833</v>
      </c>
      <c r="S137" s="1662" t="s">
        <v>2833</v>
      </c>
      <c r="T137" s="1662" t="s">
        <v>2861</v>
      </c>
      <c r="U137" s="1662" t="s">
        <v>2834</v>
      </c>
      <c r="V137" s="1662" t="s">
        <v>2833</v>
      </c>
      <c r="W137" s="1662" t="s">
        <v>2833</v>
      </c>
      <c r="X137" s="1662" t="s">
        <v>2833</v>
      </c>
      <c r="Y137" s="1662" t="s">
        <v>2833</v>
      </c>
      <c r="Z137" s="1662" t="s">
        <v>2861</v>
      </c>
      <c r="AA137" s="1662" t="s">
        <v>2833</v>
      </c>
      <c r="AB137" s="1662" t="s">
        <v>2833</v>
      </c>
      <c r="AC137" s="1662" t="s">
        <v>2833</v>
      </c>
      <c r="AD137" s="1662" t="s">
        <v>2833</v>
      </c>
      <c r="AE137" s="1662"/>
      <c r="AF137" s="1662" t="s">
        <v>3243</v>
      </c>
      <c r="AG137" s="1662" t="s">
        <v>3068</v>
      </c>
      <c r="AH137" s="1662" t="s">
        <v>3244</v>
      </c>
      <c r="AI137" s="1662" t="s">
        <v>2838</v>
      </c>
      <c r="AJ137" s="1662" t="s">
        <v>2839</v>
      </c>
      <c r="AK137" s="1662" t="s">
        <v>3158</v>
      </c>
      <c r="AL137" s="1662" t="s">
        <v>3245</v>
      </c>
      <c r="AM137" s="1665">
        <v>100</v>
      </c>
      <c r="AN137" s="1662"/>
      <c r="AO137" s="1662"/>
      <c r="AP137" s="1662"/>
      <c r="AQ137" s="1662"/>
      <c r="AR137" s="1662"/>
      <c r="AS137" s="1662"/>
      <c r="AT137" s="1662" t="s">
        <v>2946</v>
      </c>
      <c r="AU137" s="1662" t="s">
        <v>3246</v>
      </c>
      <c r="AV137" s="1662" t="s">
        <v>3105</v>
      </c>
      <c r="AW137" s="1662" t="s">
        <v>3160</v>
      </c>
      <c r="AX137" s="1662" t="s">
        <v>3106</v>
      </c>
      <c r="AY137" s="1662" t="s">
        <v>2845</v>
      </c>
      <c r="AZ137" s="1662" t="s">
        <v>3247</v>
      </c>
      <c r="BA137" s="1662" t="s">
        <v>3248</v>
      </c>
      <c r="BB137" s="1662" t="s">
        <v>2833</v>
      </c>
      <c r="BC137" s="1662" t="s">
        <v>2848</v>
      </c>
      <c r="BD137" s="1662" t="s">
        <v>2849</v>
      </c>
      <c r="BE137" s="1662" t="s">
        <v>3249</v>
      </c>
      <c r="BF137" s="1662" t="s">
        <v>3250</v>
      </c>
      <c r="BG137" s="1662" t="s">
        <v>3251</v>
      </c>
      <c r="BH137" s="1662" t="s">
        <v>2050</v>
      </c>
      <c r="BI137" s="1662" t="s">
        <v>2853</v>
      </c>
      <c r="BJ137" s="1662" t="s">
        <v>3252</v>
      </c>
      <c r="BK137" s="1662" t="s">
        <v>2946</v>
      </c>
      <c r="BL137" s="1662" t="s">
        <v>2833</v>
      </c>
      <c r="BM137" s="1662" t="s">
        <v>2833</v>
      </c>
      <c r="BN137" s="1665">
        <v>0</v>
      </c>
      <c r="BO137" s="1664">
        <v>43362</v>
      </c>
      <c r="BP137" s="1664">
        <v>44093</v>
      </c>
      <c r="BQ137" s="1662" t="s">
        <v>2855</v>
      </c>
      <c r="BR137" s="1664">
        <v>47483</v>
      </c>
      <c r="BS137" s="1662" t="s">
        <v>3253</v>
      </c>
      <c r="BT137" s="1662" t="s">
        <v>3254</v>
      </c>
      <c r="BU137" s="1665">
        <v>30</v>
      </c>
      <c r="BV137" s="1665">
        <v>9379.69</v>
      </c>
      <c r="BW137" s="1664">
        <v>44153</v>
      </c>
      <c r="BX137" s="1668"/>
      <c r="BY137" s="1662" t="s">
        <v>2096</v>
      </c>
      <c r="BZ137" s="1662" t="s">
        <v>2858</v>
      </c>
      <c r="CA137" s="1662" t="s">
        <v>2858</v>
      </c>
      <c r="CB137" s="1662" t="s">
        <v>2858</v>
      </c>
      <c r="CC137" s="1662" t="s">
        <v>2885</v>
      </c>
      <c r="CD137" s="1724">
        <v>44986.51</v>
      </c>
      <c r="CE137" s="1724">
        <v>44986.51</v>
      </c>
      <c r="CF137" s="1724">
        <v>31265.62</v>
      </c>
      <c r="CG137" s="1724">
        <v>69.5</v>
      </c>
      <c r="CH137" s="1724">
        <v>13720.89</v>
      </c>
      <c r="CI137" s="1724">
        <v>30.5</v>
      </c>
      <c r="CJ137" s="1724">
        <v>44986.51</v>
      </c>
      <c r="CK137" s="1724">
        <v>100</v>
      </c>
      <c r="CL137" s="1725" t="s">
        <v>2861</v>
      </c>
      <c r="CM137" s="1729">
        <v>43283</v>
      </c>
      <c r="CN137" s="1727"/>
      <c r="CO137" s="1728"/>
      <c r="CP137" s="1726"/>
      <c r="CQ137" s="1724">
        <v>31265.62</v>
      </c>
      <c r="CR137" s="1724">
        <v>28730.57</v>
      </c>
      <c r="CS137" s="1724">
        <v>2535.0500000000002</v>
      </c>
      <c r="CT137" s="1728" t="s">
        <v>2861</v>
      </c>
      <c r="CU137" s="1729">
        <v>43336</v>
      </c>
      <c r="CV137" s="1724">
        <v>44986.51</v>
      </c>
      <c r="CW137" s="1724">
        <v>0</v>
      </c>
      <c r="CX137" s="1724">
        <v>0</v>
      </c>
      <c r="CY137" s="1724">
        <v>0</v>
      </c>
      <c r="CZ137" s="1724">
        <v>11360.61</v>
      </c>
      <c r="DA137" s="1724">
        <v>24628.6</v>
      </c>
      <c r="DB137" s="1724">
        <v>0</v>
      </c>
      <c r="DC137" s="1724">
        <v>8997.2999999999993</v>
      </c>
      <c r="DD137" s="1724">
        <v>31265.62</v>
      </c>
      <c r="DE137" s="1724">
        <v>31265.62</v>
      </c>
      <c r="DF137" s="1724">
        <v>28730.57</v>
      </c>
      <c r="DG137" s="1724">
        <v>2535.0500000000002</v>
      </c>
      <c r="DH137" s="1724">
        <v>13720.89</v>
      </c>
      <c r="DI137" s="1724">
        <v>0</v>
      </c>
      <c r="DJ137" s="1724">
        <v>0</v>
      </c>
      <c r="DK137" s="1724">
        <v>0</v>
      </c>
      <c r="DL137" s="1724">
        <v>0</v>
      </c>
      <c r="DM137" s="1724">
        <v>13720.89</v>
      </c>
      <c r="DN137" s="1724">
        <v>13720.89</v>
      </c>
      <c r="DO137" s="1724">
        <v>0</v>
      </c>
      <c r="DP137" s="1724">
        <v>0</v>
      </c>
      <c r="DQ137" s="1728" t="s">
        <v>2886</v>
      </c>
      <c r="DR137" s="1724">
        <v>0</v>
      </c>
      <c r="DS137" s="1728" t="s">
        <v>2833</v>
      </c>
      <c r="DT137" s="1726"/>
      <c r="DU137" s="1728" t="s">
        <v>2833</v>
      </c>
      <c r="DV137" s="1726"/>
    </row>
    <row r="138" spans="1:126" ht="101.25" x14ac:dyDescent="0.25">
      <c r="A138" s="1662" t="s">
        <v>2178</v>
      </c>
      <c r="B138" s="1662" t="s">
        <v>1727</v>
      </c>
      <c r="C138" s="1662" t="s">
        <v>2648</v>
      </c>
      <c r="D138" s="1662" t="s">
        <v>2649</v>
      </c>
      <c r="E138" s="1662" t="s">
        <v>2444</v>
      </c>
      <c r="F138" s="1662" t="s">
        <v>3241</v>
      </c>
      <c r="G138" s="1662" t="s">
        <v>2635</v>
      </c>
      <c r="H138" s="1662" t="s">
        <v>2644</v>
      </c>
      <c r="I138" s="1662" t="s">
        <v>2645</v>
      </c>
      <c r="J138" s="1662" t="s">
        <v>2451</v>
      </c>
      <c r="K138" s="1664">
        <v>43231</v>
      </c>
      <c r="L138" s="1664">
        <v>43348</v>
      </c>
      <c r="M138" s="1662" t="s">
        <v>2452</v>
      </c>
      <c r="N138" s="1662" t="s">
        <v>2109</v>
      </c>
      <c r="O138" s="1662" t="s">
        <v>3255</v>
      </c>
      <c r="P138" s="1662" t="s">
        <v>2833</v>
      </c>
      <c r="Q138" s="1662" t="s">
        <v>1739</v>
      </c>
      <c r="R138" s="1662" t="s">
        <v>2833</v>
      </c>
      <c r="S138" s="1662" t="s">
        <v>2833</v>
      </c>
      <c r="T138" s="1662" t="s">
        <v>2861</v>
      </c>
      <c r="U138" s="1662" t="s">
        <v>2834</v>
      </c>
      <c r="V138" s="1662" t="s">
        <v>2833</v>
      </c>
      <c r="W138" s="1662" t="s">
        <v>2833</v>
      </c>
      <c r="X138" s="1662" t="s">
        <v>2833</v>
      </c>
      <c r="Y138" s="1662" t="s">
        <v>2833</v>
      </c>
      <c r="Z138" s="1662" t="s">
        <v>2861</v>
      </c>
      <c r="AA138" s="1662" t="s">
        <v>2833</v>
      </c>
      <c r="AB138" s="1662" t="s">
        <v>2833</v>
      </c>
      <c r="AC138" s="1662" t="s">
        <v>2833</v>
      </c>
      <c r="AD138" s="1662" t="s">
        <v>2833</v>
      </c>
      <c r="AE138" s="1662"/>
      <c r="AF138" s="1662" t="s">
        <v>3243</v>
      </c>
      <c r="AG138" s="1662" t="s">
        <v>3068</v>
      </c>
      <c r="AH138" s="1662" t="s">
        <v>3031</v>
      </c>
      <c r="AI138" s="1662" t="s">
        <v>2838</v>
      </c>
      <c r="AJ138" s="1662" t="s">
        <v>2839</v>
      </c>
      <c r="AK138" s="1662" t="s">
        <v>3158</v>
      </c>
      <c r="AL138" s="1662" t="s">
        <v>3245</v>
      </c>
      <c r="AM138" s="1665">
        <v>100</v>
      </c>
      <c r="AN138" s="1662"/>
      <c r="AO138" s="1662"/>
      <c r="AP138" s="1662"/>
      <c r="AQ138" s="1662"/>
      <c r="AR138" s="1662"/>
      <c r="AS138" s="1662"/>
      <c r="AT138" s="1662" t="s">
        <v>2946</v>
      </c>
      <c r="AU138" s="1662" t="s">
        <v>3246</v>
      </c>
      <c r="AV138" s="1662" t="s">
        <v>3105</v>
      </c>
      <c r="AW138" s="1662" t="s">
        <v>3160</v>
      </c>
      <c r="AX138" s="1662" t="s">
        <v>3106</v>
      </c>
      <c r="AY138" s="1662" t="s">
        <v>2845</v>
      </c>
      <c r="AZ138" s="1662" t="s">
        <v>3256</v>
      </c>
      <c r="BA138" s="1662" t="s">
        <v>3257</v>
      </c>
      <c r="BB138" s="1662" t="s">
        <v>2833</v>
      </c>
      <c r="BC138" s="1662" t="s">
        <v>2876</v>
      </c>
      <c r="BD138" s="1662" t="s">
        <v>2849</v>
      </c>
      <c r="BE138" s="1662" t="s">
        <v>3258</v>
      </c>
      <c r="BF138" s="1662" t="s">
        <v>3259</v>
      </c>
      <c r="BG138" s="1662" t="s">
        <v>3260</v>
      </c>
      <c r="BH138" s="1662" t="s">
        <v>2050</v>
      </c>
      <c r="BI138" s="1662" t="s">
        <v>2853</v>
      </c>
      <c r="BJ138" s="1662" t="s">
        <v>3252</v>
      </c>
      <c r="BK138" s="1662" t="s">
        <v>2946</v>
      </c>
      <c r="BL138" s="1662" t="s">
        <v>2833</v>
      </c>
      <c r="BM138" s="1662" t="s">
        <v>2833</v>
      </c>
      <c r="BN138" s="1665">
        <v>0</v>
      </c>
      <c r="BO138" s="1664">
        <v>43348</v>
      </c>
      <c r="BP138" s="1664">
        <v>43804</v>
      </c>
      <c r="BQ138" s="1662" t="s">
        <v>3035</v>
      </c>
      <c r="BR138" s="1664">
        <v>47483</v>
      </c>
      <c r="BS138" s="1662" t="s">
        <v>3261</v>
      </c>
      <c r="BT138" s="1662" t="s">
        <v>3262</v>
      </c>
      <c r="BU138" s="1665">
        <v>30</v>
      </c>
      <c r="BV138" s="1665">
        <v>1065.93</v>
      </c>
      <c r="BW138" s="1664">
        <v>43864</v>
      </c>
      <c r="BX138" s="1668"/>
      <c r="BY138" s="1662" t="s">
        <v>2096</v>
      </c>
      <c r="BZ138" s="1662" t="s">
        <v>2858</v>
      </c>
      <c r="CA138" s="1662" t="s">
        <v>2858</v>
      </c>
      <c r="CB138" s="1662" t="s">
        <v>2859</v>
      </c>
      <c r="CC138" s="1662" t="s">
        <v>2885</v>
      </c>
      <c r="CD138" s="1724">
        <v>5579.99</v>
      </c>
      <c r="CE138" s="1724">
        <v>5579.99</v>
      </c>
      <c r="CF138" s="1724">
        <v>3553.1</v>
      </c>
      <c r="CG138" s="1724">
        <v>63.68</v>
      </c>
      <c r="CH138" s="1724">
        <v>2026.89</v>
      </c>
      <c r="CI138" s="1724">
        <v>36.32</v>
      </c>
      <c r="CJ138" s="1724">
        <v>5579.99</v>
      </c>
      <c r="CK138" s="1724">
        <v>100</v>
      </c>
      <c r="CL138" s="1725" t="s">
        <v>2861</v>
      </c>
      <c r="CM138" s="1729">
        <v>43286</v>
      </c>
      <c r="CN138" s="1727"/>
      <c r="CO138" s="1728"/>
      <c r="CP138" s="1726"/>
      <c r="CQ138" s="1724">
        <v>3553.1</v>
      </c>
      <c r="CR138" s="1724">
        <v>3265.01</v>
      </c>
      <c r="CS138" s="1724">
        <v>288.08999999999997</v>
      </c>
      <c r="CT138" s="1728" t="s">
        <v>2861</v>
      </c>
      <c r="CU138" s="1729">
        <v>43326</v>
      </c>
      <c r="CV138" s="1724">
        <v>5579.99</v>
      </c>
      <c r="CW138" s="1724">
        <v>0</v>
      </c>
      <c r="CX138" s="1724">
        <v>0</v>
      </c>
      <c r="CY138" s="1724">
        <v>0</v>
      </c>
      <c r="CZ138" s="1724">
        <v>1628.72</v>
      </c>
      <c r="DA138" s="1724">
        <v>2714.69</v>
      </c>
      <c r="DB138" s="1724">
        <v>120.58</v>
      </c>
      <c r="DC138" s="1724">
        <v>1116</v>
      </c>
      <c r="DD138" s="1724">
        <v>3553.1</v>
      </c>
      <c r="DE138" s="1724">
        <v>3553.1</v>
      </c>
      <c r="DF138" s="1724">
        <v>3265.01</v>
      </c>
      <c r="DG138" s="1724">
        <v>288.08999999999997</v>
      </c>
      <c r="DH138" s="1724">
        <v>2026.89</v>
      </c>
      <c r="DI138" s="1724">
        <v>0</v>
      </c>
      <c r="DJ138" s="1724">
        <v>0</v>
      </c>
      <c r="DK138" s="1724">
        <v>0</v>
      </c>
      <c r="DL138" s="1724">
        <v>0</v>
      </c>
      <c r="DM138" s="1724">
        <v>2026.89</v>
      </c>
      <c r="DN138" s="1724">
        <v>2026.89</v>
      </c>
      <c r="DO138" s="1724">
        <v>0</v>
      </c>
      <c r="DP138" s="1724">
        <v>0</v>
      </c>
      <c r="DQ138" s="1728" t="s">
        <v>2886</v>
      </c>
      <c r="DR138" s="1724">
        <v>0</v>
      </c>
      <c r="DS138" s="1728" t="s">
        <v>2833</v>
      </c>
      <c r="DT138" s="1726"/>
      <c r="DU138" s="1728" t="s">
        <v>2833</v>
      </c>
      <c r="DV138" s="1726"/>
    </row>
    <row r="139" spans="1:126" ht="247.5" x14ac:dyDescent="0.25">
      <c r="A139" s="1662" t="s">
        <v>2179</v>
      </c>
      <c r="B139" s="1662" t="s">
        <v>1727</v>
      </c>
      <c r="C139" s="1662" t="s">
        <v>2648</v>
      </c>
      <c r="D139" s="1662" t="s">
        <v>2649</v>
      </c>
      <c r="E139" s="1662" t="s">
        <v>2444</v>
      </c>
      <c r="F139" s="1662" t="s">
        <v>3241</v>
      </c>
      <c r="G139" s="1662" t="s">
        <v>2635</v>
      </c>
      <c r="H139" s="1662" t="s">
        <v>2644</v>
      </c>
      <c r="I139" s="1662" t="s">
        <v>2645</v>
      </c>
      <c r="J139" s="1662" t="s">
        <v>2456</v>
      </c>
      <c r="K139" s="1664">
        <v>43231</v>
      </c>
      <c r="L139" s="1664">
        <v>43362</v>
      </c>
      <c r="M139" s="1662" t="s">
        <v>2457</v>
      </c>
      <c r="N139" s="1662" t="s">
        <v>2109</v>
      </c>
      <c r="O139" s="1662" t="s">
        <v>3263</v>
      </c>
      <c r="P139" s="1662" t="s">
        <v>2833</v>
      </c>
      <c r="Q139" s="1662" t="s">
        <v>1743</v>
      </c>
      <c r="R139" s="1662" t="s">
        <v>2833</v>
      </c>
      <c r="S139" s="1662" t="s">
        <v>2861</v>
      </c>
      <c r="T139" s="1662" t="s">
        <v>2861</v>
      </c>
      <c r="U139" s="1662" t="s">
        <v>2834</v>
      </c>
      <c r="V139" s="1662" t="s">
        <v>2833</v>
      </c>
      <c r="W139" s="1662" t="s">
        <v>2833</v>
      </c>
      <c r="X139" s="1662" t="s">
        <v>2833</v>
      </c>
      <c r="Y139" s="1662" t="s">
        <v>2833</v>
      </c>
      <c r="Z139" s="1662" t="s">
        <v>2861</v>
      </c>
      <c r="AA139" s="1662" t="s">
        <v>2833</v>
      </c>
      <c r="AB139" s="1662" t="s">
        <v>2833</v>
      </c>
      <c r="AC139" s="1662" t="s">
        <v>2833</v>
      </c>
      <c r="AD139" s="1662" t="s">
        <v>2833</v>
      </c>
      <c r="AE139" s="1662"/>
      <c r="AF139" s="1662" t="s">
        <v>3243</v>
      </c>
      <c r="AG139" s="1662" t="s">
        <v>3068</v>
      </c>
      <c r="AH139" s="1662" t="s">
        <v>3244</v>
      </c>
      <c r="AI139" s="1662" t="s">
        <v>2838</v>
      </c>
      <c r="AJ139" s="1662" t="s">
        <v>2839</v>
      </c>
      <c r="AK139" s="1662" t="s">
        <v>3158</v>
      </c>
      <c r="AL139" s="1662" t="s">
        <v>3245</v>
      </c>
      <c r="AM139" s="1665">
        <v>100</v>
      </c>
      <c r="AN139" s="1662"/>
      <c r="AO139" s="1662"/>
      <c r="AP139" s="1662"/>
      <c r="AQ139" s="1662"/>
      <c r="AR139" s="1662"/>
      <c r="AS139" s="1662"/>
      <c r="AT139" s="1662" t="s">
        <v>2946</v>
      </c>
      <c r="AU139" s="1662" t="s">
        <v>3246</v>
      </c>
      <c r="AV139" s="1662" t="s">
        <v>3105</v>
      </c>
      <c r="AW139" s="1662" t="s">
        <v>3160</v>
      </c>
      <c r="AX139" s="1662" t="s">
        <v>3106</v>
      </c>
      <c r="AY139" s="1662" t="s">
        <v>2845</v>
      </c>
      <c r="AZ139" s="1662" t="s">
        <v>3247</v>
      </c>
      <c r="BA139" s="1662" t="s">
        <v>3248</v>
      </c>
      <c r="BB139" s="1662" t="s">
        <v>2833</v>
      </c>
      <c r="BC139" s="1662" t="s">
        <v>2848</v>
      </c>
      <c r="BD139" s="1662" t="s">
        <v>2849</v>
      </c>
      <c r="BE139" s="1662" t="s">
        <v>3249</v>
      </c>
      <c r="BF139" s="1662" t="s">
        <v>3264</v>
      </c>
      <c r="BG139" s="1662" t="s">
        <v>3251</v>
      </c>
      <c r="BH139" s="1662" t="s">
        <v>2880</v>
      </c>
      <c r="BI139" s="1662" t="s">
        <v>2853</v>
      </c>
      <c r="BJ139" s="1662" t="s">
        <v>3252</v>
      </c>
      <c r="BK139" s="1662" t="s">
        <v>2946</v>
      </c>
      <c r="BL139" s="1662" t="s">
        <v>2833</v>
      </c>
      <c r="BM139" s="1662" t="s">
        <v>2833</v>
      </c>
      <c r="BN139" s="1665">
        <v>0</v>
      </c>
      <c r="BO139" s="1664">
        <v>43362</v>
      </c>
      <c r="BP139" s="1664">
        <v>43909</v>
      </c>
      <c r="BQ139" s="1662" t="s">
        <v>3035</v>
      </c>
      <c r="BR139" s="1664">
        <v>47483</v>
      </c>
      <c r="BS139" s="1662" t="s">
        <v>3253</v>
      </c>
      <c r="BT139" s="1662" t="s">
        <v>3265</v>
      </c>
      <c r="BU139" s="1665">
        <v>21</v>
      </c>
      <c r="BV139" s="1665">
        <v>1500.01</v>
      </c>
      <c r="BW139" s="1664">
        <v>43969</v>
      </c>
      <c r="BX139" s="1668"/>
      <c r="BY139" s="1662" t="s">
        <v>2096</v>
      </c>
      <c r="BZ139" s="1662" t="s">
        <v>2858</v>
      </c>
      <c r="CA139" s="1662" t="s">
        <v>2858</v>
      </c>
      <c r="CB139" s="1662" t="s">
        <v>2859</v>
      </c>
      <c r="CC139" s="1662" t="s">
        <v>2885</v>
      </c>
      <c r="CD139" s="1724">
        <v>10446.14</v>
      </c>
      <c r="CE139" s="1724">
        <v>10446.14</v>
      </c>
      <c r="CF139" s="1724">
        <v>7142.92</v>
      </c>
      <c r="CG139" s="1724">
        <v>68.38</v>
      </c>
      <c r="CH139" s="1724">
        <v>3303.22</v>
      </c>
      <c r="CI139" s="1724">
        <v>31.62</v>
      </c>
      <c r="CJ139" s="1724">
        <v>10446.14</v>
      </c>
      <c r="CK139" s="1724">
        <v>100</v>
      </c>
      <c r="CL139" s="1725" t="s">
        <v>2861</v>
      </c>
      <c r="CM139" s="1729">
        <v>43283</v>
      </c>
      <c r="CN139" s="1727"/>
      <c r="CO139" s="1728"/>
      <c r="CP139" s="1726"/>
      <c r="CQ139" s="1724">
        <v>7142.92</v>
      </c>
      <c r="CR139" s="1724">
        <v>6563.76</v>
      </c>
      <c r="CS139" s="1724">
        <v>579.16</v>
      </c>
      <c r="CT139" s="1728" t="s">
        <v>2861</v>
      </c>
      <c r="CU139" s="1729">
        <v>43336</v>
      </c>
      <c r="CV139" s="1724">
        <v>10446.14</v>
      </c>
      <c r="CW139" s="1724">
        <v>0</v>
      </c>
      <c r="CX139" s="1724">
        <v>0</v>
      </c>
      <c r="CY139" s="1724">
        <v>0</v>
      </c>
      <c r="CZ139" s="1724">
        <v>0</v>
      </c>
      <c r="DA139" s="1724">
        <v>8492.7999999999993</v>
      </c>
      <c r="DB139" s="1724">
        <v>0</v>
      </c>
      <c r="DC139" s="1724">
        <v>1953.34</v>
      </c>
      <c r="DD139" s="1724">
        <v>7142.92</v>
      </c>
      <c r="DE139" s="1724">
        <v>7142.92</v>
      </c>
      <c r="DF139" s="1724">
        <v>6563.76</v>
      </c>
      <c r="DG139" s="1724">
        <v>579.16</v>
      </c>
      <c r="DH139" s="1724">
        <v>3303.22</v>
      </c>
      <c r="DI139" s="1724">
        <v>0</v>
      </c>
      <c r="DJ139" s="1724">
        <v>0</v>
      </c>
      <c r="DK139" s="1724">
        <v>0</v>
      </c>
      <c r="DL139" s="1724">
        <v>0</v>
      </c>
      <c r="DM139" s="1724">
        <v>3303.22</v>
      </c>
      <c r="DN139" s="1724">
        <v>3303.22</v>
      </c>
      <c r="DO139" s="1724">
        <v>0</v>
      </c>
      <c r="DP139" s="1724">
        <v>0</v>
      </c>
      <c r="DQ139" s="1728" t="s">
        <v>2886</v>
      </c>
      <c r="DR139" s="1724">
        <v>0</v>
      </c>
      <c r="DS139" s="1728" t="s">
        <v>2833</v>
      </c>
      <c r="DT139" s="1726"/>
      <c r="DU139" s="1728" t="s">
        <v>2833</v>
      </c>
      <c r="DV139" s="1726"/>
    </row>
    <row r="140" spans="1:126" ht="180" x14ac:dyDescent="0.25">
      <c r="A140" s="1662" t="s">
        <v>2180</v>
      </c>
      <c r="B140" s="1662" t="s">
        <v>1727</v>
      </c>
      <c r="C140" s="1662" t="s">
        <v>2648</v>
      </c>
      <c r="D140" s="1662" t="s">
        <v>2649</v>
      </c>
      <c r="E140" s="1662" t="s">
        <v>2444</v>
      </c>
      <c r="F140" s="1662" t="s">
        <v>3241</v>
      </c>
      <c r="G140" s="1662" t="s">
        <v>2635</v>
      </c>
      <c r="H140" s="1662" t="s">
        <v>2644</v>
      </c>
      <c r="I140" s="1662" t="s">
        <v>2645</v>
      </c>
      <c r="J140" s="1662" t="s">
        <v>2460</v>
      </c>
      <c r="K140" s="1664">
        <v>43235</v>
      </c>
      <c r="L140" s="1664">
        <v>43348</v>
      </c>
      <c r="M140" s="1662" t="s">
        <v>2461</v>
      </c>
      <c r="N140" s="1662" t="s">
        <v>2109</v>
      </c>
      <c r="O140" s="1662" t="s">
        <v>3266</v>
      </c>
      <c r="P140" s="1662" t="s">
        <v>2833</v>
      </c>
      <c r="Q140" s="1662" t="s">
        <v>1750</v>
      </c>
      <c r="R140" s="1662" t="s">
        <v>2833</v>
      </c>
      <c r="S140" s="1662" t="s">
        <v>2833</v>
      </c>
      <c r="T140" s="1662" t="s">
        <v>2861</v>
      </c>
      <c r="U140" s="1662" t="s">
        <v>2834</v>
      </c>
      <c r="V140" s="1662" t="s">
        <v>2833</v>
      </c>
      <c r="W140" s="1662" t="s">
        <v>2833</v>
      </c>
      <c r="X140" s="1662" t="s">
        <v>2833</v>
      </c>
      <c r="Y140" s="1662" t="s">
        <v>2833</v>
      </c>
      <c r="Z140" s="1662" t="s">
        <v>2861</v>
      </c>
      <c r="AA140" s="1662" t="s">
        <v>2833</v>
      </c>
      <c r="AB140" s="1662" t="s">
        <v>2833</v>
      </c>
      <c r="AC140" s="1662" t="s">
        <v>2833</v>
      </c>
      <c r="AD140" s="1662" t="s">
        <v>2833</v>
      </c>
      <c r="AE140" s="1662"/>
      <c r="AF140" s="1662" t="s">
        <v>3243</v>
      </c>
      <c r="AG140" s="1662" t="s">
        <v>3068</v>
      </c>
      <c r="AH140" s="1662" t="s">
        <v>3244</v>
      </c>
      <c r="AI140" s="1662" t="s">
        <v>2838</v>
      </c>
      <c r="AJ140" s="1662" t="s">
        <v>2839</v>
      </c>
      <c r="AK140" s="1662" t="s">
        <v>3158</v>
      </c>
      <c r="AL140" s="1662" t="s">
        <v>3245</v>
      </c>
      <c r="AM140" s="1665">
        <v>100</v>
      </c>
      <c r="AN140" s="1662"/>
      <c r="AO140" s="1662"/>
      <c r="AP140" s="1662"/>
      <c r="AQ140" s="1662"/>
      <c r="AR140" s="1662"/>
      <c r="AS140" s="1662"/>
      <c r="AT140" s="1662" t="s">
        <v>2946</v>
      </c>
      <c r="AU140" s="1662" t="s">
        <v>3246</v>
      </c>
      <c r="AV140" s="1662" t="s">
        <v>3105</v>
      </c>
      <c r="AW140" s="1662" t="s">
        <v>3160</v>
      </c>
      <c r="AX140" s="1662" t="s">
        <v>3106</v>
      </c>
      <c r="AY140" s="1662" t="s">
        <v>2845</v>
      </c>
      <c r="AZ140" s="1662" t="s">
        <v>3267</v>
      </c>
      <c r="BA140" s="1662" t="s">
        <v>3268</v>
      </c>
      <c r="BB140" s="1662" t="s">
        <v>2833</v>
      </c>
      <c r="BC140" s="1662" t="s">
        <v>3269</v>
      </c>
      <c r="BD140" s="1662" t="s">
        <v>2849</v>
      </c>
      <c r="BE140" s="1662" t="s">
        <v>3270</v>
      </c>
      <c r="BF140" s="1662" t="s">
        <v>3271</v>
      </c>
      <c r="BG140" s="1662" t="s">
        <v>3272</v>
      </c>
      <c r="BH140" s="1662" t="s">
        <v>2880</v>
      </c>
      <c r="BI140" s="1662" t="s">
        <v>2853</v>
      </c>
      <c r="BJ140" s="1662" t="s">
        <v>3252</v>
      </c>
      <c r="BK140" s="1662" t="s">
        <v>2946</v>
      </c>
      <c r="BL140" s="1662" t="s">
        <v>2833</v>
      </c>
      <c r="BM140" s="1662" t="s">
        <v>2833</v>
      </c>
      <c r="BN140" s="1665">
        <v>0</v>
      </c>
      <c r="BO140" s="1664">
        <v>43348</v>
      </c>
      <c r="BP140" s="1664">
        <v>44079</v>
      </c>
      <c r="BQ140" s="1662" t="s">
        <v>3035</v>
      </c>
      <c r="BR140" s="1664">
        <v>47483</v>
      </c>
      <c r="BS140" s="1662" t="s">
        <v>3108</v>
      </c>
      <c r="BT140" s="1662" t="s">
        <v>3273</v>
      </c>
      <c r="BU140" s="1665">
        <v>30</v>
      </c>
      <c r="BV140" s="1665">
        <v>1873.7</v>
      </c>
      <c r="BW140" s="1664">
        <v>44138</v>
      </c>
      <c r="BX140" s="1668"/>
      <c r="BY140" s="1662" t="s">
        <v>2096</v>
      </c>
      <c r="BZ140" s="1662" t="s">
        <v>2858</v>
      </c>
      <c r="CA140" s="1662" t="s">
        <v>2858</v>
      </c>
      <c r="CB140" s="1662" t="s">
        <v>2859</v>
      </c>
      <c r="CC140" s="1662" t="s">
        <v>2885</v>
      </c>
      <c r="CD140" s="1724">
        <v>9096.9500000000007</v>
      </c>
      <c r="CE140" s="1724">
        <v>9096.9500000000007</v>
      </c>
      <c r="CF140" s="1724">
        <v>6245.66</v>
      </c>
      <c r="CG140" s="1724">
        <v>68.66</v>
      </c>
      <c r="CH140" s="1724">
        <v>2851.29</v>
      </c>
      <c r="CI140" s="1724">
        <v>31.34</v>
      </c>
      <c r="CJ140" s="1724">
        <v>9096.9500000000007</v>
      </c>
      <c r="CK140" s="1724">
        <v>100</v>
      </c>
      <c r="CL140" s="1725" t="s">
        <v>2861</v>
      </c>
      <c r="CM140" s="1729">
        <v>43286</v>
      </c>
      <c r="CN140" s="1727"/>
      <c r="CO140" s="1728"/>
      <c r="CP140" s="1726"/>
      <c r="CQ140" s="1724">
        <v>6245.66</v>
      </c>
      <c r="CR140" s="1724">
        <v>5739.26</v>
      </c>
      <c r="CS140" s="1724">
        <v>506.4</v>
      </c>
      <c r="CT140" s="1728" t="s">
        <v>2861</v>
      </c>
      <c r="CU140" s="1729">
        <v>43326</v>
      </c>
      <c r="CV140" s="1724">
        <v>9096.9500000000007</v>
      </c>
      <c r="CW140" s="1724">
        <v>0</v>
      </c>
      <c r="CX140" s="1724">
        <v>0</v>
      </c>
      <c r="CY140" s="1724">
        <v>0</v>
      </c>
      <c r="CZ140" s="1724">
        <v>2700</v>
      </c>
      <c r="DA140" s="1724">
        <v>4695.8999999999996</v>
      </c>
      <c r="DB140" s="1724">
        <v>0</v>
      </c>
      <c r="DC140" s="1724">
        <v>1701.05</v>
      </c>
      <c r="DD140" s="1724">
        <v>6245.66</v>
      </c>
      <c r="DE140" s="1724">
        <v>6245.66</v>
      </c>
      <c r="DF140" s="1724">
        <v>5739.26</v>
      </c>
      <c r="DG140" s="1724">
        <v>506.4</v>
      </c>
      <c r="DH140" s="1724">
        <v>2851.29</v>
      </c>
      <c r="DI140" s="1724">
        <v>0</v>
      </c>
      <c r="DJ140" s="1724">
        <v>0</v>
      </c>
      <c r="DK140" s="1724">
        <v>0</v>
      </c>
      <c r="DL140" s="1724">
        <v>0</v>
      </c>
      <c r="DM140" s="1724">
        <v>2851.29</v>
      </c>
      <c r="DN140" s="1724">
        <v>2851.29</v>
      </c>
      <c r="DO140" s="1724">
        <v>0</v>
      </c>
      <c r="DP140" s="1724">
        <v>0</v>
      </c>
      <c r="DQ140" s="1728" t="s">
        <v>2886</v>
      </c>
      <c r="DR140" s="1724">
        <v>0</v>
      </c>
      <c r="DS140" s="1728" t="s">
        <v>2833</v>
      </c>
      <c r="DT140" s="1726"/>
      <c r="DU140" s="1728" t="s">
        <v>2833</v>
      </c>
      <c r="DV140" s="1726"/>
    </row>
    <row r="141" spans="1:126" ht="382.5" x14ac:dyDescent="0.25">
      <c r="A141" s="1662" t="s">
        <v>2181</v>
      </c>
      <c r="B141" s="1662" t="s">
        <v>1727</v>
      </c>
      <c r="C141" s="1662" t="s">
        <v>2648</v>
      </c>
      <c r="D141" s="1662" t="s">
        <v>2649</v>
      </c>
      <c r="E141" s="1662" t="s">
        <v>2444</v>
      </c>
      <c r="F141" s="1662" t="s">
        <v>3241</v>
      </c>
      <c r="G141" s="1662" t="s">
        <v>2635</v>
      </c>
      <c r="H141" s="1662" t="s">
        <v>2644</v>
      </c>
      <c r="I141" s="1662" t="s">
        <v>2645</v>
      </c>
      <c r="J141" s="1662" t="s">
        <v>2465</v>
      </c>
      <c r="K141" s="1664">
        <v>43234</v>
      </c>
      <c r="L141" s="1664">
        <v>43362</v>
      </c>
      <c r="M141" s="1662" t="s">
        <v>2466</v>
      </c>
      <c r="N141" s="1662" t="s">
        <v>2109</v>
      </c>
      <c r="O141" s="1662" t="s">
        <v>3274</v>
      </c>
      <c r="P141" s="1662" t="s">
        <v>2833</v>
      </c>
      <c r="Q141" s="1662" t="s">
        <v>1739</v>
      </c>
      <c r="R141" s="1662" t="s">
        <v>2833</v>
      </c>
      <c r="S141" s="1662" t="s">
        <v>2833</v>
      </c>
      <c r="T141" s="1662" t="s">
        <v>2861</v>
      </c>
      <c r="U141" s="1662" t="s">
        <v>2834</v>
      </c>
      <c r="V141" s="1662" t="s">
        <v>2833</v>
      </c>
      <c r="W141" s="1662" t="s">
        <v>2833</v>
      </c>
      <c r="X141" s="1662" t="s">
        <v>2833</v>
      </c>
      <c r="Y141" s="1662" t="s">
        <v>2833</v>
      </c>
      <c r="Z141" s="1662" t="s">
        <v>2861</v>
      </c>
      <c r="AA141" s="1662" t="s">
        <v>2833</v>
      </c>
      <c r="AB141" s="1662" t="s">
        <v>2833</v>
      </c>
      <c r="AC141" s="1662" t="s">
        <v>2833</v>
      </c>
      <c r="AD141" s="1662" t="s">
        <v>2833</v>
      </c>
      <c r="AE141" s="1662"/>
      <c r="AF141" s="1662" t="s">
        <v>3243</v>
      </c>
      <c r="AG141" s="1662" t="s">
        <v>3068</v>
      </c>
      <c r="AH141" s="1662" t="s">
        <v>3244</v>
      </c>
      <c r="AI141" s="1662" t="s">
        <v>2838</v>
      </c>
      <c r="AJ141" s="1662" t="s">
        <v>2839</v>
      </c>
      <c r="AK141" s="1662" t="s">
        <v>3158</v>
      </c>
      <c r="AL141" s="1662" t="s">
        <v>3245</v>
      </c>
      <c r="AM141" s="1665">
        <v>100</v>
      </c>
      <c r="AN141" s="1662"/>
      <c r="AO141" s="1662"/>
      <c r="AP141" s="1662"/>
      <c r="AQ141" s="1662"/>
      <c r="AR141" s="1662"/>
      <c r="AS141" s="1662"/>
      <c r="AT141" s="1662" t="s">
        <v>2946</v>
      </c>
      <c r="AU141" s="1662" t="s">
        <v>3246</v>
      </c>
      <c r="AV141" s="1662" t="s">
        <v>3105</v>
      </c>
      <c r="AW141" s="1662" t="s">
        <v>3160</v>
      </c>
      <c r="AX141" s="1662" t="s">
        <v>3106</v>
      </c>
      <c r="AY141" s="1662" t="s">
        <v>2845</v>
      </c>
      <c r="AZ141" s="1662" t="s">
        <v>3275</v>
      </c>
      <c r="BA141" s="1662" t="s">
        <v>3276</v>
      </c>
      <c r="BB141" s="1662" t="s">
        <v>2833</v>
      </c>
      <c r="BC141" s="1662" t="s">
        <v>2922</v>
      </c>
      <c r="BD141" s="1662" t="s">
        <v>2937</v>
      </c>
      <c r="BE141" s="1662" t="s">
        <v>3277</v>
      </c>
      <c r="BF141" s="1662" t="s">
        <v>3278</v>
      </c>
      <c r="BG141" s="1662" t="s">
        <v>3279</v>
      </c>
      <c r="BH141" s="1662" t="s">
        <v>2880</v>
      </c>
      <c r="BI141" s="1662" t="s">
        <v>2853</v>
      </c>
      <c r="BJ141" s="1662" t="s">
        <v>3252</v>
      </c>
      <c r="BK141" s="1662" t="s">
        <v>2946</v>
      </c>
      <c r="BL141" s="1662" t="s">
        <v>2833</v>
      </c>
      <c r="BM141" s="1662" t="s">
        <v>2833</v>
      </c>
      <c r="BN141" s="1665">
        <v>0</v>
      </c>
      <c r="BO141" s="1664">
        <v>43362</v>
      </c>
      <c r="BP141" s="1664">
        <v>43849</v>
      </c>
      <c r="BQ141" s="1662" t="s">
        <v>3035</v>
      </c>
      <c r="BR141" s="1664">
        <v>47483</v>
      </c>
      <c r="BS141" s="1662" t="s">
        <v>3261</v>
      </c>
      <c r="BT141" s="1662" t="s">
        <v>3280</v>
      </c>
      <c r="BU141" s="1665">
        <v>30</v>
      </c>
      <c r="BV141" s="1665">
        <v>2031.99</v>
      </c>
      <c r="BW141" s="1664">
        <v>43908</v>
      </c>
      <c r="BX141" s="1668"/>
      <c r="BY141" s="1662" t="s">
        <v>2096</v>
      </c>
      <c r="BZ141" s="1662" t="s">
        <v>2858</v>
      </c>
      <c r="CA141" s="1662" t="s">
        <v>2858</v>
      </c>
      <c r="CB141" s="1662" t="s">
        <v>2859</v>
      </c>
      <c r="CC141" s="1662" t="s">
        <v>2885</v>
      </c>
      <c r="CD141" s="1724">
        <v>9832.3700000000008</v>
      </c>
      <c r="CE141" s="1724">
        <v>9832.3700000000008</v>
      </c>
      <c r="CF141" s="1724">
        <v>6773.3</v>
      </c>
      <c r="CG141" s="1724">
        <v>68.89</v>
      </c>
      <c r="CH141" s="1724">
        <v>3059.07</v>
      </c>
      <c r="CI141" s="1724">
        <v>31.11</v>
      </c>
      <c r="CJ141" s="1724">
        <v>9832.3700000000008</v>
      </c>
      <c r="CK141" s="1724">
        <v>100</v>
      </c>
      <c r="CL141" s="1725" t="s">
        <v>2861</v>
      </c>
      <c r="CM141" s="1729">
        <v>43283</v>
      </c>
      <c r="CN141" s="1727"/>
      <c r="CO141" s="1728"/>
      <c r="CP141" s="1726"/>
      <c r="CQ141" s="1724">
        <v>6773.3</v>
      </c>
      <c r="CR141" s="1724">
        <v>6224.11</v>
      </c>
      <c r="CS141" s="1724">
        <v>549.19000000000005</v>
      </c>
      <c r="CT141" s="1728" t="s">
        <v>2861</v>
      </c>
      <c r="CU141" s="1729">
        <v>43336</v>
      </c>
      <c r="CV141" s="1724">
        <v>9832.3700000000008</v>
      </c>
      <c r="CW141" s="1724">
        <v>0</v>
      </c>
      <c r="CX141" s="1724">
        <v>0</v>
      </c>
      <c r="CY141" s="1724">
        <v>0</v>
      </c>
      <c r="CZ141" s="1724">
        <v>0</v>
      </c>
      <c r="DA141" s="1724">
        <v>7993.9</v>
      </c>
      <c r="DB141" s="1724">
        <v>0</v>
      </c>
      <c r="DC141" s="1724">
        <v>1838.47</v>
      </c>
      <c r="DD141" s="1724">
        <v>6773.3</v>
      </c>
      <c r="DE141" s="1724">
        <v>6773.3</v>
      </c>
      <c r="DF141" s="1724">
        <v>6224.11</v>
      </c>
      <c r="DG141" s="1724">
        <v>549.19000000000005</v>
      </c>
      <c r="DH141" s="1724">
        <v>3059.07</v>
      </c>
      <c r="DI141" s="1724">
        <v>0</v>
      </c>
      <c r="DJ141" s="1724">
        <v>0</v>
      </c>
      <c r="DK141" s="1724">
        <v>0</v>
      </c>
      <c r="DL141" s="1724">
        <v>0</v>
      </c>
      <c r="DM141" s="1724">
        <v>3059.07</v>
      </c>
      <c r="DN141" s="1724">
        <v>3059.07</v>
      </c>
      <c r="DO141" s="1724">
        <v>0</v>
      </c>
      <c r="DP141" s="1724">
        <v>0</v>
      </c>
      <c r="DQ141" s="1728" t="s">
        <v>2928</v>
      </c>
      <c r="DR141" s="1724">
        <v>0</v>
      </c>
      <c r="DS141" s="1728" t="s">
        <v>2833</v>
      </c>
      <c r="DT141" s="1726"/>
      <c r="DU141" s="1728" t="s">
        <v>2833</v>
      </c>
      <c r="DV141" s="1726"/>
    </row>
    <row r="142" spans="1:126" ht="135" x14ac:dyDescent="0.25">
      <c r="A142" s="1662" t="s">
        <v>2182</v>
      </c>
      <c r="B142" s="1662" t="s">
        <v>1727</v>
      </c>
      <c r="C142" s="1662" t="s">
        <v>2648</v>
      </c>
      <c r="D142" s="1662" t="s">
        <v>2649</v>
      </c>
      <c r="E142" s="1662" t="s">
        <v>2444</v>
      </c>
      <c r="F142" s="1662" t="s">
        <v>3241</v>
      </c>
      <c r="G142" s="1662" t="s">
        <v>2635</v>
      </c>
      <c r="H142" s="1662" t="s">
        <v>2644</v>
      </c>
      <c r="I142" s="1662" t="s">
        <v>2645</v>
      </c>
      <c r="J142" s="1662" t="s">
        <v>3281</v>
      </c>
      <c r="K142" s="1664">
        <v>43235</v>
      </c>
      <c r="L142" s="1664">
        <v>43348</v>
      </c>
      <c r="M142" s="1662" t="s">
        <v>3282</v>
      </c>
      <c r="N142" s="1662" t="s">
        <v>2109</v>
      </c>
      <c r="O142" s="1662" t="s">
        <v>3283</v>
      </c>
      <c r="P142" s="1662" t="s">
        <v>2833</v>
      </c>
      <c r="Q142" s="1662" t="s">
        <v>2606</v>
      </c>
      <c r="R142" s="1662" t="s">
        <v>2833</v>
      </c>
      <c r="S142" s="1662" t="s">
        <v>2833</v>
      </c>
      <c r="T142" s="1662" t="s">
        <v>2861</v>
      </c>
      <c r="U142" s="1662" t="s">
        <v>2834</v>
      </c>
      <c r="V142" s="1662" t="s">
        <v>2833</v>
      </c>
      <c r="W142" s="1662" t="s">
        <v>2833</v>
      </c>
      <c r="X142" s="1662" t="s">
        <v>2833</v>
      </c>
      <c r="Y142" s="1662" t="s">
        <v>2833</v>
      </c>
      <c r="Z142" s="1662" t="s">
        <v>2861</v>
      </c>
      <c r="AA142" s="1662" t="s">
        <v>2833</v>
      </c>
      <c r="AB142" s="1662" t="s">
        <v>2833</v>
      </c>
      <c r="AC142" s="1662" t="s">
        <v>2833</v>
      </c>
      <c r="AD142" s="1662" t="s">
        <v>2833</v>
      </c>
      <c r="AE142" s="1662"/>
      <c r="AF142" s="1662" t="s">
        <v>3243</v>
      </c>
      <c r="AG142" s="1662" t="s">
        <v>3068</v>
      </c>
      <c r="AH142" s="1662" t="s">
        <v>3031</v>
      </c>
      <c r="AI142" s="1662" t="s">
        <v>2838</v>
      </c>
      <c r="AJ142" s="1662" t="s">
        <v>2839</v>
      </c>
      <c r="AK142" s="1662" t="s">
        <v>3158</v>
      </c>
      <c r="AL142" s="1662" t="s">
        <v>3245</v>
      </c>
      <c r="AM142" s="1665">
        <v>100</v>
      </c>
      <c r="AN142" s="1662"/>
      <c r="AO142" s="1662"/>
      <c r="AP142" s="1662"/>
      <c r="AQ142" s="1662"/>
      <c r="AR142" s="1662"/>
      <c r="AS142" s="1662"/>
      <c r="AT142" s="1662" t="s">
        <v>2946</v>
      </c>
      <c r="AU142" s="1662" t="s">
        <v>3246</v>
      </c>
      <c r="AV142" s="1662" t="s">
        <v>3105</v>
      </c>
      <c r="AW142" s="1662" t="s">
        <v>3160</v>
      </c>
      <c r="AX142" s="1662" t="s">
        <v>3106</v>
      </c>
      <c r="AY142" s="1662" t="s">
        <v>2845</v>
      </c>
      <c r="AZ142" s="1662" t="s">
        <v>3256</v>
      </c>
      <c r="BA142" s="1662" t="s">
        <v>3257</v>
      </c>
      <c r="BB142" s="1662" t="s">
        <v>2833</v>
      </c>
      <c r="BC142" s="1662" t="s">
        <v>2876</v>
      </c>
      <c r="BD142" s="1662" t="s">
        <v>2849</v>
      </c>
      <c r="BE142" s="1662" t="s">
        <v>3284</v>
      </c>
      <c r="BF142" s="1662" t="s">
        <v>3285</v>
      </c>
      <c r="BG142" s="1662" t="s">
        <v>3260</v>
      </c>
      <c r="BH142" s="1662" t="s">
        <v>2606</v>
      </c>
      <c r="BI142" s="1662" t="s">
        <v>2853</v>
      </c>
      <c r="BJ142" s="1662" t="s">
        <v>3252</v>
      </c>
      <c r="BK142" s="1662" t="s">
        <v>2946</v>
      </c>
      <c r="BL142" s="1662" t="s">
        <v>2833</v>
      </c>
      <c r="BM142" s="1662" t="s">
        <v>2833</v>
      </c>
      <c r="BN142" s="1665">
        <v>0</v>
      </c>
      <c r="BO142" s="1664">
        <v>43348</v>
      </c>
      <c r="BP142" s="1664">
        <v>43439</v>
      </c>
      <c r="BQ142" s="1662" t="s">
        <v>3035</v>
      </c>
      <c r="BR142" s="1664">
        <v>47483</v>
      </c>
      <c r="BS142" s="1662" t="s">
        <v>3261</v>
      </c>
      <c r="BT142" s="1662" t="s">
        <v>3262</v>
      </c>
      <c r="BU142" s="1665">
        <v>30</v>
      </c>
      <c r="BV142" s="1665">
        <v>780.8</v>
      </c>
      <c r="BW142" s="1664">
        <v>43499</v>
      </c>
      <c r="BX142" s="1668"/>
      <c r="BY142" s="1662" t="s">
        <v>2096</v>
      </c>
      <c r="BZ142" s="1662" t="s">
        <v>2858</v>
      </c>
      <c r="CA142" s="1662" t="s">
        <v>2858</v>
      </c>
      <c r="CB142" s="1662" t="s">
        <v>2859</v>
      </c>
      <c r="CC142" s="1662" t="s">
        <v>2993</v>
      </c>
      <c r="CD142" s="1724">
        <v>3799.5</v>
      </c>
      <c r="CE142" s="1724">
        <v>3799.5</v>
      </c>
      <c r="CF142" s="1724">
        <v>2602.66</v>
      </c>
      <c r="CG142" s="1724">
        <v>68.5</v>
      </c>
      <c r="CH142" s="1724">
        <v>1196.8399999999999</v>
      </c>
      <c r="CI142" s="1724">
        <v>31.5</v>
      </c>
      <c r="CJ142" s="1724">
        <v>3799.5</v>
      </c>
      <c r="CK142" s="1724">
        <v>100</v>
      </c>
      <c r="CL142" s="1725" t="s">
        <v>2861</v>
      </c>
      <c r="CM142" s="1729">
        <v>43290</v>
      </c>
      <c r="CN142" s="1727"/>
      <c r="CO142" s="1728"/>
      <c r="CP142" s="1726"/>
      <c r="CQ142" s="1724">
        <v>2602.66</v>
      </c>
      <c r="CR142" s="1724">
        <v>2391.63</v>
      </c>
      <c r="CS142" s="1724">
        <v>211.03</v>
      </c>
      <c r="CT142" s="1728" t="s">
        <v>2861</v>
      </c>
      <c r="CU142" s="1729">
        <v>43326</v>
      </c>
      <c r="CV142" s="1724">
        <v>3799.5</v>
      </c>
      <c r="CW142" s="1724">
        <v>0</v>
      </c>
      <c r="CX142" s="1724">
        <v>0</v>
      </c>
      <c r="CY142" s="1724">
        <v>0</v>
      </c>
      <c r="CZ142" s="1724">
        <v>0</v>
      </c>
      <c r="DA142" s="1724">
        <v>3039.6</v>
      </c>
      <c r="DB142" s="1724">
        <v>0</v>
      </c>
      <c r="DC142" s="1724">
        <v>759.9</v>
      </c>
      <c r="DD142" s="1724">
        <v>2602.66</v>
      </c>
      <c r="DE142" s="1724">
        <v>2602.66</v>
      </c>
      <c r="DF142" s="1724">
        <v>2391.63</v>
      </c>
      <c r="DG142" s="1724">
        <v>211.03</v>
      </c>
      <c r="DH142" s="1724">
        <v>1196.8399999999999</v>
      </c>
      <c r="DI142" s="1724">
        <v>0</v>
      </c>
      <c r="DJ142" s="1724">
        <v>0</v>
      </c>
      <c r="DK142" s="1724">
        <v>0</v>
      </c>
      <c r="DL142" s="1724">
        <v>0</v>
      </c>
      <c r="DM142" s="1724">
        <v>1196.8399999999999</v>
      </c>
      <c r="DN142" s="1724">
        <v>1196.8399999999999</v>
      </c>
      <c r="DO142" s="1724">
        <v>0</v>
      </c>
      <c r="DP142" s="1724">
        <v>0</v>
      </c>
      <c r="DQ142" s="1728" t="s">
        <v>2886</v>
      </c>
      <c r="DR142" s="1724">
        <v>0</v>
      </c>
      <c r="DS142" s="1728" t="s">
        <v>2833</v>
      </c>
      <c r="DT142" s="1726"/>
      <c r="DU142" s="1728" t="s">
        <v>2833</v>
      </c>
      <c r="DV142" s="1726"/>
    </row>
    <row r="143" spans="1:126" ht="225" x14ac:dyDescent="0.25">
      <c r="A143" s="1662" t="s">
        <v>2183</v>
      </c>
      <c r="B143" s="1662" t="s">
        <v>1727</v>
      </c>
      <c r="C143" s="1662" t="s">
        <v>2648</v>
      </c>
      <c r="D143" s="1662" t="s">
        <v>2649</v>
      </c>
      <c r="E143" s="1662" t="s">
        <v>2444</v>
      </c>
      <c r="F143" s="1662" t="s">
        <v>3241</v>
      </c>
      <c r="G143" s="1662" t="s">
        <v>2635</v>
      </c>
      <c r="H143" s="1662" t="s">
        <v>2644</v>
      </c>
      <c r="I143" s="1662" t="s">
        <v>2645</v>
      </c>
      <c r="J143" s="1662" t="s">
        <v>2470</v>
      </c>
      <c r="K143" s="1664">
        <v>43235</v>
      </c>
      <c r="L143" s="1664">
        <v>43348</v>
      </c>
      <c r="M143" s="1662" t="s">
        <v>2471</v>
      </c>
      <c r="N143" s="1662" t="s">
        <v>2109</v>
      </c>
      <c r="O143" s="1662" t="s">
        <v>3286</v>
      </c>
      <c r="P143" s="1662" t="s">
        <v>2833</v>
      </c>
      <c r="Q143" s="1662" t="s">
        <v>1735</v>
      </c>
      <c r="R143" s="1662" t="s">
        <v>2833</v>
      </c>
      <c r="S143" s="1662" t="s">
        <v>2833</v>
      </c>
      <c r="T143" s="1662" t="s">
        <v>2861</v>
      </c>
      <c r="U143" s="1662" t="s">
        <v>2834</v>
      </c>
      <c r="V143" s="1662" t="s">
        <v>2833</v>
      </c>
      <c r="W143" s="1662" t="s">
        <v>2833</v>
      </c>
      <c r="X143" s="1662" t="s">
        <v>2833</v>
      </c>
      <c r="Y143" s="1662" t="s">
        <v>2833</v>
      </c>
      <c r="Z143" s="1662" t="s">
        <v>2861</v>
      </c>
      <c r="AA143" s="1662" t="s">
        <v>2833</v>
      </c>
      <c r="AB143" s="1662" t="s">
        <v>2833</v>
      </c>
      <c r="AC143" s="1662" t="s">
        <v>2833</v>
      </c>
      <c r="AD143" s="1662" t="s">
        <v>2833</v>
      </c>
      <c r="AE143" s="1662"/>
      <c r="AF143" s="1662" t="s">
        <v>3243</v>
      </c>
      <c r="AG143" s="1662" t="s">
        <v>3068</v>
      </c>
      <c r="AH143" s="1662" t="s">
        <v>3031</v>
      </c>
      <c r="AI143" s="1662" t="s">
        <v>2838</v>
      </c>
      <c r="AJ143" s="1662" t="s">
        <v>2839</v>
      </c>
      <c r="AK143" s="1662" t="s">
        <v>3158</v>
      </c>
      <c r="AL143" s="1662" t="s">
        <v>3245</v>
      </c>
      <c r="AM143" s="1665">
        <v>100</v>
      </c>
      <c r="AN143" s="1662"/>
      <c r="AO143" s="1662"/>
      <c r="AP143" s="1662"/>
      <c r="AQ143" s="1662"/>
      <c r="AR143" s="1662"/>
      <c r="AS143" s="1662"/>
      <c r="AT143" s="1662" t="s">
        <v>2946</v>
      </c>
      <c r="AU143" s="1662" t="s">
        <v>3246</v>
      </c>
      <c r="AV143" s="1662" t="s">
        <v>3105</v>
      </c>
      <c r="AW143" s="1662" t="s">
        <v>3160</v>
      </c>
      <c r="AX143" s="1662" t="s">
        <v>3106</v>
      </c>
      <c r="AY143" s="1662" t="s">
        <v>2845</v>
      </c>
      <c r="AZ143" s="1662" t="s">
        <v>3287</v>
      </c>
      <c r="BA143" s="1662" t="s">
        <v>3288</v>
      </c>
      <c r="BB143" s="1662" t="s">
        <v>2833</v>
      </c>
      <c r="BC143" s="1662" t="s">
        <v>2876</v>
      </c>
      <c r="BD143" s="1662" t="s">
        <v>2849</v>
      </c>
      <c r="BE143" s="1662" t="s">
        <v>3289</v>
      </c>
      <c r="BF143" s="1662" t="s">
        <v>3290</v>
      </c>
      <c r="BG143" s="1662" t="s">
        <v>3291</v>
      </c>
      <c r="BH143" s="1662" t="s">
        <v>2050</v>
      </c>
      <c r="BI143" s="1662" t="s">
        <v>2853</v>
      </c>
      <c r="BJ143" s="1662" t="s">
        <v>3252</v>
      </c>
      <c r="BK143" s="1662" t="s">
        <v>2946</v>
      </c>
      <c r="BL143" s="1662" t="s">
        <v>2833</v>
      </c>
      <c r="BM143" s="1662" t="s">
        <v>2833</v>
      </c>
      <c r="BN143" s="1665">
        <v>0</v>
      </c>
      <c r="BO143" s="1664">
        <v>43348</v>
      </c>
      <c r="BP143" s="1664">
        <v>43713</v>
      </c>
      <c r="BQ143" s="1662" t="s">
        <v>3035</v>
      </c>
      <c r="BR143" s="1664">
        <v>47483</v>
      </c>
      <c r="BS143" s="1662" t="s">
        <v>2893</v>
      </c>
      <c r="BT143" s="1662" t="s">
        <v>3292</v>
      </c>
      <c r="BU143" s="1665">
        <v>30</v>
      </c>
      <c r="BV143" s="1665">
        <v>2396.69</v>
      </c>
      <c r="BW143" s="1664">
        <v>43773</v>
      </c>
      <c r="BX143" s="1668"/>
      <c r="BY143" s="1662" t="s">
        <v>2096</v>
      </c>
      <c r="BZ143" s="1662" t="s">
        <v>2858</v>
      </c>
      <c r="CA143" s="1662" t="s">
        <v>2858</v>
      </c>
      <c r="CB143" s="1662" t="s">
        <v>2859</v>
      </c>
      <c r="CC143" s="1662" t="s">
        <v>2993</v>
      </c>
      <c r="CD143" s="1724">
        <v>12926.88</v>
      </c>
      <c r="CE143" s="1724">
        <v>12926.88</v>
      </c>
      <c r="CF143" s="1724">
        <v>7988.96</v>
      </c>
      <c r="CG143" s="1724">
        <v>61.8</v>
      </c>
      <c r="CH143" s="1724">
        <v>4937.92</v>
      </c>
      <c r="CI143" s="1724">
        <v>38.200000000000003</v>
      </c>
      <c r="CJ143" s="1724">
        <v>12926.88</v>
      </c>
      <c r="CK143" s="1724">
        <v>100</v>
      </c>
      <c r="CL143" s="1725" t="s">
        <v>2861</v>
      </c>
      <c r="CM143" s="1729">
        <v>43290</v>
      </c>
      <c r="CN143" s="1727"/>
      <c r="CO143" s="1728"/>
      <c r="CP143" s="1726"/>
      <c r="CQ143" s="1724">
        <v>7988.96</v>
      </c>
      <c r="CR143" s="1724">
        <v>7341.21</v>
      </c>
      <c r="CS143" s="1724">
        <v>647.75</v>
      </c>
      <c r="CT143" s="1728" t="s">
        <v>2861</v>
      </c>
      <c r="CU143" s="1729">
        <v>43326</v>
      </c>
      <c r="CV143" s="1724">
        <v>12926.88</v>
      </c>
      <c r="CW143" s="1724">
        <v>0</v>
      </c>
      <c r="CX143" s="1724">
        <v>0</v>
      </c>
      <c r="CY143" s="1724">
        <v>0</v>
      </c>
      <c r="CZ143" s="1724">
        <v>3770.96</v>
      </c>
      <c r="DA143" s="1724">
        <v>6570.92</v>
      </c>
      <c r="DB143" s="1724">
        <v>0</v>
      </c>
      <c r="DC143" s="1724">
        <v>2585</v>
      </c>
      <c r="DD143" s="1724">
        <v>7988.96</v>
      </c>
      <c r="DE143" s="1724">
        <v>7988.96</v>
      </c>
      <c r="DF143" s="1724">
        <v>7341.21</v>
      </c>
      <c r="DG143" s="1724">
        <v>647.75</v>
      </c>
      <c r="DH143" s="1724">
        <v>4937.92</v>
      </c>
      <c r="DI143" s="1724">
        <v>0</v>
      </c>
      <c r="DJ143" s="1724">
        <v>0</v>
      </c>
      <c r="DK143" s="1724">
        <v>0</v>
      </c>
      <c r="DL143" s="1724">
        <v>0</v>
      </c>
      <c r="DM143" s="1724">
        <v>4937.92</v>
      </c>
      <c r="DN143" s="1724">
        <v>4937.92</v>
      </c>
      <c r="DO143" s="1724">
        <v>0</v>
      </c>
      <c r="DP143" s="1724">
        <v>0</v>
      </c>
      <c r="DQ143" s="1728" t="s">
        <v>2886</v>
      </c>
      <c r="DR143" s="1724">
        <v>0</v>
      </c>
      <c r="DS143" s="1728" t="s">
        <v>2833</v>
      </c>
      <c r="DT143" s="1726"/>
      <c r="DU143" s="1728" t="s">
        <v>2833</v>
      </c>
      <c r="DV143" s="1726"/>
    </row>
    <row r="144" spans="1:126" ht="315" x14ac:dyDescent="0.25">
      <c r="A144" s="1662" t="s">
        <v>2184</v>
      </c>
      <c r="B144" s="1662" t="s">
        <v>1727</v>
      </c>
      <c r="C144" s="1662" t="s">
        <v>2648</v>
      </c>
      <c r="D144" s="1662" t="s">
        <v>2649</v>
      </c>
      <c r="E144" s="1662" t="s">
        <v>2444</v>
      </c>
      <c r="F144" s="1662" t="s">
        <v>3241</v>
      </c>
      <c r="G144" s="1662" t="s">
        <v>2635</v>
      </c>
      <c r="H144" s="1662" t="s">
        <v>2644</v>
      </c>
      <c r="I144" s="1662" t="s">
        <v>2645</v>
      </c>
      <c r="J144" s="1662" t="s">
        <v>2475</v>
      </c>
      <c r="K144" s="1664">
        <v>43235</v>
      </c>
      <c r="L144" s="1664">
        <v>43348</v>
      </c>
      <c r="M144" s="1662" t="s">
        <v>2476</v>
      </c>
      <c r="N144" s="1662" t="s">
        <v>2109</v>
      </c>
      <c r="O144" s="1662" t="s">
        <v>3293</v>
      </c>
      <c r="P144" s="1662" t="s">
        <v>2833</v>
      </c>
      <c r="Q144" s="1662" t="s">
        <v>1750</v>
      </c>
      <c r="R144" s="1662" t="s">
        <v>2833</v>
      </c>
      <c r="S144" s="1662" t="s">
        <v>2833</v>
      </c>
      <c r="T144" s="1662" t="s">
        <v>2861</v>
      </c>
      <c r="U144" s="1662" t="s">
        <v>2834</v>
      </c>
      <c r="V144" s="1662" t="s">
        <v>2833</v>
      </c>
      <c r="W144" s="1662" t="s">
        <v>2833</v>
      </c>
      <c r="X144" s="1662" t="s">
        <v>2833</v>
      </c>
      <c r="Y144" s="1662" t="s">
        <v>2833</v>
      </c>
      <c r="Z144" s="1662" t="s">
        <v>2861</v>
      </c>
      <c r="AA144" s="1662" t="s">
        <v>2833</v>
      </c>
      <c r="AB144" s="1662" t="s">
        <v>2833</v>
      </c>
      <c r="AC144" s="1662" t="s">
        <v>2833</v>
      </c>
      <c r="AD144" s="1662" t="s">
        <v>2833</v>
      </c>
      <c r="AE144" s="1662"/>
      <c r="AF144" s="1662" t="s">
        <v>3243</v>
      </c>
      <c r="AG144" s="1662" t="s">
        <v>3068</v>
      </c>
      <c r="AH144" s="1662" t="s">
        <v>3244</v>
      </c>
      <c r="AI144" s="1662" t="s">
        <v>2838</v>
      </c>
      <c r="AJ144" s="1662" t="s">
        <v>2839</v>
      </c>
      <c r="AK144" s="1662" t="s">
        <v>3158</v>
      </c>
      <c r="AL144" s="1662" t="s">
        <v>3245</v>
      </c>
      <c r="AM144" s="1665">
        <v>100</v>
      </c>
      <c r="AN144" s="1662"/>
      <c r="AO144" s="1662"/>
      <c r="AP144" s="1662"/>
      <c r="AQ144" s="1662"/>
      <c r="AR144" s="1662"/>
      <c r="AS144" s="1662"/>
      <c r="AT144" s="1662" t="s">
        <v>2946</v>
      </c>
      <c r="AU144" s="1662" t="s">
        <v>3246</v>
      </c>
      <c r="AV144" s="1662" t="s">
        <v>3105</v>
      </c>
      <c r="AW144" s="1662" t="s">
        <v>3160</v>
      </c>
      <c r="AX144" s="1662" t="s">
        <v>3106</v>
      </c>
      <c r="AY144" s="1662" t="s">
        <v>2845</v>
      </c>
      <c r="AZ144" s="1662" t="s">
        <v>3294</v>
      </c>
      <c r="BA144" s="1662" t="s">
        <v>3295</v>
      </c>
      <c r="BB144" s="1662" t="s">
        <v>2833</v>
      </c>
      <c r="BC144" s="1662" t="s">
        <v>3296</v>
      </c>
      <c r="BD144" s="1662" t="s">
        <v>2937</v>
      </c>
      <c r="BE144" s="1662" t="s">
        <v>3297</v>
      </c>
      <c r="BF144" s="1662" t="s">
        <v>3298</v>
      </c>
      <c r="BG144" s="1662" t="s">
        <v>3299</v>
      </c>
      <c r="BH144" s="1662" t="s">
        <v>2050</v>
      </c>
      <c r="BI144" s="1662" t="s">
        <v>2853</v>
      </c>
      <c r="BJ144" s="1662" t="s">
        <v>3252</v>
      </c>
      <c r="BK144" s="1662" t="s">
        <v>2946</v>
      </c>
      <c r="BL144" s="1662" t="s">
        <v>2833</v>
      </c>
      <c r="BM144" s="1662" t="s">
        <v>2833</v>
      </c>
      <c r="BN144" s="1665">
        <v>0</v>
      </c>
      <c r="BO144" s="1664">
        <v>43348</v>
      </c>
      <c r="BP144" s="1664">
        <v>44079</v>
      </c>
      <c r="BQ144" s="1662" t="s">
        <v>2855</v>
      </c>
      <c r="BR144" s="1664">
        <v>47483</v>
      </c>
      <c r="BS144" s="1662" t="s">
        <v>3095</v>
      </c>
      <c r="BT144" s="1662" t="s">
        <v>3300</v>
      </c>
      <c r="BU144" s="1665">
        <v>30</v>
      </c>
      <c r="BV144" s="1665">
        <v>8171.55</v>
      </c>
      <c r="BW144" s="1664">
        <v>44138</v>
      </c>
      <c r="BX144" s="1668"/>
      <c r="BY144" s="1662" t="s">
        <v>2096</v>
      </c>
      <c r="BZ144" s="1662" t="s">
        <v>2858</v>
      </c>
      <c r="CA144" s="1662" t="s">
        <v>2858</v>
      </c>
      <c r="CB144" s="1662" t="s">
        <v>2858</v>
      </c>
      <c r="CC144" s="1662" t="s">
        <v>2885</v>
      </c>
      <c r="CD144" s="1724">
        <v>39491.67</v>
      </c>
      <c r="CE144" s="1724">
        <v>39491.67</v>
      </c>
      <c r="CF144" s="1724">
        <v>27238.5</v>
      </c>
      <c r="CG144" s="1724">
        <v>68.97</v>
      </c>
      <c r="CH144" s="1724">
        <v>12253.17</v>
      </c>
      <c r="CI144" s="1724">
        <v>31.03</v>
      </c>
      <c r="CJ144" s="1724">
        <v>39491.67</v>
      </c>
      <c r="CK144" s="1724">
        <v>100</v>
      </c>
      <c r="CL144" s="1725" t="s">
        <v>2861</v>
      </c>
      <c r="CM144" s="1729">
        <v>43290</v>
      </c>
      <c r="CN144" s="1727"/>
      <c r="CO144" s="1728"/>
      <c r="CP144" s="1726"/>
      <c r="CQ144" s="1724">
        <v>27238.5</v>
      </c>
      <c r="CR144" s="1724">
        <v>25029.97</v>
      </c>
      <c r="CS144" s="1724">
        <v>2208.5300000000002</v>
      </c>
      <c r="CT144" s="1728" t="s">
        <v>2861</v>
      </c>
      <c r="CU144" s="1729">
        <v>43326</v>
      </c>
      <c r="CV144" s="1724">
        <v>39491.67</v>
      </c>
      <c r="CW144" s="1724">
        <v>0</v>
      </c>
      <c r="CX144" s="1724">
        <v>0</v>
      </c>
      <c r="CY144" s="1724">
        <v>0</v>
      </c>
      <c r="CZ144" s="1724">
        <v>10596</v>
      </c>
      <c r="DA144" s="1724">
        <v>21426.6</v>
      </c>
      <c r="DB144" s="1724">
        <v>0</v>
      </c>
      <c r="DC144" s="1724">
        <v>7469.07</v>
      </c>
      <c r="DD144" s="1724">
        <v>27238.5</v>
      </c>
      <c r="DE144" s="1724">
        <v>27238.5</v>
      </c>
      <c r="DF144" s="1724">
        <v>25029.97</v>
      </c>
      <c r="DG144" s="1724">
        <v>2208.5300000000002</v>
      </c>
      <c r="DH144" s="1724">
        <v>12253.17</v>
      </c>
      <c r="DI144" s="1724">
        <v>0</v>
      </c>
      <c r="DJ144" s="1724">
        <v>0</v>
      </c>
      <c r="DK144" s="1724">
        <v>0</v>
      </c>
      <c r="DL144" s="1724">
        <v>0</v>
      </c>
      <c r="DM144" s="1724">
        <v>12253.17</v>
      </c>
      <c r="DN144" s="1724">
        <v>12253.17</v>
      </c>
      <c r="DO144" s="1724">
        <v>0</v>
      </c>
      <c r="DP144" s="1724">
        <v>0</v>
      </c>
      <c r="DQ144" s="1728" t="s">
        <v>2928</v>
      </c>
      <c r="DR144" s="1724">
        <v>0</v>
      </c>
      <c r="DS144" s="1728" t="s">
        <v>2833</v>
      </c>
      <c r="DT144" s="1726"/>
      <c r="DU144" s="1728" t="s">
        <v>2833</v>
      </c>
      <c r="DV144" s="1726"/>
    </row>
    <row r="145" spans="1:126" ht="191.25" x14ac:dyDescent="0.25">
      <c r="A145" s="1662" t="s">
        <v>2185</v>
      </c>
      <c r="B145" s="1662" t="s">
        <v>1727</v>
      </c>
      <c r="C145" s="1662" t="s">
        <v>2648</v>
      </c>
      <c r="D145" s="1662" t="s">
        <v>2649</v>
      </c>
      <c r="E145" s="1662" t="s">
        <v>2444</v>
      </c>
      <c r="F145" s="1662" t="s">
        <v>3241</v>
      </c>
      <c r="G145" s="1662" t="s">
        <v>2635</v>
      </c>
      <c r="H145" s="1662" t="s">
        <v>2644</v>
      </c>
      <c r="I145" s="1662" t="s">
        <v>2645</v>
      </c>
      <c r="J145" s="1662" t="s">
        <v>2650</v>
      </c>
      <c r="K145" s="1664">
        <v>43235</v>
      </c>
      <c r="L145" s="1664">
        <v>43348</v>
      </c>
      <c r="M145" s="1662" t="s">
        <v>2651</v>
      </c>
      <c r="N145" s="1662" t="s">
        <v>2109</v>
      </c>
      <c r="O145" s="1662" t="s">
        <v>3301</v>
      </c>
      <c r="P145" s="1662" t="s">
        <v>2833</v>
      </c>
      <c r="Q145" s="1662" t="s">
        <v>1735</v>
      </c>
      <c r="R145" s="1662" t="s">
        <v>2833</v>
      </c>
      <c r="S145" s="1662" t="s">
        <v>2861</v>
      </c>
      <c r="T145" s="1662" t="s">
        <v>2861</v>
      </c>
      <c r="U145" s="1662" t="s">
        <v>2834</v>
      </c>
      <c r="V145" s="1662" t="s">
        <v>2833</v>
      </c>
      <c r="W145" s="1662" t="s">
        <v>2833</v>
      </c>
      <c r="X145" s="1662" t="s">
        <v>2833</v>
      </c>
      <c r="Y145" s="1662" t="s">
        <v>2833</v>
      </c>
      <c r="Z145" s="1662" t="s">
        <v>2861</v>
      </c>
      <c r="AA145" s="1662" t="s">
        <v>2833</v>
      </c>
      <c r="AB145" s="1662" t="s">
        <v>2833</v>
      </c>
      <c r="AC145" s="1662" t="s">
        <v>2833</v>
      </c>
      <c r="AD145" s="1662" t="s">
        <v>2833</v>
      </c>
      <c r="AE145" s="1662"/>
      <c r="AF145" s="1662" t="s">
        <v>3243</v>
      </c>
      <c r="AG145" s="1662" t="s">
        <v>3068</v>
      </c>
      <c r="AH145" s="1662" t="s">
        <v>3031</v>
      </c>
      <c r="AI145" s="1662" t="s">
        <v>2838</v>
      </c>
      <c r="AJ145" s="1662" t="s">
        <v>2839</v>
      </c>
      <c r="AK145" s="1662" t="s">
        <v>3158</v>
      </c>
      <c r="AL145" s="1662" t="s">
        <v>3245</v>
      </c>
      <c r="AM145" s="1665">
        <v>100</v>
      </c>
      <c r="AN145" s="1662"/>
      <c r="AO145" s="1662"/>
      <c r="AP145" s="1662"/>
      <c r="AQ145" s="1662"/>
      <c r="AR145" s="1662"/>
      <c r="AS145" s="1662"/>
      <c r="AT145" s="1662" t="s">
        <v>2946</v>
      </c>
      <c r="AU145" s="1662" t="s">
        <v>3246</v>
      </c>
      <c r="AV145" s="1662" t="s">
        <v>3105</v>
      </c>
      <c r="AW145" s="1662" t="s">
        <v>3160</v>
      </c>
      <c r="AX145" s="1662" t="s">
        <v>3106</v>
      </c>
      <c r="AY145" s="1662" t="s">
        <v>2845</v>
      </c>
      <c r="AZ145" s="1662" t="s">
        <v>3287</v>
      </c>
      <c r="BA145" s="1662" t="s">
        <v>3288</v>
      </c>
      <c r="BB145" s="1662" t="s">
        <v>2833</v>
      </c>
      <c r="BC145" s="1662" t="s">
        <v>2876</v>
      </c>
      <c r="BD145" s="1662" t="s">
        <v>2849</v>
      </c>
      <c r="BE145" s="1662" t="s">
        <v>3302</v>
      </c>
      <c r="BF145" s="1662" t="s">
        <v>3303</v>
      </c>
      <c r="BG145" s="1662" t="s">
        <v>3291</v>
      </c>
      <c r="BH145" s="1662" t="s">
        <v>2050</v>
      </c>
      <c r="BI145" s="1662" t="s">
        <v>2853</v>
      </c>
      <c r="BJ145" s="1662" t="s">
        <v>3252</v>
      </c>
      <c r="BK145" s="1662" t="s">
        <v>2946</v>
      </c>
      <c r="BL145" s="1662" t="s">
        <v>2833</v>
      </c>
      <c r="BM145" s="1662" t="s">
        <v>2833</v>
      </c>
      <c r="BN145" s="1665">
        <v>0</v>
      </c>
      <c r="BO145" s="1664">
        <v>43348</v>
      </c>
      <c r="BP145" s="1664">
        <v>43713</v>
      </c>
      <c r="BQ145" s="1662" t="s">
        <v>3035</v>
      </c>
      <c r="BR145" s="1664">
        <v>47483</v>
      </c>
      <c r="BS145" s="1662" t="s">
        <v>2893</v>
      </c>
      <c r="BT145" s="1662" t="s">
        <v>3304</v>
      </c>
      <c r="BU145" s="1665">
        <v>30</v>
      </c>
      <c r="BV145" s="1665">
        <v>1832.92</v>
      </c>
      <c r="BW145" s="1664">
        <v>43743</v>
      </c>
      <c r="BX145" s="1668"/>
      <c r="BY145" s="1662" t="s">
        <v>2096</v>
      </c>
      <c r="BZ145" s="1662" t="s">
        <v>2858</v>
      </c>
      <c r="CA145" s="1662" t="s">
        <v>2858</v>
      </c>
      <c r="CB145" s="1662" t="s">
        <v>2859</v>
      </c>
      <c r="CC145" s="1662" t="s">
        <v>2993</v>
      </c>
      <c r="CD145" s="1724">
        <v>8790.99</v>
      </c>
      <c r="CE145" s="1724">
        <v>8790.99</v>
      </c>
      <c r="CF145" s="1724">
        <v>6109.74</v>
      </c>
      <c r="CG145" s="1724">
        <v>69.5</v>
      </c>
      <c r="CH145" s="1724">
        <v>2681.25</v>
      </c>
      <c r="CI145" s="1724">
        <v>30.5</v>
      </c>
      <c r="CJ145" s="1724">
        <v>8790.99</v>
      </c>
      <c r="CK145" s="1724">
        <v>100</v>
      </c>
      <c r="CL145" s="1725" t="s">
        <v>2861</v>
      </c>
      <c r="CM145" s="1729">
        <v>43290</v>
      </c>
      <c r="CN145" s="1727"/>
      <c r="CO145" s="1728"/>
      <c r="CP145" s="1726"/>
      <c r="CQ145" s="1724">
        <v>6109.74</v>
      </c>
      <c r="CR145" s="1724">
        <v>5614.36</v>
      </c>
      <c r="CS145" s="1724">
        <v>495.38</v>
      </c>
      <c r="CT145" s="1728" t="s">
        <v>2861</v>
      </c>
      <c r="CU145" s="1729">
        <v>43326</v>
      </c>
      <c r="CV145" s="1724">
        <v>8790.99</v>
      </c>
      <c r="CW145" s="1724">
        <v>0</v>
      </c>
      <c r="CX145" s="1724">
        <v>0</v>
      </c>
      <c r="CY145" s="1724">
        <v>0</v>
      </c>
      <c r="CZ145" s="1724">
        <v>1279</v>
      </c>
      <c r="DA145" s="1724">
        <v>5883.24</v>
      </c>
      <c r="DB145" s="1724">
        <v>0</v>
      </c>
      <c r="DC145" s="1724">
        <v>1628.75</v>
      </c>
      <c r="DD145" s="1724">
        <v>6109.74</v>
      </c>
      <c r="DE145" s="1724">
        <v>6109.74</v>
      </c>
      <c r="DF145" s="1724">
        <v>5614.36</v>
      </c>
      <c r="DG145" s="1724">
        <v>495.38</v>
      </c>
      <c r="DH145" s="1724">
        <v>2681.25</v>
      </c>
      <c r="DI145" s="1724">
        <v>0</v>
      </c>
      <c r="DJ145" s="1724">
        <v>0</v>
      </c>
      <c r="DK145" s="1724">
        <v>0</v>
      </c>
      <c r="DL145" s="1724">
        <v>0</v>
      </c>
      <c r="DM145" s="1724">
        <v>2681.25</v>
      </c>
      <c r="DN145" s="1724">
        <v>2681.25</v>
      </c>
      <c r="DO145" s="1724">
        <v>0</v>
      </c>
      <c r="DP145" s="1724">
        <v>0</v>
      </c>
      <c r="DQ145" s="1728" t="s">
        <v>2886</v>
      </c>
      <c r="DR145" s="1724">
        <v>0</v>
      </c>
      <c r="DS145" s="1728" t="s">
        <v>2833</v>
      </c>
      <c r="DT145" s="1726"/>
      <c r="DU145" s="1728" t="s">
        <v>2833</v>
      </c>
      <c r="DV145" s="1726"/>
    </row>
    <row r="146" spans="1:126" ht="135" x14ac:dyDescent="0.25">
      <c r="A146" s="1662" t="s">
        <v>2187</v>
      </c>
      <c r="B146" s="1662" t="s">
        <v>1727</v>
      </c>
      <c r="C146" s="1662" t="s">
        <v>2648</v>
      </c>
      <c r="D146" s="1662" t="s">
        <v>2649</v>
      </c>
      <c r="E146" s="1662" t="s">
        <v>2444</v>
      </c>
      <c r="F146" s="1662" t="s">
        <v>3241</v>
      </c>
      <c r="G146" s="1662" t="s">
        <v>2635</v>
      </c>
      <c r="H146" s="1662" t="s">
        <v>2644</v>
      </c>
      <c r="I146" s="1662" t="s">
        <v>2645</v>
      </c>
      <c r="J146" s="1662" t="s">
        <v>3305</v>
      </c>
      <c r="K146" s="1664">
        <v>43235</v>
      </c>
      <c r="L146" s="1664">
        <v>43348</v>
      </c>
      <c r="M146" s="1662" t="s">
        <v>3306</v>
      </c>
      <c r="N146" s="1662" t="s">
        <v>2109</v>
      </c>
      <c r="O146" s="1662" t="s">
        <v>3307</v>
      </c>
      <c r="P146" s="1662" t="s">
        <v>2833</v>
      </c>
      <c r="Q146" s="1662" t="s">
        <v>1750</v>
      </c>
      <c r="R146" s="1662" t="s">
        <v>2833</v>
      </c>
      <c r="S146" s="1662" t="s">
        <v>2861</v>
      </c>
      <c r="T146" s="1662" t="s">
        <v>2861</v>
      </c>
      <c r="U146" s="1662" t="s">
        <v>2834</v>
      </c>
      <c r="V146" s="1662" t="s">
        <v>2833</v>
      </c>
      <c r="W146" s="1662" t="s">
        <v>2833</v>
      </c>
      <c r="X146" s="1662" t="s">
        <v>2833</v>
      </c>
      <c r="Y146" s="1662" t="s">
        <v>2833</v>
      </c>
      <c r="Z146" s="1662" t="s">
        <v>2833</v>
      </c>
      <c r="AA146" s="1662" t="s">
        <v>2833</v>
      </c>
      <c r="AB146" s="1662" t="s">
        <v>2833</v>
      </c>
      <c r="AC146" s="1662" t="s">
        <v>2833</v>
      </c>
      <c r="AD146" s="1662" t="s">
        <v>2833</v>
      </c>
      <c r="AE146" s="1662"/>
      <c r="AF146" s="1662" t="s">
        <v>3243</v>
      </c>
      <c r="AG146" s="1662" t="s">
        <v>3068</v>
      </c>
      <c r="AH146" s="1662" t="s">
        <v>3244</v>
      </c>
      <c r="AI146" s="1662" t="s">
        <v>2838</v>
      </c>
      <c r="AJ146" s="1662" t="s">
        <v>2839</v>
      </c>
      <c r="AK146" s="1662" t="s">
        <v>3158</v>
      </c>
      <c r="AL146" s="1662" t="s">
        <v>3245</v>
      </c>
      <c r="AM146" s="1665">
        <v>100</v>
      </c>
      <c r="AN146" s="1662"/>
      <c r="AO146" s="1662"/>
      <c r="AP146" s="1662"/>
      <c r="AQ146" s="1662"/>
      <c r="AR146" s="1662"/>
      <c r="AS146" s="1662"/>
      <c r="AT146" s="1662" t="s">
        <v>2946</v>
      </c>
      <c r="AU146" s="1662" t="s">
        <v>3246</v>
      </c>
      <c r="AV146" s="1662" t="s">
        <v>3105</v>
      </c>
      <c r="AW146" s="1662" t="s">
        <v>3160</v>
      </c>
      <c r="AX146" s="1662" t="s">
        <v>3106</v>
      </c>
      <c r="AY146" s="1662" t="s">
        <v>2845</v>
      </c>
      <c r="AZ146" s="1662" t="s">
        <v>3308</v>
      </c>
      <c r="BA146" s="1662" t="s">
        <v>3309</v>
      </c>
      <c r="BB146" s="1662" t="s">
        <v>2833</v>
      </c>
      <c r="BC146" s="1662" t="s">
        <v>2922</v>
      </c>
      <c r="BD146" s="1662" t="s">
        <v>2937</v>
      </c>
      <c r="BE146" s="1662" t="s">
        <v>3310</v>
      </c>
      <c r="BF146" s="1662" t="s">
        <v>3311</v>
      </c>
      <c r="BG146" s="1662" t="s">
        <v>3312</v>
      </c>
      <c r="BH146" s="1662" t="s">
        <v>2880</v>
      </c>
      <c r="BI146" s="1662" t="s">
        <v>2853</v>
      </c>
      <c r="BJ146" s="1662" t="s">
        <v>3252</v>
      </c>
      <c r="BK146" s="1662" t="s">
        <v>2946</v>
      </c>
      <c r="BL146" s="1662" t="s">
        <v>2833</v>
      </c>
      <c r="BM146" s="1662" t="s">
        <v>2833</v>
      </c>
      <c r="BN146" s="1665">
        <v>0</v>
      </c>
      <c r="BO146" s="1664">
        <v>43348</v>
      </c>
      <c r="BP146" s="1664">
        <v>44079</v>
      </c>
      <c r="BQ146" s="1662" t="s">
        <v>3035</v>
      </c>
      <c r="BR146" s="1664">
        <v>47483</v>
      </c>
      <c r="BS146" s="1662" t="s">
        <v>3253</v>
      </c>
      <c r="BT146" s="1662" t="s">
        <v>3313</v>
      </c>
      <c r="BU146" s="1665">
        <v>30</v>
      </c>
      <c r="BV146" s="1665">
        <v>3660.48</v>
      </c>
      <c r="BW146" s="1664">
        <v>44139</v>
      </c>
      <c r="BX146" s="1668"/>
      <c r="BY146" s="1662" t="s">
        <v>2096</v>
      </c>
      <c r="BZ146" s="1662" t="s">
        <v>2858</v>
      </c>
      <c r="CA146" s="1662" t="s">
        <v>2858</v>
      </c>
      <c r="CB146" s="1662" t="s">
        <v>2858</v>
      </c>
      <c r="CC146" s="1662" t="s">
        <v>2993</v>
      </c>
      <c r="CD146" s="1724">
        <v>18000</v>
      </c>
      <c r="CE146" s="1724">
        <v>18000</v>
      </c>
      <c r="CF146" s="1724">
        <v>12201.6</v>
      </c>
      <c r="CG146" s="1724">
        <v>67.790000000000006</v>
      </c>
      <c r="CH146" s="1724">
        <v>5798.4</v>
      </c>
      <c r="CI146" s="1724">
        <v>32.21</v>
      </c>
      <c r="CJ146" s="1724">
        <v>18000</v>
      </c>
      <c r="CK146" s="1724">
        <v>100</v>
      </c>
      <c r="CL146" s="1725" t="s">
        <v>2861</v>
      </c>
      <c r="CM146" s="1729">
        <v>43290</v>
      </c>
      <c r="CN146" s="1727"/>
      <c r="CO146" s="1728"/>
      <c r="CP146" s="1726"/>
      <c r="CQ146" s="1724">
        <v>12201.6</v>
      </c>
      <c r="CR146" s="1724">
        <v>11212.28</v>
      </c>
      <c r="CS146" s="1724">
        <v>989.32</v>
      </c>
      <c r="CT146" s="1728" t="s">
        <v>2861</v>
      </c>
      <c r="CU146" s="1729">
        <v>43326</v>
      </c>
      <c r="CV146" s="1724">
        <v>18000</v>
      </c>
      <c r="CW146" s="1724">
        <v>0</v>
      </c>
      <c r="CX146" s="1724">
        <v>0</v>
      </c>
      <c r="CY146" s="1724">
        <v>0</v>
      </c>
      <c r="CZ146" s="1724">
        <v>3300</v>
      </c>
      <c r="DA146" s="1724">
        <v>11318.94</v>
      </c>
      <c r="DB146" s="1724">
        <v>0</v>
      </c>
      <c r="DC146" s="1724">
        <v>3381.06</v>
      </c>
      <c r="DD146" s="1724">
        <v>12201.6</v>
      </c>
      <c r="DE146" s="1724">
        <v>12201.6</v>
      </c>
      <c r="DF146" s="1724">
        <v>11212.28</v>
      </c>
      <c r="DG146" s="1724">
        <v>989.32</v>
      </c>
      <c r="DH146" s="1724">
        <v>5798.4</v>
      </c>
      <c r="DI146" s="1724">
        <v>0</v>
      </c>
      <c r="DJ146" s="1724">
        <v>0</v>
      </c>
      <c r="DK146" s="1724">
        <v>0</v>
      </c>
      <c r="DL146" s="1724">
        <v>0</v>
      </c>
      <c r="DM146" s="1724">
        <v>5798.4</v>
      </c>
      <c r="DN146" s="1724">
        <v>5798.4</v>
      </c>
      <c r="DO146" s="1724">
        <v>0</v>
      </c>
      <c r="DP146" s="1724">
        <v>0</v>
      </c>
      <c r="DQ146" s="1728" t="s">
        <v>2886</v>
      </c>
      <c r="DR146" s="1724">
        <v>0</v>
      </c>
      <c r="DS146" s="1728" t="s">
        <v>2833</v>
      </c>
      <c r="DT146" s="1726"/>
      <c r="DU146" s="1728" t="s">
        <v>2833</v>
      </c>
      <c r="DV146" s="1726"/>
    </row>
    <row r="147" spans="1:126" x14ac:dyDescent="0.25">
      <c r="A147" s="1662" t="s">
        <v>2188</v>
      </c>
      <c r="B147" s="1662" t="s">
        <v>1729</v>
      </c>
      <c r="C147" s="1662"/>
      <c r="D147" s="1662"/>
      <c r="E147" s="1662"/>
      <c r="F147" s="1662"/>
      <c r="G147" s="1662"/>
      <c r="H147" s="1662"/>
      <c r="I147" s="1662"/>
      <c r="J147" s="1662"/>
      <c r="K147" s="1668"/>
      <c r="L147" s="1668"/>
      <c r="M147" s="1662"/>
      <c r="N147" s="1662"/>
      <c r="O147" s="1662"/>
      <c r="P147" s="1662"/>
      <c r="Q147" s="1662"/>
      <c r="R147" s="1662"/>
      <c r="S147" s="1662"/>
      <c r="T147" s="1662"/>
      <c r="U147" s="1662"/>
      <c r="V147" s="1662"/>
      <c r="W147" s="1662"/>
      <c r="X147" s="1662"/>
      <c r="Y147" s="1662"/>
      <c r="Z147" s="1662"/>
      <c r="AA147" s="1662"/>
      <c r="AB147" s="1662"/>
      <c r="AC147" s="1662"/>
      <c r="AD147" s="1662"/>
      <c r="AE147" s="1662"/>
      <c r="AF147" s="1662"/>
      <c r="AG147" s="1662"/>
      <c r="AH147" s="1662"/>
      <c r="AI147" s="1662"/>
      <c r="AJ147" s="1662"/>
      <c r="AK147" s="1662"/>
      <c r="AL147" s="1662"/>
      <c r="AM147" s="1663"/>
      <c r="AN147" s="1662"/>
      <c r="AO147" s="1662"/>
      <c r="AP147" s="1662"/>
      <c r="AQ147" s="1662"/>
      <c r="AR147" s="1662"/>
      <c r="AS147" s="1662"/>
      <c r="AT147" s="1662"/>
      <c r="AU147" s="1662"/>
      <c r="AV147" s="1662"/>
      <c r="AW147" s="1662"/>
      <c r="AX147" s="1662"/>
      <c r="AY147" s="1662"/>
      <c r="AZ147" s="1662"/>
      <c r="BA147" s="1662"/>
      <c r="BB147" s="1662"/>
      <c r="BC147" s="1662"/>
      <c r="BD147" s="1662"/>
      <c r="BE147" s="1662"/>
      <c r="BF147" s="1662"/>
      <c r="BG147" s="1662"/>
      <c r="BH147" s="1662"/>
      <c r="BI147" s="1662"/>
      <c r="BJ147" s="1662"/>
      <c r="BK147" s="1662"/>
      <c r="BL147" s="1662"/>
      <c r="BM147" s="1662"/>
      <c r="BN147" s="1663"/>
      <c r="BO147" s="1668"/>
      <c r="BP147" s="1668"/>
      <c r="BQ147" s="1662"/>
      <c r="BR147" s="1668"/>
      <c r="BS147" s="1662"/>
      <c r="BT147" s="1662"/>
      <c r="BU147" s="1663"/>
      <c r="BV147" s="1665">
        <v>1190470.2</v>
      </c>
      <c r="BW147" s="1668"/>
      <c r="BX147" s="1668"/>
      <c r="BY147" s="1662"/>
      <c r="BZ147" s="1662"/>
      <c r="CA147" s="1662"/>
      <c r="CB147" s="1662"/>
      <c r="CC147" s="1662"/>
      <c r="CD147" s="1724">
        <v>4805342.71</v>
      </c>
      <c r="CE147" s="1724">
        <v>4776867.3600000003</v>
      </c>
      <c r="CF147" s="1724">
        <v>3968234</v>
      </c>
      <c r="CG147" s="1724">
        <v>83.07</v>
      </c>
      <c r="CH147" s="1724">
        <v>808633.36</v>
      </c>
      <c r="CI147" s="1724">
        <v>16.93</v>
      </c>
      <c r="CJ147" s="1724">
        <v>4776867.3600000003</v>
      </c>
      <c r="CK147" s="1724">
        <v>100</v>
      </c>
      <c r="CL147" s="1725"/>
      <c r="CM147" s="1726"/>
      <c r="CN147" s="1727"/>
      <c r="CO147" s="1728"/>
      <c r="CP147" s="1726"/>
      <c r="CQ147" s="1724">
        <v>3968234</v>
      </c>
      <c r="CR147" s="1724">
        <v>3766972</v>
      </c>
      <c r="CS147" s="1724">
        <v>201262</v>
      </c>
      <c r="CT147" s="1728"/>
      <c r="CU147" s="1726"/>
      <c r="CV147" s="1724">
        <v>4776867.3600000003</v>
      </c>
      <c r="CW147" s="1724">
        <v>0</v>
      </c>
      <c r="CX147" s="1724">
        <v>0</v>
      </c>
      <c r="CY147" s="1724">
        <v>3860247.89</v>
      </c>
      <c r="CZ147" s="1724">
        <v>866209.55</v>
      </c>
      <c r="DA147" s="1724">
        <v>12932.73</v>
      </c>
      <c r="DB147" s="1724">
        <v>200</v>
      </c>
      <c r="DC147" s="1724">
        <v>37277.19</v>
      </c>
      <c r="DD147" s="1724">
        <v>4776867.3600000003</v>
      </c>
      <c r="DE147" s="1724">
        <v>3968234</v>
      </c>
      <c r="DF147" s="1724">
        <v>3766972</v>
      </c>
      <c r="DG147" s="1724">
        <v>201262</v>
      </c>
      <c r="DH147" s="1724">
        <v>808633.36</v>
      </c>
      <c r="DI147" s="1724">
        <v>808633.36</v>
      </c>
      <c r="DJ147" s="1724">
        <v>0</v>
      </c>
      <c r="DK147" s="1724">
        <v>808633.36</v>
      </c>
      <c r="DL147" s="1724">
        <v>0</v>
      </c>
      <c r="DM147" s="1724">
        <v>0</v>
      </c>
      <c r="DN147" s="1724">
        <v>0</v>
      </c>
      <c r="DO147" s="1724">
        <v>0</v>
      </c>
      <c r="DP147" s="1724">
        <v>0</v>
      </c>
      <c r="DQ147" s="1728"/>
      <c r="DR147" s="1727"/>
      <c r="DS147" s="1728"/>
      <c r="DT147" s="1726"/>
      <c r="DU147" s="1728"/>
      <c r="DV147" s="1726"/>
    </row>
    <row r="148" spans="1:126" x14ac:dyDescent="0.25">
      <c r="A148" s="1662" t="s">
        <v>2189</v>
      </c>
      <c r="B148" s="1662" t="s">
        <v>1729</v>
      </c>
      <c r="C148" s="1662" t="s">
        <v>2652</v>
      </c>
      <c r="D148" s="1662"/>
      <c r="E148" s="1662"/>
      <c r="F148" s="1662"/>
      <c r="G148" s="1662"/>
      <c r="H148" s="1662"/>
      <c r="I148" s="1662"/>
      <c r="J148" s="1662"/>
      <c r="K148" s="1668"/>
      <c r="L148" s="1668"/>
      <c r="M148" s="1662"/>
      <c r="N148" s="1662"/>
      <c r="O148" s="1662"/>
      <c r="P148" s="1662"/>
      <c r="Q148" s="1662"/>
      <c r="R148" s="1662"/>
      <c r="S148" s="1662"/>
      <c r="T148" s="1662"/>
      <c r="U148" s="1662"/>
      <c r="V148" s="1662"/>
      <c r="W148" s="1662"/>
      <c r="X148" s="1662"/>
      <c r="Y148" s="1662"/>
      <c r="Z148" s="1662"/>
      <c r="AA148" s="1662"/>
      <c r="AB148" s="1662"/>
      <c r="AC148" s="1662"/>
      <c r="AD148" s="1662"/>
      <c r="AE148" s="1662"/>
      <c r="AF148" s="1662"/>
      <c r="AG148" s="1662"/>
      <c r="AH148" s="1662"/>
      <c r="AI148" s="1662"/>
      <c r="AJ148" s="1662"/>
      <c r="AK148" s="1662"/>
      <c r="AL148" s="1662"/>
      <c r="AM148" s="1663"/>
      <c r="AN148" s="1662"/>
      <c r="AO148" s="1662"/>
      <c r="AP148" s="1662"/>
      <c r="AQ148" s="1662"/>
      <c r="AR148" s="1662"/>
      <c r="AS148" s="1662"/>
      <c r="AT148" s="1662"/>
      <c r="AU148" s="1662"/>
      <c r="AV148" s="1662"/>
      <c r="AW148" s="1662"/>
      <c r="AX148" s="1662"/>
      <c r="AY148" s="1662"/>
      <c r="AZ148" s="1662"/>
      <c r="BA148" s="1662"/>
      <c r="BB148" s="1662"/>
      <c r="BC148" s="1662"/>
      <c r="BD148" s="1662"/>
      <c r="BE148" s="1662"/>
      <c r="BF148" s="1662"/>
      <c r="BG148" s="1662"/>
      <c r="BH148" s="1662"/>
      <c r="BI148" s="1662"/>
      <c r="BJ148" s="1662"/>
      <c r="BK148" s="1662"/>
      <c r="BL148" s="1662"/>
      <c r="BM148" s="1662"/>
      <c r="BN148" s="1663"/>
      <c r="BO148" s="1668"/>
      <c r="BP148" s="1668"/>
      <c r="BQ148" s="1662"/>
      <c r="BR148" s="1668"/>
      <c r="BS148" s="1662"/>
      <c r="BT148" s="1662"/>
      <c r="BU148" s="1663"/>
      <c r="BV148" s="1665">
        <v>1190470.2</v>
      </c>
      <c r="BW148" s="1668"/>
      <c r="BX148" s="1668"/>
      <c r="BY148" s="1662"/>
      <c r="BZ148" s="1662"/>
      <c r="CA148" s="1662"/>
      <c r="CB148" s="1662"/>
      <c r="CC148" s="1662"/>
      <c r="CD148" s="1724">
        <v>4805342.71</v>
      </c>
      <c r="CE148" s="1724">
        <v>4776867.3600000003</v>
      </c>
      <c r="CF148" s="1724">
        <v>3968234</v>
      </c>
      <c r="CG148" s="1724">
        <v>83.07</v>
      </c>
      <c r="CH148" s="1724">
        <v>808633.36</v>
      </c>
      <c r="CI148" s="1724">
        <v>16.93</v>
      </c>
      <c r="CJ148" s="1724">
        <v>4776867.3600000003</v>
      </c>
      <c r="CK148" s="1724">
        <v>100</v>
      </c>
      <c r="CL148" s="1725"/>
      <c r="CM148" s="1726"/>
      <c r="CN148" s="1727"/>
      <c r="CO148" s="1728"/>
      <c r="CP148" s="1726"/>
      <c r="CQ148" s="1724">
        <v>3968234</v>
      </c>
      <c r="CR148" s="1724">
        <v>3766972</v>
      </c>
      <c r="CS148" s="1724">
        <v>201262</v>
      </c>
      <c r="CT148" s="1728"/>
      <c r="CU148" s="1726"/>
      <c r="CV148" s="1724">
        <v>4776867.3600000003</v>
      </c>
      <c r="CW148" s="1724">
        <v>0</v>
      </c>
      <c r="CX148" s="1724">
        <v>0</v>
      </c>
      <c r="CY148" s="1724">
        <v>3860247.89</v>
      </c>
      <c r="CZ148" s="1724">
        <v>866209.55</v>
      </c>
      <c r="DA148" s="1724">
        <v>12932.73</v>
      </c>
      <c r="DB148" s="1724">
        <v>200</v>
      </c>
      <c r="DC148" s="1724">
        <v>37277.19</v>
      </c>
      <c r="DD148" s="1724">
        <v>4776867.3600000003</v>
      </c>
      <c r="DE148" s="1724">
        <v>3968234</v>
      </c>
      <c r="DF148" s="1724">
        <v>3766972</v>
      </c>
      <c r="DG148" s="1724">
        <v>201262</v>
      </c>
      <c r="DH148" s="1724">
        <v>808633.36</v>
      </c>
      <c r="DI148" s="1724">
        <v>808633.36</v>
      </c>
      <c r="DJ148" s="1724">
        <v>0</v>
      </c>
      <c r="DK148" s="1724">
        <v>808633.36</v>
      </c>
      <c r="DL148" s="1724">
        <v>0</v>
      </c>
      <c r="DM148" s="1724">
        <v>0</v>
      </c>
      <c r="DN148" s="1724">
        <v>0</v>
      </c>
      <c r="DO148" s="1724">
        <v>0</v>
      </c>
      <c r="DP148" s="1724">
        <v>0</v>
      </c>
      <c r="DQ148" s="1728"/>
      <c r="DR148" s="1727"/>
      <c r="DS148" s="1728"/>
      <c r="DT148" s="1726"/>
      <c r="DU148" s="1728"/>
      <c r="DV148" s="1726"/>
    </row>
    <row r="149" spans="1:126" ht="22.5" x14ac:dyDescent="0.25">
      <c r="A149" s="1662" t="s">
        <v>2190</v>
      </c>
      <c r="B149" s="1662" t="s">
        <v>1729</v>
      </c>
      <c r="C149" s="1662" t="s">
        <v>2652</v>
      </c>
      <c r="D149" s="1662" t="s">
        <v>2653</v>
      </c>
      <c r="E149" s="1662"/>
      <c r="F149" s="1662"/>
      <c r="G149" s="1662"/>
      <c r="H149" s="1662"/>
      <c r="I149" s="1662"/>
      <c r="J149" s="1662"/>
      <c r="K149" s="1668"/>
      <c r="L149" s="1668"/>
      <c r="M149" s="1662"/>
      <c r="N149" s="1662"/>
      <c r="O149" s="1662"/>
      <c r="P149" s="1662"/>
      <c r="Q149" s="1662"/>
      <c r="R149" s="1662"/>
      <c r="S149" s="1662"/>
      <c r="T149" s="1662"/>
      <c r="U149" s="1662"/>
      <c r="V149" s="1662"/>
      <c r="W149" s="1662"/>
      <c r="X149" s="1662"/>
      <c r="Y149" s="1662"/>
      <c r="Z149" s="1662"/>
      <c r="AA149" s="1662"/>
      <c r="AB149" s="1662"/>
      <c r="AC149" s="1662"/>
      <c r="AD149" s="1662"/>
      <c r="AE149" s="1662"/>
      <c r="AF149" s="1662"/>
      <c r="AG149" s="1662"/>
      <c r="AH149" s="1662"/>
      <c r="AI149" s="1662"/>
      <c r="AJ149" s="1662"/>
      <c r="AK149" s="1662"/>
      <c r="AL149" s="1662"/>
      <c r="AM149" s="1663"/>
      <c r="AN149" s="1662"/>
      <c r="AO149" s="1662"/>
      <c r="AP149" s="1662"/>
      <c r="AQ149" s="1662"/>
      <c r="AR149" s="1662"/>
      <c r="AS149" s="1662"/>
      <c r="AT149" s="1662"/>
      <c r="AU149" s="1662"/>
      <c r="AV149" s="1662"/>
      <c r="AW149" s="1662"/>
      <c r="AX149" s="1662"/>
      <c r="AY149" s="1662"/>
      <c r="AZ149" s="1662"/>
      <c r="BA149" s="1662"/>
      <c r="BB149" s="1662"/>
      <c r="BC149" s="1662"/>
      <c r="BD149" s="1662"/>
      <c r="BE149" s="1662"/>
      <c r="BF149" s="1662"/>
      <c r="BG149" s="1662"/>
      <c r="BH149" s="1662"/>
      <c r="BI149" s="1662"/>
      <c r="BJ149" s="1662"/>
      <c r="BK149" s="1662"/>
      <c r="BL149" s="1662"/>
      <c r="BM149" s="1662"/>
      <c r="BN149" s="1663"/>
      <c r="BO149" s="1668"/>
      <c r="BP149" s="1668"/>
      <c r="BQ149" s="1662"/>
      <c r="BR149" s="1668"/>
      <c r="BS149" s="1662"/>
      <c r="BT149" s="1662"/>
      <c r="BU149" s="1663"/>
      <c r="BV149" s="1665">
        <v>1190470.2</v>
      </c>
      <c r="BW149" s="1668"/>
      <c r="BX149" s="1668"/>
      <c r="BY149" s="1662"/>
      <c r="BZ149" s="1662"/>
      <c r="CA149" s="1662"/>
      <c r="CB149" s="1662"/>
      <c r="CC149" s="1662"/>
      <c r="CD149" s="1724">
        <v>4805342.71</v>
      </c>
      <c r="CE149" s="1724">
        <v>4776867.3600000003</v>
      </c>
      <c r="CF149" s="1724">
        <v>3968234</v>
      </c>
      <c r="CG149" s="1724">
        <v>83.07</v>
      </c>
      <c r="CH149" s="1724">
        <v>808633.36</v>
      </c>
      <c r="CI149" s="1724">
        <v>16.93</v>
      </c>
      <c r="CJ149" s="1724">
        <v>4776867.3600000003</v>
      </c>
      <c r="CK149" s="1724">
        <v>100</v>
      </c>
      <c r="CL149" s="1725"/>
      <c r="CM149" s="1726"/>
      <c r="CN149" s="1727"/>
      <c r="CO149" s="1728"/>
      <c r="CP149" s="1726"/>
      <c r="CQ149" s="1724">
        <v>3968234</v>
      </c>
      <c r="CR149" s="1724">
        <v>3766972</v>
      </c>
      <c r="CS149" s="1724">
        <v>201262</v>
      </c>
      <c r="CT149" s="1728"/>
      <c r="CU149" s="1726"/>
      <c r="CV149" s="1724">
        <v>4776867.3600000003</v>
      </c>
      <c r="CW149" s="1724">
        <v>0</v>
      </c>
      <c r="CX149" s="1724">
        <v>0</v>
      </c>
      <c r="CY149" s="1724">
        <v>3860247.89</v>
      </c>
      <c r="CZ149" s="1724">
        <v>866209.55</v>
      </c>
      <c r="DA149" s="1724">
        <v>12932.73</v>
      </c>
      <c r="DB149" s="1724">
        <v>200</v>
      </c>
      <c r="DC149" s="1724">
        <v>37277.19</v>
      </c>
      <c r="DD149" s="1724">
        <v>4776867.3600000003</v>
      </c>
      <c r="DE149" s="1724">
        <v>3968234</v>
      </c>
      <c r="DF149" s="1724">
        <v>3766972</v>
      </c>
      <c r="DG149" s="1724">
        <v>201262</v>
      </c>
      <c r="DH149" s="1724">
        <v>808633.36</v>
      </c>
      <c r="DI149" s="1724">
        <v>808633.36</v>
      </c>
      <c r="DJ149" s="1724">
        <v>0</v>
      </c>
      <c r="DK149" s="1724">
        <v>808633.36</v>
      </c>
      <c r="DL149" s="1724">
        <v>0</v>
      </c>
      <c r="DM149" s="1724">
        <v>0</v>
      </c>
      <c r="DN149" s="1724">
        <v>0</v>
      </c>
      <c r="DO149" s="1724">
        <v>0</v>
      </c>
      <c r="DP149" s="1724">
        <v>0</v>
      </c>
      <c r="DQ149" s="1728"/>
      <c r="DR149" s="1727"/>
      <c r="DS149" s="1728"/>
      <c r="DT149" s="1726"/>
      <c r="DU149" s="1728"/>
      <c r="DV149" s="1726"/>
    </row>
    <row r="150" spans="1:126" ht="33.75" x14ac:dyDescent="0.25">
      <c r="A150" s="1662" t="s">
        <v>2191</v>
      </c>
      <c r="B150" s="1662" t="s">
        <v>1729</v>
      </c>
      <c r="C150" s="1662" t="s">
        <v>2652</v>
      </c>
      <c r="D150" s="1662" t="s">
        <v>2653</v>
      </c>
      <c r="E150" s="1662" t="s">
        <v>140</v>
      </c>
      <c r="F150" s="1662" t="s">
        <v>261</v>
      </c>
      <c r="G150" s="1662"/>
      <c r="H150" s="1662"/>
      <c r="I150" s="1662"/>
      <c r="J150" s="1662"/>
      <c r="K150" s="1668"/>
      <c r="L150" s="1668"/>
      <c r="M150" s="1662"/>
      <c r="N150" s="1662"/>
      <c r="O150" s="1662"/>
      <c r="P150" s="1662"/>
      <c r="Q150" s="1662"/>
      <c r="R150" s="1662"/>
      <c r="S150" s="1662"/>
      <c r="T150" s="1662"/>
      <c r="U150" s="1662"/>
      <c r="V150" s="1662"/>
      <c r="W150" s="1662"/>
      <c r="X150" s="1662"/>
      <c r="Y150" s="1662"/>
      <c r="Z150" s="1662"/>
      <c r="AA150" s="1662"/>
      <c r="AB150" s="1662"/>
      <c r="AC150" s="1662"/>
      <c r="AD150" s="1662"/>
      <c r="AE150" s="1662"/>
      <c r="AF150" s="1662"/>
      <c r="AG150" s="1662"/>
      <c r="AH150" s="1662"/>
      <c r="AI150" s="1662"/>
      <c r="AJ150" s="1662"/>
      <c r="AK150" s="1662"/>
      <c r="AL150" s="1662"/>
      <c r="AM150" s="1663"/>
      <c r="AN150" s="1662"/>
      <c r="AO150" s="1662"/>
      <c r="AP150" s="1662"/>
      <c r="AQ150" s="1662"/>
      <c r="AR150" s="1662"/>
      <c r="AS150" s="1662"/>
      <c r="AT150" s="1662"/>
      <c r="AU150" s="1662"/>
      <c r="AV150" s="1662"/>
      <c r="AW150" s="1662"/>
      <c r="AX150" s="1662"/>
      <c r="AY150" s="1662"/>
      <c r="AZ150" s="1662"/>
      <c r="BA150" s="1662"/>
      <c r="BB150" s="1662"/>
      <c r="BC150" s="1662"/>
      <c r="BD150" s="1662"/>
      <c r="BE150" s="1662"/>
      <c r="BF150" s="1662"/>
      <c r="BG150" s="1662"/>
      <c r="BH150" s="1662"/>
      <c r="BI150" s="1662"/>
      <c r="BJ150" s="1662"/>
      <c r="BK150" s="1662"/>
      <c r="BL150" s="1662"/>
      <c r="BM150" s="1662"/>
      <c r="BN150" s="1663"/>
      <c r="BO150" s="1668"/>
      <c r="BP150" s="1668"/>
      <c r="BQ150" s="1662"/>
      <c r="BR150" s="1668"/>
      <c r="BS150" s="1662"/>
      <c r="BT150" s="1662"/>
      <c r="BU150" s="1663"/>
      <c r="BV150" s="1665">
        <v>371715.3</v>
      </c>
      <c r="BW150" s="1668"/>
      <c r="BX150" s="1668"/>
      <c r="BY150" s="1662"/>
      <c r="BZ150" s="1662"/>
      <c r="CA150" s="1662"/>
      <c r="CB150" s="1662"/>
      <c r="CC150" s="1662"/>
      <c r="CD150" s="1724">
        <v>1459021.77</v>
      </c>
      <c r="CE150" s="1724">
        <v>1459021.77</v>
      </c>
      <c r="CF150" s="1724">
        <v>1239051</v>
      </c>
      <c r="CG150" s="1724">
        <v>84.92</v>
      </c>
      <c r="CH150" s="1724">
        <v>219970.77</v>
      </c>
      <c r="CI150" s="1724">
        <v>15.08</v>
      </c>
      <c r="CJ150" s="1724">
        <v>1459021.77</v>
      </c>
      <c r="CK150" s="1724">
        <v>100</v>
      </c>
      <c r="CL150" s="1725"/>
      <c r="CM150" s="1726"/>
      <c r="CN150" s="1727"/>
      <c r="CO150" s="1728"/>
      <c r="CP150" s="1726"/>
      <c r="CQ150" s="1724">
        <v>1239051</v>
      </c>
      <c r="CR150" s="1724">
        <v>1138588</v>
      </c>
      <c r="CS150" s="1724">
        <v>100463</v>
      </c>
      <c r="CT150" s="1728"/>
      <c r="CU150" s="1726"/>
      <c r="CV150" s="1724">
        <v>1459021.77</v>
      </c>
      <c r="CW150" s="1724">
        <v>0</v>
      </c>
      <c r="CX150" s="1724">
        <v>0</v>
      </c>
      <c r="CY150" s="1724">
        <v>1160731.32</v>
      </c>
      <c r="CZ150" s="1724">
        <v>289618.03999999998</v>
      </c>
      <c r="DA150" s="1724">
        <v>914.73</v>
      </c>
      <c r="DB150" s="1724">
        <v>0</v>
      </c>
      <c r="DC150" s="1724">
        <v>7757.68</v>
      </c>
      <c r="DD150" s="1724">
        <v>1459021.77</v>
      </c>
      <c r="DE150" s="1724">
        <v>1239051</v>
      </c>
      <c r="DF150" s="1724">
        <v>1138588</v>
      </c>
      <c r="DG150" s="1724">
        <v>100463</v>
      </c>
      <c r="DH150" s="1724">
        <v>219970.77</v>
      </c>
      <c r="DI150" s="1724">
        <v>219970.77</v>
      </c>
      <c r="DJ150" s="1724">
        <v>0</v>
      </c>
      <c r="DK150" s="1724">
        <v>219970.77</v>
      </c>
      <c r="DL150" s="1724">
        <v>0</v>
      </c>
      <c r="DM150" s="1724">
        <v>0</v>
      </c>
      <c r="DN150" s="1724">
        <v>0</v>
      </c>
      <c r="DO150" s="1724">
        <v>0</v>
      </c>
      <c r="DP150" s="1724">
        <v>0</v>
      </c>
      <c r="DQ150" s="1728"/>
      <c r="DR150" s="1727"/>
      <c r="DS150" s="1728"/>
      <c r="DT150" s="1726"/>
      <c r="DU150" s="1728"/>
      <c r="DV150" s="1726"/>
    </row>
    <row r="151" spans="1:126" ht="90" x14ac:dyDescent="0.25">
      <c r="A151" s="1662" t="s">
        <v>2192</v>
      </c>
      <c r="B151" s="1662" t="s">
        <v>1729</v>
      </c>
      <c r="C151" s="1662" t="s">
        <v>2652</v>
      </c>
      <c r="D151" s="1662" t="s">
        <v>2653</v>
      </c>
      <c r="E151" s="1662" t="s">
        <v>140</v>
      </c>
      <c r="F151" s="1662" t="s">
        <v>261</v>
      </c>
      <c r="G151" s="1662" t="s">
        <v>2654</v>
      </c>
      <c r="H151" s="1662" t="s">
        <v>2628</v>
      </c>
      <c r="I151" s="1662" t="s">
        <v>2613</v>
      </c>
      <c r="J151" s="1662" t="s">
        <v>1257</v>
      </c>
      <c r="K151" s="1664">
        <v>43076</v>
      </c>
      <c r="L151" s="1664">
        <v>43164</v>
      </c>
      <c r="M151" s="1662" t="s">
        <v>2484</v>
      </c>
      <c r="N151" s="1662" t="s">
        <v>2109</v>
      </c>
      <c r="O151" s="1662" t="s">
        <v>3314</v>
      </c>
      <c r="P151" s="1662" t="s">
        <v>2833</v>
      </c>
      <c r="Q151" s="1662" t="s">
        <v>1739</v>
      </c>
      <c r="R151" s="1662" t="s">
        <v>2833</v>
      </c>
      <c r="S151" s="1662" t="s">
        <v>2833</v>
      </c>
      <c r="T151" s="1662"/>
      <c r="U151" s="1662" t="s">
        <v>2834</v>
      </c>
      <c r="V151" s="1662" t="s">
        <v>2833</v>
      </c>
      <c r="W151" s="1662" t="s">
        <v>2833</v>
      </c>
      <c r="X151" s="1662"/>
      <c r="Y151" s="1662" t="s">
        <v>2833</v>
      </c>
      <c r="Z151" s="1662"/>
      <c r="AA151" s="1662"/>
      <c r="AB151" s="1662" t="s">
        <v>2833</v>
      </c>
      <c r="AC151" s="1662" t="s">
        <v>2833</v>
      </c>
      <c r="AD151" s="1662" t="s">
        <v>2833</v>
      </c>
      <c r="AE151" s="1662"/>
      <c r="AF151" s="1662" t="s">
        <v>3315</v>
      </c>
      <c r="AG151" s="1662" t="s">
        <v>3316</v>
      </c>
      <c r="AH151" s="1662" t="s">
        <v>2867</v>
      </c>
      <c r="AI151" s="1662" t="s">
        <v>2838</v>
      </c>
      <c r="AJ151" s="1662" t="s">
        <v>2839</v>
      </c>
      <c r="AK151" s="1662" t="s">
        <v>3069</v>
      </c>
      <c r="AL151" s="1662" t="s">
        <v>3317</v>
      </c>
      <c r="AM151" s="1665">
        <v>100</v>
      </c>
      <c r="AN151" s="1662"/>
      <c r="AO151" s="1662"/>
      <c r="AP151" s="1662"/>
      <c r="AQ151" s="1662"/>
      <c r="AR151" s="1662"/>
      <c r="AS151" s="1662"/>
      <c r="AT151" s="1662" t="s">
        <v>2842</v>
      </c>
      <c r="AU151" s="1662" t="s">
        <v>2842</v>
      </c>
      <c r="AV151" s="1662" t="s">
        <v>3318</v>
      </c>
      <c r="AW151" s="1662"/>
      <c r="AX151" s="1662" t="s">
        <v>2844</v>
      </c>
      <c r="AY151" s="1662" t="s">
        <v>2874</v>
      </c>
      <c r="AZ151" s="1662" t="s">
        <v>350</v>
      </c>
      <c r="BA151" s="1662" t="s">
        <v>2875</v>
      </c>
      <c r="BB151" s="1662" t="s">
        <v>2833</v>
      </c>
      <c r="BC151" s="1662" t="s">
        <v>2876</v>
      </c>
      <c r="BD151" s="1662" t="s">
        <v>2849</v>
      </c>
      <c r="BE151" s="1662" t="s">
        <v>2877</v>
      </c>
      <c r="BF151" s="1662" t="s">
        <v>2878</v>
      </c>
      <c r="BG151" s="1662" t="s">
        <v>2879</v>
      </c>
      <c r="BH151" s="1662" t="s">
        <v>2050</v>
      </c>
      <c r="BI151" s="1662" t="s">
        <v>2881</v>
      </c>
      <c r="BJ151" s="1662" t="s">
        <v>2882</v>
      </c>
      <c r="BK151" s="1662" t="s">
        <v>2842</v>
      </c>
      <c r="BL151" s="1662" t="s">
        <v>2833</v>
      </c>
      <c r="BM151" s="1662" t="s">
        <v>2833</v>
      </c>
      <c r="BN151" s="1665">
        <v>0</v>
      </c>
      <c r="BO151" s="1664">
        <v>43105</v>
      </c>
      <c r="BP151" s="1664">
        <v>43646</v>
      </c>
      <c r="BQ151" s="1662" t="s">
        <v>2855</v>
      </c>
      <c r="BR151" s="1664">
        <v>46022</v>
      </c>
      <c r="BS151" s="1662" t="s">
        <v>3319</v>
      </c>
      <c r="BT151" s="1662" t="s">
        <v>3320</v>
      </c>
      <c r="BU151" s="1665">
        <v>30</v>
      </c>
      <c r="BV151" s="1665">
        <v>50501.1</v>
      </c>
      <c r="BW151" s="1664">
        <v>43676</v>
      </c>
      <c r="BX151" s="1668"/>
      <c r="BY151" s="1662" t="s">
        <v>2096</v>
      </c>
      <c r="BZ151" s="1662" t="s">
        <v>2858</v>
      </c>
      <c r="CA151" s="1662" t="s">
        <v>2859</v>
      </c>
      <c r="CB151" s="1662" t="s">
        <v>2859</v>
      </c>
      <c r="CC151" s="1662" t="s">
        <v>2993</v>
      </c>
      <c r="CD151" s="1724">
        <v>181986</v>
      </c>
      <c r="CE151" s="1724">
        <v>181986</v>
      </c>
      <c r="CF151" s="1724">
        <v>168337</v>
      </c>
      <c r="CG151" s="1724">
        <v>92.5</v>
      </c>
      <c r="CH151" s="1724">
        <v>13649</v>
      </c>
      <c r="CI151" s="1724">
        <v>7.5</v>
      </c>
      <c r="CJ151" s="1724">
        <v>181986</v>
      </c>
      <c r="CK151" s="1724">
        <v>100</v>
      </c>
      <c r="CL151" s="1725" t="s">
        <v>2861</v>
      </c>
      <c r="CM151" s="1729">
        <v>43122</v>
      </c>
      <c r="CN151" s="1727"/>
      <c r="CO151" s="1728"/>
      <c r="CP151" s="1726"/>
      <c r="CQ151" s="1724">
        <v>168337</v>
      </c>
      <c r="CR151" s="1724">
        <v>154688</v>
      </c>
      <c r="CS151" s="1724">
        <v>13649</v>
      </c>
      <c r="CT151" s="1728" t="s">
        <v>2861</v>
      </c>
      <c r="CU151" s="1729">
        <v>43132</v>
      </c>
      <c r="CV151" s="1724">
        <v>181986</v>
      </c>
      <c r="CW151" s="1724">
        <v>0</v>
      </c>
      <c r="CX151" s="1724">
        <v>0</v>
      </c>
      <c r="CY151" s="1724">
        <v>109741</v>
      </c>
      <c r="CZ151" s="1724">
        <v>70266</v>
      </c>
      <c r="DA151" s="1724">
        <v>0</v>
      </c>
      <c r="DB151" s="1724">
        <v>0</v>
      </c>
      <c r="DC151" s="1724">
        <v>1979</v>
      </c>
      <c r="DD151" s="1724">
        <v>181986</v>
      </c>
      <c r="DE151" s="1724">
        <v>168337</v>
      </c>
      <c r="DF151" s="1724">
        <v>154688</v>
      </c>
      <c r="DG151" s="1724">
        <v>13649</v>
      </c>
      <c r="DH151" s="1724">
        <v>13649</v>
      </c>
      <c r="DI151" s="1724">
        <v>13649</v>
      </c>
      <c r="DJ151" s="1724">
        <v>0</v>
      </c>
      <c r="DK151" s="1724">
        <v>13649</v>
      </c>
      <c r="DL151" s="1724">
        <v>0</v>
      </c>
      <c r="DM151" s="1724">
        <v>0</v>
      </c>
      <c r="DN151" s="1724">
        <v>0</v>
      </c>
      <c r="DO151" s="1724">
        <v>0</v>
      </c>
      <c r="DP151" s="1724">
        <v>0</v>
      </c>
      <c r="DQ151" s="1728" t="s">
        <v>2886</v>
      </c>
      <c r="DR151" s="1724">
        <v>0</v>
      </c>
      <c r="DS151" s="1728" t="s">
        <v>2861</v>
      </c>
      <c r="DT151" s="1726" t="s">
        <v>3321</v>
      </c>
      <c r="DU151" s="1728" t="s">
        <v>2861</v>
      </c>
      <c r="DV151" s="1729">
        <v>43344</v>
      </c>
    </row>
    <row r="152" spans="1:126" ht="90" x14ac:dyDescent="0.25">
      <c r="A152" s="1662" t="s">
        <v>2193</v>
      </c>
      <c r="B152" s="1662" t="s">
        <v>1729</v>
      </c>
      <c r="C152" s="1662" t="s">
        <v>2652</v>
      </c>
      <c r="D152" s="1662" t="s">
        <v>2653</v>
      </c>
      <c r="E152" s="1662" t="s">
        <v>140</v>
      </c>
      <c r="F152" s="1662" t="s">
        <v>261</v>
      </c>
      <c r="G152" s="1662" t="s">
        <v>2654</v>
      </c>
      <c r="H152" s="1662" t="s">
        <v>2628</v>
      </c>
      <c r="I152" s="1662" t="s">
        <v>2613</v>
      </c>
      <c r="J152" s="1662" t="s">
        <v>1258</v>
      </c>
      <c r="K152" s="1664">
        <v>43080</v>
      </c>
      <c r="L152" s="1664">
        <v>43193</v>
      </c>
      <c r="M152" s="1662" t="s">
        <v>650</v>
      </c>
      <c r="N152" s="1662" t="s">
        <v>2109</v>
      </c>
      <c r="O152" s="1662" t="s">
        <v>3322</v>
      </c>
      <c r="P152" s="1662" t="s">
        <v>2833</v>
      </c>
      <c r="Q152" s="1662" t="s">
        <v>1744</v>
      </c>
      <c r="R152" s="1662" t="s">
        <v>2833</v>
      </c>
      <c r="S152" s="1662" t="s">
        <v>2833</v>
      </c>
      <c r="T152" s="1662"/>
      <c r="U152" s="1662" t="s">
        <v>2834</v>
      </c>
      <c r="V152" s="1662" t="s">
        <v>2833</v>
      </c>
      <c r="W152" s="1662" t="s">
        <v>2833</v>
      </c>
      <c r="X152" s="1662"/>
      <c r="Y152" s="1662" t="s">
        <v>2833</v>
      </c>
      <c r="Z152" s="1662"/>
      <c r="AA152" s="1662"/>
      <c r="AB152" s="1662" t="s">
        <v>2833</v>
      </c>
      <c r="AC152" s="1662" t="s">
        <v>2833</v>
      </c>
      <c r="AD152" s="1662" t="s">
        <v>2833</v>
      </c>
      <c r="AE152" s="1662"/>
      <c r="AF152" s="1662" t="s">
        <v>3315</v>
      </c>
      <c r="AG152" s="1662" t="s">
        <v>3316</v>
      </c>
      <c r="AH152" s="1662" t="s">
        <v>2867</v>
      </c>
      <c r="AI152" s="1662" t="s">
        <v>2838</v>
      </c>
      <c r="AJ152" s="1662" t="s">
        <v>2839</v>
      </c>
      <c r="AK152" s="1662" t="s">
        <v>3069</v>
      </c>
      <c r="AL152" s="1662" t="s">
        <v>3317</v>
      </c>
      <c r="AM152" s="1665">
        <v>100</v>
      </c>
      <c r="AN152" s="1662"/>
      <c r="AO152" s="1662"/>
      <c r="AP152" s="1662"/>
      <c r="AQ152" s="1662"/>
      <c r="AR152" s="1662"/>
      <c r="AS152" s="1662"/>
      <c r="AT152" s="1662" t="s">
        <v>2842</v>
      </c>
      <c r="AU152" s="1662" t="s">
        <v>2842</v>
      </c>
      <c r="AV152" s="1662" t="s">
        <v>3318</v>
      </c>
      <c r="AW152" s="1662"/>
      <c r="AX152" s="1662" t="s">
        <v>2844</v>
      </c>
      <c r="AY152" s="1662" t="s">
        <v>2874</v>
      </c>
      <c r="AZ152" s="1662" t="s">
        <v>161</v>
      </c>
      <c r="BA152" s="1662" t="s">
        <v>2888</v>
      </c>
      <c r="BB152" s="1662" t="s">
        <v>2833</v>
      </c>
      <c r="BC152" s="1662" t="s">
        <v>2876</v>
      </c>
      <c r="BD152" s="1662" t="s">
        <v>2849</v>
      </c>
      <c r="BE152" s="1662" t="s">
        <v>3098</v>
      </c>
      <c r="BF152" s="1662" t="s">
        <v>3323</v>
      </c>
      <c r="BG152" s="1662" t="s">
        <v>2891</v>
      </c>
      <c r="BH152" s="1662" t="s">
        <v>2050</v>
      </c>
      <c r="BI152" s="1662" t="s">
        <v>2881</v>
      </c>
      <c r="BJ152" s="1662" t="s">
        <v>2892</v>
      </c>
      <c r="BK152" s="1662" t="s">
        <v>2842</v>
      </c>
      <c r="BL152" s="1662" t="s">
        <v>2833</v>
      </c>
      <c r="BM152" s="1662" t="s">
        <v>2833</v>
      </c>
      <c r="BN152" s="1665">
        <v>0</v>
      </c>
      <c r="BO152" s="1664">
        <v>42998</v>
      </c>
      <c r="BP152" s="1664">
        <v>43769</v>
      </c>
      <c r="BQ152" s="1662" t="s">
        <v>2855</v>
      </c>
      <c r="BR152" s="1664">
        <v>46022</v>
      </c>
      <c r="BS152" s="1662" t="s">
        <v>2893</v>
      </c>
      <c r="BT152" s="1662" t="s">
        <v>3324</v>
      </c>
      <c r="BU152" s="1665">
        <v>30</v>
      </c>
      <c r="BV152" s="1665">
        <v>37058.400000000001</v>
      </c>
      <c r="BW152" s="1664">
        <v>43799</v>
      </c>
      <c r="BX152" s="1668"/>
      <c r="BY152" s="1662" t="s">
        <v>2096</v>
      </c>
      <c r="BZ152" s="1662" t="s">
        <v>2858</v>
      </c>
      <c r="CA152" s="1662" t="s">
        <v>2859</v>
      </c>
      <c r="CB152" s="1662" t="s">
        <v>2859</v>
      </c>
      <c r="CC152" s="1662" t="s">
        <v>2993</v>
      </c>
      <c r="CD152" s="1724">
        <v>133554.21</v>
      </c>
      <c r="CE152" s="1724">
        <v>133554.21</v>
      </c>
      <c r="CF152" s="1724">
        <v>123528</v>
      </c>
      <c r="CG152" s="1724">
        <v>92.49</v>
      </c>
      <c r="CH152" s="1724">
        <v>10026.209999999999</v>
      </c>
      <c r="CI152" s="1724">
        <v>7.51</v>
      </c>
      <c r="CJ152" s="1724">
        <v>133554.21</v>
      </c>
      <c r="CK152" s="1724">
        <v>100</v>
      </c>
      <c r="CL152" s="1725" t="s">
        <v>2861</v>
      </c>
      <c r="CM152" s="1729">
        <v>43129</v>
      </c>
      <c r="CN152" s="1727"/>
      <c r="CO152" s="1728"/>
      <c r="CP152" s="1726"/>
      <c r="CQ152" s="1724">
        <v>123528</v>
      </c>
      <c r="CR152" s="1724">
        <v>113512</v>
      </c>
      <c r="CS152" s="1724">
        <v>10016</v>
      </c>
      <c r="CT152" s="1728" t="s">
        <v>2861</v>
      </c>
      <c r="CU152" s="1729">
        <v>43154</v>
      </c>
      <c r="CV152" s="1724">
        <v>133554.21</v>
      </c>
      <c r="CW152" s="1724">
        <v>0</v>
      </c>
      <c r="CX152" s="1724">
        <v>0</v>
      </c>
      <c r="CY152" s="1724">
        <v>100709.14</v>
      </c>
      <c r="CZ152" s="1724">
        <v>31092.11</v>
      </c>
      <c r="DA152" s="1724">
        <v>0</v>
      </c>
      <c r="DB152" s="1724">
        <v>0</v>
      </c>
      <c r="DC152" s="1724">
        <v>1752.96</v>
      </c>
      <c r="DD152" s="1724">
        <v>133554.21</v>
      </c>
      <c r="DE152" s="1724">
        <v>123528</v>
      </c>
      <c r="DF152" s="1724">
        <v>113512</v>
      </c>
      <c r="DG152" s="1724">
        <v>10016</v>
      </c>
      <c r="DH152" s="1724">
        <v>10026.209999999999</v>
      </c>
      <c r="DI152" s="1724">
        <v>10026.209999999999</v>
      </c>
      <c r="DJ152" s="1724">
        <v>0</v>
      </c>
      <c r="DK152" s="1724">
        <v>10026.209999999999</v>
      </c>
      <c r="DL152" s="1724">
        <v>0</v>
      </c>
      <c r="DM152" s="1724">
        <v>0</v>
      </c>
      <c r="DN152" s="1724">
        <v>0</v>
      </c>
      <c r="DO152" s="1724">
        <v>0</v>
      </c>
      <c r="DP152" s="1724">
        <v>0</v>
      </c>
      <c r="DQ152" s="1728" t="s">
        <v>2886</v>
      </c>
      <c r="DR152" s="1724">
        <v>0</v>
      </c>
      <c r="DS152" s="1728" t="s">
        <v>2861</v>
      </c>
      <c r="DT152" s="1726" t="s">
        <v>3078</v>
      </c>
      <c r="DU152" s="1728" t="s">
        <v>2861</v>
      </c>
      <c r="DV152" s="1729">
        <v>43281</v>
      </c>
    </row>
    <row r="153" spans="1:126" ht="157.5" x14ac:dyDescent="0.25">
      <c r="A153" s="1662" t="s">
        <v>2195</v>
      </c>
      <c r="B153" s="1662" t="s">
        <v>1729</v>
      </c>
      <c r="C153" s="1662" t="s">
        <v>2652</v>
      </c>
      <c r="D153" s="1662" t="s">
        <v>2653</v>
      </c>
      <c r="E153" s="1662" t="s">
        <v>140</v>
      </c>
      <c r="F153" s="1662" t="s">
        <v>261</v>
      </c>
      <c r="G153" s="1662" t="s">
        <v>2654</v>
      </c>
      <c r="H153" s="1662" t="s">
        <v>2628</v>
      </c>
      <c r="I153" s="1662" t="s">
        <v>2613</v>
      </c>
      <c r="J153" s="1662" t="s">
        <v>1259</v>
      </c>
      <c r="K153" s="1664">
        <v>43080</v>
      </c>
      <c r="L153" s="1664">
        <v>43179</v>
      </c>
      <c r="M153" s="1662" t="s">
        <v>138</v>
      </c>
      <c r="N153" s="1662" t="s">
        <v>2109</v>
      </c>
      <c r="O153" s="1662" t="s">
        <v>3325</v>
      </c>
      <c r="P153" s="1662" t="s">
        <v>2833</v>
      </c>
      <c r="Q153" s="1662" t="s">
        <v>1745</v>
      </c>
      <c r="R153" s="1662" t="s">
        <v>2833</v>
      </c>
      <c r="S153" s="1662" t="s">
        <v>2833</v>
      </c>
      <c r="T153" s="1662"/>
      <c r="U153" s="1662" t="s">
        <v>2834</v>
      </c>
      <c r="V153" s="1662" t="s">
        <v>2833</v>
      </c>
      <c r="W153" s="1662" t="s">
        <v>2833</v>
      </c>
      <c r="X153" s="1662"/>
      <c r="Y153" s="1662" t="s">
        <v>2833</v>
      </c>
      <c r="Z153" s="1662"/>
      <c r="AA153" s="1662"/>
      <c r="AB153" s="1662" t="s">
        <v>2833</v>
      </c>
      <c r="AC153" s="1662" t="s">
        <v>2833</v>
      </c>
      <c r="AD153" s="1662" t="s">
        <v>2833</v>
      </c>
      <c r="AE153" s="1662"/>
      <c r="AF153" s="1662" t="s">
        <v>3315</v>
      </c>
      <c r="AG153" s="1662" t="s">
        <v>3316</v>
      </c>
      <c r="AH153" s="1662" t="s">
        <v>2867</v>
      </c>
      <c r="AI153" s="1662" t="s">
        <v>2838</v>
      </c>
      <c r="AJ153" s="1662" t="s">
        <v>2839</v>
      </c>
      <c r="AK153" s="1662" t="s">
        <v>3069</v>
      </c>
      <c r="AL153" s="1662" t="s">
        <v>3317</v>
      </c>
      <c r="AM153" s="1665">
        <v>100</v>
      </c>
      <c r="AN153" s="1662"/>
      <c r="AO153" s="1662"/>
      <c r="AP153" s="1662"/>
      <c r="AQ153" s="1662"/>
      <c r="AR153" s="1662"/>
      <c r="AS153" s="1662"/>
      <c r="AT153" s="1662" t="s">
        <v>2842</v>
      </c>
      <c r="AU153" s="1662" t="s">
        <v>2842</v>
      </c>
      <c r="AV153" s="1662" t="s">
        <v>3318</v>
      </c>
      <c r="AW153" s="1662"/>
      <c r="AX153" s="1662" t="s">
        <v>2844</v>
      </c>
      <c r="AY153" s="1662" t="s">
        <v>2874</v>
      </c>
      <c r="AZ153" s="1662" t="s">
        <v>284</v>
      </c>
      <c r="BA153" s="1662" t="s">
        <v>2896</v>
      </c>
      <c r="BB153" s="1662" t="s">
        <v>2833</v>
      </c>
      <c r="BC153" s="1662" t="s">
        <v>2876</v>
      </c>
      <c r="BD153" s="1662" t="s">
        <v>2849</v>
      </c>
      <c r="BE153" s="1662" t="s">
        <v>3022</v>
      </c>
      <c r="BF153" s="1662" t="s">
        <v>3039</v>
      </c>
      <c r="BG153" s="1662" t="s">
        <v>3024</v>
      </c>
      <c r="BH153" s="1662" t="s">
        <v>2050</v>
      </c>
      <c r="BI153" s="1662" t="s">
        <v>2881</v>
      </c>
      <c r="BJ153" s="1662" t="s">
        <v>2900</v>
      </c>
      <c r="BK153" s="1662" t="s">
        <v>2842</v>
      </c>
      <c r="BL153" s="1662" t="s">
        <v>2833</v>
      </c>
      <c r="BM153" s="1662" t="s">
        <v>2833</v>
      </c>
      <c r="BN153" s="1665">
        <v>0</v>
      </c>
      <c r="BO153" s="1664">
        <v>42745</v>
      </c>
      <c r="BP153" s="1664">
        <v>43799</v>
      </c>
      <c r="BQ153" s="1662" t="s">
        <v>2855</v>
      </c>
      <c r="BR153" s="1664">
        <v>46022</v>
      </c>
      <c r="BS153" s="1662" t="s">
        <v>2883</v>
      </c>
      <c r="BT153" s="1662" t="s">
        <v>3326</v>
      </c>
      <c r="BU153" s="1665">
        <v>30</v>
      </c>
      <c r="BV153" s="1665">
        <v>93797.4</v>
      </c>
      <c r="BW153" s="1664">
        <v>43829</v>
      </c>
      <c r="BX153" s="1668"/>
      <c r="BY153" s="1662" t="s">
        <v>2096</v>
      </c>
      <c r="BZ153" s="1662" t="s">
        <v>2858</v>
      </c>
      <c r="CA153" s="1662" t="s">
        <v>2859</v>
      </c>
      <c r="CB153" s="1662" t="s">
        <v>2859</v>
      </c>
      <c r="CC153" s="1662" t="s">
        <v>2993</v>
      </c>
      <c r="CD153" s="1724">
        <v>370000</v>
      </c>
      <c r="CE153" s="1724">
        <v>370000</v>
      </c>
      <c r="CF153" s="1724">
        <v>312658</v>
      </c>
      <c r="CG153" s="1724">
        <v>84.5</v>
      </c>
      <c r="CH153" s="1724">
        <v>57342</v>
      </c>
      <c r="CI153" s="1724">
        <v>15.5</v>
      </c>
      <c r="CJ153" s="1724">
        <v>370000</v>
      </c>
      <c r="CK153" s="1724">
        <v>100</v>
      </c>
      <c r="CL153" s="1725" t="s">
        <v>2861</v>
      </c>
      <c r="CM153" s="1729">
        <v>43139</v>
      </c>
      <c r="CN153" s="1727"/>
      <c r="CO153" s="1728"/>
      <c r="CP153" s="1726"/>
      <c r="CQ153" s="1724">
        <v>312658</v>
      </c>
      <c r="CR153" s="1724">
        <v>287307</v>
      </c>
      <c r="CS153" s="1724">
        <v>25351</v>
      </c>
      <c r="CT153" s="1728" t="s">
        <v>2861</v>
      </c>
      <c r="CU153" s="1729">
        <v>43152</v>
      </c>
      <c r="CV153" s="1724">
        <v>370000</v>
      </c>
      <c r="CW153" s="1724">
        <v>0</v>
      </c>
      <c r="CX153" s="1724">
        <v>0</v>
      </c>
      <c r="CY153" s="1724">
        <v>335961.01</v>
      </c>
      <c r="CZ153" s="1724">
        <v>29098.54</v>
      </c>
      <c r="DA153" s="1724">
        <v>914.73</v>
      </c>
      <c r="DB153" s="1724">
        <v>0</v>
      </c>
      <c r="DC153" s="1724">
        <v>4025.72</v>
      </c>
      <c r="DD153" s="1724">
        <v>370000</v>
      </c>
      <c r="DE153" s="1724">
        <v>312658</v>
      </c>
      <c r="DF153" s="1724">
        <v>287307</v>
      </c>
      <c r="DG153" s="1724">
        <v>25351</v>
      </c>
      <c r="DH153" s="1724">
        <v>57342</v>
      </c>
      <c r="DI153" s="1724">
        <v>57342</v>
      </c>
      <c r="DJ153" s="1724">
        <v>0</v>
      </c>
      <c r="DK153" s="1724">
        <v>57342</v>
      </c>
      <c r="DL153" s="1724">
        <v>0</v>
      </c>
      <c r="DM153" s="1724">
        <v>0</v>
      </c>
      <c r="DN153" s="1724">
        <v>0</v>
      </c>
      <c r="DO153" s="1724">
        <v>0</v>
      </c>
      <c r="DP153" s="1724">
        <v>0</v>
      </c>
      <c r="DQ153" s="1728" t="s">
        <v>2886</v>
      </c>
      <c r="DR153" s="1724">
        <v>0</v>
      </c>
      <c r="DS153" s="1728" t="s">
        <v>2861</v>
      </c>
      <c r="DT153" s="1726" t="s">
        <v>3327</v>
      </c>
      <c r="DU153" s="1728" t="s">
        <v>2861</v>
      </c>
      <c r="DV153" s="1729">
        <v>43404</v>
      </c>
    </row>
    <row r="154" spans="1:126" ht="101.25" x14ac:dyDescent="0.25">
      <c r="A154" s="1662" t="s">
        <v>2196</v>
      </c>
      <c r="B154" s="1662" t="s">
        <v>1729</v>
      </c>
      <c r="C154" s="1662" t="s">
        <v>2652</v>
      </c>
      <c r="D154" s="1662" t="s">
        <v>2653</v>
      </c>
      <c r="E154" s="1662" t="s">
        <v>140</v>
      </c>
      <c r="F154" s="1662" t="s">
        <v>261</v>
      </c>
      <c r="G154" s="1662" t="s">
        <v>2654</v>
      </c>
      <c r="H154" s="1662" t="s">
        <v>2628</v>
      </c>
      <c r="I154" s="1662" t="s">
        <v>2613</v>
      </c>
      <c r="J154" s="1662" t="s">
        <v>1260</v>
      </c>
      <c r="K154" s="1664">
        <v>43080</v>
      </c>
      <c r="L154" s="1664">
        <v>43186</v>
      </c>
      <c r="M154" s="1662" t="s">
        <v>3328</v>
      </c>
      <c r="N154" s="1662" t="s">
        <v>2109</v>
      </c>
      <c r="O154" s="1662" t="s">
        <v>3329</v>
      </c>
      <c r="P154" s="1662" t="s">
        <v>2833</v>
      </c>
      <c r="Q154" s="1662" t="s">
        <v>1749</v>
      </c>
      <c r="R154" s="1662" t="s">
        <v>2833</v>
      </c>
      <c r="S154" s="1662" t="s">
        <v>2833</v>
      </c>
      <c r="T154" s="1662"/>
      <c r="U154" s="1662" t="s">
        <v>2834</v>
      </c>
      <c r="V154" s="1662" t="s">
        <v>2833</v>
      </c>
      <c r="W154" s="1662" t="s">
        <v>2833</v>
      </c>
      <c r="X154" s="1662"/>
      <c r="Y154" s="1662" t="s">
        <v>2833</v>
      </c>
      <c r="Z154" s="1662"/>
      <c r="AA154" s="1662"/>
      <c r="AB154" s="1662" t="s">
        <v>2833</v>
      </c>
      <c r="AC154" s="1662" t="s">
        <v>2833</v>
      </c>
      <c r="AD154" s="1662" t="s">
        <v>2833</v>
      </c>
      <c r="AE154" s="1662"/>
      <c r="AF154" s="1662" t="s">
        <v>3315</v>
      </c>
      <c r="AG154" s="1662" t="s">
        <v>3316</v>
      </c>
      <c r="AH154" s="1662" t="s">
        <v>2867</v>
      </c>
      <c r="AI154" s="1662" t="s">
        <v>2838</v>
      </c>
      <c r="AJ154" s="1662" t="s">
        <v>2839</v>
      </c>
      <c r="AK154" s="1662" t="s">
        <v>3069</v>
      </c>
      <c r="AL154" s="1662" t="s">
        <v>3317</v>
      </c>
      <c r="AM154" s="1665">
        <v>100</v>
      </c>
      <c r="AN154" s="1662"/>
      <c r="AO154" s="1662"/>
      <c r="AP154" s="1662"/>
      <c r="AQ154" s="1662"/>
      <c r="AR154" s="1662"/>
      <c r="AS154" s="1662"/>
      <c r="AT154" s="1662" t="s">
        <v>2842</v>
      </c>
      <c r="AU154" s="1662" t="s">
        <v>2842</v>
      </c>
      <c r="AV154" s="1662" t="s">
        <v>3318</v>
      </c>
      <c r="AW154" s="1662"/>
      <c r="AX154" s="1662" t="s">
        <v>2844</v>
      </c>
      <c r="AY154" s="1662" t="s">
        <v>2874</v>
      </c>
      <c r="AZ154" s="1662" t="s">
        <v>184</v>
      </c>
      <c r="BA154" s="1662" t="s">
        <v>2904</v>
      </c>
      <c r="BB154" s="1662" t="s">
        <v>2833</v>
      </c>
      <c r="BC154" s="1662" t="s">
        <v>2876</v>
      </c>
      <c r="BD154" s="1662" t="s">
        <v>2849</v>
      </c>
      <c r="BE154" s="1662" t="s">
        <v>3330</v>
      </c>
      <c r="BF154" s="1662" t="s">
        <v>2906</v>
      </c>
      <c r="BG154" s="1662" t="s">
        <v>2907</v>
      </c>
      <c r="BH154" s="1662" t="s">
        <v>2605</v>
      </c>
      <c r="BI154" s="1662" t="s">
        <v>2881</v>
      </c>
      <c r="BJ154" s="1662" t="s">
        <v>2908</v>
      </c>
      <c r="BK154" s="1662" t="s">
        <v>2842</v>
      </c>
      <c r="BL154" s="1662" t="s">
        <v>2833</v>
      </c>
      <c r="BM154" s="1662" t="s">
        <v>2833</v>
      </c>
      <c r="BN154" s="1665">
        <v>0</v>
      </c>
      <c r="BO154" s="1664">
        <v>43186</v>
      </c>
      <c r="BP154" s="1664">
        <v>43921</v>
      </c>
      <c r="BQ154" s="1662" t="s">
        <v>2855</v>
      </c>
      <c r="BR154" s="1664">
        <v>46387</v>
      </c>
      <c r="BS154" s="1662" t="s">
        <v>2883</v>
      </c>
      <c r="BT154" s="1662" t="s">
        <v>3331</v>
      </c>
      <c r="BU154" s="1665">
        <v>30</v>
      </c>
      <c r="BV154" s="1665">
        <v>161278.5</v>
      </c>
      <c r="BW154" s="1664">
        <v>43951</v>
      </c>
      <c r="BX154" s="1668"/>
      <c r="BY154" s="1662" t="s">
        <v>2096</v>
      </c>
      <c r="BZ154" s="1662" t="s">
        <v>2859</v>
      </c>
      <c r="CA154" s="1662" t="s">
        <v>2859</v>
      </c>
      <c r="CB154" s="1662" t="s">
        <v>2859</v>
      </c>
      <c r="CC154" s="1662" t="s">
        <v>2993</v>
      </c>
      <c r="CD154" s="1724">
        <v>597456.88</v>
      </c>
      <c r="CE154" s="1724">
        <v>597456.88</v>
      </c>
      <c r="CF154" s="1724">
        <v>537595</v>
      </c>
      <c r="CG154" s="1724">
        <v>89.98</v>
      </c>
      <c r="CH154" s="1724">
        <v>59861.88</v>
      </c>
      <c r="CI154" s="1724">
        <v>10.02</v>
      </c>
      <c r="CJ154" s="1724">
        <v>597456.88</v>
      </c>
      <c r="CK154" s="1724">
        <v>100</v>
      </c>
      <c r="CL154" s="1725" t="s">
        <v>2861</v>
      </c>
      <c r="CM154" s="1729">
        <v>43138</v>
      </c>
      <c r="CN154" s="1727"/>
      <c r="CO154" s="1728"/>
      <c r="CP154" s="1726"/>
      <c r="CQ154" s="1724">
        <v>537595</v>
      </c>
      <c r="CR154" s="1724">
        <v>494007</v>
      </c>
      <c r="CS154" s="1724">
        <v>43588</v>
      </c>
      <c r="CT154" s="1728" t="s">
        <v>2861</v>
      </c>
      <c r="CU154" s="1729">
        <v>43152</v>
      </c>
      <c r="CV154" s="1724">
        <v>597456.88</v>
      </c>
      <c r="CW154" s="1724">
        <v>0</v>
      </c>
      <c r="CX154" s="1724">
        <v>0</v>
      </c>
      <c r="CY154" s="1724">
        <v>515100.88</v>
      </c>
      <c r="CZ154" s="1724">
        <v>82356</v>
      </c>
      <c r="DA154" s="1724">
        <v>0</v>
      </c>
      <c r="DB154" s="1724">
        <v>0</v>
      </c>
      <c r="DC154" s="1724">
        <v>0</v>
      </c>
      <c r="DD154" s="1724">
        <v>597456.88</v>
      </c>
      <c r="DE154" s="1724">
        <v>537595</v>
      </c>
      <c r="DF154" s="1724">
        <v>494007</v>
      </c>
      <c r="DG154" s="1724">
        <v>43588</v>
      </c>
      <c r="DH154" s="1724">
        <v>59861.88</v>
      </c>
      <c r="DI154" s="1724">
        <v>59861.88</v>
      </c>
      <c r="DJ154" s="1724">
        <v>0</v>
      </c>
      <c r="DK154" s="1724">
        <v>59861.88</v>
      </c>
      <c r="DL154" s="1724">
        <v>0</v>
      </c>
      <c r="DM154" s="1724">
        <v>0</v>
      </c>
      <c r="DN154" s="1724">
        <v>0</v>
      </c>
      <c r="DO154" s="1724">
        <v>0</v>
      </c>
      <c r="DP154" s="1724">
        <v>0</v>
      </c>
      <c r="DQ154" s="1728" t="s">
        <v>2886</v>
      </c>
      <c r="DR154" s="1724">
        <v>0</v>
      </c>
      <c r="DS154" s="1728" t="s">
        <v>2861</v>
      </c>
      <c r="DT154" s="1726" t="s">
        <v>3332</v>
      </c>
      <c r="DU154" s="1728" t="s">
        <v>2861</v>
      </c>
      <c r="DV154" s="1729">
        <v>43342</v>
      </c>
    </row>
    <row r="155" spans="1:126" ht="90" x14ac:dyDescent="0.25">
      <c r="A155" s="1662" t="s">
        <v>2197</v>
      </c>
      <c r="B155" s="1662" t="s">
        <v>1729</v>
      </c>
      <c r="C155" s="1662" t="s">
        <v>2652</v>
      </c>
      <c r="D155" s="1662" t="s">
        <v>2653</v>
      </c>
      <c r="E155" s="1662" t="s">
        <v>140</v>
      </c>
      <c r="F155" s="1662" t="s">
        <v>261</v>
      </c>
      <c r="G155" s="1662" t="s">
        <v>2654</v>
      </c>
      <c r="H155" s="1662" t="s">
        <v>2628</v>
      </c>
      <c r="I155" s="1662" t="s">
        <v>2613</v>
      </c>
      <c r="J155" s="1662" t="s">
        <v>2493</v>
      </c>
      <c r="K155" s="1664">
        <v>43175</v>
      </c>
      <c r="L155" s="1664">
        <v>43265</v>
      </c>
      <c r="M155" s="1662" t="s">
        <v>2494</v>
      </c>
      <c r="N155" s="1662" t="s">
        <v>2109</v>
      </c>
      <c r="O155" s="1662" t="s">
        <v>3333</v>
      </c>
      <c r="P155" s="1662" t="s">
        <v>2833</v>
      </c>
      <c r="Q155" s="1662" t="s">
        <v>1743</v>
      </c>
      <c r="R155" s="1662" t="s">
        <v>2833</v>
      </c>
      <c r="S155" s="1662" t="s">
        <v>2833</v>
      </c>
      <c r="T155" s="1662"/>
      <c r="U155" s="1662" t="s">
        <v>2834</v>
      </c>
      <c r="V155" s="1662" t="s">
        <v>2833</v>
      </c>
      <c r="W155" s="1662" t="s">
        <v>2833</v>
      </c>
      <c r="X155" s="1662"/>
      <c r="Y155" s="1662" t="s">
        <v>2833</v>
      </c>
      <c r="Z155" s="1662"/>
      <c r="AA155" s="1662"/>
      <c r="AB155" s="1662" t="s">
        <v>2833</v>
      </c>
      <c r="AC155" s="1662" t="s">
        <v>2833</v>
      </c>
      <c r="AD155" s="1662" t="s">
        <v>2833</v>
      </c>
      <c r="AE155" s="1662"/>
      <c r="AF155" s="1662" t="s">
        <v>3315</v>
      </c>
      <c r="AG155" s="1662" t="s">
        <v>3316</v>
      </c>
      <c r="AH155" s="1662" t="s">
        <v>2867</v>
      </c>
      <c r="AI155" s="1662" t="s">
        <v>2838</v>
      </c>
      <c r="AJ155" s="1662" t="s">
        <v>2839</v>
      </c>
      <c r="AK155" s="1662" t="s">
        <v>3069</v>
      </c>
      <c r="AL155" s="1662" t="s">
        <v>3317</v>
      </c>
      <c r="AM155" s="1665">
        <v>100</v>
      </c>
      <c r="AN155" s="1662"/>
      <c r="AO155" s="1662"/>
      <c r="AP155" s="1662"/>
      <c r="AQ155" s="1662"/>
      <c r="AR155" s="1662"/>
      <c r="AS155" s="1662"/>
      <c r="AT155" s="1662" t="s">
        <v>2842</v>
      </c>
      <c r="AU155" s="1662" t="s">
        <v>2842</v>
      </c>
      <c r="AV155" s="1662" t="s">
        <v>3318</v>
      </c>
      <c r="AW155" s="1662"/>
      <c r="AX155" s="1662" t="s">
        <v>2844</v>
      </c>
      <c r="AY155" s="1662" t="s">
        <v>2874</v>
      </c>
      <c r="AZ155" s="1662" t="s">
        <v>236</v>
      </c>
      <c r="BA155" s="1662" t="s">
        <v>3009</v>
      </c>
      <c r="BB155" s="1662" t="s">
        <v>2833</v>
      </c>
      <c r="BC155" s="1662" t="s">
        <v>2876</v>
      </c>
      <c r="BD155" s="1662" t="s">
        <v>2849</v>
      </c>
      <c r="BE155" s="1662" t="s">
        <v>3010</v>
      </c>
      <c r="BF155" s="1662" t="s">
        <v>3148</v>
      </c>
      <c r="BG155" s="1662" t="s">
        <v>3012</v>
      </c>
      <c r="BH155" s="1662" t="s">
        <v>2050</v>
      </c>
      <c r="BI155" s="1662" t="s">
        <v>2881</v>
      </c>
      <c r="BJ155" s="1662" t="s">
        <v>2965</v>
      </c>
      <c r="BK155" s="1662" t="s">
        <v>2842</v>
      </c>
      <c r="BL155" s="1662" t="s">
        <v>2833</v>
      </c>
      <c r="BM155" s="1662" t="s">
        <v>2833</v>
      </c>
      <c r="BN155" s="1665">
        <v>0</v>
      </c>
      <c r="BO155" s="1664">
        <v>43017</v>
      </c>
      <c r="BP155" s="1664">
        <v>43830</v>
      </c>
      <c r="BQ155" s="1662" t="s">
        <v>2855</v>
      </c>
      <c r="BR155" s="1664">
        <v>46022</v>
      </c>
      <c r="BS155" s="1662" t="s">
        <v>3334</v>
      </c>
      <c r="BT155" s="1662" t="s">
        <v>3335</v>
      </c>
      <c r="BU155" s="1665">
        <v>30</v>
      </c>
      <c r="BV155" s="1665">
        <v>29079.9</v>
      </c>
      <c r="BW155" s="1664">
        <v>43860</v>
      </c>
      <c r="BX155" s="1668"/>
      <c r="BY155" s="1662" t="s">
        <v>2096</v>
      </c>
      <c r="BZ155" s="1662" t="s">
        <v>2859</v>
      </c>
      <c r="CA155" s="1662" t="s">
        <v>2859</v>
      </c>
      <c r="CB155" s="1662" t="s">
        <v>2859</v>
      </c>
      <c r="CC155" s="1662" t="s">
        <v>2993</v>
      </c>
      <c r="CD155" s="1724">
        <v>176024.68</v>
      </c>
      <c r="CE155" s="1724">
        <v>176024.68</v>
      </c>
      <c r="CF155" s="1724">
        <v>96933</v>
      </c>
      <c r="CG155" s="1724">
        <v>55.07</v>
      </c>
      <c r="CH155" s="1724">
        <v>79091.679999999993</v>
      </c>
      <c r="CI155" s="1724">
        <v>44.93</v>
      </c>
      <c r="CJ155" s="1724">
        <v>176024.68</v>
      </c>
      <c r="CK155" s="1724">
        <v>100</v>
      </c>
      <c r="CL155" s="1725" t="s">
        <v>2861</v>
      </c>
      <c r="CM155" s="1729">
        <v>43231</v>
      </c>
      <c r="CN155" s="1727"/>
      <c r="CO155" s="1728"/>
      <c r="CP155" s="1726"/>
      <c r="CQ155" s="1724">
        <v>96933</v>
      </c>
      <c r="CR155" s="1724">
        <v>89074</v>
      </c>
      <c r="CS155" s="1724">
        <v>7859</v>
      </c>
      <c r="CT155" s="1728" t="s">
        <v>2861</v>
      </c>
      <c r="CU155" s="1729">
        <v>43243</v>
      </c>
      <c r="CV155" s="1724">
        <v>176024.68</v>
      </c>
      <c r="CW155" s="1724">
        <v>0</v>
      </c>
      <c r="CX155" s="1724">
        <v>0</v>
      </c>
      <c r="CY155" s="1724">
        <v>99219.29</v>
      </c>
      <c r="CZ155" s="1724">
        <v>76805.39</v>
      </c>
      <c r="DA155" s="1724">
        <v>0</v>
      </c>
      <c r="DB155" s="1724">
        <v>0</v>
      </c>
      <c r="DC155" s="1724">
        <v>0</v>
      </c>
      <c r="DD155" s="1724">
        <v>176024.68</v>
      </c>
      <c r="DE155" s="1724">
        <v>96933</v>
      </c>
      <c r="DF155" s="1724">
        <v>89074</v>
      </c>
      <c r="DG155" s="1724">
        <v>7859</v>
      </c>
      <c r="DH155" s="1724">
        <v>79091.679999999993</v>
      </c>
      <c r="DI155" s="1724">
        <v>79091.679999999993</v>
      </c>
      <c r="DJ155" s="1724">
        <v>0</v>
      </c>
      <c r="DK155" s="1724">
        <v>79091.679999999993</v>
      </c>
      <c r="DL155" s="1724">
        <v>0</v>
      </c>
      <c r="DM155" s="1724">
        <v>0</v>
      </c>
      <c r="DN155" s="1724">
        <v>0</v>
      </c>
      <c r="DO155" s="1724">
        <v>0</v>
      </c>
      <c r="DP155" s="1724">
        <v>0</v>
      </c>
      <c r="DQ155" s="1728" t="s">
        <v>2886</v>
      </c>
      <c r="DR155" s="1724">
        <v>0</v>
      </c>
      <c r="DS155" s="1728" t="s">
        <v>2861</v>
      </c>
      <c r="DT155" s="1726" t="s">
        <v>3153</v>
      </c>
      <c r="DU155" s="1728" t="s">
        <v>2861</v>
      </c>
      <c r="DV155" s="1729">
        <v>43465</v>
      </c>
    </row>
    <row r="156" spans="1:126" ht="22.5" x14ac:dyDescent="0.25">
      <c r="A156" s="1662" t="s">
        <v>2198</v>
      </c>
      <c r="B156" s="1662" t="s">
        <v>1729</v>
      </c>
      <c r="C156" s="1662" t="s">
        <v>2652</v>
      </c>
      <c r="D156" s="1662" t="s">
        <v>2653</v>
      </c>
      <c r="E156" s="1662" t="s">
        <v>136</v>
      </c>
      <c r="F156" s="1662" t="s">
        <v>381</v>
      </c>
      <c r="G156" s="1662"/>
      <c r="H156" s="1662"/>
      <c r="I156" s="1662"/>
      <c r="J156" s="1662"/>
      <c r="K156" s="1668"/>
      <c r="L156" s="1668"/>
      <c r="M156" s="1662"/>
      <c r="N156" s="1662"/>
      <c r="O156" s="1662"/>
      <c r="P156" s="1662"/>
      <c r="Q156" s="1662"/>
      <c r="R156" s="1662"/>
      <c r="S156" s="1662"/>
      <c r="T156" s="1662"/>
      <c r="U156" s="1662"/>
      <c r="V156" s="1662"/>
      <c r="W156" s="1662"/>
      <c r="X156" s="1662"/>
      <c r="Y156" s="1662"/>
      <c r="Z156" s="1662"/>
      <c r="AA156" s="1662"/>
      <c r="AB156" s="1662"/>
      <c r="AC156" s="1662"/>
      <c r="AD156" s="1662"/>
      <c r="AE156" s="1662"/>
      <c r="AF156" s="1662"/>
      <c r="AG156" s="1662"/>
      <c r="AH156" s="1662"/>
      <c r="AI156" s="1662"/>
      <c r="AJ156" s="1662"/>
      <c r="AK156" s="1662"/>
      <c r="AL156" s="1662"/>
      <c r="AM156" s="1663"/>
      <c r="AN156" s="1662"/>
      <c r="AO156" s="1662"/>
      <c r="AP156" s="1662"/>
      <c r="AQ156" s="1662"/>
      <c r="AR156" s="1662"/>
      <c r="AS156" s="1662"/>
      <c r="AT156" s="1662"/>
      <c r="AU156" s="1662"/>
      <c r="AV156" s="1662"/>
      <c r="AW156" s="1662"/>
      <c r="AX156" s="1662"/>
      <c r="AY156" s="1662"/>
      <c r="AZ156" s="1662"/>
      <c r="BA156" s="1662"/>
      <c r="BB156" s="1662"/>
      <c r="BC156" s="1662"/>
      <c r="BD156" s="1662"/>
      <c r="BE156" s="1662"/>
      <c r="BF156" s="1662"/>
      <c r="BG156" s="1662"/>
      <c r="BH156" s="1662"/>
      <c r="BI156" s="1662"/>
      <c r="BJ156" s="1662"/>
      <c r="BK156" s="1662"/>
      <c r="BL156" s="1662"/>
      <c r="BM156" s="1662"/>
      <c r="BN156" s="1663"/>
      <c r="BO156" s="1668"/>
      <c r="BP156" s="1668"/>
      <c r="BQ156" s="1662"/>
      <c r="BR156" s="1668"/>
      <c r="BS156" s="1662"/>
      <c r="BT156" s="1662"/>
      <c r="BU156" s="1663"/>
      <c r="BV156" s="1665">
        <v>372952.8</v>
      </c>
      <c r="BW156" s="1668"/>
      <c r="BX156" s="1668"/>
      <c r="BY156" s="1662"/>
      <c r="BZ156" s="1662"/>
      <c r="CA156" s="1662"/>
      <c r="CB156" s="1662"/>
      <c r="CC156" s="1662"/>
      <c r="CD156" s="1724">
        <v>1343975.41</v>
      </c>
      <c r="CE156" s="1724">
        <v>1343975.41</v>
      </c>
      <c r="CF156" s="1724">
        <v>1243176</v>
      </c>
      <c r="CG156" s="1724">
        <v>92.5</v>
      </c>
      <c r="CH156" s="1724">
        <v>100799.41</v>
      </c>
      <c r="CI156" s="1724">
        <v>7.5</v>
      </c>
      <c r="CJ156" s="1724">
        <v>1343975.41</v>
      </c>
      <c r="CK156" s="1724">
        <v>100</v>
      </c>
      <c r="CL156" s="1725"/>
      <c r="CM156" s="1726"/>
      <c r="CN156" s="1727"/>
      <c r="CO156" s="1728"/>
      <c r="CP156" s="1726"/>
      <c r="CQ156" s="1724">
        <v>1243176</v>
      </c>
      <c r="CR156" s="1724">
        <v>1142377</v>
      </c>
      <c r="CS156" s="1724">
        <v>100799</v>
      </c>
      <c r="CT156" s="1728"/>
      <c r="CU156" s="1726"/>
      <c r="CV156" s="1724">
        <v>1343975.41</v>
      </c>
      <c r="CW156" s="1724">
        <v>0</v>
      </c>
      <c r="CX156" s="1724">
        <v>0</v>
      </c>
      <c r="CY156" s="1724">
        <v>1032678.97</v>
      </c>
      <c r="CZ156" s="1724">
        <v>296489.77</v>
      </c>
      <c r="DA156" s="1724">
        <v>3509</v>
      </c>
      <c r="DB156" s="1724">
        <v>200</v>
      </c>
      <c r="DC156" s="1724">
        <v>11097.67</v>
      </c>
      <c r="DD156" s="1724">
        <v>1343975.41</v>
      </c>
      <c r="DE156" s="1724">
        <v>1243176</v>
      </c>
      <c r="DF156" s="1724">
        <v>1142377</v>
      </c>
      <c r="DG156" s="1724">
        <v>100799</v>
      </c>
      <c r="DH156" s="1724">
        <v>100799.41</v>
      </c>
      <c r="DI156" s="1724">
        <v>100799.41</v>
      </c>
      <c r="DJ156" s="1724">
        <v>0</v>
      </c>
      <c r="DK156" s="1724">
        <v>100799.41</v>
      </c>
      <c r="DL156" s="1724">
        <v>0</v>
      </c>
      <c r="DM156" s="1724">
        <v>0</v>
      </c>
      <c r="DN156" s="1724">
        <v>0</v>
      </c>
      <c r="DO156" s="1724">
        <v>0</v>
      </c>
      <c r="DP156" s="1724">
        <v>0</v>
      </c>
      <c r="DQ156" s="1728"/>
      <c r="DR156" s="1727"/>
      <c r="DS156" s="1728"/>
      <c r="DT156" s="1726"/>
      <c r="DU156" s="1728"/>
      <c r="DV156" s="1726"/>
    </row>
    <row r="157" spans="1:126" ht="157.5" x14ac:dyDescent="0.25">
      <c r="A157" s="1662" t="s">
        <v>2199</v>
      </c>
      <c r="B157" s="1662" t="s">
        <v>1729</v>
      </c>
      <c r="C157" s="1662" t="s">
        <v>2652</v>
      </c>
      <c r="D157" s="1662" t="s">
        <v>2653</v>
      </c>
      <c r="E157" s="1662" t="s">
        <v>136</v>
      </c>
      <c r="F157" s="1662" t="s">
        <v>381</v>
      </c>
      <c r="G157" s="1662" t="s">
        <v>2654</v>
      </c>
      <c r="H157" s="1662" t="s">
        <v>2628</v>
      </c>
      <c r="I157" s="1662" t="s">
        <v>2613</v>
      </c>
      <c r="J157" s="1662" t="s">
        <v>2498</v>
      </c>
      <c r="K157" s="1664">
        <v>42991</v>
      </c>
      <c r="L157" s="1664">
        <v>43150</v>
      </c>
      <c r="M157" s="1662" t="s">
        <v>281</v>
      </c>
      <c r="N157" s="1662" t="s">
        <v>2109</v>
      </c>
      <c r="O157" s="1662" t="s">
        <v>3336</v>
      </c>
      <c r="P157" s="1662" t="s">
        <v>2833</v>
      </c>
      <c r="Q157" s="1662" t="s">
        <v>1739</v>
      </c>
      <c r="R157" s="1662" t="s">
        <v>2833</v>
      </c>
      <c r="S157" s="1662" t="s">
        <v>2833</v>
      </c>
      <c r="T157" s="1662"/>
      <c r="U157" s="1662" t="s">
        <v>2834</v>
      </c>
      <c r="V157" s="1662" t="s">
        <v>2833</v>
      </c>
      <c r="W157" s="1662" t="s">
        <v>2833</v>
      </c>
      <c r="X157" s="1662"/>
      <c r="Y157" s="1662" t="s">
        <v>2833</v>
      </c>
      <c r="Z157" s="1662"/>
      <c r="AA157" s="1662"/>
      <c r="AB157" s="1662" t="s">
        <v>2833</v>
      </c>
      <c r="AC157" s="1662" t="s">
        <v>2833</v>
      </c>
      <c r="AD157" s="1662" t="s">
        <v>2833</v>
      </c>
      <c r="AE157" s="1662"/>
      <c r="AF157" s="1662" t="s">
        <v>3337</v>
      </c>
      <c r="AG157" s="1662" t="s">
        <v>3316</v>
      </c>
      <c r="AH157" s="1662" t="s">
        <v>2867</v>
      </c>
      <c r="AI157" s="1662" t="s">
        <v>2838</v>
      </c>
      <c r="AJ157" s="1662" t="s">
        <v>2839</v>
      </c>
      <c r="AK157" s="1662" t="s">
        <v>3069</v>
      </c>
      <c r="AL157" s="1662" t="s">
        <v>3338</v>
      </c>
      <c r="AM157" s="1665">
        <v>100</v>
      </c>
      <c r="AN157" s="1662"/>
      <c r="AO157" s="1662"/>
      <c r="AP157" s="1662"/>
      <c r="AQ157" s="1662"/>
      <c r="AR157" s="1662"/>
      <c r="AS157" s="1662"/>
      <c r="AT157" s="1662" t="s">
        <v>2842</v>
      </c>
      <c r="AU157" s="1662" t="s">
        <v>2842</v>
      </c>
      <c r="AV157" s="1662" t="s">
        <v>3318</v>
      </c>
      <c r="AW157" s="1662"/>
      <c r="AX157" s="1662" t="s">
        <v>2844</v>
      </c>
      <c r="AY157" s="1662" t="s">
        <v>2874</v>
      </c>
      <c r="AZ157" s="1662" t="s">
        <v>161</v>
      </c>
      <c r="BA157" s="1662" t="s">
        <v>2888</v>
      </c>
      <c r="BB157" s="1662" t="s">
        <v>2833</v>
      </c>
      <c r="BC157" s="1662" t="s">
        <v>2876</v>
      </c>
      <c r="BD157" s="1662" t="s">
        <v>2849</v>
      </c>
      <c r="BE157" s="1662" t="s">
        <v>3098</v>
      </c>
      <c r="BF157" s="1662" t="s">
        <v>2990</v>
      </c>
      <c r="BG157" s="1662" t="s">
        <v>2891</v>
      </c>
      <c r="BH157" s="1662" t="s">
        <v>2605</v>
      </c>
      <c r="BI157" s="1662" t="s">
        <v>2881</v>
      </c>
      <c r="BJ157" s="1662" t="s">
        <v>2892</v>
      </c>
      <c r="BK157" s="1662" t="s">
        <v>2842</v>
      </c>
      <c r="BL157" s="1662" t="s">
        <v>2833</v>
      </c>
      <c r="BM157" s="1662" t="s">
        <v>2833</v>
      </c>
      <c r="BN157" s="1665">
        <v>0</v>
      </c>
      <c r="BO157" s="1664">
        <v>42942</v>
      </c>
      <c r="BP157" s="1664">
        <v>43646</v>
      </c>
      <c r="BQ157" s="1662" t="s">
        <v>2855</v>
      </c>
      <c r="BR157" s="1664">
        <v>46022</v>
      </c>
      <c r="BS157" s="1662" t="s">
        <v>2893</v>
      </c>
      <c r="BT157" s="1662" t="s">
        <v>3339</v>
      </c>
      <c r="BU157" s="1665">
        <v>30</v>
      </c>
      <c r="BV157" s="1665">
        <v>54328.5</v>
      </c>
      <c r="BW157" s="1664">
        <v>43676</v>
      </c>
      <c r="BX157" s="1668"/>
      <c r="BY157" s="1662" t="s">
        <v>2096</v>
      </c>
      <c r="BZ157" s="1662" t="s">
        <v>2858</v>
      </c>
      <c r="CA157" s="1662" t="s">
        <v>2859</v>
      </c>
      <c r="CB157" s="1662" t="s">
        <v>2859</v>
      </c>
      <c r="CC157" s="1662" t="s">
        <v>2993</v>
      </c>
      <c r="CD157" s="1724">
        <v>195779</v>
      </c>
      <c r="CE157" s="1724">
        <v>195779</v>
      </c>
      <c r="CF157" s="1724">
        <v>181095</v>
      </c>
      <c r="CG157" s="1724">
        <v>92.5</v>
      </c>
      <c r="CH157" s="1724">
        <v>14684</v>
      </c>
      <c r="CI157" s="1724">
        <v>7.5</v>
      </c>
      <c r="CJ157" s="1724">
        <v>195779</v>
      </c>
      <c r="CK157" s="1724">
        <v>100</v>
      </c>
      <c r="CL157" s="1725" t="s">
        <v>2861</v>
      </c>
      <c r="CM157" s="1729">
        <v>43052</v>
      </c>
      <c r="CN157" s="1727"/>
      <c r="CO157" s="1728"/>
      <c r="CP157" s="1726"/>
      <c r="CQ157" s="1724">
        <v>181095</v>
      </c>
      <c r="CR157" s="1724">
        <v>166412</v>
      </c>
      <c r="CS157" s="1724">
        <v>14683</v>
      </c>
      <c r="CT157" s="1728" t="s">
        <v>2861</v>
      </c>
      <c r="CU157" s="1729">
        <v>43062</v>
      </c>
      <c r="CV157" s="1724">
        <v>195779</v>
      </c>
      <c r="CW157" s="1724">
        <v>0</v>
      </c>
      <c r="CX157" s="1724">
        <v>0</v>
      </c>
      <c r="CY157" s="1724">
        <v>108314.74</v>
      </c>
      <c r="CZ157" s="1724">
        <v>85334.15</v>
      </c>
      <c r="DA157" s="1724">
        <v>0</v>
      </c>
      <c r="DB157" s="1724">
        <v>0</v>
      </c>
      <c r="DC157" s="1724">
        <v>2130.11</v>
      </c>
      <c r="DD157" s="1724">
        <v>195779</v>
      </c>
      <c r="DE157" s="1724">
        <v>181095</v>
      </c>
      <c r="DF157" s="1724">
        <v>166412</v>
      </c>
      <c r="DG157" s="1724">
        <v>14683</v>
      </c>
      <c r="DH157" s="1724">
        <v>14684</v>
      </c>
      <c r="DI157" s="1724">
        <v>14684</v>
      </c>
      <c r="DJ157" s="1724">
        <v>0</v>
      </c>
      <c r="DK157" s="1724">
        <v>14684</v>
      </c>
      <c r="DL157" s="1724">
        <v>0</v>
      </c>
      <c r="DM157" s="1724">
        <v>0</v>
      </c>
      <c r="DN157" s="1724">
        <v>0</v>
      </c>
      <c r="DO157" s="1724">
        <v>0</v>
      </c>
      <c r="DP157" s="1724">
        <v>0</v>
      </c>
      <c r="DQ157" s="1728" t="s">
        <v>2886</v>
      </c>
      <c r="DR157" s="1724">
        <v>0</v>
      </c>
      <c r="DS157" s="1728" t="s">
        <v>2833</v>
      </c>
      <c r="DT157" s="1726"/>
      <c r="DU157" s="1728" t="s">
        <v>2861</v>
      </c>
      <c r="DV157" s="1729">
        <v>43281</v>
      </c>
    </row>
    <row r="158" spans="1:126" ht="180" x14ac:dyDescent="0.25">
      <c r="A158" s="1662" t="s">
        <v>2200</v>
      </c>
      <c r="B158" s="1662" t="s">
        <v>1729</v>
      </c>
      <c r="C158" s="1662" t="s">
        <v>2652</v>
      </c>
      <c r="D158" s="1662" t="s">
        <v>2653</v>
      </c>
      <c r="E158" s="1662" t="s">
        <v>136</v>
      </c>
      <c r="F158" s="1662" t="s">
        <v>381</v>
      </c>
      <c r="G158" s="1662" t="s">
        <v>2654</v>
      </c>
      <c r="H158" s="1662" t="s">
        <v>2628</v>
      </c>
      <c r="I158" s="1662" t="s">
        <v>2613</v>
      </c>
      <c r="J158" s="1662" t="s">
        <v>2503</v>
      </c>
      <c r="K158" s="1664">
        <v>42991</v>
      </c>
      <c r="L158" s="1664">
        <v>43139</v>
      </c>
      <c r="M158" s="1662" t="s">
        <v>644</v>
      </c>
      <c r="N158" s="1662" t="s">
        <v>2109</v>
      </c>
      <c r="O158" s="1662" t="s">
        <v>3340</v>
      </c>
      <c r="P158" s="1662" t="s">
        <v>2833</v>
      </c>
      <c r="Q158" s="1662" t="s">
        <v>1741</v>
      </c>
      <c r="R158" s="1662" t="s">
        <v>2833</v>
      </c>
      <c r="S158" s="1662" t="s">
        <v>2833</v>
      </c>
      <c r="T158" s="1662"/>
      <c r="U158" s="1662" t="s">
        <v>2834</v>
      </c>
      <c r="V158" s="1662" t="s">
        <v>2833</v>
      </c>
      <c r="W158" s="1662" t="s">
        <v>2833</v>
      </c>
      <c r="X158" s="1662"/>
      <c r="Y158" s="1662" t="s">
        <v>2833</v>
      </c>
      <c r="Z158" s="1662"/>
      <c r="AA158" s="1662"/>
      <c r="AB158" s="1662" t="s">
        <v>2833</v>
      </c>
      <c r="AC158" s="1662" t="s">
        <v>2833</v>
      </c>
      <c r="AD158" s="1662" t="s">
        <v>2833</v>
      </c>
      <c r="AE158" s="1662"/>
      <c r="AF158" s="1662" t="s">
        <v>3337</v>
      </c>
      <c r="AG158" s="1662" t="s">
        <v>3316</v>
      </c>
      <c r="AH158" s="1662" t="s">
        <v>2867</v>
      </c>
      <c r="AI158" s="1662" t="s">
        <v>2838</v>
      </c>
      <c r="AJ158" s="1662" t="s">
        <v>2839</v>
      </c>
      <c r="AK158" s="1662" t="s">
        <v>3069</v>
      </c>
      <c r="AL158" s="1662" t="s">
        <v>3338</v>
      </c>
      <c r="AM158" s="1665">
        <v>100</v>
      </c>
      <c r="AN158" s="1662"/>
      <c r="AO158" s="1662"/>
      <c r="AP158" s="1662"/>
      <c r="AQ158" s="1662"/>
      <c r="AR158" s="1662"/>
      <c r="AS158" s="1662"/>
      <c r="AT158" s="1662" t="s">
        <v>2842</v>
      </c>
      <c r="AU158" s="1662" t="s">
        <v>2842</v>
      </c>
      <c r="AV158" s="1662" t="s">
        <v>3318</v>
      </c>
      <c r="AW158" s="1662"/>
      <c r="AX158" s="1662" t="s">
        <v>2844</v>
      </c>
      <c r="AY158" s="1662" t="s">
        <v>2874</v>
      </c>
      <c r="AZ158" s="1662" t="s">
        <v>350</v>
      </c>
      <c r="BA158" s="1662" t="s">
        <v>2875</v>
      </c>
      <c r="BB158" s="1662" t="s">
        <v>2833</v>
      </c>
      <c r="BC158" s="1662" t="s">
        <v>2876</v>
      </c>
      <c r="BD158" s="1662" t="s">
        <v>2849</v>
      </c>
      <c r="BE158" s="1662" t="s">
        <v>2877</v>
      </c>
      <c r="BF158" s="1662" t="s">
        <v>2878</v>
      </c>
      <c r="BG158" s="1662" t="s">
        <v>2879</v>
      </c>
      <c r="BH158" s="1662" t="s">
        <v>2050</v>
      </c>
      <c r="BI158" s="1662" t="s">
        <v>2881</v>
      </c>
      <c r="BJ158" s="1662" t="s">
        <v>2882</v>
      </c>
      <c r="BK158" s="1662" t="s">
        <v>2842</v>
      </c>
      <c r="BL158" s="1662" t="s">
        <v>2833</v>
      </c>
      <c r="BM158" s="1662" t="s">
        <v>2833</v>
      </c>
      <c r="BN158" s="1665">
        <v>0</v>
      </c>
      <c r="BO158" s="1664">
        <v>42177</v>
      </c>
      <c r="BP158" s="1664">
        <v>43646</v>
      </c>
      <c r="BQ158" s="1662" t="s">
        <v>2855</v>
      </c>
      <c r="BR158" s="1664">
        <v>46022</v>
      </c>
      <c r="BS158" s="1662" t="s">
        <v>2883</v>
      </c>
      <c r="BT158" s="1662" t="s">
        <v>3341</v>
      </c>
      <c r="BU158" s="1665">
        <v>30</v>
      </c>
      <c r="BV158" s="1665">
        <v>182323.20000000001</v>
      </c>
      <c r="BW158" s="1664">
        <v>43676</v>
      </c>
      <c r="BX158" s="1668"/>
      <c r="BY158" s="1662" t="s">
        <v>2096</v>
      </c>
      <c r="BZ158" s="1662" t="s">
        <v>2858</v>
      </c>
      <c r="CA158" s="1662" t="s">
        <v>2859</v>
      </c>
      <c r="CB158" s="1662" t="s">
        <v>2859</v>
      </c>
      <c r="CC158" s="1662" t="s">
        <v>2993</v>
      </c>
      <c r="CD158" s="1724">
        <v>657021</v>
      </c>
      <c r="CE158" s="1724">
        <v>657021</v>
      </c>
      <c r="CF158" s="1724">
        <v>607744</v>
      </c>
      <c r="CG158" s="1724">
        <v>92.5</v>
      </c>
      <c r="CH158" s="1724">
        <v>49277</v>
      </c>
      <c r="CI158" s="1724">
        <v>7.5</v>
      </c>
      <c r="CJ158" s="1724">
        <v>657021</v>
      </c>
      <c r="CK158" s="1724">
        <v>100</v>
      </c>
      <c r="CL158" s="1725" t="s">
        <v>2861</v>
      </c>
      <c r="CM158" s="1729">
        <v>43052</v>
      </c>
      <c r="CN158" s="1727"/>
      <c r="CO158" s="1728"/>
      <c r="CP158" s="1726"/>
      <c r="CQ158" s="1724">
        <v>607744</v>
      </c>
      <c r="CR158" s="1724">
        <v>558467</v>
      </c>
      <c r="CS158" s="1724">
        <v>49277</v>
      </c>
      <c r="CT158" s="1728" t="s">
        <v>2861</v>
      </c>
      <c r="CU158" s="1729">
        <v>43062</v>
      </c>
      <c r="CV158" s="1724">
        <v>657021</v>
      </c>
      <c r="CW158" s="1724">
        <v>0</v>
      </c>
      <c r="CX158" s="1724">
        <v>0</v>
      </c>
      <c r="CY158" s="1724">
        <v>574726.43999999994</v>
      </c>
      <c r="CZ158" s="1724">
        <v>72016</v>
      </c>
      <c r="DA158" s="1724">
        <v>3509</v>
      </c>
      <c r="DB158" s="1724">
        <v>200</v>
      </c>
      <c r="DC158" s="1724">
        <v>6569.56</v>
      </c>
      <c r="DD158" s="1724">
        <v>657021</v>
      </c>
      <c r="DE158" s="1724">
        <v>607744</v>
      </c>
      <c r="DF158" s="1724">
        <v>558467</v>
      </c>
      <c r="DG158" s="1724">
        <v>49277</v>
      </c>
      <c r="DH158" s="1724">
        <v>49277</v>
      </c>
      <c r="DI158" s="1724">
        <v>49277</v>
      </c>
      <c r="DJ158" s="1724">
        <v>0</v>
      </c>
      <c r="DK158" s="1724">
        <v>49277</v>
      </c>
      <c r="DL158" s="1724">
        <v>0</v>
      </c>
      <c r="DM158" s="1724">
        <v>0</v>
      </c>
      <c r="DN158" s="1724">
        <v>0</v>
      </c>
      <c r="DO158" s="1724">
        <v>0</v>
      </c>
      <c r="DP158" s="1724">
        <v>0</v>
      </c>
      <c r="DQ158" s="1728" t="s">
        <v>2886</v>
      </c>
      <c r="DR158" s="1724">
        <v>0</v>
      </c>
      <c r="DS158" s="1728" t="s">
        <v>2833</v>
      </c>
      <c r="DT158" s="1726"/>
      <c r="DU158" s="1728" t="s">
        <v>2861</v>
      </c>
      <c r="DV158" s="1729">
        <v>43320</v>
      </c>
    </row>
    <row r="159" spans="1:126" ht="135" x14ac:dyDescent="0.25">
      <c r="A159" s="1662" t="s">
        <v>2202</v>
      </c>
      <c r="B159" s="1662" t="s">
        <v>1729</v>
      </c>
      <c r="C159" s="1662" t="s">
        <v>2652</v>
      </c>
      <c r="D159" s="1662" t="s">
        <v>2653</v>
      </c>
      <c r="E159" s="1662" t="s">
        <v>136</v>
      </c>
      <c r="F159" s="1662" t="s">
        <v>381</v>
      </c>
      <c r="G159" s="1662" t="s">
        <v>2654</v>
      </c>
      <c r="H159" s="1662" t="s">
        <v>2628</v>
      </c>
      <c r="I159" s="1662" t="s">
        <v>2613</v>
      </c>
      <c r="J159" s="1662" t="s">
        <v>3342</v>
      </c>
      <c r="K159" s="1664">
        <v>42993</v>
      </c>
      <c r="L159" s="1664">
        <v>43117</v>
      </c>
      <c r="M159" s="1662" t="s">
        <v>654</v>
      </c>
      <c r="N159" s="1662" t="s">
        <v>2109</v>
      </c>
      <c r="O159" s="1662" t="s">
        <v>3343</v>
      </c>
      <c r="P159" s="1662" t="s">
        <v>2833</v>
      </c>
      <c r="Q159" s="1662" t="s">
        <v>1745</v>
      </c>
      <c r="R159" s="1662" t="s">
        <v>2833</v>
      </c>
      <c r="S159" s="1662" t="s">
        <v>2833</v>
      </c>
      <c r="T159" s="1662"/>
      <c r="U159" s="1662" t="s">
        <v>2834</v>
      </c>
      <c r="V159" s="1662" t="s">
        <v>2833</v>
      </c>
      <c r="W159" s="1662" t="s">
        <v>2833</v>
      </c>
      <c r="X159" s="1662"/>
      <c r="Y159" s="1662" t="s">
        <v>2833</v>
      </c>
      <c r="Z159" s="1662"/>
      <c r="AA159" s="1662"/>
      <c r="AB159" s="1662" t="s">
        <v>2833</v>
      </c>
      <c r="AC159" s="1662" t="s">
        <v>2833</v>
      </c>
      <c r="AD159" s="1662" t="s">
        <v>2833</v>
      </c>
      <c r="AE159" s="1662"/>
      <c r="AF159" s="1662" t="s">
        <v>3337</v>
      </c>
      <c r="AG159" s="1662" t="s">
        <v>3316</v>
      </c>
      <c r="AH159" s="1662" t="s">
        <v>2867</v>
      </c>
      <c r="AI159" s="1662" t="s">
        <v>2838</v>
      </c>
      <c r="AJ159" s="1662" t="s">
        <v>2839</v>
      </c>
      <c r="AK159" s="1662" t="s">
        <v>3069</v>
      </c>
      <c r="AL159" s="1662" t="s">
        <v>3338</v>
      </c>
      <c r="AM159" s="1665">
        <v>100</v>
      </c>
      <c r="AN159" s="1662"/>
      <c r="AO159" s="1662"/>
      <c r="AP159" s="1662"/>
      <c r="AQ159" s="1662"/>
      <c r="AR159" s="1662"/>
      <c r="AS159" s="1662"/>
      <c r="AT159" s="1662" t="s">
        <v>2842</v>
      </c>
      <c r="AU159" s="1662" t="s">
        <v>2842</v>
      </c>
      <c r="AV159" s="1662" t="s">
        <v>3318</v>
      </c>
      <c r="AW159" s="1662"/>
      <c r="AX159" s="1662" t="s">
        <v>2844</v>
      </c>
      <c r="AY159" s="1662" t="s">
        <v>2874</v>
      </c>
      <c r="AZ159" s="1662" t="s">
        <v>284</v>
      </c>
      <c r="BA159" s="1662" t="s">
        <v>2896</v>
      </c>
      <c r="BB159" s="1662" t="s">
        <v>2833</v>
      </c>
      <c r="BC159" s="1662" t="s">
        <v>2876</v>
      </c>
      <c r="BD159" s="1662" t="s">
        <v>2849</v>
      </c>
      <c r="BE159" s="1662" t="s">
        <v>3022</v>
      </c>
      <c r="BF159" s="1662" t="s">
        <v>3039</v>
      </c>
      <c r="BG159" s="1662" t="s">
        <v>3024</v>
      </c>
      <c r="BH159" s="1662" t="s">
        <v>2050</v>
      </c>
      <c r="BI159" s="1662" t="s">
        <v>2881</v>
      </c>
      <c r="BJ159" s="1662" t="s">
        <v>2900</v>
      </c>
      <c r="BK159" s="1662" t="s">
        <v>2842</v>
      </c>
      <c r="BL159" s="1662" t="s">
        <v>2833</v>
      </c>
      <c r="BM159" s="1662" t="s">
        <v>2833</v>
      </c>
      <c r="BN159" s="1665">
        <v>0</v>
      </c>
      <c r="BO159" s="1664">
        <v>43117</v>
      </c>
      <c r="BP159" s="1664">
        <v>43738</v>
      </c>
      <c r="BQ159" s="1662" t="s">
        <v>2855</v>
      </c>
      <c r="BR159" s="1664">
        <v>46022</v>
      </c>
      <c r="BS159" s="1662" t="s">
        <v>2883</v>
      </c>
      <c r="BT159" s="1662" t="s">
        <v>3344</v>
      </c>
      <c r="BU159" s="1665">
        <v>30</v>
      </c>
      <c r="BV159" s="1665">
        <v>61175.7</v>
      </c>
      <c r="BW159" s="1664">
        <v>43768</v>
      </c>
      <c r="BX159" s="1668"/>
      <c r="BY159" s="1662" t="s">
        <v>2096</v>
      </c>
      <c r="BZ159" s="1662" t="s">
        <v>2858</v>
      </c>
      <c r="CA159" s="1662" t="s">
        <v>2859</v>
      </c>
      <c r="CB159" s="1662" t="s">
        <v>2859</v>
      </c>
      <c r="CC159" s="1662" t="s">
        <v>2993</v>
      </c>
      <c r="CD159" s="1724">
        <v>220453</v>
      </c>
      <c r="CE159" s="1724">
        <v>220453</v>
      </c>
      <c r="CF159" s="1724">
        <v>203919</v>
      </c>
      <c r="CG159" s="1724">
        <v>92.5</v>
      </c>
      <c r="CH159" s="1724">
        <v>16534</v>
      </c>
      <c r="CI159" s="1724">
        <v>7.5</v>
      </c>
      <c r="CJ159" s="1724">
        <v>220453</v>
      </c>
      <c r="CK159" s="1724">
        <v>100</v>
      </c>
      <c r="CL159" s="1725" t="s">
        <v>2861</v>
      </c>
      <c r="CM159" s="1729">
        <v>43053</v>
      </c>
      <c r="CN159" s="1727"/>
      <c r="CO159" s="1728"/>
      <c r="CP159" s="1726"/>
      <c r="CQ159" s="1724">
        <v>203919</v>
      </c>
      <c r="CR159" s="1724">
        <v>187385</v>
      </c>
      <c r="CS159" s="1724">
        <v>16534</v>
      </c>
      <c r="CT159" s="1728" t="s">
        <v>2861</v>
      </c>
      <c r="CU159" s="1729">
        <v>43070</v>
      </c>
      <c r="CV159" s="1724">
        <v>220453</v>
      </c>
      <c r="CW159" s="1724">
        <v>0</v>
      </c>
      <c r="CX159" s="1724">
        <v>0</v>
      </c>
      <c r="CY159" s="1724">
        <v>198859</v>
      </c>
      <c r="CZ159" s="1724">
        <v>19196</v>
      </c>
      <c r="DA159" s="1724">
        <v>0</v>
      </c>
      <c r="DB159" s="1724">
        <v>0</v>
      </c>
      <c r="DC159" s="1724">
        <v>2398</v>
      </c>
      <c r="DD159" s="1724">
        <v>220453</v>
      </c>
      <c r="DE159" s="1724">
        <v>203919</v>
      </c>
      <c r="DF159" s="1724">
        <v>187385</v>
      </c>
      <c r="DG159" s="1724">
        <v>16534</v>
      </c>
      <c r="DH159" s="1724">
        <v>16534</v>
      </c>
      <c r="DI159" s="1724">
        <v>16534</v>
      </c>
      <c r="DJ159" s="1724">
        <v>0</v>
      </c>
      <c r="DK159" s="1724">
        <v>16534</v>
      </c>
      <c r="DL159" s="1724">
        <v>0</v>
      </c>
      <c r="DM159" s="1724">
        <v>0</v>
      </c>
      <c r="DN159" s="1724">
        <v>0</v>
      </c>
      <c r="DO159" s="1724">
        <v>0</v>
      </c>
      <c r="DP159" s="1724">
        <v>0</v>
      </c>
      <c r="DQ159" s="1728" t="s">
        <v>2886</v>
      </c>
      <c r="DR159" s="1724">
        <v>0</v>
      </c>
      <c r="DS159" s="1728" t="s">
        <v>2833</v>
      </c>
      <c r="DT159" s="1726"/>
      <c r="DU159" s="1728" t="s">
        <v>2861</v>
      </c>
      <c r="DV159" s="1729">
        <v>43298</v>
      </c>
    </row>
    <row r="160" spans="1:126" ht="112.5" x14ac:dyDescent="0.25">
      <c r="A160" s="1662" t="s">
        <v>2203</v>
      </c>
      <c r="B160" s="1662" t="s">
        <v>1729</v>
      </c>
      <c r="C160" s="1662" t="s">
        <v>2652</v>
      </c>
      <c r="D160" s="1662" t="s">
        <v>2653</v>
      </c>
      <c r="E160" s="1662" t="s">
        <v>136</v>
      </c>
      <c r="F160" s="1662" t="s">
        <v>381</v>
      </c>
      <c r="G160" s="1662" t="s">
        <v>2654</v>
      </c>
      <c r="H160" s="1662" t="s">
        <v>2628</v>
      </c>
      <c r="I160" s="1662" t="s">
        <v>2613</v>
      </c>
      <c r="J160" s="1662" t="s">
        <v>820</v>
      </c>
      <c r="K160" s="1664">
        <v>42993</v>
      </c>
      <c r="L160" s="1664">
        <v>43098</v>
      </c>
      <c r="M160" s="1662" t="s">
        <v>232</v>
      </c>
      <c r="N160" s="1662" t="s">
        <v>2109</v>
      </c>
      <c r="O160" s="1662" t="s">
        <v>3345</v>
      </c>
      <c r="P160" s="1662" t="s">
        <v>2833</v>
      </c>
      <c r="Q160" s="1662" t="s">
        <v>1738</v>
      </c>
      <c r="R160" s="1662" t="s">
        <v>2833</v>
      </c>
      <c r="S160" s="1662" t="s">
        <v>2833</v>
      </c>
      <c r="T160" s="1662"/>
      <c r="U160" s="1662" t="s">
        <v>2834</v>
      </c>
      <c r="V160" s="1662" t="s">
        <v>2833</v>
      </c>
      <c r="W160" s="1662" t="s">
        <v>2833</v>
      </c>
      <c r="X160" s="1662"/>
      <c r="Y160" s="1662" t="s">
        <v>2833</v>
      </c>
      <c r="Z160" s="1662"/>
      <c r="AA160" s="1662"/>
      <c r="AB160" s="1662" t="s">
        <v>2833</v>
      </c>
      <c r="AC160" s="1662" t="s">
        <v>2833</v>
      </c>
      <c r="AD160" s="1662" t="s">
        <v>2833</v>
      </c>
      <c r="AE160" s="1662"/>
      <c r="AF160" s="1662" t="s">
        <v>3337</v>
      </c>
      <c r="AG160" s="1662" t="s">
        <v>3316</v>
      </c>
      <c r="AH160" s="1662" t="s">
        <v>2867</v>
      </c>
      <c r="AI160" s="1662" t="s">
        <v>2838</v>
      </c>
      <c r="AJ160" s="1662" t="s">
        <v>2839</v>
      </c>
      <c r="AK160" s="1662" t="s">
        <v>3069</v>
      </c>
      <c r="AL160" s="1662" t="s">
        <v>3338</v>
      </c>
      <c r="AM160" s="1665">
        <v>100</v>
      </c>
      <c r="AN160" s="1662"/>
      <c r="AO160" s="1662"/>
      <c r="AP160" s="1662"/>
      <c r="AQ160" s="1662"/>
      <c r="AR160" s="1662"/>
      <c r="AS160" s="1662"/>
      <c r="AT160" s="1662" t="s">
        <v>2842</v>
      </c>
      <c r="AU160" s="1662" t="s">
        <v>2842</v>
      </c>
      <c r="AV160" s="1662" t="s">
        <v>3318</v>
      </c>
      <c r="AW160" s="1662"/>
      <c r="AX160" s="1662" t="s">
        <v>2844</v>
      </c>
      <c r="AY160" s="1662" t="s">
        <v>2874</v>
      </c>
      <c r="AZ160" s="1662" t="s">
        <v>236</v>
      </c>
      <c r="BA160" s="1662" t="s">
        <v>3009</v>
      </c>
      <c r="BB160" s="1662" t="s">
        <v>2833</v>
      </c>
      <c r="BC160" s="1662" t="s">
        <v>2876</v>
      </c>
      <c r="BD160" s="1662" t="s">
        <v>2849</v>
      </c>
      <c r="BE160" s="1662" t="s">
        <v>3010</v>
      </c>
      <c r="BF160" s="1662" t="s">
        <v>3148</v>
      </c>
      <c r="BG160" s="1662" t="s">
        <v>3012</v>
      </c>
      <c r="BH160" s="1662" t="s">
        <v>2050</v>
      </c>
      <c r="BI160" s="1662" t="s">
        <v>2881</v>
      </c>
      <c r="BJ160" s="1662" t="s">
        <v>2965</v>
      </c>
      <c r="BK160" s="1662" t="s">
        <v>2842</v>
      </c>
      <c r="BL160" s="1662" t="s">
        <v>2833</v>
      </c>
      <c r="BM160" s="1662" t="s">
        <v>2833</v>
      </c>
      <c r="BN160" s="1665">
        <v>0</v>
      </c>
      <c r="BO160" s="1664">
        <v>43098</v>
      </c>
      <c r="BP160" s="1664">
        <v>43555</v>
      </c>
      <c r="BQ160" s="1662" t="s">
        <v>2855</v>
      </c>
      <c r="BR160" s="1664">
        <v>46022</v>
      </c>
      <c r="BS160" s="1662" t="s">
        <v>3346</v>
      </c>
      <c r="BT160" s="1662" t="s">
        <v>3347</v>
      </c>
      <c r="BU160" s="1665">
        <v>30</v>
      </c>
      <c r="BV160" s="1665">
        <v>45475.8</v>
      </c>
      <c r="BW160" s="1664">
        <v>43585</v>
      </c>
      <c r="BX160" s="1668"/>
      <c r="BY160" s="1662" t="s">
        <v>2096</v>
      </c>
      <c r="BZ160" s="1662" t="s">
        <v>2859</v>
      </c>
      <c r="CA160" s="1662" t="s">
        <v>2859</v>
      </c>
      <c r="CB160" s="1662" t="s">
        <v>2859</v>
      </c>
      <c r="CC160" s="1662" t="s">
        <v>2993</v>
      </c>
      <c r="CD160" s="1724">
        <v>163877</v>
      </c>
      <c r="CE160" s="1724">
        <v>163877</v>
      </c>
      <c r="CF160" s="1724">
        <v>151586</v>
      </c>
      <c r="CG160" s="1724">
        <v>92.5</v>
      </c>
      <c r="CH160" s="1724">
        <v>12291</v>
      </c>
      <c r="CI160" s="1724">
        <v>7.5</v>
      </c>
      <c r="CJ160" s="1724">
        <v>163877</v>
      </c>
      <c r="CK160" s="1724">
        <v>100</v>
      </c>
      <c r="CL160" s="1725" t="s">
        <v>2861</v>
      </c>
      <c r="CM160" s="1729">
        <v>43053</v>
      </c>
      <c r="CN160" s="1727"/>
      <c r="CO160" s="1728"/>
      <c r="CP160" s="1726"/>
      <c r="CQ160" s="1724">
        <v>151586</v>
      </c>
      <c r="CR160" s="1724">
        <v>139295</v>
      </c>
      <c r="CS160" s="1724">
        <v>12291</v>
      </c>
      <c r="CT160" s="1728" t="s">
        <v>2861</v>
      </c>
      <c r="CU160" s="1729">
        <v>43070</v>
      </c>
      <c r="CV160" s="1724">
        <v>163877</v>
      </c>
      <c r="CW160" s="1724">
        <v>0</v>
      </c>
      <c r="CX160" s="1724">
        <v>0</v>
      </c>
      <c r="CY160" s="1724">
        <v>114778.79</v>
      </c>
      <c r="CZ160" s="1724">
        <v>49098.21</v>
      </c>
      <c r="DA160" s="1724">
        <v>0</v>
      </c>
      <c r="DB160" s="1724">
        <v>0</v>
      </c>
      <c r="DC160" s="1724">
        <v>0</v>
      </c>
      <c r="DD160" s="1724">
        <v>163877</v>
      </c>
      <c r="DE160" s="1724">
        <v>151586</v>
      </c>
      <c r="DF160" s="1724">
        <v>139295</v>
      </c>
      <c r="DG160" s="1724">
        <v>12291</v>
      </c>
      <c r="DH160" s="1724">
        <v>12291</v>
      </c>
      <c r="DI160" s="1724">
        <v>12291</v>
      </c>
      <c r="DJ160" s="1724">
        <v>0</v>
      </c>
      <c r="DK160" s="1724">
        <v>12291</v>
      </c>
      <c r="DL160" s="1724">
        <v>0</v>
      </c>
      <c r="DM160" s="1724">
        <v>0</v>
      </c>
      <c r="DN160" s="1724">
        <v>0</v>
      </c>
      <c r="DO160" s="1724">
        <v>0</v>
      </c>
      <c r="DP160" s="1724">
        <v>0</v>
      </c>
      <c r="DQ160" s="1728" t="s">
        <v>2886</v>
      </c>
      <c r="DR160" s="1724">
        <v>0</v>
      </c>
      <c r="DS160" s="1728" t="s">
        <v>2833</v>
      </c>
      <c r="DT160" s="1726"/>
      <c r="DU160" s="1728" t="s">
        <v>2861</v>
      </c>
      <c r="DV160" s="1729">
        <v>43252</v>
      </c>
    </row>
    <row r="161" spans="1:126" ht="90" x14ac:dyDescent="0.25">
      <c r="A161" s="1662" t="s">
        <v>2204</v>
      </c>
      <c r="B161" s="1662" t="s">
        <v>1729</v>
      </c>
      <c r="C161" s="1662" t="s">
        <v>2652</v>
      </c>
      <c r="D161" s="1662" t="s">
        <v>2653</v>
      </c>
      <c r="E161" s="1662" t="s">
        <v>136</v>
      </c>
      <c r="F161" s="1662" t="s">
        <v>381</v>
      </c>
      <c r="G161" s="1662" t="s">
        <v>2654</v>
      </c>
      <c r="H161" s="1662" t="s">
        <v>2628</v>
      </c>
      <c r="I161" s="1662" t="s">
        <v>2613</v>
      </c>
      <c r="J161" s="1662" t="s">
        <v>823</v>
      </c>
      <c r="K161" s="1664">
        <v>43003</v>
      </c>
      <c r="L161" s="1664">
        <v>43112</v>
      </c>
      <c r="M161" s="1662" t="s">
        <v>187</v>
      </c>
      <c r="N161" s="1662" t="s">
        <v>2109</v>
      </c>
      <c r="O161" s="1662" t="s">
        <v>3348</v>
      </c>
      <c r="P161" s="1662" t="s">
        <v>2833</v>
      </c>
      <c r="Q161" s="1662" t="s">
        <v>1734</v>
      </c>
      <c r="R161" s="1662" t="s">
        <v>2833</v>
      </c>
      <c r="S161" s="1662" t="s">
        <v>2833</v>
      </c>
      <c r="T161" s="1662"/>
      <c r="U161" s="1662" t="s">
        <v>2834</v>
      </c>
      <c r="V161" s="1662" t="s">
        <v>2833</v>
      </c>
      <c r="W161" s="1662" t="s">
        <v>2833</v>
      </c>
      <c r="X161" s="1662"/>
      <c r="Y161" s="1662" t="s">
        <v>2833</v>
      </c>
      <c r="Z161" s="1662"/>
      <c r="AA161" s="1662"/>
      <c r="AB161" s="1662" t="s">
        <v>2833</v>
      </c>
      <c r="AC161" s="1662" t="s">
        <v>2833</v>
      </c>
      <c r="AD161" s="1662" t="s">
        <v>2833</v>
      </c>
      <c r="AE161" s="1662"/>
      <c r="AF161" s="1662" t="s">
        <v>3337</v>
      </c>
      <c r="AG161" s="1662" t="s">
        <v>3316</v>
      </c>
      <c r="AH161" s="1662" t="s">
        <v>2867</v>
      </c>
      <c r="AI161" s="1662" t="s">
        <v>2838</v>
      </c>
      <c r="AJ161" s="1662" t="s">
        <v>2839</v>
      </c>
      <c r="AK161" s="1662" t="s">
        <v>3069</v>
      </c>
      <c r="AL161" s="1662" t="s">
        <v>3338</v>
      </c>
      <c r="AM161" s="1665">
        <v>100</v>
      </c>
      <c r="AN161" s="1662"/>
      <c r="AO161" s="1662"/>
      <c r="AP161" s="1662"/>
      <c r="AQ161" s="1662"/>
      <c r="AR161" s="1662"/>
      <c r="AS161" s="1662"/>
      <c r="AT161" s="1662" t="s">
        <v>2842</v>
      </c>
      <c r="AU161" s="1662" t="s">
        <v>2842</v>
      </c>
      <c r="AV161" s="1662" t="s">
        <v>3318</v>
      </c>
      <c r="AW161" s="1662"/>
      <c r="AX161" s="1662" t="s">
        <v>2844</v>
      </c>
      <c r="AY161" s="1662" t="s">
        <v>2874</v>
      </c>
      <c r="AZ161" s="1662" t="s">
        <v>184</v>
      </c>
      <c r="BA161" s="1662" t="s">
        <v>2904</v>
      </c>
      <c r="BB161" s="1662" t="s">
        <v>2833</v>
      </c>
      <c r="BC161" s="1662" t="s">
        <v>2876</v>
      </c>
      <c r="BD161" s="1662" t="s">
        <v>2849</v>
      </c>
      <c r="BE161" s="1662" t="s">
        <v>3330</v>
      </c>
      <c r="BF161" s="1662" t="s">
        <v>2906</v>
      </c>
      <c r="BG161" s="1662" t="s">
        <v>2907</v>
      </c>
      <c r="BH161" s="1662" t="s">
        <v>2604</v>
      </c>
      <c r="BI161" s="1662" t="s">
        <v>2881</v>
      </c>
      <c r="BJ161" s="1662" t="s">
        <v>2908</v>
      </c>
      <c r="BK161" s="1662" t="s">
        <v>2842</v>
      </c>
      <c r="BL161" s="1662" t="s">
        <v>2833</v>
      </c>
      <c r="BM161" s="1662" t="s">
        <v>2833</v>
      </c>
      <c r="BN161" s="1665">
        <v>0</v>
      </c>
      <c r="BO161" s="1664">
        <v>43054</v>
      </c>
      <c r="BP161" s="1664">
        <v>43496</v>
      </c>
      <c r="BQ161" s="1662" t="s">
        <v>2855</v>
      </c>
      <c r="BR161" s="1664">
        <v>46022</v>
      </c>
      <c r="BS161" s="1662" t="s">
        <v>3349</v>
      </c>
      <c r="BT161" s="1662" t="s">
        <v>3350</v>
      </c>
      <c r="BU161" s="1665">
        <v>30</v>
      </c>
      <c r="BV161" s="1665">
        <v>29649.599999999999</v>
      </c>
      <c r="BW161" s="1664">
        <v>43526</v>
      </c>
      <c r="BX161" s="1668"/>
      <c r="BY161" s="1662" t="s">
        <v>2096</v>
      </c>
      <c r="BZ161" s="1662" t="s">
        <v>2859</v>
      </c>
      <c r="CA161" s="1662" t="s">
        <v>2859</v>
      </c>
      <c r="CB161" s="1662" t="s">
        <v>2859</v>
      </c>
      <c r="CC161" s="1662" t="s">
        <v>2993</v>
      </c>
      <c r="CD161" s="1724">
        <v>106845.41</v>
      </c>
      <c r="CE161" s="1724">
        <v>106845.41</v>
      </c>
      <c r="CF161" s="1724">
        <v>98832</v>
      </c>
      <c r="CG161" s="1724">
        <v>92.5</v>
      </c>
      <c r="CH161" s="1724">
        <v>8013.41</v>
      </c>
      <c r="CI161" s="1724">
        <v>7.5</v>
      </c>
      <c r="CJ161" s="1724">
        <v>106845.41</v>
      </c>
      <c r="CK161" s="1724">
        <v>100</v>
      </c>
      <c r="CL161" s="1725" t="s">
        <v>2861</v>
      </c>
      <c r="CM161" s="1729">
        <v>43062</v>
      </c>
      <c r="CN161" s="1727"/>
      <c r="CO161" s="1728"/>
      <c r="CP161" s="1726"/>
      <c r="CQ161" s="1724">
        <v>98832</v>
      </c>
      <c r="CR161" s="1724">
        <v>90818</v>
      </c>
      <c r="CS161" s="1724">
        <v>8014</v>
      </c>
      <c r="CT161" s="1728" t="s">
        <v>2861</v>
      </c>
      <c r="CU161" s="1729">
        <v>43070</v>
      </c>
      <c r="CV161" s="1724">
        <v>106845.41</v>
      </c>
      <c r="CW161" s="1724">
        <v>0</v>
      </c>
      <c r="CX161" s="1724">
        <v>0</v>
      </c>
      <c r="CY161" s="1724">
        <v>36000</v>
      </c>
      <c r="CZ161" s="1724">
        <v>70845.41</v>
      </c>
      <c r="DA161" s="1724">
        <v>0</v>
      </c>
      <c r="DB161" s="1724">
        <v>0</v>
      </c>
      <c r="DC161" s="1724">
        <v>0</v>
      </c>
      <c r="DD161" s="1724">
        <v>106845.41</v>
      </c>
      <c r="DE161" s="1724">
        <v>98832</v>
      </c>
      <c r="DF161" s="1724">
        <v>90818</v>
      </c>
      <c r="DG161" s="1724">
        <v>8014</v>
      </c>
      <c r="DH161" s="1724">
        <v>8013.41</v>
      </c>
      <c r="DI161" s="1724">
        <v>8013.41</v>
      </c>
      <c r="DJ161" s="1724">
        <v>0</v>
      </c>
      <c r="DK161" s="1724">
        <v>8013.41</v>
      </c>
      <c r="DL161" s="1724">
        <v>0</v>
      </c>
      <c r="DM161" s="1724">
        <v>0</v>
      </c>
      <c r="DN161" s="1724">
        <v>0</v>
      </c>
      <c r="DO161" s="1724">
        <v>0</v>
      </c>
      <c r="DP161" s="1724">
        <v>0</v>
      </c>
      <c r="DQ161" s="1728" t="s">
        <v>2886</v>
      </c>
      <c r="DR161" s="1724">
        <v>0</v>
      </c>
      <c r="DS161" s="1728" t="s">
        <v>2833</v>
      </c>
      <c r="DT161" s="1726"/>
      <c r="DU161" s="1728" t="s">
        <v>2861</v>
      </c>
      <c r="DV161" s="1729">
        <v>43293</v>
      </c>
    </row>
    <row r="162" spans="1:126" ht="33.75" x14ac:dyDescent="0.25">
      <c r="A162" s="1662" t="s">
        <v>2205</v>
      </c>
      <c r="B162" s="1662" t="s">
        <v>1729</v>
      </c>
      <c r="C162" s="1662" t="s">
        <v>2652</v>
      </c>
      <c r="D162" s="1662" t="s">
        <v>2653</v>
      </c>
      <c r="E162" s="1662" t="s">
        <v>2516</v>
      </c>
      <c r="F162" s="1662" t="s">
        <v>260</v>
      </c>
      <c r="G162" s="1662"/>
      <c r="H162" s="1662"/>
      <c r="I162" s="1662"/>
      <c r="J162" s="1662"/>
      <c r="K162" s="1668"/>
      <c r="L162" s="1668"/>
      <c r="M162" s="1662"/>
      <c r="N162" s="1662"/>
      <c r="O162" s="1662"/>
      <c r="P162" s="1662"/>
      <c r="Q162" s="1662"/>
      <c r="R162" s="1662"/>
      <c r="S162" s="1662"/>
      <c r="T162" s="1662"/>
      <c r="U162" s="1662"/>
      <c r="V162" s="1662"/>
      <c r="W162" s="1662"/>
      <c r="X162" s="1662"/>
      <c r="Y162" s="1662"/>
      <c r="Z162" s="1662"/>
      <c r="AA162" s="1662"/>
      <c r="AB162" s="1662"/>
      <c r="AC162" s="1662"/>
      <c r="AD162" s="1662"/>
      <c r="AE162" s="1662"/>
      <c r="AF162" s="1662"/>
      <c r="AG162" s="1662"/>
      <c r="AH162" s="1662"/>
      <c r="AI162" s="1662"/>
      <c r="AJ162" s="1662"/>
      <c r="AK162" s="1662"/>
      <c r="AL162" s="1662"/>
      <c r="AM162" s="1663"/>
      <c r="AN162" s="1662"/>
      <c r="AO162" s="1662"/>
      <c r="AP162" s="1662"/>
      <c r="AQ162" s="1662"/>
      <c r="AR162" s="1662"/>
      <c r="AS162" s="1662"/>
      <c r="AT162" s="1662"/>
      <c r="AU162" s="1662"/>
      <c r="AV162" s="1662"/>
      <c r="AW162" s="1662"/>
      <c r="AX162" s="1662"/>
      <c r="AY162" s="1662"/>
      <c r="AZ162" s="1662"/>
      <c r="BA162" s="1662"/>
      <c r="BB162" s="1662"/>
      <c r="BC162" s="1662"/>
      <c r="BD162" s="1662"/>
      <c r="BE162" s="1662"/>
      <c r="BF162" s="1662"/>
      <c r="BG162" s="1662"/>
      <c r="BH162" s="1662"/>
      <c r="BI162" s="1662"/>
      <c r="BJ162" s="1662"/>
      <c r="BK162" s="1662"/>
      <c r="BL162" s="1662"/>
      <c r="BM162" s="1662"/>
      <c r="BN162" s="1663"/>
      <c r="BO162" s="1668"/>
      <c r="BP162" s="1668"/>
      <c r="BQ162" s="1662"/>
      <c r="BR162" s="1668"/>
      <c r="BS162" s="1662"/>
      <c r="BT162" s="1662"/>
      <c r="BU162" s="1663"/>
      <c r="BV162" s="1665">
        <v>445802.1</v>
      </c>
      <c r="BW162" s="1668"/>
      <c r="BX162" s="1668"/>
      <c r="BY162" s="1662"/>
      <c r="BZ162" s="1662"/>
      <c r="CA162" s="1662"/>
      <c r="CB162" s="1662"/>
      <c r="CC162" s="1662"/>
      <c r="CD162" s="1724">
        <v>2002345.53</v>
      </c>
      <c r="CE162" s="1724">
        <v>1973870.18</v>
      </c>
      <c r="CF162" s="1724">
        <v>1486007</v>
      </c>
      <c r="CG162" s="1724">
        <v>75.28</v>
      </c>
      <c r="CH162" s="1724">
        <v>487863.18</v>
      </c>
      <c r="CI162" s="1724">
        <v>24.72</v>
      </c>
      <c r="CJ162" s="1724">
        <v>1973870.18</v>
      </c>
      <c r="CK162" s="1724">
        <v>100</v>
      </c>
      <c r="CL162" s="1725"/>
      <c r="CM162" s="1726"/>
      <c r="CN162" s="1727"/>
      <c r="CO162" s="1728"/>
      <c r="CP162" s="1726"/>
      <c r="CQ162" s="1724">
        <v>1486007</v>
      </c>
      <c r="CR162" s="1724">
        <v>1486007</v>
      </c>
      <c r="CS162" s="1724">
        <v>0</v>
      </c>
      <c r="CT162" s="1728"/>
      <c r="CU162" s="1726"/>
      <c r="CV162" s="1724">
        <v>1973870.18</v>
      </c>
      <c r="CW162" s="1724">
        <v>0</v>
      </c>
      <c r="CX162" s="1724">
        <v>0</v>
      </c>
      <c r="CY162" s="1724">
        <v>1666837.6</v>
      </c>
      <c r="CZ162" s="1724">
        <v>280101.74</v>
      </c>
      <c r="DA162" s="1724">
        <v>8509</v>
      </c>
      <c r="DB162" s="1724">
        <v>0</v>
      </c>
      <c r="DC162" s="1724">
        <v>18421.84</v>
      </c>
      <c r="DD162" s="1724">
        <v>1973870.18</v>
      </c>
      <c r="DE162" s="1724">
        <v>1486007</v>
      </c>
      <c r="DF162" s="1724">
        <v>1486007</v>
      </c>
      <c r="DG162" s="1724">
        <v>0</v>
      </c>
      <c r="DH162" s="1724">
        <v>487863.18</v>
      </c>
      <c r="DI162" s="1724">
        <v>487863.18</v>
      </c>
      <c r="DJ162" s="1724">
        <v>0</v>
      </c>
      <c r="DK162" s="1724">
        <v>487863.18</v>
      </c>
      <c r="DL162" s="1724">
        <v>0</v>
      </c>
      <c r="DM162" s="1724">
        <v>0</v>
      </c>
      <c r="DN162" s="1724">
        <v>0</v>
      </c>
      <c r="DO162" s="1724">
        <v>0</v>
      </c>
      <c r="DP162" s="1724">
        <v>0</v>
      </c>
      <c r="DQ162" s="1728"/>
      <c r="DR162" s="1727"/>
      <c r="DS162" s="1728"/>
      <c r="DT162" s="1726"/>
      <c r="DU162" s="1728"/>
      <c r="DV162" s="1726"/>
    </row>
    <row r="163" spans="1:126" ht="101.25" x14ac:dyDescent="0.25">
      <c r="A163" s="1662" t="s">
        <v>2206</v>
      </c>
      <c r="B163" s="1662" t="s">
        <v>1729</v>
      </c>
      <c r="C163" s="1662" t="s">
        <v>2652</v>
      </c>
      <c r="D163" s="1662" t="s">
        <v>2653</v>
      </c>
      <c r="E163" s="1662" t="s">
        <v>2516</v>
      </c>
      <c r="F163" s="1662" t="s">
        <v>260</v>
      </c>
      <c r="G163" s="1662" t="s">
        <v>2654</v>
      </c>
      <c r="H163" s="1662" t="s">
        <v>2628</v>
      </c>
      <c r="I163" s="1662" t="s">
        <v>2613</v>
      </c>
      <c r="J163" s="1662" t="s">
        <v>804</v>
      </c>
      <c r="K163" s="1664">
        <v>42915</v>
      </c>
      <c r="L163" s="1664">
        <v>43045</v>
      </c>
      <c r="M163" s="1662" t="s">
        <v>282</v>
      </c>
      <c r="N163" s="1662" t="s">
        <v>2109</v>
      </c>
      <c r="O163" s="1662" t="s">
        <v>3351</v>
      </c>
      <c r="P163" s="1662" t="s">
        <v>2833</v>
      </c>
      <c r="Q163" s="1662" t="s">
        <v>1741</v>
      </c>
      <c r="R163" s="1662" t="s">
        <v>2833</v>
      </c>
      <c r="S163" s="1662" t="s">
        <v>2833</v>
      </c>
      <c r="T163" s="1662"/>
      <c r="U163" s="1662" t="s">
        <v>2834</v>
      </c>
      <c r="V163" s="1662" t="s">
        <v>2833</v>
      </c>
      <c r="W163" s="1662" t="s">
        <v>2833</v>
      </c>
      <c r="X163" s="1662"/>
      <c r="Y163" s="1662" t="s">
        <v>2833</v>
      </c>
      <c r="Z163" s="1662"/>
      <c r="AA163" s="1662"/>
      <c r="AB163" s="1662" t="s">
        <v>2833</v>
      </c>
      <c r="AC163" s="1662" t="s">
        <v>2833</v>
      </c>
      <c r="AD163" s="1662" t="s">
        <v>2833</v>
      </c>
      <c r="AE163" s="1662"/>
      <c r="AF163" s="1662" t="s">
        <v>3352</v>
      </c>
      <c r="AG163" s="1662" t="s">
        <v>3316</v>
      </c>
      <c r="AH163" s="1662" t="s">
        <v>2867</v>
      </c>
      <c r="AI163" s="1662" t="s">
        <v>2838</v>
      </c>
      <c r="AJ163" s="1662" t="s">
        <v>2839</v>
      </c>
      <c r="AK163" s="1662" t="s">
        <v>3069</v>
      </c>
      <c r="AL163" s="1662" t="s">
        <v>3338</v>
      </c>
      <c r="AM163" s="1665">
        <v>100</v>
      </c>
      <c r="AN163" s="1662"/>
      <c r="AO163" s="1662"/>
      <c r="AP163" s="1662"/>
      <c r="AQ163" s="1662"/>
      <c r="AR163" s="1662"/>
      <c r="AS163" s="1662"/>
      <c r="AT163" s="1662" t="s">
        <v>2842</v>
      </c>
      <c r="AU163" s="1662" t="s">
        <v>2842</v>
      </c>
      <c r="AV163" s="1662" t="s">
        <v>3318</v>
      </c>
      <c r="AW163" s="1662"/>
      <c r="AX163" s="1662" t="s">
        <v>2844</v>
      </c>
      <c r="AY163" s="1662" t="s">
        <v>2874</v>
      </c>
      <c r="AZ163" s="1662" t="s">
        <v>3353</v>
      </c>
      <c r="BA163" s="1662" t="s">
        <v>3354</v>
      </c>
      <c r="BB163" s="1662" t="s">
        <v>2833</v>
      </c>
      <c r="BC163" s="1662" t="s">
        <v>2848</v>
      </c>
      <c r="BD163" s="1662" t="s">
        <v>2849</v>
      </c>
      <c r="BE163" s="1662" t="s">
        <v>3355</v>
      </c>
      <c r="BF163" s="1662" t="s">
        <v>3356</v>
      </c>
      <c r="BG163" s="1662" t="s">
        <v>3357</v>
      </c>
      <c r="BH163" s="1662" t="s">
        <v>2880</v>
      </c>
      <c r="BI163" s="1662" t="s">
        <v>2881</v>
      </c>
      <c r="BJ163" s="1662" t="s">
        <v>2892</v>
      </c>
      <c r="BK163" s="1662" t="s">
        <v>2842</v>
      </c>
      <c r="BL163" s="1662" t="s">
        <v>2833</v>
      </c>
      <c r="BM163" s="1662" t="s">
        <v>2833</v>
      </c>
      <c r="BN163" s="1665">
        <v>0</v>
      </c>
      <c r="BO163" s="1664">
        <v>42825</v>
      </c>
      <c r="BP163" s="1664">
        <v>43549</v>
      </c>
      <c r="BQ163" s="1662" t="s">
        <v>2855</v>
      </c>
      <c r="BR163" s="1664">
        <v>46022</v>
      </c>
      <c r="BS163" s="1662" t="s">
        <v>2893</v>
      </c>
      <c r="BT163" s="1662" t="s">
        <v>3358</v>
      </c>
      <c r="BU163" s="1665">
        <v>30</v>
      </c>
      <c r="BV163" s="1665">
        <v>34632.300000000003</v>
      </c>
      <c r="BW163" s="1664">
        <v>43580</v>
      </c>
      <c r="BX163" s="1668"/>
      <c r="BY163" s="1662" t="s">
        <v>2096</v>
      </c>
      <c r="BZ163" s="1662" t="s">
        <v>2858</v>
      </c>
      <c r="CA163" s="1662" t="s">
        <v>2859</v>
      </c>
      <c r="CB163" s="1662" t="s">
        <v>2859</v>
      </c>
      <c r="CC163" s="1662" t="s">
        <v>2993</v>
      </c>
      <c r="CD163" s="1724">
        <v>135814</v>
      </c>
      <c r="CE163" s="1724">
        <v>135814</v>
      </c>
      <c r="CF163" s="1724">
        <v>115441</v>
      </c>
      <c r="CG163" s="1724">
        <v>85</v>
      </c>
      <c r="CH163" s="1724">
        <v>20373</v>
      </c>
      <c r="CI163" s="1724">
        <v>15</v>
      </c>
      <c r="CJ163" s="1724">
        <v>135814</v>
      </c>
      <c r="CK163" s="1724">
        <v>100</v>
      </c>
      <c r="CL163" s="1725" t="s">
        <v>2861</v>
      </c>
      <c r="CM163" s="1729">
        <v>42969</v>
      </c>
      <c r="CN163" s="1727"/>
      <c r="CO163" s="1728"/>
      <c r="CP163" s="1726"/>
      <c r="CQ163" s="1724">
        <v>115441</v>
      </c>
      <c r="CR163" s="1724">
        <v>115441</v>
      </c>
      <c r="CS163" s="1724">
        <v>0</v>
      </c>
      <c r="CT163" s="1728" t="s">
        <v>2861</v>
      </c>
      <c r="CU163" s="1729">
        <v>43014</v>
      </c>
      <c r="CV163" s="1724">
        <v>135814</v>
      </c>
      <c r="CW163" s="1724">
        <v>0</v>
      </c>
      <c r="CX163" s="1724">
        <v>0</v>
      </c>
      <c r="CY163" s="1724">
        <v>97875.59</v>
      </c>
      <c r="CZ163" s="1724">
        <v>36155.800000000003</v>
      </c>
      <c r="DA163" s="1724">
        <v>0</v>
      </c>
      <c r="DB163" s="1724">
        <v>0</v>
      </c>
      <c r="DC163" s="1724">
        <v>1782.61</v>
      </c>
      <c r="DD163" s="1724">
        <v>135814</v>
      </c>
      <c r="DE163" s="1724">
        <v>115441</v>
      </c>
      <c r="DF163" s="1724">
        <v>115441</v>
      </c>
      <c r="DG163" s="1724">
        <v>0</v>
      </c>
      <c r="DH163" s="1724">
        <v>20373</v>
      </c>
      <c r="DI163" s="1724">
        <v>20373</v>
      </c>
      <c r="DJ163" s="1724">
        <v>0</v>
      </c>
      <c r="DK163" s="1724">
        <v>20373</v>
      </c>
      <c r="DL163" s="1724">
        <v>0</v>
      </c>
      <c r="DM163" s="1724">
        <v>0</v>
      </c>
      <c r="DN163" s="1724">
        <v>0</v>
      </c>
      <c r="DO163" s="1724">
        <v>0</v>
      </c>
      <c r="DP163" s="1724">
        <v>0</v>
      </c>
      <c r="DQ163" s="1728" t="s">
        <v>2886</v>
      </c>
      <c r="DR163" s="1724">
        <v>0</v>
      </c>
      <c r="DS163" s="1728" t="s">
        <v>2861</v>
      </c>
      <c r="DT163" s="1726" t="s">
        <v>3359</v>
      </c>
      <c r="DU163" s="1728" t="s">
        <v>2861</v>
      </c>
      <c r="DV163" s="1729">
        <v>43226</v>
      </c>
    </row>
    <row r="164" spans="1:126" ht="123.75" x14ac:dyDescent="0.25">
      <c r="A164" s="1662" t="s">
        <v>2207</v>
      </c>
      <c r="B164" s="1662" t="s">
        <v>1729</v>
      </c>
      <c r="C164" s="1662" t="s">
        <v>2652</v>
      </c>
      <c r="D164" s="1662" t="s">
        <v>2653</v>
      </c>
      <c r="E164" s="1662" t="s">
        <v>2516</v>
      </c>
      <c r="F164" s="1662" t="s">
        <v>260</v>
      </c>
      <c r="G164" s="1662" t="s">
        <v>2654</v>
      </c>
      <c r="H164" s="1662" t="s">
        <v>2628</v>
      </c>
      <c r="I164" s="1662" t="s">
        <v>2613</v>
      </c>
      <c r="J164" s="1662" t="s">
        <v>821</v>
      </c>
      <c r="K164" s="1664">
        <v>42993</v>
      </c>
      <c r="L164" s="1664">
        <v>43097</v>
      </c>
      <c r="M164" s="1662" t="s">
        <v>234</v>
      </c>
      <c r="N164" s="1662" t="s">
        <v>2109</v>
      </c>
      <c r="O164" s="1662" t="s">
        <v>3360</v>
      </c>
      <c r="P164" s="1662" t="s">
        <v>2833</v>
      </c>
      <c r="Q164" s="1662" t="s">
        <v>1731</v>
      </c>
      <c r="R164" s="1662" t="s">
        <v>2833</v>
      </c>
      <c r="S164" s="1662" t="s">
        <v>2833</v>
      </c>
      <c r="T164" s="1662"/>
      <c r="U164" s="1662" t="s">
        <v>2834</v>
      </c>
      <c r="V164" s="1662" t="s">
        <v>2833</v>
      </c>
      <c r="W164" s="1662" t="s">
        <v>2833</v>
      </c>
      <c r="X164" s="1662"/>
      <c r="Y164" s="1662" t="s">
        <v>2833</v>
      </c>
      <c r="Z164" s="1662"/>
      <c r="AA164" s="1662"/>
      <c r="AB164" s="1662" t="s">
        <v>2833</v>
      </c>
      <c r="AC164" s="1662" t="s">
        <v>2833</v>
      </c>
      <c r="AD164" s="1662" t="s">
        <v>2833</v>
      </c>
      <c r="AE164" s="1662"/>
      <c r="AF164" s="1662" t="s">
        <v>3352</v>
      </c>
      <c r="AG164" s="1662" t="s">
        <v>3316</v>
      </c>
      <c r="AH164" s="1662" t="s">
        <v>2867</v>
      </c>
      <c r="AI164" s="1662" t="s">
        <v>2838</v>
      </c>
      <c r="AJ164" s="1662" t="s">
        <v>2839</v>
      </c>
      <c r="AK164" s="1662" t="s">
        <v>3069</v>
      </c>
      <c r="AL164" s="1662" t="s">
        <v>3338</v>
      </c>
      <c r="AM164" s="1665">
        <v>100</v>
      </c>
      <c r="AN164" s="1662"/>
      <c r="AO164" s="1662"/>
      <c r="AP164" s="1662"/>
      <c r="AQ164" s="1662"/>
      <c r="AR164" s="1662"/>
      <c r="AS164" s="1662"/>
      <c r="AT164" s="1662" t="s">
        <v>2842</v>
      </c>
      <c r="AU164" s="1662" t="s">
        <v>2842</v>
      </c>
      <c r="AV164" s="1662" t="s">
        <v>3318</v>
      </c>
      <c r="AW164" s="1662"/>
      <c r="AX164" s="1662" t="s">
        <v>2844</v>
      </c>
      <c r="AY164" s="1662" t="s">
        <v>2874</v>
      </c>
      <c r="AZ164" s="1662" t="s">
        <v>236</v>
      </c>
      <c r="BA164" s="1662" t="s">
        <v>3009</v>
      </c>
      <c r="BB164" s="1662" t="s">
        <v>2833</v>
      </c>
      <c r="BC164" s="1662" t="s">
        <v>2876</v>
      </c>
      <c r="BD164" s="1662" t="s">
        <v>2849</v>
      </c>
      <c r="BE164" s="1662" t="s">
        <v>3010</v>
      </c>
      <c r="BF164" s="1662" t="s">
        <v>3148</v>
      </c>
      <c r="BG164" s="1662" t="s">
        <v>3012</v>
      </c>
      <c r="BH164" s="1662" t="s">
        <v>2050</v>
      </c>
      <c r="BI164" s="1662" t="s">
        <v>2881</v>
      </c>
      <c r="BJ164" s="1662" t="s">
        <v>2965</v>
      </c>
      <c r="BK164" s="1662" t="s">
        <v>2842</v>
      </c>
      <c r="BL164" s="1662" t="s">
        <v>2833</v>
      </c>
      <c r="BM164" s="1662" t="s">
        <v>2833</v>
      </c>
      <c r="BN164" s="1665">
        <v>0</v>
      </c>
      <c r="BO164" s="1664">
        <v>43097</v>
      </c>
      <c r="BP164" s="1664">
        <v>43404</v>
      </c>
      <c r="BQ164" s="1662" t="s">
        <v>2855</v>
      </c>
      <c r="BR164" s="1664">
        <v>45657</v>
      </c>
      <c r="BS164" s="1662" t="s">
        <v>2856</v>
      </c>
      <c r="BT164" s="1662" t="s">
        <v>3361</v>
      </c>
      <c r="BU164" s="1665">
        <v>30</v>
      </c>
      <c r="BV164" s="1665">
        <v>37279.800000000003</v>
      </c>
      <c r="BW164" s="1664">
        <v>43434</v>
      </c>
      <c r="BX164" s="1668"/>
      <c r="BY164" s="1662" t="s">
        <v>2096</v>
      </c>
      <c r="BZ164" s="1662" t="s">
        <v>2859</v>
      </c>
      <c r="CA164" s="1662" t="s">
        <v>2859</v>
      </c>
      <c r="CB164" s="1662" t="s">
        <v>2859</v>
      </c>
      <c r="CC164" s="1662" t="s">
        <v>2993</v>
      </c>
      <c r="CD164" s="1724">
        <v>146702.29999999999</v>
      </c>
      <c r="CE164" s="1724">
        <v>146702.29999999999</v>
      </c>
      <c r="CF164" s="1724">
        <v>124266</v>
      </c>
      <c r="CG164" s="1724">
        <v>84.71</v>
      </c>
      <c r="CH164" s="1724">
        <v>22436.3</v>
      </c>
      <c r="CI164" s="1724">
        <v>15.29</v>
      </c>
      <c r="CJ164" s="1724">
        <v>146702.29999999999</v>
      </c>
      <c r="CK164" s="1724">
        <v>100</v>
      </c>
      <c r="CL164" s="1725" t="s">
        <v>2861</v>
      </c>
      <c r="CM164" s="1729">
        <v>43042</v>
      </c>
      <c r="CN164" s="1727"/>
      <c r="CO164" s="1728"/>
      <c r="CP164" s="1726"/>
      <c r="CQ164" s="1724">
        <v>124266</v>
      </c>
      <c r="CR164" s="1724">
        <v>124266</v>
      </c>
      <c r="CS164" s="1724">
        <v>0</v>
      </c>
      <c r="CT164" s="1728" t="s">
        <v>2861</v>
      </c>
      <c r="CU164" s="1729">
        <v>43056</v>
      </c>
      <c r="CV164" s="1724">
        <v>146702.29999999999</v>
      </c>
      <c r="CW164" s="1724">
        <v>0</v>
      </c>
      <c r="CX164" s="1724">
        <v>0</v>
      </c>
      <c r="CY164" s="1724">
        <v>99774</v>
      </c>
      <c r="CZ164" s="1724">
        <v>46928.3</v>
      </c>
      <c r="DA164" s="1724">
        <v>0</v>
      </c>
      <c r="DB164" s="1724">
        <v>0</v>
      </c>
      <c r="DC164" s="1724">
        <v>0</v>
      </c>
      <c r="DD164" s="1724">
        <v>146702.29999999999</v>
      </c>
      <c r="DE164" s="1724">
        <v>124266</v>
      </c>
      <c r="DF164" s="1724">
        <v>124266</v>
      </c>
      <c r="DG164" s="1724">
        <v>0</v>
      </c>
      <c r="DH164" s="1724">
        <v>22436.3</v>
      </c>
      <c r="DI164" s="1724">
        <v>22436.3</v>
      </c>
      <c r="DJ164" s="1724">
        <v>0</v>
      </c>
      <c r="DK164" s="1724">
        <v>22436.3</v>
      </c>
      <c r="DL164" s="1724">
        <v>0</v>
      </c>
      <c r="DM164" s="1724">
        <v>0</v>
      </c>
      <c r="DN164" s="1724">
        <v>0</v>
      </c>
      <c r="DO164" s="1724">
        <v>0</v>
      </c>
      <c r="DP164" s="1724">
        <v>0</v>
      </c>
      <c r="DQ164" s="1728" t="s">
        <v>2886</v>
      </c>
      <c r="DR164" s="1724">
        <v>0</v>
      </c>
      <c r="DS164" s="1728" t="s">
        <v>2861</v>
      </c>
      <c r="DT164" s="1726" t="s">
        <v>3362</v>
      </c>
      <c r="DU164" s="1728" t="s">
        <v>2861</v>
      </c>
      <c r="DV164" s="1729">
        <v>43160</v>
      </c>
    </row>
    <row r="165" spans="1:126" ht="101.25" x14ac:dyDescent="0.25">
      <c r="A165" s="1662" t="s">
        <v>2208</v>
      </c>
      <c r="B165" s="1662" t="s">
        <v>1729</v>
      </c>
      <c r="C165" s="1662" t="s">
        <v>2652</v>
      </c>
      <c r="D165" s="1662" t="s">
        <v>2653</v>
      </c>
      <c r="E165" s="1662" t="s">
        <v>2516</v>
      </c>
      <c r="F165" s="1662" t="s">
        <v>260</v>
      </c>
      <c r="G165" s="1662" t="s">
        <v>2654</v>
      </c>
      <c r="H165" s="1662" t="s">
        <v>2628</v>
      </c>
      <c r="I165" s="1662" t="s">
        <v>2613</v>
      </c>
      <c r="J165" s="1662" t="s">
        <v>824</v>
      </c>
      <c r="K165" s="1664">
        <v>43004</v>
      </c>
      <c r="L165" s="1664">
        <v>43097</v>
      </c>
      <c r="M165" s="1662" t="s">
        <v>2533</v>
      </c>
      <c r="N165" s="1662" t="s">
        <v>2109</v>
      </c>
      <c r="O165" s="1662" t="s">
        <v>3363</v>
      </c>
      <c r="P165" s="1662" t="s">
        <v>2833</v>
      </c>
      <c r="Q165" s="1662" t="s">
        <v>1749</v>
      </c>
      <c r="R165" s="1662" t="s">
        <v>2833</v>
      </c>
      <c r="S165" s="1662" t="s">
        <v>2833</v>
      </c>
      <c r="T165" s="1662"/>
      <c r="U165" s="1662" t="s">
        <v>2834</v>
      </c>
      <c r="V165" s="1662" t="s">
        <v>2833</v>
      </c>
      <c r="W165" s="1662" t="s">
        <v>2833</v>
      </c>
      <c r="X165" s="1662"/>
      <c r="Y165" s="1662" t="s">
        <v>2833</v>
      </c>
      <c r="Z165" s="1662"/>
      <c r="AA165" s="1662"/>
      <c r="AB165" s="1662" t="s">
        <v>2833</v>
      </c>
      <c r="AC165" s="1662" t="s">
        <v>2833</v>
      </c>
      <c r="AD165" s="1662" t="s">
        <v>2833</v>
      </c>
      <c r="AE165" s="1662"/>
      <c r="AF165" s="1662" t="s">
        <v>3352</v>
      </c>
      <c r="AG165" s="1662" t="s">
        <v>3316</v>
      </c>
      <c r="AH165" s="1662" t="s">
        <v>2867</v>
      </c>
      <c r="AI165" s="1662" t="s">
        <v>2838</v>
      </c>
      <c r="AJ165" s="1662" t="s">
        <v>2839</v>
      </c>
      <c r="AK165" s="1662" t="s">
        <v>3069</v>
      </c>
      <c r="AL165" s="1662" t="s">
        <v>3338</v>
      </c>
      <c r="AM165" s="1665">
        <v>100</v>
      </c>
      <c r="AN165" s="1662"/>
      <c r="AO165" s="1662"/>
      <c r="AP165" s="1662"/>
      <c r="AQ165" s="1662"/>
      <c r="AR165" s="1662"/>
      <c r="AS165" s="1662"/>
      <c r="AT165" s="1662" t="s">
        <v>2842</v>
      </c>
      <c r="AU165" s="1662" t="s">
        <v>2842</v>
      </c>
      <c r="AV165" s="1662" t="s">
        <v>3318</v>
      </c>
      <c r="AW165" s="1662"/>
      <c r="AX165" s="1662" t="s">
        <v>2844</v>
      </c>
      <c r="AY165" s="1662" t="s">
        <v>2874</v>
      </c>
      <c r="AZ165" s="1662" t="s">
        <v>284</v>
      </c>
      <c r="BA165" s="1662" t="s">
        <v>2896</v>
      </c>
      <c r="BB165" s="1662" t="s">
        <v>2833</v>
      </c>
      <c r="BC165" s="1662" t="s">
        <v>2876</v>
      </c>
      <c r="BD165" s="1662" t="s">
        <v>2849</v>
      </c>
      <c r="BE165" s="1662" t="s">
        <v>3022</v>
      </c>
      <c r="BF165" s="1662" t="s">
        <v>3039</v>
      </c>
      <c r="BG165" s="1662" t="s">
        <v>3024</v>
      </c>
      <c r="BH165" s="1662" t="s">
        <v>2050</v>
      </c>
      <c r="BI165" s="1662" t="s">
        <v>2881</v>
      </c>
      <c r="BJ165" s="1662" t="s">
        <v>2900</v>
      </c>
      <c r="BK165" s="1662" t="s">
        <v>2842</v>
      </c>
      <c r="BL165" s="1662" t="s">
        <v>2833</v>
      </c>
      <c r="BM165" s="1662" t="s">
        <v>2833</v>
      </c>
      <c r="BN165" s="1665">
        <v>0</v>
      </c>
      <c r="BO165" s="1664">
        <v>42745</v>
      </c>
      <c r="BP165" s="1664">
        <v>43830</v>
      </c>
      <c r="BQ165" s="1662" t="s">
        <v>2855</v>
      </c>
      <c r="BR165" s="1664">
        <v>46022</v>
      </c>
      <c r="BS165" s="1662" t="s">
        <v>2883</v>
      </c>
      <c r="BT165" s="1662" t="s">
        <v>3364</v>
      </c>
      <c r="BU165" s="1665">
        <v>30</v>
      </c>
      <c r="BV165" s="1665">
        <v>111575.4</v>
      </c>
      <c r="BW165" s="1664">
        <v>43860</v>
      </c>
      <c r="BX165" s="1668"/>
      <c r="BY165" s="1662" t="s">
        <v>2096</v>
      </c>
      <c r="BZ165" s="1662" t="s">
        <v>2858</v>
      </c>
      <c r="CA165" s="1662" t="s">
        <v>2859</v>
      </c>
      <c r="CB165" s="1662" t="s">
        <v>2859</v>
      </c>
      <c r="CC165" s="1662" t="s">
        <v>2993</v>
      </c>
      <c r="CD165" s="1724">
        <v>437551</v>
      </c>
      <c r="CE165" s="1724">
        <v>437551</v>
      </c>
      <c r="CF165" s="1724">
        <v>371918</v>
      </c>
      <c r="CG165" s="1724">
        <v>85</v>
      </c>
      <c r="CH165" s="1724">
        <v>65633</v>
      </c>
      <c r="CI165" s="1724">
        <v>15</v>
      </c>
      <c r="CJ165" s="1724">
        <v>437551</v>
      </c>
      <c r="CK165" s="1724">
        <v>100</v>
      </c>
      <c r="CL165" s="1725" t="s">
        <v>2861</v>
      </c>
      <c r="CM165" s="1729">
        <v>43061</v>
      </c>
      <c r="CN165" s="1727"/>
      <c r="CO165" s="1728"/>
      <c r="CP165" s="1726"/>
      <c r="CQ165" s="1724">
        <v>371918</v>
      </c>
      <c r="CR165" s="1724">
        <v>371918</v>
      </c>
      <c r="CS165" s="1724">
        <v>0</v>
      </c>
      <c r="CT165" s="1728" t="s">
        <v>2861</v>
      </c>
      <c r="CU165" s="1729">
        <v>43073</v>
      </c>
      <c r="CV165" s="1724">
        <v>437551</v>
      </c>
      <c r="CW165" s="1724">
        <v>0</v>
      </c>
      <c r="CX165" s="1724">
        <v>0</v>
      </c>
      <c r="CY165" s="1724">
        <v>382431.31</v>
      </c>
      <c r="CZ165" s="1724">
        <v>45359</v>
      </c>
      <c r="DA165" s="1724">
        <v>5000</v>
      </c>
      <c r="DB165" s="1724">
        <v>0</v>
      </c>
      <c r="DC165" s="1724">
        <v>4760.6899999999996</v>
      </c>
      <c r="DD165" s="1724">
        <v>437551</v>
      </c>
      <c r="DE165" s="1724">
        <v>371918</v>
      </c>
      <c r="DF165" s="1724">
        <v>371918</v>
      </c>
      <c r="DG165" s="1724">
        <v>0</v>
      </c>
      <c r="DH165" s="1724">
        <v>65633</v>
      </c>
      <c r="DI165" s="1724">
        <v>65633</v>
      </c>
      <c r="DJ165" s="1724">
        <v>0</v>
      </c>
      <c r="DK165" s="1724">
        <v>65633</v>
      </c>
      <c r="DL165" s="1724">
        <v>0</v>
      </c>
      <c r="DM165" s="1724">
        <v>0</v>
      </c>
      <c r="DN165" s="1724">
        <v>0</v>
      </c>
      <c r="DO165" s="1724">
        <v>0</v>
      </c>
      <c r="DP165" s="1724">
        <v>0</v>
      </c>
      <c r="DQ165" s="1728" t="s">
        <v>2886</v>
      </c>
      <c r="DR165" s="1724">
        <v>0</v>
      </c>
      <c r="DS165" s="1728" t="s">
        <v>2861</v>
      </c>
      <c r="DT165" s="1726" t="s">
        <v>3153</v>
      </c>
      <c r="DU165" s="1728" t="s">
        <v>2861</v>
      </c>
      <c r="DV165" s="1729">
        <v>43279</v>
      </c>
    </row>
    <row r="166" spans="1:126" ht="123.75" x14ac:dyDescent="0.25">
      <c r="A166" s="1662" t="s">
        <v>2210</v>
      </c>
      <c r="B166" s="1662" t="s">
        <v>1729</v>
      </c>
      <c r="C166" s="1662" t="s">
        <v>2652</v>
      </c>
      <c r="D166" s="1662" t="s">
        <v>2653</v>
      </c>
      <c r="E166" s="1662" t="s">
        <v>2516</v>
      </c>
      <c r="F166" s="1662" t="s">
        <v>260</v>
      </c>
      <c r="G166" s="1662" t="s">
        <v>2654</v>
      </c>
      <c r="H166" s="1662" t="s">
        <v>2628</v>
      </c>
      <c r="I166" s="1662" t="s">
        <v>2613</v>
      </c>
      <c r="J166" s="1662" t="s">
        <v>825</v>
      </c>
      <c r="K166" s="1664">
        <v>43006</v>
      </c>
      <c r="L166" s="1664">
        <v>43119</v>
      </c>
      <c r="M166" s="1662" t="s">
        <v>2538</v>
      </c>
      <c r="N166" s="1662" t="s">
        <v>2109</v>
      </c>
      <c r="O166" s="1662" t="s">
        <v>3365</v>
      </c>
      <c r="P166" s="1662" t="s">
        <v>2833</v>
      </c>
      <c r="Q166" s="1662" t="s">
        <v>1743</v>
      </c>
      <c r="R166" s="1662" t="s">
        <v>2833</v>
      </c>
      <c r="S166" s="1662" t="s">
        <v>2833</v>
      </c>
      <c r="T166" s="1662"/>
      <c r="U166" s="1662" t="s">
        <v>2834</v>
      </c>
      <c r="V166" s="1662" t="s">
        <v>2833</v>
      </c>
      <c r="W166" s="1662" t="s">
        <v>2833</v>
      </c>
      <c r="X166" s="1662"/>
      <c r="Y166" s="1662" t="s">
        <v>2833</v>
      </c>
      <c r="Z166" s="1662"/>
      <c r="AA166" s="1662"/>
      <c r="AB166" s="1662" t="s">
        <v>2833</v>
      </c>
      <c r="AC166" s="1662" t="s">
        <v>2833</v>
      </c>
      <c r="AD166" s="1662" t="s">
        <v>2833</v>
      </c>
      <c r="AE166" s="1662"/>
      <c r="AF166" s="1662" t="s">
        <v>3352</v>
      </c>
      <c r="AG166" s="1662" t="s">
        <v>3316</v>
      </c>
      <c r="AH166" s="1662" t="s">
        <v>2867</v>
      </c>
      <c r="AI166" s="1662" t="s">
        <v>2838</v>
      </c>
      <c r="AJ166" s="1662" t="s">
        <v>2839</v>
      </c>
      <c r="AK166" s="1662" t="s">
        <v>3069</v>
      </c>
      <c r="AL166" s="1662" t="s">
        <v>3338</v>
      </c>
      <c r="AM166" s="1665">
        <v>100</v>
      </c>
      <c r="AN166" s="1662"/>
      <c r="AO166" s="1662"/>
      <c r="AP166" s="1662"/>
      <c r="AQ166" s="1662"/>
      <c r="AR166" s="1662"/>
      <c r="AS166" s="1662"/>
      <c r="AT166" s="1662" t="s">
        <v>2842</v>
      </c>
      <c r="AU166" s="1662" t="s">
        <v>2842</v>
      </c>
      <c r="AV166" s="1662" t="s">
        <v>3318</v>
      </c>
      <c r="AW166" s="1662"/>
      <c r="AX166" s="1662" t="s">
        <v>2844</v>
      </c>
      <c r="AY166" s="1662" t="s">
        <v>2874</v>
      </c>
      <c r="AZ166" s="1662" t="s">
        <v>350</v>
      </c>
      <c r="BA166" s="1662" t="s">
        <v>2875</v>
      </c>
      <c r="BB166" s="1662" t="s">
        <v>2833</v>
      </c>
      <c r="BC166" s="1662" t="s">
        <v>2876</v>
      </c>
      <c r="BD166" s="1662" t="s">
        <v>2849</v>
      </c>
      <c r="BE166" s="1662" t="s">
        <v>2877</v>
      </c>
      <c r="BF166" s="1662" t="s">
        <v>3366</v>
      </c>
      <c r="BG166" s="1662" t="s">
        <v>2879</v>
      </c>
      <c r="BH166" s="1662" t="s">
        <v>2050</v>
      </c>
      <c r="BI166" s="1662" t="s">
        <v>2881</v>
      </c>
      <c r="BJ166" s="1662" t="s">
        <v>2882</v>
      </c>
      <c r="BK166" s="1662" t="s">
        <v>2842</v>
      </c>
      <c r="BL166" s="1662" t="s">
        <v>2833</v>
      </c>
      <c r="BM166" s="1662" t="s">
        <v>2833</v>
      </c>
      <c r="BN166" s="1665">
        <v>0</v>
      </c>
      <c r="BO166" s="1664">
        <v>42177</v>
      </c>
      <c r="BP166" s="1664">
        <v>43677</v>
      </c>
      <c r="BQ166" s="1662" t="s">
        <v>2855</v>
      </c>
      <c r="BR166" s="1664">
        <v>46022</v>
      </c>
      <c r="BS166" s="1662" t="s">
        <v>2883</v>
      </c>
      <c r="BT166" s="1662" t="s">
        <v>3367</v>
      </c>
      <c r="BU166" s="1665">
        <v>30</v>
      </c>
      <c r="BV166" s="1665">
        <v>101331.3</v>
      </c>
      <c r="BW166" s="1664">
        <v>43707</v>
      </c>
      <c r="BX166" s="1668"/>
      <c r="BY166" s="1662" t="s">
        <v>2096</v>
      </c>
      <c r="BZ166" s="1662" t="s">
        <v>2858</v>
      </c>
      <c r="CA166" s="1662" t="s">
        <v>2859</v>
      </c>
      <c r="CB166" s="1662" t="s">
        <v>2859</v>
      </c>
      <c r="CC166" s="1662" t="s">
        <v>2993</v>
      </c>
      <c r="CD166" s="1724">
        <v>397378</v>
      </c>
      <c r="CE166" s="1724">
        <v>397378</v>
      </c>
      <c r="CF166" s="1724">
        <v>337771</v>
      </c>
      <c r="CG166" s="1724">
        <v>85</v>
      </c>
      <c r="CH166" s="1724">
        <v>59607</v>
      </c>
      <c r="CI166" s="1724">
        <v>15</v>
      </c>
      <c r="CJ166" s="1724">
        <v>397378</v>
      </c>
      <c r="CK166" s="1724">
        <v>100</v>
      </c>
      <c r="CL166" s="1725" t="s">
        <v>2861</v>
      </c>
      <c r="CM166" s="1729">
        <v>43066</v>
      </c>
      <c r="CN166" s="1727"/>
      <c r="CO166" s="1728"/>
      <c r="CP166" s="1726"/>
      <c r="CQ166" s="1724">
        <v>337771</v>
      </c>
      <c r="CR166" s="1724">
        <v>337771</v>
      </c>
      <c r="CS166" s="1724">
        <v>0</v>
      </c>
      <c r="CT166" s="1728" t="s">
        <v>2861</v>
      </c>
      <c r="CU166" s="1729">
        <v>43090</v>
      </c>
      <c r="CV166" s="1724">
        <v>397378</v>
      </c>
      <c r="CW166" s="1724">
        <v>0</v>
      </c>
      <c r="CX166" s="1724">
        <v>0</v>
      </c>
      <c r="CY166" s="1724">
        <v>297001</v>
      </c>
      <c r="CZ166" s="1724">
        <v>92544.4</v>
      </c>
      <c r="DA166" s="1724">
        <v>3509</v>
      </c>
      <c r="DB166" s="1724">
        <v>0</v>
      </c>
      <c r="DC166" s="1724">
        <v>4323.6000000000004</v>
      </c>
      <c r="DD166" s="1724">
        <v>397378</v>
      </c>
      <c r="DE166" s="1724">
        <v>337771</v>
      </c>
      <c r="DF166" s="1724">
        <v>337771</v>
      </c>
      <c r="DG166" s="1724">
        <v>0</v>
      </c>
      <c r="DH166" s="1724">
        <v>59607</v>
      </c>
      <c r="DI166" s="1724">
        <v>59607</v>
      </c>
      <c r="DJ166" s="1724">
        <v>0</v>
      </c>
      <c r="DK166" s="1724">
        <v>59607</v>
      </c>
      <c r="DL166" s="1724">
        <v>0</v>
      </c>
      <c r="DM166" s="1724">
        <v>0</v>
      </c>
      <c r="DN166" s="1724">
        <v>0</v>
      </c>
      <c r="DO166" s="1724">
        <v>0</v>
      </c>
      <c r="DP166" s="1724">
        <v>0</v>
      </c>
      <c r="DQ166" s="1728"/>
      <c r="DR166" s="1724">
        <v>0</v>
      </c>
      <c r="DS166" s="1728" t="s">
        <v>2861</v>
      </c>
      <c r="DT166" s="1726" t="s">
        <v>3368</v>
      </c>
      <c r="DU166" s="1728" t="s">
        <v>2861</v>
      </c>
      <c r="DV166" s="1729">
        <v>43270</v>
      </c>
    </row>
    <row r="167" spans="1:126" ht="101.25" x14ac:dyDescent="0.25">
      <c r="A167" s="1662" t="s">
        <v>2211</v>
      </c>
      <c r="B167" s="1662" t="s">
        <v>1729</v>
      </c>
      <c r="C167" s="1662" t="s">
        <v>2652</v>
      </c>
      <c r="D167" s="1662" t="s">
        <v>2653</v>
      </c>
      <c r="E167" s="1662" t="s">
        <v>2516</v>
      </c>
      <c r="F167" s="1662" t="s">
        <v>260</v>
      </c>
      <c r="G167" s="1662" t="s">
        <v>2654</v>
      </c>
      <c r="H167" s="1662" t="s">
        <v>2628</v>
      </c>
      <c r="I167" s="1662" t="s">
        <v>2613</v>
      </c>
      <c r="J167" s="1662" t="s">
        <v>826</v>
      </c>
      <c r="K167" s="1664">
        <v>43081</v>
      </c>
      <c r="L167" s="1664">
        <v>43115</v>
      </c>
      <c r="M167" s="1662" t="s">
        <v>645</v>
      </c>
      <c r="N167" s="1662" t="s">
        <v>2109</v>
      </c>
      <c r="O167" s="1662" t="s">
        <v>3369</v>
      </c>
      <c r="P167" s="1662" t="s">
        <v>2833</v>
      </c>
      <c r="Q167" s="1662" t="s">
        <v>1749</v>
      </c>
      <c r="R167" s="1662" t="s">
        <v>2833</v>
      </c>
      <c r="S167" s="1662" t="s">
        <v>2833</v>
      </c>
      <c r="T167" s="1662"/>
      <c r="U167" s="1662" t="s">
        <v>2834</v>
      </c>
      <c r="V167" s="1662" t="s">
        <v>2833</v>
      </c>
      <c r="W167" s="1662" t="s">
        <v>2833</v>
      </c>
      <c r="X167" s="1662"/>
      <c r="Y167" s="1662" t="s">
        <v>2833</v>
      </c>
      <c r="Z167" s="1662"/>
      <c r="AA167" s="1662"/>
      <c r="AB167" s="1662" t="s">
        <v>2833</v>
      </c>
      <c r="AC167" s="1662" t="s">
        <v>2833</v>
      </c>
      <c r="AD167" s="1662" t="s">
        <v>2833</v>
      </c>
      <c r="AE167" s="1662"/>
      <c r="AF167" s="1662" t="s">
        <v>3352</v>
      </c>
      <c r="AG167" s="1662" t="s">
        <v>3316</v>
      </c>
      <c r="AH167" s="1662" t="s">
        <v>2867</v>
      </c>
      <c r="AI167" s="1662" t="s">
        <v>2838</v>
      </c>
      <c r="AJ167" s="1662" t="s">
        <v>2839</v>
      </c>
      <c r="AK167" s="1662" t="s">
        <v>3069</v>
      </c>
      <c r="AL167" s="1662" t="s">
        <v>3338</v>
      </c>
      <c r="AM167" s="1665">
        <v>100</v>
      </c>
      <c r="AN167" s="1662"/>
      <c r="AO167" s="1662"/>
      <c r="AP167" s="1662"/>
      <c r="AQ167" s="1662"/>
      <c r="AR167" s="1662"/>
      <c r="AS167" s="1662"/>
      <c r="AT167" s="1662" t="s">
        <v>2842</v>
      </c>
      <c r="AU167" s="1662" t="s">
        <v>2842</v>
      </c>
      <c r="AV167" s="1662" t="s">
        <v>3318</v>
      </c>
      <c r="AW167" s="1662"/>
      <c r="AX167" s="1662" t="s">
        <v>2844</v>
      </c>
      <c r="AY167" s="1662" t="s">
        <v>2874</v>
      </c>
      <c r="AZ167" s="1662" t="s">
        <v>184</v>
      </c>
      <c r="BA167" s="1662" t="s">
        <v>2904</v>
      </c>
      <c r="BB167" s="1662" t="s">
        <v>2833</v>
      </c>
      <c r="BC167" s="1662" t="s">
        <v>2876</v>
      </c>
      <c r="BD167" s="1662" t="s">
        <v>2849</v>
      </c>
      <c r="BE167" s="1662" t="s">
        <v>3330</v>
      </c>
      <c r="BF167" s="1662" t="s">
        <v>2906</v>
      </c>
      <c r="BG167" s="1662" t="s">
        <v>2907</v>
      </c>
      <c r="BH167" s="1662" t="s">
        <v>2050</v>
      </c>
      <c r="BI167" s="1662" t="s">
        <v>2881</v>
      </c>
      <c r="BJ167" s="1662" t="s">
        <v>2908</v>
      </c>
      <c r="BK167" s="1662" t="s">
        <v>2842</v>
      </c>
      <c r="BL167" s="1662" t="s">
        <v>2833</v>
      </c>
      <c r="BM167" s="1662" t="s">
        <v>2833</v>
      </c>
      <c r="BN167" s="1665">
        <v>0</v>
      </c>
      <c r="BO167" s="1664">
        <v>43115</v>
      </c>
      <c r="BP167" s="1664">
        <v>43861</v>
      </c>
      <c r="BQ167" s="1662" t="s">
        <v>2855</v>
      </c>
      <c r="BR167" s="1664">
        <v>46387</v>
      </c>
      <c r="BS167" s="1662" t="s">
        <v>2901</v>
      </c>
      <c r="BT167" s="1662" t="s">
        <v>3370</v>
      </c>
      <c r="BU167" s="1665">
        <v>30</v>
      </c>
      <c r="BV167" s="1665">
        <v>160983.29999999999</v>
      </c>
      <c r="BW167" s="1664">
        <v>43891</v>
      </c>
      <c r="BX167" s="1668"/>
      <c r="BY167" s="1662" t="s">
        <v>2096</v>
      </c>
      <c r="BZ167" s="1662" t="s">
        <v>2858</v>
      </c>
      <c r="CA167" s="1662" t="s">
        <v>2859</v>
      </c>
      <c r="CB167" s="1662" t="s">
        <v>2859</v>
      </c>
      <c r="CC167" s="1662" t="s">
        <v>2993</v>
      </c>
      <c r="CD167" s="1724">
        <v>884900.23</v>
      </c>
      <c r="CE167" s="1724">
        <v>856424.88</v>
      </c>
      <c r="CF167" s="1724">
        <v>536611</v>
      </c>
      <c r="CG167" s="1724">
        <v>62.66</v>
      </c>
      <c r="CH167" s="1724">
        <v>319813.88</v>
      </c>
      <c r="CI167" s="1724">
        <v>37.340000000000003</v>
      </c>
      <c r="CJ167" s="1724">
        <v>856424.88</v>
      </c>
      <c r="CK167" s="1724">
        <v>100</v>
      </c>
      <c r="CL167" s="1725" t="s">
        <v>2861</v>
      </c>
      <c r="CM167" s="1729">
        <v>43081</v>
      </c>
      <c r="CN167" s="1727"/>
      <c r="CO167" s="1728"/>
      <c r="CP167" s="1726"/>
      <c r="CQ167" s="1724">
        <v>536611</v>
      </c>
      <c r="CR167" s="1724">
        <v>536611</v>
      </c>
      <c r="CS167" s="1724">
        <v>0</v>
      </c>
      <c r="CT167" s="1728" t="s">
        <v>2861</v>
      </c>
      <c r="CU167" s="1729">
        <v>43090</v>
      </c>
      <c r="CV167" s="1724">
        <v>856424.88</v>
      </c>
      <c r="CW167" s="1724">
        <v>0</v>
      </c>
      <c r="CX167" s="1724">
        <v>0</v>
      </c>
      <c r="CY167" s="1724">
        <v>789755.7</v>
      </c>
      <c r="CZ167" s="1724">
        <v>59114.239999999998</v>
      </c>
      <c r="DA167" s="1724">
        <v>0</v>
      </c>
      <c r="DB167" s="1724">
        <v>0</v>
      </c>
      <c r="DC167" s="1724">
        <v>7554.94</v>
      </c>
      <c r="DD167" s="1724">
        <v>856424.88</v>
      </c>
      <c r="DE167" s="1724">
        <v>536611</v>
      </c>
      <c r="DF167" s="1724">
        <v>536611</v>
      </c>
      <c r="DG167" s="1724">
        <v>0</v>
      </c>
      <c r="DH167" s="1724">
        <v>319813.88</v>
      </c>
      <c r="DI167" s="1724">
        <v>319813.88</v>
      </c>
      <c r="DJ167" s="1724">
        <v>0</v>
      </c>
      <c r="DK167" s="1724">
        <v>319813.88</v>
      </c>
      <c r="DL167" s="1724">
        <v>0</v>
      </c>
      <c r="DM167" s="1724">
        <v>0</v>
      </c>
      <c r="DN167" s="1724">
        <v>0</v>
      </c>
      <c r="DO167" s="1724">
        <v>0</v>
      </c>
      <c r="DP167" s="1724">
        <v>0</v>
      </c>
      <c r="DQ167" s="1728" t="s">
        <v>2886</v>
      </c>
      <c r="DR167" s="1724">
        <v>0</v>
      </c>
      <c r="DS167" s="1728" t="s">
        <v>2861</v>
      </c>
      <c r="DT167" s="1726" t="s">
        <v>3007</v>
      </c>
      <c r="DU167" s="1728" t="s">
        <v>2861</v>
      </c>
      <c r="DV167" s="1729">
        <v>43296</v>
      </c>
    </row>
    <row r="168" spans="1:126" x14ac:dyDescent="0.25">
      <c r="A168" s="1662" t="s">
        <v>2212</v>
      </c>
      <c r="B168" s="1662" t="s">
        <v>1731</v>
      </c>
      <c r="C168" s="1662"/>
      <c r="D168" s="1662"/>
      <c r="E168" s="1662"/>
      <c r="F168" s="1662"/>
      <c r="G168" s="1662"/>
      <c r="H168" s="1662"/>
      <c r="I168" s="1662"/>
      <c r="J168" s="1662"/>
      <c r="K168" s="1668"/>
      <c r="L168" s="1668"/>
      <c r="M168" s="1662"/>
      <c r="N168" s="1662"/>
      <c r="O168" s="1662"/>
      <c r="P168" s="1662"/>
      <c r="Q168" s="1662"/>
      <c r="R168" s="1662"/>
      <c r="S168" s="1662"/>
      <c r="T168" s="1662"/>
      <c r="U168" s="1662"/>
      <c r="V168" s="1662"/>
      <c r="W168" s="1662"/>
      <c r="X168" s="1662"/>
      <c r="Y168" s="1662"/>
      <c r="Z168" s="1662"/>
      <c r="AA168" s="1662"/>
      <c r="AB168" s="1662"/>
      <c r="AC168" s="1662"/>
      <c r="AD168" s="1662"/>
      <c r="AE168" s="1662"/>
      <c r="AF168" s="1662"/>
      <c r="AG168" s="1662"/>
      <c r="AH168" s="1662"/>
      <c r="AI168" s="1662"/>
      <c r="AJ168" s="1662"/>
      <c r="AK168" s="1662"/>
      <c r="AL168" s="1662"/>
      <c r="AM168" s="1663"/>
      <c r="AN168" s="1662"/>
      <c r="AO168" s="1662"/>
      <c r="AP168" s="1662"/>
      <c r="AQ168" s="1662"/>
      <c r="AR168" s="1662"/>
      <c r="AS168" s="1662"/>
      <c r="AT168" s="1662"/>
      <c r="AU168" s="1662"/>
      <c r="AV168" s="1662"/>
      <c r="AW168" s="1662"/>
      <c r="AX168" s="1662"/>
      <c r="AY168" s="1662"/>
      <c r="AZ168" s="1662"/>
      <c r="BA168" s="1662"/>
      <c r="BB168" s="1662"/>
      <c r="BC168" s="1662"/>
      <c r="BD168" s="1662"/>
      <c r="BE168" s="1662"/>
      <c r="BF168" s="1662"/>
      <c r="BG168" s="1662"/>
      <c r="BH168" s="1662"/>
      <c r="BI168" s="1662"/>
      <c r="BJ168" s="1662"/>
      <c r="BK168" s="1662"/>
      <c r="BL168" s="1662"/>
      <c r="BM168" s="1662"/>
      <c r="BN168" s="1663"/>
      <c r="BO168" s="1668"/>
      <c r="BP168" s="1668"/>
      <c r="BQ168" s="1662"/>
      <c r="BR168" s="1668"/>
      <c r="BS168" s="1662"/>
      <c r="BT168" s="1662"/>
      <c r="BU168" s="1663"/>
      <c r="BV168" s="1665">
        <v>168868.99</v>
      </c>
      <c r="BW168" s="1668"/>
      <c r="BX168" s="1668"/>
      <c r="BY168" s="1662"/>
      <c r="BZ168" s="1662"/>
      <c r="CA168" s="1662"/>
      <c r="CB168" s="1662"/>
      <c r="CC168" s="1662"/>
      <c r="CD168" s="1724">
        <v>906987.73</v>
      </c>
      <c r="CE168" s="1724">
        <v>906987.73</v>
      </c>
      <c r="CF168" s="1724">
        <v>770807.84</v>
      </c>
      <c r="CG168" s="1724">
        <v>84.99</v>
      </c>
      <c r="CH168" s="1724">
        <v>136179.89000000001</v>
      </c>
      <c r="CI168" s="1724">
        <v>15.01</v>
      </c>
      <c r="CJ168" s="1724">
        <v>906987.73</v>
      </c>
      <c r="CK168" s="1724">
        <v>100</v>
      </c>
      <c r="CL168" s="1725"/>
      <c r="CM168" s="1726"/>
      <c r="CN168" s="1727"/>
      <c r="CO168" s="1728"/>
      <c r="CP168" s="1726"/>
      <c r="CQ168" s="1724">
        <v>770807.84</v>
      </c>
      <c r="CR168" s="1724">
        <v>770807.84</v>
      </c>
      <c r="CS168" s="1724">
        <v>0</v>
      </c>
      <c r="CT168" s="1728"/>
      <c r="CU168" s="1726"/>
      <c r="CV168" s="1724">
        <v>906987.73</v>
      </c>
      <c r="CW168" s="1724">
        <v>0</v>
      </c>
      <c r="CX168" s="1724">
        <v>0</v>
      </c>
      <c r="CY168" s="1724">
        <v>35453.910000000003</v>
      </c>
      <c r="CZ168" s="1724">
        <v>154683.54999999999</v>
      </c>
      <c r="DA168" s="1724">
        <v>635105.44999999995</v>
      </c>
      <c r="DB168" s="1724">
        <v>1453.43</v>
      </c>
      <c r="DC168" s="1724">
        <v>80291.39</v>
      </c>
      <c r="DD168" s="1724">
        <v>906987.73</v>
      </c>
      <c r="DE168" s="1724">
        <v>770807.84</v>
      </c>
      <c r="DF168" s="1724">
        <v>770807.84</v>
      </c>
      <c r="DG168" s="1724">
        <v>0</v>
      </c>
      <c r="DH168" s="1724">
        <v>136179.89000000001</v>
      </c>
      <c r="DI168" s="1724">
        <v>136179.89000000001</v>
      </c>
      <c r="DJ168" s="1724">
        <v>0</v>
      </c>
      <c r="DK168" s="1724">
        <v>136179.89000000001</v>
      </c>
      <c r="DL168" s="1724">
        <v>0</v>
      </c>
      <c r="DM168" s="1724">
        <v>0</v>
      </c>
      <c r="DN168" s="1724">
        <v>0</v>
      </c>
      <c r="DO168" s="1724">
        <v>0</v>
      </c>
      <c r="DP168" s="1724">
        <v>0</v>
      </c>
      <c r="DQ168" s="1728"/>
      <c r="DR168" s="1727"/>
      <c r="DS168" s="1728"/>
      <c r="DT168" s="1726"/>
      <c r="DU168" s="1728"/>
      <c r="DV168" s="1726"/>
    </row>
    <row r="169" spans="1:126" x14ac:dyDescent="0.25">
      <c r="A169" s="1662" t="s">
        <v>2213</v>
      </c>
      <c r="B169" s="1662" t="s">
        <v>1731</v>
      </c>
      <c r="C169" s="1662" t="s">
        <v>2655</v>
      </c>
      <c r="D169" s="1662"/>
      <c r="E169" s="1662"/>
      <c r="F169" s="1662"/>
      <c r="G169" s="1662"/>
      <c r="H169" s="1662"/>
      <c r="I169" s="1662"/>
      <c r="J169" s="1662"/>
      <c r="K169" s="1668"/>
      <c r="L169" s="1668"/>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AM169" s="1663"/>
      <c r="AN169" s="1662"/>
      <c r="AO169" s="1662"/>
      <c r="AP169" s="1662"/>
      <c r="AQ169" s="1662"/>
      <c r="AR169" s="1662"/>
      <c r="AS169" s="1662"/>
      <c r="AT169" s="1662"/>
      <c r="AU169" s="1662"/>
      <c r="AV169" s="1662"/>
      <c r="AW169" s="1662"/>
      <c r="AX169" s="1662"/>
      <c r="AY169" s="1662"/>
      <c r="AZ169" s="1662"/>
      <c r="BA169" s="1662"/>
      <c r="BB169" s="1662"/>
      <c r="BC169" s="1662"/>
      <c r="BD169" s="1662"/>
      <c r="BE169" s="1662"/>
      <c r="BF169" s="1662"/>
      <c r="BG169" s="1662"/>
      <c r="BH169" s="1662"/>
      <c r="BI169" s="1662"/>
      <c r="BJ169" s="1662"/>
      <c r="BK169" s="1662"/>
      <c r="BL169" s="1662"/>
      <c r="BM169" s="1662"/>
      <c r="BN169" s="1663"/>
      <c r="BO169" s="1668"/>
      <c r="BP169" s="1668"/>
      <c r="BQ169" s="1662"/>
      <c r="BR169" s="1668"/>
      <c r="BS169" s="1662"/>
      <c r="BT169" s="1662"/>
      <c r="BU169" s="1663"/>
      <c r="BV169" s="1665">
        <v>168868.99</v>
      </c>
      <c r="BW169" s="1668"/>
      <c r="BX169" s="1668"/>
      <c r="BY169" s="1662"/>
      <c r="BZ169" s="1662"/>
      <c r="CA169" s="1662"/>
      <c r="CB169" s="1662"/>
      <c r="CC169" s="1662"/>
      <c r="CD169" s="1724">
        <v>906987.73</v>
      </c>
      <c r="CE169" s="1724">
        <v>906987.73</v>
      </c>
      <c r="CF169" s="1724">
        <v>770807.84</v>
      </c>
      <c r="CG169" s="1724">
        <v>84.99</v>
      </c>
      <c r="CH169" s="1724">
        <v>136179.89000000001</v>
      </c>
      <c r="CI169" s="1724">
        <v>15.01</v>
      </c>
      <c r="CJ169" s="1724">
        <v>906987.73</v>
      </c>
      <c r="CK169" s="1724">
        <v>100</v>
      </c>
      <c r="CL169" s="1725"/>
      <c r="CM169" s="1726"/>
      <c r="CN169" s="1727"/>
      <c r="CO169" s="1728"/>
      <c r="CP169" s="1726"/>
      <c r="CQ169" s="1724">
        <v>770807.84</v>
      </c>
      <c r="CR169" s="1724">
        <v>770807.84</v>
      </c>
      <c r="CS169" s="1724">
        <v>0</v>
      </c>
      <c r="CT169" s="1728"/>
      <c r="CU169" s="1726"/>
      <c r="CV169" s="1724">
        <v>906987.73</v>
      </c>
      <c r="CW169" s="1724">
        <v>0</v>
      </c>
      <c r="CX169" s="1724">
        <v>0</v>
      </c>
      <c r="CY169" s="1724">
        <v>35453.910000000003</v>
      </c>
      <c r="CZ169" s="1724">
        <v>154683.54999999999</v>
      </c>
      <c r="DA169" s="1724">
        <v>635105.44999999995</v>
      </c>
      <c r="DB169" s="1724">
        <v>1453.43</v>
      </c>
      <c r="DC169" s="1724">
        <v>80291.39</v>
      </c>
      <c r="DD169" s="1724">
        <v>906987.73</v>
      </c>
      <c r="DE169" s="1724">
        <v>770807.84</v>
      </c>
      <c r="DF169" s="1724">
        <v>770807.84</v>
      </c>
      <c r="DG169" s="1724">
        <v>0</v>
      </c>
      <c r="DH169" s="1724">
        <v>136179.89000000001</v>
      </c>
      <c r="DI169" s="1724">
        <v>136179.89000000001</v>
      </c>
      <c r="DJ169" s="1724">
        <v>0</v>
      </c>
      <c r="DK169" s="1724">
        <v>136179.89000000001</v>
      </c>
      <c r="DL169" s="1724">
        <v>0</v>
      </c>
      <c r="DM169" s="1724">
        <v>0</v>
      </c>
      <c r="DN169" s="1724">
        <v>0</v>
      </c>
      <c r="DO169" s="1724">
        <v>0</v>
      </c>
      <c r="DP169" s="1724">
        <v>0</v>
      </c>
      <c r="DQ169" s="1728"/>
      <c r="DR169" s="1727"/>
      <c r="DS169" s="1728"/>
      <c r="DT169" s="1726"/>
      <c r="DU169" s="1728"/>
      <c r="DV169" s="1726"/>
    </row>
    <row r="170" spans="1:126" ht="22.5" x14ac:dyDescent="0.25">
      <c r="A170" s="1662" t="s">
        <v>2214</v>
      </c>
      <c r="B170" s="1662" t="s">
        <v>1731</v>
      </c>
      <c r="C170" s="1662" t="s">
        <v>2655</v>
      </c>
      <c r="D170" s="1662" t="s">
        <v>2656</v>
      </c>
      <c r="E170" s="1662"/>
      <c r="F170" s="1662"/>
      <c r="G170" s="1662"/>
      <c r="H170" s="1662"/>
      <c r="I170" s="1662"/>
      <c r="J170" s="1662"/>
      <c r="K170" s="1668"/>
      <c r="L170" s="1668"/>
      <c r="M170" s="1662"/>
      <c r="N170" s="1662"/>
      <c r="O170" s="1662"/>
      <c r="P170" s="1662"/>
      <c r="Q170" s="1662"/>
      <c r="R170" s="1662"/>
      <c r="S170" s="1662"/>
      <c r="T170" s="1662"/>
      <c r="U170" s="1662"/>
      <c r="V170" s="1662"/>
      <c r="W170" s="1662"/>
      <c r="X170" s="1662"/>
      <c r="Y170" s="1662"/>
      <c r="Z170" s="1662"/>
      <c r="AA170" s="1662"/>
      <c r="AB170" s="1662"/>
      <c r="AC170" s="1662"/>
      <c r="AD170" s="1662"/>
      <c r="AE170" s="1662"/>
      <c r="AF170" s="1662"/>
      <c r="AG170" s="1662"/>
      <c r="AH170" s="1662"/>
      <c r="AI170" s="1662"/>
      <c r="AJ170" s="1662"/>
      <c r="AK170" s="1662"/>
      <c r="AL170" s="1662"/>
      <c r="AM170" s="1663"/>
      <c r="AN170" s="1662"/>
      <c r="AO170" s="1662"/>
      <c r="AP170" s="1662"/>
      <c r="AQ170" s="1662"/>
      <c r="AR170" s="1662"/>
      <c r="AS170" s="1662"/>
      <c r="AT170" s="1662"/>
      <c r="AU170" s="1662"/>
      <c r="AV170" s="1662"/>
      <c r="AW170" s="1662"/>
      <c r="AX170" s="1662"/>
      <c r="AY170" s="1662"/>
      <c r="AZ170" s="1662"/>
      <c r="BA170" s="1662"/>
      <c r="BB170" s="1662"/>
      <c r="BC170" s="1662"/>
      <c r="BD170" s="1662"/>
      <c r="BE170" s="1662"/>
      <c r="BF170" s="1662"/>
      <c r="BG170" s="1662"/>
      <c r="BH170" s="1662"/>
      <c r="BI170" s="1662"/>
      <c r="BJ170" s="1662"/>
      <c r="BK170" s="1662"/>
      <c r="BL170" s="1662"/>
      <c r="BM170" s="1662"/>
      <c r="BN170" s="1663"/>
      <c r="BO170" s="1668"/>
      <c r="BP170" s="1668"/>
      <c r="BQ170" s="1662"/>
      <c r="BR170" s="1668"/>
      <c r="BS170" s="1662"/>
      <c r="BT170" s="1662"/>
      <c r="BU170" s="1663"/>
      <c r="BV170" s="1665">
        <v>168868.99</v>
      </c>
      <c r="BW170" s="1668"/>
      <c r="BX170" s="1668"/>
      <c r="BY170" s="1662"/>
      <c r="BZ170" s="1662"/>
      <c r="CA170" s="1662"/>
      <c r="CB170" s="1662"/>
      <c r="CC170" s="1662"/>
      <c r="CD170" s="1724">
        <v>906987.73</v>
      </c>
      <c r="CE170" s="1724">
        <v>906987.73</v>
      </c>
      <c r="CF170" s="1724">
        <v>770807.84</v>
      </c>
      <c r="CG170" s="1724">
        <v>84.99</v>
      </c>
      <c r="CH170" s="1724">
        <v>136179.89000000001</v>
      </c>
      <c r="CI170" s="1724">
        <v>15.01</v>
      </c>
      <c r="CJ170" s="1724">
        <v>906987.73</v>
      </c>
      <c r="CK170" s="1724">
        <v>100</v>
      </c>
      <c r="CL170" s="1725"/>
      <c r="CM170" s="1726"/>
      <c r="CN170" s="1727"/>
      <c r="CO170" s="1728"/>
      <c r="CP170" s="1726"/>
      <c r="CQ170" s="1724">
        <v>770807.84</v>
      </c>
      <c r="CR170" s="1724">
        <v>770807.84</v>
      </c>
      <c r="CS170" s="1724">
        <v>0</v>
      </c>
      <c r="CT170" s="1728"/>
      <c r="CU170" s="1726"/>
      <c r="CV170" s="1724">
        <v>906987.73</v>
      </c>
      <c r="CW170" s="1724">
        <v>0</v>
      </c>
      <c r="CX170" s="1724">
        <v>0</v>
      </c>
      <c r="CY170" s="1724">
        <v>35453.910000000003</v>
      </c>
      <c r="CZ170" s="1724">
        <v>154683.54999999999</v>
      </c>
      <c r="DA170" s="1724">
        <v>635105.44999999995</v>
      </c>
      <c r="DB170" s="1724">
        <v>1453.43</v>
      </c>
      <c r="DC170" s="1724">
        <v>80291.39</v>
      </c>
      <c r="DD170" s="1724">
        <v>906987.73</v>
      </c>
      <c r="DE170" s="1724">
        <v>770807.84</v>
      </c>
      <c r="DF170" s="1724">
        <v>770807.84</v>
      </c>
      <c r="DG170" s="1724">
        <v>0</v>
      </c>
      <c r="DH170" s="1724">
        <v>136179.89000000001</v>
      </c>
      <c r="DI170" s="1724">
        <v>136179.89000000001</v>
      </c>
      <c r="DJ170" s="1724">
        <v>0</v>
      </c>
      <c r="DK170" s="1724">
        <v>136179.89000000001</v>
      </c>
      <c r="DL170" s="1724">
        <v>0</v>
      </c>
      <c r="DM170" s="1724">
        <v>0</v>
      </c>
      <c r="DN170" s="1724">
        <v>0</v>
      </c>
      <c r="DO170" s="1724">
        <v>0</v>
      </c>
      <c r="DP170" s="1724">
        <v>0</v>
      </c>
      <c r="DQ170" s="1728"/>
      <c r="DR170" s="1727"/>
      <c r="DS170" s="1728"/>
      <c r="DT170" s="1726"/>
      <c r="DU170" s="1728"/>
      <c r="DV170" s="1726"/>
    </row>
    <row r="171" spans="1:126" ht="33.75" x14ac:dyDescent="0.25">
      <c r="A171" s="1662" t="s">
        <v>2215</v>
      </c>
      <c r="B171" s="1662" t="s">
        <v>1731</v>
      </c>
      <c r="C171" s="1662" t="s">
        <v>2655</v>
      </c>
      <c r="D171" s="1662" t="s">
        <v>2656</v>
      </c>
      <c r="E171" s="1662" t="s">
        <v>1138</v>
      </c>
      <c r="F171" s="1662" t="s">
        <v>3371</v>
      </c>
      <c r="G171" s="1662"/>
      <c r="H171" s="1662"/>
      <c r="I171" s="1662"/>
      <c r="J171" s="1662"/>
      <c r="K171" s="1668"/>
      <c r="L171" s="1668"/>
      <c r="M171" s="1662"/>
      <c r="N171" s="1662"/>
      <c r="O171" s="1662"/>
      <c r="P171" s="1662"/>
      <c r="Q171" s="1662"/>
      <c r="R171" s="1662"/>
      <c r="S171" s="1662"/>
      <c r="T171" s="1662"/>
      <c r="U171" s="1662"/>
      <c r="V171" s="1662"/>
      <c r="W171" s="1662"/>
      <c r="X171" s="1662"/>
      <c r="Y171" s="1662"/>
      <c r="Z171" s="1662"/>
      <c r="AA171" s="1662"/>
      <c r="AB171" s="1662"/>
      <c r="AC171" s="1662"/>
      <c r="AD171" s="1662"/>
      <c r="AE171" s="1662"/>
      <c r="AF171" s="1662"/>
      <c r="AG171" s="1662"/>
      <c r="AH171" s="1662"/>
      <c r="AI171" s="1662"/>
      <c r="AJ171" s="1662"/>
      <c r="AK171" s="1662"/>
      <c r="AL171" s="1662"/>
      <c r="AM171" s="1663"/>
      <c r="AN171" s="1662"/>
      <c r="AO171" s="1662"/>
      <c r="AP171" s="1662"/>
      <c r="AQ171" s="1662"/>
      <c r="AR171" s="1662"/>
      <c r="AS171" s="1662"/>
      <c r="AT171" s="1662"/>
      <c r="AU171" s="1662"/>
      <c r="AV171" s="1662"/>
      <c r="AW171" s="1662"/>
      <c r="AX171" s="1662"/>
      <c r="AY171" s="1662"/>
      <c r="AZ171" s="1662"/>
      <c r="BA171" s="1662"/>
      <c r="BB171" s="1662"/>
      <c r="BC171" s="1662"/>
      <c r="BD171" s="1662"/>
      <c r="BE171" s="1662"/>
      <c r="BF171" s="1662"/>
      <c r="BG171" s="1662"/>
      <c r="BH171" s="1662"/>
      <c r="BI171" s="1662"/>
      <c r="BJ171" s="1662"/>
      <c r="BK171" s="1662"/>
      <c r="BL171" s="1662"/>
      <c r="BM171" s="1662"/>
      <c r="BN171" s="1663"/>
      <c r="BO171" s="1668"/>
      <c r="BP171" s="1668"/>
      <c r="BQ171" s="1662"/>
      <c r="BR171" s="1668"/>
      <c r="BS171" s="1662"/>
      <c r="BT171" s="1662"/>
      <c r="BU171" s="1663"/>
      <c r="BV171" s="1665">
        <v>168868.99</v>
      </c>
      <c r="BW171" s="1668"/>
      <c r="BX171" s="1668"/>
      <c r="BY171" s="1662"/>
      <c r="BZ171" s="1662"/>
      <c r="CA171" s="1662"/>
      <c r="CB171" s="1662"/>
      <c r="CC171" s="1662"/>
      <c r="CD171" s="1724">
        <v>906987.73</v>
      </c>
      <c r="CE171" s="1724">
        <v>906987.73</v>
      </c>
      <c r="CF171" s="1724">
        <v>770807.84</v>
      </c>
      <c r="CG171" s="1724">
        <v>84.99</v>
      </c>
      <c r="CH171" s="1724">
        <v>136179.89000000001</v>
      </c>
      <c r="CI171" s="1724">
        <v>15.01</v>
      </c>
      <c r="CJ171" s="1724">
        <v>906987.73</v>
      </c>
      <c r="CK171" s="1724">
        <v>100</v>
      </c>
      <c r="CL171" s="1725"/>
      <c r="CM171" s="1726"/>
      <c r="CN171" s="1727"/>
      <c r="CO171" s="1728"/>
      <c r="CP171" s="1726"/>
      <c r="CQ171" s="1724">
        <v>770807.84</v>
      </c>
      <c r="CR171" s="1724">
        <v>770807.84</v>
      </c>
      <c r="CS171" s="1724">
        <v>0</v>
      </c>
      <c r="CT171" s="1728"/>
      <c r="CU171" s="1726"/>
      <c r="CV171" s="1724">
        <v>906987.73</v>
      </c>
      <c r="CW171" s="1724">
        <v>0</v>
      </c>
      <c r="CX171" s="1724">
        <v>0</v>
      </c>
      <c r="CY171" s="1724">
        <v>35453.910000000003</v>
      </c>
      <c r="CZ171" s="1724">
        <v>154683.54999999999</v>
      </c>
      <c r="DA171" s="1724">
        <v>635105.44999999995</v>
      </c>
      <c r="DB171" s="1724">
        <v>1453.43</v>
      </c>
      <c r="DC171" s="1724">
        <v>80291.39</v>
      </c>
      <c r="DD171" s="1724">
        <v>906987.73</v>
      </c>
      <c r="DE171" s="1724">
        <v>770807.84</v>
      </c>
      <c r="DF171" s="1724">
        <v>770807.84</v>
      </c>
      <c r="DG171" s="1724">
        <v>0</v>
      </c>
      <c r="DH171" s="1724">
        <v>136179.89000000001</v>
      </c>
      <c r="DI171" s="1724">
        <v>136179.89000000001</v>
      </c>
      <c r="DJ171" s="1724">
        <v>0</v>
      </c>
      <c r="DK171" s="1724">
        <v>136179.89000000001</v>
      </c>
      <c r="DL171" s="1724">
        <v>0</v>
      </c>
      <c r="DM171" s="1724">
        <v>0</v>
      </c>
      <c r="DN171" s="1724">
        <v>0</v>
      </c>
      <c r="DO171" s="1724">
        <v>0</v>
      </c>
      <c r="DP171" s="1724">
        <v>0</v>
      </c>
      <c r="DQ171" s="1728"/>
      <c r="DR171" s="1727"/>
      <c r="DS171" s="1728"/>
      <c r="DT171" s="1726"/>
      <c r="DU171" s="1728"/>
      <c r="DV171" s="1726"/>
    </row>
    <row r="172" spans="1:126" ht="270" x14ac:dyDescent="0.25">
      <c r="A172" s="1662" t="s">
        <v>2216</v>
      </c>
      <c r="B172" s="1662" t="s">
        <v>1731</v>
      </c>
      <c r="C172" s="1662" t="s">
        <v>2655</v>
      </c>
      <c r="D172" s="1662" t="s">
        <v>2656</v>
      </c>
      <c r="E172" s="1662" t="s">
        <v>1138</v>
      </c>
      <c r="F172" s="1662" t="s">
        <v>3371</v>
      </c>
      <c r="G172" s="1662" t="s">
        <v>2635</v>
      </c>
      <c r="H172" s="1662" t="s">
        <v>2644</v>
      </c>
      <c r="I172" s="1662" t="s">
        <v>2645</v>
      </c>
      <c r="J172" s="1662" t="s">
        <v>1228</v>
      </c>
      <c r="K172" s="1664">
        <v>43039</v>
      </c>
      <c r="L172" s="1664">
        <v>43137</v>
      </c>
      <c r="M172" s="1662" t="s">
        <v>274</v>
      </c>
      <c r="N172" s="1662" t="s">
        <v>2109</v>
      </c>
      <c r="O172" s="1662" t="s">
        <v>3372</v>
      </c>
      <c r="P172" s="1662" t="s">
        <v>2833</v>
      </c>
      <c r="Q172" s="1662" t="s">
        <v>1744</v>
      </c>
      <c r="R172" s="1662" t="s">
        <v>2833</v>
      </c>
      <c r="S172" s="1662" t="s">
        <v>2833</v>
      </c>
      <c r="T172" s="1662" t="s">
        <v>2861</v>
      </c>
      <c r="U172" s="1662" t="s">
        <v>2834</v>
      </c>
      <c r="V172" s="1662" t="s">
        <v>2833</v>
      </c>
      <c r="W172" s="1662" t="s">
        <v>2833</v>
      </c>
      <c r="X172" s="1662" t="s">
        <v>2833</v>
      </c>
      <c r="Y172" s="1662" t="s">
        <v>2833</v>
      </c>
      <c r="Z172" s="1662" t="s">
        <v>2833</v>
      </c>
      <c r="AA172" s="1662" t="s">
        <v>2833</v>
      </c>
      <c r="AB172" s="1662" t="s">
        <v>2833</v>
      </c>
      <c r="AC172" s="1662" t="s">
        <v>2861</v>
      </c>
      <c r="AD172" s="1662" t="s">
        <v>2833</v>
      </c>
      <c r="AE172" s="1662"/>
      <c r="AF172" s="1662" t="s">
        <v>3103</v>
      </c>
      <c r="AG172" s="1662" t="s">
        <v>3068</v>
      </c>
      <c r="AH172" s="1662" t="s">
        <v>3031</v>
      </c>
      <c r="AI172" s="1662" t="s">
        <v>2838</v>
      </c>
      <c r="AJ172" s="1662" t="s">
        <v>2839</v>
      </c>
      <c r="AK172" s="1662" t="s">
        <v>3373</v>
      </c>
      <c r="AL172" s="1662" t="s">
        <v>3374</v>
      </c>
      <c r="AM172" s="1665">
        <v>100</v>
      </c>
      <c r="AN172" s="1662"/>
      <c r="AO172" s="1662"/>
      <c r="AP172" s="1662"/>
      <c r="AQ172" s="1662"/>
      <c r="AR172" s="1662"/>
      <c r="AS172" s="1662"/>
      <c r="AT172" s="1662" t="s">
        <v>2946</v>
      </c>
      <c r="AU172" s="1662" t="s">
        <v>2842</v>
      </c>
      <c r="AV172" s="1662" t="s">
        <v>3375</v>
      </c>
      <c r="AW172" s="1662" t="s">
        <v>3160</v>
      </c>
      <c r="AX172" s="1662" t="s">
        <v>3133</v>
      </c>
      <c r="AY172" s="1662" t="s">
        <v>2874</v>
      </c>
      <c r="AZ172" s="1662" t="s">
        <v>284</v>
      </c>
      <c r="BA172" s="1662" t="s">
        <v>2896</v>
      </c>
      <c r="BB172" s="1662" t="s">
        <v>2833</v>
      </c>
      <c r="BC172" s="1662" t="s">
        <v>2876</v>
      </c>
      <c r="BD172" s="1662" t="s">
        <v>2849</v>
      </c>
      <c r="BE172" s="1662" t="s">
        <v>3022</v>
      </c>
      <c r="BF172" s="1662" t="s">
        <v>3023</v>
      </c>
      <c r="BG172" s="1662" t="s">
        <v>3024</v>
      </c>
      <c r="BH172" s="1662" t="s">
        <v>2880</v>
      </c>
      <c r="BI172" s="1662" t="s">
        <v>2881</v>
      </c>
      <c r="BJ172" s="1662" t="s">
        <v>2900</v>
      </c>
      <c r="BK172" s="1662" t="s">
        <v>2946</v>
      </c>
      <c r="BL172" s="1662" t="s">
        <v>2833</v>
      </c>
      <c r="BM172" s="1662" t="s">
        <v>2833</v>
      </c>
      <c r="BN172" s="1665">
        <v>0</v>
      </c>
      <c r="BO172" s="1664">
        <v>42808</v>
      </c>
      <c r="BP172" s="1664">
        <v>43683</v>
      </c>
      <c r="BQ172" s="1662" t="s">
        <v>2855</v>
      </c>
      <c r="BR172" s="1664">
        <v>47483</v>
      </c>
      <c r="BS172" s="1662" t="s">
        <v>3036</v>
      </c>
      <c r="BT172" s="1662" t="s">
        <v>3376</v>
      </c>
      <c r="BU172" s="1665">
        <v>5</v>
      </c>
      <c r="BV172" s="1665">
        <v>7341.17</v>
      </c>
      <c r="BW172" s="1664">
        <v>43743</v>
      </c>
      <c r="BX172" s="1668"/>
      <c r="BY172" s="1662" t="s">
        <v>2096</v>
      </c>
      <c r="BZ172" s="1662" t="s">
        <v>2858</v>
      </c>
      <c r="CA172" s="1662" t="s">
        <v>2859</v>
      </c>
      <c r="CB172" s="1662" t="s">
        <v>2859</v>
      </c>
      <c r="CC172" s="1662" t="s">
        <v>2885</v>
      </c>
      <c r="CD172" s="1724">
        <v>172733.52</v>
      </c>
      <c r="CE172" s="1724">
        <v>172733.52</v>
      </c>
      <c r="CF172" s="1724">
        <v>146823.49</v>
      </c>
      <c r="CG172" s="1724">
        <v>85</v>
      </c>
      <c r="CH172" s="1724">
        <v>25910.03</v>
      </c>
      <c r="CI172" s="1724">
        <v>15</v>
      </c>
      <c r="CJ172" s="1724">
        <v>172733.52</v>
      </c>
      <c r="CK172" s="1724">
        <v>100</v>
      </c>
      <c r="CL172" s="1725" t="s">
        <v>2861</v>
      </c>
      <c r="CM172" s="1729">
        <v>43096</v>
      </c>
      <c r="CN172" s="1727"/>
      <c r="CO172" s="1728"/>
      <c r="CP172" s="1726"/>
      <c r="CQ172" s="1724">
        <v>146823.49</v>
      </c>
      <c r="CR172" s="1724">
        <v>146823.49</v>
      </c>
      <c r="CS172" s="1724">
        <v>0</v>
      </c>
      <c r="CT172" s="1728" t="s">
        <v>2861</v>
      </c>
      <c r="CU172" s="1729">
        <v>43115</v>
      </c>
      <c r="CV172" s="1724">
        <v>172733.52</v>
      </c>
      <c r="CW172" s="1724">
        <v>0</v>
      </c>
      <c r="CX172" s="1724">
        <v>0</v>
      </c>
      <c r="CY172" s="1724">
        <v>17270.330000000002</v>
      </c>
      <c r="CZ172" s="1724">
        <v>71757.19</v>
      </c>
      <c r="DA172" s="1724">
        <v>67050</v>
      </c>
      <c r="DB172" s="1724">
        <v>0</v>
      </c>
      <c r="DC172" s="1724">
        <v>16656</v>
      </c>
      <c r="DD172" s="1724">
        <v>172733.52</v>
      </c>
      <c r="DE172" s="1724">
        <v>146823.49</v>
      </c>
      <c r="DF172" s="1724">
        <v>146823.49</v>
      </c>
      <c r="DG172" s="1724">
        <v>0</v>
      </c>
      <c r="DH172" s="1724">
        <v>25910.03</v>
      </c>
      <c r="DI172" s="1724">
        <v>25910.03</v>
      </c>
      <c r="DJ172" s="1724">
        <v>0</v>
      </c>
      <c r="DK172" s="1724">
        <v>25910.03</v>
      </c>
      <c r="DL172" s="1724">
        <v>0</v>
      </c>
      <c r="DM172" s="1724">
        <v>0</v>
      </c>
      <c r="DN172" s="1724">
        <v>0</v>
      </c>
      <c r="DO172" s="1724">
        <v>0</v>
      </c>
      <c r="DP172" s="1724">
        <v>0</v>
      </c>
      <c r="DQ172" s="1728" t="s">
        <v>2886</v>
      </c>
      <c r="DR172" s="1724">
        <v>0</v>
      </c>
      <c r="DS172" s="1728" t="s">
        <v>2833</v>
      </c>
      <c r="DT172" s="1726"/>
      <c r="DU172" s="1728" t="s">
        <v>2833</v>
      </c>
      <c r="DV172" s="1726"/>
    </row>
    <row r="173" spans="1:126" ht="168.75" x14ac:dyDescent="0.25">
      <c r="A173" s="1662" t="s">
        <v>2217</v>
      </c>
      <c r="B173" s="1662" t="s">
        <v>1731</v>
      </c>
      <c r="C173" s="1662" t="s">
        <v>2655</v>
      </c>
      <c r="D173" s="1662" t="s">
        <v>2656</v>
      </c>
      <c r="E173" s="1662" t="s">
        <v>1138</v>
      </c>
      <c r="F173" s="1662" t="s">
        <v>3371</v>
      </c>
      <c r="G173" s="1662" t="s">
        <v>2635</v>
      </c>
      <c r="H173" s="1662" t="s">
        <v>2644</v>
      </c>
      <c r="I173" s="1662" t="s">
        <v>2645</v>
      </c>
      <c r="J173" s="1662" t="s">
        <v>1229</v>
      </c>
      <c r="K173" s="1664">
        <v>43061</v>
      </c>
      <c r="L173" s="1664">
        <v>43144</v>
      </c>
      <c r="M173" s="1662" t="s">
        <v>399</v>
      </c>
      <c r="N173" s="1662" t="s">
        <v>2109</v>
      </c>
      <c r="O173" s="1662" t="s">
        <v>3377</v>
      </c>
      <c r="P173" s="1662" t="s">
        <v>2833</v>
      </c>
      <c r="Q173" s="1662" t="s">
        <v>1749</v>
      </c>
      <c r="R173" s="1662" t="s">
        <v>2833</v>
      </c>
      <c r="S173" s="1662" t="s">
        <v>2833</v>
      </c>
      <c r="T173" s="1662" t="s">
        <v>2861</v>
      </c>
      <c r="U173" s="1662" t="s">
        <v>2834</v>
      </c>
      <c r="V173" s="1662" t="s">
        <v>2833</v>
      </c>
      <c r="W173" s="1662" t="s">
        <v>2833</v>
      </c>
      <c r="X173" s="1662" t="s">
        <v>2833</v>
      </c>
      <c r="Y173" s="1662" t="s">
        <v>2833</v>
      </c>
      <c r="Z173" s="1662" t="s">
        <v>2833</v>
      </c>
      <c r="AA173" s="1662" t="s">
        <v>2833</v>
      </c>
      <c r="AB173" s="1662" t="s">
        <v>2833</v>
      </c>
      <c r="AC173" s="1662" t="s">
        <v>2833</v>
      </c>
      <c r="AD173" s="1662" t="s">
        <v>2833</v>
      </c>
      <c r="AE173" s="1662"/>
      <c r="AF173" s="1662" t="s">
        <v>3103</v>
      </c>
      <c r="AG173" s="1662" t="s">
        <v>3068</v>
      </c>
      <c r="AH173" s="1662" t="s">
        <v>3031</v>
      </c>
      <c r="AI173" s="1662" t="s">
        <v>2838</v>
      </c>
      <c r="AJ173" s="1662" t="s">
        <v>2839</v>
      </c>
      <c r="AK173" s="1662" t="s">
        <v>3373</v>
      </c>
      <c r="AL173" s="1662" t="s">
        <v>3374</v>
      </c>
      <c r="AM173" s="1665">
        <v>100</v>
      </c>
      <c r="AN173" s="1662"/>
      <c r="AO173" s="1662"/>
      <c r="AP173" s="1662"/>
      <c r="AQ173" s="1662"/>
      <c r="AR173" s="1662"/>
      <c r="AS173" s="1662"/>
      <c r="AT173" s="1662" t="s">
        <v>2842</v>
      </c>
      <c r="AU173" s="1662" t="s">
        <v>2842</v>
      </c>
      <c r="AV173" s="1662" t="s">
        <v>3375</v>
      </c>
      <c r="AW173" s="1662" t="s">
        <v>3160</v>
      </c>
      <c r="AX173" s="1662" t="s">
        <v>3133</v>
      </c>
      <c r="AY173" s="1662" t="s">
        <v>2874</v>
      </c>
      <c r="AZ173" s="1662" t="s">
        <v>161</v>
      </c>
      <c r="BA173" s="1662" t="s">
        <v>2888</v>
      </c>
      <c r="BB173" s="1662" t="s">
        <v>2833</v>
      </c>
      <c r="BC173" s="1662" t="s">
        <v>2876</v>
      </c>
      <c r="BD173" s="1662" t="s">
        <v>2849</v>
      </c>
      <c r="BE173" s="1662" t="s">
        <v>2889</v>
      </c>
      <c r="BF173" s="1662" t="s">
        <v>2990</v>
      </c>
      <c r="BG173" s="1662" t="s">
        <v>2891</v>
      </c>
      <c r="BH173" s="1662" t="s">
        <v>2880</v>
      </c>
      <c r="BI173" s="1662" t="s">
        <v>2881</v>
      </c>
      <c r="BJ173" s="1662" t="s">
        <v>2892</v>
      </c>
      <c r="BK173" s="1662" t="s">
        <v>2842</v>
      </c>
      <c r="BL173" s="1662" t="s">
        <v>2833</v>
      </c>
      <c r="BM173" s="1662" t="s">
        <v>2833</v>
      </c>
      <c r="BN173" s="1665">
        <v>0</v>
      </c>
      <c r="BO173" s="1664">
        <v>42913</v>
      </c>
      <c r="BP173" s="1664">
        <v>43874</v>
      </c>
      <c r="BQ173" s="1662" t="s">
        <v>2855</v>
      </c>
      <c r="BR173" s="1664">
        <v>47483</v>
      </c>
      <c r="BS173" s="1662" t="s">
        <v>3378</v>
      </c>
      <c r="BT173" s="1662" t="s">
        <v>3379</v>
      </c>
      <c r="BU173" s="1665">
        <v>30</v>
      </c>
      <c r="BV173" s="1665">
        <v>41816.400000000001</v>
      </c>
      <c r="BW173" s="1664">
        <v>43934</v>
      </c>
      <c r="BX173" s="1668"/>
      <c r="BY173" s="1662" t="s">
        <v>2096</v>
      </c>
      <c r="BZ173" s="1662" t="s">
        <v>2858</v>
      </c>
      <c r="CA173" s="1662" t="s">
        <v>2858</v>
      </c>
      <c r="CB173" s="1662" t="s">
        <v>2859</v>
      </c>
      <c r="CC173" s="1662" t="s">
        <v>2885</v>
      </c>
      <c r="CD173" s="1724">
        <v>163986.88</v>
      </c>
      <c r="CE173" s="1724">
        <v>163986.88</v>
      </c>
      <c r="CF173" s="1724">
        <v>139388</v>
      </c>
      <c r="CG173" s="1724">
        <v>85</v>
      </c>
      <c r="CH173" s="1724">
        <v>24598.880000000001</v>
      </c>
      <c r="CI173" s="1724">
        <v>15</v>
      </c>
      <c r="CJ173" s="1724">
        <v>163986.88</v>
      </c>
      <c r="CK173" s="1724">
        <v>100</v>
      </c>
      <c r="CL173" s="1725" t="s">
        <v>2861</v>
      </c>
      <c r="CM173" s="1729">
        <v>43119</v>
      </c>
      <c r="CN173" s="1727"/>
      <c r="CO173" s="1728"/>
      <c r="CP173" s="1726"/>
      <c r="CQ173" s="1724">
        <v>139388</v>
      </c>
      <c r="CR173" s="1724">
        <v>139388</v>
      </c>
      <c r="CS173" s="1724">
        <v>0</v>
      </c>
      <c r="CT173" s="1728" t="s">
        <v>2861</v>
      </c>
      <c r="CU173" s="1729">
        <v>43131</v>
      </c>
      <c r="CV173" s="1724">
        <v>163986.88</v>
      </c>
      <c r="CW173" s="1724">
        <v>0</v>
      </c>
      <c r="CX173" s="1724">
        <v>0</v>
      </c>
      <c r="CY173" s="1724">
        <v>0</v>
      </c>
      <c r="CZ173" s="1724">
        <v>24200</v>
      </c>
      <c r="DA173" s="1724">
        <v>118721.49</v>
      </c>
      <c r="DB173" s="1724">
        <v>0</v>
      </c>
      <c r="DC173" s="1724">
        <v>21065.39</v>
      </c>
      <c r="DD173" s="1724">
        <v>163986.88</v>
      </c>
      <c r="DE173" s="1724">
        <v>139388</v>
      </c>
      <c r="DF173" s="1724">
        <v>139388</v>
      </c>
      <c r="DG173" s="1724">
        <v>0</v>
      </c>
      <c r="DH173" s="1724">
        <v>24598.880000000001</v>
      </c>
      <c r="DI173" s="1724">
        <v>24598.880000000001</v>
      </c>
      <c r="DJ173" s="1724">
        <v>0</v>
      </c>
      <c r="DK173" s="1724">
        <v>24598.880000000001</v>
      </c>
      <c r="DL173" s="1724">
        <v>0</v>
      </c>
      <c r="DM173" s="1724">
        <v>0</v>
      </c>
      <c r="DN173" s="1724">
        <v>0</v>
      </c>
      <c r="DO173" s="1724">
        <v>0</v>
      </c>
      <c r="DP173" s="1724">
        <v>0</v>
      </c>
      <c r="DQ173" s="1728" t="s">
        <v>2886</v>
      </c>
      <c r="DR173" s="1724">
        <v>0</v>
      </c>
      <c r="DS173" s="1728" t="s">
        <v>2833</v>
      </c>
      <c r="DT173" s="1726"/>
      <c r="DU173" s="1728" t="s">
        <v>2833</v>
      </c>
      <c r="DV173" s="1726"/>
    </row>
    <row r="174" spans="1:126" ht="191.25" x14ac:dyDescent="0.25">
      <c r="A174" s="1662" t="s">
        <v>2218</v>
      </c>
      <c r="B174" s="1662" t="s">
        <v>1731</v>
      </c>
      <c r="C174" s="1662" t="s">
        <v>2655</v>
      </c>
      <c r="D174" s="1662" t="s">
        <v>2656</v>
      </c>
      <c r="E174" s="1662" t="s">
        <v>1138</v>
      </c>
      <c r="F174" s="1662" t="s">
        <v>3371</v>
      </c>
      <c r="G174" s="1662" t="s">
        <v>2635</v>
      </c>
      <c r="H174" s="1662" t="s">
        <v>2644</v>
      </c>
      <c r="I174" s="1662" t="s">
        <v>2645</v>
      </c>
      <c r="J174" s="1662" t="s">
        <v>1635</v>
      </c>
      <c r="K174" s="1664">
        <v>43131</v>
      </c>
      <c r="L174" s="1664">
        <v>43220</v>
      </c>
      <c r="M174" s="1662" t="s">
        <v>398</v>
      </c>
      <c r="N174" s="1662" t="s">
        <v>2109</v>
      </c>
      <c r="O174" s="1662" t="s">
        <v>3380</v>
      </c>
      <c r="P174" s="1662" t="s">
        <v>2833</v>
      </c>
      <c r="Q174" s="1662" t="s">
        <v>1749</v>
      </c>
      <c r="R174" s="1662" t="s">
        <v>2833</v>
      </c>
      <c r="S174" s="1662" t="s">
        <v>2833</v>
      </c>
      <c r="T174" s="1662" t="s">
        <v>2861</v>
      </c>
      <c r="U174" s="1662" t="s">
        <v>2834</v>
      </c>
      <c r="V174" s="1662" t="s">
        <v>2833</v>
      </c>
      <c r="W174" s="1662" t="s">
        <v>2833</v>
      </c>
      <c r="X174" s="1662" t="s">
        <v>2833</v>
      </c>
      <c r="Y174" s="1662" t="s">
        <v>2833</v>
      </c>
      <c r="Z174" s="1662" t="s">
        <v>2833</v>
      </c>
      <c r="AA174" s="1662" t="s">
        <v>2833</v>
      </c>
      <c r="AB174" s="1662" t="s">
        <v>2833</v>
      </c>
      <c r="AC174" s="1662" t="s">
        <v>2861</v>
      </c>
      <c r="AD174" s="1662" t="s">
        <v>2833</v>
      </c>
      <c r="AE174" s="1662"/>
      <c r="AF174" s="1662" t="s">
        <v>3103</v>
      </c>
      <c r="AG174" s="1662" t="s">
        <v>3068</v>
      </c>
      <c r="AH174" s="1662" t="s">
        <v>3031</v>
      </c>
      <c r="AI174" s="1662" t="s">
        <v>2838</v>
      </c>
      <c r="AJ174" s="1662" t="s">
        <v>2839</v>
      </c>
      <c r="AK174" s="1662" t="s">
        <v>3373</v>
      </c>
      <c r="AL174" s="1662" t="s">
        <v>3374</v>
      </c>
      <c r="AM174" s="1665">
        <v>100</v>
      </c>
      <c r="AN174" s="1662"/>
      <c r="AO174" s="1662"/>
      <c r="AP174" s="1662"/>
      <c r="AQ174" s="1662"/>
      <c r="AR174" s="1662"/>
      <c r="AS174" s="1662"/>
      <c r="AT174" s="1662" t="s">
        <v>2946</v>
      </c>
      <c r="AU174" s="1662" t="s">
        <v>2842</v>
      </c>
      <c r="AV174" s="1662" t="s">
        <v>3375</v>
      </c>
      <c r="AW174" s="1662" t="s">
        <v>3160</v>
      </c>
      <c r="AX174" s="1662" t="s">
        <v>3133</v>
      </c>
      <c r="AY174" s="1662" t="s">
        <v>2874</v>
      </c>
      <c r="AZ174" s="1662" t="s">
        <v>184</v>
      </c>
      <c r="BA174" s="1662" t="s">
        <v>2904</v>
      </c>
      <c r="BB174" s="1662" t="s">
        <v>2833</v>
      </c>
      <c r="BC174" s="1662" t="s">
        <v>2876</v>
      </c>
      <c r="BD174" s="1662" t="s">
        <v>2849</v>
      </c>
      <c r="BE174" s="1662" t="s">
        <v>3330</v>
      </c>
      <c r="BF174" s="1662" t="s">
        <v>2906</v>
      </c>
      <c r="BG174" s="1662" t="s">
        <v>2907</v>
      </c>
      <c r="BH174" s="1662" t="s">
        <v>2880</v>
      </c>
      <c r="BI174" s="1662" t="s">
        <v>2881</v>
      </c>
      <c r="BJ174" s="1662" t="s">
        <v>2908</v>
      </c>
      <c r="BK174" s="1662" t="s">
        <v>2946</v>
      </c>
      <c r="BL174" s="1662" t="s">
        <v>2833</v>
      </c>
      <c r="BM174" s="1662" t="s">
        <v>2833</v>
      </c>
      <c r="BN174" s="1665">
        <v>0</v>
      </c>
      <c r="BO174" s="1664">
        <v>42965</v>
      </c>
      <c r="BP174" s="1664">
        <v>43951</v>
      </c>
      <c r="BQ174" s="1662" t="s">
        <v>2855</v>
      </c>
      <c r="BR174" s="1664">
        <v>47483</v>
      </c>
      <c r="BS174" s="1662" t="s">
        <v>3349</v>
      </c>
      <c r="BT174" s="1662" t="s">
        <v>3381</v>
      </c>
      <c r="BU174" s="1665">
        <v>30</v>
      </c>
      <c r="BV174" s="1665">
        <v>49172.21</v>
      </c>
      <c r="BW174" s="1664">
        <v>44011</v>
      </c>
      <c r="BX174" s="1668"/>
      <c r="BY174" s="1662" t="s">
        <v>2096</v>
      </c>
      <c r="BZ174" s="1662" t="s">
        <v>2858</v>
      </c>
      <c r="CA174" s="1662" t="s">
        <v>2858</v>
      </c>
      <c r="CB174" s="1662" t="s">
        <v>2859</v>
      </c>
      <c r="CC174" s="1662" t="s">
        <v>2885</v>
      </c>
      <c r="CD174" s="1724">
        <v>192832.21</v>
      </c>
      <c r="CE174" s="1724">
        <v>192832.21</v>
      </c>
      <c r="CF174" s="1724">
        <v>163907.37</v>
      </c>
      <c r="CG174" s="1724">
        <v>85</v>
      </c>
      <c r="CH174" s="1724">
        <v>28924.84</v>
      </c>
      <c r="CI174" s="1724">
        <v>15</v>
      </c>
      <c r="CJ174" s="1724">
        <v>192832.21</v>
      </c>
      <c r="CK174" s="1724">
        <v>100</v>
      </c>
      <c r="CL174" s="1725" t="s">
        <v>2861</v>
      </c>
      <c r="CM174" s="1729">
        <v>43186</v>
      </c>
      <c r="CN174" s="1727"/>
      <c r="CO174" s="1728"/>
      <c r="CP174" s="1726"/>
      <c r="CQ174" s="1724">
        <v>163907.37</v>
      </c>
      <c r="CR174" s="1724">
        <v>163907.37</v>
      </c>
      <c r="CS174" s="1724">
        <v>0</v>
      </c>
      <c r="CT174" s="1728" t="s">
        <v>2861</v>
      </c>
      <c r="CU174" s="1729">
        <v>43201</v>
      </c>
      <c r="CV174" s="1724">
        <v>192832.21</v>
      </c>
      <c r="CW174" s="1724">
        <v>0</v>
      </c>
      <c r="CX174" s="1724">
        <v>0</v>
      </c>
      <c r="CY174" s="1724">
        <v>5001.6099999999997</v>
      </c>
      <c r="CZ174" s="1724">
        <v>45124.28</v>
      </c>
      <c r="DA174" s="1724">
        <v>118682.89</v>
      </c>
      <c r="DB174" s="1724">
        <v>1453.43</v>
      </c>
      <c r="DC174" s="1724">
        <v>22570</v>
      </c>
      <c r="DD174" s="1724">
        <v>192832.21</v>
      </c>
      <c r="DE174" s="1724">
        <v>163907.37</v>
      </c>
      <c r="DF174" s="1724">
        <v>163907.37</v>
      </c>
      <c r="DG174" s="1724">
        <v>0</v>
      </c>
      <c r="DH174" s="1724">
        <v>28924.84</v>
      </c>
      <c r="DI174" s="1724">
        <v>28924.84</v>
      </c>
      <c r="DJ174" s="1724">
        <v>0</v>
      </c>
      <c r="DK174" s="1724">
        <v>28924.84</v>
      </c>
      <c r="DL174" s="1724">
        <v>0</v>
      </c>
      <c r="DM174" s="1724">
        <v>0</v>
      </c>
      <c r="DN174" s="1724">
        <v>0</v>
      </c>
      <c r="DO174" s="1724">
        <v>0</v>
      </c>
      <c r="DP174" s="1724">
        <v>0</v>
      </c>
      <c r="DQ174" s="1728" t="s">
        <v>2886</v>
      </c>
      <c r="DR174" s="1724">
        <v>0</v>
      </c>
      <c r="DS174" s="1728" t="s">
        <v>2833</v>
      </c>
      <c r="DT174" s="1726"/>
      <c r="DU174" s="1728" t="s">
        <v>2833</v>
      </c>
      <c r="DV174" s="1726"/>
    </row>
    <row r="175" spans="1:126" ht="236.25" x14ac:dyDescent="0.25">
      <c r="A175" s="1662" t="s">
        <v>2219</v>
      </c>
      <c r="B175" s="1662" t="s">
        <v>1731</v>
      </c>
      <c r="C175" s="1662" t="s">
        <v>2655</v>
      </c>
      <c r="D175" s="1662" t="s">
        <v>2656</v>
      </c>
      <c r="E175" s="1662" t="s">
        <v>1138</v>
      </c>
      <c r="F175" s="1662" t="s">
        <v>3371</v>
      </c>
      <c r="G175" s="1662" t="s">
        <v>2635</v>
      </c>
      <c r="H175" s="1662" t="s">
        <v>2644</v>
      </c>
      <c r="I175" s="1662" t="s">
        <v>2645</v>
      </c>
      <c r="J175" s="1662" t="s">
        <v>1636</v>
      </c>
      <c r="K175" s="1664">
        <v>43146</v>
      </c>
      <c r="L175" s="1664">
        <v>43238</v>
      </c>
      <c r="M175" s="1662" t="s">
        <v>240</v>
      </c>
      <c r="N175" s="1662" t="s">
        <v>2109</v>
      </c>
      <c r="O175" s="1662" t="s">
        <v>3382</v>
      </c>
      <c r="P175" s="1662" t="s">
        <v>2833</v>
      </c>
      <c r="Q175" s="1662" t="s">
        <v>1755</v>
      </c>
      <c r="R175" s="1662" t="s">
        <v>2833</v>
      </c>
      <c r="S175" s="1662" t="s">
        <v>2833</v>
      </c>
      <c r="T175" s="1662" t="s">
        <v>2861</v>
      </c>
      <c r="U175" s="1662" t="s">
        <v>2834</v>
      </c>
      <c r="V175" s="1662" t="s">
        <v>2833</v>
      </c>
      <c r="W175" s="1662" t="s">
        <v>2833</v>
      </c>
      <c r="X175" s="1662" t="s">
        <v>2833</v>
      </c>
      <c r="Y175" s="1662" t="s">
        <v>2833</v>
      </c>
      <c r="Z175" s="1662" t="s">
        <v>2833</v>
      </c>
      <c r="AA175" s="1662" t="s">
        <v>2833</v>
      </c>
      <c r="AB175" s="1662" t="s">
        <v>2833</v>
      </c>
      <c r="AC175" s="1662" t="s">
        <v>2861</v>
      </c>
      <c r="AD175" s="1662" t="s">
        <v>2833</v>
      </c>
      <c r="AE175" s="1662"/>
      <c r="AF175" s="1662" t="s">
        <v>3103</v>
      </c>
      <c r="AG175" s="1662" t="s">
        <v>3068</v>
      </c>
      <c r="AH175" s="1662" t="s">
        <v>3031</v>
      </c>
      <c r="AI175" s="1662" t="s">
        <v>2838</v>
      </c>
      <c r="AJ175" s="1662" t="s">
        <v>2839</v>
      </c>
      <c r="AK175" s="1662" t="s">
        <v>3373</v>
      </c>
      <c r="AL175" s="1662" t="s">
        <v>3374</v>
      </c>
      <c r="AM175" s="1665">
        <v>100</v>
      </c>
      <c r="AN175" s="1662"/>
      <c r="AO175" s="1662"/>
      <c r="AP175" s="1662"/>
      <c r="AQ175" s="1662"/>
      <c r="AR175" s="1662"/>
      <c r="AS175" s="1662"/>
      <c r="AT175" s="1662" t="s">
        <v>2960</v>
      </c>
      <c r="AU175" s="1662" t="s">
        <v>2842</v>
      </c>
      <c r="AV175" s="1662" t="s">
        <v>3375</v>
      </c>
      <c r="AW175" s="1662" t="s">
        <v>3160</v>
      </c>
      <c r="AX175" s="1662" t="s">
        <v>3133</v>
      </c>
      <c r="AY175" s="1662" t="s">
        <v>2874</v>
      </c>
      <c r="AZ175" s="1662" t="s">
        <v>236</v>
      </c>
      <c r="BA175" s="1662" t="s">
        <v>3009</v>
      </c>
      <c r="BB175" s="1662" t="s">
        <v>2833</v>
      </c>
      <c r="BC175" s="1662" t="s">
        <v>2876</v>
      </c>
      <c r="BD175" s="1662" t="s">
        <v>2849</v>
      </c>
      <c r="BE175" s="1662" t="s">
        <v>3010</v>
      </c>
      <c r="BF175" s="1662" t="s">
        <v>3134</v>
      </c>
      <c r="BG175" s="1662" t="s">
        <v>3012</v>
      </c>
      <c r="BH175" s="1662" t="s">
        <v>2880</v>
      </c>
      <c r="BI175" s="1662" t="s">
        <v>2881</v>
      </c>
      <c r="BJ175" s="1662" t="s">
        <v>2965</v>
      </c>
      <c r="BK175" s="1662" t="s">
        <v>2960</v>
      </c>
      <c r="BL175" s="1662" t="s">
        <v>2833</v>
      </c>
      <c r="BM175" s="1662" t="s">
        <v>2833</v>
      </c>
      <c r="BN175" s="1665">
        <v>0</v>
      </c>
      <c r="BO175" s="1664">
        <v>42485</v>
      </c>
      <c r="BP175" s="1664">
        <v>44153</v>
      </c>
      <c r="BQ175" s="1662" t="s">
        <v>2855</v>
      </c>
      <c r="BR175" s="1664">
        <v>47483</v>
      </c>
      <c r="BS175" s="1662" t="s">
        <v>3349</v>
      </c>
      <c r="BT175" s="1662" t="s">
        <v>3383</v>
      </c>
      <c r="BU175" s="1665">
        <v>30</v>
      </c>
      <c r="BV175" s="1665">
        <v>41204.94</v>
      </c>
      <c r="BW175" s="1664">
        <v>44214</v>
      </c>
      <c r="BX175" s="1668"/>
      <c r="BY175" s="1662" t="s">
        <v>2096</v>
      </c>
      <c r="BZ175" s="1662" t="s">
        <v>2859</v>
      </c>
      <c r="CA175" s="1662" t="s">
        <v>2858</v>
      </c>
      <c r="CB175" s="1662" t="s">
        <v>2859</v>
      </c>
      <c r="CC175" s="1662" t="s">
        <v>2885</v>
      </c>
      <c r="CD175" s="1724">
        <v>161741.96</v>
      </c>
      <c r="CE175" s="1724">
        <v>161741.96</v>
      </c>
      <c r="CF175" s="1724">
        <v>137349.79999999999</v>
      </c>
      <c r="CG175" s="1724">
        <v>84.92</v>
      </c>
      <c r="CH175" s="1724">
        <v>24392.16</v>
      </c>
      <c r="CI175" s="1724">
        <v>15.08</v>
      </c>
      <c r="CJ175" s="1724">
        <v>161741.96</v>
      </c>
      <c r="CK175" s="1724">
        <v>100</v>
      </c>
      <c r="CL175" s="1725" t="s">
        <v>2861</v>
      </c>
      <c r="CM175" s="1729">
        <v>43206</v>
      </c>
      <c r="CN175" s="1727"/>
      <c r="CO175" s="1728"/>
      <c r="CP175" s="1726"/>
      <c r="CQ175" s="1724">
        <v>137349.79999999999</v>
      </c>
      <c r="CR175" s="1724">
        <v>137349.79999999999</v>
      </c>
      <c r="CS175" s="1724">
        <v>0</v>
      </c>
      <c r="CT175" s="1728" t="s">
        <v>2861</v>
      </c>
      <c r="CU175" s="1729">
        <v>43215</v>
      </c>
      <c r="CV175" s="1724">
        <v>161741.96</v>
      </c>
      <c r="CW175" s="1724">
        <v>0</v>
      </c>
      <c r="CX175" s="1724">
        <v>0</v>
      </c>
      <c r="CY175" s="1724">
        <v>13181.97</v>
      </c>
      <c r="CZ175" s="1724">
        <v>13602.08</v>
      </c>
      <c r="DA175" s="1724">
        <v>134957.91</v>
      </c>
      <c r="DB175" s="1724">
        <v>0</v>
      </c>
      <c r="DC175" s="1724">
        <v>0</v>
      </c>
      <c r="DD175" s="1724">
        <v>161741.96</v>
      </c>
      <c r="DE175" s="1724">
        <v>137349.79999999999</v>
      </c>
      <c r="DF175" s="1724">
        <v>137349.79999999999</v>
      </c>
      <c r="DG175" s="1724">
        <v>0</v>
      </c>
      <c r="DH175" s="1724">
        <v>24392.16</v>
      </c>
      <c r="DI175" s="1724">
        <v>24392.16</v>
      </c>
      <c r="DJ175" s="1724">
        <v>0</v>
      </c>
      <c r="DK175" s="1724">
        <v>24392.16</v>
      </c>
      <c r="DL175" s="1724">
        <v>0</v>
      </c>
      <c r="DM175" s="1724">
        <v>0</v>
      </c>
      <c r="DN175" s="1724">
        <v>0</v>
      </c>
      <c r="DO175" s="1724">
        <v>0</v>
      </c>
      <c r="DP175" s="1724">
        <v>0</v>
      </c>
      <c r="DQ175" s="1728" t="s">
        <v>2886</v>
      </c>
      <c r="DR175" s="1724">
        <v>0</v>
      </c>
      <c r="DS175" s="1728" t="s">
        <v>2833</v>
      </c>
      <c r="DT175" s="1726"/>
      <c r="DU175" s="1728" t="s">
        <v>2833</v>
      </c>
      <c r="DV175" s="1726"/>
    </row>
    <row r="176" spans="1:126" ht="236.25" x14ac:dyDescent="0.25">
      <c r="A176" s="1662" t="s">
        <v>2222</v>
      </c>
      <c r="B176" s="1662" t="s">
        <v>1731</v>
      </c>
      <c r="C176" s="1662" t="s">
        <v>2655</v>
      </c>
      <c r="D176" s="1662" t="s">
        <v>2656</v>
      </c>
      <c r="E176" s="1662" t="s">
        <v>1138</v>
      </c>
      <c r="F176" s="1662" t="s">
        <v>3371</v>
      </c>
      <c r="G176" s="1662" t="s">
        <v>2635</v>
      </c>
      <c r="H176" s="1662" t="s">
        <v>2644</v>
      </c>
      <c r="I176" s="1662" t="s">
        <v>2645</v>
      </c>
      <c r="J176" s="1662" t="s">
        <v>1637</v>
      </c>
      <c r="K176" s="1664">
        <v>43159</v>
      </c>
      <c r="L176" s="1664">
        <v>43237</v>
      </c>
      <c r="M176" s="1662" t="s">
        <v>1785</v>
      </c>
      <c r="N176" s="1662" t="s">
        <v>2109</v>
      </c>
      <c r="O176" s="1662" t="s">
        <v>3384</v>
      </c>
      <c r="P176" s="1662" t="s">
        <v>2833</v>
      </c>
      <c r="Q176" s="1662" t="s">
        <v>1755</v>
      </c>
      <c r="R176" s="1662" t="s">
        <v>2833</v>
      </c>
      <c r="S176" s="1662" t="s">
        <v>2833</v>
      </c>
      <c r="T176" s="1662" t="s">
        <v>2861</v>
      </c>
      <c r="U176" s="1662" t="s">
        <v>2834</v>
      </c>
      <c r="V176" s="1662" t="s">
        <v>2833</v>
      </c>
      <c r="W176" s="1662" t="s">
        <v>2833</v>
      </c>
      <c r="X176" s="1662" t="s">
        <v>2833</v>
      </c>
      <c r="Y176" s="1662" t="s">
        <v>2833</v>
      </c>
      <c r="Z176" s="1662" t="s">
        <v>2833</v>
      </c>
      <c r="AA176" s="1662" t="s">
        <v>2833</v>
      </c>
      <c r="AB176" s="1662" t="s">
        <v>2833</v>
      </c>
      <c r="AC176" s="1662" t="s">
        <v>2833</v>
      </c>
      <c r="AD176" s="1662" t="s">
        <v>2833</v>
      </c>
      <c r="AE176" s="1662"/>
      <c r="AF176" s="1662" t="s">
        <v>3103</v>
      </c>
      <c r="AG176" s="1662" t="s">
        <v>3068</v>
      </c>
      <c r="AH176" s="1662" t="s">
        <v>3031</v>
      </c>
      <c r="AI176" s="1662" t="s">
        <v>2838</v>
      </c>
      <c r="AJ176" s="1662" t="s">
        <v>2839</v>
      </c>
      <c r="AK176" s="1662" t="s">
        <v>3373</v>
      </c>
      <c r="AL176" s="1662" t="s">
        <v>3374</v>
      </c>
      <c r="AM176" s="1665">
        <v>100</v>
      </c>
      <c r="AN176" s="1662"/>
      <c r="AO176" s="1662"/>
      <c r="AP176" s="1662"/>
      <c r="AQ176" s="1662"/>
      <c r="AR176" s="1662"/>
      <c r="AS176" s="1662"/>
      <c r="AT176" s="1662" t="s">
        <v>2870</v>
      </c>
      <c r="AU176" s="1662" t="s">
        <v>2842</v>
      </c>
      <c r="AV176" s="1662" t="s">
        <v>3375</v>
      </c>
      <c r="AW176" s="1662" t="s">
        <v>3160</v>
      </c>
      <c r="AX176" s="1662" t="s">
        <v>3133</v>
      </c>
      <c r="AY176" s="1662" t="s">
        <v>2874</v>
      </c>
      <c r="AZ176" s="1662" t="s">
        <v>350</v>
      </c>
      <c r="BA176" s="1662" t="s">
        <v>2875</v>
      </c>
      <c r="BB176" s="1662" t="s">
        <v>2833</v>
      </c>
      <c r="BC176" s="1662" t="s">
        <v>2876</v>
      </c>
      <c r="BD176" s="1662" t="s">
        <v>2849</v>
      </c>
      <c r="BE176" s="1662" t="s">
        <v>2995</v>
      </c>
      <c r="BF176" s="1662" t="s">
        <v>3385</v>
      </c>
      <c r="BG176" s="1662" t="s">
        <v>3019</v>
      </c>
      <c r="BH176" s="1662" t="s">
        <v>2880</v>
      </c>
      <c r="BI176" s="1662" t="s">
        <v>2881</v>
      </c>
      <c r="BJ176" s="1662" t="s">
        <v>2882</v>
      </c>
      <c r="BK176" s="1662" t="s">
        <v>2870</v>
      </c>
      <c r="BL176" s="1662" t="s">
        <v>2861</v>
      </c>
      <c r="BM176" s="1662" t="s">
        <v>2833</v>
      </c>
      <c r="BN176" s="1665">
        <v>0</v>
      </c>
      <c r="BO176" s="1664">
        <v>42824</v>
      </c>
      <c r="BP176" s="1664">
        <v>44152</v>
      </c>
      <c r="BQ176" s="1662" t="s">
        <v>2855</v>
      </c>
      <c r="BR176" s="1664">
        <v>47483</v>
      </c>
      <c r="BS176" s="1662" t="s">
        <v>3185</v>
      </c>
      <c r="BT176" s="1662" t="s">
        <v>3386</v>
      </c>
      <c r="BU176" s="1665">
        <v>16</v>
      </c>
      <c r="BV176" s="1665">
        <v>29334.27</v>
      </c>
      <c r="BW176" s="1664">
        <v>44213</v>
      </c>
      <c r="BX176" s="1668"/>
      <c r="BY176" s="1662" t="s">
        <v>2096</v>
      </c>
      <c r="BZ176" s="1662" t="s">
        <v>2858</v>
      </c>
      <c r="CA176" s="1662" t="s">
        <v>2858</v>
      </c>
      <c r="CB176" s="1662" t="s">
        <v>2859</v>
      </c>
      <c r="CC176" s="1662" t="s">
        <v>2885</v>
      </c>
      <c r="CD176" s="1724">
        <v>215693.16</v>
      </c>
      <c r="CE176" s="1724">
        <v>215693.16</v>
      </c>
      <c r="CF176" s="1724">
        <v>183339.18</v>
      </c>
      <c r="CG176" s="1724">
        <v>85</v>
      </c>
      <c r="CH176" s="1724">
        <v>32353.98</v>
      </c>
      <c r="CI176" s="1724">
        <v>15</v>
      </c>
      <c r="CJ176" s="1724">
        <v>215693.16</v>
      </c>
      <c r="CK176" s="1724">
        <v>100</v>
      </c>
      <c r="CL176" s="1725" t="s">
        <v>2861</v>
      </c>
      <c r="CM176" s="1729">
        <v>43208</v>
      </c>
      <c r="CN176" s="1727"/>
      <c r="CO176" s="1728"/>
      <c r="CP176" s="1726"/>
      <c r="CQ176" s="1724">
        <v>183339.18</v>
      </c>
      <c r="CR176" s="1724">
        <v>183339.18</v>
      </c>
      <c r="CS176" s="1724">
        <v>0</v>
      </c>
      <c r="CT176" s="1728" t="s">
        <v>2861</v>
      </c>
      <c r="CU176" s="1729">
        <v>43217</v>
      </c>
      <c r="CV176" s="1724">
        <v>215693.16</v>
      </c>
      <c r="CW176" s="1724">
        <v>0</v>
      </c>
      <c r="CX176" s="1724">
        <v>0</v>
      </c>
      <c r="CY176" s="1724">
        <v>0</v>
      </c>
      <c r="CZ176" s="1724">
        <v>0</v>
      </c>
      <c r="DA176" s="1724">
        <v>195693.16</v>
      </c>
      <c r="DB176" s="1724">
        <v>0</v>
      </c>
      <c r="DC176" s="1724">
        <v>20000</v>
      </c>
      <c r="DD176" s="1724">
        <v>215693.16</v>
      </c>
      <c r="DE176" s="1724">
        <v>183339.18</v>
      </c>
      <c r="DF176" s="1724">
        <v>183339.18</v>
      </c>
      <c r="DG176" s="1724">
        <v>0</v>
      </c>
      <c r="DH176" s="1724">
        <v>32353.98</v>
      </c>
      <c r="DI176" s="1724">
        <v>32353.98</v>
      </c>
      <c r="DJ176" s="1724">
        <v>0</v>
      </c>
      <c r="DK176" s="1724">
        <v>32353.98</v>
      </c>
      <c r="DL176" s="1724">
        <v>0</v>
      </c>
      <c r="DM176" s="1724">
        <v>0</v>
      </c>
      <c r="DN176" s="1724">
        <v>0</v>
      </c>
      <c r="DO176" s="1724">
        <v>0</v>
      </c>
      <c r="DP176" s="1724">
        <v>0</v>
      </c>
      <c r="DQ176" s="1728" t="s">
        <v>2886</v>
      </c>
      <c r="DR176" s="1724">
        <v>0</v>
      </c>
      <c r="DS176" s="1728" t="s">
        <v>2833</v>
      </c>
      <c r="DT176" s="1726"/>
      <c r="DU176" s="1728" t="s">
        <v>2833</v>
      </c>
      <c r="DV176" s="1726"/>
    </row>
    <row r="177" ht="409.6" hidden="1" customHeight="1" x14ac:dyDescent="0.25"/>
    <row r="178" ht="409.6" hidden="1" customHeight="1" x14ac:dyDescent="0.25"/>
  </sheetData>
  <autoFilter ref="A18:DV176"/>
  <mergeCells count="340">
    <mergeCell ref="A1:M1"/>
    <mergeCell ref="A3:M3"/>
    <mergeCell ref="A5:E5"/>
    <mergeCell ref="F5:M5"/>
    <mergeCell ref="A6:E6"/>
    <mergeCell ref="F6:M6"/>
    <mergeCell ref="A7:E7"/>
    <mergeCell ref="F7:M7"/>
    <mergeCell ref="A9:A11"/>
    <mergeCell ref="B9:B11"/>
    <mergeCell ref="C9:C11"/>
    <mergeCell ref="D9:D11"/>
    <mergeCell ref="E9:E11"/>
    <mergeCell ref="F9:F11"/>
    <mergeCell ref="G9:G11"/>
    <mergeCell ref="H9:H11"/>
    <mergeCell ref="O9:O11"/>
    <mergeCell ref="P9:P11"/>
    <mergeCell ref="Q9:Q11"/>
    <mergeCell ref="R9:R11"/>
    <mergeCell ref="S9:S11"/>
    <mergeCell ref="T9:T11"/>
    <mergeCell ref="I9:I11"/>
    <mergeCell ref="J9:J11"/>
    <mergeCell ref="K9:K11"/>
    <mergeCell ref="L9:L11"/>
    <mergeCell ref="M9:M11"/>
    <mergeCell ref="N9:N11"/>
    <mergeCell ref="AB9:AB11"/>
    <mergeCell ref="AC9:AC11"/>
    <mergeCell ref="AD9:AD11"/>
    <mergeCell ref="AE9:AE11"/>
    <mergeCell ref="AF9:AF11"/>
    <mergeCell ref="AG9:AG11"/>
    <mergeCell ref="U9:U11"/>
    <mergeCell ref="V9:V11"/>
    <mergeCell ref="W9:W11"/>
    <mergeCell ref="X9:X11"/>
    <mergeCell ref="Y9:Y11"/>
    <mergeCell ref="Z9:AA11"/>
    <mergeCell ref="AU9:AU11"/>
    <mergeCell ref="AV9:AV11"/>
    <mergeCell ref="AW9:AW11"/>
    <mergeCell ref="AX9:AX11"/>
    <mergeCell ref="AY9:AY11"/>
    <mergeCell ref="AZ9:AZ11"/>
    <mergeCell ref="AH9:AH11"/>
    <mergeCell ref="AI9:AJ11"/>
    <mergeCell ref="AK9:AK11"/>
    <mergeCell ref="AL9:AL11"/>
    <mergeCell ref="AM9:AS11"/>
    <mergeCell ref="AT9:AT11"/>
    <mergeCell ref="BI9:BI11"/>
    <mergeCell ref="BJ9:BJ11"/>
    <mergeCell ref="BK9:BK11"/>
    <mergeCell ref="BL9:BL11"/>
    <mergeCell ref="BM9:BM11"/>
    <mergeCell ref="BN9:BN11"/>
    <mergeCell ref="BA9:BA11"/>
    <mergeCell ref="BB9:BB11"/>
    <mergeCell ref="BC9:BC11"/>
    <mergeCell ref="BD9:BD11"/>
    <mergeCell ref="BE9:BG11"/>
    <mergeCell ref="BH9:BH11"/>
    <mergeCell ref="BW9:BW11"/>
    <mergeCell ref="BX9:BX11"/>
    <mergeCell ref="BY9:BY11"/>
    <mergeCell ref="BZ9:BZ11"/>
    <mergeCell ref="BO9:BO11"/>
    <mergeCell ref="BP9:BP11"/>
    <mergeCell ref="BQ9:BQ11"/>
    <mergeCell ref="BR9:BR11"/>
    <mergeCell ref="BS9:BS11"/>
    <mergeCell ref="BT9:BT11"/>
    <mergeCell ref="DD9:DD11"/>
    <mergeCell ref="DE9:DP11"/>
    <mergeCell ref="DQ9:DQ11"/>
    <mergeCell ref="DR9:DR11"/>
    <mergeCell ref="DS9:DT11"/>
    <mergeCell ref="DU9:DV11"/>
    <mergeCell ref="CA9:CA11"/>
    <mergeCell ref="CB9:CB11"/>
    <mergeCell ref="CC9:CC11"/>
    <mergeCell ref="CD9:CU9"/>
    <mergeCell ref="CV9:CV11"/>
    <mergeCell ref="CW9:DC11"/>
    <mergeCell ref="CD10:CM10"/>
    <mergeCell ref="CN10:CP10"/>
    <mergeCell ref="CQ10:CU10"/>
    <mergeCell ref="CD11:CK12"/>
    <mergeCell ref="DC12:DC15"/>
    <mergeCell ref="DD12:DD15"/>
    <mergeCell ref="DE12:DE15"/>
    <mergeCell ref="DF12:DF15"/>
    <mergeCell ref="CC12:CC15"/>
    <mergeCell ref="CV12:CV15"/>
    <mergeCell ref="CW12:CW15"/>
    <mergeCell ref="CX12:CX15"/>
    <mergeCell ref="I12:I15"/>
    <mergeCell ref="J12:J15"/>
    <mergeCell ref="K12:K15"/>
    <mergeCell ref="L12:L15"/>
    <mergeCell ref="M12:M15"/>
    <mergeCell ref="N12:N15"/>
    <mergeCell ref="CT11:CT12"/>
    <mergeCell ref="CU11:CU12"/>
    <mergeCell ref="A12:A15"/>
    <mergeCell ref="B12:B15"/>
    <mergeCell ref="C12:C15"/>
    <mergeCell ref="D12:D15"/>
    <mergeCell ref="E12:E15"/>
    <mergeCell ref="F12:F15"/>
    <mergeCell ref="G12:G15"/>
    <mergeCell ref="H12:H15"/>
    <mergeCell ref="CL11:CL12"/>
    <mergeCell ref="CM11:CM12"/>
    <mergeCell ref="CN11:CN12"/>
    <mergeCell ref="CO11:CO12"/>
    <mergeCell ref="CP11:CP12"/>
    <mergeCell ref="CQ11:CS12"/>
    <mergeCell ref="BU9:BU11"/>
    <mergeCell ref="BV9:BV11"/>
    <mergeCell ref="U12:U15"/>
    <mergeCell ref="V12:V15"/>
    <mergeCell ref="W12:W15"/>
    <mergeCell ref="X12:X15"/>
    <mergeCell ref="Y12:Y15"/>
    <mergeCell ref="Z12:Z15"/>
    <mergeCell ref="O12:O15"/>
    <mergeCell ref="P12:P15"/>
    <mergeCell ref="Q12:Q15"/>
    <mergeCell ref="R12:R15"/>
    <mergeCell ref="S12:S15"/>
    <mergeCell ref="T12:T15"/>
    <mergeCell ref="AG12:AG15"/>
    <mergeCell ref="AH12:AH15"/>
    <mergeCell ref="AI12:AI15"/>
    <mergeCell ref="AJ12:AJ15"/>
    <mergeCell ref="AK12:AK15"/>
    <mergeCell ref="AL12:AL15"/>
    <mergeCell ref="AA12:AA15"/>
    <mergeCell ref="AB12:AB15"/>
    <mergeCell ref="AC12:AC15"/>
    <mergeCell ref="AD12:AD15"/>
    <mergeCell ref="AE12:AE15"/>
    <mergeCell ref="AF12:AF15"/>
    <mergeCell ref="AS12:AS15"/>
    <mergeCell ref="AT12:AT15"/>
    <mergeCell ref="AU12:AU15"/>
    <mergeCell ref="AV12:AV15"/>
    <mergeCell ref="AW12:AW15"/>
    <mergeCell ref="AX12:AX15"/>
    <mergeCell ref="AM12:AM15"/>
    <mergeCell ref="AN12:AN15"/>
    <mergeCell ref="AO12:AO15"/>
    <mergeCell ref="AP12:AP15"/>
    <mergeCell ref="AQ12:AQ15"/>
    <mergeCell ref="AR12:AR15"/>
    <mergeCell ref="BE12:BE15"/>
    <mergeCell ref="BF12:BF15"/>
    <mergeCell ref="BG12:BG15"/>
    <mergeCell ref="BH12:BH15"/>
    <mergeCell ref="BI12:BI15"/>
    <mergeCell ref="BJ12:BJ15"/>
    <mergeCell ref="AY12:AY15"/>
    <mergeCell ref="AZ12:AZ15"/>
    <mergeCell ref="BA12:BA15"/>
    <mergeCell ref="BB12:BB15"/>
    <mergeCell ref="BC12:BC15"/>
    <mergeCell ref="BD12:BD15"/>
    <mergeCell ref="BQ12:BQ15"/>
    <mergeCell ref="BR12:BR15"/>
    <mergeCell ref="BS12:BS15"/>
    <mergeCell ref="BT12:BT15"/>
    <mergeCell ref="BU12:BU15"/>
    <mergeCell ref="BV12:BV15"/>
    <mergeCell ref="BK12:BK15"/>
    <mergeCell ref="BL12:BL15"/>
    <mergeCell ref="BM12:BM15"/>
    <mergeCell ref="BN12:BN15"/>
    <mergeCell ref="BO12:BO15"/>
    <mergeCell ref="BP12:BP15"/>
    <mergeCell ref="DA16:DA17"/>
    <mergeCell ref="DB16:DB17"/>
    <mergeCell ref="DC16:DC17"/>
    <mergeCell ref="DD16:DD17"/>
    <mergeCell ref="DE16:DE17"/>
    <mergeCell ref="DF16:DF17"/>
    <mergeCell ref="DS16:DS17"/>
    <mergeCell ref="DT16:DT17"/>
    <mergeCell ref="DU16:DU17"/>
    <mergeCell ref="DS12:DS15"/>
    <mergeCell ref="DT12:DT15"/>
    <mergeCell ref="DU12:DU15"/>
    <mergeCell ref="DG16:DG17"/>
    <mergeCell ref="DH16:DH17"/>
    <mergeCell ref="DI16:DI17"/>
    <mergeCell ref="DJ16:DJ17"/>
    <mergeCell ref="DK16:DK17"/>
    <mergeCell ref="DL16:DL17"/>
    <mergeCell ref="DH12:DH15"/>
    <mergeCell ref="DI12:DI15"/>
    <mergeCell ref="DJ12:DJ15"/>
    <mergeCell ref="DK12:DK15"/>
    <mergeCell ref="DL12:DL15"/>
    <mergeCell ref="DA12:DA15"/>
    <mergeCell ref="DB12:DB15"/>
    <mergeCell ref="CY12:CY15"/>
    <mergeCell ref="CZ12:CZ15"/>
    <mergeCell ref="I16:I17"/>
    <mergeCell ref="J16:J17"/>
    <mergeCell ref="K16:K17"/>
    <mergeCell ref="L16:L17"/>
    <mergeCell ref="M16:M17"/>
    <mergeCell ref="N16:N17"/>
    <mergeCell ref="CT15:CT16"/>
    <mergeCell ref="CU15:CU16"/>
    <mergeCell ref="CO15:CO16"/>
    <mergeCell ref="CP15:CP16"/>
    <mergeCell ref="CQ15:CQ16"/>
    <mergeCell ref="CR15:CR16"/>
    <mergeCell ref="CS15:CS16"/>
    <mergeCell ref="AH16:AH17"/>
    <mergeCell ref="AI16:AI17"/>
    <mergeCell ref="AJ16:AJ17"/>
    <mergeCell ref="AK16:AK17"/>
    <mergeCell ref="AL16:AL17"/>
    <mergeCell ref="AA16:AA17"/>
    <mergeCell ref="AB16:AB17"/>
    <mergeCell ref="A16:A17"/>
    <mergeCell ref="B16:B17"/>
    <mergeCell ref="C16:C17"/>
    <mergeCell ref="D16:D17"/>
    <mergeCell ref="E16:E17"/>
    <mergeCell ref="F16:F17"/>
    <mergeCell ref="G16:G17"/>
    <mergeCell ref="H16:H17"/>
    <mergeCell ref="CN15:CN16"/>
    <mergeCell ref="CH15:CH16"/>
    <mergeCell ref="CI15:CI16"/>
    <mergeCell ref="U16:U17"/>
    <mergeCell ref="V16:V17"/>
    <mergeCell ref="W16:W17"/>
    <mergeCell ref="X16:X17"/>
    <mergeCell ref="Y16:Y17"/>
    <mergeCell ref="Z16:Z17"/>
    <mergeCell ref="O16:O17"/>
    <mergeCell ref="P16:P17"/>
    <mergeCell ref="Q16:Q17"/>
    <mergeCell ref="R16:R17"/>
    <mergeCell ref="S16:S17"/>
    <mergeCell ref="T16:T17"/>
    <mergeCell ref="AG16:AG17"/>
    <mergeCell ref="AC16:AC17"/>
    <mergeCell ref="AD16:AD17"/>
    <mergeCell ref="AE16:AE17"/>
    <mergeCell ref="AF16:AF17"/>
    <mergeCell ref="AS16:AS17"/>
    <mergeCell ref="AT16:AT17"/>
    <mergeCell ref="AU16:AU17"/>
    <mergeCell ref="AV16:AV17"/>
    <mergeCell ref="AW16:AW17"/>
    <mergeCell ref="AX16:AX17"/>
    <mergeCell ref="AM16:AM17"/>
    <mergeCell ref="AN16:AN17"/>
    <mergeCell ref="AO16:AO17"/>
    <mergeCell ref="AP16:AP17"/>
    <mergeCell ref="AQ16:AQ17"/>
    <mergeCell ref="AR16:AR17"/>
    <mergeCell ref="BE16:BE17"/>
    <mergeCell ref="BF16:BF17"/>
    <mergeCell ref="BG16:BG17"/>
    <mergeCell ref="BH16:BH17"/>
    <mergeCell ref="BI16:BI17"/>
    <mergeCell ref="BJ16:BJ17"/>
    <mergeCell ref="AY16:AY17"/>
    <mergeCell ref="AZ16:AZ17"/>
    <mergeCell ref="BA16:BA17"/>
    <mergeCell ref="BB16:BB17"/>
    <mergeCell ref="BC16:BC17"/>
    <mergeCell ref="BD16:BD17"/>
    <mergeCell ref="BQ16:BQ17"/>
    <mergeCell ref="BR16:BR17"/>
    <mergeCell ref="BS16:BS17"/>
    <mergeCell ref="BT16:BT17"/>
    <mergeCell ref="BU16:BU17"/>
    <mergeCell ref="BV16:BV17"/>
    <mergeCell ref="BK16:BK17"/>
    <mergeCell ref="BL16:BL17"/>
    <mergeCell ref="BM16:BM17"/>
    <mergeCell ref="BN16:BN17"/>
    <mergeCell ref="BO16:BO17"/>
    <mergeCell ref="BP16:BP17"/>
    <mergeCell ref="BW16:BW17"/>
    <mergeCell ref="BX16:BX17"/>
    <mergeCell ref="BY16:BY17"/>
    <mergeCell ref="BZ16:BZ17"/>
    <mergeCell ref="CA16:CA17"/>
    <mergeCell ref="CB16:CB17"/>
    <mergeCell ref="CJ15:CJ16"/>
    <mergeCell ref="CK15:CK16"/>
    <mergeCell ref="CL15:CL16"/>
    <mergeCell ref="BW12:BW15"/>
    <mergeCell ref="BX12:BX15"/>
    <mergeCell ref="BY12:BY15"/>
    <mergeCell ref="BZ12:BZ15"/>
    <mergeCell ref="CA12:CA15"/>
    <mergeCell ref="CB12:CB15"/>
    <mergeCell ref="CE13:CI13"/>
    <mergeCell ref="CJ13:CK13"/>
    <mergeCell ref="CF14:CI14"/>
    <mergeCell ref="CJ14:CK14"/>
    <mergeCell ref="CD15:CD16"/>
    <mergeCell ref="CE15:CE16"/>
    <mergeCell ref="CF15:CF16"/>
    <mergeCell ref="CG15:CG16"/>
    <mergeCell ref="DV16:DV17"/>
    <mergeCell ref="DM16:DM17"/>
    <mergeCell ref="DN16:DN17"/>
    <mergeCell ref="DO16:DO17"/>
    <mergeCell ref="DP16:DP17"/>
    <mergeCell ref="DQ16:DQ17"/>
    <mergeCell ref="DR16:DR17"/>
    <mergeCell ref="CC16:CC17"/>
    <mergeCell ref="CV16:CV17"/>
    <mergeCell ref="CW16:CW17"/>
    <mergeCell ref="CX16:CX17"/>
    <mergeCell ref="CY16:CY17"/>
    <mergeCell ref="CZ16:CZ17"/>
    <mergeCell ref="CM15:CM16"/>
    <mergeCell ref="DV12:DV15"/>
    <mergeCell ref="CR13:CS13"/>
    <mergeCell ref="CR14:CS14"/>
    <mergeCell ref="DM12:DM15"/>
    <mergeCell ref="DN12:DN15"/>
    <mergeCell ref="DO12:DO15"/>
    <mergeCell ref="DP12:DP15"/>
    <mergeCell ref="DQ12:DQ15"/>
    <mergeCell ref="DR12:DR15"/>
    <mergeCell ref="DG12:DG1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128"/>
  <sheetViews>
    <sheetView workbookViewId="0">
      <selection activeCell="G134" sqref="G134"/>
    </sheetView>
  </sheetViews>
  <sheetFormatPr defaultRowHeight="15" x14ac:dyDescent="0.25"/>
  <cols>
    <col min="1" max="1" width="32.5703125" customWidth="1"/>
    <col min="2" max="2" width="32" customWidth="1"/>
    <col min="3" max="3" width="20.28515625" customWidth="1"/>
    <col min="4" max="4" width="0" hidden="1" customWidth="1"/>
    <col min="5" max="5" width="19.42578125" customWidth="1"/>
    <col min="6" max="6" width="13.5703125" customWidth="1"/>
    <col min="7" max="7" width="36.5703125" customWidth="1"/>
    <col min="8" max="8" width="17" customWidth="1"/>
    <col min="9" max="9" width="18" customWidth="1"/>
    <col min="10" max="10" width="17.28515625" customWidth="1"/>
    <col min="11" max="11" width="27.140625" customWidth="1"/>
    <col min="12" max="12" width="21.5703125" customWidth="1"/>
    <col min="13" max="13" width="19.28515625" customWidth="1"/>
    <col min="14" max="14" width="19.7109375" customWidth="1"/>
    <col min="15" max="15" width="24.5703125" customWidth="1"/>
    <col min="16" max="16" width="23.7109375" customWidth="1"/>
    <col min="257" max="257" width="32.5703125" customWidth="1"/>
    <col min="258" max="258" width="32" customWidth="1"/>
    <col min="259" max="259" width="20.28515625" customWidth="1"/>
    <col min="260" max="260" width="0" hidden="1" customWidth="1"/>
    <col min="261" max="261" width="19.42578125" customWidth="1"/>
    <col min="262" max="262" width="13.5703125" customWidth="1"/>
    <col min="263" max="263" width="36.5703125" customWidth="1"/>
    <col min="264" max="264" width="15.140625" customWidth="1"/>
    <col min="265" max="265" width="18" customWidth="1"/>
    <col min="266" max="266" width="17.28515625" customWidth="1"/>
    <col min="267" max="267" width="27.140625" customWidth="1"/>
    <col min="268" max="268" width="21.5703125" customWidth="1"/>
    <col min="269" max="269" width="19.28515625" customWidth="1"/>
    <col min="270" max="270" width="19.7109375" customWidth="1"/>
    <col min="271" max="271" width="24.5703125" customWidth="1"/>
    <col min="272" max="272" width="23.7109375" customWidth="1"/>
    <col min="513" max="513" width="32.5703125" customWidth="1"/>
    <col min="514" max="514" width="32" customWidth="1"/>
    <col min="515" max="515" width="20.28515625" customWidth="1"/>
    <col min="516" max="516" width="0" hidden="1" customWidth="1"/>
    <col min="517" max="517" width="19.42578125" customWidth="1"/>
    <col min="518" max="518" width="13.5703125" customWidth="1"/>
    <col min="519" max="519" width="36.5703125" customWidth="1"/>
    <col min="520" max="520" width="15.140625" customWidth="1"/>
    <col min="521" max="521" width="18" customWidth="1"/>
    <col min="522" max="522" width="17.28515625" customWidth="1"/>
    <col min="523" max="523" width="27.140625" customWidth="1"/>
    <col min="524" max="524" width="21.5703125" customWidth="1"/>
    <col min="525" max="525" width="19.28515625" customWidth="1"/>
    <col min="526" max="526" width="19.7109375" customWidth="1"/>
    <col min="527" max="527" width="24.5703125" customWidth="1"/>
    <col min="528" max="528" width="23.7109375" customWidth="1"/>
    <col min="769" max="769" width="32.5703125" customWidth="1"/>
    <col min="770" max="770" width="32" customWidth="1"/>
    <col min="771" max="771" width="20.28515625" customWidth="1"/>
    <col min="772" max="772" width="0" hidden="1" customWidth="1"/>
    <col min="773" max="773" width="19.42578125" customWidth="1"/>
    <col min="774" max="774" width="13.5703125" customWidth="1"/>
    <col min="775" max="775" width="36.5703125" customWidth="1"/>
    <col min="776" max="776" width="15.140625" customWidth="1"/>
    <col min="777" max="777" width="18" customWidth="1"/>
    <col min="778" max="778" width="17.28515625" customWidth="1"/>
    <col min="779" max="779" width="27.140625" customWidth="1"/>
    <col min="780" max="780" width="21.5703125" customWidth="1"/>
    <col min="781" max="781" width="19.28515625" customWidth="1"/>
    <col min="782" max="782" width="19.7109375" customWidth="1"/>
    <col min="783" max="783" width="24.5703125" customWidth="1"/>
    <col min="784" max="784" width="23.7109375" customWidth="1"/>
    <col min="1025" max="1025" width="32.5703125" customWidth="1"/>
    <col min="1026" max="1026" width="32" customWidth="1"/>
    <col min="1027" max="1027" width="20.28515625" customWidth="1"/>
    <col min="1028" max="1028" width="0" hidden="1" customWidth="1"/>
    <col min="1029" max="1029" width="19.42578125" customWidth="1"/>
    <col min="1030" max="1030" width="13.5703125" customWidth="1"/>
    <col min="1031" max="1031" width="36.5703125" customWidth="1"/>
    <col min="1032" max="1032" width="15.140625" customWidth="1"/>
    <col min="1033" max="1033" width="18" customWidth="1"/>
    <col min="1034" max="1034" width="17.28515625" customWidth="1"/>
    <col min="1035" max="1035" width="27.140625" customWidth="1"/>
    <col min="1036" max="1036" width="21.5703125" customWidth="1"/>
    <col min="1037" max="1037" width="19.28515625" customWidth="1"/>
    <col min="1038" max="1038" width="19.7109375" customWidth="1"/>
    <col min="1039" max="1039" width="24.5703125" customWidth="1"/>
    <col min="1040" max="1040" width="23.7109375" customWidth="1"/>
    <col min="1281" max="1281" width="32.5703125" customWidth="1"/>
    <col min="1282" max="1282" width="32" customWidth="1"/>
    <col min="1283" max="1283" width="20.28515625" customWidth="1"/>
    <col min="1284" max="1284" width="0" hidden="1" customWidth="1"/>
    <col min="1285" max="1285" width="19.42578125" customWidth="1"/>
    <col min="1286" max="1286" width="13.5703125" customWidth="1"/>
    <col min="1287" max="1287" width="36.5703125" customWidth="1"/>
    <col min="1288" max="1288" width="15.140625" customWidth="1"/>
    <col min="1289" max="1289" width="18" customWidth="1"/>
    <col min="1290" max="1290" width="17.28515625" customWidth="1"/>
    <col min="1291" max="1291" width="27.140625" customWidth="1"/>
    <col min="1292" max="1292" width="21.5703125" customWidth="1"/>
    <col min="1293" max="1293" width="19.28515625" customWidth="1"/>
    <col min="1294" max="1294" width="19.7109375" customWidth="1"/>
    <col min="1295" max="1295" width="24.5703125" customWidth="1"/>
    <col min="1296" max="1296" width="23.7109375" customWidth="1"/>
    <col min="1537" max="1537" width="32.5703125" customWidth="1"/>
    <col min="1538" max="1538" width="32" customWidth="1"/>
    <col min="1539" max="1539" width="20.28515625" customWidth="1"/>
    <col min="1540" max="1540" width="0" hidden="1" customWidth="1"/>
    <col min="1541" max="1541" width="19.42578125" customWidth="1"/>
    <col min="1542" max="1542" width="13.5703125" customWidth="1"/>
    <col min="1543" max="1543" width="36.5703125" customWidth="1"/>
    <col min="1544" max="1544" width="15.140625" customWidth="1"/>
    <col min="1545" max="1545" width="18" customWidth="1"/>
    <col min="1546" max="1546" width="17.28515625" customWidth="1"/>
    <col min="1547" max="1547" width="27.140625" customWidth="1"/>
    <col min="1548" max="1548" width="21.5703125" customWidth="1"/>
    <col min="1549" max="1549" width="19.28515625" customWidth="1"/>
    <col min="1550" max="1550" width="19.7109375" customWidth="1"/>
    <col min="1551" max="1551" width="24.5703125" customWidth="1"/>
    <col min="1552" max="1552" width="23.7109375" customWidth="1"/>
    <col min="1793" max="1793" width="32.5703125" customWidth="1"/>
    <col min="1794" max="1794" width="32" customWidth="1"/>
    <col min="1795" max="1795" width="20.28515625" customWidth="1"/>
    <col min="1796" max="1796" width="0" hidden="1" customWidth="1"/>
    <col min="1797" max="1797" width="19.42578125" customWidth="1"/>
    <col min="1798" max="1798" width="13.5703125" customWidth="1"/>
    <col min="1799" max="1799" width="36.5703125" customWidth="1"/>
    <col min="1800" max="1800" width="15.140625" customWidth="1"/>
    <col min="1801" max="1801" width="18" customWidth="1"/>
    <col min="1802" max="1802" width="17.28515625" customWidth="1"/>
    <col min="1803" max="1803" width="27.140625" customWidth="1"/>
    <col min="1804" max="1804" width="21.5703125" customWidth="1"/>
    <col min="1805" max="1805" width="19.28515625" customWidth="1"/>
    <col min="1806" max="1806" width="19.7109375" customWidth="1"/>
    <col min="1807" max="1807" width="24.5703125" customWidth="1"/>
    <col min="1808" max="1808" width="23.7109375" customWidth="1"/>
    <col min="2049" max="2049" width="32.5703125" customWidth="1"/>
    <col min="2050" max="2050" width="32" customWidth="1"/>
    <col min="2051" max="2051" width="20.28515625" customWidth="1"/>
    <col min="2052" max="2052" width="0" hidden="1" customWidth="1"/>
    <col min="2053" max="2053" width="19.42578125" customWidth="1"/>
    <col min="2054" max="2054" width="13.5703125" customWidth="1"/>
    <col min="2055" max="2055" width="36.5703125" customWidth="1"/>
    <col min="2056" max="2056" width="15.140625" customWidth="1"/>
    <col min="2057" max="2057" width="18" customWidth="1"/>
    <col min="2058" max="2058" width="17.28515625" customWidth="1"/>
    <col min="2059" max="2059" width="27.140625" customWidth="1"/>
    <col min="2060" max="2060" width="21.5703125" customWidth="1"/>
    <col min="2061" max="2061" width="19.28515625" customWidth="1"/>
    <col min="2062" max="2062" width="19.7109375" customWidth="1"/>
    <col min="2063" max="2063" width="24.5703125" customWidth="1"/>
    <col min="2064" max="2064" width="23.7109375" customWidth="1"/>
    <col min="2305" max="2305" width="32.5703125" customWidth="1"/>
    <col min="2306" max="2306" width="32" customWidth="1"/>
    <col min="2307" max="2307" width="20.28515625" customWidth="1"/>
    <col min="2308" max="2308" width="0" hidden="1" customWidth="1"/>
    <col min="2309" max="2309" width="19.42578125" customWidth="1"/>
    <col min="2310" max="2310" width="13.5703125" customWidth="1"/>
    <col min="2311" max="2311" width="36.5703125" customWidth="1"/>
    <col min="2312" max="2312" width="15.140625" customWidth="1"/>
    <col min="2313" max="2313" width="18" customWidth="1"/>
    <col min="2314" max="2314" width="17.28515625" customWidth="1"/>
    <col min="2315" max="2315" width="27.140625" customWidth="1"/>
    <col min="2316" max="2316" width="21.5703125" customWidth="1"/>
    <col min="2317" max="2317" width="19.28515625" customWidth="1"/>
    <col min="2318" max="2318" width="19.7109375" customWidth="1"/>
    <col min="2319" max="2319" width="24.5703125" customWidth="1"/>
    <col min="2320" max="2320" width="23.7109375" customWidth="1"/>
    <col min="2561" max="2561" width="32.5703125" customWidth="1"/>
    <col min="2562" max="2562" width="32" customWidth="1"/>
    <col min="2563" max="2563" width="20.28515625" customWidth="1"/>
    <col min="2564" max="2564" width="0" hidden="1" customWidth="1"/>
    <col min="2565" max="2565" width="19.42578125" customWidth="1"/>
    <col min="2566" max="2566" width="13.5703125" customWidth="1"/>
    <col min="2567" max="2567" width="36.5703125" customWidth="1"/>
    <col min="2568" max="2568" width="15.140625" customWidth="1"/>
    <col min="2569" max="2569" width="18" customWidth="1"/>
    <col min="2570" max="2570" width="17.28515625" customWidth="1"/>
    <col min="2571" max="2571" width="27.140625" customWidth="1"/>
    <col min="2572" max="2572" width="21.5703125" customWidth="1"/>
    <col min="2573" max="2573" width="19.28515625" customWidth="1"/>
    <col min="2574" max="2574" width="19.7109375" customWidth="1"/>
    <col min="2575" max="2575" width="24.5703125" customWidth="1"/>
    <col min="2576" max="2576" width="23.7109375" customWidth="1"/>
    <col min="2817" max="2817" width="32.5703125" customWidth="1"/>
    <col min="2818" max="2818" width="32" customWidth="1"/>
    <col min="2819" max="2819" width="20.28515625" customWidth="1"/>
    <col min="2820" max="2820" width="0" hidden="1" customWidth="1"/>
    <col min="2821" max="2821" width="19.42578125" customWidth="1"/>
    <col min="2822" max="2822" width="13.5703125" customWidth="1"/>
    <col min="2823" max="2823" width="36.5703125" customWidth="1"/>
    <col min="2824" max="2824" width="15.140625" customWidth="1"/>
    <col min="2825" max="2825" width="18" customWidth="1"/>
    <col min="2826" max="2826" width="17.28515625" customWidth="1"/>
    <col min="2827" max="2827" width="27.140625" customWidth="1"/>
    <col min="2828" max="2828" width="21.5703125" customWidth="1"/>
    <col min="2829" max="2829" width="19.28515625" customWidth="1"/>
    <col min="2830" max="2830" width="19.7109375" customWidth="1"/>
    <col min="2831" max="2831" width="24.5703125" customWidth="1"/>
    <col min="2832" max="2832" width="23.7109375" customWidth="1"/>
    <col min="3073" max="3073" width="32.5703125" customWidth="1"/>
    <col min="3074" max="3074" width="32" customWidth="1"/>
    <col min="3075" max="3075" width="20.28515625" customWidth="1"/>
    <col min="3076" max="3076" width="0" hidden="1" customWidth="1"/>
    <col min="3077" max="3077" width="19.42578125" customWidth="1"/>
    <col min="3078" max="3078" width="13.5703125" customWidth="1"/>
    <col min="3079" max="3079" width="36.5703125" customWidth="1"/>
    <col min="3080" max="3080" width="15.140625" customWidth="1"/>
    <col min="3081" max="3081" width="18" customWidth="1"/>
    <col min="3082" max="3082" width="17.28515625" customWidth="1"/>
    <col min="3083" max="3083" width="27.140625" customWidth="1"/>
    <col min="3084" max="3084" width="21.5703125" customWidth="1"/>
    <col min="3085" max="3085" width="19.28515625" customWidth="1"/>
    <col min="3086" max="3086" width="19.7109375" customWidth="1"/>
    <col min="3087" max="3087" width="24.5703125" customWidth="1"/>
    <col min="3088" max="3088" width="23.7109375" customWidth="1"/>
    <col min="3329" max="3329" width="32.5703125" customWidth="1"/>
    <col min="3330" max="3330" width="32" customWidth="1"/>
    <col min="3331" max="3331" width="20.28515625" customWidth="1"/>
    <col min="3332" max="3332" width="0" hidden="1" customWidth="1"/>
    <col min="3333" max="3333" width="19.42578125" customWidth="1"/>
    <col min="3334" max="3334" width="13.5703125" customWidth="1"/>
    <col min="3335" max="3335" width="36.5703125" customWidth="1"/>
    <col min="3336" max="3336" width="15.140625" customWidth="1"/>
    <col min="3337" max="3337" width="18" customWidth="1"/>
    <col min="3338" max="3338" width="17.28515625" customWidth="1"/>
    <col min="3339" max="3339" width="27.140625" customWidth="1"/>
    <col min="3340" max="3340" width="21.5703125" customWidth="1"/>
    <col min="3341" max="3341" width="19.28515625" customWidth="1"/>
    <col min="3342" max="3342" width="19.7109375" customWidth="1"/>
    <col min="3343" max="3343" width="24.5703125" customWidth="1"/>
    <col min="3344" max="3344" width="23.7109375" customWidth="1"/>
    <col min="3585" max="3585" width="32.5703125" customWidth="1"/>
    <col min="3586" max="3586" width="32" customWidth="1"/>
    <col min="3587" max="3587" width="20.28515625" customWidth="1"/>
    <col min="3588" max="3588" width="0" hidden="1" customWidth="1"/>
    <col min="3589" max="3589" width="19.42578125" customWidth="1"/>
    <col min="3590" max="3590" width="13.5703125" customWidth="1"/>
    <col min="3591" max="3591" width="36.5703125" customWidth="1"/>
    <col min="3592" max="3592" width="15.140625" customWidth="1"/>
    <col min="3593" max="3593" width="18" customWidth="1"/>
    <col min="3594" max="3594" width="17.28515625" customWidth="1"/>
    <col min="3595" max="3595" width="27.140625" customWidth="1"/>
    <col min="3596" max="3596" width="21.5703125" customWidth="1"/>
    <col min="3597" max="3597" width="19.28515625" customWidth="1"/>
    <col min="3598" max="3598" width="19.7109375" customWidth="1"/>
    <col min="3599" max="3599" width="24.5703125" customWidth="1"/>
    <col min="3600" max="3600" width="23.7109375" customWidth="1"/>
    <col min="3841" max="3841" width="32.5703125" customWidth="1"/>
    <col min="3842" max="3842" width="32" customWidth="1"/>
    <col min="3843" max="3843" width="20.28515625" customWidth="1"/>
    <col min="3844" max="3844" width="0" hidden="1" customWidth="1"/>
    <col min="3845" max="3845" width="19.42578125" customWidth="1"/>
    <col min="3846" max="3846" width="13.5703125" customWidth="1"/>
    <col min="3847" max="3847" width="36.5703125" customWidth="1"/>
    <col min="3848" max="3848" width="15.140625" customWidth="1"/>
    <col min="3849" max="3849" width="18" customWidth="1"/>
    <col min="3850" max="3850" width="17.28515625" customWidth="1"/>
    <col min="3851" max="3851" width="27.140625" customWidth="1"/>
    <col min="3852" max="3852" width="21.5703125" customWidth="1"/>
    <col min="3853" max="3853" width="19.28515625" customWidth="1"/>
    <col min="3854" max="3854" width="19.7109375" customWidth="1"/>
    <col min="3855" max="3855" width="24.5703125" customWidth="1"/>
    <col min="3856" max="3856" width="23.7109375" customWidth="1"/>
    <col min="4097" max="4097" width="32.5703125" customWidth="1"/>
    <col min="4098" max="4098" width="32" customWidth="1"/>
    <col min="4099" max="4099" width="20.28515625" customWidth="1"/>
    <col min="4100" max="4100" width="0" hidden="1" customWidth="1"/>
    <col min="4101" max="4101" width="19.42578125" customWidth="1"/>
    <col min="4102" max="4102" width="13.5703125" customWidth="1"/>
    <col min="4103" max="4103" width="36.5703125" customWidth="1"/>
    <col min="4104" max="4104" width="15.140625" customWidth="1"/>
    <col min="4105" max="4105" width="18" customWidth="1"/>
    <col min="4106" max="4106" width="17.28515625" customWidth="1"/>
    <col min="4107" max="4107" width="27.140625" customWidth="1"/>
    <col min="4108" max="4108" width="21.5703125" customWidth="1"/>
    <col min="4109" max="4109" width="19.28515625" customWidth="1"/>
    <col min="4110" max="4110" width="19.7109375" customWidth="1"/>
    <col min="4111" max="4111" width="24.5703125" customWidth="1"/>
    <col min="4112" max="4112" width="23.7109375" customWidth="1"/>
    <col min="4353" max="4353" width="32.5703125" customWidth="1"/>
    <col min="4354" max="4354" width="32" customWidth="1"/>
    <col min="4355" max="4355" width="20.28515625" customWidth="1"/>
    <col min="4356" max="4356" width="0" hidden="1" customWidth="1"/>
    <col min="4357" max="4357" width="19.42578125" customWidth="1"/>
    <col min="4358" max="4358" width="13.5703125" customWidth="1"/>
    <col min="4359" max="4359" width="36.5703125" customWidth="1"/>
    <col min="4360" max="4360" width="15.140625" customWidth="1"/>
    <col min="4361" max="4361" width="18" customWidth="1"/>
    <col min="4362" max="4362" width="17.28515625" customWidth="1"/>
    <col min="4363" max="4363" width="27.140625" customWidth="1"/>
    <col min="4364" max="4364" width="21.5703125" customWidth="1"/>
    <col min="4365" max="4365" width="19.28515625" customWidth="1"/>
    <col min="4366" max="4366" width="19.7109375" customWidth="1"/>
    <col min="4367" max="4367" width="24.5703125" customWidth="1"/>
    <col min="4368" max="4368" width="23.7109375" customWidth="1"/>
    <col min="4609" max="4609" width="32.5703125" customWidth="1"/>
    <col min="4610" max="4610" width="32" customWidth="1"/>
    <col min="4611" max="4611" width="20.28515625" customWidth="1"/>
    <col min="4612" max="4612" width="0" hidden="1" customWidth="1"/>
    <col min="4613" max="4613" width="19.42578125" customWidth="1"/>
    <col min="4614" max="4614" width="13.5703125" customWidth="1"/>
    <col min="4615" max="4615" width="36.5703125" customWidth="1"/>
    <col min="4616" max="4616" width="15.140625" customWidth="1"/>
    <col min="4617" max="4617" width="18" customWidth="1"/>
    <col min="4618" max="4618" width="17.28515625" customWidth="1"/>
    <col min="4619" max="4619" width="27.140625" customWidth="1"/>
    <col min="4620" max="4620" width="21.5703125" customWidth="1"/>
    <col min="4621" max="4621" width="19.28515625" customWidth="1"/>
    <col min="4622" max="4622" width="19.7109375" customWidth="1"/>
    <col min="4623" max="4623" width="24.5703125" customWidth="1"/>
    <col min="4624" max="4624" width="23.7109375" customWidth="1"/>
    <col min="4865" max="4865" width="32.5703125" customWidth="1"/>
    <col min="4866" max="4866" width="32" customWidth="1"/>
    <col min="4867" max="4867" width="20.28515625" customWidth="1"/>
    <col min="4868" max="4868" width="0" hidden="1" customWidth="1"/>
    <col min="4869" max="4869" width="19.42578125" customWidth="1"/>
    <col min="4870" max="4870" width="13.5703125" customWidth="1"/>
    <col min="4871" max="4871" width="36.5703125" customWidth="1"/>
    <col min="4872" max="4872" width="15.140625" customWidth="1"/>
    <col min="4873" max="4873" width="18" customWidth="1"/>
    <col min="4874" max="4874" width="17.28515625" customWidth="1"/>
    <col min="4875" max="4875" width="27.140625" customWidth="1"/>
    <col min="4876" max="4876" width="21.5703125" customWidth="1"/>
    <col min="4877" max="4877" width="19.28515625" customWidth="1"/>
    <col min="4878" max="4878" width="19.7109375" customWidth="1"/>
    <col min="4879" max="4879" width="24.5703125" customWidth="1"/>
    <col min="4880" max="4880" width="23.7109375" customWidth="1"/>
    <col min="5121" max="5121" width="32.5703125" customWidth="1"/>
    <col min="5122" max="5122" width="32" customWidth="1"/>
    <col min="5123" max="5123" width="20.28515625" customWidth="1"/>
    <col min="5124" max="5124" width="0" hidden="1" customWidth="1"/>
    <col min="5125" max="5125" width="19.42578125" customWidth="1"/>
    <col min="5126" max="5126" width="13.5703125" customWidth="1"/>
    <col min="5127" max="5127" width="36.5703125" customWidth="1"/>
    <col min="5128" max="5128" width="15.140625" customWidth="1"/>
    <col min="5129" max="5129" width="18" customWidth="1"/>
    <col min="5130" max="5130" width="17.28515625" customWidth="1"/>
    <col min="5131" max="5131" width="27.140625" customWidth="1"/>
    <col min="5132" max="5132" width="21.5703125" customWidth="1"/>
    <col min="5133" max="5133" width="19.28515625" customWidth="1"/>
    <col min="5134" max="5134" width="19.7109375" customWidth="1"/>
    <col min="5135" max="5135" width="24.5703125" customWidth="1"/>
    <col min="5136" max="5136" width="23.7109375" customWidth="1"/>
    <col min="5377" max="5377" width="32.5703125" customWidth="1"/>
    <col min="5378" max="5378" width="32" customWidth="1"/>
    <col min="5379" max="5379" width="20.28515625" customWidth="1"/>
    <col min="5380" max="5380" width="0" hidden="1" customWidth="1"/>
    <col min="5381" max="5381" width="19.42578125" customWidth="1"/>
    <col min="5382" max="5382" width="13.5703125" customWidth="1"/>
    <col min="5383" max="5383" width="36.5703125" customWidth="1"/>
    <col min="5384" max="5384" width="15.140625" customWidth="1"/>
    <col min="5385" max="5385" width="18" customWidth="1"/>
    <col min="5386" max="5386" width="17.28515625" customWidth="1"/>
    <col min="5387" max="5387" width="27.140625" customWidth="1"/>
    <col min="5388" max="5388" width="21.5703125" customWidth="1"/>
    <col min="5389" max="5389" width="19.28515625" customWidth="1"/>
    <col min="5390" max="5390" width="19.7109375" customWidth="1"/>
    <col min="5391" max="5391" width="24.5703125" customWidth="1"/>
    <col min="5392" max="5392" width="23.7109375" customWidth="1"/>
    <col min="5633" max="5633" width="32.5703125" customWidth="1"/>
    <col min="5634" max="5634" width="32" customWidth="1"/>
    <col min="5635" max="5635" width="20.28515625" customWidth="1"/>
    <col min="5636" max="5636" width="0" hidden="1" customWidth="1"/>
    <col min="5637" max="5637" width="19.42578125" customWidth="1"/>
    <col min="5638" max="5638" width="13.5703125" customWidth="1"/>
    <col min="5639" max="5639" width="36.5703125" customWidth="1"/>
    <col min="5640" max="5640" width="15.140625" customWidth="1"/>
    <col min="5641" max="5641" width="18" customWidth="1"/>
    <col min="5642" max="5642" width="17.28515625" customWidth="1"/>
    <col min="5643" max="5643" width="27.140625" customWidth="1"/>
    <col min="5644" max="5644" width="21.5703125" customWidth="1"/>
    <col min="5645" max="5645" width="19.28515625" customWidth="1"/>
    <col min="5646" max="5646" width="19.7109375" customWidth="1"/>
    <col min="5647" max="5647" width="24.5703125" customWidth="1"/>
    <col min="5648" max="5648" width="23.7109375" customWidth="1"/>
    <col min="5889" max="5889" width="32.5703125" customWidth="1"/>
    <col min="5890" max="5890" width="32" customWidth="1"/>
    <col min="5891" max="5891" width="20.28515625" customWidth="1"/>
    <col min="5892" max="5892" width="0" hidden="1" customWidth="1"/>
    <col min="5893" max="5893" width="19.42578125" customWidth="1"/>
    <col min="5894" max="5894" width="13.5703125" customWidth="1"/>
    <col min="5895" max="5895" width="36.5703125" customWidth="1"/>
    <col min="5896" max="5896" width="15.140625" customWidth="1"/>
    <col min="5897" max="5897" width="18" customWidth="1"/>
    <col min="5898" max="5898" width="17.28515625" customWidth="1"/>
    <col min="5899" max="5899" width="27.140625" customWidth="1"/>
    <col min="5900" max="5900" width="21.5703125" customWidth="1"/>
    <col min="5901" max="5901" width="19.28515625" customWidth="1"/>
    <col min="5902" max="5902" width="19.7109375" customWidth="1"/>
    <col min="5903" max="5903" width="24.5703125" customWidth="1"/>
    <col min="5904" max="5904" width="23.7109375" customWidth="1"/>
    <col min="6145" max="6145" width="32.5703125" customWidth="1"/>
    <col min="6146" max="6146" width="32" customWidth="1"/>
    <col min="6147" max="6147" width="20.28515625" customWidth="1"/>
    <col min="6148" max="6148" width="0" hidden="1" customWidth="1"/>
    <col min="6149" max="6149" width="19.42578125" customWidth="1"/>
    <col min="6150" max="6150" width="13.5703125" customWidth="1"/>
    <col min="6151" max="6151" width="36.5703125" customWidth="1"/>
    <col min="6152" max="6152" width="15.140625" customWidth="1"/>
    <col min="6153" max="6153" width="18" customWidth="1"/>
    <col min="6154" max="6154" width="17.28515625" customWidth="1"/>
    <col min="6155" max="6155" width="27.140625" customWidth="1"/>
    <col min="6156" max="6156" width="21.5703125" customWidth="1"/>
    <col min="6157" max="6157" width="19.28515625" customWidth="1"/>
    <col min="6158" max="6158" width="19.7109375" customWidth="1"/>
    <col min="6159" max="6159" width="24.5703125" customWidth="1"/>
    <col min="6160" max="6160" width="23.7109375" customWidth="1"/>
    <col min="6401" max="6401" width="32.5703125" customWidth="1"/>
    <col min="6402" max="6402" width="32" customWidth="1"/>
    <col min="6403" max="6403" width="20.28515625" customWidth="1"/>
    <col min="6404" max="6404" width="0" hidden="1" customWidth="1"/>
    <col min="6405" max="6405" width="19.42578125" customWidth="1"/>
    <col min="6406" max="6406" width="13.5703125" customWidth="1"/>
    <col min="6407" max="6407" width="36.5703125" customWidth="1"/>
    <col min="6408" max="6408" width="15.140625" customWidth="1"/>
    <col min="6409" max="6409" width="18" customWidth="1"/>
    <col min="6410" max="6410" width="17.28515625" customWidth="1"/>
    <col min="6411" max="6411" width="27.140625" customWidth="1"/>
    <col min="6412" max="6412" width="21.5703125" customWidth="1"/>
    <col min="6413" max="6413" width="19.28515625" customWidth="1"/>
    <col min="6414" max="6414" width="19.7109375" customWidth="1"/>
    <col min="6415" max="6415" width="24.5703125" customWidth="1"/>
    <col min="6416" max="6416" width="23.7109375" customWidth="1"/>
    <col min="6657" max="6657" width="32.5703125" customWidth="1"/>
    <col min="6658" max="6658" width="32" customWidth="1"/>
    <col min="6659" max="6659" width="20.28515625" customWidth="1"/>
    <col min="6660" max="6660" width="0" hidden="1" customWidth="1"/>
    <col min="6661" max="6661" width="19.42578125" customWidth="1"/>
    <col min="6662" max="6662" width="13.5703125" customWidth="1"/>
    <col min="6663" max="6663" width="36.5703125" customWidth="1"/>
    <col min="6664" max="6664" width="15.140625" customWidth="1"/>
    <col min="6665" max="6665" width="18" customWidth="1"/>
    <col min="6666" max="6666" width="17.28515625" customWidth="1"/>
    <col min="6667" max="6667" width="27.140625" customWidth="1"/>
    <col min="6668" max="6668" width="21.5703125" customWidth="1"/>
    <col min="6669" max="6669" width="19.28515625" customWidth="1"/>
    <col min="6670" max="6670" width="19.7109375" customWidth="1"/>
    <col min="6671" max="6671" width="24.5703125" customWidth="1"/>
    <col min="6672" max="6672" width="23.7109375" customWidth="1"/>
    <col min="6913" max="6913" width="32.5703125" customWidth="1"/>
    <col min="6914" max="6914" width="32" customWidth="1"/>
    <col min="6915" max="6915" width="20.28515625" customWidth="1"/>
    <col min="6916" max="6916" width="0" hidden="1" customWidth="1"/>
    <col min="6917" max="6917" width="19.42578125" customWidth="1"/>
    <col min="6918" max="6918" width="13.5703125" customWidth="1"/>
    <col min="6919" max="6919" width="36.5703125" customWidth="1"/>
    <col min="6920" max="6920" width="15.140625" customWidth="1"/>
    <col min="6921" max="6921" width="18" customWidth="1"/>
    <col min="6922" max="6922" width="17.28515625" customWidth="1"/>
    <col min="6923" max="6923" width="27.140625" customWidth="1"/>
    <col min="6924" max="6924" width="21.5703125" customWidth="1"/>
    <col min="6925" max="6925" width="19.28515625" customWidth="1"/>
    <col min="6926" max="6926" width="19.7109375" customWidth="1"/>
    <col min="6927" max="6927" width="24.5703125" customWidth="1"/>
    <col min="6928" max="6928" width="23.7109375" customWidth="1"/>
    <col min="7169" max="7169" width="32.5703125" customWidth="1"/>
    <col min="7170" max="7170" width="32" customWidth="1"/>
    <col min="7171" max="7171" width="20.28515625" customWidth="1"/>
    <col min="7172" max="7172" width="0" hidden="1" customWidth="1"/>
    <col min="7173" max="7173" width="19.42578125" customWidth="1"/>
    <col min="7174" max="7174" width="13.5703125" customWidth="1"/>
    <col min="7175" max="7175" width="36.5703125" customWidth="1"/>
    <col min="7176" max="7176" width="15.140625" customWidth="1"/>
    <col min="7177" max="7177" width="18" customWidth="1"/>
    <col min="7178" max="7178" width="17.28515625" customWidth="1"/>
    <col min="7179" max="7179" width="27.140625" customWidth="1"/>
    <col min="7180" max="7180" width="21.5703125" customWidth="1"/>
    <col min="7181" max="7181" width="19.28515625" customWidth="1"/>
    <col min="7182" max="7182" width="19.7109375" customWidth="1"/>
    <col min="7183" max="7183" width="24.5703125" customWidth="1"/>
    <col min="7184" max="7184" width="23.7109375" customWidth="1"/>
    <col min="7425" max="7425" width="32.5703125" customWidth="1"/>
    <col min="7426" max="7426" width="32" customWidth="1"/>
    <col min="7427" max="7427" width="20.28515625" customWidth="1"/>
    <col min="7428" max="7428" width="0" hidden="1" customWidth="1"/>
    <col min="7429" max="7429" width="19.42578125" customWidth="1"/>
    <col min="7430" max="7430" width="13.5703125" customWidth="1"/>
    <col min="7431" max="7431" width="36.5703125" customWidth="1"/>
    <col min="7432" max="7432" width="15.140625" customWidth="1"/>
    <col min="7433" max="7433" width="18" customWidth="1"/>
    <col min="7434" max="7434" width="17.28515625" customWidth="1"/>
    <col min="7435" max="7435" width="27.140625" customWidth="1"/>
    <col min="7436" max="7436" width="21.5703125" customWidth="1"/>
    <col min="7437" max="7437" width="19.28515625" customWidth="1"/>
    <col min="7438" max="7438" width="19.7109375" customWidth="1"/>
    <col min="7439" max="7439" width="24.5703125" customWidth="1"/>
    <col min="7440" max="7440" width="23.7109375" customWidth="1"/>
    <col min="7681" max="7681" width="32.5703125" customWidth="1"/>
    <col min="7682" max="7682" width="32" customWidth="1"/>
    <col min="7683" max="7683" width="20.28515625" customWidth="1"/>
    <col min="7684" max="7684" width="0" hidden="1" customWidth="1"/>
    <col min="7685" max="7685" width="19.42578125" customWidth="1"/>
    <col min="7686" max="7686" width="13.5703125" customWidth="1"/>
    <col min="7687" max="7687" width="36.5703125" customWidth="1"/>
    <col min="7688" max="7688" width="15.140625" customWidth="1"/>
    <col min="7689" max="7689" width="18" customWidth="1"/>
    <col min="7690" max="7690" width="17.28515625" customWidth="1"/>
    <col min="7691" max="7691" width="27.140625" customWidth="1"/>
    <col min="7692" max="7692" width="21.5703125" customWidth="1"/>
    <col min="7693" max="7693" width="19.28515625" customWidth="1"/>
    <col min="7694" max="7694" width="19.7109375" customWidth="1"/>
    <col min="7695" max="7695" width="24.5703125" customWidth="1"/>
    <col min="7696" max="7696" width="23.7109375" customWidth="1"/>
    <col min="7937" max="7937" width="32.5703125" customWidth="1"/>
    <col min="7938" max="7938" width="32" customWidth="1"/>
    <col min="7939" max="7939" width="20.28515625" customWidth="1"/>
    <col min="7940" max="7940" width="0" hidden="1" customWidth="1"/>
    <col min="7941" max="7941" width="19.42578125" customWidth="1"/>
    <col min="7942" max="7942" width="13.5703125" customWidth="1"/>
    <col min="7943" max="7943" width="36.5703125" customWidth="1"/>
    <col min="7944" max="7944" width="15.140625" customWidth="1"/>
    <col min="7945" max="7945" width="18" customWidth="1"/>
    <col min="7946" max="7946" width="17.28515625" customWidth="1"/>
    <col min="7947" max="7947" width="27.140625" customWidth="1"/>
    <col min="7948" max="7948" width="21.5703125" customWidth="1"/>
    <col min="7949" max="7949" width="19.28515625" customWidth="1"/>
    <col min="7950" max="7950" width="19.7109375" customWidth="1"/>
    <col min="7951" max="7951" width="24.5703125" customWidth="1"/>
    <col min="7952" max="7952" width="23.7109375" customWidth="1"/>
    <col min="8193" max="8193" width="32.5703125" customWidth="1"/>
    <col min="8194" max="8194" width="32" customWidth="1"/>
    <col min="8195" max="8195" width="20.28515625" customWidth="1"/>
    <col min="8196" max="8196" width="0" hidden="1" customWidth="1"/>
    <col min="8197" max="8197" width="19.42578125" customWidth="1"/>
    <col min="8198" max="8198" width="13.5703125" customWidth="1"/>
    <col min="8199" max="8199" width="36.5703125" customWidth="1"/>
    <col min="8200" max="8200" width="15.140625" customWidth="1"/>
    <col min="8201" max="8201" width="18" customWidth="1"/>
    <col min="8202" max="8202" width="17.28515625" customWidth="1"/>
    <col min="8203" max="8203" width="27.140625" customWidth="1"/>
    <col min="8204" max="8204" width="21.5703125" customWidth="1"/>
    <col min="8205" max="8205" width="19.28515625" customWidth="1"/>
    <col min="8206" max="8206" width="19.7109375" customWidth="1"/>
    <col min="8207" max="8207" width="24.5703125" customWidth="1"/>
    <col min="8208" max="8208" width="23.7109375" customWidth="1"/>
    <col min="8449" max="8449" width="32.5703125" customWidth="1"/>
    <col min="8450" max="8450" width="32" customWidth="1"/>
    <col min="8451" max="8451" width="20.28515625" customWidth="1"/>
    <col min="8452" max="8452" width="0" hidden="1" customWidth="1"/>
    <col min="8453" max="8453" width="19.42578125" customWidth="1"/>
    <col min="8454" max="8454" width="13.5703125" customWidth="1"/>
    <col min="8455" max="8455" width="36.5703125" customWidth="1"/>
    <col min="8456" max="8456" width="15.140625" customWidth="1"/>
    <col min="8457" max="8457" width="18" customWidth="1"/>
    <col min="8458" max="8458" width="17.28515625" customWidth="1"/>
    <col min="8459" max="8459" width="27.140625" customWidth="1"/>
    <col min="8460" max="8460" width="21.5703125" customWidth="1"/>
    <col min="8461" max="8461" width="19.28515625" customWidth="1"/>
    <col min="8462" max="8462" width="19.7109375" customWidth="1"/>
    <col min="8463" max="8463" width="24.5703125" customWidth="1"/>
    <col min="8464" max="8464" width="23.7109375" customWidth="1"/>
    <col min="8705" max="8705" width="32.5703125" customWidth="1"/>
    <col min="8706" max="8706" width="32" customWidth="1"/>
    <col min="8707" max="8707" width="20.28515625" customWidth="1"/>
    <col min="8708" max="8708" width="0" hidden="1" customWidth="1"/>
    <col min="8709" max="8709" width="19.42578125" customWidth="1"/>
    <col min="8710" max="8710" width="13.5703125" customWidth="1"/>
    <col min="8711" max="8711" width="36.5703125" customWidth="1"/>
    <col min="8712" max="8712" width="15.140625" customWidth="1"/>
    <col min="8713" max="8713" width="18" customWidth="1"/>
    <col min="8714" max="8714" width="17.28515625" customWidth="1"/>
    <col min="8715" max="8715" width="27.140625" customWidth="1"/>
    <col min="8716" max="8716" width="21.5703125" customWidth="1"/>
    <col min="8717" max="8717" width="19.28515625" customWidth="1"/>
    <col min="8718" max="8718" width="19.7109375" customWidth="1"/>
    <col min="8719" max="8719" width="24.5703125" customWidth="1"/>
    <col min="8720" max="8720" width="23.7109375" customWidth="1"/>
    <col min="8961" max="8961" width="32.5703125" customWidth="1"/>
    <col min="8962" max="8962" width="32" customWidth="1"/>
    <col min="8963" max="8963" width="20.28515625" customWidth="1"/>
    <col min="8964" max="8964" width="0" hidden="1" customWidth="1"/>
    <col min="8965" max="8965" width="19.42578125" customWidth="1"/>
    <col min="8966" max="8966" width="13.5703125" customWidth="1"/>
    <col min="8967" max="8967" width="36.5703125" customWidth="1"/>
    <col min="8968" max="8968" width="15.140625" customWidth="1"/>
    <col min="8969" max="8969" width="18" customWidth="1"/>
    <col min="8970" max="8970" width="17.28515625" customWidth="1"/>
    <col min="8971" max="8971" width="27.140625" customWidth="1"/>
    <col min="8972" max="8972" width="21.5703125" customWidth="1"/>
    <col min="8973" max="8973" width="19.28515625" customWidth="1"/>
    <col min="8974" max="8974" width="19.7109375" customWidth="1"/>
    <col min="8975" max="8975" width="24.5703125" customWidth="1"/>
    <col min="8976" max="8976" width="23.7109375" customWidth="1"/>
    <col min="9217" max="9217" width="32.5703125" customWidth="1"/>
    <col min="9218" max="9218" width="32" customWidth="1"/>
    <col min="9219" max="9219" width="20.28515625" customWidth="1"/>
    <col min="9220" max="9220" width="0" hidden="1" customWidth="1"/>
    <col min="9221" max="9221" width="19.42578125" customWidth="1"/>
    <col min="9222" max="9222" width="13.5703125" customWidth="1"/>
    <col min="9223" max="9223" width="36.5703125" customWidth="1"/>
    <col min="9224" max="9224" width="15.140625" customWidth="1"/>
    <col min="9225" max="9225" width="18" customWidth="1"/>
    <col min="9226" max="9226" width="17.28515625" customWidth="1"/>
    <col min="9227" max="9227" width="27.140625" customWidth="1"/>
    <col min="9228" max="9228" width="21.5703125" customWidth="1"/>
    <col min="9229" max="9229" width="19.28515625" customWidth="1"/>
    <col min="9230" max="9230" width="19.7109375" customWidth="1"/>
    <col min="9231" max="9231" width="24.5703125" customWidth="1"/>
    <col min="9232" max="9232" width="23.7109375" customWidth="1"/>
    <col min="9473" max="9473" width="32.5703125" customWidth="1"/>
    <col min="9474" max="9474" width="32" customWidth="1"/>
    <col min="9475" max="9475" width="20.28515625" customWidth="1"/>
    <col min="9476" max="9476" width="0" hidden="1" customWidth="1"/>
    <col min="9477" max="9477" width="19.42578125" customWidth="1"/>
    <col min="9478" max="9478" width="13.5703125" customWidth="1"/>
    <col min="9479" max="9479" width="36.5703125" customWidth="1"/>
    <col min="9480" max="9480" width="15.140625" customWidth="1"/>
    <col min="9481" max="9481" width="18" customWidth="1"/>
    <col min="9482" max="9482" width="17.28515625" customWidth="1"/>
    <col min="9483" max="9483" width="27.140625" customWidth="1"/>
    <col min="9484" max="9484" width="21.5703125" customWidth="1"/>
    <col min="9485" max="9485" width="19.28515625" customWidth="1"/>
    <col min="9486" max="9486" width="19.7109375" customWidth="1"/>
    <col min="9487" max="9487" width="24.5703125" customWidth="1"/>
    <col min="9488" max="9488" width="23.7109375" customWidth="1"/>
    <col min="9729" max="9729" width="32.5703125" customWidth="1"/>
    <col min="9730" max="9730" width="32" customWidth="1"/>
    <col min="9731" max="9731" width="20.28515625" customWidth="1"/>
    <col min="9732" max="9732" width="0" hidden="1" customWidth="1"/>
    <col min="9733" max="9733" width="19.42578125" customWidth="1"/>
    <col min="9734" max="9734" width="13.5703125" customWidth="1"/>
    <col min="9735" max="9735" width="36.5703125" customWidth="1"/>
    <col min="9736" max="9736" width="15.140625" customWidth="1"/>
    <col min="9737" max="9737" width="18" customWidth="1"/>
    <col min="9738" max="9738" width="17.28515625" customWidth="1"/>
    <col min="9739" max="9739" width="27.140625" customWidth="1"/>
    <col min="9740" max="9740" width="21.5703125" customWidth="1"/>
    <col min="9741" max="9741" width="19.28515625" customWidth="1"/>
    <col min="9742" max="9742" width="19.7109375" customWidth="1"/>
    <col min="9743" max="9743" width="24.5703125" customWidth="1"/>
    <col min="9744" max="9744" width="23.7109375" customWidth="1"/>
    <col min="9985" max="9985" width="32.5703125" customWidth="1"/>
    <col min="9986" max="9986" width="32" customWidth="1"/>
    <col min="9987" max="9987" width="20.28515625" customWidth="1"/>
    <col min="9988" max="9988" width="0" hidden="1" customWidth="1"/>
    <col min="9989" max="9989" width="19.42578125" customWidth="1"/>
    <col min="9990" max="9990" width="13.5703125" customWidth="1"/>
    <col min="9991" max="9991" width="36.5703125" customWidth="1"/>
    <col min="9992" max="9992" width="15.140625" customWidth="1"/>
    <col min="9993" max="9993" width="18" customWidth="1"/>
    <col min="9994" max="9994" width="17.28515625" customWidth="1"/>
    <col min="9995" max="9995" width="27.140625" customWidth="1"/>
    <col min="9996" max="9996" width="21.5703125" customWidth="1"/>
    <col min="9997" max="9997" width="19.28515625" customWidth="1"/>
    <col min="9998" max="9998" width="19.7109375" customWidth="1"/>
    <col min="9999" max="9999" width="24.5703125" customWidth="1"/>
    <col min="10000" max="10000" width="23.7109375" customWidth="1"/>
    <col min="10241" max="10241" width="32.5703125" customWidth="1"/>
    <col min="10242" max="10242" width="32" customWidth="1"/>
    <col min="10243" max="10243" width="20.28515625" customWidth="1"/>
    <col min="10244" max="10244" width="0" hidden="1" customWidth="1"/>
    <col min="10245" max="10245" width="19.42578125" customWidth="1"/>
    <col min="10246" max="10246" width="13.5703125" customWidth="1"/>
    <col min="10247" max="10247" width="36.5703125" customWidth="1"/>
    <col min="10248" max="10248" width="15.140625" customWidth="1"/>
    <col min="10249" max="10249" width="18" customWidth="1"/>
    <col min="10250" max="10250" width="17.28515625" customWidth="1"/>
    <col min="10251" max="10251" width="27.140625" customWidth="1"/>
    <col min="10252" max="10252" width="21.5703125" customWidth="1"/>
    <col min="10253" max="10253" width="19.28515625" customWidth="1"/>
    <col min="10254" max="10254" width="19.7109375" customWidth="1"/>
    <col min="10255" max="10255" width="24.5703125" customWidth="1"/>
    <col min="10256" max="10256" width="23.7109375" customWidth="1"/>
    <col min="10497" max="10497" width="32.5703125" customWidth="1"/>
    <col min="10498" max="10498" width="32" customWidth="1"/>
    <col min="10499" max="10499" width="20.28515625" customWidth="1"/>
    <col min="10500" max="10500" width="0" hidden="1" customWidth="1"/>
    <col min="10501" max="10501" width="19.42578125" customWidth="1"/>
    <col min="10502" max="10502" width="13.5703125" customWidth="1"/>
    <col min="10503" max="10503" width="36.5703125" customWidth="1"/>
    <col min="10504" max="10504" width="15.140625" customWidth="1"/>
    <col min="10505" max="10505" width="18" customWidth="1"/>
    <col min="10506" max="10506" width="17.28515625" customWidth="1"/>
    <col min="10507" max="10507" width="27.140625" customWidth="1"/>
    <col min="10508" max="10508" width="21.5703125" customWidth="1"/>
    <col min="10509" max="10509" width="19.28515625" customWidth="1"/>
    <col min="10510" max="10510" width="19.7109375" customWidth="1"/>
    <col min="10511" max="10511" width="24.5703125" customWidth="1"/>
    <col min="10512" max="10512" width="23.7109375" customWidth="1"/>
    <col min="10753" max="10753" width="32.5703125" customWidth="1"/>
    <col min="10754" max="10754" width="32" customWidth="1"/>
    <col min="10755" max="10755" width="20.28515625" customWidth="1"/>
    <col min="10756" max="10756" width="0" hidden="1" customWidth="1"/>
    <col min="10757" max="10757" width="19.42578125" customWidth="1"/>
    <col min="10758" max="10758" width="13.5703125" customWidth="1"/>
    <col min="10759" max="10759" width="36.5703125" customWidth="1"/>
    <col min="10760" max="10760" width="15.140625" customWidth="1"/>
    <col min="10761" max="10761" width="18" customWidth="1"/>
    <col min="10762" max="10762" width="17.28515625" customWidth="1"/>
    <col min="10763" max="10763" width="27.140625" customWidth="1"/>
    <col min="10764" max="10764" width="21.5703125" customWidth="1"/>
    <col min="10765" max="10765" width="19.28515625" customWidth="1"/>
    <col min="10766" max="10766" width="19.7109375" customWidth="1"/>
    <col min="10767" max="10767" width="24.5703125" customWidth="1"/>
    <col min="10768" max="10768" width="23.7109375" customWidth="1"/>
    <col min="11009" max="11009" width="32.5703125" customWidth="1"/>
    <col min="11010" max="11010" width="32" customWidth="1"/>
    <col min="11011" max="11011" width="20.28515625" customWidth="1"/>
    <col min="11012" max="11012" width="0" hidden="1" customWidth="1"/>
    <col min="11013" max="11013" width="19.42578125" customWidth="1"/>
    <col min="11014" max="11014" width="13.5703125" customWidth="1"/>
    <col min="11015" max="11015" width="36.5703125" customWidth="1"/>
    <col min="11016" max="11016" width="15.140625" customWidth="1"/>
    <col min="11017" max="11017" width="18" customWidth="1"/>
    <col min="11018" max="11018" width="17.28515625" customWidth="1"/>
    <col min="11019" max="11019" width="27.140625" customWidth="1"/>
    <col min="11020" max="11020" width="21.5703125" customWidth="1"/>
    <col min="11021" max="11021" width="19.28515625" customWidth="1"/>
    <col min="11022" max="11022" width="19.7109375" customWidth="1"/>
    <col min="11023" max="11023" width="24.5703125" customWidth="1"/>
    <col min="11024" max="11024" width="23.7109375" customWidth="1"/>
    <col min="11265" max="11265" width="32.5703125" customWidth="1"/>
    <col min="11266" max="11266" width="32" customWidth="1"/>
    <col min="11267" max="11267" width="20.28515625" customWidth="1"/>
    <col min="11268" max="11268" width="0" hidden="1" customWidth="1"/>
    <col min="11269" max="11269" width="19.42578125" customWidth="1"/>
    <col min="11270" max="11270" width="13.5703125" customWidth="1"/>
    <col min="11271" max="11271" width="36.5703125" customWidth="1"/>
    <col min="11272" max="11272" width="15.140625" customWidth="1"/>
    <col min="11273" max="11273" width="18" customWidth="1"/>
    <col min="11274" max="11274" width="17.28515625" customWidth="1"/>
    <col min="11275" max="11275" width="27.140625" customWidth="1"/>
    <col min="11276" max="11276" width="21.5703125" customWidth="1"/>
    <col min="11277" max="11277" width="19.28515625" customWidth="1"/>
    <col min="11278" max="11278" width="19.7109375" customWidth="1"/>
    <col min="11279" max="11279" width="24.5703125" customWidth="1"/>
    <col min="11280" max="11280" width="23.7109375" customWidth="1"/>
    <col min="11521" max="11521" width="32.5703125" customWidth="1"/>
    <col min="11522" max="11522" width="32" customWidth="1"/>
    <col min="11523" max="11523" width="20.28515625" customWidth="1"/>
    <col min="11524" max="11524" width="0" hidden="1" customWidth="1"/>
    <col min="11525" max="11525" width="19.42578125" customWidth="1"/>
    <col min="11526" max="11526" width="13.5703125" customWidth="1"/>
    <col min="11527" max="11527" width="36.5703125" customWidth="1"/>
    <col min="11528" max="11528" width="15.140625" customWidth="1"/>
    <col min="11529" max="11529" width="18" customWidth="1"/>
    <col min="11530" max="11530" width="17.28515625" customWidth="1"/>
    <col min="11531" max="11531" width="27.140625" customWidth="1"/>
    <col min="11532" max="11532" width="21.5703125" customWidth="1"/>
    <col min="11533" max="11533" width="19.28515625" customWidth="1"/>
    <col min="11534" max="11534" width="19.7109375" customWidth="1"/>
    <col min="11535" max="11535" width="24.5703125" customWidth="1"/>
    <col min="11536" max="11536" width="23.7109375" customWidth="1"/>
    <col min="11777" max="11777" width="32.5703125" customWidth="1"/>
    <col min="11778" max="11778" width="32" customWidth="1"/>
    <col min="11779" max="11779" width="20.28515625" customWidth="1"/>
    <col min="11780" max="11780" width="0" hidden="1" customWidth="1"/>
    <col min="11781" max="11781" width="19.42578125" customWidth="1"/>
    <col min="11782" max="11782" width="13.5703125" customWidth="1"/>
    <col min="11783" max="11783" width="36.5703125" customWidth="1"/>
    <col min="11784" max="11784" width="15.140625" customWidth="1"/>
    <col min="11785" max="11785" width="18" customWidth="1"/>
    <col min="11786" max="11786" width="17.28515625" customWidth="1"/>
    <col min="11787" max="11787" width="27.140625" customWidth="1"/>
    <col min="11788" max="11788" width="21.5703125" customWidth="1"/>
    <col min="11789" max="11789" width="19.28515625" customWidth="1"/>
    <col min="11790" max="11790" width="19.7109375" customWidth="1"/>
    <col min="11791" max="11791" width="24.5703125" customWidth="1"/>
    <col min="11792" max="11792" width="23.7109375" customWidth="1"/>
    <col min="12033" max="12033" width="32.5703125" customWidth="1"/>
    <col min="12034" max="12034" width="32" customWidth="1"/>
    <col min="12035" max="12035" width="20.28515625" customWidth="1"/>
    <col min="12036" max="12036" width="0" hidden="1" customWidth="1"/>
    <col min="12037" max="12037" width="19.42578125" customWidth="1"/>
    <col min="12038" max="12038" width="13.5703125" customWidth="1"/>
    <col min="12039" max="12039" width="36.5703125" customWidth="1"/>
    <col min="12040" max="12040" width="15.140625" customWidth="1"/>
    <col min="12041" max="12041" width="18" customWidth="1"/>
    <col min="12042" max="12042" width="17.28515625" customWidth="1"/>
    <col min="12043" max="12043" width="27.140625" customWidth="1"/>
    <col min="12044" max="12044" width="21.5703125" customWidth="1"/>
    <col min="12045" max="12045" width="19.28515625" customWidth="1"/>
    <col min="12046" max="12046" width="19.7109375" customWidth="1"/>
    <col min="12047" max="12047" width="24.5703125" customWidth="1"/>
    <col min="12048" max="12048" width="23.7109375" customWidth="1"/>
    <col min="12289" max="12289" width="32.5703125" customWidth="1"/>
    <col min="12290" max="12290" width="32" customWidth="1"/>
    <col min="12291" max="12291" width="20.28515625" customWidth="1"/>
    <col min="12292" max="12292" width="0" hidden="1" customWidth="1"/>
    <col min="12293" max="12293" width="19.42578125" customWidth="1"/>
    <col min="12294" max="12294" width="13.5703125" customWidth="1"/>
    <col min="12295" max="12295" width="36.5703125" customWidth="1"/>
    <col min="12296" max="12296" width="15.140625" customWidth="1"/>
    <col min="12297" max="12297" width="18" customWidth="1"/>
    <col min="12298" max="12298" width="17.28515625" customWidth="1"/>
    <col min="12299" max="12299" width="27.140625" customWidth="1"/>
    <col min="12300" max="12300" width="21.5703125" customWidth="1"/>
    <col min="12301" max="12301" width="19.28515625" customWidth="1"/>
    <col min="12302" max="12302" width="19.7109375" customWidth="1"/>
    <col min="12303" max="12303" width="24.5703125" customWidth="1"/>
    <col min="12304" max="12304" width="23.7109375" customWidth="1"/>
    <col min="12545" max="12545" width="32.5703125" customWidth="1"/>
    <col min="12546" max="12546" width="32" customWidth="1"/>
    <col min="12547" max="12547" width="20.28515625" customWidth="1"/>
    <col min="12548" max="12548" width="0" hidden="1" customWidth="1"/>
    <col min="12549" max="12549" width="19.42578125" customWidth="1"/>
    <col min="12550" max="12550" width="13.5703125" customWidth="1"/>
    <col min="12551" max="12551" width="36.5703125" customWidth="1"/>
    <col min="12552" max="12552" width="15.140625" customWidth="1"/>
    <col min="12553" max="12553" width="18" customWidth="1"/>
    <col min="12554" max="12554" width="17.28515625" customWidth="1"/>
    <col min="12555" max="12555" width="27.140625" customWidth="1"/>
    <col min="12556" max="12556" width="21.5703125" customWidth="1"/>
    <col min="12557" max="12557" width="19.28515625" customWidth="1"/>
    <col min="12558" max="12558" width="19.7109375" customWidth="1"/>
    <col min="12559" max="12559" width="24.5703125" customWidth="1"/>
    <col min="12560" max="12560" width="23.7109375" customWidth="1"/>
    <col min="12801" max="12801" width="32.5703125" customWidth="1"/>
    <col min="12802" max="12802" width="32" customWidth="1"/>
    <col min="12803" max="12803" width="20.28515625" customWidth="1"/>
    <col min="12804" max="12804" width="0" hidden="1" customWidth="1"/>
    <col min="12805" max="12805" width="19.42578125" customWidth="1"/>
    <col min="12806" max="12806" width="13.5703125" customWidth="1"/>
    <col min="12807" max="12807" width="36.5703125" customWidth="1"/>
    <col min="12808" max="12808" width="15.140625" customWidth="1"/>
    <col min="12809" max="12809" width="18" customWidth="1"/>
    <col min="12810" max="12810" width="17.28515625" customWidth="1"/>
    <col min="12811" max="12811" width="27.140625" customWidth="1"/>
    <col min="12812" max="12812" width="21.5703125" customWidth="1"/>
    <col min="12813" max="12813" width="19.28515625" customWidth="1"/>
    <col min="12814" max="12814" width="19.7109375" customWidth="1"/>
    <col min="12815" max="12815" width="24.5703125" customWidth="1"/>
    <col min="12816" max="12816" width="23.7109375" customWidth="1"/>
    <col min="13057" max="13057" width="32.5703125" customWidth="1"/>
    <col min="13058" max="13058" width="32" customWidth="1"/>
    <col min="13059" max="13059" width="20.28515625" customWidth="1"/>
    <col min="13060" max="13060" width="0" hidden="1" customWidth="1"/>
    <col min="13061" max="13061" width="19.42578125" customWidth="1"/>
    <col min="13062" max="13062" width="13.5703125" customWidth="1"/>
    <col min="13063" max="13063" width="36.5703125" customWidth="1"/>
    <col min="13064" max="13064" width="15.140625" customWidth="1"/>
    <col min="13065" max="13065" width="18" customWidth="1"/>
    <col min="13066" max="13066" width="17.28515625" customWidth="1"/>
    <col min="13067" max="13067" width="27.140625" customWidth="1"/>
    <col min="13068" max="13068" width="21.5703125" customWidth="1"/>
    <col min="13069" max="13069" width="19.28515625" customWidth="1"/>
    <col min="13070" max="13070" width="19.7109375" customWidth="1"/>
    <col min="13071" max="13071" width="24.5703125" customWidth="1"/>
    <col min="13072" max="13072" width="23.7109375" customWidth="1"/>
    <col min="13313" max="13313" width="32.5703125" customWidth="1"/>
    <col min="13314" max="13314" width="32" customWidth="1"/>
    <col min="13315" max="13315" width="20.28515625" customWidth="1"/>
    <col min="13316" max="13316" width="0" hidden="1" customWidth="1"/>
    <col min="13317" max="13317" width="19.42578125" customWidth="1"/>
    <col min="13318" max="13318" width="13.5703125" customWidth="1"/>
    <col min="13319" max="13319" width="36.5703125" customWidth="1"/>
    <col min="13320" max="13320" width="15.140625" customWidth="1"/>
    <col min="13321" max="13321" width="18" customWidth="1"/>
    <col min="13322" max="13322" width="17.28515625" customWidth="1"/>
    <col min="13323" max="13323" width="27.140625" customWidth="1"/>
    <col min="13324" max="13324" width="21.5703125" customWidth="1"/>
    <col min="13325" max="13325" width="19.28515625" customWidth="1"/>
    <col min="13326" max="13326" width="19.7109375" customWidth="1"/>
    <col min="13327" max="13327" width="24.5703125" customWidth="1"/>
    <col min="13328" max="13328" width="23.7109375" customWidth="1"/>
    <col min="13569" max="13569" width="32.5703125" customWidth="1"/>
    <col min="13570" max="13570" width="32" customWidth="1"/>
    <col min="13571" max="13571" width="20.28515625" customWidth="1"/>
    <col min="13572" max="13572" width="0" hidden="1" customWidth="1"/>
    <col min="13573" max="13573" width="19.42578125" customWidth="1"/>
    <col min="13574" max="13574" width="13.5703125" customWidth="1"/>
    <col min="13575" max="13575" width="36.5703125" customWidth="1"/>
    <col min="13576" max="13576" width="15.140625" customWidth="1"/>
    <col min="13577" max="13577" width="18" customWidth="1"/>
    <col min="13578" max="13578" width="17.28515625" customWidth="1"/>
    <col min="13579" max="13579" width="27.140625" customWidth="1"/>
    <col min="13580" max="13580" width="21.5703125" customWidth="1"/>
    <col min="13581" max="13581" width="19.28515625" customWidth="1"/>
    <col min="13582" max="13582" width="19.7109375" customWidth="1"/>
    <col min="13583" max="13583" width="24.5703125" customWidth="1"/>
    <col min="13584" max="13584" width="23.7109375" customWidth="1"/>
    <col min="13825" max="13825" width="32.5703125" customWidth="1"/>
    <col min="13826" max="13826" width="32" customWidth="1"/>
    <col min="13827" max="13827" width="20.28515625" customWidth="1"/>
    <col min="13828" max="13828" width="0" hidden="1" customWidth="1"/>
    <col min="13829" max="13829" width="19.42578125" customWidth="1"/>
    <col min="13830" max="13830" width="13.5703125" customWidth="1"/>
    <col min="13831" max="13831" width="36.5703125" customWidth="1"/>
    <col min="13832" max="13832" width="15.140625" customWidth="1"/>
    <col min="13833" max="13833" width="18" customWidth="1"/>
    <col min="13834" max="13834" width="17.28515625" customWidth="1"/>
    <col min="13835" max="13835" width="27.140625" customWidth="1"/>
    <col min="13836" max="13836" width="21.5703125" customWidth="1"/>
    <col min="13837" max="13837" width="19.28515625" customWidth="1"/>
    <col min="13838" max="13838" width="19.7109375" customWidth="1"/>
    <col min="13839" max="13839" width="24.5703125" customWidth="1"/>
    <col min="13840" max="13840" width="23.7109375" customWidth="1"/>
    <col min="14081" max="14081" width="32.5703125" customWidth="1"/>
    <col min="14082" max="14082" width="32" customWidth="1"/>
    <col min="14083" max="14083" width="20.28515625" customWidth="1"/>
    <col min="14084" max="14084" width="0" hidden="1" customWidth="1"/>
    <col min="14085" max="14085" width="19.42578125" customWidth="1"/>
    <col min="14086" max="14086" width="13.5703125" customWidth="1"/>
    <col min="14087" max="14087" width="36.5703125" customWidth="1"/>
    <col min="14088" max="14088" width="15.140625" customWidth="1"/>
    <col min="14089" max="14089" width="18" customWidth="1"/>
    <col min="14090" max="14090" width="17.28515625" customWidth="1"/>
    <col min="14091" max="14091" width="27.140625" customWidth="1"/>
    <col min="14092" max="14092" width="21.5703125" customWidth="1"/>
    <col min="14093" max="14093" width="19.28515625" customWidth="1"/>
    <col min="14094" max="14094" width="19.7109375" customWidth="1"/>
    <col min="14095" max="14095" width="24.5703125" customWidth="1"/>
    <col min="14096" max="14096" width="23.7109375" customWidth="1"/>
    <col min="14337" max="14337" width="32.5703125" customWidth="1"/>
    <col min="14338" max="14338" width="32" customWidth="1"/>
    <col min="14339" max="14339" width="20.28515625" customWidth="1"/>
    <col min="14340" max="14340" width="0" hidden="1" customWidth="1"/>
    <col min="14341" max="14341" width="19.42578125" customWidth="1"/>
    <col min="14342" max="14342" width="13.5703125" customWidth="1"/>
    <col min="14343" max="14343" width="36.5703125" customWidth="1"/>
    <col min="14344" max="14344" width="15.140625" customWidth="1"/>
    <col min="14345" max="14345" width="18" customWidth="1"/>
    <col min="14346" max="14346" width="17.28515625" customWidth="1"/>
    <col min="14347" max="14347" width="27.140625" customWidth="1"/>
    <col min="14348" max="14348" width="21.5703125" customWidth="1"/>
    <col min="14349" max="14349" width="19.28515625" customWidth="1"/>
    <col min="14350" max="14350" width="19.7109375" customWidth="1"/>
    <col min="14351" max="14351" width="24.5703125" customWidth="1"/>
    <col min="14352" max="14352" width="23.7109375" customWidth="1"/>
    <col min="14593" max="14593" width="32.5703125" customWidth="1"/>
    <col min="14594" max="14594" width="32" customWidth="1"/>
    <col min="14595" max="14595" width="20.28515625" customWidth="1"/>
    <col min="14596" max="14596" width="0" hidden="1" customWidth="1"/>
    <col min="14597" max="14597" width="19.42578125" customWidth="1"/>
    <col min="14598" max="14598" width="13.5703125" customWidth="1"/>
    <col min="14599" max="14599" width="36.5703125" customWidth="1"/>
    <col min="14600" max="14600" width="15.140625" customWidth="1"/>
    <col min="14601" max="14601" width="18" customWidth="1"/>
    <col min="14602" max="14602" width="17.28515625" customWidth="1"/>
    <col min="14603" max="14603" width="27.140625" customWidth="1"/>
    <col min="14604" max="14604" width="21.5703125" customWidth="1"/>
    <col min="14605" max="14605" width="19.28515625" customWidth="1"/>
    <col min="14606" max="14606" width="19.7109375" customWidth="1"/>
    <col min="14607" max="14607" width="24.5703125" customWidth="1"/>
    <col min="14608" max="14608" width="23.7109375" customWidth="1"/>
    <col min="14849" max="14849" width="32.5703125" customWidth="1"/>
    <col min="14850" max="14850" width="32" customWidth="1"/>
    <col min="14851" max="14851" width="20.28515625" customWidth="1"/>
    <col min="14852" max="14852" width="0" hidden="1" customWidth="1"/>
    <col min="14853" max="14853" width="19.42578125" customWidth="1"/>
    <col min="14854" max="14854" width="13.5703125" customWidth="1"/>
    <col min="14855" max="14855" width="36.5703125" customWidth="1"/>
    <col min="14856" max="14856" width="15.140625" customWidth="1"/>
    <col min="14857" max="14857" width="18" customWidth="1"/>
    <col min="14858" max="14858" width="17.28515625" customWidth="1"/>
    <col min="14859" max="14859" width="27.140625" customWidth="1"/>
    <col min="14860" max="14860" width="21.5703125" customWidth="1"/>
    <col min="14861" max="14861" width="19.28515625" customWidth="1"/>
    <col min="14862" max="14862" width="19.7109375" customWidth="1"/>
    <col min="14863" max="14863" width="24.5703125" customWidth="1"/>
    <col min="14864" max="14864" width="23.7109375" customWidth="1"/>
    <col min="15105" max="15105" width="32.5703125" customWidth="1"/>
    <col min="15106" max="15106" width="32" customWidth="1"/>
    <col min="15107" max="15107" width="20.28515625" customWidth="1"/>
    <col min="15108" max="15108" width="0" hidden="1" customWidth="1"/>
    <col min="15109" max="15109" width="19.42578125" customWidth="1"/>
    <col min="15110" max="15110" width="13.5703125" customWidth="1"/>
    <col min="15111" max="15111" width="36.5703125" customWidth="1"/>
    <col min="15112" max="15112" width="15.140625" customWidth="1"/>
    <col min="15113" max="15113" width="18" customWidth="1"/>
    <col min="15114" max="15114" width="17.28515625" customWidth="1"/>
    <col min="15115" max="15115" width="27.140625" customWidth="1"/>
    <col min="15116" max="15116" width="21.5703125" customWidth="1"/>
    <col min="15117" max="15117" width="19.28515625" customWidth="1"/>
    <col min="15118" max="15118" width="19.7109375" customWidth="1"/>
    <col min="15119" max="15119" width="24.5703125" customWidth="1"/>
    <col min="15120" max="15120" width="23.7109375" customWidth="1"/>
    <col min="15361" max="15361" width="32.5703125" customWidth="1"/>
    <col min="15362" max="15362" width="32" customWidth="1"/>
    <col min="15363" max="15363" width="20.28515625" customWidth="1"/>
    <col min="15364" max="15364" width="0" hidden="1" customWidth="1"/>
    <col min="15365" max="15365" width="19.42578125" customWidth="1"/>
    <col min="15366" max="15366" width="13.5703125" customWidth="1"/>
    <col min="15367" max="15367" width="36.5703125" customWidth="1"/>
    <col min="15368" max="15368" width="15.140625" customWidth="1"/>
    <col min="15369" max="15369" width="18" customWidth="1"/>
    <col min="15370" max="15370" width="17.28515625" customWidth="1"/>
    <col min="15371" max="15371" width="27.140625" customWidth="1"/>
    <col min="15372" max="15372" width="21.5703125" customWidth="1"/>
    <col min="15373" max="15373" width="19.28515625" customWidth="1"/>
    <col min="15374" max="15374" width="19.7109375" customWidth="1"/>
    <col min="15375" max="15375" width="24.5703125" customWidth="1"/>
    <col min="15376" max="15376" width="23.7109375" customWidth="1"/>
    <col min="15617" max="15617" width="32.5703125" customWidth="1"/>
    <col min="15618" max="15618" width="32" customWidth="1"/>
    <col min="15619" max="15619" width="20.28515625" customWidth="1"/>
    <col min="15620" max="15620" width="0" hidden="1" customWidth="1"/>
    <col min="15621" max="15621" width="19.42578125" customWidth="1"/>
    <col min="15622" max="15622" width="13.5703125" customWidth="1"/>
    <col min="15623" max="15623" width="36.5703125" customWidth="1"/>
    <col min="15624" max="15624" width="15.140625" customWidth="1"/>
    <col min="15625" max="15625" width="18" customWidth="1"/>
    <col min="15626" max="15626" width="17.28515625" customWidth="1"/>
    <col min="15627" max="15627" width="27.140625" customWidth="1"/>
    <col min="15628" max="15628" width="21.5703125" customWidth="1"/>
    <col min="15629" max="15629" width="19.28515625" customWidth="1"/>
    <col min="15630" max="15630" width="19.7109375" customWidth="1"/>
    <col min="15631" max="15631" width="24.5703125" customWidth="1"/>
    <col min="15632" max="15632" width="23.7109375" customWidth="1"/>
    <col min="15873" max="15873" width="32.5703125" customWidth="1"/>
    <col min="15874" max="15874" width="32" customWidth="1"/>
    <col min="15875" max="15875" width="20.28515625" customWidth="1"/>
    <col min="15876" max="15876" width="0" hidden="1" customWidth="1"/>
    <col min="15877" max="15877" width="19.42578125" customWidth="1"/>
    <col min="15878" max="15878" width="13.5703125" customWidth="1"/>
    <col min="15879" max="15879" width="36.5703125" customWidth="1"/>
    <col min="15880" max="15880" width="15.140625" customWidth="1"/>
    <col min="15881" max="15881" width="18" customWidth="1"/>
    <col min="15882" max="15882" width="17.28515625" customWidth="1"/>
    <col min="15883" max="15883" width="27.140625" customWidth="1"/>
    <col min="15884" max="15884" width="21.5703125" customWidth="1"/>
    <col min="15885" max="15885" width="19.28515625" customWidth="1"/>
    <col min="15886" max="15886" width="19.7109375" customWidth="1"/>
    <col min="15887" max="15887" width="24.5703125" customWidth="1"/>
    <col min="15888" max="15888" width="23.7109375" customWidth="1"/>
    <col min="16129" max="16129" width="32.5703125" customWidth="1"/>
    <col min="16130" max="16130" width="32" customWidth="1"/>
    <col min="16131" max="16131" width="20.28515625" customWidth="1"/>
    <col min="16132" max="16132" width="0" hidden="1" customWidth="1"/>
    <col min="16133" max="16133" width="19.42578125" customWidth="1"/>
    <col min="16134" max="16134" width="13.5703125" customWidth="1"/>
    <col min="16135" max="16135" width="36.5703125" customWidth="1"/>
    <col min="16136" max="16136" width="15.140625" customWidth="1"/>
    <col min="16137" max="16137" width="18" customWidth="1"/>
    <col min="16138" max="16138" width="17.28515625" customWidth="1"/>
    <col min="16139" max="16139" width="27.140625" customWidth="1"/>
    <col min="16140" max="16140" width="21.5703125" customWidth="1"/>
    <col min="16141" max="16141" width="19.28515625" customWidth="1"/>
    <col min="16142" max="16142" width="19.7109375" customWidth="1"/>
    <col min="16143" max="16143" width="24.5703125" customWidth="1"/>
    <col min="16144" max="16144" width="23.7109375" customWidth="1"/>
  </cols>
  <sheetData>
    <row r="1" spans="1:16" ht="17.100000000000001" customHeight="1" x14ac:dyDescent="0.25">
      <c r="A1" s="2220" t="s">
        <v>3387</v>
      </c>
      <c r="B1" s="2139"/>
      <c r="C1" s="2139"/>
      <c r="D1" s="2139"/>
      <c r="E1" s="2139"/>
      <c r="F1" s="2139"/>
      <c r="G1" s="2139"/>
      <c r="H1" s="2139"/>
      <c r="I1" s="2139"/>
      <c r="J1" s="2139"/>
      <c r="K1" s="2139"/>
      <c r="L1" s="2139"/>
      <c r="M1" s="2139"/>
      <c r="N1" s="2139"/>
      <c r="O1" s="2139"/>
      <c r="P1" s="2139"/>
    </row>
    <row r="2" spans="1:16" ht="15.4" customHeight="1" x14ac:dyDescent="0.25"/>
    <row r="3" spans="1:16" ht="17.100000000000001" customHeight="1" x14ac:dyDescent="0.25">
      <c r="A3" s="2221" t="s">
        <v>3388</v>
      </c>
      <c r="B3" s="2139"/>
      <c r="C3" s="2139"/>
      <c r="D3" s="2139"/>
      <c r="E3" s="2139"/>
      <c r="F3" s="2139"/>
      <c r="G3" s="2139"/>
      <c r="H3" s="2139"/>
      <c r="I3" s="2139"/>
      <c r="J3" s="2139"/>
      <c r="K3" s="2139"/>
      <c r="L3" s="2139"/>
      <c r="M3" s="2139"/>
      <c r="N3" s="2139"/>
      <c r="O3" s="2139"/>
      <c r="P3" s="2139"/>
    </row>
    <row r="4" spans="1:16" ht="7.35" customHeight="1" x14ac:dyDescent="0.25"/>
    <row r="5" spans="1:16" x14ac:dyDescent="0.25">
      <c r="A5" s="1659" t="s">
        <v>1995</v>
      </c>
      <c r="B5" s="2140" t="s">
        <v>2562</v>
      </c>
      <c r="C5" s="2139"/>
    </row>
    <row r="6" spans="1:16" ht="409.6" hidden="1" customHeight="1" x14ac:dyDescent="0.25"/>
    <row r="7" spans="1:16" ht="14.85" customHeight="1" x14ac:dyDescent="0.25"/>
    <row r="8" spans="1:16" x14ac:dyDescent="0.25">
      <c r="A8" s="2222" t="s">
        <v>3389</v>
      </c>
      <c r="B8" s="2171"/>
      <c r="C8" s="2171"/>
      <c r="D8" s="2171"/>
      <c r="E8" s="2172"/>
      <c r="F8" s="2222" t="s">
        <v>3390</v>
      </c>
      <c r="G8" s="2172"/>
      <c r="H8" s="2222" t="s">
        <v>3391</v>
      </c>
      <c r="I8" s="2222" t="s">
        <v>3392</v>
      </c>
      <c r="J8" s="2222" t="s">
        <v>3393</v>
      </c>
      <c r="K8" s="2222" t="s">
        <v>2720</v>
      </c>
      <c r="L8" s="2222" t="s">
        <v>3394</v>
      </c>
      <c r="M8" s="2222" t="s">
        <v>3395</v>
      </c>
      <c r="N8" s="2222" t="s">
        <v>3396</v>
      </c>
      <c r="O8" s="2222" t="s">
        <v>3397</v>
      </c>
      <c r="P8" s="2222" t="s">
        <v>3398</v>
      </c>
    </row>
    <row r="9" spans="1:16" x14ac:dyDescent="0.25">
      <c r="A9" s="1730" t="s">
        <v>371</v>
      </c>
      <c r="B9" s="1730" t="s">
        <v>372</v>
      </c>
      <c r="C9" s="1730" t="s">
        <v>3399</v>
      </c>
      <c r="E9" s="1730" t="s">
        <v>3400</v>
      </c>
      <c r="F9" s="1730" t="s">
        <v>371</v>
      </c>
      <c r="G9" s="1730" t="s">
        <v>372</v>
      </c>
      <c r="H9" s="2157"/>
      <c r="I9" s="2157"/>
      <c r="J9" s="2157"/>
      <c r="K9" s="2157"/>
      <c r="L9" s="2157"/>
      <c r="M9" s="2157"/>
      <c r="N9" s="2157"/>
      <c r="O9" s="2157"/>
      <c r="P9" s="2157"/>
    </row>
    <row r="10" spans="1:16" x14ac:dyDescent="0.25">
      <c r="A10" s="2219" t="s">
        <v>57</v>
      </c>
      <c r="B10" s="2171"/>
      <c r="C10" s="2171"/>
      <c r="D10" s="2171"/>
      <c r="E10" s="2171"/>
      <c r="F10" s="2171"/>
      <c r="G10" s="2171"/>
      <c r="H10" s="2172"/>
      <c r="I10" s="1731">
        <v>60865022</v>
      </c>
      <c r="J10" s="1731">
        <v>46636519.960000001</v>
      </c>
      <c r="K10" s="1732"/>
      <c r="L10" s="1732"/>
      <c r="M10" s="1732"/>
      <c r="N10" s="1732"/>
      <c r="O10" s="1732"/>
      <c r="P10" s="1732"/>
    </row>
    <row r="11" spans="1:16" x14ac:dyDescent="0.25">
      <c r="A11" s="1736"/>
      <c r="B11" s="1669"/>
      <c r="C11" s="1669"/>
      <c r="D11" s="1737"/>
      <c r="E11" s="1669"/>
      <c r="F11" s="1669"/>
      <c r="G11" s="1669"/>
      <c r="H11" s="1670"/>
      <c r="I11" s="1731"/>
      <c r="J11" s="1731"/>
      <c r="K11" s="1732"/>
      <c r="L11" s="1732"/>
      <c r="M11" s="1732"/>
      <c r="N11" s="1732"/>
      <c r="O11" s="1732"/>
      <c r="P11" s="1732"/>
    </row>
    <row r="12" spans="1:16" ht="25.5" hidden="1" x14ac:dyDescent="0.25">
      <c r="A12" s="1733" t="s">
        <v>737</v>
      </c>
      <c r="B12" s="1733" t="s">
        <v>279</v>
      </c>
      <c r="C12" s="1733" t="s">
        <v>1940</v>
      </c>
      <c r="E12" s="1733" t="s">
        <v>2109</v>
      </c>
      <c r="F12" s="1733" t="s">
        <v>2896</v>
      </c>
      <c r="G12" s="1733" t="s">
        <v>284</v>
      </c>
      <c r="H12" s="1734">
        <v>42506</v>
      </c>
      <c r="I12" s="1735">
        <v>736499</v>
      </c>
      <c r="J12" s="1735">
        <v>626024</v>
      </c>
      <c r="K12" s="1734">
        <v>42605</v>
      </c>
      <c r="L12" s="1733"/>
      <c r="M12" s="1734">
        <v>42508</v>
      </c>
      <c r="N12" s="1734">
        <v>42611</v>
      </c>
      <c r="O12" s="1733" t="s">
        <v>3401</v>
      </c>
      <c r="P12" s="1733" t="s">
        <v>3402</v>
      </c>
    </row>
    <row r="13" spans="1:16" ht="25.5" hidden="1" x14ac:dyDescent="0.25">
      <c r="A13" s="1733" t="s">
        <v>739</v>
      </c>
      <c r="B13" s="1733" t="s">
        <v>238</v>
      </c>
      <c r="C13" s="1733" t="s">
        <v>1940</v>
      </c>
      <c r="E13" s="1733" t="s">
        <v>2109</v>
      </c>
      <c r="F13" s="1733" t="s">
        <v>3009</v>
      </c>
      <c r="G13" s="1733" t="s">
        <v>236</v>
      </c>
      <c r="H13" s="1734">
        <v>42515</v>
      </c>
      <c r="I13" s="1735">
        <v>727472.94</v>
      </c>
      <c r="J13" s="1735">
        <v>618351.99</v>
      </c>
      <c r="K13" s="1734">
        <v>42593</v>
      </c>
      <c r="L13" s="1733"/>
      <c r="M13" s="1734">
        <v>42516</v>
      </c>
      <c r="N13" s="1734">
        <v>42601</v>
      </c>
      <c r="O13" s="1733" t="s">
        <v>3403</v>
      </c>
      <c r="P13" s="1733" t="s">
        <v>3404</v>
      </c>
    </row>
    <row r="14" spans="1:16" ht="38.25" hidden="1" x14ac:dyDescent="0.25">
      <c r="A14" s="1733" t="s">
        <v>741</v>
      </c>
      <c r="B14" s="1733" t="s">
        <v>189</v>
      </c>
      <c r="C14" s="1733" t="s">
        <v>1940</v>
      </c>
      <c r="E14" s="1733" t="s">
        <v>2109</v>
      </c>
      <c r="F14" s="1733" t="s">
        <v>2904</v>
      </c>
      <c r="G14" s="1733" t="s">
        <v>184</v>
      </c>
      <c r="H14" s="1734">
        <v>42523</v>
      </c>
      <c r="I14" s="1735">
        <v>241889</v>
      </c>
      <c r="J14" s="1735">
        <v>205605.65</v>
      </c>
      <c r="K14" s="1734">
        <v>42626</v>
      </c>
      <c r="L14" s="1733"/>
      <c r="M14" s="1734">
        <v>42527</v>
      </c>
      <c r="N14" s="1734">
        <v>42633</v>
      </c>
      <c r="O14" s="1733" t="s">
        <v>3405</v>
      </c>
      <c r="P14" s="1733" t="s">
        <v>3406</v>
      </c>
    </row>
    <row r="15" spans="1:16" ht="38.25" hidden="1" x14ac:dyDescent="0.25">
      <c r="A15" s="1733" t="s">
        <v>720</v>
      </c>
      <c r="B15" s="1733" t="s">
        <v>303</v>
      </c>
      <c r="C15" s="1733" t="s">
        <v>1940</v>
      </c>
      <c r="E15" s="1733" t="s">
        <v>2109</v>
      </c>
      <c r="F15" s="1733" t="s">
        <v>2896</v>
      </c>
      <c r="G15" s="1733" t="s">
        <v>284</v>
      </c>
      <c r="H15" s="1734">
        <v>42555</v>
      </c>
      <c r="I15" s="1735">
        <v>1516932.01</v>
      </c>
      <c r="J15" s="1735">
        <v>1441085.4</v>
      </c>
      <c r="K15" s="1734">
        <v>42733</v>
      </c>
      <c r="L15" s="1733"/>
      <c r="M15" s="1734">
        <v>42556</v>
      </c>
      <c r="N15" s="1734">
        <v>42745</v>
      </c>
      <c r="O15" s="1733" t="s">
        <v>3407</v>
      </c>
      <c r="P15" s="1733" t="s">
        <v>3408</v>
      </c>
    </row>
    <row r="16" spans="1:16" ht="25.5" hidden="1" x14ac:dyDescent="0.25">
      <c r="A16" s="1733" t="s">
        <v>738</v>
      </c>
      <c r="B16" s="1733" t="s">
        <v>220</v>
      </c>
      <c r="C16" s="1733" t="s">
        <v>1940</v>
      </c>
      <c r="E16" s="1733" t="s">
        <v>2109</v>
      </c>
      <c r="F16" s="1733" t="s">
        <v>2875</v>
      </c>
      <c r="G16" s="1733" t="s">
        <v>350</v>
      </c>
      <c r="H16" s="1734">
        <v>42563</v>
      </c>
      <c r="I16" s="1735">
        <v>891741.18</v>
      </c>
      <c r="J16" s="1735">
        <v>757980</v>
      </c>
      <c r="K16" s="1734">
        <v>42599</v>
      </c>
      <c r="L16" s="1733"/>
      <c r="M16" s="1734">
        <v>42515</v>
      </c>
      <c r="N16" s="1734">
        <v>42608</v>
      </c>
      <c r="O16" s="1733" t="s">
        <v>3409</v>
      </c>
      <c r="P16" s="1733" t="s">
        <v>3410</v>
      </c>
    </row>
    <row r="17" spans="1:16" ht="25.5" hidden="1" x14ac:dyDescent="0.25">
      <c r="A17" s="1733" t="s">
        <v>740</v>
      </c>
      <c r="B17" s="1733" t="s">
        <v>283</v>
      </c>
      <c r="C17" s="1733" t="s">
        <v>1940</v>
      </c>
      <c r="E17" s="1733" t="s">
        <v>2109</v>
      </c>
      <c r="F17" s="1733" t="s">
        <v>2888</v>
      </c>
      <c r="G17" s="1733" t="s">
        <v>161</v>
      </c>
      <c r="H17" s="1734">
        <v>42566</v>
      </c>
      <c r="I17" s="1735">
        <v>368599</v>
      </c>
      <c r="J17" s="1735">
        <v>313012</v>
      </c>
      <c r="K17" s="1734">
        <v>42613</v>
      </c>
      <c r="L17" s="1733"/>
      <c r="M17" s="1734">
        <v>42524</v>
      </c>
      <c r="N17" s="1734">
        <v>42621</v>
      </c>
      <c r="O17" s="1733" t="s">
        <v>3411</v>
      </c>
      <c r="P17" s="1733" t="s">
        <v>3410</v>
      </c>
    </row>
    <row r="18" spans="1:16" ht="25.5" hidden="1" x14ac:dyDescent="0.25">
      <c r="A18" s="1733" t="s">
        <v>723</v>
      </c>
      <c r="B18" s="1733" t="s">
        <v>301</v>
      </c>
      <c r="C18" s="1733" t="s">
        <v>1940</v>
      </c>
      <c r="E18" s="1733" t="s">
        <v>2109</v>
      </c>
      <c r="F18" s="1733" t="s">
        <v>2888</v>
      </c>
      <c r="G18" s="1733" t="s">
        <v>161</v>
      </c>
      <c r="H18" s="1734">
        <v>42580</v>
      </c>
      <c r="I18" s="1735">
        <v>343507</v>
      </c>
      <c r="J18" s="1735">
        <v>317743.96999999997</v>
      </c>
      <c r="K18" s="1734">
        <v>42709</v>
      </c>
      <c r="L18" s="1733"/>
      <c r="M18" s="1734">
        <v>42584</v>
      </c>
      <c r="N18" s="1734">
        <v>42713</v>
      </c>
      <c r="O18" s="1733" t="s">
        <v>3412</v>
      </c>
      <c r="P18" s="1733" t="s">
        <v>3413</v>
      </c>
    </row>
    <row r="19" spans="1:16" ht="25.5" hidden="1" x14ac:dyDescent="0.25">
      <c r="A19" s="1733" t="s">
        <v>722</v>
      </c>
      <c r="B19" s="1733" t="s">
        <v>160</v>
      </c>
      <c r="C19" s="1733" t="s">
        <v>1940</v>
      </c>
      <c r="E19" s="1733" t="s">
        <v>2109</v>
      </c>
      <c r="F19" s="1733" t="s">
        <v>3009</v>
      </c>
      <c r="G19" s="1733" t="s">
        <v>236</v>
      </c>
      <c r="H19" s="1734">
        <v>42583</v>
      </c>
      <c r="I19" s="1735">
        <v>474784</v>
      </c>
      <c r="J19" s="1735">
        <v>308519</v>
      </c>
      <c r="K19" s="1734">
        <v>42699</v>
      </c>
      <c r="L19" s="1733"/>
      <c r="M19" s="1734">
        <v>42583</v>
      </c>
      <c r="N19" s="1734">
        <v>42705</v>
      </c>
      <c r="O19" s="1733" t="s">
        <v>3407</v>
      </c>
      <c r="P19" s="1733" t="s">
        <v>3414</v>
      </c>
    </row>
    <row r="20" spans="1:16" ht="38.25" hidden="1" x14ac:dyDescent="0.25">
      <c r="A20" s="1733" t="s">
        <v>712</v>
      </c>
      <c r="B20" s="1733" t="s">
        <v>295</v>
      </c>
      <c r="C20" s="1733" t="s">
        <v>1940</v>
      </c>
      <c r="E20" s="1733" t="s">
        <v>2109</v>
      </c>
      <c r="F20" s="1733" t="s">
        <v>2948</v>
      </c>
      <c r="G20" s="1733" t="s">
        <v>2947</v>
      </c>
      <c r="H20" s="1734">
        <v>42671</v>
      </c>
      <c r="I20" s="1735">
        <v>2477103.23</v>
      </c>
      <c r="J20" s="1735">
        <v>1614228.26</v>
      </c>
      <c r="K20" s="1734">
        <v>42766</v>
      </c>
      <c r="L20" s="1733"/>
      <c r="M20" s="1734">
        <v>42674</v>
      </c>
      <c r="N20" s="1734">
        <v>42766</v>
      </c>
      <c r="O20" s="1733" t="s">
        <v>3415</v>
      </c>
      <c r="P20" s="1733"/>
    </row>
    <row r="21" spans="1:16" ht="38.25" hidden="1" x14ac:dyDescent="0.25">
      <c r="A21" s="1733" t="s">
        <v>713</v>
      </c>
      <c r="B21" s="1733" t="s">
        <v>393</v>
      </c>
      <c r="C21" s="1733" t="s">
        <v>1940</v>
      </c>
      <c r="E21" s="1733" t="s">
        <v>2109</v>
      </c>
      <c r="F21" s="1733" t="s">
        <v>2921</v>
      </c>
      <c r="G21" s="1733" t="s">
        <v>2920</v>
      </c>
      <c r="H21" s="1734">
        <v>42674</v>
      </c>
      <c r="I21" s="1735">
        <v>5993883</v>
      </c>
      <c r="J21" s="1735">
        <v>2645996.25</v>
      </c>
      <c r="K21" s="1734">
        <v>42726</v>
      </c>
      <c r="L21" s="1733"/>
      <c r="M21" s="1734">
        <v>42678</v>
      </c>
      <c r="N21" s="1734">
        <v>42726</v>
      </c>
      <c r="O21" s="1733" t="s">
        <v>3416</v>
      </c>
      <c r="P21" s="1733"/>
    </row>
    <row r="22" spans="1:16" ht="38.25" hidden="1" x14ac:dyDescent="0.25">
      <c r="A22" s="1733" t="s">
        <v>716</v>
      </c>
      <c r="B22" s="1733" t="s">
        <v>299</v>
      </c>
      <c r="C22" s="1733" t="s">
        <v>1940</v>
      </c>
      <c r="E22" s="1733" t="s">
        <v>2109</v>
      </c>
      <c r="F22" s="1733" t="s">
        <v>2961</v>
      </c>
      <c r="G22" s="1733" t="s">
        <v>228</v>
      </c>
      <c r="H22" s="1734">
        <v>42682</v>
      </c>
      <c r="I22" s="1735">
        <v>2359811.84</v>
      </c>
      <c r="J22" s="1735">
        <v>1479103.09</v>
      </c>
      <c r="K22" s="1734">
        <v>42810</v>
      </c>
      <c r="L22" s="1733"/>
      <c r="M22" s="1734">
        <v>42682</v>
      </c>
      <c r="N22" s="1734">
        <v>42823</v>
      </c>
      <c r="O22" s="1733" t="s">
        <v>3417</v>
      </c>
      <c r="P22" s="1733"/>
    </row>
    <row r="23" spans="1:16" ht="51" hidden="1" x14ac:dyDescent="0.25">
      <c r="A23" s="1733" t="s">
        <v>718</v>
      </c>
      <c r="B23" s="1733" t="s">
        <v>2157</v>
      </c>
      <c r="C23" s="1733" t="s">
        <v>1940</v>
      </c>
      <c r="E23" s="1733" t="s">
        <v>2109</v>
      </c>
      <c r="F23" s="1733" t="s">
        <v>2888</v>
      </c>
      <c r="G23" s="1733" t="s">
        <v>161</v>
      </c>
      <c r="H23" s="1734">
        <v>42706</v>
      </c>
      <c r="I23" s="1735">
        <v>288106</v>
      </c>
      <c r="J23" s="1735">
        <v>244890.1</v>
      </c>
      <c r="K23" s="1734">
        <v>42811</v>
      </c>
      <c r="L23" s="1733"/>
      <c r="M23" s="1734">
        <v>42706</v>
      </c>
      <c r="N23" s="1734">
        <v>42811</v>
      </c>
      <c r="O23" s="1733" t="s">
        <v>3418</v>
      </c>
      <c r="P23" s="1733" t="s">
        <v>3419</v>
      </c>
    </row>
    <row r="24" spans="1:16" ht="25.5" hidden="1" x14ac:dyDescent="0.25">
      <c r="A24" s="1733" t="s">
        <v>717</v>
      </c>
      <c r="B24" s="1733" t="s">
        <v>307</v>
      </c>
      <c r="C24" s="1733" t="s">
        <v>1940</v>
      </c>
      <c r="E24" s="1733" t="s">
        <v>2109</v>
      </c>
      <c r="F24" s="1733" t="s">
        <v>2921</v>
      </c>
      <c r="G24" s="1733" t="s">
        <v>2920</v>
      </c>
      <c r="H24" s="1734">
        <v>42726</v>
      </c>
      <c r="I24" s="1735">
        <v>2809404.09</v>
      </c>
      <c r="J24" s="1735">
        <v>2387993.48</v>
      </c>
      <c r="K24" s="1734">
        <v>42815</v>
      </c>
      <c r="L24" s="1733"/>
      <c r="M24" s="1734">
        <v>42727</v>
      </c>
      <c r="N24" s="1734">
        <v>42815</v>
      </c>
      <c r="O24" s="1733" t="s">
        <v>3420</v>
      </c>
      <c r="P24" s="1733"/>
    </row>
    <row r="25" spans="1:16" ht="25.5" hidden="1" x14ac:dyDescent="0.25">
      <c r="A25" s="1733" t="s">
        <v>732</v>
      </c>
      <c r="B25" s="1733" t="s">
        <v>313</v>
      </c>
      <c r="C25" s="1733" t="s">
        <v>1940</v>
      </c>
      <c r="E25" s="1733" t="s">
        <v>2109</v>
      </c>
      <c r="F25" s="1733" t="s">
        <v>2896</v>
      </c>
      <c r="G25" s="1733" t="s">
        <v>284</v>
      </c>
      <c r="H25" s="1734">
        <v>42734</v>
      </c>
      <c r="I25" s="1735">
        <v>148480</v>
      </c>
      <c r="J25" s="1735">
        <v>126208</v>
      </c>
      <c r="K25" s="1734">
        <v>42849</v>
      </c>
      <c r="L25" s="1733"/>
      <c r="M25" s="1734">
        <v>42737</v>
      </c>
      <c r="N25" s="1734">
        <v>42858</v>
      </c>
      <c r="O25" s="1733" t="s">
        <v>3421</v>
      </c>
      <c r="P25" s="1733" t="s">
        <v>3402</v>
      </c>
    </row>
    <row r="26" spans="1:16" ht="25.5" hidden="1" x14ac:dyDescent="0.25">
      <c r="A26" s="1733" t="s">
        <v>733</v>
      </c>
      <c r="B26" s="1733" t="s">
        <v>315</v>
      </c>
      <c r="C26" s="1733" t="s">
        <v>1940</v>
      </c>
      <c r="E26" s="1733" t="s">
        <v>2109</v>
      </c>
      <c r="F26" s="1733" t="s">
        <v>3009</v>
      </c>
      <c r="G26" s="1733" t="s">
        <v>236</v>
      </c>
      <c r="H26" s="1734">
        <v>42734</v>
      </c>
      <c r="I26" s="1735">
        <v>151437</v>
      </c>
      <c r="J26" s="1735">
        <v>128721</v>
      </c>
      <c r="K26" s="1734">
        <v>42851</v>
      </c>
      <c r="L26" s="1733"/>
      <c r="M26" s="1734">
        <v>42737</v>
      </c>
      <c r="N26" s="1734">
        <v>42863</v>
      </c>
      <c r="O26" s="1733" t="s">
        <v>3422</v>
      </c>
      <c r="P26" s="1733" t="s">
        <v>3423</v>
      </c>
    </row>
    <row r="27" spans="1:16" ht="51" hidden="1" x14ac:dyDescent="0.25">
      <c r="A27" s="1733" t="s">
        <v>715</v>
      </c>
      <c r="B27" s="1733" t="s">
        <v>280</v>
      </c>
      <c r="C27" s="1733" t="s">
        <v>1940</v>
      </c>
      <c r="E27" s="1733" t="s">
        <v>2109</v>
      </c>
      <c r="F27" s="1733" t="s">
        <v>2970</v>
      </c>
      <c r="G27" s="1733" t="s">
        <v>2969</v>
      </c>
      <c r="H27" s="1734">
        <v>42734</v>
      </c>
      <c r="I27" s="1735">
        <v>1288228.01</v>
      </c>
      <c r="J27" s="1735">
        <v>790102</v>
      </c>
      <c r="K27" s="1734">
        <v>42818</v>
      </c>
      <c r="L27" s="1733"/>
      <c r="M27" s="1734">
        <v>42737</v>
      </c>
      <c r="N27" s="1734">
        <v>42821</v>
      </c>
      <c r="O27" s="1733" t="s">
        <v>3420</v>
      </c>
      <c r="P27" s="1733"/>
    </row>
    <row r="28" spans="1:16" ht="38.25" hidden="1" x14ac:dyDescent="0.25">
      <c r="A28" s="1733" t="s">
        <v>734</v>
      </c>
      <c r="B28" s="1733" t="s">
        <v>316</v>
      </c>
      <c r="C28" s="1733" t="s">
        <v>1940</v>
      </c>
      <c r="E28" s="1733" t="s">
        <v>2109</v>
      </c>
      <c r="F28" s="1733" t="s">
        <v>3113</v>
      </c>
      <c r="G28" s="1733" t="s">
        <v>317</v>
      </c>
      <c r="H28" s="1734">
        <v>42737</v>
      </c>
      <c r="I28" s="1735">
        <v>146319</v>
      </c>
      <c r="J28" s="1735">
        <v>146319</v>
      </c>
      <c r="K28" s="1734">
        <v>42825</v>
      </c>
      <c r="L28" s="1733"/>
      <c r="M28" s="1734">
        <v>42738</v>
      </c>
      <c r="N28" s="1734">
        <v>42837</v>
      </c>
      <c r="O28" s="1733" t="s">
        <v>3411</v>
      </c>
      <c r="P28" s="1733" t="s">
        <v>3424</v>
      </c>
    </row>
    <row r="29" spans="1:16" ht="25.5" hidden="1" x14ac:dyDescent="0.25">
      <c r="A29" s="1733" t="s">
        <v>735</v>
      </c>
      <c r="B29" s="1733" t="s">
        <v>314</v>
      </c>
      <c r="C29" s="1733" t="s">
        <v>1940</v>
      </c>
      <c r="E29" s="1733" t="s">
        <v>2109</v>
      </c>
      <c r="F29" s="1733" t="s">
        <v>2904</v>
      </c>
      <c r="G29" s="1733" t="s">
        <v>184</v>
      </c>
      <c r="H29" s="1734">
        <v>42738</v>
      </c>
      <c r="I29" s="1735">
        <v>188353</v>
      </c>
      <c r="J29" s="1735">
        <v>160100</v>
      </c>
      <c r="K29" s="1734">
        <v>42888</v>
      </c>
      <c r="L29" s="1733"/>
      <c r="M29" s="1734">
        <v>42740</v>
      </c>
      <c r="N29" s="1734">
        <v>42892</v>
      </c>
      <c r="O29" s="1733" t="s">
        <v>3403</v>
      </c>
      <c r="P29" s="1733" t="s">
        <v>3425</v>
      </c>
    </row>
    <row r="30" spans="1:16" ht="25.5" hidden="1" x14ac:dyDescent="0.25">
      <c r="A30" s="1733" t="s">
        <v>724</v>
      </c>
      <c r="B30" s="1733" t="s">
        <v>134</v>
      </c>
      <c r="C30" s="1733" t="s">
        <v>1940</v>
      </c>
      <c r="E30" s="1733" t="s">
        <v>2109</v>
      </c>
      <c r="F30" s="1733" t="s">
        <v>2896</v>
      </c>
      <c r="G30" s="1733" t="s">
        <v>284</v>
      </c>
      <c r="H30" s="1734">
        <v>42754</v>
      </c>
      <c r="I30" s="1735">
        <v>352401</v>
      </c>
      <c r="J30" s="1735">
        <v>299540.84999999998</v>
      </c>
      <c r="K30" s="1734">
        <v>42860</v>
      </c>
      <c r="L30" s="1733"/>
      <c r="M30" s="1734">
        <v>42755</v>
      </c>
      <c r="N30" s="1734">
        <v>42866</v>
      </c>
      <c r="O30" s="1733" t="s">
        <v>3426</v>
      </c>
      <c r="P30" s="1733" t="s">
        <v>3408</v>
      </c>
    </row>
    <row r="31" spans="1:16" ht="25.5" hidden="1" x14ac:dyDescent="0.25">
      <c r="A31" s="1733" t="s">
        <v>719</v>
      </c>
      <c r="B31" s="1733" t="s">
        <v>272</v>
      </c>
      <c r="C31" s="1733" t="s">
        <v>1940</v>
      </c>
      <c r="E31" s="1733" t="s">
        <v>2109</v>
      </c>
      <c r="F31" s="1733" t="s">
        <v>2875</v>
      </c>
      <c r="G31" s="1733" t="s">
        <v>350</v>
      </c>
      <c r="H31" s="1734">
        <v>42755</v>
      </c>
      <c r="I31" s="1735">
        <v>208223.53</v>
      </c>
      <c r="J31" s="1735">
        <v>176990</v>
      </c>
      <c r="K31" s="1734">
        <v>42835</v>
      </c>
      <c r="L31" s="1733"/>
      <c r="M31" s="1734">
        <v>42755</v>
      </c>
      <c r="N31" s="1734">
        <v>42836</v>
      </c>
      <c r="O31" s="1733" t="s">
        <v>3427</v>
      </c>
      <c r="P31" s="1733" t="s">
        <v>3428</v>
      </c>
    </row>
    <row r="32" spans="1:16" ht="51" hidden="1" x14ac:dyDescent="0.25">
      <c r="A32" s="1733" t="s">
        <v>725</v>
      </c>
      <c r="B32" s="1733" t="s">
        <v>2279</v>
      </c>
      <c r="C32" s="1733" t="s">
        <v>1940</v>
      </c>
      <c r="E32" s="1733" t="s">
        <v>2109</v>
      </c>
      <c r="F32" s="1733" t="s">
        <v>2875</v>
      </c>
      <c r="G32" s="1733" t="s">
        <v>350</v>
      </c>
      <c r="H32" s="1734">
        <v>42761</v>
      </c>
      <c r="I32" s="1735">
        <v>783264.16</v>
      </c>
      <c r="J32" s="1735">
        <v>299541</v>
      </c>
      <c r="K32" s="1734">
        <v>42886</v>
      </c>
      <c r="L32" s="1733"/>
      <c r="M32" s="1734">
        <v>42762</v>
      </c>
      <c r="N32" s="1734">
        <v>42893</v>
      </c>
      <c r="O32" s="1733" t="s">
        <v>3429</v>
      </c>
      <c r="P32" s="1733" t="s">
        <v>3430</v>
      </c>
    </row>
    <row r="33" spans="1:16" ht="51" hidden="1" x14ac:dyDescent="0.25">
      <c r="A33" s="1733" t="s">
        <v>726</v>
      </c>
      <c r="B33" s="1733" t="s">
        <v>2292</v>
      </c>
      <c r="C33" s="1733" t="s">
        <v>1940</v>
      </c>
      <c r="E33" s="1733" t="s">
        <v>2109</v>
      </c>
      <c r="F33" s="1733" t="s">
        <v>3009</v>
      </c>
      <c r="G33" s="1733" t="s">
        <v>236</v>
      </c>
      <c r="H33" s="1734">
        <v>42762</v>
      </c>
      <c r="I33" s="1735">
        <v>352401</v>
      </c>
      <c r="J33" s="1735">
        <v>299540.84999999998</v>
      </c>
      <c r="K33" s="1734">
        <v>42857</v>
      </c>
      <c r="L33" s="1733"/>
      <c r="M33" s="1734">
        <v>42765</v>
      </c>
      <c r="N33" s="1734">
        <v>42865</v>
      </c>
      <c r="O33" s="1733" t="s">
        <v>3431</v>
      </c>
      <c r="P33" s="1733" t="s">
        <v>3410</v>
      </c>
    </row>
    <row r="34" spans="1:16" ht="25.5" hidden="1" x14ac:dyDescent="0.25">
      <c r="A34" s="1733" t="s">
        <v>736</v>
      </c>
      <c r="B34" s="1733" t="s">
        <v>218</v>
      </c>
      <c r="C34" s="1733" t="s">
        <v>1940</v>
      </c>
      <c r="E34" s="1733" t="s">
        <v>2109</v>
      </c>
      <c r="F34" s="1733" t="s">
        <v>2875</v>
      </c>
      <c r="G34" s="1733" t="s">
        <v>350</v>
      </c>
      <c r="H34" s="1734">
        <v>42766</v>
      </c>
      <c r="I34" s="1735">
        <v>637900.55000000005</v>
      </c>
      <c r="J34" s="1735">
        <v>346361</v>
      </c>
      <c r="K34" s="1734">
        <v>42936</v>
      </c>
      <c r="L34" s="1733"/>
      <c r="M34" s="1734">
        <v>42769</v>
      </c>
      <c r="N34" s="1734">
        <v>42941</v>
      </c>
      <c r="O34" s="1733" t="s">
        <v>3405</v>
      </c>
      <c r="P34" s="1733" t="s">
        <v>3406</v>
      </c>
    </row>
    <row r="35" spans="1:16" ht="38.25" hidden="1" x14ac:dyDescent="0.25">
      <c r="A35" s="1733" t="s">
        <v>743</v>
      </c>
      <c r="B35" s="1733" t="s">
        <v>192</v>
      </c>
      <c r="C35" s="1733" t="s">
        <v>1940</v>
      </c>
      <c r="E35" s="1733" t="s">
        <v>2109</v>
      </c>
      <c r="F35" s="1733" t="s">
        <v>2904</v>
      </c>
      <c r="G35" s="1733" t="s">
        <v>184</v>
      </c>
      <c r="H35" s="1734">
        <v>42769</v>
      </c>
      <c r="I35" s="1735">
        <v>101765.7</v>
      </c>
      <c r="J35" s="1735">
        <v>86500.800000000003</v>
      </c>
      <c r="K35" s="1734">
        <v>43003</v>
      </c>
      <c r="L35" s="1733"/>
      <c r="M35" s="1734">
        <v>42769</v>
      </c>
      <c r="N35" s="1734">
        <v>43010</v>
      </c>
      <c r="O35" s="1733" t="s">
        <v>3432</v>
      </c>
      <c r="P35" s="1733"/>
    </row>
    <row r="36" spans="1:16" ht="38.25" hidden="1" x14ac:dyDescent="0.25">
      <c r="A36" s="1733" t="s">
        <v>744</v>
      </c>
      <c r="B36" s="1733" t="s">
        <v>308</v>
      </c>
      <c r="C36" s="1733" t="s">
        <v>1940</v>
      </c>
      <c r="E36" s="1733" t="s">
        <v>2109</v>
      </c>
      <c r="F36" s="1733" t="s">
        <v>2896</v>
      </c>
      <c r="G36" s="1733" t="s">
        <v>284</v>
      </c>
      <c r="H36" s="1734">
        <v>42797</v>
      </c>
      <c r="I36" s="1735">
        <v>309522</v>
      </c>
      <c r="J36" s="1735">
        <v>263093.7</v>
      </c>
      <c r="K36" s="1734">
        <v>42901</v>
      </c>
      <c r="L36" s="1733"/>
      <c r="M36" s="1734">
        <v>42800</v>
      </c>
      <c r="N36" s="1734">
        <v>42902</v>
      </c>
      <c r="O36" s="1733" t="s">
        <v>3432</v>
      </c>
      <c r="P36" s="1733"/>
    </row>
    <row r="37" spans="1:16" ht="25.5" hidden="1" x14ac:dyDescent="0.25">
      <c r="A37" s="1733" t="s">
        <v>745</v>
      </c>
      <c r="B37" s="1733" t="s">
        <v>292</v>
      </c>
      <c r="C37" s="1733" t="s">
        <v>1940</v>
      </c>
      <c r="E37" s="1733" t="s">
        <v>2109</v>
      </c>
      <c r="F37" s="1733" t="s">
        <v>2888</v>
      </c>
      <c r="G37" s="1733" t="s">
        <v>161</v>
      </c>
      <c r="H37" s="1734">
        <v>42825</v>
      </c>
      <c r="I37" s="1735">
        <v>442298.59</v>
      </c>
      <c r="J37" s="1735">
        <v>375953.81</v>
      </c>
      <c r="K37" s="1734">
        <v>42935</v>
      </c>
      <c r="L37" s="1733"/>
      <c r="M37" s="1734">
        <v>42828</v>
      </c>
      <c r="N37" s="1734">
        <v>42936</v>
      </c>
      <c r="O37" s="1733" t="s">
        <v>3433</v>
      </c>
      <c r="P37" s="1733"/>
    </row>
    <row r="38" spans="1:16" ht="25.5" hidden="1" x14ac:dyDescent="0.25">
      <c r="A38" s="1733" t="s">
        <v>742</v>
      </c>
      <c r="B38" s="1733" t="s">
        <v>2134</v>
      </c>
      <c r="C38" s="1733" t="s">
        <v>1940</v>
      </c>
      <c r="E38" s="1733" t="s">
        <v>2109</v>
      </c>
      <c r="F38" s="1733" t="s">
        <v>2936</v>
      </c>
      <c r="G38" s="1733" t="s">
        <v>2935</v>
      </c>
      <c r="H38" s="1734">
        <v>42832</v>
      </c>
      <c r="I38" s="1735">
        <v>4130687.05</v>
      </c>
      <c r="J38" s="1735">
        <v>3352807.77</v>
      </c>
      <c r="K38" s="1734">
        <v>42957</v>
      </c>
      <c r="L38" s="1733"/>
      <c r="M38" s="1734">
        <v>42839</v>
      </c>
      <c r="N38" s="1734">
        <v>42965</v>
      </c>
      <c r="O38" s="1733" t="s">
        <v>3434</v>
      </c>
      <c r="P38" s="1733"/>
    </row>
    <row r="39" spans="1:16" ht="38.25" hidden="1" x14ac:dyDescent="0.25">
      <c r="A39" s="1733" t="s">
        <v>730</v>
      </c>
      <c r="B39" s="1733" t="s">
        <v>2201</v>
      </c>
      <c r="C39" s="1733" t="s">
        <v>1940</v>
      </c>
      <c r="E39" s="1733" t="s">
        <v>2109</v>
      </c>
      <c r="F39" s="1733" t="s">
        <v>2875</v>
      </c>
      <c r="G39" s="1733" t="s">
        <v>350</v>
      </c>
      <c r="H39" s="1734">
        <v>42851</v>
      </c>
      <c r="I39" s="1735">
        <v>879927.06</v>
      </c>
      <c r="J39" s="1735">
        <v>747938</v>
      </c>
      <c r="K39" s="1734">
        <v>42920</v>
      </c>
      <c r="L39" s="1733"/>
      <c r="M39" s="1734">
        <v>42852</v>
      </c>
      <c r="N39" s="1734">
        <v>42920</v>
      </c>
      <c r="O39" s="1733" t="s">
        <v>3435</v>
      </c>
      <c r="P39" s="1733" t="s">
        <v>3406</v>
      </c>
    </row>
    <row r="40" spans="1:16" ht="38.25" hidden="1" x14ac:dyDescent="0.25">
      <c r="A40" s="1733" t="s">
        <v>721</v>
      </c>
      <c r="B40" s="1733" t="s">
        <v>305</v>
      </c>
      <c r="C40" s="1733" t="s">
        <v>1940</v>
      </c>
      <c r="E40" s="1733" t="s">
        <v>2109</v>
      </c>
      <c r="F40" s="1733" t="s">
        <v>2896</v>
      </c>
      <c r="G40" s="1733" t="s">
        <v>284</v>
      </c>
      <c r="H40" s="1734">
        <v>42863</v>
      </c>
      <c r="I40" s="1735">
        <v>995216.11</v>
      </c>
      <c r="J40" s="1735">
        <v>920574.9</v>
      </c>
      <c r="K40" s="1734">
        <v>42984</v>
      </c>
      <c r="L40" s="1733"/>
      <c r="M40" s="1734">
        <v>42863</v>
      </c>
      <c r="N40" s="1734">
        <v>42990</v>
      </c>
      <c r="O40" s="1733" t="s">
        <v>3407</v>
      </c>
      <c r="P40" s="1733" t="s">
        <v>3408</v>
      </c>
    </row>
    <row r="41" spans="1:16" ht="51" hidden="1" x14ac:dyDescent="0.25">
      <c r="A41" s="1733" t="s">
        <v>746</v>
      </c>
      <c r="B41" s="1733" t="s">
        <v>394</v>
      </c>
      <c r="C41" s="1733" t="s">
        <v>1940</v>
      </c>
      <c r="E41" s="1733" t="s">
        <v>2109</v>
      </c>
      <c r="F41" s="1733" t="s">
        <v>2875</v>
      </c>
      <c r="G41" s="1733" t="s">
        <v>350</v>
      </c>
      <c r="H41" s="1734">
        <v>42867</v>
      </c>
      <c r="I41" s="1735">
        <v>3993</v>
      </c>
      <c r="J41" s="1735">
        <v>3394.05</v>
      </c>
      <c r="K41" s="1734">
        <v>42965</v>
      </c>
      <c r="L41" s="1733"/>
      <c r="M41" s="1734">
        <v>42872</v>
      </c>
      <c r="N41" s="1734">
        <v>42968</v>
      </c>
      <c r="O41" s="1733" t="s">
        <v>3432</v>
      </c>
      <c r="P41" s="1733"/>
    </row>
    <row r="42" spans="1:16" ht="38.25" hidden="1" x14ac:dyDescent="0.25">
      <c r="A42" s="1733" t="s">
        <v>731</v>
      </c>
      <c r="B42" s="1733" t="s">
        <v>2209</v>
      </c>
      <c r="C42" s="1733" t="s">
        <v>1940</v>
      </c>
      <c r="E42" s="1733" t="s">
        <v>2109</v>
      </c>
      <c r="F42" s="1733" t="s">
        <v>2896</v>
      </c>
      <c r="G42" s="1733" t="s">
        <v>284</v>
      </c>
      <c r="H42" s="1734">
        <v>42887</v>
      </c>
      <c r="I42" s="1735">
        <v>835464</v>
      </c>
      <c r="J42" s="1735">
        <v>710144</v>
      </c>
      <c r="K42" s="1734">
        <v>42992</v>
      </c>
      <c r="L42" s="1733"/>
      <c r="M42" s="1734">
        <v>42887</v>
      </c>
      <c r="N42" s="1734">
        <v>42993</v>
      </c>
      <c r="O42" s="1733" t="s">
        <v>3436</v>
      </c>
      <c r="P42" s="1733" t="s">
        <v>3408</v>
      </c>
    </row>
    <row r="43" spans="1:16" ht="38.25" hidden="1" x14ac:dyDescent="0.25">
      <c r="A43" s="1733" t="s">
        <v>747</v>
      </c>
      <c r="B43" s="1733" t="s">
        <v>383</v>
      </c>
      <c r="C43" s="1733" t="s">
        <v>1853</v>
      </c>
      <c r="E43" s="1733" t="s">
        <v>2186</v>
      </c>
      <c r="F43" s="1733" t="s">
        <v>3009</v>
      </c>
      <c r="G43" s="1733" t="s">
        <v>236</v>
      </c>
      <c r="H43" s="1734">
        <v>42887</v>
      </c>
      <c r="I43" s="1735">
        <v>121153.55</v>
      </c>
      <c r="J43" s="1735">
        <v>102980.52</v>
      </c>
      <c r="K43" s="1734">
        <v>42936</v>
      </c>
      <c r="L43" s="1734">
        <v>43355</v>
      </c>
      <c r="M43" s="1734">
        <v>42888</v>
      </c>
      <c r="N43" s="1734">
        <v>42943</v>
      </c>
      <c r="O43" s="1733" t="s">
        <v>3432</v>
      </c>
      <c r="P43" s="1733"/>
    </row>
    <row r="44" spans="1:16" ht="38.25" hidden="1" x14ac:dyDescent="0.25">
      <c r="A44" s="1733" t="s">
        <v>729</v>
      </c>
      <c r="B44" s="1733" t="s">
        <v>643</v>
      </c>
      <c r="C44" s="1733" t="s">
        <v>1940</v>
      </c>
      <c r="E44" s="1733" t="s">
        <v>2109</v>
      </c>
      <c r="F44" s="1733" t="s">
        <v>2875</v>
      </c>
      <c r="G44" s="1733" t="s">
        <v>350</v>
      </c>
      <c r="H44" s="1734">
        <v>42914</v>
      </c>
      <c r="I44" s="1735">
        <v>133670.07</v>
      </c>
      <c r="J44" s="1735">
        <v>113619.56</v>
      </c>
      <c r="K44" s="1734">
        <v>42991</v>
      </c>
      <c r="L44" s="1733"/>
      <c r="M44" s="1734">
        <v>42914</v>
      </c>
      <c r="N44" s="1734">
        <v>42991</v>
      </c>
      <c r="O44" s="1733" t="s">
        <v>3437</v>
      </c>
      <c r="P44" s="1733" t="s">
        <v>3404</v>
      </c>
    </row>
    <row r="45" spans="1:16" ht="38.25" hidden="1" x14ac:dyDescent="0.25">
      <c r="A45" s="1733" t="s">
        <v>804</v>
      </c>
      <c r="B45" s="1733" t="s">
        <v>282</v>
      </c>
      <c r="C45" s="1733" t="s">
        <v>1940</v>
      </c>
      <c r="E45" s="1733" t="s">
        <v>2109</v>
      </c>
      <c r="F45" s="1733" t="s">
        <v>3354</v>
      </c>
      <c r="G45" s="1733" t="s">
        <v>3353</v>
      </c>
      <c r="H45" s="1734">
        <v>42915</v>
      </c>
      <c r="I45" s="1735">
        <v>135814</v>
      </c>
      <c r="J45" s="1735">
        <v>115441</v>
      </c>
      <c r="K45" s="1734">
        <v>43045</v>
      </c>
      <c r="L45" s="1733"/>
      <c r="M45" s="1734">
        <v>42915</v>
      </c>
      <c r="N45" s="1734">
        <v>43048</v>
      </c>
      <c r="O45" s="1733" t="s">
        <v>3438</v>
      </c>
      <c r="P45" s="1733" t="s">
        <v>3424</v>
      </c>
    </row>
    <row r="46" spans="1:16" ht="38.25" hidden="1" x14ac:dyDescent="0.25">
      <c r="A46" s="1733" t="s">
        <v>714</v>
      </c>
      <c r="B46" s="1733" t="s">
        <v>306</v>
      </c>
      <c r="C46" s="1733" t="s">
        <v>1940</v>
      </c>
      <c r="E46" s="1733" t="s">
        <v>2109</v>
      </c>
      <c r="F46" s="1733" t="s">
        <v>2977</v>
      </c>
      <c r="G46" s="1733" t="s">
        <v>2976</v>
      </c>
      <c r="H46" s="1734">
        <v>42919</v>
      </c>
      <c r="I46" s="1735">
        <v>1481000</v>
      </c>
      <c r="J46" s="1735">
        <v>867744</v>
      </c>
      <c r="K46" s="1734">
        <v>43146</v>
      </c>
      <c r="L46" s="1733"/>
      <c r="M46" s="1734">
        <v>42919</v>
      </c>
      <c r="N46" s="1734">
        <v>43150</v>
      </c>
      <c r="O46" s="1733" t="s">
        <v>3416</v>
      </c>
      <c r="P46" s="1733"/>
    </row>
    <row r="47" spans="1:16" ht="25.5" hidden="1" x14ac:dyDescent="0.25">
      <c r="A47" s="1733" t="s">
        <v>2407</v>
      </c>
      <c r="B47" s="1733" t="s">
        <v>2408</v>
      </c>
      <c r="C47" s="1733" t="s">
        <v>1940</v>
      </c>
      <c r="E47" s="1733" t="s">
        <v>2109</v>
      </c>
      <c r="F47" s="1733" t="s">
        <v>3163</v>
      </c>
      <c r="G47" s="1733" t="s">
        <v>3162</v>
      </c>
      <c r="H47" s="1734">
        <v>42926</v>
      </c>
      <c r="I47" s="1735">
        <v>136133.06</v>
      </c>
      <c r="J47" s="1735">
        <v>136133.06</v>
      </c>
      <c r="K47" s="1734">
        <v>43005</v>
      </c>
      <c r="L47" s="1733"/>
      <c r="M47" s="1734">
        <v>42926</v>
      </c>
      <c r="N47" s="1734">
        <v>43010</v>
      </c>
      <c r="O47" s="1733" t="s">
        <v>3439</v>
      </c>
      <c r="P47" s="1733" t="s">
        <v>3440</v>
      </c>
    </row>
    <row r="48" spans="1:16" ht="25.5" hidden="1" x14ac:dyDescent="0.25">
      <c r="A48" s="1733" t="s">
        <v>2417</v>
      </c>
      <c r="B48" s="1733" t="s">
        <v>2418</v>
      </c>
      <c r="C48" s="1733" t="s">
        <v>1940</v>
      </c>
      <c r="E48" s="1733" t="s">
        <v>2109</v>
      </c>
      <c r="F48" s="1733" t="s">
        <v>3173</v>
      </c>
      <c r="G48" s="1733" t="s">
        <v>3172</v>
      </c>
      <c r="H48" s="1734">
        <v>42928</v>
      </c>
      <c r="I48" s="1735">
        <v>1814953.52</v>
      </c>
      <c r="J48" s="1735">
        <v>1814953.52</v>
      </c>
      <c r="K48" s="1734">
        <v>43005</v>
      </c>
      <c r="L48" s="1733"/>
      <c r="M48" s="1734">
        <v>42928</v>
      </c>
      <c r="N48" s="1734">
        <v>43006</v>
      </c>
      <c r="O48" s="1733" t="s">
        <v>3441</v>
      </c>
      <c r="P48" s="1733" t="s">
        <v>3440</v>
      </c>
    </row>
    <row r="49" spans="1:16" ht="38.25" hidden="1" x14ac:dyDescent="0.25">
      <c r="A49" s="1733" t="s">
        <v>2498</v>
      </c>
      <c r="B49" s="1733" t="s">
        <v>281</v>
      </c>
      <c r="C49" s="1733" t="s">
        <v>1940</v>
      </c>
      <c r="E49" s="1733" t="s">
        <v>2109</v>
      </c>
      <c r="F49" s="1733" t="s">
        <v>2888</v>
      </c>
      <c r="G49" s="1733" t="s">
        <v>161</v>
      </c>
      <c r="H49" s="1734">
        <v>42991</v>
      </c>
      <c r="I49" s="1735">
        <v>195779</v>
      </c>
      <c r="J49" s="1735">
        <v>181095</v>
      </c>
      <c r="K49" s="1734">
        <v>43150</v>
      </c>
      <c r="L49" s="1733"/>
      <c r="M49" s="1734">
        <v>42991</v>
      </c>
      <c r="N49" s="1734">
        <v>43154</v>
      </c>
      <c r="O49" s="1733" t="s">
        <v>3442</v>
      </c>
      <c r="P49" s="1733" t="s">
        <v>3406</v>
      </c>
    </row>
    <row r="50" spans="1:16" ht="38.25" hidden="1" x14ac:dyDescent="0.25">
      <c r="A50" s="1733" t="s">
        <v>2503</v>
      </c>
      <c r="B50" s="1733" t="s">
        <v>644</v>
      </c>
      <c r="C50" s="1733" t="s">
        <v>1940</v>
      </c>
      <c r="E50" s="1733" t="s">
        <v>2109</v>
      </c>
      <c r="F50" s="1733" t="s">
        <v>2875</v>
      </c>
      <c r="G50" s="1733" t="s">
        <v>350</v>
      </c>
      <c r="H50" s="1734">
        <v>42991</v>
      </c>
      <c r="I50" s="1735">
        <v>657021</v>
      </c>
      <c r="J50" s="1735">
        <v>607744</v>
      </c>
      <c r="K50" s="1734">
        <v>43139</v>
      </c>
      <c r="L50" s="1733"/>
      <c r="M50" s="1734">
        <v>42991</v>
      </c>
      <c r="N50" s="1734">
        <v>43145</v>
      </c>
      <c r="O50" s="1733" t="s">
        <v>3442</v>
      </c>
      <c r="P50" s="1733" t="s">
        <v>3424</v>
      </c>
    </row>
    <row r="51" spans="1:16" ht="25.5" hidden="1" x14ac:dyDescent="0.25">
      <c r="A51" s="1733" t="s">
        <v>821</v>
      </c>
      <c r="B51" s="1733" t="s">
        <v>234</v>
      </c>
      <c r="C51" s="1733" t="s">
        <v>1940</v>
      </c>
      <c r="E51" s="1733" t="s">
        <v>2109</v>
      </c>
      <c r="F51" s="1733" t="s">
        <v>3009</v>
      </c>
      <c r="G51" s="1733" t="s">
        <v>236</v>
      </c>
      <c r="H51" s="1734">
        <v>42993</v>
      </c>
      <c r="I51" s="1735">
        <v>146702.29999999999</v>
      </c>
      <c r="J51" s="1735">
        <v>124266</v>
      </c>
      <c r="K51" s="1734">
        <v>43097</v>
      </c>
      <c r="L51" s="1733"/>
      <c r="M51" s="1734">
        <v>42993</v>
      </c>
      <c r="N51" s="1734">
        <v>43102</v>
      </c>
      <c r="O51" s="1733" t="s">
        <v>3443</v>
      </c>
      <c r="P51" s="1733" t="s">
        <v>3424</v>
      </c>
    </row>
    <row r="52" spans="1:16" ht="63.75" hidden="1" x14ac:dyDescent="0.25">
      <c r="A52" s="1733" t="s">
        <v>3342</v>
      </c>
      <c r="B52" s="1733" t="s">
        <v>654</v>
      </c>
      <c r="C52" s="1733" t="s">
        <v>1940</v>
      </c>
      <c r="E52" s="1733" t="s">
        <v>2109</v>
      </c>
      <c r="F52" s="1733" t="s">
        <v>2896</v>
      </c>
      <c r="G52" s="1733" t="s">
        <v>284</v>
      </c>
      <c r="H52" s="1734">
        <v>42993</v>
      </c>
      <c r="I52" s="1735">
        <v>220453</v>
      </c>
      <c r="J52" s="1735">
        <v>203919</v>
      </c>
      <c r="K52" s="1734">
        <v>43117</v>
      </c>
      <c r="L52" s="1733"/>
      <c r="M52" s="1734">
        <v>42993</v>
      </c>
      <c r="N52" s="1734">
        <v>43123</v>
      </c>
      <c r="O52" s="1733" t="s">
        <v>3442</v>
      </c>
      <c r="P52" s="1733" t="s">
        <v>3402</v>
      </c>
    </row>
    <row r="53" spans="1:16" ht="38.25" hidden="1" x14ac:dyDescent="0.25">
      <c r="A53" s="1733" t="s">
        <v>820</v>
      </c>
      <c r="B53" s="1733" t="s">
        <v>232</v>
      </c>
      <c r="C53" s="1733" t="s">
        <v>1940</v>
      </c>
      <c r="E53" s="1733" t="s">
        <v>2109</v>
      </c>
      <c r="F53" s="1733" t="s">
        <v>3009</v>
      </c>
      <c r="G53" s="1733" t="s">
        <v>236</v>
      </c>
      <c r="H53" s="1734">
        <v>42993</v>
      </c>
      <c r="I53" s="1735">
        <v>163877</v>
      </c>
      <c r="J53" s="1735">
        <v>151586</v>
      </c>
      <c r="K53" s="1734">
        <v>43098</v>
      </c>
      <c r="L53" s="1733"/>
      <c r="M53" s="1734">
        <v>42993</v>
      </c>
      <c r="N53" s="1734">
        <v>43110</v>
      </c>
      <c r="O53" s="1733" t="s">
        <v>3442</v>
      </c>
      <c r="P53" s="1733" t="s">
        <v>3424</v>
      </c>
    </row>
    <row r="54" spans="1:16" ht="51" hidden="1" x14ac:dyDescent="0.25">
      <c r="A54" s="1733" t="s">
        <v>823</v>
      </c>
      <c r="B54" s="1733" t="s">
        <v>187</v>
      </c>
      <c r="C54" s="1733" t="s">
        <v>1940</v>
      </c>
      <c r="E54" s="1733" t="s">
        <v>2109</v>
      </c>
      <c r="F54" s="1733" t="s">
        <v>2904</v>
      </c>
      <c r="G54" s="1733" t="s">
        <v>184</v>
      </c>
      <c r="H54" s="1734">
        <v>43003</v>
      </c>
      <c r="I54" s="1735">
        <v>106845.41</v>
      </c>
      <c r="J54" s="1735">
        <v>98832</v>
      </c>
      <c r="K54" s="1734">
        <v>43112</v>
      </c>
      <c r="L54" s="1733"/>
      <c r="M54" s="1734">
        <v>43003</v>
      </c>
      <c r="N54" s="1734">
        <v>43125</v>
      </c>
      <c r="O54" s="1733" t="s">
        <v>3444</v>
      </c>
      <c r="P54" s="1733" t="s">
        <v>3406</v>
      </c>
    </row>
    <row r="55" spans="1:16" ht="38.25" hidden="1" x14ac:dyDescent="0.25">
      <c r="A55" s="1733" t="s">
        <v>824</v>
      </c>
      <c r="B55" s="1733" t="s">
        <v>2533</v>
      </c>
      <c r="C55" s="1733" t="s">
        <v>1940</v>
      </c>
      <c r="E55" s="1733" t="s">
        <v>2109</v>
      </c>
      <c r="F55" s="1733" t="s">
        <v>2896</v>
      </c>
      <c r="G55" s="1733" t="s">
        <v>284</v>
      </c>
      <c r="H55" s="1734">
        <v>43004</v>
      </c>
      <c r="I55" s="1735">
        <v>437551</v>
      </c>
      <c r="J55" s="1735">
        <v>371918</v>
      </c>
      <c r="K55" s="1734">
        <v>43097</v>
      </c>
      <c r="L55" s="1733"/>
      <c r="M55" s="1734">
        <v>43004</v>
      </c>
      <c r="N55" s="1734">
        <v>43105</v>
      </c>
      <c r="O55" s="1733" t="s">
        <v>3445</v>
      </c>
      <c r="P55" s="1733" t="s">
        <v>3430</v>
      </c>
    </row>
    <row r="56" spans="1:16" ht="38.25" hidden="1" x14ac:dyDescent="0.25">
      <c r="A56" s="1733" t="s">
        <v>825</v>
      </c>
      <c r="B56" s="1733" t="s">
        <v>2538</v>
      </c>
      <c r="C56" s="1733" t="s">
        <v>1940</v>
      </c>
      <c r="E56" s="1733" t="s">
        <v>2109</v>
      </c>
      <c r="F56" s="1733" t="s">
        <v>2875</v>
      </c>
      <c r="G56" s="1733" t="s">
        <v>350</v>
      </c>
      <c r="H56" s="1734">
        <v>43006</v>
      </c>
      <c r="I56" s="1735">
        <v>397378</v>
      </c>
      <c r="J56" s="1735">
        <v>337771</v>
      </c>
      <c r="K56" s="1734">
        <v>43119</v>
      </c>
      <c r="L56" s="1733"/>
      <c r="M56" s="1734">
        <v>43006</v>
      </c>
      <c r="N56" s="1734">
        <v>43139</v>
      </c>
      <c r="O56" s="1733" t="s">
        <v>3446</v>
      </c>
      <c r="P56" s="1733" t="s">
        <v>3424</v>
      </c>
    </row>
    <row r="57" spans="1:16" ht="51" hidden="1" x14ac:dyDescent="0.25">
      <c r="A57" s="1733" t="s">
        <v>1227</v>
      </c>
      <c r="B57" s="1733" t="s">
        <v>2125</v>
      </c>
      <c r="C57" s="1733" t="s">
        <v>1940</v>
      </c>
      <c r="E57" s="1733" t="s">
        <v>2109</v>
      </c>
      <c r="F57" s="1733" t="s">
        <v>2888</v>
      </c>
      <c r="G57" s="1733" t="s">
        <v>161</v>
      </c>
      <c r="H57" s="1734">
        <v>43007</v>
      </c>
      <c r="I57" s="1735">
        <v>93938.42</v>
      </c>
      <c r="J57" s="1735">
        <v>73501</v>
      </c>
      <c r="K57" s="1734">
        <v>43119</v>
      </c>
      <c r="L57" s="1733"/>
      <c r="M57" s="1734">
        <v>43007</v>
      </c>
      <c r="N57" s="1734">
        <v>43122</v>
      </c>
      <c r="O57" s="1733" t="s">
        <v>3447</v>
      </c>
      <c r="P57" s="1733" t="s">
        <v>3408</v>
      </c>
    </row>
    <row r="58" spans="1:16" ht="38.25" hidden="1" x14ac:dyDescent="0.25">
      <c r="A58" s="1733" t="s">
        <v>822</v>
      </c>
      <c r="B58" s="1733" t="s">
        <v>651</v>
      </c>
      <c r="C58" s="1733" t="s">
        <v>1940</v>
      </c>
      <c r="E58" s="1733" t="s">
        <v>2109</v>
      </c>
      <c r="F58" s="1733" t="s">
        <v>2896</v>
      </c>
      <c r="G58" s="1733" t="s">
        <v>284</v>
      </c>
      <c r="H58" s="1734">
        <v>43007</v>
      </c>
      <c r="I58" s="1735">
        <v>757246.01</v>
      </c>
      <c r="J58" s="1735">
        <v>558856.32999999996</v>
      </c>
      <c r="K58" s="1734">
        <v>43105</v>
      </c>
      <c r="L58" s="1733"/>
      <c r="M58" s="1734">
        <v>43007</v>
      </c>
      <c r="N58" s="1734">
        <v>43116</v>
      </c>
      <c r="O58" s="1733" t="s">
        <v>3448</v>
      </c>
      <c r="P58" s="1733" t="s">
        <v>3406</v>
      </c>
    </row>
    <row r="59" spans="1:16" ht="38.25" hidden="1" x14ac:dyDescent="0.25">
      <c r="A59" s="1733" t="s">
        <v>3449</v>
      </c>
      <c r="B59" s="1733" t="s">
        <v>3450</v>
      </c>
      <c r="C59" s="1733" t="s">
        <v>3451</v>
      </c>
      <c r="E59" s="1733" t="s">
        <v>3452</v>
      </c>
      <c r="F59" s="1733" t="s">
        <v>3453</v>
      </c>
      <c r="G59" s="1733" t="s">
        <v>3454</v>
      </c>
      <c r="H59" s="1734">
        <v>43035</v>
      </c>
      <c r="I59" s="1735">
        <v>340962.68</v>
      </c>
      <c r="J59" s="1735">
        <v>289818.28000000003</v>
      </c>
      <c r="K59" s="1733"/>
      <c r="L59" s="1733"/>
      <c r="M59" s="1734">
        <v>43038</v>
      </c>
      <c r="N59" s="1733"/>
      <c r="O59" s="1733"/>
      <c r="P59" s="1733"/>
    </row>
    <row r="60" spans="1:16" ht="51" hidden="1" x14ac:dyDescent="0.25">
      <c r="A60" s="1733" t="s">
        <v>1226</v>
      </c>
      <c r="B60" s="1733" t="s">
        <v>125</v>
      </c>
      <c r="C60" s="1733" t="s">
        <v>1940</v>
      </c>
      <c r="E60" s="1733" t="s">
        <v>2109</v>
      </c>
      <c r="F60" s="1733" t="s">
        <v>2896</v>
      </c>
      <c r="G60" s="1733" t="s">
        <v>284</v>
      </c>
      <c r="H60" s="1734">
        <v>43039</v>
      </c>
      <c r="I60" s="1735">
        <v>605024.19999999995</v>
      </c>
      <c r="J60" s="1735">
        <v>559647.38</v>
      </c>
      <c r="K60" s="1734">
        <v>43125</v>
      </c>
      <c r="L60" s="1733"/>
      <c r="M60" s="1734">
        <v>43039</v>
      </c>
      <c r="N60" s="1734">
        <v>43140</v>
      </c>
      <c r="O60" s="1733" t="s">
        <v>3448</v>
      </c>
      <c r="P60" s="1733" t="s">
        <v>3424</v>
      </c>
    </row>
    <row r="61" spans="1:16" ht="38.25" hidden="1" x14ac:dyDescent="0.25">
      <c r="A61" s="1733" t="s">
        <v>1228</v>
      </c>
      <c r="B61" s="1733" t="s">
        <v>274</v>
      </c>
      <c r="C61" s="1733" t="s">
        <v>1940</v>
      </c>
      <c r="E61" s="1733" t="s">
        <v>2109</v>
      </c>
      <c r="F61" s="1733" t="s">
        <v>2896</v>
      </c>
      <c r="G61" s="1733" t="s">
        <v>284</v>
      </c>
      <c r="H61" s="1734">
        <v>43039</v>
      </c>
      <c r="I61" s="1735">
        <v>172733.52</v>
      </c>
      <c r="J61" s="1735">
        <v>146823.49</v>
      </c>
      <c r="K61" s="1734">
        <v>43137</v>
      </c>
      <c r="L61" s="1733"/>
      <c r="M61" s="1734">
        <v>43039</v>
      </c>
      <c r="N61" s="1734">
        <v>43143</v>
      </c>
      <c r="O61" s="1733" t="s">
        <v>3455</v>
      </c>
      <c r="P61" s="1733" t="s">
        <v>3456</v>
      </c>
    </row>
    <row r="62" spans="1:16" ht="38.25" hidden="1" x14ac:dyDescent="0.25">
      <c r="A62" s="1733" t="s">
        <v>3457</v>
      </c>
      <c r="B62" s="1733" t="s">
        <v>3458</v>
      </c>
      <c r="C62" s="1733" t="s">
        <v>3451</v>
      </c>
      <c r="E62" s="1733" t="s">
        <v>3452</v>
      </c>
      <c r="F62" s="1733" t="s">
        <v>3459</v>
      </c>
      <c r="G62" s="1733" t="s">
        <v>3460</v>
      </c>
      <c r="H62" s="1734">
        <v>43046</v>
      </c>
      <c r="I62" s="1735">
        <v>157956.47</v>
      </c>
      <c r="J62" s="1735">
        <v>134263</v>
      </c>
      <c r="K62" s="1733"/>
      <c r="L62" s="1733"/>
      <c r="M62" s="1734">
        <v>43046</v>
      </c>
      <c r="N62" s="1733"/>
      <c r="O62" s="1733"/>
      <c r="P62" s="1733"/>
    </row>
    <row r="63" spans="1:16" ht="51" hidden="1" x14ac:dyDescent="0.25">
      <c r="A63" s="1733" t="s">
        <v>3461</v>
      </c>
      <c r="B63" s="1733" t="s">
        <v>2125</v>
      </c>
      <c r="C63" s="1733" t="s">
        <v>3451</v>
      </c>
      <c r="E63" s="1733" t="s">
        <v>3452</v>
      </c>
      <c r="F63" s="1733" t="s">
        <v>2888</v>
      </c>
      <c r="G63" s="1733" t="s">
        <v>3462</v>
      </c>
      <c r="H63" s="1734">
        <v>43052</v>
      </c>
      <c r="I63" s="1735">
        <v>97868.08</v>
      </c>
      <c r="J63" s="1735">
        <v>73501</v>
      </c>
      <c r="K63" s="1733"/>
      <c r="L63" s="1733"/>
      <c r="M63" s="1734">
        <v>43052</v>
      </c>
      <c r="N63" s="1733"/>
      <c r="O63" s="1733"/>
      <c r="P63" s="1733"/>
    </row>
    <row r="64" spans="1:16" ht="51" hidden="1" x14ac:dyDescent="0.25">
      <c r="A64" s="1733" t="s">
        <v>1229</v>
      </c>
      <c r="B64" s="1733" t="s">
        <v>399</v>
      </c>
      <c r="C64" s="1733" t="s">
        <v>1940</v>
      </c>
      <c r="E64" s="1733" t="s">
        <v>2109</v>
      </c>
      <c r="F64" s="1733" t="s">
        <v>2888</v>
      </c>
      <c r="G64" s="1733" t="s">
        <v>161</v>
      </c>
      <c r="H64" s="1734">
        <v>43061</v>
      </c>
      <c r="I64" s="1735">
        <v>163986.88</v>
      </c>
      <c r="J64" s="1735">
        <v>139388</v>
      </c>
      <c r="K64" s="1734">
        <v>43144</v>
      </c>
      <c r="L64" s="1733"/>
      <c r="M64" s="1734">
        <v>43062</v>
      </c>
      <c r="N64" s="1734">
        <v>43152</v>
      </c>
      <c r="O64" s="1733" t="s">
        <v>3463</v>
      </c>
      <c r="P64" s="1733" t="s">
        <v>3456</v>
      </c>
    </row>
    <row r="65" spans="1:16" ht="25.5" hidden="1" x14ac:dyDescent="0.25">
      <c r="A65" s="1733" t="s">
        <v>1257</v>
      </c>
      <c r="B65" s="1733" t="s">
        <v>2484</v>
      </c>
      <c r="C65" s="1733" t="s">
        <v>1940</v>
      </c>
      <c r="E65" s="1733" t="s">
        <v>2109</v>
      </c>
      <c r="F65" s="1733" t="s">
        <v>2875</v>
      </c>
      <c r="G65" s="1733" t="s">
        <v>350</v>
      </c>
      <c r="H65" s="1734">
        <v>43076</v>
      </c>
      <c r="I65" s="1735">
        <v>181986</v>
      </c>
      <c r="J65" s="1735">
        <v>168337</v>
      </c>
      <c r="K65" s="1734">
        <v>43164</v>
      </c>
      <c r="L65" s="1733"/>
      <c r="M65" s="1734">
        <v>43076</v>
      </c>
      <c r="N65" s="1734">
        <v>43174</v>
      </c>
      <c r="O65" s="1733" t="s">
        <v>3446</v>
      </c>
      <c r="P65" s="1733" t="s">
        <v>3406</v>
      </c>
    </row>
    <row r="66" spans="1:16" ht="38.25" hidden="1" x14ac:dyDescent="0.25">
      <c r="A66" s="1733" t="s">
        <v>1258</v>
      </c>
      <c r="B66" s="1733" t="s">
        <v>650</v>
      </c>
      <c r="C66" s="1733" t="s">
        <v>1940</v>
      </c>
      <c r="E66" s="1733" t="s">
        <v>2109</v>
      </c>
      <c r="F66" s="1733" t="s">
        <v>2888</v>
      </c>
      <c r="G66" s="1733" t="s">
        <v>161</v>
      </c>
      <c r="H66" s="1734">
        <v>43080</v>
      </c>
      <c r="I66" s="1735">
        <v>133554.21</v>
      </c>
      <c r="J66" s="1735">
        <v>123528</v>
      </c>
      <c r="K66" s="1734">
        <v>43193</v>
      </c>
      <c r="L66" s="1733"/>
      <c r="M66" s="1734">
        <v>43080</v>
      </c>
      <c r="N66" s="1734">
        <v>43195</v>
      </c>
      <c r="O66" s="1733" t="s">
        <v>3464</v>
      </c>
      <c r="P66" s="1733" t="s">
        <v>3414</v>
      </c>
    </row>
    <row r="67" spans="1:16" ht="25.5" hidden="1" x14ac:dyDescent="0.25">
      <c r="A67" s="1733" t="s">
        <v>1259</v>
      </c>
      <c r="B67" s="1733" t="s">
        <v>138</v>
      </c>
      <c r="C67" s="1733" t="s">
        <v>1940</v>
      </c>
      <c r="E67" s="1733" t="s">
        <v>2109</v>
      </c>
      <c r="F67" s="1733" t="s">
        <v>2896</v>
      </c>
      <c r="G67" s="1733" t="s">
        <v>284</v>
      </c>
      <c r="H67" s="1734">
        <v>43080</v>
      </c>
      <c r="I67" s="1735">
        <v>370000</v>
      </c>
      <c r="J67" s="1735">
        <v>312658</v>
      </c>
      <c r="K67" s="1734">
        <v>43179</v>
      </c>
      <c r="L67" s="1733"/>
      <c r="M67" s="1734">
        <v>43080</v>
      </c>
      <c r="N67" s="1734">
        <v>43185</v>
      </c>
      <c r="O67" s="1733" t="s">
        <v>3465</v>
      </c>
      <c r="P67" s="1733" t="s">
        <v>3414</v>
      </c>
    </row>
    <row r="68" spans="1:16" ht="63.75" hidden="1" x14ac:dyDescent="0.25">
      <c r="A68" s="1733" t="s">
        <v>1260</v>
      </c>
      <c r="B68" s="1733" t="s">
        <v>3328</v>
      </c>
      <c r="C68" s="1733" t="s">
        <v>1940</v>
      </c>
      <c r="E68" s="1733" t="s">
        <v>2109</v>
      </c>
      <c r="F68" s="1733" t="s">
        <v>2904</v>
      </c>
      <c r="G68" s="1733" t="s">
        <v>184</v>
      </c>
      <c r="H68" s="1734">
        <v>43080</v>
      </c>
      <c r="I68" s="1735">
        <v>597456.88</v>
      </c>
      <c r="J68" s="1735">
        <v>537595</v>
      </c>
      <c r="K68" s="1734">
        <v>43186</v>
      </c>
      <c r="L68" s="1733"/>
      <c r="M68" s="1734">
        <v>43080</v>
      </c>
      <c r="N68" s="1734">
        <v>43193</v>
      </c>
      <c r="O68" s="1733" t="s">
        <v>3466</v>
      </c>
      <c r="P68" s="1733" t="s">
        <v>3425</v>
      </c>
    </row>
    <row r="69" spans="1:16" ht="51" hidden="1" x14ac:dyDescent="0.25">
      <c r="A69" s="1733" t="s">
        <v>1261</v>
      </c>
      <c r="B69" s="1733" t="s">
        <v>2494</v>
      </c>
      <c r="C69" s="1733" t="s">
        <v>3451</v>
      </c>
      <c r="E69" s="1733" t="s">
        <v>3467</v>
      </c>
      <c r="F69" s="1733" t="s">
        <v>3009</v>
      </c>
      <c r="G69" s="1733" t="s">
        <v>236</v>
      </c>
      <c r="H69" s="1734">
        <v>43080</v>
      </c>
      <c r="I69" s="1735">
        <v>221629.58</v>
      </c>
      <c r="J69" s="1735">
        <v>96933</v>
      </c>
      <c r="K69" s="1733"/>
      <c r="L69" s="1733"/>
      <c r="M69" s="1734">
        <v>43080</v>
      </c>
      <c r="N69" s="1733"/>
      <c r="O69" s="1733" t="s">
        <v>3468</v>
      </c>
      <c r="P69" s="1733"/>
    </row>
    <row r="70" spans="1:16" ht="38.25" hidden="1" x14ac:dyDescent="0.25">
      <c r="A70" s="1733" t="s">
        <v>826</v>
      </c>
      <c r="B70" s="1733" t="s">
        <v>645</v>
      </c>
      <c r="C70" s="1733" t="s">
        <v>1940</v>
      </c>
      <c r="E70" s="1733" t="s">
        <v>2109</v>
      </c>
      <c r="F70" s="1733" t="s">
        <v>2904</v>
      </c>
      <c r="G70" s="1733" t="s">
        <v>184</v>
      </c>
      <c r="H70" s="1734">
        <v>43081</v>
      </c>
      <c r="I70" s="1735">
        <v>856424.88</v>
      </c>
      <c r="J70" s="1735">
        <v>536611</v>
      </c>
      <c r="K70" s="1734">
        <v>43115</v>
      </c>
      <c r="L70" s="1733"/>
      <c r="M70" s="1734">
        <v>43007</v>
      </c>
      <c r="N70" s="1734">
        <v>43125</v>
      </c>
      <c r="O70" s="1733" t="s">
        <v>3469</v>
      </c>
      <c r="P70" s="1733" t="s">
        <v>3423</v>
      </c>
    </row>
    <row r="71" spans="1:16" ht="38.25" hidden="1" x14ac:dyDescent="0.25">
      <c r="A71" s="1733" t="s">
        <v>1255</v>
      </c>
      <c r="B71" s="1733" t="s">
        <v>320</v>
      </c>
      <c r="C71" s="1733" t="s">
        <v>1940</v>
      </c>
      <c r="E71" s="1733" t="s">
        <v>2109</v>
      </c>
      <c r="F71" s="1733" t="s">
        <v>2888</v>
      </c>
      <c r="G71" s="1733" t="s">
        <v>161</v>
      </c>
      <c r="H71" s="1734">
        <v>43097</v>
      </c>
      <c r="I71" s="1735">
        <v>484769.35</v>
      </c>
      <c r="J71" s="1735">
        <v>299541</v>
      </c>
      <c r="K71" s="1734">
        <v>43203</v>
      </c>
      <c r="L71" s="1733"/>
      <c r="M71" s="1734">
        <v>43097</v>
      </c>
      <c r="N71" s="1734">
        <v>43217</v>
      </c>
      <c r="O71" s="1733" t="s">
        <v>3470</v>
      </c>
      <c r="P71" s="1733" t="s">
        <v>3414</v>
      </c>
    </row>
    <row r="72" spans="1:16" ht="38.25" hidden="1" x14ac:dyDescent="0.25">
      <c r="A72" s="1733" t="s">
        <v>1256</v>
      </c>
      <c r="B72" s="1733" t="s">
        <v>653</v>
      </c>
      <c r="C72" s="1733" t="s">
        <v>1940</v>
      </c>
      <c r="E72" s="1733" t="s">
        <v>2109</v>
      </c>
      <c r="F72" s="1733" t="s">
        <v>2896</v>
      </c>
      <c r="G72" s="1733" t="s">
        <v>284</v>
      </c>
      <c r="H72" s="1734">
        <v>43098</v>
      </c>
      <c r="I72" s="1735">
        <v>95080</v>
      </c>
      <c r="J72" s="1735">
        <v>80810</v>
      </c>
      <c r="K72" s="1734">
        <v>43193</v>
      </c>
      <c r="L72" s="1733"/>
      <c r="M72" s="1734">
        <v>43098</v>
      </c>
      <c r="N72" s="1734">
        <v>43193</v>
      </c>
      <c r="O72" s="1733" t="s">
        <v>3471</v>
      </c>
      <c r="P72" s="1733" t="s">
        <v>3404</v>
      </c>
    </row>
    <row r="73" spans="1:16" ht="38.25" hidden="1" x14ac:dyDescent="0.25">
      <c r="A73" s="1733" t="s">
        <v>3472</v>
      </c>
      <c r="B73" s="1733" t="s">
        <v>3473</v>
      </c>
      <c r="C73" s="1733" t="s">
        <v>3451</v>
      </c>
      <c r="E73" s="1733" t="s">
        <v>3452</v>
      </c>
      <c r="F73" s="1733" t="s">
        <v>3474</v>
      </c>
      <c r="G73" s="1733" t="s">
        <v>3475</v>
      </c>
      <c r="H73" s="1734">
        <v>43119</v>
      </c>
      <c r="I73" s="1735">
        <v>342733.49</v>
      </c>
      <c r="J73" s="1735">
        <v>291323.46000000002</v>
      </c>
      <c r="K73" s="1733"/>
      <c r="L73" s="1733"/>
      <c r="M73" s="1734">
        <v>43119</v>
      </c>
      <c r="N73" s="1733"/>
      <c r="O73" s="1733"/>
      <c r="P73" s="1733"/>
    </row>
    <row r="74" spans="1:16" ht="51" hidden="1" x14ac:dyDescent="0.25">
      <c r="A74" s="1733" t="s">
        <v>1615</v>
      </c>
      <c r="B74" s="1733" t="s">
        <v>3060</v>
      </c>
      <c r="C74" s="1733" t="s">
        <v>1940</v>
      </c>
      <c r="E74" s="1733" t="s">
        <v>2109</v>
      </c>
      <c r="F74" s="1733" t="s">
        <v>2888</v>
      </c>
      <c r="G74" s="1733" t="s">
        <v>161</v>
      </c>
      <c r="H74" s="1734">
        <v>43130</v>
      </c>
      <c r="I74" s="1735">
        <v>759934</v>
      </c>
      <c r="J74" s="1735">
        <v>645944</v>
      </c>
      <c r="K74" s="1734">
        <v>43217</v>
      </c>
      <c r="L74" s="1733"/>
      <c r="M74" s="1734">
        <v>43130</v>
      </c>
      <c r="N74" s="1734">
        <v>43217</v>
      </c>
      <c r="O74" s="1733" t="s">
        <v>3476</v>
      </c>
      <c r="P74" s="1733" t="s">
        <v>3410</v>
      </c>
    </row>
    <row r="75" spans="1:16" ht="25.5" hidden="1" x14ac:dyDescent="0.25">
      <c r="A75" s="1733" t="s">
        <v>1616</v>
      </c>
      <c r="B75" s="1733" t="s">
        <v>386</v>
      </c>
      <c r="C75" s="1733" t="s">
        <v>1940</v>
      </c>
      <c r="E75" s="1733" t="s">
        <v>2109</v>
      </c>
      <c r="F75" s="1733" t="s">
        <v>2904</v>
      </c>
      <c r="G75" s="1733" t="s">
        <v>184</v>
      </c>
      <c r="H75" s="1734">
        <v>43131</v>
      </c>
      <c r="I75" s="1735">
        <v>98949.56</v>
      </c>
      <c r="J75" s="1735">
        <v>84107.13</v>
      </c>
      <c r="K75" s="1734">
        <v>43243</v>
      </c>
      <c r="L75" s="1733"/>
      <c r="M75" s="1734">
        <v>43131</v>
      </c>
      <c r="N75" s="1734">
        <v>43245</v>
      </c>
      <c r="O75" s="1733" t="s">
        <v>3477</v>
      </c>
      <c r="P75" s="1733" t="s">
        <v>3404</v>
      </c>
    </row>
    <row r="76" spans="1:16" ht="25.5" hidden="1" x14ac:dyDescent="0.25">
      <c r="A76" s="1733" t="s">
        <v>3478</v>
      </c>
      <c r="B76" s="1733" t="s">
        <v>3063</v>
      </c>
      <c r="C76" s="1733" t="s">
        <v>3451</v>
      </c>
      <c r="E76" s="1733" t="s">
        <v>3467</v>
      </c>
      <c r="F76" s="1733" t="s">
        <v>2904</v>
      </c>
      <c r="G76" s="1733" t="s">
        <v>184</v>
      </c>
      <c r="H76" s="1734">
        <v>43131</v>
      </c>
      <c r="I76" s="1735">
        <v>236915</v>
      </c>
      <c r="J76" s="1735">
        <v>200844</v>
      </c>
      <c r="K76" s="1733"/>
      <c r="L76" s="1733"/>
      <c r="M76" s="1734">
        <v>43131</v>
      </c>
      <c r="N76" s="1733"/>
      <c r="O76" s="1733"/>
      <c r="P76" s="1733"/>
    </row>
    <row r="77" spans="1:16" ht="38.25" hidden="1" x14ac:dyDescent="0.25">
      <c r="A77" s="1733" t="s">
        <v>1635</v>
      </c>
      <c r="B77" s="1733" t="s">
        <v>398</v>
      </c>
      <c r="C77" s="1733" t="s">
        <v>1940</v>
      </c>
      <c r="E77" s="1733" t="s">
        <v>2109</v>
      </c>
      <c r="F77" s="1733" t="s">
        <v>2904</v>
      </c>
      <c r="G77" s="1733" t="s">
        <v>184</v>
      </c>
      <c r="H77" s="1734">
        <v>43131</v>
      </c>
      <c r="I77" s="1735">
        <v>192832.21</v>
      </c>
      <c r="J77" s="1735">
        <v>163907.37</v>
      </c>
      <c r="K77" s="1734">
        <v>43220</v>
      </c>
      <c r="L77" s="1733"/>
      <c r="M77" s="1734">
        <v>43131</v>
      </c>
      <c r="N77" s="1734">
        <v>43230</v>
      </c>
      <c r="O77" s="1733" t="s">
        <v>3479</v>
      </c>
      <c r="P77" s="1733" t="s">
        <v>3480</v>
      </c>
    </row>
    <row r="78" spans="1:16" ht="38.25" hidden="1" x14ac:dyDescent="0.25">
      <c r="A78" s="1733" t="s">
        <v>1636</v>
      </c>
      <c r="B78" s="1733" t="s">
        <v>240</v>
      </c>
      <c r="C78" s="1733" t="s">
        <v>1940</v>
      </c>
      <c r="E78" s="1733" t="s">
        <v>2109</v>
      </c>
      <c r="F78" s="1733" t="s">
        <v>3009</v>
      </c>
      <c r="G78" s="1733" t="s">
        <v>236</v>
      </c>
      <c r="H78" s="1734">
        <v>43146</v>
      </c>
      <c r="I78" s="1735">
        <v>161741.96</v>
      </c>
      <c r="J78" s="1735">
        <v>137349.79999999999</v>
      </c>
      <c r="K78" s="1734">
        <v>43238</v>
      </c>
      <c r="L78" s="1733"/>
      <c r="M78" s="1734">
        <v>43154</v>
      </c>
      <c r="N78" s="1734">
        <v>43245</v>
      </c>
      <c r="O78" s="1733" t="s">
        <v>3481</v>
      </c>
      <c r="P78" s="1733" t="s">
        <v>3480</v>
      </c>
    </row>
    <row r="79" spans="1:16" ht="63.75" hidden="1" x14ac:dyDescent="0.25">
      <c r="A79" s="1733" t="s">
        <v>1637</v>
      </c>
      <c r="B79" s="1733" t="s">
        <v>1785</v>
      </c>
      <c r="C79" s="1733" t="s">
        <v>1940</v>
      </c>
      <c r="E79" s="1733" t="s">
        <v>2109</v>
      </c>
      <c r="F79" s="1733" t="s">
        <v>2875</v>
      </c>
      <c r="G79" s="1733" t="s">
        <v>350</v>
      </c>
      <c r="H79" s="1734">
        <v>43159</v>
      </c>
      <c r="I79" s="1735">
        <v>215693.16</v>
      </c>
      <c r="J79" s="1735">
        <v>183339.18</v>
      </c>
      <c r="K79" s="1734">
        <v>43237</v>
      </c>
      <c r="L79" s="1733"/>
      <c r="M79" s="1734">
        <v>43159</v>
      </c>
      <c r="N79" s="1734">
        <v>43251</v>
      </c>
      <c r="O79" s="1733" t="s">
        <v>3479</v>
      </c>
      <c r="P79" s="1733" t="s">
        <v>3480</v>
      </c>
    </row>
    <row r="80" spans="1:16" ht="51" hidden="1" x14ac:dyDescent="0.25">
      <c r="A80" s="1733" t="s">
        <v>2493</v>
      </c>
      <c r="B80" s="1733" t="s">
        <v>2494</v>
      </c>
      <c r="C80" s="1733" t="s">
        <v>1940</v>
      </c>
      <c r="E80" s="1733" t="s">
        <v>2109</v>
      </c>
      <c r="F80" s="1733" t="s">
        <v>3009</v>
      </c>
      <c r="G80" s="1733" t="s">
        <v>236</v>
      </c>
      <c r="H80" s="1734">
        <v>43175</v>
      </c>
      <c r="I80" s="1735">
        <v>176024.68</v>
      </c>
      <c r="J80" s="1735">
        <v>96933</v>
      </c>
      <c r="K80" s="1734">
        <v>43265</v>
      </c>
      <c r="L80" s="1733"/>
      <c r="M80" s="1734">
        <v>43175</v>
      </c>
      <c r="N80" s="1734">
        <v>43269</v>
      </c>
      <c r="O80" s="1733" t="s">
        <v>3482</v>
      </c>
      <c r="P80" s="1733" t="s">
        <v>3408</v>
      </c>
    </row>
    <row r="81" spans="1:16" ht="25.5" hidden="1" x14ac:dyDescent="0.25">
      <c r="A81" s="1733" t="s">
        <v>1617</v>
      </c>
      <c r="B81" s="1733" t="s">
        <v>2998</v>
      </c>
      <c r="C81" s="1733" t="s">
        <v>1940</v>
      </c>
      <c r="E81" s="1733" t="s">
        <v>2109</v>
      </c>
      <c r="F81" s="1733" t="s">
        <v>2888</v>
      </c>
      <c r="G81" s="1733" t="s">
        <v>161</v>
      </c>
      <c r="H81" s="1734">
        <v>43178</v>
      </c>
      <c r="I81" s="1735">
        <v>242419</v>
      </c>
      <c r="J81" s="1735">
        <v>206056</v>
      </c>
      <c r="K81" s="1734">
        <v>43335</v>
      </c>
      <c r="L81" s="1733"/>
      <c r="M81" s="1734">
        <v>43178</v>
      </c>
      <c r="N81" s="1734">
        <v>43340</v>
      </c>
      <c r="O81" s="1733" t="s">
        <v>3483</v>
      </c>
      <c r="P81" s="1733" t="s">
        <v>3484</v>
      </c>
    </row>
    <row r="82" spans="1:16" ht="51" hidden="1" x14ac:dyDescent="0.25">
      <c r="A82" s="1733" t="s">
        <v>1631</v>
      </c>
      <c r="B82" s="1733" t="s">
        <v>3214</v>
      </c>
      <c r="C82" s="1733" t="s">
        <v>1940</v>
      </c>
      <c r="E82" s="1733" t="s">
        <v>2109</v>
      </c>
      <c r="F82" s="1733" t="s">
        <v>2888</v>
      </c>
      <c r="G82" s="1733" t="s">
        <v>161</v>
      </c>
      <c r="H82" s="1734">
        <v>43188</v>
      </c>
      <c r="I82" s="1735">
        <v>15224</v>
      </c>
      <c r="J82" s="1735">
        <v>14082</v>
      </c>
      <c r="K82" s="1734">
        <v>43235</v>
      </c>
      <c r="L82" s="1733"/>
      <c r="M82" s="1734">
        <v>43188</v>
      </c>
      <c r="N82" s="1734">
        <v>43236</v>
      </c>
      <c r="O82" s="1733" t="s">
        <v>3485</v>
      </c>
      <c r="P82" s="1733" t="s">
        <v>3486</v>
      </c>
    </row>
    <row r="83" spans="1:16" ht="51" hidden="1" x14ac:dyDescent="0.25">
      <c r="A83" s="1733" t="s">
        <v>1623</v>
      </c>
      <c r="B83" s="1733" t="s">
        <v>124</v>
      </c>
      <c r="C83" s="1733" t="s">
        <v>1940</v>
      </c>
      <c r="E83" s="1733" t="s">
        <v>2109</v>
      </c>
      <c r="F83" s="1733" t="s">
        <v>2896</v>
      </c>
      <c r="G83" s="1733" t="s">
        <v>284</v>
      </c>
      <c r="H83" s="1734">
        <v>43188</v>
      </c>
      <c r="I83" s="1735">
        <v>815537.61</v>
      </c>
      <c r="J83" s="1735">
        <v>530342</v>
      </c>
      <c r="K83" s="1734">
        <v>43279</v>
      </c>
      <c r="L83" s="1733"/>
      <c r="M83" s="1734">
        <v>43188</v>
      </c>
      <c r="N83" s="1734">
        <v>43290</v>
      </c>
      <c r="O83" s="1733" t="s">
        <v>3448</v>
      </c>
      <c r="P83" s="1733" t="s">
        <v>3484</v>
      </c>
    </row>
    <row r="84" spans="1:16" ht="51" hidden="1" x14ac:dyDescent="0.25">
      <c r="A84" s="1733" t="s">
        <v>1618</v>
      </c>
      <c r="B84" s="1733" t="s">
        <v>395</v>
      </c>
      <c r="C84" s="1733" t="s">
        <v>1940</v>
      </c>
      <c r="E84" s="1733" t="s">
        <v>2109</v>
      </c>
      <c r="F84" s="1733" t="s">
        <v>3009</v>
      </c>
      <c r="G84" s="1733" t="s">
        <v>236</v>
      </c>
      <c r="H84" s="1734">
        <v>43189</v>
      </c>
      <c r="I84" s="1735">
        <v>297670.40999999997</v>
      </c>
      <c r="J84" s="1735">
        <v>206056</v>
      </c>
      <c r="K84" s="1734">
        <v>43285</v>
      </c>
      <c r="L84" s="1733"/>
      <c r="M84" s="1734">
        <v>43189</v>
      </c>
      <c r="N84" s="1734">
        <v>43285</v>
      </c>
      <c r="O84" s="1733" t="s">
        <v>3483</v>
      </c>
      <c r="P84" s="1733" t="s">
        <v>3408</v>
      </c>
    </row>
    <row r="85" spans="1:16" ht="38.25" hidden="1" x14ac:dyDescent="0.25">
      <c r="A85" s="1733" t="s">
        <v>1621</v>
      </c>
      <c r="B85" s="1733" t="s">
        <v>3016</v>
      </c>
      <c r="C85" s="1733" t="s">
        <v>1940</v>
      </c>
      <c r="E85" s="1733" t="s">
        <v>2109</v>
      </c>
      <c r="F85" s="1733" t="s">
        <v>2875</v>
      </c>
      <c r="G85" s="1733" t="s">
        <v>350</v>
      </c>
      <c r="H85" s="1734">
        <v>43189</v>
      </c>
      <c r="I85" s="1735">
        <v>444560.16</v>
      </c>
      <c r="J85" s="1735">
        <v>206056</v>
      </c>
      <c r="K85" s="1734">
        <v>43276</v>
      </c>
      <c r="L85" s="1733"/>
      <c r="M85" s="1734">
        <v>43189</v>
      </c>
      <c r="N85" s="1734">
        <v>43283</v>
      </c>
      <c r="O85" s="1733" t="s">
        <v>3483</v>
      </c>
      <c r="P85" s="1733" t="s">
        <v>3404</v>
      </c>
    </row>
    <row r="86" spans="1:16" ht="38.25" hidden="1" x14ac:dyDescent="0.25">
      <c r="A86" s="1733" t="s">
        <v>1619</v>
      </c>
      <c r="B86" s="1733" t="s">
        <v>3487</v>
      </c>
      <c r="C86" s="1733" t="s">
        <v>1968</v>
      </c>
      <c r="E86" s="1733" t="s">
        <v>3488</v>
      </c>
      <c r="F86" s="1733" t="s">
        <v>2904</v>
      </c>
      <c r="G86" s="1733" t="s">
        <v>184</v>
      </c>
      <c r="H86" s="1734">
        <v>43189</v>
      </c>
      <c r="I86" s="1735">
        <v>243192</v>
      </c>
      <c r="J86" s="1735">
        <v>206056</v>
      </c>
      <c r="K86" s="1733"/>
      <c r="L86" s="1733"/>
      <c r="M86" s="1734">
        <v>43189</v>
      </c>
      <c r="N86" s="1733"/>
      <c r="O86" s="1733" t="s">
        <v>3489</v>
      </c>
      <c r="P86" s="1733"/>
    </row>
    <row r="87" spans="1:16" ht="38.25" hidden="1" x14ac:dyDescent="0.25">
      <c r="A87" s="1733" t="s">
        <v>1620</v>
      </c>
      <c r="B87" s="1733" t="s">
        <v>652</v>
      </c>
      <c r="C87" s="1733" t="s">
        <v>1940</v>
      </c>
      <c r="E87" s="1733" t="s">
        <v>2109</v>
      </c>
      <c r="F87" s="1733" t="s">
        <v>2896</v>
      </c>
      <c r="G87" s="1733" t="s">
        <v>284</v>
      </c>
      <c r="H87" s="1734">
        <v>43214</v>
      </c>
      <c r="I87" s="1735">
        <v>204605.56</v>
      </c>
      <c r="J87" s="1735">
        <v>173914.72</v>
      </c>
      <c r="K87" s="1734">
        <v>43307</v>
      </c>
      <c r="L87" s="1733"/>
      <c r="M87" s="1734">
        <v>43214</v>
      </c>
      <c r="N87" s="1734">
        <v>43308</v>
      </c>
      <c r="O87" s="1733" t="s">
        <v>3490</v>
      </c>
      <c r="P87" s="1733" t="s">
        <v>3484</v>
      </c>
    </row>
    <row r="88" spans="1:16" ht="25.5" hidden="1" x14ac:dyDescent="0.25">
      <c r="A88" s="1733" t="s">
        <v>1627</v>
      </c>
      <c r="B88" s="1733" t="s">
        <v>1213</v>
      </c>
      <c r="C88" s="1733" t="s">
        <v>1940</v>
      </c>
      <c r="E88" s="1733" t="s">
        <v>2109</v>
      </c>
      <c r="F88" s="1733" t="s">
        <v>3188</v>
      </c>
      <c r="G88" s="1733" t="s">
        <v>1214</v>
      </c>
      <c r="H88" s="1734">
        <v>43217</v>
      </c>
      <c r="I88" s="1735">
        <v>198997.18</v>
      </c>
      <c r="J88" s="1735">
        <v>184072.39</v>
      </c>
      <c r="K88" s="1734">
        <v>43284</v>
      </c>
      <c r="L88" s="1733"/>
      <c r="M88" s="1734">
        <v>43217</v>
      </c>
      <c r="N88" s="1734">
        <v>43286</v>
      </c>
      <c r="O88" s="1733" t="s">
        <v>3491</v>
      </c>
      <c r="P88" s="1733" t="s">
        <v>3486</v>
      </c>
    </row>
    <row r="89" spans="1:16" ht="25.5" hidden="1" x14ac:dyDescent="0.25">
      <c r="A89" s="1733" t="s">
        <v>1626</v>
      </c>
      <c r="B89" s="1733" t="s">
        <v>2429</v>
      </c>
      <c r="C89" s="1733" t="s">
        <v>1940</v>
      </c>
      <c r="E89" s="1733" t="s">
        <v>2109</v>
      </c>
      <c r="F89" s="1733" t="s">
        <v>2875</v>
      </c>
      <c r="G89" s="1733" t="s">
        <v>350</v>
      </c>
      <c r="H89" s="1734">
        <v>43217</v>
      </c>
      <c r="I89" s="1735">
        <v>198996</v>
      </c>
      <c r="J89" s="1735">
        <v>184071.3</v>
      </c>
      <c r="K89" s="1734">
        <v>43284</v>
      </c>
      <c r="L89" s="1733"/>
      <c r="M89" s="1734">
        <v>43217</v>
      </c>
      <c r="N89" s="1734">
        <v>43285</v>
      </c>
      <c r="O89" s="1733" t="s">
        <v>3492</v>
      </c>
      <c r="P89" s="1733" t="s">
        <v>3493</v>
      </c>
    </row>
    <row r="90" spans="1:16" ht="25.5" hidden="1" x14ac:dyDescent="0.25">
      <c r="A90" s="1733" t="s">
        <v>1628</v>
      </c>
      <c r="B90" s="1733" t="s">
        <v>1215</v>
      </c>
      <c r="C90" s="1733" t="s">
        <v>1940</v>
      </c>
      <c r="E90" s="1733" t="s">
        <v>2109</v>
      </c>
      <c r="F90" s="1733" t="s">
        <v>3195</v>
      </c>
      <c r="G90" s="1733" t="s">
        <v>1216</v>
      </c>
      <c r="H90" s="1734">
        <v>43217</v>
      </c>
      <c r="I90" s="1735">
        <v>198997.18</v>
      </c>
      <c r="J90" s="1735">
        <v>184072.39</v>
      </c>
      <c r="K90" s="1734">
        <v>43286</v>
      </c>
      <c r="L90" s="1733"/>
      <c r="M90" s="1734">
        <v>43217</v>
      </c>
      <c r="N90" s="1734">
        <v>43286</v>
      </c>
      <c r="O90" s="1733" t="s">
        <v>3494</v>
      </c>
      <c r="P90" s="1733" t="s">
        <v>3493</v>
      </c>
    </row>
    <row r="91" spans="1:16" ht="25.5" hidden="1" x14ac:dyDescent="0.25">
      <c r="A91" s="1733" t="s">
        <v>1629</v>
      </c>
      <c r="B91" s="1733" t="s">
        <v>2438</v>
      </c>
      <c r="C91" s="1733" t="s">
        <v>1940</v>
      </c>
      <c r="E91" s="1733" t="s">
        <v>2109</v>
      </c>
      <c r="F91" s="1733" t="s">
        <v>3201</v>
      </c>
      <c r="G91" s="1733" t="s">
        <v>1195</v>
      </c>
      <c r="H91" s="1734">
        <v>43220</v>
      </c>
      <c r="I91" s="1735">
        <v>198997.18</v>
      </c>
      <c r="J91" s="1735">
        <v>184072.39</v>
      </c>
      <c r="K91" s="1734">
        <v>43284</v>
      </c>
      <c r="L91" s="1733"/>
      <c r="M91" s="1734">
        <v>43220</v>
      </c>
      <c r="N91" s="1734">
        <v>43285</v>
      </c>
      <c r="O91" s="1733" t="s">
        <v>3495</v>
      </c>
      <c r="P91" s="1733" t="s">
        <v>3493</v>
      </c>
    </row>
    <row r="92" spans="1:16" ht="25.5" hidden="1" x14ac:dyDescent="0.25">
      <c r="A92" s="1733" t="s">
        <v>1630</v>
      </c>
      <c r="B92" s="1733" t="s">
        <v>1196</v>
      </c>
      <c r="C92" s="1733" t="s">
        <v>1940</v>
      </c>
      <c r="E92" s="1733" t="s">
        <v>2109</v>
      </c>
      <c r="F92" s="1733" t="s">
        <v>3208</v>
      </c>
      <c r="G92" s="1733" t="s">
        <v>278</v>
      </c>
      <c r="H92" s="1734">
        <v>43223</v>
      </c>
      <c r="I92" s="1735">
        <v>198997</v>
      </c>
      <c r="J92" s="1735">
        <v>184072</v>
      </c>
      <c r="K92" s="1734">
        <v>43298</v>
      </c>
      <c r="L92" s="1733"/>
      <c r="M92" s="1734">
        <v>43223</v>
      </c>
      <c r="N92" s="1734">
        <v>43298</v>
      </c>
      <c r="O92" s="1733" t="s">
        <v>3496</v>
      </c>
      <c r="P92" s="1733" t="s">
        <v>3493</v>
      </c>
    </row>
    <row r="93" spans="1:16" ht="51" hidden="1" x14ac:dyDescent="0.25">
      <c r="A93" s="1733" t="s">
        <v>3497</v>
      </c>
      <c r="B93" s="1733" t="s">
        <v>395</v>
      </c>
      <c r="C93" s="1733" t="s">
        <v>3451</v>
      </c>
      <c r="E93" s="1733" t="s">
        <v>3452</v>
      </c>
      <c r="F93" s="1733" t="s">
        <v>3009</v>
      </c>
      <c r="G93" s="1733" t="s">
        <v>236</v>
      </c>
      <c r="H93" s="1734">
        <v>43229</v>
      </c>
      <c r="I93" s="1735">
        <v>297670.40999999997</v>
      </c>
      <c r="J93" s="1735">
        <v>206056</v>
      </c>
      <c r="K93" s="1733"/>
      <c r="L93" s="1733"/>
      <c r="M93" s="1734">
        <v>43229</v>
      </c>
      <c r="N93" s="1733"/>
      <c r="O93" s="1733"/>
      <c r="P93" s="1733"/>
    </row>
    <row r="94" spans="1:16" ht="25.5" hidden="1" x14ac:dyDescent="0.25">
      <c r="A94" s="1733" t="s">
        <v>2446</v>
      </c>
      <c r="B94" s="1733" t="s">
        <v>2447</v>
      </c>
      <c r="C94" s="1733" t="s">
        <v>1940</v>
      </c>
      <c r="E94" s="1733" t="s">
        <v>2109</v>
      </c>
      <c r="F94" s="1733" t="s">
        <v>3248</v>
      </c>
      <c r="G94" s="1733" t="s">
        <v>3247</v>
      </c>
      <c r="H94" s="1734">
        <v>43229</v>
      </c>
      <c r="I94" s="1735">
        <v>44986.51</v>
      </c>
      <c r="J94" s="1735">
        <v>31265.62</v>
      </c>
      <c r="K94" s="1734">
        <v>43362</v>
      </c>
      <c r="L94" s="1733"/>
      <c r="M94" s="1734">
        <v>43229</v>
      </c>
      <c r="N94" s="1734">
        <v>43368</v>
      </c>
      <c r="O94" s="1733" t="s">
        <v>3498</v>
      </c>
      <c r="P94" s="1733" t="s">
        <v>3480</v>
      </c>
    </row>
    <row r="95" spans="1:16" ht="38.25" hidden="1" x14ac:dyDescent="0.25">
      <c r="A95" s="1733" t="s">
        <v>2451</v>
      </c>
      <c r="B95" s="1733" t="s">
        <v>2452</v>
      </c>
      <c r="C95" s="1733" t="s">
        <v>1940</v>
      </c>
      <c r="E95" s="1733" t="s">
        <v>2109</v>
      </c>
      <c r="F95" s="1733" t="s">
        <v>3257</v>
      </c>
      <c r="G95" s="1733" t="s">
        <v>3256</v>
      </c>
      <c r="H95" s="1734">
        <v>43231</v>
      </c>
      <c r="I95" s="1735">
        <v>5579.99</v>
      </c>
      <c r="J95" s="1735">
        <v>3553.1</v>
      </c>
      <c r="K95" s="1734">
        <v>43348</v>
      </c>
      <c r="L95" s="1733"/>
      <c r="M95" s="1734">
        <v>43231</v>
      </c>
      <c r="N95" s="1734">
        <v>43355</v>
      </c>
      <c r="O95" s="1733" t="s">
        <v>3463</v>
      </c>
      <c r="P95" s="1733" t="s">
        <v>3456</v>
      </c>
    </row>
    <row r="96" spans="1:16" ht="25.5" hidden="1" x14ac:dyDescent="0.25">
      <c r="A96" s="1733" t="s">
        <v>2456</v>
      </c>
      <c r="B96" s="1733" t="s">
        <v>2457</v>
      </c>
      <c r="C96" s="1733" t="s">
        <v>1940</v>
      </c>
      <c r="E96" s="1733" t="s">
        <v>2109</v>
      </c>
      <c r="F96" s="1733" t="s">
        <v>3248</v>
      </c>
      <c r="G96" s="1733" t="s">
        <v>3247</v>
      </c>
      <c r="H96" s="1734">
        <v>43231</v>
      </c>
      <c r="I96" s="1735">
        <v>10446.14</v>
      </c>
      <c r="J96" s="1735">
        <v>7142.92</v>
      </c>
      <c r="K96" s="1734">
        <v>43362</v>
      </c>
      <c r="L96" s="1733"/>
      <c r="M96" s="1734">
        <v>43231</v>
      </c>
      <c r="N96" s="1734">
        <v>43368</v>
      </c>
      <c r="O96" s="1733" t="s">
        <v>3498</v>
      </c>
      <c r="P96" s="1733" t="s">
        <v>3480</v>
      </c>
    </row>
    <row r="97" spans="1:16" ht="25.5" hidden="1" x14ac:dyDescent="0.25">
      <c r="A97" s="1733" t="s">
        <v>2465</v>
      </c>
      <c r="B97" s="1733" t="s">
        <v>2466</v>
      </c>
      <c r="C97" s="1733" t="s">
        <v>1940</v>
      </c>
      <c r="E97" s="1733" t="s">
        <v>2109</v>
      </c>
      <c r="F97" s="1733" t="s">
        <v>3276</v>
      </c>
      <c r="G97" s="1733" t="s">
        <v>3275</v>
      </c>
      <c r="H97" s="1734">
        <v>43234</v>
      </c>
      <c r="I97" s="1735">
        <v>9832.3700000000008</v>
      </c>
      <c r="J97" s="1735">
        <v>6773.3</v>
      </c>
      <c r="K97" s="1734">
        <v>43362</v>
      </c>
      <c r="L97" s="1733"/>
      <c r="M97" s="1734">
        <v>43234</v>
      </c>
      <c r="N97" s="1734">
        <v>43368</v>
      </c>
      <c r="O97" s="1733" t="s">
        <v>3499</v>
      </c>
      <c r="P97" s="1733" t="s">
        <v>3456</v>
      </c>
    </row>
    <row r="98" spans="1:16" hidden="1" x14ac:dyDescent="0.25">
      <c r="A98" s="1733" t="s">
        <v>2460</v>
      </c>
      <c r="B98" s="1733" t="s">
        <v>2461</v>
      </c>
      <c r="C98" s="1733" t="s">
        <v>1940</v>
      </c>
      <c r="E98" s="1733" t="s">
        <v>2109</v>
      </c>
      <c r="F98" s="1733" t="s">
        <v>3268</v>
      </c>
      <c r="G98" s="1733" t="s">
        <v>3267</v>
      </c>
      <c r="H98" s="1734">
        <v>43235</v>
      </c>
      <c r="I98" s="1735">
        <v>9096.9500000000007</v>
      </c>
      <c r="J98" s="1735">
        <v>6245.66</v>
      </c>
      <c r="K98" s="1734">
        <v>43348</v>
      </c>
      <c r="L98" s="1733"/>
      <c r="M98" s="1734">
        <v>43234</v>
      </c>
      <c r="N98" s="1734">
        <v>43350</v>
      </c>
      <c r="O98" s="1733" t="s">
        <v>3500</v>
      </c>
      <c r="P98" s="1733" t="s">
        <v>3480</v>
      </c>
    </row>
    <row r="99" spans="1:16" ht="38.25" hidden="1" x14ac:dyDescent="0.25">
      <c r="A99" s="1733" t="s">
        <v>3281</v>
      </c>
      <c r="B99" s="1733" t="s">
        <v>3282</v>
      </c>
      <c r="C99" s="1733" t="s">
        <v>1940</v>
      </c>
      <c r="E99" s="1733" t="s">
        <v>2109</v>
      </c>
      <c r="F99" s="1733" t="s">
        <v>3257</v>
      </c>
      <c r="G99" s="1733" t="s">
        <v>3256</v>
      </c>
      <c r="H99" s="1734">
        <v>43235</v>
      </c>
      <c r="I99" s="1735">
        <v>3799.5</v>
      </c>
      <c r="J99" s="1735">
        <v>2602.66</v>
      </c>
      <c r="K99" s="1734">
        <v>43348</v>
      </c>
      <c r="L99" s="1733"/>
      <c r="M99" s="1734">
        <v>43235</v>
      </c>
      <c r="N99" s="1734">
        <v>43355</v>
      </c>
      <c r="O99" s="1733" t="s">
        <v>3463</v>
      </c>
      <c r="P99" s="1733"/>
    </row>
    <row r="100" spans="1:16" hidden="1" x14ac:dyDescent="0.25">
      <c r="A100" s="1733" t="s">
        <v>2470</v>
      </c>
      <c r="B100" s="1733" t="s">
        <v>2471</v>
      </c>
      <c r="C100" s="1733" t="s">
        <v>1940</v>
      </c>
      <c r="E100" s="1733" t="s">
        <v>2109</v>
      </c>
      <c r="F100" s="1733" t="s">
        <v>3288</v>
      </c>
      <c r="G100" s="1733" t="s">
        <v>3287</v>
      </c>
      <c r="H100" s="1734">
        <v>43235</v>
      </c>
      <c r="I100" s="1735">
        <v>12926.88</v>
      </c>
      <c r="J100" s="1735">
        <v>7988.96</v>
      </c>
      <c r="K100" s="1734">
        <v>43348</v>
      </c>
      <c r="L100" s="1733"/>
      <c r="M100" s="1734">
        <v>43235</v>
      </c>
      <c r="N100" s="1734">
        <v>43355</v>
      </c>
      <c r="O100" s="1733" t="s">
        <v>3501</v>
      </c>
      <c r="P100" s="1733" t="s">
        <v>3480</v>
      </c>
    </row>
    <row r="101" spans="1:16" hidden="1" x14ac:dyDescent="0.25">
      <c r="A101" s="1733" t="s">
        <v>3502</v>
      </c>
      <c r="B101" s="1733" t="s">
        <v>3503</v>
      </c>
      <c r="C101" s="1733" t="s">
        <v>1968</v>
      </c>
      <c r="E101" s="1733" t="s">
        <v>3230</v>
      </c>
      <c r="F101" s="1733" t="s">
        <v>3288</v>
      </c>
      <c r="G101" s="1733" t="s">
        <v>3287</v>
      </c>
      <c r="H101" s="1734">
        <v>43235</v>
      </c>
      <c r="I101" s="1735">
        <v>5628.83</v>
      </c>
      <c r="J101" s="1735">
        <v>3798.83</v>
      </c>
      <c r="K101" s="1734">
        <v>43396</v>
      </c>
      <c r="L101" s="1733"/>
      <c r="M101" s="1734">
        <v>43235</v>
      </c>
      <c r="N101" s="1733"/>
      <c r="O101" s="1733" t="s">
        <v>3501</v>
      </c>
      <c r="P101" s="1733" t="s">
        <v>3480</v>
      </c>
    </row>
    <row r="102" spans="1:16" ht="25.5" hidden="1" x14ac:dyDescent="0.25">
      <c r="A102" s="1733" t="s">
        <v>2475</v>
      </c>
      <c r="B102" s="1733" t="s">
        <v>2476</v>
      </c>
      <c r="C102" s="1733" t="s">
        <v>1940</v>
      </c>
      <c r="E102" s="1733" t="s">
        <v>2109</v>
      </c>
      <c r="F102" s="1733" t="s">
        <v>3295</v>
      </c>
      <c r="G102" s="1733" t="s">
        <v>3294</v>
      </c>
      <c r="H102" s="1734">
        <v>43235</v>
      </c>
      <c r="I102" s="1735">
        <v>39491.67</v>
      </c>
      <c r="J102" s="1735">
        <v>27238.5</v>
      </c>
      <c r="K102" s="1734">
        <v>43348</v>
      </c>
      <c r="L102" s="1733"/>
      <c r="M102" s="1734">
        <v>43235</v>
      </c>
      <c r="N102" s="1734">
        <v>43353</v>
      </c>
      <c r="O102" s="1733" t="s">
        <v>3504</v>
      </c>
      <c r="P102" s="1733" t="s">
        <v>3480</v>
      </c>
    </row>
    <row r="103" spans="1:16" hidden="1" x14ac:dyDescent="0.25">
      <c r="A103" s="1733" t="s">
        <v>2650</v>
      </c>
      <c r="B103" s="1733" t="s">
        <v>2651</v>
      </c>
      <c r="C103" s="1733" t="s">
        <v>1940</v>
      </c>
      <c r="E103" s="1733" t="s">
        <v>2109</v>
      </c>
      <c r="F103" s="1733" t="s">
        <v>3288</v>
      </c>
      <c r="G103" s="1733" t="s">
        <v>3287</v>
      </c>
      <c r="H103" s="1734">
        <v>43235</v>
      </c>
      <c r="I103" s="1735">
        <v>8790.99</v>
      </c>
      <c r="J103" s="1735">
        <v>6109.74</v>
      </c>
      <c r="K103" s="1734">
        <v>43348</v>
      </c>
      <c r="L103" s="1733"/>
      <c r="M103" s="1734">
        <v>43235</v>
      </c>
      <c r="N103" s="1734">
        <v>43355</v>
      </c>
      <c r="O103" s="1733" t="s">
        <v>3501</v>
      </c>
      <c r="P103" s="1733" t="s">
        <v>3480</v>
      </c>
    </row>
    <row r="104" spans="1:16" ht="25.5" hidden="1" x14ac:dyDescent="0.25">
      <c r="A104" s="1733" t="s">
        <v>3305</v>
      </c>
      <c r="B104" s="1733" t="s">
        <v>3306</v>
      </c>
      <c r="C104" s="1733" t="s">
        <v>1940</v>
      </c>
      <c r="E104" s="1733" t="s">
        <v>2109</v>
      </c>
      <c r="F104" s="1733" t="s">
        <v>3309</v>
      </c>
      <c r="G104" s="1733" t="s">
        <v>3308</v>
      </c>
      <c r="H104" s="1734">
        <v>43235</v>
      </c>
      <c r="I104" s="1735">
        <v>18000</v>
      </c>
      <c r="J104" s="1735">
        <v>12201.6</v>
      </c>
      <c r="K104" s="1734">
        <v>43348</v>
      </c>
      <c r="L104" s="1733"/>
      <c r="M104" s="1734">
        <v>43235</v>
      </c>
      <c r="N104" s="1734">
        <v>43349</v>
      </c>
      <c r="O104" s="1733" t="s">
        <v>3505</v>
      </c>
      <c r="P104" s="1733" t="s">
        <v>3480</v>
      </c>
    </row>
    <row r="105" spans="1:16" ht="38.25" hidden="1" x14ac:dyDescent="0.25">
      <c r="A105" s="1733" t="s">
        <v>1622</v>
      </c>
      <c r="B105" s="1733" t="s">
        <v>3079</v>
      </c>
      <c r="C105" s="1733" t="s">
        <v>1940</v>
      </c>
      <c r="E105" s="1733" t="s">
        <v>2109</v>
      </c>
      <c r="F105" s="1733" t="s">
        <v>2896</v>
      </c>
      <c r="G105" s="1733" t="s">
        <v>284</v>
      </c>
      <c r="H105" s="1734">
        <v>43238</v>
      </c>
      <c r="I105" s="1735">
        <v>663071.16</v>
      </c>
      <c r="J105" s="1735">
        <v>582750</v>
      </c>
      <c r="K105" s="1734">
        <v>43321</v>
      </c>
      <c r="L105" s="1733"/>
      <c r="M105" s="1734">
        <v>43238</v>
      </c>
      <c r="N105" s="1734">
        <v>43326</v>
      </c>
      <c r="O105" s="1733" t="s">
        <v>3506</v>
      </c>
      <c r="P105" s="1733" t="s">
        <v>3484</v>
      </c>
    </row>
    <row r="106" spans="1:16" ht="51" hidden="1" x14ac:dyDescent="0.25">
      <c r="A106" s="1733" t="s">
        <v>2830</v>
      </c>
      <c r="B106" s="1733" t="s">
        <v>2831</v>
      </c>
      <c r="C106" s="1733" t="s">
        <v>1940</v>
      </c>
      <c r="E106" s="1733" t="s">
        <v>2109</v>
      </c>
      <c r="F106" s="1733" t="s">
        <v>2847</v>
      </c>
      <c r="G106" s="1733" t="s">
        <v>2846</v>
      </c>
      <c r="H106" s="1734">
        <v>43245</v>
      </c>
      <c r="I106" s="1735">
        <v>6000000</v>
      </c>
      <c r="J106" s="1735">
        <v>6000000</v>
      </c>
      <c r="K106" s="1734">
        <v>43340</v>
      </c>
      <c r="L106" s="1733"/>
      <c r="M106" s="1734">
        <v>43245</v>
      </c>
      <c r="N106" s="1734">
        <v>43342</v>
      </c>
      <c r="O106" s="1733" t="s">
        <v>3507</v>
      </c>
      <c r="P106" s="1733" t="s">
        <v>3413</v>
      </c>
    </row>
    <row r="107" spans="1:16" ht="38.25" hidden="1" x14ac:dyDescent="0.25">
      <c r="A107" s="1733" t="s">
        <v>1624</v>
      </c>
      <c r="B107" s="1733" t="s">
        <v>390</v>
      </c>
      <c r="C107" s="1733" t="s">
        <v>1940</v>
      </c>
      <c r="E107" s="1733" t="s">
        <v>2109</v>
      </c>
      <c r="F107" s="1733" t="s">
        <v>3009</v>
      </c>
      <c r="G107" s="1733" t="s">
        <v>236</v>
      </c>
      <c r="H107" s="1734">
        <v>43251</v>
      </c>
      <c r="I107" s="1735">
        <v>579418.99</v>
      </c>
      <c r="J107" s="1735">
        <v>386429</v>
      </c>
      <c r="K107" s="1734">
        <v>43328</v>
      </c>
      <c r="L107" s="1733"/>
      <c r="M107" s="1734">
        <v>43251</v>
      </c>
      <c r="N107" s="1734">
        <v>43343</v>
      </c>
      <c r="O107" s="1733" t="s">
        <v>3412</v>
      </c>
      <c r="P107" s="1733" t="s">
        <v>3408</v>
      </c>
    </row>
    <row r="108" spans="1:16" ht="38.25" hidden="1" x14ac:dyDescent="0.25">
      <c r="A108" s="1733" t="s">
        <v>1625</v>
      </c>
      <c r="B108" s="1733" t="s">
        <v>391</v>
      </c>
      <c r="C108" s="1733" t="s">
        <v>1940</v>
      </c>
      <c r="E108" s="1733" t="s">
        <v>2109</v>
      </c>
      <c r="F108" s="1733" t="s">
        <v>3009</v>
      </c>
      <c r="G108" s="1733" t="s">
        <v>236</v>
      </c>
      <c r="H108" s="1734">
        <v>43252</v>
      </c>
      <c r="I108" s="1735">
        <v>673878</v>
      </c>
      <c r="J108" s="1735">
        <v>623337</v>
      </c>
      <c r="K108" s="1734">
        <v>43333</v>
      </c>
      <c r="L108" s="1733"/>
      <c r="M108" s="1734">
        <v>43252</v>
      </c>
      <c r="N108" s="1734">
        <v>43350</v>
      </c>
      <c r="O108" s="1733" t="s">
        <v>3448</v>
      </c>
      <c r="P108" s="1733" t="s">
        <v>3508</v>
      </c>
    </row>
    <row r="109" spans="1:16" ht="51" hidden="1" x14ac:dyDescent="0.25">
      <c r="A109" s="1733" t="s">
        <v>1632</v>
      </c>
      <c r="B109" s="1733" t="s">
        <v>1217</v>
      </c>
      <c r="C109" s="1733" t="s">
        <v>1940</v>
      </c>
      <c r="E109" s="1733" t="s">
        <v>2109</v>
      </c>
      <c r="F109" s="1733" t="s">
        <v>3221</v>
      </c>
      <c r="G109" s="1733" t="s">
        <v>3220</v>
      </c>
      <c r="H109" s="1734">
        <v>43255</v>
      </c>
      <c r="I109" s="1735">
        <v>6816</v>
      </c>
      <c r="J109" s="1735">
        <v>6304.8</v>
      </c>
      <c r="K109" s="1734">
        <v>43322</v>
      </c>
      <c r="L109" s="1733"/>
      <c r="M109" s="1734">
        <v>43255</v>
      </c>
      <c r="N109" s="1734">
        <v>43322</v>
      </c>
      <c r="O109" s="1733" t="s">
        <v>3496</v>
      </c>
      <c r="P109" s="1733" t="s">
        <v>3493</v>
      </c>
    </row>
    <row r="110" spans="1:16" ht="25.5" hidden="1" x14ac:dyDescent="0.25">
      <c r="A110" s="1733" t="s">
        <v>1614</v>
      </c>
      <c r="B110" s="1733" t="s">
        <v>3063</v>
      </c>
      <c r="C110" s="1733" t="s">
        <v>1940</v>
      </c>
      <c r="E110" s="1733" t="s">
        <v>2109</v>
      </c>
      <c r="F110" s="1733" t="s">
        <v>2904</v>
      </c>
      <c r="G110" s="1733" t="s">
        <v>184</v>
      </c>
      <c r="H110" s="1734">
        <v>43270</v>
      </c>
      <c r="I110" s="1735">
        <v>274817.98</v>
      </c>
      <c r="J110" s="1735">
        <v>200844</v>
      </c>
      <c r="K110" s="1734">
        <v>43367</v>
      </c>
      <c r="L110" s="1733"/>
      <c r="M110" s="1734">
        <v>43270</v>
      </c>
      <c r="N110" s="1734">
        <v>43377</v>
      </c>
      <c r="O110" s="1733" t="s">
        <v>3509</v>
      </c>
      <c r="P110" s="1733" t="s">
        <v>3510</v>
      </c>
    </row>
    <row r="111" spans="1:16" ht="51" hidden="1" x14ac:dyDescent="0.25">
      <c r="A111" s="1733" t="s">
        <v>1633</v>
      </c>
      <c r="B111" s="1733" t="s">
        <v>1224</v>
      </c>
      <c r="C111" s="1733" t="s">
        <v>1940</v>
      </c>
      <c r="E111" s="1733" t="s">
        <v>2109</v>
      </c>
      <c r="F111" s="1733" t="s">
        <v>2896</v>
      </c>
      <c r="G111" s="1733" t="s">
        <v>284</v>
      </c>
      <c r="H111" s="1734">
        <v>43278</v>
      </c>
      <c r="I111" s="1735">
        <v>15679</v>
      </c>
      <c r="J111" s="1735">
        <v>14503</v>
      </c>
      <c r="K111" s="1734">
        <v>43349</v>
      </c>
      <c r="L111" s="1733"/>
      <c r="M111" s="1734">
        <v>43278</v>
      </c>
      <c r="N111" s="1734">
        <v>43350</v>
      </c>
      <c r="O111" s="1733" t="s">
        <v>3511</v>
      </c>
      <c r="P111" s="1733" t="s">
        <v>3512</v>
      </c>
    </row>
    <row r="112" spans="1:16" ht="63.75" hidden="1" x14ac:dyDescent="0.25">
      <c r="A112" s="1733" t="s">
        <v>1634</v>
      </c>
      <c r="B112" s="1733" t="s">
        <v>3229</v>
      </c>
      <c r="C112" s="1733" t="s">
        <v>1968</v>
      </c>
      <c r="E112" s="1733" t="s">
        <v>3230</v>
      </c>
      <c r="F112" s="1733" t="s">
        <v>3233</v>
      </c>
      <c r="G112" s="1733" t="s">
        <v>3232</v>
      </c>
      <c r="H112" s="1734">
        <v>43280</v>
      </c>
      <c r="I112" s="1735">
        <v>10453</v>
      </c>
      <c r="J112" s="1735">
        <v>9664.25</v>
      </c>
      <c r="K112" s="1734">
        <v>43409</v>
      </c>
      <c r="L112" s="1733"/>
      <c r="M112" s="1734">
        <v>43280</v>
      </c>
      <c r="N112" s="1733"/>
      <c r="O112" s="1733" t="s">
        <v>3479</v>
      </c>
      <c r="P112" s="1733"/>
    </row>
    <row r="113" spans="1:16" ht="38.25" hidden="1" x14ac:dyDescent="0.25">
      <c r="A113" s="1733" t="s">
        <v>1648</v>
      </c>
      <c r="B113" s="1733" t="s">
        <v>1207</v>
      </c>
      <c r="C113" s="1733" t="s">
        <v>1940</v>
      </c>
      <c r="E113" s="1733" t="s">
        <v>2109</v>
      </c>
      <c r="F113" s="1733" t="s">
        <v>2875</v>
      </c>
      <c r="G113" s="1733" t="s">
        <v>350</v>
      </c>
      <c r="H113" s="1734">
        <v>43285</v>
      </c>
      <c r="I113" s="1735">
        <v>17041.18</v>
      </c>
      <c r="J113" s="1735">
        <v>15763.09</v>
      </c>
      <c r="K113" s="1734">
        <v>43353</v>
      </c>
      <c r="L113" s="1733"/>
      <c r="M113" s="1734">
        <v>43285</v>
      </c>
      <c r="N113" s="1734">
        <v>43353</v>
      </c>
      <c r="O113" s="1733" t="s">
        <v>3513</v>
      </c>
      <c r="P113" s="1733" t="s">
        <v>3486</v>
      </c>
    </row>
    <row r="114" spans="1:16" ht="38.25" hidden="1" x14ac:dyDescent="0.25">
      <c r="A114" s="1733" t="s">
        <v>1638</v>
      </c>
      <c r="B114" s="1733" t="s">
        <v>612</v>
      </c>
      <c r="C114" s="1733" t="s">
        <v>1940</v>
      </c>
      <c r="E114" s="1733" t="s">
        <v>2109</v>
      </c>
      <c r="F114" s="1733" t="s">
        <v>2904</v>
      </c>
      <c r="G114" s="1733" t="s">
        <v>184</v>
      </c>
      <c r="H114" s="1734">
        <v>43320</v>
      </c>
      <c r="I114" s="1735">
        <v>277676</v>
      </c>
      <c r="J114" s="1735">
        <v>236024.6</v>
      </c>
      <c r="K114" s="1734">
        <v>43370</v>
      </c>
      <c r="L114" s="1733"/>
      <c r="M114" s="1734">
        <v>43222</v>
      </c>
      <c r="N114" s="1734">
        <v>43383</v>
      </c>
      <c r="O114" s="1733" t="s">
        <v>3432</v>
      </c>
      <c r="P114" s="1733"/>
    </row>
    <row r="115" spans="1:16" ht="25.5" hidden="1" x14ac:dyDescent="0.25">
      <c r="A115" s="1733" t="s">
        <v>1677</v>
      </c>
      <c r="B115" s="1733" t="s">
        <v>231</v>
      </c>
      <c r="C115" s="1733" t="s">
        <v>1968</v>
      </c>
      <c r="E115" s="1733" t="s">
        <v>3488</v>
      </c>
      <c r="F115" s="1733" t="s">
        <v>3009</v>
      </c>
      <c r="G115" s="1733" t="s">
        <v>236</v>
      </c>
      <c r="H115" s="1734">
        <v>43326</v>
      </c>
      <c r="I115" s="1735">
        <v>1156237.49</v>
      </c>
      <c r="J115" s="1735">
        <v>384649</v>
      </c>
      <c r="K115" s="1733"/>
      <c r="L115" s="1733"/>
      <c r="M115" s="1734">
        <v>43326</v>
      </c>
      <c r="N115" s="1733"/>
      <c r="O115" s="1733" t="s">
        <v>3514</v>
      </c>
      <c r="P115" s="1733"/>
    </row>
    <row r="116" spans="1:16" ht="25.5" hidden="1" x14ac:dyDescent="0.25">
      <c r="A116" s="1733" t="s">
        <v>1676</v>
      </c>
      <c r="B116" s="1733" t="s">
        <v>3515</v>
      </c>
      <c r="C116" s="1733" t="s">
        <v>1968</v>
      </c>
      <c r="E116" s="1733" t="s">
        <v>3516</v>
      </c>
      <c r="F116" s="1733" t="s">
        <v>2875</v>
      </c>
      <c r="G116" s="1733" t="s">
        <v>350</v>
      </c>
      <c r="H116" s="1734">
        <v>43342</v>
      </c>
      <c r="I116" s="1735">
        <v>280015.3</v>
      </c>
      <c r="J116" s="1735">
        <v>238013</v>
      </c>
      <c r="K116" s="1733"/>
      <c r="L116" s="1733"/>
      <c r="M116" s="1734">
        <v>43342</v>
      </c>
      <c r="N116" s="1733"/>
      <c r="O116" s="1733" t="s">
        <v>3517</v>
      </c>
      <c r="P116" s="1733"/>
    </row>
    <row r="117" spans="1:16" ht="38.25" x14ac:dyDescent="0.25">
      <c r="A117" s="1733" t="s">
        <v>1678</v>
      </c>
      <c r="B117" s="1733" t="s">
        <v>3518</v>
      </c>
      <c r="C117" s="1733" t="s">
        <v>1968</v>
      </c>
      <c r="E117" s="1733" t="s">
        <v>3488</v>
      </c>
      <c r="F117" s="1733" t="s">
        <v>2888</v>
      </c>
      <c r="G117" s="1733" t="s">
        <v>161</v>
      </c>
      <c r="H117" s="1734">
        <v>43342</v>
      </c>
      <c r="I117" s="1735">
        <v>262703.09999999998</v>
      </c>
      <c r="J117" s="1735">
        <v>223297</v>
      </c>
      <c r="K117" s="1733"/>
      <c r="L117" s="1733"/>
      <c r="M117" s="1734">
        <v>43342</v>
      </c>
      <c r="N117" s="1733"/>
      <c r="O117" s="1733" t="s">
        <v>3435</v>
      </c>
      <c r="P117" s="1733"/>
    </row>
    <row r="118" spans="1:16" ht="25.5" hidden="1" x14ac:dyDescent="0.25">
      <c r="A118" s="1733" t="s">
        <v>1679</v>
      </c>
      <c r="B118" s="1733" t="s">
        <v>3519</v>
      </c>
      <c r="C118" s="1733" t="s">
        <v>1968</v>
      </c>
      <c r="E118" s="1733" t="s">
        <v>3488</v>
      </c>
      <c r="F118" s="1733" t="s">
        <v>3009</v>
      </c>
      <c r="G118" s="1733" t="s">
        <v>236</v>
      </c>
      <c r="H118" s="1734">
        <v>43343</v>
      </c>
      <c r="I118" s="1735">
        <v>694296.45</v>
      </c>
      <c r="J118" s="1735">
        <v>417548</v>
      </c>
      <c r="K118" s="1733"/>
      <c r="L118" s="1733"/>
      <c r="M118" s="1734">
        <v>43343</v>
      </c>
      <c r="N118" s="1733"/>
      <c r="O118" s="1733" t="s">
        <v>3520</v>
      </c>
      <c r="P118" s="1733"/>
    </row>
    <row r="119" spans="1:16" ht="38.25" hidden="1" x14ac:dyDescent="0.25">
      <c r="A119" s="1733" t="s">
        <v>3521</v>
      </c>
      <c r="B119" s="1733" t="s">
        <v>3487</v>
      </c>
      <c r="C119" s="1733" t="s">
        <v>3451</v>
      </c>
      <c r="E119" s="1733" t="s">
        <v>3452</v>
      </c>
      <c r="F119" s="1733" t="s">
        <v>2904</v>
      </c>
      <c r="G119" s="1733" t="s">
        <v>184</v>
      </c>
      <c r="H119" s="1734">
        <v>43350</v>
      </c>
      <c r="I119" s="1735">
        <v>260122</v>
      </c>
      <c r="J119" s="1735">
        <v>206056</v>
      </c>
      <c r="K119" s="1733"/>
      <c r="L119" s="1733"/>
      <c r="M119" s="1734">
        <v>43350</v>
      </c>
      <c r="N119" s="1733"/>
      <c r="O119" s="1733"/>
      <c r="P119" s="1733"/>
    </row>
    <row r="120" spans="1:16" ht="63.75" hidden="1" x14ac:dyDescent="0.25">
      <c r="A120" s="1733" t="s">
        <v>1675</v>
      </c>
      <c r="B120" s="1733" t="s">
        <v>3522</v>
      </c>
      <c r="C120" s="1733" t="s">
        <v>1968</v>
      </c>
      <c r="E120" s="1733" t="s">
        <v>3488</v>
      </c>
      <c r="F120" s="1733" t="s">
        <v>3523</v>
      </c>
      <c r="G120" s="1733" t="s">
        <v>3524</v>
      </c>
      <c r="H120" s="1734">
        <v>43360</v>
      </c>
      <c r="I120" s="1735">
        <v>25517</v>
      </c>
      <c r="J120" s="1735">
        <v>23603</v>
      </c>
      <c r="K120" s="1733"/>
      <c r="L120" s="1733"/>
      <c r="M120" s="1734">
        <v>43360</v>
      </c>
      <c r="N120" s="1733"/>
      <c r="O120" s="1733" t="s">
        <v>3525</v>
      </c>
      <c r="P120" s="1733"/>
    </row>
    <row r="121" spans="1:16" ht="38.25" hidden="1" x14ac:dyDescent="0.25">
      <c r="A121" s="1733" t="s">
        <v>3526</v>
      </c>
      <c r="B121" s="1733" t="s">
        <v>3527</v>
      </c>
      <c r="C121" s="1733" t="s">
        <v>1968</v>
      </c>
      <c r="E121" s="1733" t="s">
        <v>3516</v>
      </c>
      <c r="F121" s="1733" t="s">
        <v>2896</v>
      </c>
      <c r="G121" s="1733" t="s">
        <v>284</v>
      </c>
      <c r="H121" s="1734">
        <v>43361</v>
      </c>
      <c r="I121" s="1735">
        <v>150000</v>
      </c>
      <c r="J121" s="1735">
        <v>127500</v>
      </c>
      <c r="K121" s="1733"/>
      <c r="L121" s="1733"/>
      <c r="M121" s="1734">
        <v>43361</v>
      </c>
      <c r="N121" s="1733"/>
      <c r="O121" s="1733" t="s">
        <v>3528</v>
      </c>
      <c r="P121" s="1733"/>
    </row>
    <row r="122" spans="1:16" ht="51" hidden="1" x14ac:dyDescent="0.25">
      <c r="A122" s="1733" t="s">
        <v>3529</v>
      </c>
      <c r="B122" s="1733" t="s">
        <v>3530</v>
      </c>
      <c r="C122" s="1733" t="s">
        <v>1968</v>
      </c>
      <c r="E122" s="1733" t="s">
        <v>3488</v>
      </c>
      <c r="F122" s="1733" t="s">
        <v>3531</v>
      </c>
      <c r="G122" s="1733" t="s">
        <v>3532</v>
      </c>
      <c r="H122" s="1734">
        <v>43362</v>
      </c>
      <c r="I122" s="1735">
        <v>466774.13</v>
      </c>
      <c r="J122" s="1735">
        <v>389456</v>
      </c>
      <c r="K122" s="1733"/>
      <c r="L122" s="1733"/>
      <c r="M122" s="1734">
        <v>43362</v>
      </c>
      <c r="N122" s="1733"/>
      <c r="O122" s="1733" t="s">
        <v>3533</v>
      </c>
      <c r="P122" s="1733"/>
    </row>
    <row r="123" spans="1:16" ht="63.75" hidden="1" x14ac:dyDescent="0.25">
      <c r="A123" s="1733" t="s">
        <v>3534</v>
      </c>
      <c r="B123" s="1733" t="s">
        <v>1439</v>
      </c>
      <c r="C123" s="1733" t="s">
        <v>1968</v>
      </c>
      <c r="E123" s="1733" t="s">
        <v>3516</v>
      </c>
      <c r="F123" s="1733" t="s">
        <v>3535</v>
      </c>
      <c r="G123" s="1733" t="s">
        <v>3536</v>
      </c>
      <c r="H123" s="1734">
        <v>43370</v>
      </c>
      <c r="I123" s="1735">
        <v>82938</v>
      </c>
      <c r="J123" s="1735">
        <v>70498</v>
      </c>
      <c r="K123" s="1733"/>
      <c r="L123" s="1733"/>
      <c r="M123" s="1734">
        <v>43370</v>
      </c>
      <c r="N123" s="1733"/>
      <c r="O123" s="1733" t="s">
        <v>3537</v>
      </c>
      <c r="P123" s="1733"/>
    </row>
    <row r="124" spans="1:16" ht="51" hidden="1" x14ac:dyDescent="0.25">
      <c r="A124" s="1733" t="s">
        <v>3538</v>
      </c>
      <c r="B124" s="1733" t="s">
        <v>3539</v>
      </c>
      <c r="C124" s="1733" t="s">
        <v>1968</v>
      </c>
      <c r="E124" s="1733" t="s">
        <v>3516</v>
      </c>
      <c r="F124" s="1733" t="s">
        <v>2896</v>
      </c>
      <c r="G124" s="1733" t="s">
        <v>284</v>
      </c>
      <c r="H124" s="1734">
        <v>43371</v>
      </c>
      <c r="I124" s="1735">
        <v>300373</v>
      </c>
      <c r="J124" s="1735">
        <v>255317.05</v>
      </c>
      <c r="K124" s="1733"/>
      <c r="L124" s="1733"/>
      <c r="M124" s="1734">
        <v>43371</v>
      </c>
      <c r="N124" s="1733"/>
      <c r="O124" s="1733" t="s">
        <v>3528</v>
      </c>
      <c r="P124" s="1733"/>
    </row>
    <row r="125" spans="1:16" ht="38.25" hidden="1" x14ac:dyDescent="0.25">
      <c r="A125" s="1733" t="s">
        <v>3540</v>
      </c>
      <c r="B125" s="1733" t="s">
        <v>1437</v>
      </c>
      <c r="C125" s="1733" t="s">
        <v>1968</v>
      </c>
      <c r="E125" s="1733" t="s">
        <v>3488</v>
      </c>
      <c r="F125" s="1733" t="s">
        <v>3541</v>
      </c>
      <c r="G125" s="1733" t="s">
        <v>3542</v>
      </c>
      <c r="H125" s="1734">
        <v>43371</v>
      </c>
      <c r="I125" s="1735">
        <v>50356</v>
      </c>
      <c r="J125" s="1735">
        <v>46579</v>
      </c>
      <c r="K125" s="1733"/>
      <c r="L125" s="1733"/>
      <c r="M125" s="1734">
        <v>43371</v>
      </c>
      <c r="N125" s="1733"/>
      <c r="O125" s="1733" t="s">
        <v>3533</v>
      </c>
      <c r="P125" s="1733"/>
    </row>
    <row r="126" spans="1:16" ht="25.5" hidden="1" x14ac:dyDescent="0.25">
      <c r="A126" s="1733" t="s">
        <v>3543</v>
      </c>
      <c r="B126" s="1733" t="s">
        <v>1441</v>
      </c>
      <c r="C126" s="1733" t="s">
        <v>1968</v>
      </c>
      <c r="E126" s="1733" t="s">
        <v>3488</v>
      </c>
      <c r="F126" s="1733" t="s">
        <v>3544</v>
      </c>
      <c r="G126" s="1733" t="s">
        <v>3545</v>
      </c>
      <c r="H126" s="1734">
        <v>43371</v>
      </c>
      <c r="I126" s="1735">
        <v>43009.52</v>
      </c>
      <c r="J126" s="1735">
        <v>36558.089999999997</v>
      </c>
      <c r="K126" s="1733"/>
      <c r="L126" s="1733"/>
      <c r="M126" s="1734">
        <v>43371</v>
      </c>
      <c r="N126" s="1733"/>
      <c r="O126" s="1733" t="s">
        <v>3533</v>
      </c>
      <c r="P126" s="1733"/>
    </row>
    <row r="127" spans="1:16" ht="409.6" hidden="1" customHeight="1" x14ac:dyDescent="0.25"/>
    <row r="128" spans="1:16" ht="3" customHeight="1" x14ac:dyDescent="0.25"/>
  </sheetData>
  <autoFilter ref="A11:P126">
    <filterColumn colId="0">
      <filters>
        <filter val="04.5.1-TID-R-518-11-0001"/>
      </filters>
    </filterColumn>
  </autoFilter>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5"/>
  <sheetViews>
    <sheetView showRuler="0" topLeftCell="A78" zoomScaleNormal="100" workbookViewId="0">
      <pane ySplit="3975" topLeftCell="A144" activePane="bottomLeft"/>
      <selection activeCell="L3" sqref="L3"/>
      <selection pane="bottomLeft" activeCell="K151" sqref="K151"/>
    </sheetView>
  </sheetViews>
  <sheetFormatPr defaultColWidth="9.140625" defaultRowHeight="15" x14ac:dyDescent="0.25"/>
  <cols>
    <col min="1" max="1" width="9.140625" style="52"/>
    <col min="2" max="2" width="12.28515625" style="52" customWidth="1"/>
    <col min="3" max="3" width="28.28515625" style="52" customWidth="1"/>
    <col min="4" max="4" width="13" style="52" customWidth="1"/>
    <col min="5" max="5" width="18" style="52" customWidth="1"/>
    <col min="6" max="6" width="12.28515625" style="52" customWidth="1"/>
    <col min="7" max="7" width="19.42578125" style="52" customWidth="1"/>
    <col min="8" max="8" width="4.140625" style="52" bestFit="1" customWidth="1"/>
    <col min="9" max="9" width="3.28515625" style="52" bestFit="1" customWidth="1"/>
    <col min="10" max="10" width="5.140625" style="52" customWidth="1"/>
    <col min="11" max="11" width="6.7109375" style="52" bestFit="1" customWidth="1"/>
    <col min="12" max="12" width="26.28515625" style="52" customWidth="1"/>
    <col min="13" max="13" width="6.7109375" style="52" customWidth="1"/>
    <col min="14" max="14" width="20.85546875" style="52" customWidth="1"/>
    <col min="15" max="15" width="7" style="52" customWidth="1"/>
    <col min="16" max="16" width="15.28515625" style="52" customWidth="1"/>
    <col min="17" max="17" width="9" style="52" customWidth="1"/>
    <col min="18" max="18" width="15.28515625" style="52" customWidth="1"/>
    <col min="19" max="19" width="9" style="52" customWidth="1"/>
    <col min="20" max="20" width="15.28515625" style="52" customWidth="1"/>
    <col min="21" max="21" width="6.85546875" style="52" customWidth="1"/>
    <col min="22" max="22" width="10" style="52" customWidth="1"/>
    <col min="23" max="23" width="9.28515625" style="52" customWidth="1"/>
    <col min="24" max="16384" width="9.140625" style="52"/>
  </cols>
  <sheetData>
    <row r="2" spans="1:23" ht="16.5" thickBot="1" x14ac:dyDescent="0.3">
      <c r="A2" s="502" t="s">
        <v>325</v>
      </c>
      <c r="B2" s="502"/>
    </row>
    <row r="3" spans="1:23" ht="65.25" thickTop="1" thickBot="1" x14ac:dyDescent="0.3">
      <c r="A3" s="549" t="s">
        <v>7</v>
      </c>
      <c r="B3" s="707" t="s">
        <v>1263</v>
      </c>
      <c r="C3" s="550" t="s">
        <v>49</v>
      </c>
      <c r="D3" s="550" t="s">
        <v>50</v>
      </c>
      <c r="E3" s="550" t="s">
        <v>51</v>
      </c>
      <c r="F3" s="550" t="s">
        <v>52</v>
      </c>
      <c r="G3" s="551" t="s">
        <v>53</v>
      </c>
      <c r="H3" s="550" t="s">
        <v>1268</v>
      </c>
      <c r="I3" s="550" t="s">
        <v>1269</v>
      </c>
      <c r="J3" s="552" t="s">
        <v>327</v>
      </c>
      <c r="K3" s="550" t="s">
        <v>328</v>
      </c>
      <c r="L3" s="552" t="s">
        <v>329</v>
      </c>
      <c r="M3" s="550" t="s">
        <v>330</v>
      </c>
      <c r="N3" s="552" t="s">
        <v>331</v>
      </c>
      <c r="O3" s="550" t="s">
        <v>332</v>
      </c>
      <c r="P3" s="552" t="s">
        <v>333</v>
      </c>
      <c r="Q3" s="550" t="s">
        <v>334</v>
      </c>
      <c r="R3" s="552" t="s">
        <v>1221</v>
      </c>
      <c r="S3" s="550" t="s">
        <v>451</v>
      </c>
      <c r="T3" s="552" t="s">
        <v>1222</v>
      </c>
      <c r="U3" s="553" t="s">
        <v>335</v>
      </c>
      <c r="V3" s="554" t="s">
        <v>336</v>
      </c>
      <c r="W3" s="555" t="s">
        <v>337</v>
      </c>
    </row>
    <row r="4" spans="1:23" ht="15.75" thickBot="1" x14ac:dyDescent="0.3">
      <c r="A4" s="19"/>
      <c r="B4" s="16"/>
      <c r="C4" s="16"/>
      <c r="D4" s="16"/>
      <c r="E4" s="16"/>
      <c r="F4" s="16"/>
      <c r="G4" s="16"/>
      <c r="H4" s="11"/>
      <c r="I4" s="11"/>
      <c r="J4" s="556"/>
      <c r="K4" s="11"/>
      <c r="L4" s="53"/>
      <c r="M4" s="16"/>
      <c r="N4" s="53"/>
      <c r="O4" s="16"/>
      <c r="P4" s="53"/>
      <c r="Q4" s="16"/>
      <c r="R4" s="53"/>
      <c r="S4" s="16"/>
      <c r="T4" s="53"/>
      <c r="U4" s="21"/>
      <c r="V4" s="16"/>
      <c r="W4" s="53"/>
    </row>
    <row r="5" spans="1:23" ht="88.5" customHeight="1" thickBot="1" x14ac:dyDescent="0.3">
      <c r="A5" s="156" t="s">
        <v>11</v>
      </c>
      <c r="B5" s="708"/>
      <c r="C5" s="1905" t="str">
        <f>CONCATENATE('3 pr-2'!D7)</f>
        <v/>
      </c>
      <c r="D5" s="1878"/>
      <c r="E5" s="1878"/>
      <c r="F5" s="1878"/>
      <c r="G5" s="1878"/>
      <c r="H5" s="1878"/>
      <c r="I5" s="1878"/>
      <c r="J5" s="1879"/>
      <c r="K5" s="557"/>
      <c r="L5" s="558"/>
      <c r="M5" s="559" t="s">
        <v>66</v>
      </c>
      <c r="N5" s="558"/>
      <c r="O5" s="559" t="s">
        <v>66</v>
      </c>
      <c r="P5" s="558"/>
      <c r="Q5" s="559" t="s">
        <v>66</v>
      </c>
      <c r="R5" s="558"/>
      <c r="S5" s="559" t="s">
        <v>66</v>
      </c>
      <c r="T5" s="558"/>
      <c r="U5" s="560"/>
      <c r="V5" s="559" t="s">
        <v>66</v>
      </c>
      <c r="W5" s="558"/>
    </row>
    <row r="6" spans="1:23" ht="48.75" customHeight="1" thickBot="1" x14ac:dyDescent="0.3">
      <c r="A6" s="155" t="s">
        <v>12</v>
      </c>
      <c r="B6" s="709"/>
      <c r="C6" s="1902" t="s">
        <v>845</v>
      </c>
      <c r="D6" s="1903"/>
      <c r="E6" s="1903"/>
      <c r="F6" s="1903"/>
      <c r="G6" s="1903"/>
      <c r="H6" s="1903"/>
      <c r="I6" s="1903"/>
      <c r="J6" s="1904"/>
      <c r="K6" s="561"/>
      <c r="L6" s="562"/>
      <c r="M6" s="563" t="s">
        <v>66</v>
      </c>
      <c r="N6" s="562"/>
      <c r="O6" s="563" t="s">
        <v>66</v>
      </c>
      <c r="P6" s="562"/>
      <c r="Q6" s="563" t="s">
        <v>66</v>
      </c>
      <c r="R6" s="562"/>
      <c r="S6" s="563" t="s">
        <v>66</v>
      </c>
      <c r="T6" s="562"/>
      <c r="U6" s="564"/>
      <c r="V6" s="563" t="s">
        <v>66</v>
      </c>
      <c r="W6" s="562"/>
    </row>
    <row r="7" spans="1:23" ht="41.25" customHeight="1" thickBot="1" x14ac:dyDescent="0.3">
      <c r="A7" s="327" t="s">
        <v>67</v>
      </c>
      <c r="B7" s="710"/>
      <c r="C7" s="1885" t="s">
        <v>840</v>
      </c>
      <c r="D7" s="1894"/>
      <c r="E7" s="1894"/>
      <c r="F7" s="1894"/>
      <c r="G7" s="1894"/>
      <c r="H7" s="1894"/>
      <c r="I7" s="1894"/>
      <c r="J7" s="1895"/>
      <c r="K7" s="565"/>
      <c r="L7" s="566"/>
      <c r="M7" s="567" t="s">
        <v>66</v>
      </c>
      <c r="N7" s="566"/>
      <c r="O7" s="567" t="s">
        <v>66</v>
      </c>
      <c r="P7" s="566"/>
      <c r="Q7" s="567" t="s">
        <v>66</v>
      </c>
      <c r="R7" s="566"/>
      <c r="S7" s="567" t="s">
        <v>66</v>
      </c>
      <c r="T7" s="566"/>
      <c r="U7" s="568"/>
      <c r="V7" s="569">
        <f>SUM('3 pr-2'!L9)</f>
        <v>4207747</v>
      </c>
      <c r="W7" s="570">
        <f>SUM('3 pr-2'!AA9)</f>
        <v>2804551</v>
      </c>
    </row>
    <row r="8" spans="1:23" ht="51.75" thickBot="1" x14ac:dyDescent="0.3">
      <c r="A8" s="147" t="str">
        <f>CONCATENATE('3 pr-2'!A10)</f>
        <v>1.1.1.1.1</v>
      </c>
      <c r="B8" s="147" t="str">
        <f>CONCATENATE('3 pr-2'!B10)</f>
        <v>R01-ZM72-120000-1101</v>
      </c>
      <c r="C8" s="341" t="str">
        <f>CONCATENATE('3 pr-2'!D10)</f>
        <v xml:space="preserve">Druskininkų savivaldybės Viečiūnų seniūnijos Ilgio ir Raigardo seniūnaitijų kelių būklės gerinimas  </v>
      </c>
      <c r="D8" s="341" t="str">
        <f>CONCATENATE('3 pr-2'!E10)</f>
        <v xml:space="preserve">Druskininkų savivaldybės administracija  </v>
      </c>
      <c r="E8" s="341" t="str">
        <f>CONCATENATE('3 pr-2'!F10)</f>
        <v>Lietuvos Respublikos žemės ūkio ministerija</v>
      </c>
      <c r="F8" s="341" t="str">
        <f>CONCATENATE('3 pr-2'!G10)</f>
        <v>Druskininkų sav.</v>
      </c>
      <c r="G8" s="341" t="str">
        <f>CONCATENATE('3 pr-2'!H10)</f>
        <v xml:space="preserve">Pagrindinės paslaugos ir kaimų atnaujinimas kaimo vietovėse </v>
      </c>
      <c r="H8" s="147" t="str">
        <f>CONCATENATE('3 pr-2'!I10)</f>
        <v>R</v>
      </c>
      <c r="I8" s="147" t="str">
        <f>CONCATENATE('3 pr-2'!J10)</f>
        <v>-</v>
      </c>
      <c r="J8" s="147" t="str">
        <f>CONCATENATE('3 pr-2'!K10)</f>
        <v>-</v>
      </c>
      <c r="K8" s="147" t="str">
        <f>MID('3 pr-2'!B10,10,2)</f>
        <v>12</v>
      </c>
      <c r="L8" s="147" t="str">
        <f>IFERROR(INDEX(Veiklos!$C$2:$C$54,MATCH(K8,Veiklos!$D$2:$D$54,0),1),"")</f>
        <v>Vietinės reikšmės keliai ir gatvės (rekonstrukcija)</v>
      </c>
      <c r="M8" s="147" t="str">
        <f>MID('3 pr-2'!B10,12,2)</f>
        <v>00</v>
      </c>
      <c r="N8" s="147">
        <f>IFERROR(INDEX(Veiklos!$C$2:$C$54,MATCH(M8,Veiklos!$D$2:$D$54,0),1),"")</f>
        <v>0</v>
      </c>
      <c r="O8" s="147" t="str">
        <f>MID('3 pr-2'!B10,14,2)</f>
        <v>00</v>
      </c>
      <c r="P8" s="147">
        <f>IFERROR(INDEX(Veiklos!$C$2:$C$54,MATCH(O8,Veiklos!$D$2:$D$54,0),1),"")</f>
        <v>0</v>
      </c>
      <c r="Q8" s="147" t="s">
        <v>66</v>
      </c>
      <c r="R8" s="147" t="s">
        <v>66</v>
      </c>
      <c r="S8" s="147" t="s">
        <v>66</v>
      </c>
      <c r="T8" s="147" t="s">
        <v>66</v>
      </c>
      <c r="U8" s="349">
        <v>1</v>
      </c>
      <c r="V8" s="571">
        <f>SUM('3 pr-2'!L10)</f>
        <v>198893</v>
      </c>
      <c r="W8" s="571">
        <f>SUM('3 pr-2'!AA10)</f>
        <v>135247</v>
      </c>
    </row>
    <row r="9" spans="1:23" ht="51.75" thickBot="1" x14ac:dyDescent="0.3">
      <c r="A9" s="147" t="str">
        <f>CONCATENATE('3 pr-2'!A11)</f>
        <v>1.1.1.1.2</v>
      </c>
      <c r="B9" s="147" t="str">
        <f>CONCATENATE('3 pr-2'!B11)</f>
        <v>R01-ZM72-120000-1102</v>
      </c>
      <c r="C9" s="341" t="str">
        <f>CONCATENATE('3 pr-2'!D11)</f>
        <v>Druskininkų savivaldybės Viečiūnų seniūnijos Ratnyčėlės seniūnaitijos kelių būklės gerinimas</v>
      </c>
      <c r="D9" s="341" t="str">
        <f>CONCATENATE('3 pr-2'!E11)</f>
        <v xml:space="preserve">Druskininkų savivaldybės administracija  </v>
      </c>
      <c r="E9" s="341" t="str">
        <f>CONCATENATE('3 pr-2'!F11)</f>
        <v>Lietuvos Respublikos žemės ūkio ministerija</v>
      </c>
      <c r="F9" s="341" t="str">
        <f>CONCATENATE('3 pr-2'!G11)</f>
        <v>Druskininkų sav.</v>
      </c>
      <c r="G9" s="341" t="str">
        <f>CONCATENATE('3 pr-2'!H11)</f>
        <v xml:space="preserve">Pagrindinės paslaugos ir kaimų atnaujinimas kaimo vietovėse </v>
      </c>
      <c r="H9" s="147" t="str">
        <f>CONCATENATE('3 pr-2'!I11)</f>
        <v>R</v>
      </c>
      <c r="I9" s="147" t="str">
        <f>CONCATENATE('3 pr-2'!J11)</f>
        <v>-</v>
      </c>
      <c r="J9" s="147" t="str">
        <f>CONCATENATE('3 pr-2'!K11)</f>
        <v>-</v>
      </c>
      <c r="K9" s="147" t="str">
        <f>MID('3 pr-2'!B11,10,2)</f>
        <v>12</v>
      </c>
      <c r="L9" s="147" t="str">
        <f>IFERROR(INDEX(Veiklos!$C$2:$C$54,MATCH(K9,Veiklos!$D$2:$D$54,0),1),"")</f>
        <v>Vietinės reikšmės keliai ir gatvės (rekonstrukcija)</v>
      </c>
      <c r="M9" s="147" t="str">
        <f>MID('3 pr-2'!B11,12,2)</f>
        <v>00</v>
      </c>
      <c r="N9" s="147">
        <f>IFERROR(INDEX(Veiklos!$C$2:$C$54,MATCH(M9,Veiklos!$D$2:$D$54,0),1),"")</f>
        <v>0</v>
      </c>
      <c r="O9" s="147" t="str">
        <f>MID('3 pr-2'!B11,14,2)</f>
        <v>00</v>
      </c>
      <c r="P9" s="147">
        <f>IFERROR(INDEX(Veiklos!$C$2:$C$54,MATCH(O9,Veiklos!$D$2:$D$54,0),1),"")</f>
        <v>0</v>
      </c>
      <c r="Q9" s="147" t="s">
        <v>66</v>
      </c>
      <c r="R9" s="147" t="s">
        <v>66</v>
      </c>
      <c r="S9" s="147" t="s">
        <v>66</v>
      </c>
      <c r="T9" s="147" t="s">
        <v>66</v>
      </c>
      <c r="U9" s="349">
        <v>1</v>
      </c>
      <c r="V9" s="571">
        <f>SUM('3 pr-2'!L11)</f>
        <v>151340</v>
      </c>
      <c r="W9" s="571">
        <f>SUM('3 pr-2'!AA11)</f>
        <v>102911</v>
      </c>
    </row>
    <row r="10" spans="1:23" ht="51.75" thickBot="1" x14ac:dyDescent="0.3">
      <c r="A10" s="147" t="str">
        <f>CONCATENATE('3 pr-2'!A12)</f>
        <v>1.1.1.1.3</v>
      </c>
      <c r="B10" s="147" t="str">
        <f>CONCATENATE('3 pr-2'!B12)</f>
        <v>R01-ZM72-120000-1103</v>
      </c>
      <c r="C10" s="341" t="str">
        <f>CONCATENATE('3 pr-2'!D12)</f>
        <v>Druskininkų savivaldybės Leipalingio seniūnijos Klonio seniūnaitijos kelių būklės gerinimas</v>
      </c>
      <c r="D10" s="341" t="str">
        <f>CONCATENATE('3 pr-2'!E12)</f>
        <v xml:space="preserve">Druskininkų savivaldybės administracija  </v>
      </c>
      <c r="E10" s="341" t="str">
        <f>CONCATENATE('3 pr-2'!F12)</f>
        <v>Lietuvos Respublikos žemės ūkio ministerija</v>
      </c>
      <c r="F10" s="341" t="str">
        <f>CONCATENATE('3 pr-2'!G12)</f>
        <v>Druskininkų sav.</v>
      </c>
      <c r="G10" s="341" t="str">
        <f>CONCATENATE('3 pr-2'!H12)</f>
        <v xml:space="preserve">Pagrindinės paslaugos ir kaimų atnaujinimas kaimo vietovėse </v>
      </c>
      <c r="H10" s="147" t="str">
        <f>CONCATENATE('3 pr-2'!I12)</f>
        <v>R</v>
      </c>
      <c r="I10" s="147" t="str">
        <f>CONCATENATE('3 pr-2'!J12)</f>
        <v>-</v>
      </c>
      <c r="J10" s="147" t="str">
        <f>CONCATENATE('3 pr-2'!K12)</f>
        <v>-</v>
      </c>
      <c r="K10" s="147" t="str">
        <f>MID('3 pr-2'!B12,10,2)</f>
        <v>12</v>
      </c>
      <c r="L10" s="147" t="str">
        <f>IFERROR(INDEX(Veiklos!$C$2:$C$54,MATCH(K10,Veiklos!$D$2:$D$54,0),1),"")</f>
        <v>Vietinės reikšmės keliai ir gatvės (rekonstrukcija)</v>
      </c>
      <c r="M10" s="147" t="str">
        <f>MID('3 pr-2'!B12,12,2)</f>
        <v>00</v>
      </c>
      <c r="N10" s="147">
        <f>IFERROR(INDEX(Veiklos!$C$2:$C$54,MATCH(M10,Veiklos!$D$2:$D$54,0),1),"")</f>
        <v>0</v>
      </c>
      <c r="O10" s="147" t="str">
        <f>MID('3 pr-2'!B12,14,2)</f>
        <v>00</v>
      </c>
      <c r="P10" s="147">
        <f>IFERROR(INDEX(Veiklos!$C$2:$C$54,MATCH(O10,Veiklos!$D$2:$D$54,0),1),"")</f>
        <v>0</v>
      </c>
      <c r="Q10" s="147" t="s">
        <v>66</v>
      </c>
      <c r="R10" s="147" t="s">
        <v>66</v>
      </c>
      <c r="S10" s="147" t="s">
        <v>66</v>
      </c>
      <c r="T10" s="147" t="s">
        <v>66</v>
      </c>
      <c r="U10" s="349">
        <v>1</v>
      </c>
      <c r="V10" s="571">
        <f>SUM('3 pr-2'!L12)</f>
        <v>193059</v>
      </c>
      <c r="W10" s="571">
        <f>SUM('3 pr-2'!AA12)</f>
        <v>131280</v>
      </c>
    </row>
    <row r="11" spans="1:23" ht="51.75" thickBot="1" x14ac:dyDescent="0.3">
      <c r="A11" s="147" t="str">
        <f>CONCATENATE('3 pr-2'!A13)</f>
        <v>1.1.1.1.4</v>
      </c>
      <c r="B11" s="147" t="str">
        <f>CONCATENATE('3 pr-2'!B13)</f>
        <v>R01-ZM72-330200-1104</v>
      </c>
      <c r="C11" s="341" t="str">
        <f>CONCATENATE('3 pr-2'!D13)</f>
        <v>Rudaminos laisvalaikio salės pritaikymas bendruomenės poreikiams ir liaudies amatų plėtrai</v>
      </c>
      <c r="D11" s="341" t="str">
        <f>CONCATENATE('3 pr-2'!E13)</f>
        <v>Viešoji įstaiga Lazdijų kultūros centras</v>
      </c>
      <c r="E11" s="341" t="str">
        <f>CONCATENATE('3 pr-2'!F13)</f>
        <v>Lietuvos Respublikos žemės ūkio ministerija</v>
      </c>
      <c r="F11" s="341" t="str">
        <f>CONCATENATE('3 pr-2'!G13)</f>
        <v>Lazdijų r. sav.</v>
      </c>
      <c r="G11" s="341" t="str">
        <f>CONCATENATE('3 pr-2'!H13)</f>
        <v xml:space="preserve">Pagrindinės paslaugos ir kaimų atnaujinimas kaimo vietovėse </v>
      </c>
      <c r="H11" s="147" t="str">
        <f>CONCATENATE('3 pr-2'!I13)</f>
        <v>R</v>
      </c>
      <c r="I11" s="147" t="str">
        <f>CONCATENATE('3 pr-2'!J13)</f>
        <v>-</v>
      </c>
      <c r="J11" s="147" t="str">
        <f>CONCATENATE('3 pr-2'!K13)</f>
        <v>-</v>
      </c>
      <c r="K11" s="147" t="str">
        <f>MID('3 pr-2'!B13,10,2)</f>
        <v>33</v>
      </c>
      <c r="L11" s="147" t="str">
        <f>IFERROR(INDEX(Veiklos!$C$2:$C$54,MATCH(K11,Veiklos!$D$2:$D$54,0),1),"")</f>
        <v>Kitos viešosios infrastruktūros modernizavimas (pastatai ir statiniai): kultūros objektai</v>
      </c>
      <c r="M11" s="147" t="str">
        <f>MID('3 pr-2'!B13,12,2)</f>
        <v>02</v>
      </c>
      <c r="N11" s="147" t="str">
        <f>IFERROR(INDEX(Veiklos!$C$2:$C$54,MATCH(M11,Veiklos!$D$2:$D$54,0),1),"")</f>
        <v>Viešųjų pastatų energinio efektyvumo didinimas</v>
      </c>
      <c r="O11" s="147" t="str">
        <f>MID('3 pr-2'!B13,14,2)</f>
        <v>00</v>
      </c>
      <c r="P11" s="147">
        <f>IFERROR(INDEX(Veiklos!$C$2:$C$54,MATCH(O11,Veiklos!$D$2:$D$54,0),1),"")</f>
        <v>0</v>
      </c>
      <c r="Q11" s="147" t="s">
        <v>66</v>
      </c>
      <c r="R11" s="147" t="s">
        <v>66</v>
      </c>
      <c r="S11" s="147" t="s">
        <v>66</v>
      </c>
      <c r="T11" s="147" t="s">
        <v>66</v>
      </c>
      <c r="U11" s="349">
        <v>1</v>
      </c>
      <c r="V11" s="571">
        <f>SUM('3 pr-2'!L13)</f>
        <v>125000</v>
      </c>
      <c r="W11" s="571">
        <f>SUM('3 pr-2'!AA13)</f>
        <v>85000</v>
      </c>
    </row>
    <row r="12" spans="1:23" ht="51.75" thickBot="1" x14ac:dyDescent="0.3">
      <c r="A12" s="147" t="str">
        <f>CONCATENATE('3 pr-2'!A14)</f>
        <v>1.1.1.1.5</v>
      </c>
      <c r="B12" s="147" t="str">
        <f>CONCATENATE('3 pr-2'!B14)</f>
        <v>R01-ZM72-120000-1105</v>
      </c>
      <c r="C12" s="341" t="str">
        <f>CONCATENATE('3 pr-2'!D14)</f>
        <v>Druskininkų savivaldybės Leipalingio seniūnijos Bilso seniūnaitijos kelių būklės gerinimas</v>
      </c>
      <c r="D12" s="341" t="str">
        <f>CONCATENATE('3 pr-2'!E14)</f>
        <v xml:space="preserve">Druskininkų savivaldybės administracija  </v>
      </c>
      <c r="E12" s="341" t="str">
        <f>CONCATENATE('3 pr-2'!F14)</f>
        <v>Lietuvos Respublikos žemės ūkio ministerija</v>
      </c>
      <c r="F12" s="341" t="str">
        <f>CONCATENATE('3 pr-2'!G14)</f>
        <v>Druskininkų sav.</v>
      </c>
      <c r="G12" s="341" t="str">
        <f>CONCATENATE('3 pr-2'!H14)</f>
        <v xml:space="preserve">Pagrindinės paslaugos ir kaimų atnaujinimas kaimo vietovėse </v>
      </c>
      <c r="H12" s="147" t="str">
        <f>CONCATENATE('3 pr-2'!I14)</f>
        <v>R</v>
      </c>
      <c r="I12" s="147" t="str">
        <f>CONCATENATE('3 pr-2'!J14)</f>
        <v>-</v>
      </c>
      <c r="J12" s="147" t="str">
        <f>CONCATENATE('3 pr-2'!K14)</f>
        <v>-</v>
      </c>
      <c r="K12" s="147" t="str">
        <f>MID('3 pr-2'!B14,10,2)</f>
        <v>12</v>
      </c>
      <c r="L12" s="147" t="str">
        <f>IFERROR(INDEX(Veiklos!$C$2:$C$54,MATCH(K12,Veiklos!$D$2:$D$54,0),1),"")</f>
        <v>Vietinės reikšmės keliai ir gatvės (rekonstrukcija)</v>
      </c>
      <c r="M12" s="147" t="str">
        <f>MID('3 pr-2'!B14,12,2)</f>
        <v>00</v>
      </c>
      <c r="N12" s="147">
        <f>IFERROR(INDEX(Veiklos!$C$2:$C$54,MATCH(M12,Veiklos!$D$2:$D$54,0),1),"")</f>
        <v>0</v>
      </c>
      <c r="O12" s="147" t="str">
        <f>MID('3 pr-2'!B14,14,2)</f>
        <v>00</v>
      </c>
      <c r="P12" s="147">
        <f>IFERROR(INDEX(Veiklos!$C$2:$C$54,MATCH(O12,Veiklos!$D$2:$D$54,0),1),"")</f>
        <v>0</v>
      </c>
      <c r="Q12" s="147" t="s">
        <v>66</v>
      </c>
      <c r="R12" s="147" t="s">
        <v>66</v>
      </c>
      <c r="S12" s="147" t="s">
        <v>66</v>
      </c>
      <c r="T12" s="147" t="s">
        <v>66</v>
      </c>
      <c r="U12" s="349">
        <v>1</v>
      </c>
      <c r="V12" s="571">
        <f>SUM('3 pr-2'!L14)</f>
        <v>240940</v>
      </c>
      <c r="W12" s="571">
        <f>SUM('3 pr-2'!AA14)</f>
        <v>108837</v>
      </c>
    </row>
    <row r="13" spans="1:23" ht="77.25" thickBot="1" x14ac:dyDescent="0.3">
      <c r="A13" s="147" t="str">
        <f>CONCATENATE('3 pr-2'!A15)</f>
        <v>1.1.1.1.6</v>
      </c>
      <c r="B13" s="147" t="str">
        <f>CONCATENATE('3 pr-2'!B15)</f>
        <v>R01-ZM72-330200-1106</v>
      </c>
      <c r="C13" s="341" t="str">
        <f>CONCATENATE('3 pr-2'!D15)</f>
        <v>Lazdijų rajono kaimų patrauklumo didinimas atnaujinant bibliotekas</v>
      </c>
      <c r="D13" s="341" t="str">
        <f>CONCATENATE('3 pr-2'!E15)</f>
        <v xml:space="preserve">Biudžetinė įstaiga Lazdijų rajono savivaldybės viešoji biblioteka </v>
      </c>
      <c r="E13" s="341" t="str">
        <f>CONCATENATE('3 pr-2'!F15)</f>
        <v>Lietuvos Respublikos žemės ūkio ministerija</v>
      </c>
      <c r="F13" s="341" t="str">
        <f>CONCATENATE('3 pr-2'!G15)</f>
        <v>Lazdijų r. sav.</v>
      </c>
      <c r="G13" s="341" t="str">
        <f>CONCATENATE('3 pr-2'!H15)</f>
        <v xml:space="preserve">Pagrindinės paslaugos ir kaimų atnaujinimas kaimo vietovėse </v>
      </c>
      <c r="H13" s="147" t="str">
        <f>CONCATENATE('3 pr-2'!I15)</f>
        <v>R</v>
      </c>
      <c r="I13" s="147" t="str">
        <f>CONCATENATE('3 pr-2'!J15)</f>
        <v>-</v>
      </c>
      <c r="J13" s="147" t="str">
        <f>CONCATENATE('3 pr-2'!K15)</f>
        <v>-</v>
      </c>
      <c r="K13" s="147" t="str">
        <f>MID('3 pr-2'!B15,10,2)</f>
        <v>33</v>
      </c>
      <c r="L13" s="147" t="str">
        <f>IFERROR(INDEX(Veiklos!$C$2:$C$54,MATCH(K13,Veiklos!$D$2:$D$54,0),1),"")</f>
        <v>Kitos viešosios infrastruktūros modernizavimas (pastatai ir statiniai): kultūros objektai</v>
      </c>
      <c r="M13" s="147" t="str">
        <f>MID('3 pr-2'!B15,12,2)</f>
        <v>02</v>
      </c>
      <c r="N13" s="147" t="str">
        <f>IFERROR(INDEX(Veiklos!$C$2:$C$54,MATCH(M13,Veiklos!$D$2:$D$54,0),1),"")</f>
        <v>Viešųjų pastatų energinio efektyvumo didinimas</v>
      </c>
      <c r="O13" s="147" t="str">
        <f>MID('3 pr-2'!B15,14,2)</f>
        <v>00</v>
      </c>
      <c r="P13" s="147">
        <f>IFERROR(INDEX(Veiklos!$C$2:$C$54,MATCH(O13,Veiklos!$D$2:$D$54,0),1),"")</f>
        <v>0</v>
      </c>
      <c r="Q13" s="147" t="s">
        <v>66</v>
      </c>
      <c r="R13" s="147" t="s">
        <v>66</v>
      </c>
      <c r="S13" s="147" t="s">
        <v>66</v>
      </c>
      <c r="T13" s="147" t="s">
        <v>66</v>
      </c>
      <c r="U13" s="349">
        <v>1</v>
      </c>
      <c r="V13" s="571">
        <f>SUM('3 pr-2'!L15)</f>
        <v>201000</v>
      </c>
      <c r="W13" s="571">
        <f>SUM('3 pr-2'!AA15)</f>
        <v>136680</v>
      </c>
    </row>
    <row r="14" spans="1:23" ht="64.5" thickBot="1" x14ac:dyDescent="0.3">
      <c r="A14" s="147" t="str">
        <f>CONCATENATE('3 pr-2'!A16)</f>
        <v>1.1.1.1.7</v>
      </c>
      <c r="B14" s="147" t="str">
        <f>CONCATENATE('3 pr-2'!B16)</f>
        <v>R01-ZM72-123200-1107</v>
      </c>
      <c r="C14" s="341" t="str">
        <f>CONCATENATE('3 pr-2'!D16)</f>
        <v>Alytaus rajono Miroslavo kaimo multifunkcinės sporto aikštės įrengimas ir gatvių bei šaligatvių rekonstrukcija</v>
      </c>
      <c r="D14" s="341" t="str">
        <f>CONCATENATE('3 pr-2'!E16)</f>
        <v>Alytaus rajono savivaldybės administracija</v>
      </c>
      <c r="E14" s="341" t="str">
        <f>CONCATENATE('3 pr-2'!F16)</f>
        <v>Lietuvos Respublikos žemės ūkio ministerija</v>
      </c>
      <c r="F14" s="341" t="str">
        <f>CONCATENATE('3 pr-2'!G16)</f>
        <v>Alytaus r. sav.</v>
      </c>
      <c r="G14" s="341" t="str">
        <f>CONCATENATE('3 pr-2'!H16)</f>
        <v xml:space="preserve">Pagrindinės paslaugos ir kaimų atnaujinimas kaimo vietovėse </v>
      </c>
      <c r="H14" s="147" t="str">
        <f>CONCATENATE('3 pr-2'!I16)</f>
        <v>R</v>
      </c>
      <c r="I14" s="147" t="str">
        <f>CONCATENATE('3 pr-2'!J16)</f>
        <v>-</v>
      </c>
      <c r="J14" s="147" t="str">
        <f>CONCATENATE('3 pr-2'!K16)</f>
        <v>-</v>
      </c>
      <c r="K14" s="147" t="str">
        <f>MID('3 pr-2'!B16,10,2)</f>
        <v>12</v>
      </c>
      <c r="L14" s="147" t="str">
        <f>IFERROR(INDEX(Veiklos!$C$2:$C$54,MATCH(K14,Veiklos!$D$2:$D$54,0),1),"")</f>
        <v>Vietinės reikšmės keliai ir gatvės (rekonstrukcija)</v>
      </c>
      <c r="M14" s="147" t="str">
        <f>MID('3 pr-2'!B16,12,2)</f>
        <v>32</v>
      </c>
      <c r="N14" s="147" t="str">
        <f>IFERROR(INDEX(Veiklos!$C$2:$C$54,MATCH(M14,Veiklos!$D$2:$D$54,0),1),"")</f>
        <v>Kitos viešosios infrastruktūros modernizavimas (pastatai ir statiniai): sveikatinimo ir sporto objektai</v>
      </c>
      <c r="O14" s="147" t="str">
        <f>MID('3 pr-2'!B16,14,2)</f>
        <v>00</v>
      </c>
      <c r="P14" s="147">
        <f>IFERROR(INDEX(Veiklos!$C$2:$C$54,MATCH(O14,Veiklos!$D$2:$D$54,0),1),"")</f>
        <v>0</v>
      </c>
      <c r="Q14" s="147" t="s">
        <v>66</v>
      </c>
      <c r="R14" s="147" t="s">
        <v>66</v>
      </c>
      <c r="S14" s="147" t="s">
        <v>66</v>
      </c>
      <c r="T14" s="147" t="s">
        <v>66</v>
      </c>
      <c r="U14" s="349">
        <v>1</v>
      </c>
      <c r="V14" s="571">
        <f>SUM('3 pr-2'!L16)</f>
        <v>252212</v>
      </c>
      <c r="W14" s="571">
        <f>SUM('3 pr-2'!AA16)</f>
        <v>170000</v>
      </c>
    </row>
    <row r="15" spans="1:23" ht="64.5" thickBot="1" x14ac:dyDescent="0.3">
      <c r="A15" s="147" t="str">
        <f>CONCATENATE('3 pr-2'!A17)</f>
        <v>1.1.1.1.8</v>
      </c>
      <c r="B15" s="147" t="str">
        <f>CONCATENATE('3 pr-2'!B17)</f>
        <v>R01-ZM72-123200-1108</v>
      </c>
      <c r="C15" s="341" t="str">
        <f>CONCATENATE('3 pr-2'!D17)</f>
        <v>Alytaus rajono Luksnėnų kaimo multifunkcinės sporto aikštės įrengimas ir gatvių rekonstrukcija</v>
      </c>
      <c r="D15" s="341" t="str">
        <f>CONCATENATE('3 pr-2'!E17)</f>
        <v>Alytaus rajono savivaldybės administracija</v>
      </c>
      <c r="E15" s="341" t="str">
        <f>CONCATENATE('3 pr-2'!F17)</f>
        <v>Lietuvos Respublikos žemės ūkio ministerija</v>
      </c>
      <c r="F15" s="341" t="str">
        <f>CONCATENATE('3 pr-2'!G17)</f>
        <v>Alytaus r. sav.</v>
      </c>
      <c r="G15" s="341" t="str">
        <f>CONCATENATE('3 pr-2'!H17)</f>
        <v xml:space="preserve">Pagrindinės paslaugos ir kaimų atnaujinimas kaimo vietovėse </v>
      </c>
      <c r="H15" s="147" t="str">
        <f>CONCATENATE('3 pr-2'!I17)</f>
        <v>R</v>
      </c>
      <c r="I15" s="147" t="str">
        <f>CONCATENATE('3 pr-2'!J17)</f>
        <v>-</v>
      </c>
      <c r="J15" s="147" t="str">
        <f>CONCATENATE('3 pr-2'!K17)</f>
        <v>-</v>
      </c>
      <c r="K15" s="147" t="str">
        <f>MID('3 pr-2'!B17,10,2)</f>
        <v>12</v>
      </c>
      <c r="L15" s="147" t="str">
        <f>IFERROR(INDEX(Veiklos!$C$2:$C$54,MATCH(K15,Veiklos!$D$2:$D$54,0),1),"")</f>
        <v>Vietinės reikšmės keliai ir gatvės (rekonstrukcija)</v>
      </c>
      <c r="M15" s="147" t="str">
        <f>MID('3 pr-2'!B17,12,2)</f>
        <v>32</v>
      </c>
      <c r="N15" s="147" t="str">
        <f>IFERROR(INDEX(Veiklos!$C$2:$C$54,MATCH(M15,Veiklos!$D$2:$D$54,0),1),"")</f>
        <v>Kitos viešosios infrastruktūros modernizavimas (pastatai ir statiniai): sveikatinimo ir sporto objektai</v>
      </c>
      <c r="O15" s="147" t="str">
        <f>MID('3 pr-2'!B17,14,2)</f>
        <v>00</v>
      </c>
      <c r="P15" s="147">
        <f>IFERROR(INDEX(Veiklos!$C$2:$C$54,MATCH(O15,Veiklos!$D$2:$D$54,0),1),"")</f>
        <v>0</v>
      </c>
      <c r="Q15" s="147" t="s">
        <v>66</v>
      </c>
      <c r="R15" s="147" t="s">
        <v>66</v>
      </c>
      <c r="S15" s="147" t="s">
        <v>66</v>
      </c>
      <c r="T15" s="147" t="s">
        <v>66</v>
      </c>
      <c r="U15" s="349">
        <v>1</v>
      </c>
      <c r="V15" s="571">
        <f>SUM('3 pr-2'!L17)</f>
        <v>250309</v>
      </c>
      <c r="W15" s="571">
        <f>SUM('3 pr-2'!AA17)</f>
        <v>170000</v>
      </c>
    </row>
    <row r="16" spans="1:23" ht="64.5" thickBot="1" x14ac:dyDescent="0.3">
      <c r="A16" s="147" t="str">
        <f>CONCATENATE('3 pr-2'!A18)</f>
        <v>1.1.1.1.9</v>
      </c>
      <c r="B16" s="147" t="str">
        <f>CONCATENATE('3 pr-2'!B18)</f>
        <v>R01-ZM72-340000-1109</v>
      </c>
      <c r="C16" s="341" t="str">
        <f>CONCATENATE('3 pr-2'!D18)</f>
        <v>Krikštonių laisvalaikio salės pritaikymas bendruomenės poreikiams</v>
      </c>
      <c r="D16" s="341" t="str">
        <f>CONCATENATE('3 pr-2'!E18)</f>
        <v xml:space="preserve">Viešoji įstaiga Lazdijų kultūros centras </v>
      </c>
      <c r="E16" s="341" t="str">
        <f>CONCATENATE('3 pr-2'!F18)</f>
        <v>Lietuvos Respublikos žemės ūkio ministerija</v>
      </c>
      <c r="F16" s="341" t="str">
        <f>CONCATENATE('3 pr-2'!G18)</f>
        <v>Lazdijų r. sav.</v>
      </c>
      <c r="G16" s="341" t="str">
        <f>CONCATENATE('3 pr-2'!H18)</f>
        <v xml:space="preserve">Pagrindinės paslaugos ir kaimų atnaujinimas kaimo vietovėse </v>
      </c>
      <c r="H16" s="147" t="str">
        <f>CONCATENATE('3 pr-2'!I18)</f>
        <v>R</v>
      </c>
      <c r="I16" s="147" t="str">
        <f>CONCATENATE('3 pr-2'!J18)</f>
        <v>-</v>
      </c>
      <c r="J16" s="147" t="str">
        <f>CONCATENATE('3 pr-2'!K18)</f>
        <v>-</v>
      </c>
      <c r="K16" s="147" t="str">
        <f>MID('3 pr-2'!B18,10,2)</f>
        <v>34</v>
      </c>
      <c r="L16" s="147" t="str">
        <f>IFERROR(INDEX(Veiklos!$C$2:$C$54,MATCH(K16,Veiklos!$D$2:$D$54,0),1),"")</f>
        <v>Kitos viešosios infrastruktūros modernizavimas (pastatai ir statiniai): bendruomenės, nevyriausybinių organizacijų veiklai pritaikomi pastatai</v>
      </c>
      <c r="M16" s="147" t="str">
        <f>MID('3 pr-2'!B18,12,2)</f>
        <v>00</v>
      </c>
      <c r="N16" s="147">
        <f>IFERROR(INDEX(Veiklos!$C$2:$C$54,MATCH(M16,Veiklos!$D$2:$D$54,0),1),"")</f>
        <v>0</v>
      </c>
      <c r="O16" s="147" t="str">
        <f>MID('3 pr-2'!B18,14,2)</f>
        <v>00</v>
      </c>
      <c r="P16" s="147">
        <f>IFERROR(INDEX(Veiklos!$C$2:$C$54,MATCH(O16,Veiklos!$D$2:$D$54,0),1),"")</f>
        <v>0</v>
      </c>
      <c r="Q16" s="147" t="s">
        <v>66</v>
      </c>
      <c r="R16" s="147" t="s">
        <v>66</v>
      </c>
      <c r="S16" s="147" t="s">
        <v>66</v>
      </c>
      <c r="T16" s="147" t="s">
        <v>66</v>
      </c>
      <c r="U16" s="349">
        <v>1</v>
      </c>
      <c r="V16" s="571">
        <f>SUM('3 pr-2'!L18)</f>
        <v>250000</v>
      </c>
      <c r="W16" s="571">
        <f>SUM('3 pr-2'!AA18)</f>
        <v>170000</v>
      </c>
    </row>
    <row r="17" spans="1:23" ht="64.5" thickBot="1" x14ac:dyDescent="0.3">
      <c r="A17" s="147" t="str">
        <f>CONCATENATE('3 pr-2'!A19)</f>
        <v>1.1.1.1.10</v>
      </c>
      <c r="B17" s="147" t="str">
        <f>CONCATENATE('3 pr-2'!B19)</f>
        <v>R01-ZM72-340200-1110</v>
      </c>
      <c r="C17" s="341" t="str">
        <f>CONCATENATE('3 pr-2'!D19)</f>
        <v>Kučiūnų laisvalaikio salės pritaikymas bendruomenės poreikiams</v>
      </c>
      <c r="D17" s="341" t="str">
        <f>CONCATENATE('3 pr-2'!E19)</f>
        <v xml:space="preserve">Viešoji įstaiga Lazdijų kultūros centras </v>
      </c>
      <c r="E17" s="341" t="str">
        <f>CONCATENATE('3 pr-2'!F19)</f>
        <v>Lietuvos Respublikos žemės ūkio ministerija</v>
      </c>
      <c r="F17" s="341" t="str">
        <f>CONCATENATE('3 pr-2'!G19)</f>
        <v>Lazdijų r. sav.</v>
      </c>
      <c r="G17" s="341" t="str">
        <f>CONCATENATE('3 pr-2'!H19)</f>
        <v xml:space="preserve">Pagrindinės paslaugos ir kaimų atnaujinimas kaimo vietovėse </v>
      </c>
      <c r="H17" s="147" t="str">
        <f>CONCATENATE('3 pr-2'!I19)</f>
        <v>R</v>
      </c>
      <c r="I17" s="147" t="str">
        <f>CONCATENATE('3 pr-2'!J19)</f>
        <v>-</v>
      </c>
      <c r="J17" s="147" t="str">
        <f>CONCATENATE('3 pr-2'!K19)</f>
        <v>-</v>
      </c>
      <c r="K17" s="147" t="str">
        <f>MID('3 pr-2'!B19,10,2)</f>
        <v>34</v>
      </c>
      <c r="L17" s="147" t="str">
        <f>IFERROR(INDEX(Veiklos!$C$2:$C$54,MATCH(K17,Veiklos!$D$2:$D$54,0),1),"")</f>
        <v>Kitos viešosios infrastruktūros modernizavimas (pastatai ir statiniai): bendruomenės, nevyriausybinių organizacijų veiklai pritaikomi pastatai</v>
      </c>
      <c r="M17" s="147" t="str">
        <f>MID('3 pr-2'!B19,12,2)</f>
        <v>02</v>
      </c>
      <c r="N17" s="147" t="str">
        <f>IFERROR(INDEX(Veiklos!$C$2:$C$54,MATCH(M17,Veiklos!$D$2:$D$54,0),1),"")</f>
        <v>Viešųjų pastatų energinio efektyvumo didinimas</v>
      </c>
      <c r="O17" s="147" t="str">
        <f>MID('3 pr-2'!B19,14,2)</f>
        <v>00</v>
      </c>
      <c r="P17" s="147">
        <f>IFERROR(INDEX(Veiklos!$C$2:$C$54,MATCH(O17,Veiklos!$D$2:$D$54,0),1),"")</f>
        <v>0</v>
      </c>
      <c r="Q17" s="147" t="s">
        <v>66</v>
      </c>
      <c r="R17" s="147" t="s">
        <v>66</v>
      </c>
      <c r="S17" s="147" t="s">
        <v>66</v>
      </c>
      <c r="T17" s="147" t="s">
        <v>66</v>
      </c>
      <c r="U17" s="349">
        <v>1</v>
      </c>
      <c r="V17" s="571">
        <f>SUM('3 pr-2'!L19)</f>
        <v>250000</v>
      </c>
      <c r="W17" s="571">
        <f>SUM('3 pr-2'!AA19)</f>
        <v>170000</v>
      </c>
    </row>
    <row r="18" spans="1:23" ht="51.75" thickBot="1" x14ac:dyDescent="0.3">
      <c r="A18" s="147" t="str">
        <f>CONCATENATE('3 pr-2'!A20)</f>
        <v>1.1.1.1.11</v>
      </c>
      <c r="B18" s="147" t="str">
        <f>CONCATENATE('3 pr-2'!B20)</f>
        <v>R01-ZM72-320000-1111</v>
      </c>
      <c r="C18" s="341" t="str">
        <f>CONCATENATE('3 pr-2'!D20)</f>
        <v>Laisvalaikio infrastruktūros sukūrimas Lazdijų rajono kaimo gyvenamosiose vietovėse</v>
      </c>
      <c r="D18" s="341" t="str">
        <f>CONCATENATE('3 pr-2'!E20)</f>
        <v>Lazdijų rajono savivaldybės administracija</v>
      </c>
      <c r="E18" s="341" t="str">
        <f>CONCATENATE('3 pr-2'!F20)</f>
        <v>Lietuvos Respublikos žemės ūkio ministerija</v>
      </c>
      <c r="F18" s="341" t="str">
        <f>CONCATENATE('3 pr-2'!G20)</f>
        <v>Lazdijų r. sav.</v>
      </c>
      <c r="G18" s="341" t="str">
        <f>CONCATENATE('3 pr-2'!H20)</f>
        <v xml:space="preserve">Pagrindinės paslaugos ir kaimų atnaujinimas kaimo vietovėse </v>
      </c>
      <c r="H18" s="147" t="str">
        <f>CONCATENATE('3 pr-2'!I20)</f>
        <v>R</v>
      </c>
      <c r="I18" s="147" t="str">
        <f>CONCATENATE('3 pr-2'!J20)</f>
        <v>-</v>
      </c>
      <c r="J18" s="147" t="str">
        <f>CONCATENATE('3 pr-2'!K20)</f>
        <v>-</v>
      </c>
      <c r="K18" s="147" t="str">
        <f>MID('3 pr-2'!B20,10,2)</f>
        <v>32</v>
      </c>
      <c r="L18" s="147" t="str">
        <f>IFERROR(INDEX(Veiklos!$C$2:$C$54,MATCH(K18,Veiklos!$D$2:$D$54,0),1),"")</f>
        <v>Kitos viešosios infrastruktūros modernizavimas (pastatai ir statiniai): sveikatinimo ir sporto objektai</v>
      </c>
      <c r="M18" s="147" t="str">
        <f>MID('3 pr-2'!B20,12,2)</f>
        <v>00</v>
      </c>
      <c r="N18" s="147">
        <f>IFERROR(INDEX(Veiklos!$C$2:$C$54,MATCH(M18,Veiklos!$D$2:$D$54,0),1),"")</f>
        <v>0</v>
      </c>
      <c r="O18" s="147" t="str">
        <f>MID('3 pr-2'!B20,14,2)</f>
        <v>00</v>
      </c>
      <c r="P18" s="147">
        <f>IFERROR(INDEX(Veiklos!$C$2:$C$54,MATCH(O18,Veiklos!$D$2:$D$54,0),1),"")</f>
        <v>0</v>
      </c>
      <c r="Q18" s="147" t="s">
        <v>66</v>
      </c>
      <c r="R18" s="147" t="s">
        <v>66</v>
      </c>
      <c r="S18" s="147" t="s">
        <v>66</v>
      </c>
      <c r="T18" s="147" t="s">
        <v>66</v>
      </c>
      <c r="U18" s="349">
        <v>1</v>
      </c>
      <c r="V18" s="571">
        <f>SUM('3 pr-2'!L20)</f>
        <v>125000</v>
      </c>
      <c r="W18" s="571">
        <f>SUM('3 pr-2'!AA20)</f>
        <v>85000</v>
      </c>
    </row>
    <row r="19" spans="1:23" ht="51.75" thickBot="1" x14ac:dyDescent="0.3">
      <c r="A19" s="147" t="str">
        <f>CONCATENATE('3 pr-2'!A21)</f>
        <v>1.1.1.1.12</v>
      </c>
      <c r="B19" s="147" t="str">
        <f>CONCATENATE('3 pr-2'!B21)</f>
        <v>R01-ZM72-120000-1112</v>
      </c>
      <c r="C19" s="341" t="str">
        <f>CONCATENATE('3 pr-2'!D21)</f>
        <v>Alytaus rajono Butrimonių miestelio šaligatvių kapitalinis remontas ir gyvenvietės apšvietimo įrengimas</v>
      </c>
      <c r="D19" s="341" t="str">
        <f>CONCATENATE('3 pr-2'!E21)</f>
        <v>Alytaus rajono savivaldybės administracija</v>
      </c>
      <c r="E19" s="341" t="str">
        <f>CONCATENATE('3 pr-2'!F21)</f>
        <v>Lietuvos Respublikos žemės ūkio ministerija</v>
      </c>
      <c r="F19" s="341" t="str">
        <f>CONCATENATE('3 pr-2'!G21)</f>
        <v>Alytaus r. sav.</v>
      </c>
      <c r="G19" s="341" t="str">
        <f>CONCATENATE('3 pr-2'!H21)</f>
        <v xml:space="preserve">Pagrindinės paslaugos ir kaimų atnaujinimas kaimo vietovėse </v>
      </c>
      <c r="H19" s="147" t="str">
        <f>CONCATENATE('3 pr-2'!I21)</f>
        <v>R</v>
      </c>
      <c r="I19" s="147" t="str">
        <f>CONCATENATE('3 pr-2'!J21)</f>
        <v>-</v>
      </c>
      <c r="J19" s="147" t="str">
        <f>CONCATENATE('3 pr-2'!K21)</f>
        <v>-</v>
      </c>
      <c r="K19" s="147" t="str">
        <f>MID('3 pr-2'!B21,10,2)</f>
        <v>12</v>
      </c>
      <c r="L19" s="147" t="str">
        <f>IFERROR(INDEX(Veiklos!$C$2:$C$54,MATCH(K19,Veiklos!$D$2:$D$54,0),1),"")</f>
        <v>Vietinės reikšmės keliai ir gatvės (rekonstrukcija)</v>
      </c>
      <c r="M19" s="147" t="str">
        <f>MID('3 pr-2'!B21,12,2)</f>
        <v>00</v>
      </c>
      <c r="N19" s="147">
        <f>IFERROR(INDEX(Veiklos!$C$2:$C$54,MATCH(M19,Veiklos!$D$2:$D$54,0),1),"")</f>
        <v>0</v>
      </c>
      <c r="O19" s="147" t="str">
        <f>MID('3 pr-2'!B21,14,2)</f>
        <v>00</v>
      </c>
      <c r="P19" s="147">
        <f>IFERROR(INDEX(Veiklos!$C$2:$C$54,MATCH(O19,Veiklos!$D$2:$D$54,0),1),"")</f>
        <v>0</v>
      </c>
      <c r="Q19" s="147" t="s">
        <v>66</v>
      </c>
      <c r="R19" s="147" t="s">
        <v>66</v>
      </c>
      <c r="S19" s="147" t="s">
        <v>66</v>
      </c>
      <c r="T19" s="147" t="s">
        <v>66</v>
      </c>
      <c r="U19" s="349">
        <v>1</v>
      </c>
      <c r="V19" s="571">
        <f>SUM('3 pr-2'!L21)</f>
        <v>153566</v>
      </c>
      <c r="W19" s="571">
        <f>SUM('3 pr-2'!AA21)</f>
        <v>104425</v>
      </c>
    </row>
    <row r="20" spans="1:23" ht="64.5" thickBot="1" x14ac:dyDescent="0.3">
      <c r="A20" s="147" t="str">
        <f>CONCATENATE('3 pr-2'!A22)</f>
        <v>1.1.1.1.13</v>
      </c>
      <c r="B20" s="147" t="str">
        <f>CONCATENATE('3 pr-2'!B22)</f>
        <v>R01-ZM72-123200-1113</v>
      </c>
      <c r="C20" s="341" t="str">
        <f>CONCATENATE('3 pr-2'!D22)</f>
        <v>Alytaus rajono Genių kaimo sporto aikštės įrengimas ir gatvių rekonstrukcija</v>
      </c>
      <c r="D20" s="341" t="str">
        <f>CONCATENATE('3 pr-2'!E22)</f>
        <v>Alytaus rajono savivaldybės administracija</v>
      </c>
      <c r="E20" s="341" t="str">
        <f>CONCATENATE('3 pr-2'!F22)</f>
        <v>Lietuvos Respublikos žemės ūkio ministerija</v>
      </c>
      <c r="F20" s="341" t="str">
        <f>CONCATENATE('3 pr-2'!G22)</f>
        <v>Alytaus r. sav.</v>
      </c>
      <c r="G20" s="341" t="str">
        <f>CONCATENATE('3 pr-2'!H22)</f>
        <v xml:space="preserve">Pagrindinės paslaugos ir kaimų atnaujinimas kaimo vietovėse </v>
      </c>
      <c r="H20" s="147" t="str">
        <f>CONCATENATE('3 pr-2'!I22)</f>
        <v>R</v>
      </c>
      <c r="I20" s="147" t="str">
        <f>CONCATENATE('3 pr-2'!J22)</f>
        <v>-</v>
      </c>
      <c r="J20" s="147" t="str">
        <f>CONCATENATE('3 pr-2'!K22)</f>
        <v>-</v>
      </c>
      <c r="K20" s="147" t="str">
        <f>MID('3 pr-2'!B22,10,2)</f>
        <v>12</v>
      </c>
      <c r="L20" s="147" t="str">
        <f>IFERROR(INDEX(Veiklos!$C$2:$C$54,MATCH(K20,Veiklos!$D$2:$D$54,0),1),"")</f>
        <v>Vietinės reikšmės keliai ir gatvės (rekonstrukcija)</v>
      </c>
      <c r="M20" s="147" t="str">
        <f>MID('3 pr-2'!B22,12,2)</f>
        <v>32</v>
      </c>
      <c r="N20" s="147" t="str">
        <f>IFERROR(INDEX(Veiklos!$C$2:$C$54,MATCH(M20,Veiklos!$D$2:$D$54,0),1),"")</f>
        <v>Kitos viešosios infrastruktūros modernizavimas (pastatai ir statiniai): sveikatinimo ir sporto objektai</v>
      </c>
      <c r="O20" s="147" t="str">
        <f>MID('3 pr-2'!B22,14,2)</f>
        <v>00</v>
      </c>
      <c r="P20" s="147">
        <f>IFERROR(INDEX(Veiklos!$C$2:$C$54,MATCH(O20,Veiklos!$D$2:$D$54,0),1),"")</f>
        <v>0</v>
      </c>
      <c r="Q20" s="147" t="s">
        <v>66</v>
      </c>
      <c r="R20" s="147" t="s">
        <v>66</v>
      </c>
      <c r="S20" s="147" t="s">
        <v>66</v>
      </c>
      <c r="T20" s="147" t="s">
        <v>66</v>
      </c>
      <c r="U20" s="349">
        <v>1</v>
      </c>
      <c r="V20" s="571">
        <f>SUM('3 pr-2'!L22)</f>
        <v>250000</v>
      </c>
      <c r="W20" s="571">
        <f>SUM('3 pr-2'!AA22)</f>
        <v>170000</v>
      </c>
    </row>
    <row r="21" spans="1:23" ht="102.75" thickBot="1" x14ac:dyDescent="0.3">
      <c r="A21" s="147" t="str">
        <f>CONCATENATE('3 pr-2'!A23)</f>
        <v>1.1.1.1.14</v>
      </c>
      <c r="B21" s="147" t="str">
        <f>CONCATENATE('3 pr-2'!B23)</f>
        <v>R01-ZM72-122900-1114</v>
      </c>
      <c r="C21" s="341" t="str">
        <f>CONCATENATE('3 pr-2'!D23)</f>
        <v>Varėnos r. Dargužių kaimo Liepų gatvės ir viešosios erdvės įrengimas</v>
      </c>
      <c r="D21" s="341" t="str">
        <f>CONCATENATE('3 pr-2'!E23)</f>
        <v xml:space="preserve">Varėnos rajono savivaldybės administracija </v>
      </c>
      <c r="E21" s="341" t="str">
        <f>CONCATENATE('3 pr-2'!F23)</f>
        <v>Lietuvos Respublikos žemės ūkio ministerija</v>
      </c>
      <c r="F21" s="341" t="str">
        <f>CONCATENATE('3 pr-2'!G23)</f>
        <v>Varėnos r. sav.</v>
      </c>
      <c r="G21" s="341" t="str">
        <f>CONCATENATE('3 pr-2'!H23)</f>
        <v xml:space="preserve">Pagrindinės paslaugos ir kaimų atnaujinimas kaimo vietovėse </v>
      </c>
      <c r="H21" s="147" t="str">
        <f>CONCATENATE('3 pr-2'!I23)</f>
        <v>R</v>
      </c>
      <c r="I21" s="147" t="str">
        <f>CONCATENATE('3 pr-2'!J23)</f>
        <v>-</v>
      </c>
      <c r="J21" s="147" t="str">
        <f>CONCATENATE('3 pr-2'!K23)</f>
        <v>-</v>
      </c>
      <c r="K21" s="147" t="str">
        <f>MID('3 pr-2'!B23,10,2)</f>
        <v>12</v>
      </c>
      <c r="L21" s="147" t="str">
        <f>IFERROR(INDEX(Veiklos!$C$2:$C$54,MATCH(K21,Veiklos!$D$2:$D$54,0),1),"")</f>
        <v>Vietinės reikšmės keliai ir gatvės (rekonstrukcija)</v>
      </c>
      <c r="M21" s="147" t="str">
        <f>MID('3 pr-2'!B23,12,2)</f>
        <v>29</v>
      </c>
      <c r="N21" s="147" t="str">
        <f>IFERROR(INDEX(Veiklos!$C$2:$C$54,MATCH(M21,Veiklos!$D$2:$D$54,0),1),"")</f>
        <v>Kitos viešosios infrastruktūros modernizavimas (viešosios erdvės): visuomeninės, komercinės ir bendro naudojimo paskirties teritorijos</v>
      </c>
      <c r="O21" s="147" t="str">
        <f>MID('3 pr-2'!B23,14,2)</f>
        <v>00</v>
      </c>
      <c r="P21" s="147">
        <f>IFERROR(INDEX(Veiklos!$C$2:$C$54,MATCH(O21,Veiklos!$D$2:$D$54,0),1),"")</f>
        <v>0</v>
      </c>
      <c r="Q21" s="147" t="s">
        <v>66</v>
      </c>
      <c r="R21" s="147" t="s">
        <v>66</v>
      </c>
      <c r="S21" s="147" t="s">
        <v>66</v>
      </c>
      <c r="T21" s="147" t="s">
        <v>66</v>
      </c>
      <c r="U21" s="349">
        <v>1</v>
      </c>
      <c r="V21" s="571">
        <f>SUM('3 pr-2'!L23)</f>
        <v>215626</v>
      </c>
      <c r="W21" s="571">
        <f>SUM('3 pr-2'!AA23)</f>
        <v>146626</v>
      </c>
    </row>
    <row r="22" spans="1:23" ht="64.5" thickBot="1" x14ac:dyDescent="0.3">
      <c r="A22" s="147" t="str">
        <f>CONCATENATE('3 pr-2'!A24)</f>
        <v>1.1.1.1.15</v>
      </c>
      <c r="B22" s="147" t="str">
        <f>CONCATENATE('3 pr-2'!B24)</f>
        <v>R01-ZM72-123200-1115</v>
      </c>
      <c r="C22" s="341" t="str">
        <f>CONCATENATE('3 pr-2'!D24)</f>
        <v>Alytaus rajono Vaisodžių kaimo sporto aikštės įrengimas ir gatvių apšvietimo atnaujinimas bei plėtra</v>
      </c>
      <c r="D22" s="341" t="str">
        <f>CONCATENATE('3 pr-2'!E24)</f>
        <v>Alytaus rajono savivaldybės administracija</v>
      </c>
      <c r="E22" s="341" t="str">
        <f>CONCATENATE('3 pr-2'!F24)</f>
        <v>Lietuvos Respublikos žemės ūkio ministerija</v>
      </c>
      <c r="F22" s="341" t="str">
        <f>CONCATENATE('3 pr-2'!G24)</f>
        <v>Alytaus r. sav.</v>
      </c>
      <c r="G22" s="341" t="str">
        <f>CONCATENATE('3 pr-2'!H24)</f>
        <v xml:space="preserve">Pagrindinės paslaugos ir kaimų atnaujinimas kaimo vietovėse </v>
      </c>
      <c r="H22" s="147" t="str">
        <f>CONCATENATE('3 pr-2'!I24)</f>
        <v>R</v>
      </c>
      <c r="I22" s="147" t="str">
        <f>CONCATENATE('3 pr-2'!J24)</f>
        <v>-</v>
      </c>
      <c r="J22" s="147" t="str">
        <f>CONCATENATE('3 pr-2'!K24)</f>
        <v>-</v>
      </c>
      <c r="K22" s="147" t="str">
        <f>MID('3 pr-2'!B24,10,2)</f>
        <v>12</v>
      </c>
      <c r="L22" s="147" t="str">
        <f>IFERROR(INDEX(Veiklos!$C$2:$C$54,MATCH(K22,Veiklos!$D$2:$D$54,0),1),"")</f>
        <v>Vietinės reikšmės keliai ir gatvės (rekonstrukcija)</v>
      </c>
      <c r="M22" s="147" t="str">
        <f>MID('3 pr-2'!B24,12,2)</f>
        <v>32</v>
      </c>
      <c r="N22" s="147" t="str">
        <f>IFERROR(INDEX(Veiklos!$C$2:$C$54,MATCH(M22,Veiklos!$D$2:$D$54,0),1),"")</f>
        <v>Kitos viešosios infrastruktūros modernizavimas (pastatai ir statiniai): sveikatinimo ir sporto objektai</v>
      </c>
      <c r="O22" s="147" t="str">
        <f>MID('3 pr-2'!B24,14,2)</f>
        <v>00</v>
      </c>
      <c r="P22" s="147">
        <f>IFERROR(INDEX(Veiklos!$C$2:$C$54,MATCH(O22,Veiklos!$D$2:$D$54,0),1),"")</f>
        <v>0</v>
      </c>
      <c r="Q22" s="147" t="s">
        <v>66</v>
      </c>
      <c r="R22" s="147" t="s">
        <v>66</v>
      </c>
      <c r="S22" s="147" t="s">
        <v>66</v>
      </c>
      <c r="T22" s="147" t="s">
        <v>66</v>
      </c>
      <c r="U22" s="349">
        <v>1</v>
      </c>
      <c r="V22" s="571">
        <f>SUM('3 pr-2'!L24)</f>
        <v>76480</v>
      </c>
      <c r="W22" s="571">
        <f>SUM('3 pr-2'!AA24)</f>
        <v>52006</v>
      </c>
    </row>
    <row r="23" spans="1:23" ht="64.5" thickBot="1" x14ac:dyDescent="0.3">
      <c r="A23" s="147" t="str">
        <f>CONCATENATE('3 pr-2'!A25)</f>
        <v>1.1.1.1.16</v>
      </c>
      <c r="B23" s="147" t="str">
        <f>CONCATENATE('3 pr-2'!B25)</f>
        <v>R01-ZM72-123200-1116</v>
      </c>
      <c r="C23" s="341" t="str">
        <f>CONCATENATE('3 pr-2'!D25)</f>
        <v>Alytaus rajono Talokių kaimo sporto aikštės įrengimas ir Plytinės gatvės apšvietimas</v>
      </c>
      <c r="D23" s="341" t="str">
        <f>CONCATENATE('3 pr-2'!E25)</f>
        <v>Alytaus rajono savivaldybės administracija</v>
      </c>
      <c r="E23" s="341" t="str">
        <f>CONCATENATE('3 pr-2'!F25)</f>
        <v>Lietuvos Respublikos žemės ūkio ministerija</v>
      </c>
      <c r="F23" s="341" t="str">
        <f>CONCATENATE('3 pr-2'!G25)</f>
        <v>Alytaus r. sav.</v>
      </c>
      <c r="G23" s="341" t="str">
        <f>CONCATENATE('3 pr-2'!H25)</f>
        <v xml:space="preserve">Pagrindinės paslaugos ir kaimų atnaujinimas kaimo vietovėse </v>
      </c>
      <c r="H23" s="147" t="str">
        <f>CONCATENATE('3 pr-2'!I25)</f>
        <v>R</v>
      </c>
      <c r="I23" s="147" t="str">
        <f>CONCATENATE('3 pr-2'!J25)</f>
        <v>-</v>
      </c>
      <c r="J23" s="147" t="str">
        <f>CONCATENATE('3 pr-2'!K25)</f>
        <v>-</v>
      </c>
      <c r="K23" s="147" t="str">
        <f>MID('3 pr-2'!B25,10,2)</f>
        <v>12</v>
      </c>
      <c r="L23" s="147" t="str">
        <f>IFERROR(INDEX(Veiklos!$C$2:$C$54,MATCH(K23,Veiklos!$D$2:$D$54,0),1),"")</f>
        <v>Vietinės reikšmės keliai ir gatvės (rekonstrukcija)</v>
      </c>
      <c r="M23" s="147" t="str">
        <f>MID('3 pr-2'!B25,12,2)</f>
        <v>32</v>
      </c>
      <c r="N23" s="147" t="str">
        <f>IFERROR(INDEX(Veiklos!$C$2:$C$54,MATCH(M23,Veiklos!$D$2:$D$54,0),1),"")</f>
        <v>Kitos viešosios infrastruktūros modernizavimas (pastatai ir statiniai): sveikatinimo ir sporto objektai</v>
      </c>
      <c r="O23" s="147" t="str">
        <f>MID('3 pr-2'!B25,14,2)</f>
        <v>00</v>
      </c>
      <c r="P23" s="147">
        <f>IFERROR(INDEX(Veiklos!$C$2:$C$54,MATCH(O23,Veiklos!$D$2:$D$54,0),1),"")</f>
        <v>0</v>
      </c>
      <c r="Q23" s="147" t="s">
        <v>66</v>
      </c>
      <c r="R23" s="147" t="s">
        <v>66</v>
      </c>
      <c r="S23" s="147" t="s">
        <v>66</v>
      </c>
      <c r="T23" s="147" t="s">
        <v>66</v>
      </c>
      <c r="U23" s="349">
        <v>1</v>
      </c>
      <c r="V23" s="571">
        <f>SUM('3 pr-2'!L25)</f>
        <v>139472</v>
      </c>
      <c r="W23" s="571">
        <f>SUM('3 pr-2'!AA25)</f>
        <v>94841</v>
      </c>
    </row>
    <row r="24" spans="1:23" ht="39" thickBot="1" x14ac:dyDescent="0.3">
      <c r="A24" s="147" t="str">
        <f>CONCATENATE('3 pr-2'!A26)</f>
        <v>1.1.1.1.17</v>
      </c>
      <c r="B24" s="147" t="str">
        <f>CONCATENATE('3 pr-2'!B26)</f>
        <v>R01-ZM72-120000-1117</v>
      </c>
      <c r="C24" s="341" t="str">
        <f>CONCATENATE('3 pr-2'!D26)</f>
        <v>Varėnos r. Rudnios kaimo Pušyno gatvės įrengimas</v>
      </c>
      <c r="D24" s="341" t="str">
        <f>CONCATENATE('3 pr-2'!E26)</f>
        <v xml:space="preserve">Varėnos rajono savivaldybės administracija </v>
      </c>
      <c r="E24" s="341" t="str">
        <f>CONCATENATE('3 pr-2'!F26)</f>
        <v>Lietuvos Respublikos žemės ūkio ministerija</v>
      </c>
      <c r="F24" s="341" t="str">
        <f>CONCATENATE('3 pr-2'!G26)</f>
        <v>Varėnos r. sav.</v>
      </c>
      <c r="G24" s="341" t="str">
        <f>CONCATENATE('3 pr-2'!H26)</f>
        <v xml:space="preserve">Pagrindinės paslaugos ir kaimų atnaujinimas kaimo vietovėse </v>
      </c>
      <c r="H24" s="147" t="str">
        <f>CONCATENATE('3 pr-2'!I26)</f>
        <v>R</v>
      </c>
      <c r="I24" s="147" t="str">
        <f>CONCATENATE('3 pr-2'!J26)</f>
        <v>-</v>
      </c>
      <c r="J24" s="147" t="str">
        <f>CONCATENATE('3 pr-2'!K26)</f>
        <v>-</v>
      </c>
      <c r="K24" s="147" t="str">
        <f>MID('3 pr-2'!B26,10,2)</f>
        <v>12</v>
      </c>
      <c r="L24" s="147" t="str">
        <f>IFERROR(INDEX(Veiklos!$C$2:$C$54,MATCH(K24,Veiklos!$D$2:$D$54,0),1),"")</f>
        <v>Vietinės reikšmės keliai ir gatvės (rekonstrukcija)</v>
      </c>
      <c r="M24" s="147" t="str">
        <f>MID('3 pr-2'!B26,12,2)</f>
        <v>00</v>
      </c>
      <c r="N24" s="147">
        <f>IFERROR(INDEX(Veiklos!$C$2:$C$54,MATCH(M24,Veiklos!$D$2:$D$54,0),1),"")</f>
        <v>0</v>
      </c>
      <c r="O24" s="147" t="str">
        <f>MID('3 pr-2'!B26,14,2)</f>
        <v>00</v>
      </c>
      <c r="P24" s="147">
        <f>IFERROR(INDEX(Veiklos!$C$2:$C$54,MATCH(O24,Veiklos!$D$2:$D$54,0),1),"")</f>
        <v>0</v>
      </c>
      <c r="Q24" s="147" t="s">
        <v>66</v>
      </c>
      <c r="R24" s="147" t="s">
        <v>66</v>
      </c>
      <c r="S24" s="147" t="s">
        <v>66</v>
      </c>
      <c r="T24" s="147" t="s">
        <v>66</v>
      </c>
      <c r="U24" s="349">
        <v>1</v>
      </c>
      <c r="V24" s="571">
        <f>SUM('3 pr-2'!L26)</f>
        <v>115824</v>
      </c>
      <c r="W24" s="571">
        <f>SUM('3 pr-2'!AA26)</f>
        <v>78760</v>
      </c>
    </row>
    <row r="25" spans="1:23" ht="64.5" thickBot="1" x14ac:dyDescent="0.3">
      <c r="A25" s="147" t="str">
        <f>CONCATENATE('3 pr-2'!A27)</f>
        <v>1.1.1.1.18</v>
      </c>
      <c r="B25" s="147" t="str">
        <f>CONCATENATE('3 pr-2'!B27)</f>
        <v>R01-ZM72-340000-1118</v>
      </c>
      <c r="C25" s="341" t="str">
        <f>CONCATENATE('3 pr-2'!D27)</f>
        <v>Varėnos kultūros centro Žilinų filialo pastato atnaujinimas ir pritaikymas bendruomenės poreikiams</v>
      </c>
      <c r="D25" s="341" t="str">
        <f>CONCATENATE('3 pr-2'!E27)</f>
        <v xml:space="preserve">Varėnos rajono savivaldybės administracija </v>
      </c>
      <c r="E25" s="341" t="str">
        <f>CONCATENATE('3 pr-2'!F27)</f>
        <v>Lietuvos Respublikos žemės ūkio ministerija</v>
      </c>
      <c r="F25" s="341" t="str">
        <f>CONCATENATE('3 pr-2'!G27)</f>
        <v>Varėnos r. sav.</v>
      </c>
      <c r="G25" s="341" t="str">
        <f>CONCATENATE('3 pr-2'!H27)</f>
        <v xml:space="preserve">Pagrindinės paslaugos ir kaimų atnaujinimas kaimo vietovėse </v>
      </c>
      <c r="H25" s="147" t="str">
        <f>CONCATENATE('3 pr-2'!I27)</f>
        <v>R</v>
      </c>
      <c r="I25" s="147" t="str">
        <f>CONCATENATE('3 pr-2'!J27)</f>
        <v>-</v>
      </c>
      <c r="J25" s="147" t="str">
        <f>CONCATENATE('3 pr-2'!K27)</f>
        <v>-</v>
      </c>
      <c r="K25" s="147" t="str">
        <f>MID('3 pr-2'!B27,10,2)</f>
        <v>34</v>
      </c>
      <c r="L25" s="147" t="str">
        <f>IFERROR(INDEX(Veiklos!$C$2:$C$54,MATCH(K25,Veiklos!$D$2:$D$54,0),1),"")</f>
        <v>Kitos viešosios infrastruktūros modernizavimas (pastatai ir statiniai): bendruomenės, nevyriausybinių organizacijų veiklai pritaikomi pastatai</v>
      </c>
      <c r="M25" s="147" t="str">
        <f>MID('3 pr-2'!B27,12,2)</f>
        <v>00</v>
      </c>
      <c r="N25" s="147">
        <f>IFERROR(INDEX(Veiklos!$C$2:$C$54,MATCH(M25,Veiklos!$D$2:$D$54,0),1),"")</f>
        <v>0</v>
      </c>
      <c r="O25" s="147" t="str">
        <f>MID('3 pr-2'!B27,14,2)</f>
        <v>00</v>
      </c>
      <c r="P25" s="147">
        <f>IFERROR(INDEX(Veiklos!$C$2:$C$54,MATCH(O25,Veiklos!$D$2:$D$54,0),1),"")</f>
        <v>0</v>
      </c>
      <c r="Q25" s="147" t="s">
        <v>66</v>
      </c>
      <c r="R25" s="147" t="s">
        <v>66</v>
      </c>
      <c r="S25" s="147" t="s">
        <v>66</v>
      </c>
      <c r="T25" s="147" t="s">
        <v>66</v>
      </c>
      <c r="U25" s="349">
        <v>1</v>
      </c>
      <c r="V25" s="571">
        <f>SUM('3 pr-2'!L27)</f>
        <v>250000</v>
      </c>
      <c r="W25" s="571">
        <f>SUM('3 pr-2'!AA27)</f>
        <v>170000</v>
      </c>
    </row>
    <row r="26" spans="1:23" ht="51.75" thickBot="1" x14ac:dyDescent="0.3">
      <c r="A26" s="147" t="str">
        <f>CONCATENATE('3 pr-2'!A28)</f>
        <v>1.1.1.1.19</v>
      </c>
      <c r="B26" s="147" t="str">
        <f>CONCATENATE('3 pr-2'!B28)</f>
        <v>R01-ZM72-120000-1119</v>
      </c>
      <c r="C26" s="341" t="str">
        <f>CONCATENATE('3 pr-2'!D28)</f>
        <v>Alytaus rajono Pivašiūnų kaimo šaligatvių, laiptų kapitalinis remontas ir gyvenvietės apšvietimo įrengimas</v>
      </c>
      <c r="D26" s="341" t="str">
        <f>CONCATENATE('3 pr-2'!E28)</f>
        <v>Alytaus rajono savivaldybės administracija</v>
      </c>
      <c r="E26" s="341" t="str">
        <f>CONCATENATE('3 pr-2'!F28)</f>
        <v>Lietuvos Respublikos žemės ūkio ministerija</v>
      </c>
      <c r="F26" s="341" t="str">
        <f>CONCATENATE('3 pr-2'!G28)</f>
        <v>Alytaus r. sav.</v>
      </c>
      <c r="G26" s="341" t="str">
        <f>CONCATENATE('3 pr-2'!H28)</f>
        <v xml:space="preserve">Pagrindinės paslaugos ir kaimų atnaujinimas kaimo vietovėse </v>
      </c>
      <c r="H26" s="147" t="str">
        <f>CONCATENATE('3 pr-2'!I28)</f>
        <v>R</v>
      </c>
      <c r="I26" s="147" t="str">
        <f>CONCATENATE('3 pr-2'!J28)</f>
        <v>-</v>
      </c>
      <c r="J26" s="147" t="str">
        <f>CONCATENATE('3 pr-2'!K28)</f>
        <v>-</v>
      </c>
      <c r="K26" s="147" t="str">
        <f>MID('3 pr-2'!B28,10,2)</f>
        <v>12</v>
      </c>
      <c r="L26" s="147" t="str">
        <f>IFERROR(INDEX(Veiklos!$C$2:$C$54,MATCH(K26,Veiklos!$D$2:$D$54,0),1),"")</f>
        <v>Vietinės reikšmės keliai ir gatvės (rekonstrukcija)</v>
      </c>
      <c r="M26" s="147" t="str">
        <f>MID('3 pr-2'!B28,12,2)</f>
        <v>00</v>
      </c>
      <c r="N26" s="147">
        <f>IFERROR(INDEX(Veiklos!$C$2:$C$54,MATCH(M26,Veiklos!$D$2:$D$54,0),1),"")</f>
        <v>0</v>
      </c>
      <c r="O26" s="147" t="str">
        <f>MID('3 pr-2'!B28,14,2)</f>
        <v>00</v>
      </c>
      <c r="P26" s="147">
        <f>IFERROR(INDEX(Veiklos!$C$2:$C$54,MATCH(O26,Veiklos!$D$2:$D$54,0),1),"")</f>
        <v>0</v>
      </c>
      <c r="Q26" s="147" t="s">
        <v>66</v>
      </c>
      <c r="R26" s="147" t="s">
        <v>66</v>
      </c>
      <c r="S26" s="147" t="s">
        <v>66</v>
      </c>
      <c r="T26" s="147" t="s">
        <v>66</v>
      </c>
      <c r="U26" s="349">
        <v>1</v>
      </c>
      <c r="V26" s="571">
        <f>SUM('3 pr-2'!L28)</f>
        <v>117986</v>
      </c>
      <c r="W26" s="571">
        <f>SUM('3 pr-2'!AA28)</f>
        <v>80231</v>
      </c>
    </row>
    <row r="27" spans="1:23" ht="64.5" thickBot="1" x14ac:dyDescent="0.3">
      <c r="A27" s="147" t="str">
        <f>CONCATENATE('3 pr-2'!A29)</f>
        <v>1.1.1.1.20</v>
      </c>
      <c r="B27" s="147" t="str">
        <f>CONCATENATE('3 pr-2'!B29)</f>
        <v>R01-ZM72-340000-1120</v>
      </c>
      <c r="C27" s="341" t="str">
        <f>CONCATENATE('3 pr-2'!D29)</f>
        <v>Pastato, esančio Pušelės g. 11, Naujųjų Valkininkų k., Varėnos r., atnaujinimas ir pritaikymas bendruomenės poreikiams</v>
      </c>
      <c r="D27" s="341" t="str">
        <f>CONCATENATE('3 pr-2'!E29)</f>
        <v xml:space="preserve">Varėnos rajono savivaldybės administracija </v>
      </c>
      <c r="E27" s="341" t="str">
        <f>CONCATENATE('3 pr-2'!F29)</f>
        <v>Lietuvos Respublikos žemės ūkio ministerija</v>
      </c>
      <c r="F27" s="341" t="str">
        <f>CONCATENATE('3 pr-2'!G29)</f>
        <v>Varėnos r. sav.</v>
      </c>
      <c r="G27" s="341" t="str">
        <f>CONCATENATE('3 pr-2'!H29)</f>
        <v xml:space="preserve">Pagrindinės paslaugos ir kaimų atnaujinimas kaimo vietovėse </v>
      </c>
      <c r="H27" s="147" t="str">
        <f>CONCATENATE('3 pr-2'!I29)</f>
        <v>R</v>
      </c>
      <c r="I27" s="147" t="str">
        <f>CONCATENATE('3 pr-2'!J29)</f>
        <v>-</v>
      </c>
      <c r="J27" s="147" t="str">
        <f>CONCATENATE('3 pr-2'!K29)</f>
        <v>-</v>
      </c>
      <c r="K27" s="147" t="str">
        <f>MID('3 pr-2'!B29,10,2)</f>
        <v>34</v>
      </c>
      <c r="L27" s="147" t="str">
        <f>IFERROR(INDEX(Veiklos!$C$2:$C$54,MATCH(K27,Veiklos!$D$2:$D$54,0),1),"")</f>
        <v>Kitos viešosios infrastruktūros modernizavimas (pastatai ir statiniai): bendruomenės, nevyriausybinių organizacijų veiklai pritaikomi pastatai</v>
      </c>
      <c r="M27" s="147" t="str">
        <f>MID('3 pr-2'!B29,12,2)</f>
        <v>00</v>
      </c>
      <c r="N27" s="147">
        <f>IFERROR(INDEX(Veiklos!$C$2:$C$54,MATCH(M27,Veiklos!$D$2:$D$54,0),1),"")</f>
        <v>0</v>
      </c>
      <c r="O27" s="147" t="str">
        <f>MID('3 pr-2'!B29,14,2)</f>
        <v>00</v>
      </c>
      <c r="P27" s="147">
        <f>IFERROR(INDEX(Veiklos!$C$2:$C$54,MATCH(O27,Veiklos!$D$2:$D$54,0),1),"")</f>
        <v>0</v>
      </c>
      <c r="Q27" s="147" t="s">
        <v>66</v>
      </c>
      <c r="R27" s="147" t="s">
        <v>66</v>
      </c>
      <c r="S27" s="147" t="s">
        <v>66</v>
      </c>
      <c r="T27" s="147" t="s">
        <v>66</v>
      </c>
      <c r="U27" s="349">
        <v>1</v>
      </c>
      <c r="V27" s="571">
        <f>SUM('3 pr-2'!L29)</f>
        <v>250000</v>
      </c>
      <c r="W27" s="571">
        <f>SUM('3 pr-2'!AA29)</f>
        <v>170000</v>
      </c>
    </row>
    <row r="28" spans="1:23" ht="39" thickBot="1" x14ac:dyDescent="0.3">
      <c r="A28" s="147" t="str">
        <f>CONCATENATE('3 pr-2'!A30)</f>
        <v>1.1.1.1.21</v>
      </c>
      <c r="B28" s="147" t="str">
        <f>CONCATENATE('3 pr-2'!B30)</f>
        <v>R01-ZM72-120000-1121</v>
      </c>
      <c r="C28" s="341" t="str">
        <f>CONCATENATE('3 pr-2'!D30)</f>
        <v>Kaimo gyvenamųjų vietovių Lazdijų rajono savivaldybėje patrauklumo gerinimas</v>
      </c>
      <c r="D28" s="341" t="str">
        <f>CONCATENATE('3 pr-2'!E30)</f>
        <v>Lazdijų rajono savivaldybės administracija</v>
      </c>
      <c r="E28" s="341" t="str">
        <f>CONCATENATE('3 pr-2'!F30)</f>
        <v>Lietuvos Respublikos žemės ūkio ministerija</v>
      </c>
      <c r="F28" s="341" t="str">
        <f>CONCATENATE('3 pr-2'!G30)</f>
        <v>Lazdijų r. sav.</v>
      </c>
      <c r="G28" s="341" t="str">
        <f>CONCATENATE('3 pr-2'!H30)</f>
        <v xml:space="preserve">Pagrindinės paslaugos ir kaimų atnaujinimas kaimo vietovėse </v>
      </c>
      <c r="H28" s="147" t="str">
        <f>CONCATENATE('3 pr-2'!I30)</f>
        <v>R</v>
      </c>
      <c r="I28" s="147" t="str">
        <f>CONCATENATE('3 pr-2'!J30)</f>
        <v>-</v>
      </c>
      <c r="J28" s="147" t="str">
        <f>CONCATENATE('3 pr-2'!K30)</f>
        <v>-</v>
      </c>
      <c r="K28" s="147" t="str">
        <f>MID('3 pr-2'!B30,10,2)</f>
        <v>12</v>
      </c>
      <c r="L28" s="147" t="str">
        <f>IFERROR(INDEX(Veiklos!$C$2:$C$54,MATCH(K28,Veiklos!$D$2:$D$54,0),1),"")</f>
        <v>Vietinės reikšmės keliai ir gatvės (rekonstrukcija)</v>
      </c>
      <c r="M28" s="147" t="str">
        <f>MID('3 pr-2'!B30,12,2)</f>
        <v>00</v>
      </c>
      <c r="N28" s="147">
        <f>IFERROR(INDEX(Veiklos!$C$2:$C$54,MATCH(M28,Veiklos!$D$2:$D$54,0),1),"")</f>
        <v>0</v>
      </c>
      <c r="O28" s="147" t="str">
        <f>MID('3 pr-2'!B30,14,2)</f>
        <v>00</v>
      </c>
      <c r="P28" s="147">
        <f>IFERROR(INDEX(Veiklos!$C$2:$C$54,MATCH(O28,Veiklos!$D$2:$D$54,0),1),"")</f>
        <v>0</v>
      </c>
      <c r="Q28" s="147" t="s">
        <v>66</v>
      </c>
      <c r="R28" s="147" t="s">
        <v>66</v>
      </c>
      <c r="S28" s="147" t="s">
        <v>66</v>
      </c>
      <c r="T28" s="147" t="s">
        <v>66</v>
      </c>
      <c r="U28" s="349">
        <v>1</v>
      </c>
      <c r="V28" s="571">
        <f>SUM('3 pr-2'!L30)</f>
        <v>170000</v>
      </c>
      <c r="W28" s="571">
        <f>SUM('3 pr-2'!AA30)</f>
        <v>115600</v>
      </c>
    </row>
    <row r="29" spans="1:23" ht="39" thickBot="1" x14ac:dyDescent="0.3">
      <c r="A29" s="147" t="str">
        <f>CONCATENATE('3 pr-2'!A31)</f>
        <v>1.1.1.1.22</v>
      </c>
      <c r="B29" s="147" t="str">
        <f>CONCATENATE('3 pr-2'!B31)</f>
        <v>R01-ZM72-120000-1122</v>
      </c>
      <c r="C29" s="341" t="str">
        <f>CONCATENATE('3 pr-2'!D31)</f>
        <v>Alytaus rajono Makniūnų kaimo šaligatvių atnaujinimas ir plėtra</v>
      </c>
      <c r="D29" s="341" t="str">
        <f>CONCATENATE('3 pr-2'!E31)</f>
        <v>Alytaus rajono savivaldybės administracija</v>
      </c>
      <c r="E29" s="341" t="str">
        <f>CONCATENATE('3 pr-2'!F31)</f>
        <v>Lietuvos Respublikos žemės ūkio ministerija</v>
      </c>
      <c r="F29" s="341" t="str">
        <f>CONCATENATE('3 pr-2'!G31)</f>
        <v>Alytaus r. sav.</v>
      </c>
      <c r="G29" s="341" t="str">
        <f>CONCATENATE('3 pr-2'!H31)</f>
        <v xml:space="preserve">Pagrindinės paslaugos ir kaimų atnaujinimas kaimo vietovėse </v>
      </c>
      <c r="H29" s="147" t="str">
        <f>CONCATENATE('3 pr-2'!I31)</f>
        <v>R</v>
      </c>
      <c r="I29" s="147" t="str">
        <f>CONCATENATE('3 pr-2'!J31)</f>
        <v>-</v>
      </c>
      <c r="J29" s="147" t="str">
        <f>CONCATENATE('3 pr-2'!K31)</f>
        <v>-</v>
      </c>
      <c r="K29" s="147" t="str">
        <f>MID('3 pr-2'!B31,10,2)</f>
        <v>12</v>
      </c>
      <c r="L29" s="147" t="str">
        <f>IFERROR(INDEX(Veiklos!$C$2:$C$54,MATCH(K29,Veiklos!$D$2:$D$54,0),1),"")</f>
        <v>Vietinės reikšmės keliai ir gatvės (rekonstrukcija)</v>
      </c>
      <c r="M29" s="147" t="str">
        <f>MID('3 pr-2'!B31,12,2)</f>
        <v>00</v>
      </c>
      <c r="N29" s="147">
        <f>IFERROR(INDEX(Veiklos!$C$2:$C$54,MATCH(M29,Veiklos!$D$2:$D$54,0),1),"")</f>
        <v>0</v>
      </c>
      <c r="O29" s="147" t="str">
        <f>MID('3 pr-2'!B31,14,2)</f>
        <v>00</v>
      </c>
      <c r="P29" s="147">
        <f>IFERROR(INDEX(Veiklos!$C$2:$C$54,MATCH(O29,Veiklos!$D$2:$D$54,0),1),"")</f>
        <v>0</v>
      </c>
      <c r="Q29" s="147" t="s">
        <v>66</v>
      </c>
      <c r="R29" s="147" t="s">
        <v>66</v>
      </c>
      <c r="S29" s="147" t="s">
        <v>66</v>
      </c>
      <c r="T29" s="147" t="s">
        <v>66</v>
      </c>
      <c r="U29" s="349">
        <v>1</v>
      </c>
      <c r="V29" s="571">
        <f>SUM('3 pr-2'!L31)</f>
        <v>70991</v>
      </c>
      <c r="W29" s="571">
        <f>SUM('3 pr-2'!AA31)</f>
        <v>48274</v>
      </c>
    </row>
    <row r="30" spans="1:23" ht="39" thickBot="1" x14ac:dyDescent="0.3">
      <c r="A30" s="147" t="str">
        <f>CONCATENATE('3 pr-2'!A32)</f>
        <v>1.1.1.1.23</v>
      </c>
      <c r="B30" s="147" t="str">
        <f>CONCATENATE('3 pr-2'!B32)</f>
        <v>R01-ZM72-120000-1123</v>
      </c>
      <c r="C30" s="341" t="str">
        <f>CONCATENATE('3 pr-2'!D32)</f>
        <v>Varėnos r. Vazgirdonių kaimo Klevų gatvės įrengimas</v>
      </c>
      <c r="D30" s="341" t="str">
        <f>CONCATENATE('3 pr-2'!E32)</f>
        <v xml:space="preserve">Varėnos rajono savivaldybės administracija </v>
      </c>
      <c r="E30" s="341" t="str">
        <f>CONCATENATE('3 pr-2'!F32)</f>
        <v>Lietuvos Respublikos žemės ūkio ministerija</v>
      </c>
      <c r="F30" s="341" t="str">
        <f>CONCATENATE('3 pr-2'!G32)</f>
        <v>Varėnos r. sav.</v>
      </c>
      <c r="G30" s="341" t="str">
        <f>CONCATENATE('3 pr-2'!H32)</f>
        <v xml:space="preserve">Pagrindinės paslaugos ir kaimų atnaujinimas kaimo vietovėse </v>
      </c>
      <c r="H30" s="147" t="str">
        <f>CONCATENATE('3 pr-2'!I32)</f>
        <v>R</v>
      </c>
      <c r="I30" s="147" t="str">
        <f>CONCATENATE('3 pr-2'!J32)</f>
        <v>-</v>
      </c>
      <c r="J30" s="147" t="str">
        <f>CONCATENATE('3 pr-2'!K32)</f>
        <v>rez.***</v>
      </c>
      <c r="K30" s="147" t="str">
        <f>MID('3 pr-2'!B32,10,2)</f>
        <v>12</v>
      </c>
      <c r="L30" s="147" t="str">
        <f>IFERROR(INDEX(Veiklos!$C$2:$C$54,MATCH(K30,Veiklos!$D$2:$D$54,0),1),"")</f>
        <v>Vietinės reikšmės keliai ir gatvės (rekonstrukcija)</v>
      </c>
      <c r="M30" s="147" t="str">
        <f>MID('3 pr-2'!B32,12,2)</f>
        <v>00</v>
      </c>
      <c r="N30" s="147">
        <f>IFERROR(INDEX(Veiklos!$C$2:$C$54,MATCH(M30,Veiklos!$D$2:$D$54,0),1),"")</f>
        <v>0</v>
      </c>
      <c r="O30" s="147" t="str">
        <f>MID('3 pr-2'!B32,14,2)</f>
        <v>00</v>
      </c>
      <c r="P30" s="147">
        <f>IFERROR(INDEX(Veiklos!$C$2:$C$54,MATCH(O30,Veiklos!$D$2:$D$54,0),1),"")</f>
        <v>0</v>
      </c>
      <c r="Q30" s="147" t="s">
        <v>66</v>
      </c>
      <c r="R30" s="147" t="s">
        <v>66</v>
      </c>
      <c r="S30" s="147" t="s">
        <v>66</v>
      </c>
      <c r="T30" s="147" t="s">
        <v>66</v>
      </c>
      <c r="U30" s="349">
        <v>1</v>
      </c>
      <c r="V30" s="571">
        <f>SUM('3 pr-2'!L32)</f>
        <v>160049</v>
      </c>
      <c r="W30" s="571">
        <f>SUM('3 pr-2'!AA32)</f>
        <v>108833</v>
      </c>
    </row>
    <row r="31" spans="1:23" ht="36" customHeight="1" thickBot="1" x14ac:dyDescent="0.3">
      <c r="A31" s="327" t="s">
        <v>14</v>
      </c>
      <c r="B31" s="710"/>
      <c r="C31" s="1885" t="s">
        <v>841</v>
      </c>
      <c r="D31" s="1883"/>
      <c r="E31" s="1883"/>
      <c r="F31" s="1883"/>
      <c r="G31" s="1883"/>
      <c r="H31" s="1883"/>
      <c r="I31" s="1883"/>
      <c r="J31" s="1884"/>
      <c r="K31" s="321"/>
      <c r="L31" s="321"/>
      <c r="M31" s="321"/>
      <c r="N31" s="321"/>
      <c r="O31" s="321"/>
      <c r="P31" s="321"/>
      <c r="Q31" s="321"/>
      <c r="R31" s="321"/>
      <c r="S31" s="321"/>
      <c r="T31" s="321"/>
      <c r="U31" s="572"/>
      <c r="V31" s="569">
        <f>SUM(V32:V36)</f>
        <v>3717325.8</v>
      </c>
      <c r="W31" s="569">
        <f>SUM(W32:W36)</f>
        <v>2816451.64</v>
      </c>
    </row>
    <row r="32" spans="1:23" ht="113.25" customHeight="1" thickBot="1" x14ac:dyDescent="0.3">
      <c r="A32" s="12" t="str">
        <f>CONCATENATE('3 pr-2'!A34)</f>
        <v>1.1.1.2.1</v>
      </c>
      <c r="B32" s="147" t="str">
        <f>CONCATENATE('3 pr-2'!B34)</f>
        <v>R01-9908-293400-1121</v>
      </c>
      <c r="C32" s="90" t="str">
        <f>CONCATENATE('3 pr-2'!D34)</f>
        <v>Matuizų kaimo viešosios infrastruktūros atnaujinimas ir pritaikymas bendruomenės poreikiams</v>
      </c>
      <c r="D32" s="90" t="str">
        <f>CONCATENATE('3 pr-2'!E34)</f>
        <v>Varėnos rajono savivaldybės administracija</v>
      </c>
      <c r="E32" s="90" t="str">
        <f>CONCATENATE('3 pr-2'!F34)</f>
        <v>Lietuvos Respublikos vidaus reikalų ministerija</v>
      </c>
      <c r="F32" s="90" t="str">
        <f>CONCATENATE('3 pr-2'!G34)</f>
        <v>Varėnos r. sav.</v>
      </c>
      <c r="G32" s="12" t="str">
        <f>CONCATENATE('3 pr-2'!H34)</f>
        <v>8.2.1-CPVA-R-908</v>
      </c>
      <c r="H32" s="12" t="str">
        <f>CONCATENATE('3 pr-2'!I34)</f>
        <v>R</v>
      </c>
      <c r="I32" s="12" t="str">
        <f>CONCATENATE('3 pr-2'!J34)</f>
        <v>-</v>
      </c>
      <c r="J32" s="12" t="str">
        <f>CONCATENATE('3 pr-2'!K34)</f>
        <v>-</v>
      </c>
      <c r="K32" s="147" t="str">
        <f>MID('3 pr-2'!B34,10,2)</f>
        <v>29</v>
      </c>
      <c r="L32" s="147" t="str">
        <f>IFERROR(INDEX(Veiklos!$C$2:$C$54,MATCH(K32,Veiklos!$D$2:$D$54,0),1),"")</f>
        <v>Kitos viešosios infrastruktūros modernizavimas (viešosios erdvės): visuomeninės, komercinės ir bendro naudojimo paskirties teritorijos</v>
      </c>
      <c r="M32" s="147" t="str">
        <f>MID('3 pr-2'!B34,12,2)</f>
        <v>34</v>
      </c>
      <c r="N32" s="147" t="str">
        <f>IFERROR(INDEX(Veiklos!$C$2:$C$54,MATCH(M32,Veiklos!$D$2:$D$54,0),1),"")</f>
        <v>Kitos viešosios infrastruktūros modernizavimas (pastatai ir statiniai): bendruomenės, nevyriausybinių organizacijų veiklai pritaikomi pastatai</v>
      </c>
      <c r="O32" s="147" t="str">
        <f>MID('3 pr-2'!B34,14,2)</f>
        <v>00</v>
      </c>
      <c r="P32" s="147">
        <f>IFERROR(INDEX(Veiklos!$C$2:$C$54,MATCH(O32,Veiklos!$D$2:$D$54,0),1),"")</f>
        <v>0</v>
      </c>
      <c r="Q32" s="573" t="s">
        <v>66</v>
      </c>
      <c r="R32" s="573" t="s">
        <v>66</v>
      </c>
      <c r="S32" s="573" t="s">
        <v>66</v>
      </c>
      <c r="T32" s="573" t="s">
        <v>66</v>
      </c>
      <c r="U32" s="574">
        <v>1</v>
      </c>
      <c r="V32" s="571">
        <f>SUM('3 pr-2'!L34)</f>
        <v>815537.61</v>
      </c>
      <c r="W32" s="571">
        <f>SUM('3 pr-2'!AA34)</f>
        <v>487341</v>
      </c>
    </row>
    <row r="33" spans="1:23" ht="64.5" thickBot="1" x14ac:dyDescent="0.3">
      <c r="A33" s="12" t="str">
        <f>CONCATENATE('3 pr-2'!A35)</f>
        <v>1.1.1.2.2</v>
      </c>
      <c r="B33" s="147" t="str">
        <f>CONCATENATE('3 pr-2'!B35)</f>
        <v>R01-9908-290000-1122</v>
      </c>
      <c r="C33" s="90" t="str">
        <f>CONCATENATE('3 pr-2'!D35)</f>
        <v>Senosios Varėnos kaimo viešosios infrastruktūros atnaujinimas ir pritaikymas bendruomenės poreikiams</v>
      </c>
      <c r="D33" s="90" t="str">
        <f>CONCATENATE('3 pr-2'!E35)</f>
        <v>Varėnos rajono savivaldybės administracija</v>
      </c>
      <c r="E33" s="90" t="str">
        <f>CONCATENATE('3 pr-2'!F35)</f>
        <v>Lietuvos Respublikos vidaus reikalų ministerija</v>
      </c>
      <c r="F33" s="90" t="str">
        <f>CONCATENATE('3 pr-2'!G35)</f>
        <v>Varėnos r. sav.</v>
      </c>
      <c r="G33" s="12" t="str">
        <f>CONCATENATE('3 pr-2'!H35)</f>
        <v>8.2.1-CPVA-R-908</v>
      </c>
      <c r="H33" s="12" t="str">
        <f>CONCATENATE('3 pr-2'!I35)</f>
        <v>R</v>
      </c>
      <c r="I33" s="12" t="str">
        <f>CONCATENATE('3 pr-2'!J35)</f>
        <v>-</v>
      </c>
      <c r="J33" s="12" t="str">
        <f>CONCATENATE('3 pr-2'!K35)</f>
        <v>-</v>
      </c>
      <c r="K33" s="147" t="str">
        <f>MID('3 pr-2'!B35,10,2)</f>
        <v>29</v>
      </c>
      <c r="L33" s="147" t="str">
        <f>IFERROR(INDEX(Veiklos!$C$2:$C$54,MATCH(K33,Veiklos!$D$2:$D$54,0),1),"")</f>
        <v>Kitos viešosios infrastruktūros modernizavimas (viešosios erdvės): visuomeninės, komercinės ir bendro naudojimo paskirties teritorijos</v>
      </c>
      <c r="M33" s="147" t="str">
        <f>MID('3 pr-2'!B35,12,2)</f>
        <v>00</v>
      </c>
      <c r="N33" s="147">
        <f>IFERROR(INDEX(Veiklos!$C$2:$C$54,MATCH(M33,Veiklos!$D$2:$D$54,0),1),"")</f>
        <v>0</v>
      </c>
      <c r="O33" s="147" t="str">
        <f>MID('3 pr-2'!B35,14,2)</f>
        <v>00</v>
      </c>
      <c r="P33" s="147">
        <f>IFERROR(INDEX(Veiklos!$C$2:$C$54,MATCH(O33,Veiklos!$D$2:$D$54,0),1),"")</f>
        <v>0</v>
      </c>
      <c r="Q33" s="573" t="s">
        <v>66</v>
      </c>
      <c r="R33" s="573" t="s">
        <v>66</v>
      </c>
      <c r="S33" s="573" t="s">
        <v>66</v>
      </c>
      <c r="T33" s="573" t="s">
        <v>66</v>
      </c>
      <c r="U33" s="574">
        <v>1</v>
      </c>
      <c r="V33" s="571">
        <f>SUM('3 pr-2'!L35)</f>
        <v>605024.19999999995</v>
      </c>
      <c r="W33" s="571">
        <f>SUM('3 pr-2'!AA35)</f>
        <v>514270.57</v>
      </c>
    </row>
    <row r="34" spans="1:23" ht="111.75" customHeight="1" thickBot="1" x14ac:dyDescent="0.3">
      <c r="A34" s="12" t="str">
        <f>CONCATENATE('3 pr-2'!A36)</f>
        <v>1.1.1.2.3</v>
      </c>
      <c r="B34" s="147" t="str">
        <f>CONCATENATE('3 pr-2'!B36)</f>
        <v>R01-9908-290000-1123</v>
      </c>
      <c r="C34" s="90" t="str">
        <f>CONCATENATE('3 pr-2'!D36)</f>
        <v>Kompleksinė Miklusėnų gyvenvietės plėtra</v>
      </c>
      <c r="D34" s="90" t="str">
        <f>CONCATENATE('3 pr-2'!E36)</f>
        <v>Alytaus rajono savivaldybės administracija</v>
      </c>
      <c r="E34" s="90" t="str">
        <f>CONCATENATE('3 pr-2'!F36)</f>
        <v>Lietuvos Respublikos vidaus reikalų ministerija</v>
      </c>
      <c r="F34" s="90" t="str">
        <f>CONCATENATE('3 pr-2'!G36)</f>
        <v>Alytaus r. sav.</v>
      </c>
      <c r="G34" s="12" t="str">
        <f>CONCATENATE('3 pr-2'!H36)</f>
        <v>8.2.1-CPVA-R-908</v>
      </c>
      <c r="H34" s="12" t="str">
        <f>CONCATENATE('3 pr-2'!I36)</f>
        <v>R</v>
      </c>
      <c r="I34" s="12" t="str">
        <f>CONCATENATE('3 pr-2'!J36)</f>
        <v>-</v>
      </c>
      <c r="J34" s="12" t="str">
        <f>CONCATENATE('3 pr-2'!K36)</f>
        <v>-</v>
      </c>
      <c r="K34" s="147" t="str">
        <f>MID('3 pr-2'!B36,10,2)</f>
        <v>29</v>
      </c>
      <c r="L34" s="147" t="str">
        <f>IFERROR(INDEX(Veiklos!$C$2:$C$54,MATCH(K34,Veiklos!$D$2:$D$54,0),1),"")</f>
        <v>Kitos viešosios infrastruktūros modernizavimas (viešosios erdvės): visuomeninės, komercinės ir bendro naudojimo paskirties teritorijos</v>
      </c>
      <c r="M34" s="147" t="str">
        <f>MID('3 pr-2'!B36,12,2)</f>
        <v>00</v>
      </c>
      <c r="N34" s="147">
        <f>IFERROR(INDEX(Veiklos!$C$2:$C$54,MATCH(M34,Veiklos!$D$2:$D$54,0),1),"")</f>
        <v>0</v>
      </c>
      <c r="O34" s="147" t="str">
        <f>MID('3 pr-2'!B36,14,2)</f>
        <v>00</v>
      </c>
      <c r="P34" s="147">
        <f>IFERROR(INDEX(Veiklos!$C$2:$C$54,MATCH(O34,Veiklos!$D$2:$D$54,0),1),"")</f>
        <v>0</v>
      </c>
      <c r="Q34" s="573" t="s">
        <v>66</v>
      </c>
      <c r="R34" s="573" t="s">
        <v>66</v>
      </c>
      <c r="S34" s="573" t="s">
        <v>66</v>
      </c>
      <c r="T34" s="573" t="s">
        <v>66</v>
      </c>
      <c r="U34" s="574">
        <v>1</v>
      </c>
      <c r="V34" s="571">
        <f>SUM('3 pr-2'!L36)</f>
        <v>1043467</v>
      </c>
      <c r="W34" s="571">
        <f>SUM('3 pr-2'!AA36)</f>
        <v>886947</v>
      </c>
    </row>
    <row r="35" spans="1:23" ht="64.5" thickBot="1" x14ac:dyDescent="0.3">
      <c r="A35" s="12" t="str">
        <f>CONCATENATE('3 pr-2'!A37)</f>
        <v>1.1.1.2.4</v>
      </c>
      <c r="B35" s="147" t="str">
        <f>CONCATENATE('3 pr-2'!B37)</f>
        <v>R01-9908-290000-1124</v>
      </c>
      <c r="C35" s="90" t="str">
        <f>CONCATENATE('3 pr-2'!D37)</f>
        <v>Leipalingio viešosios erdvės pritaikymas bendruomenės poreikiams</v>
      </c>
      <c r="D35" s="90" t="str">
        <f>CONCATENATE('3 pr-2'!E37)</f>
        <v xml:space="preserve">Druskininkų savivaldybės administracija  </v>
      </c>
      <c r="E35" s="90" t="str">
        <f>CONCATENATE('3 pr-2'!F37)</f>
        <v>Lietuvos Respublikos vidaus reikalų ministerija</v>
      </c>
      <c r="F35" s="90" t="str">
        <f>CONCATENATE('3 pr-2'!G37)</f>
        <v>Druskininkų sav.</v>
      </c>
      <c r="G35" s="12" t="str">
        <f>CONCATENATE('3 pr-2'!H37)</f>
        <v>8.2.1-CPVA-R-908</v>
      </c>
      <c r="H35" s="12" t="str">
        <f>CONCATENATE('3 pr-2'!I37)</f>
        <v>R</v>
      </c>
      <c r="I35" s="12" t="str">
        <f>CONCATENATE('3 pr-2'!J37)</f>
        <v>-</v>
      </c>
      <c r="J35" s="12" t="str">
        <f>CONCATENATE('3 pr-2'!K37)</f>
        <v>-</v>
      </c>
      <c r="K35" s="147" t="str">
        <f>MID('3 pr-2'!B37,10,2)</f>
        <v>29</v>
      </c>
      <c r="L35" s="147" t="str">
        <f>IFERROR(INDEX(Veiklos!$C$2:$C$54,MATCH(K35,Veiklos!$D$2:$D$54,0),1),"")</f>
        <v>Kitos viešosios infrastruktūros modernizavimas (viešosios erdvės): visuomeninės, komercinės ir bendro naudojimo paskirties teritorijos</v>
      </c>
      <c r="M35" s="147" t="str">
        <f>MID('3 pr-2'!B37,12,2)</f>
        <v>00</v>
      </c>
      <c r="N35" s="147">
        <f>IFERROR(INDEX(Veiklos!$C$2:$C$54,MATCH(M35,Veiklos!$D$2:$D$54,0),1),"")</f>
        <v>0</v>
      </c>
      <c r="O35" s="147" t="str">
        <f>MID('3 pr-2'!B37,14,2)</f>
        <v>00</v>
      </c>
      <c r="P35" s="147">
        <f>IFERROR(INDEX(Veiklos!$C$2:$C$54,MATCH(O35,Veiklos!$D$2:$D$54,0),1),"")</f>
        <v>0</v>
      </c>
      <c r="Q35" s="573" t="s">
        <v>66</v>
      </c>
      <c r="R35" s="573" t="s">
        <v>66</v>
      </c>
      <c r="S35" s="573" t="s">
        <v>66</v>
      </c>
      <c r="T35" s="573" t="s">
        <v>66</v>
      </c>
      <c r="U35" s="574">
        <v>1</v>
      </c>
      <c r="V35" s="571">
        <f>SUM('3 pr-2'!L37)</f>
        <v>579418.99</v>
      </c>
      <c r="W35" s="571">
        <f>SUM('3 pr-2'!AA37)</f>
        <v>355096.91</v>
      </c>
    </row>
    <row r="36" spans="1:23" ht="64.5" thickBot="1" x14ac:dyDescent="0.3">
      <c r="A36" s="12" t="str">
        <f>CONCATENATE('3 pr-2'!A38)</f>
        <v>1.1.1.2.5</v>
      </c>
      <c r="B36" s="147" t="str">
        <f>CONCATENATE('3 pr-2'!B38)</f>
        <v>R01-9908-290000-1125</v>
      </c>
      <c r="C36" s="90" t="str">
        <f>CONCATENATE('3 pr-2'!D38)</f>
        <v>Viečiūnų viešosios erdvės pritaikymas bendruomenės poreikiams</v>
      </c>
      <c r="D36" s="90" t="str">
        <f>CONCATENATE('3 pr-2'!E38)</f>
        <v xml:space="preserve">Druskininkų savivaldybės administracija  </v>
      </c>
      <c r="E36" s="90" t="str">
        <f>CONCATENATE('3 pr-2'!F38)</f>
        <v>Lietuvos Respublikos vidaus reikalų ministerija</v>
      </c>
      <c r="F36" s="90" t="str">
        <f>CONCATENATE('3 pr-2'!G38)</f>
        <v>Druskininkų sav.</v>
      </c>
      <c r="G36" s="12" t="str">
        <f>CONCATENATE('3 pr-2'!H38)</f>
        <v>8.2.1-CPVA-R-908</v>
      </c>
      <c r="H36" s="12" t="str">
        <f>CONCATENATE('3 pr-2'!I38)</f>
        <v>R</v>
      </c>
      <c r="I36" s="12" t="str">
        <f>CONCATENATE('3 pr-2'!J38)</f>
        <v>-</v>
      </c>
      <c r="J36" s="12" t="str">
        <f>CONCATENATE('3 pr-2'!K38)</f>
        <v>-</v>
      </c>
      <c r="K36" s="147" t="str">
        <f>MID('3 pr-2'!B38,10,2)</f>
        <v>29</v>
      </c>
      <c r="L36" s="147" t="str">
        <f>IFERROR(INDEX(Veiklos!$C$2:$C$54,MATCH(K36,Veiklos!$D$2:$D$54,0),1),"")</f>
        <v>Kitos viešosios infrastruktūros modernizavimas (viešosios erdvės): visuomeninės, komercinės ir bendro naudojimo paskirties teritorijos</v>
      </c>
      <c r="M36" s="147" t="str">
        <f>MID('3 pr-2'!B38,12,2)</f>
        <v>00</v>
      </c>
      <c r="N36" s="147">
        <f>IFERROR(INDEX(Veiklos!$C$2:$C$54,MATCH(M36,Veiklos!$D$2:$D$54,0),1),"")</f>
        <v>0</v>
      </c>
      <c r="O36" s="147" t="str">
        <f>MID('3 pr-2'!B38,14,2)</f>
        <v>00</v>
      </c>
      <c r="P36" s="147">
        <f>IFERROR(INDEX(Veiklos!$C$2:$C$54,MATCH(O36,Veiklos!$D$2:$D$54,0),1),"")</f>
        <v>0</v>
      </c>
      <c r="Q36" s="573" t="s">
        <v>66</v>
      </c>
      <c r="R36" s="573" t="s">
        <v>66</v>
      </c>
      <c r="S36" s="573" t="s">
        <v>66</v>
      </c>
      <c r="T36" s="573" t="s">
        <v>66</v>
      </c>
      <c r="U36" s="574">
        <v>1</v>
      </c>
      <c r="V36" s="571">
        <f>SUM('3 pr-2'!L38)</f>
        <v>673878</v>
      </c>
      <c r="W36" s="571">
        <f>SUM('3 pr-2'!AA38)</f>
        <v>572796.16000000003</v>
      </c>
    </row>
    <row r="37" spans="1:23" ht="32.25" customHeight="1" thickBot="1" x14ac:dyDescent="0.3">
      <c r="A37" s="328" t="s">
        <v>70</v>
      </c>
      <c r="B37" s="711"/>
      <c r="C37" s="1880" t="s">
        <v>1230</v>
      </c>
      <c r="D37" s="1881"/>
      <c r="E37" s="1881"/>
      <c r="F37" s="1881"/>
      <c r="G37" s="1881"/>
      <c r="H37" s="1881"/>
      <c r="I37" s="1881"/>
      <c r="J37" s="1882"/>
      <c r="K37" s="321"/>
      <c r="L37" s="321"/>
      <c r="M37" s="321"/>
      <c r="N37" s="321"/>
      <c r="O37" s="321"/>
      <c r="P37" s="321"/>
      <c r="Q37" s="321"/>
      <c r="R37" s="321"/>
      <c r="S37" s="321"/>
      <c r="T37" s="321"/>
      <c r="U37" s="572"/>
      <c r="V37" s="569">
        <f>SUM(V38:V43)</f>
        <v>4358551.91</v>
      </c>
      <c r="W37" s="569">
        <f>SUM(W38:W43)</f>
        <v>3697301.8899999997</v>
      </c>
    </row>
    <row r="38" spans="1:23" ht="64.5" thickBot="1" x14ac:dyDescent="0.3">
      <c r="A38" s="147" t="str">
        <f>CONCATENATE('3 pr-2'!A40)</f>
        <v>1.1.1.3.1</v>
      </c>
      <c r="B38" s="147" t="str">
        <f>CONCATENATE('3 pr-2'!B40)</f>
        <v>R01-9905-290000-1131</v>
      </c>
      <c r="C38" s="341" t="str">
        <f>CONCATENATE('3 pr-2'!D40)</f>
        <v>Varėnos miesto centrinės dalies modernizavimas ir pritaikymas visuomenės poreikiams (I etapas)</v>
      </c>
      <c r="D38" s="341" t="str">
        <f>CONCATENATE('3 pr-2'!E40)</f>
        <v>Varėnos rajono savivaldybės administracija</v>
      </c>
      <c r="E38" s="341" t="str">
        <f>CONCATENATE('3 pr-2'!F40)</f>
        <v>Lietuvos Respublikos vidaus reikalų ministerija</v>
      </c>
      <c r="F38" s="341" t="str">
        <f>CONCATENATE('3 pr-2'!G40)</f>
        <v>Varėnos r. sav.</v>
      </c>
      <c r="G38" s="147" t="str">
        <f>CONCATENATE('3 pr-2'!H40)</f>
        <v xml:space="preserve">07.1.1-CPVA-R-905 </v>
      </c>
      <c r="H38" s="147" t="str">
        <f>CONCATENATE('3 pr-2'!I40)</f>
        <v>R</v>
      </c>
      <c r="I38" s="147" t="str">
        <f>CONCATENATE('3 pr-2'!J40)</f>
        <v>ITI</v>
      </c>
      <c r="J38" s="147" t="str">
        <f>CONCATENATE('3 pr-2'!K40)</f>
        <v>-</v>
      </c>
      <c r="K38" s="147" t="str">
        <f>MID('3 pr-2'!B40,10,2)</f>
        <v>29</v>
      </c>
      <c r="L38" s="147" t="str">
        <f>IFERROR(INDEX(Veiklos!$C$2:$C$54,MATCH(K38,Veiklos!$D$2:$D$54,0),1),"")</f>
        <v>Kitos viešosios infrastruktūros modernizavimas (viešosios erdvės): visuomeninės, komercinės ir bendro naudojimo paskirties teritorijos</v>
      </c>
      <c r="M38" s="147" t="str">
        <f>MID('3 pr-2'!B40,12,2)</f>
        <v>00</v>
      </c>
      <c r="N38" s="147">
        <f>IFERROR(INDEX(Veiklos!$C$2:$C$54,MATCH(M38,Veiklos!$D$2:$D$54,0),1),"")</f>
        <v>0</v>
      </c>
      <c r="O38" s="147" t="str">
        <f>MID('3 pr-2'!B40,14,2)</f>
        <v>00</v>
      </c>
      <c r="P38" s="147">
        <f>IFERROR(INDEX(Veiklos!$C$2:$C$54,MATCH(O38,Veiklos!$D$2:$D$54,0),1),"")</f>
        <v>0</v>
      </c>
      <c r="Q38" s="147" t="s">
        <v>66</v>
      </c>
      <c r="R38" s="147" t="s">
        <v>66</v>
      </c>
      <c r="S38" s="147" t="s">
        <v>66</v>
      </c>
      <c r="T38" s="147" t="s">
        <v>66</v>
      </c>
      <c r="U38" s="349">
        <v>1</v>
      </c>
      <c r="V38" s="571">
        <f>SUM('3 pr-2'!L40)</f>
        <v>1516932.01</v>
      </c>
      <c r="W38" s="571">
        <f>SUM('3 pr-2'!AA40)</f>
        <v>1289392.2</v>
      </c>
    </row>
    <row r="39" spans="1:23" ht="102.75" thickBot="1" x14ac:dyDescent="0.3">
      <c r="A39" s="147" t="str">
        <f>CONCATENATE('3 pr-2'!A41)</f>
        <v>1.1.1.3.2</v>
      </c>
      <c r="B39" s="147" t="str">
        <f>CONCATENATE('3 pr-2'!B41)</f>
        <v>R01-9905-282900-1132</v>
      </c>
      <c r="C39" s="341" t="str">
        <f>CONCATENATE('3 pr-2'!D41)</f>
        <v>Varėnos miesto centrinės dalies modernizavimas ir pritaikymas visuomenės poreikiams (II etapas)</v>
      </c>
      <c r="D39" s="341" t="str">
        <f>CONCATENATE('3 pr-2'!E41)</f>
        <v>Varėnos rajono savivaldybės administracija</v>
      </c>
      <c r="E39" s="341" t="str">
        <f>CONCATENATE('3 pr-2'!F41)</f>
        <v>Lietuvos Respublikos vidaus reikalų ministerija</v>
      </c>
      <c r="F39" s="341" t="str">
        <f>CONCATENATE('3 pr-2'!G41)</f>
        <v>Varėnos r. sav.</v>
      </c>
      <c r="G39" s="147" t="str">
        <f>CONCATENATE('3 pr-2'!H41)</f>
        <v xml:space="preserve">07.1.1-CPVA-R-905 </v>
      </c>
      <c r="H39" s="147" t="str">
        <f>CONCATENATE('3 pr-2'!I41)</f>
        <v>R</v>
      </c>
      <c r="I39" s="147" t="str">
        <f>CONCATENATE('3 pr-2'!J41)</f>
        <v>ITI</v>
      </c>
      <c r="J39" s="147" t="str">
        <f>CONCATENATE('3 pr-2'!K41)</f>
        <v>-</v>
      </c>
      <c r="K39" s="147" t="str">
        <f>MID('3 pr-2'!B41,10,2)</f>
        <v>28</v>
      </c>
      <c r="L39" s="147" t="str">
        <f>IFERROR(INDEX(Veiklos!$C$2:$C$54,MATCH(K39,Veiklos!$D$2:$D$54,0),1),"")</f>
        <v>Kitos viešosios infrastruktūros modernizavimas (viešosios erdvės): rekreacinės teritorijos ir gamtinis karkasas</v>
      </c>
      <c r="M39" s="147" t="str">
        <f>MID('3 pr-2'!B41,12,2)</f>
        <v>29</v>
      </c>
      <c r="N39" s="147" t="str">
        <f>IFERROR(INDEX(Veiklos!$C$2:$C$54,MATCH(M39,Veiklos!$D$2:$D$54,0),1),"")</f>
        <v>Kitos viešosios infrastruktūros modernizavimas (viešosios erdvės): visuomeninės, komercinės ir bendro naudojimo paskirties teritorijos</v>
      </c>
      <c r="O39" s="147" t="str">
        <f>MID('3 pr-2'!B41,14,2)</f>
        <v>00</v>
      </c>
      <c r="P39" s="147">
        <f>IFERROR(INDEX(Veiklos!$C$2:$C$54,MATCH(O39,Veiklos!$D$2:$D$54,0),1),"")</f>
        <v>0</v>
      </c>
      <c r="Q39" s="147" t="s">
        <v>66</v>
      </c>
      <c r="R39" s="147" t="s">
        <v>66</v>
      </c>
      <c r="S39" s="147" t="s">
        <v>66</v>
      </c>
      <c r="T39" s="147" t="s">
        <v>66</v>
      </c>
      <c r="U39" s="349">
        <v>1</v>
      </c>
      <c r="V39" s="571">
        <f>SUM('3 pr-2'!L41)</f>
        <v>1004000.8999999999</v>
      </c>
      <c r="W39" s="571">
        <f>SUM('3 pr-2'!AA41)</f>
        <v>845933.69</v>
      </c>
    </row>
    <row r="40" spans="1:23" ht="77.25" thickBot="1" x14ac:dyDescent="0.3">
      <c r="A40" s="147" t="str">
        <f>CONCATENATE('3 pr-2'!A42)</f>
        <v>1.1.1.3.3</v>
      </c>
      <c r="B40" s="147" t="str">
        <f>CONCATENATE('3 pr-2'!B42)</f>
        <v>R01-9905-292800-1133</v>
      </c>
      <c r="C40" s="341" t="str">
        <f>CONCATENATE('3 pr-2'!D42)</f>
        <v xml:space="preserve">Varėnos miesto Dainų slėnio infrastruktūros atnaujinimas ir pritaikymas visuomenės poreikiams </v>
      </c>
      <c r="D40" s="341" t="str">
        <f>CONCATENATE('3 pr-2'!E42)</f>
        <v>Varėnos rajono savivaldybės administracija</v>
      </c>
      <c r="E40" s="341" t="str">
        <f>CONCATENATE('3 pr-2'!F42)</f>
        <v>Lietuvos Respublikos vidaus reikalų ministerija</v>
      </c>
      <c r="F40" s="341" t="str">
        <f>CONCATENATE('3 pr-2'!G42)</f>
        <v>Varėnos r. sav.</v>
      </c>
      <c r="G40" s="147" t="str">
        <f>CONCATENATE('3 pr-2'!H42)</f>
        <v xml:space="preserve">07.1.1-CPVA-R-905 </v>
      </c>
      <c r="H40" s="147" t="str">
        <f>CONCATENATE('3 pr-2'!I42)</f>
        <v>R</v>
      </c>
      <c r="I40" s="147" t="str">
        <f>CONCATENATE('3 pr-2'!J42)</f>
        <v>ITI</v>
      </c>
      <c r="J40" s="147" t="str">
        <f>CONCATENATE('3 pr-2'!K42)</f>
        <v>-</v>
      </c>
      <c r="K40" s="147" t="str">
        <f>MID('3 pr-2'!B42,10,2)</f>
        <v>29</v>
      </c>
      <c r="L40" s="147" t="str">
        <f>IFERROR(INDEX(Veiklos!$C$2:$C$54,MATCH(K40,Veiklos!$D$2:$D$54,0),1),"")</f>
        <v>Kitos viešosios infrastruktūros modernizavimas (viešosios erdvės): visuomeninės, komercinės ir bendro naudojimo paskirties teritorijos</v>
      </c>
      <c r="M40" s="147" t="str">
        <f>MID('3 pr-2'!B42,12,2)</f>
        <v>28</v>
      </c>
      <c r="N40" s="147" t="str">
        <f>IFERROR(INDEX(Veiklos!$C$2:$C$54,MATCH(M40,Veiklos!$D$2:$D$54,0),1),"")</f>
        <v>Kitos viešosios infrastruktūros modernizavimas (viešosios erdvės): rekreacinės teritorijos ir gamtinis karkasas</v>
      </c>
      <c r="O40" s="147" t="str">
        <f>MID('3 pr-2'!B42,14,2)</f>
        <v>00</v>
      </c>
      <c r="P40" s="147">
        <f>IFERROR(INDEX(Veiklos!$C$2:$C$54,MATCH(O40,Veiklos!$D$2:$D$54,0),1),"")</f>
        <v>0</v>
      </c>
      <c r="Q40" s="147" t="s">
        <v>66</v>
      </c>
      <c r="R40" s="147" t="s">
        <v>66</v>
      </c>
      <c r="S40" s="147" t="s">
        <v>66</v>
      </c>
      <c r="T40" s="147" t="s">
        <v>66</v>
      </c>
      <c r="U40" s="349">
        <v>1</v>
      </c>
      <c r="V40" s="571">
        <f>SUM('3 pr-2'!L42)</f>
        <v>630000</v>
      </c>
      <c r="W40" s="571">
        <f>SUM('3 pr-2'!AA42)</f>
        <v>535500</v>
      </c>
    </row>
    <row r="41" spans="1:23" ht="51.75" thickBot="1" x14ac:dyDescent="0.3">
      <c r="A41" s="147" t="str">
        <f>CONCATENATE('3 pr-2'!A43)</f>
        <v>1.1.1.3.4</v>
      </c>
      <c r="B41" s="147" t="str">
        <f>CONCATENATE('3 pr-2'!B43)</f>
        <v>R01-9905-280000-1134</v>
      </c>
      <c r="C41" s="341" t="str">
        <f>CONCATENATE('3 pr-2'!D43)</f>
        <v>Karloniškės ežero ir jo prieigų sutvarkymas ir pritaikymas aktyviam poilsiui</v>
      </c>
      <c r="D41" s="341" t="str">
        <f>CONCATENATE('3 pr-2'!E43)</f>
        <v>Varėnos rajono savivaldybės administracija</v>
      </c>
      <c r="E41" s="341" t="str">
        <f>CONCATENATE('3 pr-2'!F43)</f>
        <v>Lietuvos Respublikos vidaus reikalų ministerija</v>
      </c>
      <c r="F41" s="341" t="str">
        <f>CONCATENATE('3 pr-2'!G43)</f>
        <v>Varėnos r. sav.</v>
      </c>
      <c r="G41" s="147" t="str">
        <f>CONCATENATE('3 pr-2'!H43)</f>
        <v xml:space="preserve">07.1.1-CPVA-R-905 </v>
      </c>
      <c r="H41" s="147" t="str">
        <f>CONCATENATE('3 pr-2'!I43)</f>
        <v>R</v>
      </c>
      <c r="I41" s="147" t="str">
        <f>CONCATENATE('3 pr-2'!J43)</f>
        <v>ITI</v>
      </c>
      <c r="J41" s="147" t="str">
        <f>CONCATENATE('3 pr-2'!K43)</f>
        <v>-</v>
      </c>
      <c r="K41" s="147" t="str">
        <f>MID('3 pr-2'!B43,10,2)</f>
        <v>28</v>
      </c>
      <c r="L41" s="147" t="str">
        <f>IFERROR(INDEX(Veiklos!$C$2:$C$54,MATCH(K41,Veiklos!$D$2:$D$54,0),1),"")</f>
        <v>Kitos viešosios infrastruktūros modernizavimas (viešosios erdvės): rekreacinės teritorijos ir gamtinis karkasas</v>
      </c>
      <c r="M41" s="147" t="str">
        <f>MID('3 pr-2'!B43,12,2)</f>
        <v>00</v>
      </c>
      <c r="N41" s="147">
        <f>IFERROR(INDEX(Veiklos!$C$2:$C$54,MATCH(M41,Veiklos!$D$2:$D$54,0),1),"")</f>
        <v>0</v>
      </c>
      <c r="O41" s="147" t="str">
        <f>MID('3 pr-2'!B43,14,2)</f>
        <v>00</v>
      </c>
      <c r="P41" s="147">
        <f>IFERROR(INDEX(Veiklos!$C$2:$C$54,MATCH(O41,Veiklos!$D$2:$D$54,0),1),"")</f>
        <v>0</v>
      </c>
      <c r="Q41" s="147" t="s">
        <v>66</v>
      </c>
      <c r="R41" s="147" t="s">
        <v>66</v>
      </c>
      <c r="S41" s="147" t="s">
        <v>66</v>
      </c>
      <c r="T41" s="147" t="s">
        <v>66</v>
      </c>
      <c r="U41" s="349">
        <v>1</v>
      </c>
      <c r="V41" s="571">
        <f>SUM('3 pr-2'!L43)</f>
        <v>757246</v>
      </c>
      <c r="W41" s="571">
        <f>SUM('3 pr-2'!AA43)</f>
        <v>643659</v>
      </c>
    </row>
    <row r="42" spans="1:23" ht="102.75" thickBot="1" x14ac:dyDescent="0.3">
      <c r="A42" s="345" t="str">
        <f>CONCATENATE('3 pr-2'!A44)</f>
        <v>1.1.1.3.5</v>
      </c>
      <c r="B42" s="147" t="str">
        <f>CONCATENATE('3 pr-2'!B44)</f>
        <v>R01-9905-362900-1135</v>
      </c>
      <c r="C42" s="342" t="str">
        <f>CONCATENATE('3 pr-2'!D44)</f>
        <v xml:space="preserve">Nenaudojamų teritorijų Varėnos mieste sutvarkymas ir pritaikymas verslui </v>
      </c>
      <c r="D42" s="342" t="str">
        <f>CONCATENATE('3 pr-2'!E44)</f>
        <v>Varėnos rajono savivaldybės administracija</v>
      </c>
      <c r="E42" s="342" t="str">
        <f>CONCATENATE('3 pr-2'!F44)</f>
        <v>Lietuvos Respublikos vidaus reikalų ministerija</v>
      </c>
      <c r="F42" s="342" t="str">
        <f>CONCATENATE('3 pr-2'!G44)</f>
        <v>Varėnos r. sav.</v>
      </c>
      <c r="G42" s="345" t="str">
        <f>CONCATENATE('3 pr-2'!H44)</f>
        <v xml:space="preserve">07.1.1-CPVA-R-905 </v>
      </c>
      <c r="H42" s="345" t="str">
        <f>CONCATENATE('3 pr-2'!I44)</f>
        <v>R</v>
      </c>
      <c r="I42" s="345" t="str">
        <f>CONCATENATE('3 pr-2'!J44)</f>
        <v>ITI</v>
      </c>
      <c r="J42" s="345" t="str">
        <f>CONCATENATE('3 pr-2'!K44)</f>
        <v>-</v>
      </c>
      <c r="K42" s="147" t="str">
        <f>MID('3 pr-2'!B44,10,2)</f>
        <v>36</v>
      </c>
      <c r="L42" s="147" t="str">
        <f>IFERROR(INDEX(Veiklos!$C$2:$C$54,MATCH(K42,Veiklos!$D$2:$D$54,0),1),"")</f>
        <v>Viešoji verslui skirta infrastruktūra (pramoniniai parkai, pramonės zonos ir pan.)</v>
      </c>
      <c r="M42" s="147" t="str">
        <f>MID('3 pr-2'!B44,12,2)</f>
        <v>29</v>
      </c>
      <c r="N42" s="147" t="str">
        <f>IFERROR(INDEX(Veiklos!$C$2:$C$54,MATCH(M42,Veiklos!$D$2:$D$54,0),1),"")</f>
        <v>Kitos viešosios infrastruktūros modernizavimas (viešosios erdvės): visuomeninės, komercinės ir bendro naudojimo paskirties teritorijos</v>
      </c>
      <c r="O42" s="147" t="str">
        <f>MID('3 pr-2'!B44,14,2)</f>
        <v>00</v>
      </c>
      <c r="P42" s="147">
        <f>IFERROR(INDEX(Veiklos!$C$2:$C$54,MATCH(O42,Veiklos!$D$2:$D$54,0),1),"")</f>
        <v>0</v>
      </c>
      <c r="Q42" s="147" t="s">
        <v>66</v>
      </c>
      <c r="R42" s="147" t="s">
        <v>66</v>
      </c>
      <c r="S42" s="147" t="s">
        <v>66</v>
      </c>
      <c r="T42" s="147" t="s">
        <v>66</v>
      </c>
      <c r="U42" s="349">
        <v>1</v>
      </c>
      <c r="V42" s="571">
        <f>SUM('3 pr-2'!L44)</f>
        <v>150000</v>
      </c>
      <c r="W42" s="571">
        <f>SUM('3 pr-2'!AA44)</f>
        <v>127500</v>
      </c>
    </row>
    <row r="43" spans="1:23" ht="64.5" thickBot="1" x14ac:dyDescent="0.3">
      <c r="A43" s="345" t="str">
        <f>CONCATENATE('3 pr-2'!A45)</f>
        <v>1.1.1.3.6</v>
      </c>
      <c r="B43" s="147" t="str">
        <f>CONCATENATE('3 pr-2'!B45)</f>
        <v>R01-9905-290000-1136</v>
      </c>
      <c r="C43" s="342" t="str">
        <f>CONCATENATE('3 pr-2'!D45)</f>
        <v xml:space="preserve">Teritorijų prie daugiabučių gyvenamųjų pastatų Varėnos mieste sutvarkymas ir pritaikymas visuomenės poreikiams  </v>
      </c>
      <c r="D43" s="342" t="str">
        <f>CONCATENATE('3 pr-2'!E45)</f>
        <v>Varėnos rajono savivaldybės administracija</v>
      </c>
      <c r="E43" s="342" t="str">
        <f>CONCATENATE('3 pr-2'!F45)</f>
        <v>Lietuvos Respublikos vidaus reikalų ministerija</v>
      </c>
      <c r="F43" s="342" t="str">
        <f>CONCATENATE('3 pr-2'!G45)</f>
        <v>Varėnos r. sav.</v>
      </c>
      <c r="G43" s="345" t="str">
        <f>CONCATENATE('3 pr-2'!H45)</f>
        <v xml:space="preserve">07.1.1-CPVA-R-905 </v>
      </c>
      <c r="H43" s="345" t="str">
        <f>CONCATENATE('3 pr-2'!I45)</f>
        <v>R</v>
      </c>
      <c r="I43" s="345" t="str">
        <f>CONCATENATE('3 pr-2'!J45)</f>
        <v>ITI</v>
      </c>
      <c r="J43" s="345" t="str">
        <f>CONCATENATE('3 pr-2'!K45)</f>
        <v>-</v>
      </c>
      <c r="K43" s="147" t="str">
        <f>MID('3 pr-2'!B45,10,2)</f>
        <v>29</v>
      </c>
      <c r="L43" s="147" t="str">
        <f>IFERROR(INDEX(Veiklos!$C$2:$C$54,MATCH(K43,Veiklos!$D$2:$D$54,0),1),"")</f>
        <v>Kitos viešosios infrastruktūros modernizavimas (viešosios erdvės): visuomeninės, komercinės ir bendro naudojimo paskirties teritorijos</v>
      </c>
      <c r="M43" s="147" t="str">
        <f>MID('3 pr-2'!B45,12,2)</f>
        <v>00</v>
      </c>
      <c r="N43" s="147">
        <f>IFERROR(INDEX(Veiklos!$C$2:$C$54,MATCH(M43,Veiklos!$D$2:$D$54,0),1),"")</f>
        <v>0</v>
      </c>
      <c r="O43" s="147" t="str">
        <f>MID('3 pr-2'!B45,14,2)</f>
        <v>00</v>
      </c>
      <c r="P43" s="147">
        <f>IFERROR(INDEX(Veiklos!$C$2:$C$54,MATCH(O43,Veiklos!$D$2:$D$54,0),1),"")</f>
        <v>0</v>
      </c>
      <c r="Q43" s="147" t="s">
        <v>66</v>
      </c>
      <c r="R43" s="147" t="s">
        <v>66</v>
      </c>
      <c r="S43" s="147" t="s">
        <v>66</v>
      </c>
      <c r="T43" s="147" t="s">
        <v>66</v>
      </c>
      <c r="U43" s="349">
        <v>1</v>
      </c>
      <c r="V43" s="571">
        <f>SUM('3 pr-2'!L45)</f>
        <v>300373</v>
      </c>
      <c r="W43" s="571">
        <f>SUM('3 pr-2'!AA45)</f>
        <v>255317</v>
      </c>
    </row>
    <row r="44" spans="1:23" ht="44.25" customHeight="1" thickBot="1" x14ac:dyDescent="0.3">
      <c r="A44" s="328" t="s">
        <v>16</v>
      </c>
      <c r="B44" s="712"/>
      <c r="C44" s="1885" t="s">
        <v>839</v>
      </c>
      <c r="D44" s="1894"/>
      <c r="E44" s="1894"/>
      <c r="F44" s="1894"/>
      <c r="G44" s="1894"/>
      <c r="H44" s="1894"/>
      <c r="I44" s="1894"/>
      <c r="J44" s="1895"/>
      <c r="K44" s="575"/>
      <c r="L44" s="576"/>
      <c r="M44" s="577"/>
      <c r="N44" s="576"/>
      <c r="O44" s="577"/>
      <c r="P44" s="576"/>
      <c r="Q44" s="577"/>
      <c r="R44" s="576"/>
      <c r="S44" s="577"/>
      <c r="T44" s="576"/>
      <c r="U44" s="568"/>
      <c r="V44" s="569">
        <f>SUM(V45:V47)</f>
        <v>2112023.5699999998</v>
      </c>
      <c r="W44" s="569">
        <f>SUM(W45:W47)</f>
        <v>1675157.5699999998</v>
      </c>
    </row>
    <row r="45" spans="1:23" s="25" customFormat="1" ht="64.5" thickBot="1" x14ac:dyDescent="0.3">
      <c r="A45" s="147" t="str">
        <f>CONCATENATE('3 pr-2'!A47)</f>
        <v>1.1.1.4.1</v>
      </c>
      <c r="B45" s="147" t="str">
        <f>CONCATENATE('3 pr-2'!B47)</f>
        <v>R01-9902-310000-1141</v>
      </c>
      <c r="C45" s="341" t="str">
        <f>CONCATENATE('3 pr-2'!D47)</f>
        <v>Buvusios pramoninės teritorijos Pramonės g. 1 Alytuje, pritaikymas verslo vystymui ir plėtrai.</v>
      </c>
      <c r="D45" s="341" t="str">
        <f>CONCATENATE('3 pr-2'!E47)</f>
        <v>Alytaus miesto savivaldybės administracija</v>
      </c>
      <c r="E45" s="341" t="str">
        <f>CONCATENATE('3 pr-2'!F47)</f>
        <v>Lietuvos Respublikos vidaus reikalų ministerija</v>
      </c>
      <c r="F45" s="341" t="str">
        <f>CONCATENATE('3 pr-2'!G47)</f>
        <v>Alytaus m. sav.</v>
      </c>
      <c r="G45" s="341" t="str">
        <f>CONCATENATE('3 pr-2'!H47)</f>
        <v>07.1.1-CPVA-V-902</v>
      </c>
      <c r="H45" s="147" t="str">
        <f>CONCATENATE('3 pr-2'!I47)</f>
        <v>V</v>
      </c>
      <c r="I45" s="147" t="str">
        <f>CONCATENATE('3 pr-2'!J47)</f>
        <v>ITI</v>
      </c>
      <c r="J45" s="147" t="str">
        <f>CONCATENATE('3 pr-2'!K47)</f>
        <v>-</v>
      </c>
      <c r="K45" s="147" t="str">
        <f>MID('3 pr-2'!B47,10,2)</f>
        <v>31</v>
      </c>
      <c r="L45" s="147" t="str">
        <f>IFERROR(INDEX(Veiklos!$C$2:$C$54,MATCH(K45,Veiklos!$D$2:$D$54,0),1),"")</f>
        <v>Kitos viešosios infrastruktūros modernizavimas (konversija): pramoninių, buvusių karinių, inžinerinių ir pan. objektų ir teritorijų konversija</v>
      </c>
      <c r="M45" s="147" t="str">
        <f>MID('3 pr-2'!B47,12,2)</f>
        <v>00</v>
      </c>
      <c r="N45" s="147">
        <f>IFERROR(INDEX(Veiklos!$C$2:$C$54,MATCH(M45,Veiklos!$D$2:$D$54,0),1),"")</f>
        <v>0</v>
      </c>
      <c r="O45" s="147" t="str">
        <f>MID('3 pr-2'!B47,14,2)</f>
        <v>00</v>
      </c>
      <c r="P45" s="147">
        <f>IFERROR(INDEX(Veiklos!$C$2:$C$54,MATCH(O45,Veiklos!$D$2:$D$54,0),1),"")</f>
        <v>0</v>
      </c>
      <c r="Q45" s="147"/>
      <c r="R45" s="147"/>
      <c r="S45" s="147"/>
      <c r="T45" s="147"/>
      <c r="U45" s="349">
        <v>1</v>
      </c>
      <c r="V45" s="571">
        <f>SUM('3 pr-2'!L47)</f>
        <v>1293732.5699999998</v>
      </c>
      <c r="W45" s="571">
        <f>SUM('3 pr-2'!AA47)</f>
        <v>1099672.68</v>
      </c>
    </row>
    <row r="46" spans="1:23" ht="64.5" thickBot="1" x14ac:dyDescent="0.3">
      <c r="A46" s="147" t="str">
        <f>CONCATENATE('3 pr-2'!A48)</f>
        <v>1.1.1.4.2</v>
      </c>
      <c r="B46" s="147" t="str">
        <f>CONCATENATE('3 pr-2'!B48)</f>
        <v>R01-9903-290000-1142</v>
      </c>
      <c r="C46" s="341" t="str">
        <f>CONCATENATE('3 pr-2'!D48)</f>
        <v>Amatų centro „Menų kalvė“ Druskininkuose įkūrimas</v>
      </c>
      <c r="D46" s="341" t="str">
        <f>CONCATENATE('3 pr-2'!E48)</f>
        <v xml:space="preserve">Druskininkų savivaldybės administracija  </v>
      </c>
      <c r="E46" s="341" t="str">
        <f>CONCATENATE('3 pr-2'!F48)</f>
        <v>Lietuvos Respublikos vidaus reikalų ministerija</v>
      </c>
      <c r="F46" s="341" t="str">
        <f>CONCATENATE('3 pr-2'!G48)</f>
        <v>Druskininkų sav.</v>
      </c>
      <c r="G46" s="341" t="str">
        <f>CONCATENATE('3 pr-2'!H48)</f>
        <v>07.1.1-CPVA-R-903</v>
      </c>
      <c r="H46" s="147" t="str">
        <f>CONCATENATE('3 pr-2'!I48)</f>
        <v>R</v>
      </c>
      <c r="I46" s="147" t="str">
        <f>CONCATENATE('3 pr-2'!J48)</f>
        <v>ITI</v>
      </c>
      <c r="J46" s="147" t="str">
        <f>CONCATENATE('3 pr-2'!K48)</f>
        <v>-</v>
      </c>
      <c r="K46" s="147" t="str">
        <f>MID('3 pr-2'!B48,10,2)</f>
        <v>29</v>
      </c>
      <c r="L46" s="147" t="str">
        <f>IFERROR(INDEX(Veiklos!$C$2:$C$54,MATCH(K46,Veiklos!$D$2:$D$54,0),1),"")</f>
        <v>Kitos viešosios infrastruktūros modernizavimas (viešosios erdvės): visuomeninės, komercinės ir bendro naudojimo paskirties teritorijos</v>
      </c>
      <c r="M46" s="147" t="str">
        <f>MID('3 pr-2'!B48,12,2)</f>
        <v>00</v>
      </c>
      <c r="N46" s="147">
        <f>IFERROR(INDEX(Veiklos!$C$2:$C$54,MATCH(M46,Veiklos!$D$2:$D$54,0),1),"")</f>
        <v>0</v>
      </c>
      <c r="O46" s="147" t="str">
        <f>MID('3 pr-2'!B48,14,2)</f>
        <v>00</v>
      </c>
      <c r="P46" s="147">
        <f>IFERROR(INDEX(Veiklos!$C$2:$C$54,MATCH(O46,Veiklos!$D$2:$D$54,0),1),"")</f>
        <v>0</v>
      </c>
      <c r="Q46" s="147"/>
      <c r="R46" s="147"/>
      <c r="S46" s="147"/>
      <c r="T46" s="147"/>
      <c r="U46" s="349">
        <v>1</v>
      </c>
      <c r="V46" s="571">
        <f>SUM('3 pr-2'!L48)</f>
        <v>474784</v>
      </c>
      <c r="W46" s="571">
        <f>SUM('3 pr-2'!AA48)</f>
        <v>283503.94</v>
      </c>
    </row>
    <row r="47" spans="1:23" ht="64.5" thickBot="1" x14ac:dyDescent="0.3">
      <c r="A47" s="147" t="str">
        <f>CONCATENATE('3 pr-2'!A49)</f>
        <v>1.1.1.4.3</v>
      </c>
      <c r="B47" s="147" t="str">
        <f>CONCATENATE('3 pr-2'!B49)</f>
        <v>R01-9903-290000-1143</v>
      </c>
      <c r="C47" s="341" t="str">
        <f>CONCATENATE('3 pr-2'!D49)</f>
        <v>Lazdijų miesto kompleksinė infrastruktūros plėtra, III etapas</v>
      </c>
      <c r="D47" s="341" t="str">
        <f>CONCATENATE('3 pr-2'!E49)</f>
        <v>Lazdijų rajono savivaldybės administracija</v>
      </c>
      <c r="E47" s="341" t="str">
        <f>CONCATENATE('3 pr-2'!F49)</f>
        <v>Lietuvos Respublikos vidaus reikalų ministerija</v>
      </c>
      <c r="F47" s="341" t="str">
        <f>CONCATENATE('3 pr-2'!G49)</f>
        <v>Lazdijų r. sav.</v>
      </c>
      <c r="G47" s="341" t="str">
        <f>CONCATENATE('3 pr-2'!H49)</f>
        <v>07.1.1-CPVA-R-903</v>
      </c>
      <c r="H47" s="147" t="str">
        <f>CONCATENATE('3 pr-2'!I49)</f>
        <v>R</v>
      </c>
      <c r="I47" s="147" t="str">
        <f>CONCATENATE('3 pr-2'!J49)</f>
        <v>ITI</v>
      </c>
      <c r="J47" s="147" t="str">
        <f>CONCATENATE('3 pr-2'!K49)</f>
        <v>-</v>
      </c>
      <c r="K47" s="147" t="str">
        <f>MID('3 pr-2'!B49,10,2)</f>
        <v>29</v>
      </c>
      <c r="L47" s="147" t="str">
        <f>IFERROR(INDEX(Veiklos!$C$2:$C$54,MATCH(K47,Veiklos!$D$2:$D$54,0),1),"")</f>
        <v>Kitos viešosios infrastruktūros modernizavimas (viešosios erdvės): visuomeninės, komercinės ir bendro naudojimo paskirties teritorijos</v>
      </c>
      <c r="M47" s="147" t="str">
        <f>MID('3 pr-2'!B49,12,2)</f>
        <v>00</v>
      </c>
      <c r="N47" s="147">
        <f>IFERROR(INDEX(Veiklos!$C$2:$C$54,MATCH(M47,Veiklos!$D$2:$D$54,0),1),"")</f>
        <v>0</v>
      </c>
      <c r="O47" s="147" t="str">
        <f>MID('3 pr-2'!B49,14,2)</f>
        <v>00</v>
      </c>
      <c r="P47" s="147">
        <f>IFERROR(INDEX(Veiklos!$C$2:$C$54,MATCH(O47,Veiklos!$D$2:$D$54,0),1),"")</f>
        <v>0</v>
      </c>
      <c r="Q47" s="147"/>
      <c r="R47" s="147"/>
      <c r="S47" s="147"/>
      <c r="T47" s="147"/>
      <c r="U47" s="349">
        <v>1</v>
      </c>
      <c r="V47" s="571">
        <f>SUM('3 pr-2'!L49)</f>
        <v>343507</v>
      </c>
      <c r="W47" s="571">
        <f>SUM('3 pr-2'!AA49)</f>
        <v>291980.95</v>
      </c>
    </row>
    <row r="48" spans="1:23" ht="46.5" customHeight="1" thickBot="1" x14ac:dyDescent="0.3">
      <c r="A48" s="328" t="s">
        <v>76</v>
      </c>
      <c r="B48" s="711"/>
      <c r="C48" s="1880" t="s">
        <v>637</v>
      </c>
      <c r="D48" s="1894"/>
      <c r="E48" s="1894"/>
      <c r="F48" s="1894"/>
      <c r="G48" s="1894"/>
      <c r="H48" s="1894"/>
      <c r="I48" s="1894"/>
      <c r="J48" s="1895"/>
      <c r="K48" s="575"/>
      <c r="L48" s="576"/>
      <c r="M48" s="577"/>
      <c r="N48" s="576"/>
      <c r="O48" s="577"/>
      <c r="P48" s="576"/>
      <c r="Q48" s="577"/>
      <c r="R48" s="576"/>
      <c r="S48" s="577"/>
      <c r="T48" s="576"/>
      <c r="U48" s="568"/>
      <c r="V48" s="569">
        <f>SUM(V49:V53)</f>
        <v>16378428.970000001</v>
      </c>
      <c r="W48" s="569">
        <f>SUM(W49:W53)</f>
        <v>8920392.5700000003</v>
      </c>
    </row>
    <row r="49" spans="1:23" ht="51.75" thickBot="1" x14ac:dyDescent="0.3">
      <c r="A49" s="147" t="str">
        <f>CONCATENATE('3 pr-2'!A51)</f>
        <v>1.1.1.5.1</v>
      </c>
      <c r="B49" s="147" t="str">
        <f>CONCATENATE('3 pr-2'!B51)</f>
        <v>R01-0014-060700-1151</v>
      </c>
      <c r="C49" s="341" t="str">
        <f>CONCATENATE('3 pr-2'!D51)</f>
        <v>Geriamojo vandens tiekimo ir nuotekų tvarkymo sistemų renovavimas ir plėtra Varėnos rajone</v>
      </c>
      <c r="D49" s="341" t="str">
        <f>CONCATENATE('3 pr-2'!E51)</f>
        <v>UAB „Varėnos vandenys“</v>
      </c>
      <c r="E49" s="341" t="str">
        <f>CONCATENATE('3 pr-2'!F51)</f>
        <v>Lietuvos Respublikos aplinkos ministerija</v>
      </c>
      <c r="F49" s="341" t="str">
        <f>CONCATENATE('3 pr-2'!G51)</f>
        <v>Varėnos r. sav.</v>
      </c>
      <c r="G49" s="147" t="str">
        <f>CONCATENATE('3 pr-2'!H51)</f>
        <v>05.3.2-APVA-R-014</v>
      </c>
      <c r="H49" s="147" t="str">
        <f>CONCATENATE('3 pr-2'!I51)</f>
        <v>R</v>
      </c>
      <c r="I49" s="147" t="str">
        <f>CONCATENATE('3 pr-2'!J51)</f>
        <v>ITI</v>
      </c>
      <c r="J49" s="147" t="str">
        <f>CONCATENATE('3 pr-2'!K51)</f>
        <v>-</v>
      </c>
      <c r="K49" s="147" t="str">
        <f>MID('3 pr-2'!B51,10,2)</f>
        <v>06</v>
      </c>
      <c r="L49" s="147" t="str">
        <f>IFERROR(INDEX(Veiklos!$C$2:$C$54,MATCH(K49,Veiklos!$D$2:$D$54,0),1),"")</f>
        <v>Vandentvarka (esamų geriamo vandens ir nuotekų tinklų modernizavimas)</v>
      </c>
      <c r="M49" s="147" t="str">
        <f>MID('3 pr-2'!B51,12,2)</f>
        <v>07</v>
      </c>
      <c r="N49" s="147" t="str">
        <f>IFERROR(INDEX(Veiklos!$C$2:$C$54,MATCH(M49,Veiklos!$D$2:$D$54,0),1),"")</f>
        <v>Vandentvarka (naujų tinklų įrengimas)</v>
      </c>
      <c r="O49" s="147" t="str">
        <f>MID('3 pr-2'!B51,14,2)</f>
        <v>00</v>
      </c>
      <c r="P49" s="147">
        <f>IFERROR(INDEX(Veiklos!$C$2:$C$54,MATCH(O49,Veiklos!$D$2:$D$54,0),1),"")</f>
        <v>0</v>
      </c>
      <c r="Q49" s="147"/>
      <c r="R49" s="147"/>
      <c r="S49" s="147"/>
      <c r="T49" s="147"/>
      <c r="U49" s="349">
        <v>1</v>
      </c>
      <c r="V49" s="571">
        <f>SUM('3 pr-2'!L51)</f>
        <v>2477103.23</v>
      </c>
      <c r="W49" s="571">
        <f>SUM('3 pr-2'!AA51)</f>
        <v>1614228.26</v>
      </c>
    </row>
    <row r="50" spans="1:23" ht="64.5" thickBot="1" x14ac:dyDescent="0.3">
      <c r="A50" s="147" t="str">
        <f>CONCATENATE('3 pr-2'!A52)</f>
        <v>1.1.1.5.2.</v>
      </c>
      <c r="B50" s="147" t="str">
        <f>CONCATENATE('3 pr-2'!B52)</f>
        <v>R01-0014-060750-1152</v>
      </c>
      <c r="C50" s="341" t="str">
        <f>CONCATENATE('3 pr-2'!D52)</f>
        <v>Geriamojo vandens ir nuotekų tvarkymo sistemų renovavimas Alytaus mieste</v>
      </c>
      <c r="D50" s="341" t="str">
        <f>CONCATENATE('3 pr-2'!E52)</f>
        <v>UAB “Dzūkijos vandenys“</v>
      </c>
      <c r="E50" s="341" t="str">
        <f>CONCATENATE('3 pr-2'!F52)</f>
        <v>Lietuvos Respublikos aplinkos ministerija</v>
      </c>
      <c r="F50" s="341" t="str">
        <f>CONCATENATE('3 pr-2'!G52)</f>
        <v>Alytaus m. sav.</v>
      </c>
      <c r="G50" s="147" t="str">
        <f>CONCATENATE('3 pr-2'!H52)</f>
        <v>05.3.2-APVA-R-014</v>
      </c>
      <c r="H50" s="147" t="str">
        <f>CONCATENATE('3 pr-2'!I52)</f>
        <v>R</v>
      </c>
      <c r="I50" s="147" t="str">
        <f>CONCATENATE('3 pr-2'!J52)</f>
        <v>ITI</v>
      </c>
      <c r="J50" s="147" t="str">
        <f>CONCATENATE('3 pr-2'!K52)</f>
        <v>-</v>
      </c>
      <c r="K50" s="147" t="str">
        <f>MID('3 pr-2'!B52,10,2)</f>
        <v>06</v>
      </c>
      <c r="L50" s="147" t="str">
        <f>IFERROR(INDEX(Veiklos!$C$2:$C$54,MATCH(K50,Veiklos!$D$2:$D$54,0),1),"")</f>
        <v>Vandentvarka (esamų geriamo vandens ir nuotekų tinklų modernizavimas)</v>
      </c>
      <c r="M50" s="147" t="str">
        <f>MID('3 pr-2'!B52,12,2)</f>
        <v>07</v>
      </c>
      <c r="N50" s="147" t="str">
        <f>IFERROR(INDEX(Veiklos!$C$2:$C$54,MATCH(M50,Veiklos!$D$2:$D$54,0),1),"")</f>
        <v>Vandentvarka (naujų tinklų įrengimas)</v>
      </c>
      <c r="O50" s="968" t="str">
        <f>MID('3 pr-2'!B52,14,2)</f>
        <v>50</v>
      </c>
      <c r="P50" s="968" t="str">
        <f>IFERROR(INDEX(Veiklos!$C$2:$C$54,MATCH(O50,Veiklos!$D$2:$D$54,0),1),"")</f>
        <v>Kita (nepriskirta kitoms grupėms) viešoji infrastruktūra ar paslaugos</v>
      </c>
      <c r="Q50" s="147"/>
      <c r="R50" s="147"/>
      <c r="S50" s="147"/>
      <c r="T50" s="147"/>
      <c r="U50" s="349">
        <v>1</v>
      </c>
      <c r="V50" s="571">
        <f>SUM('3 pr-2'!L52)</f>
        <v>5706088</v>
      </c>
      <c r="W50" s="571">
        <f>SUM('3 pr-2'!AA52)</f>
        <v>2696984.31</v>
      </c>
    </row>
    <row r="51" spans="1:23" ht="64.5" thickBot="1" x14ac:dyDescent="0.3">
      <c r="A51" s="147" t="str">
        <f>CONCATENATE('3 pr-2'!A53)</f>
        <v>1.1.1.5.3</v>
      </c>
      <c r="B51" s="147" t="str">
        <f>CONCATENATE('3 pr-2'!B53)</f>
        <v>R01-0014-070650-1153</v>
      </c>
      <c r="C51" s="341" t="str">
        <f>CONCATENATE('3 pr-2'!D53)</f>
        <v>Geriamojo vandens tiekimo ir nuotekų tvarkymo sistemų renovavimas ir plėtra Lazdijų rajono savivaldybėje</v>
      </c>
      <c r="D51" s="341" t="str">
        <f>CONCATENATE('3 pr-2'!E53)</f>
        <v>UAB „Lazdijų vanduo“</v>
      </c>
      <c r="E51" s="341" t="str">
        <f>CONCATENATE('3 pr-2'!F53)</f>
        <v>Lietuvos Respublikos aplinkos ministerija</v>
      </c>
      <c r="F51" s="341" t="str">
        <f>CONCATENATE('3 pr-2'!G53)</f>
        <v>Lazdijų r. sav.</v>
      </c>
      <c r="G51" s="147" t="str">
        <f>CONCATENATE('3 pr-2'!H53)</f>
        <v>05.3.2-APVA-R-014</v>
      </c>
      <c r="H51" s="147" t="str">
        <f>CONCATENATE('3 pr-2'!I53)</f>
        <v>R</v>
      </c>
      <c r="I51" s="147" t="str">
        <f>CONCATENATE('3 pr-2'!J53)</f>
        <v>-</v>
      </c>
      <c r="J51" s="147" t="str">
        <f>CONCATENATE('3 pr-2'!K53)</f>
        <v>-</v>
      </c>
      <c r="K51" s="147" t="str">
        <f>MID('3 pr-2'!B53,10,2)</f>
        <v>07</v>
      </c>
      <c r="L51" s="147" t="str">
        <f>IFERROR(INDEX(Veiklos!$C$2:$C$54,MATCH(K51,Veiklos!$D$2:$D$54,0),1),"")</f>
        <v>Vandentvarka (naujų tinklų įrengimas)</v>
      </c>
      <c r="M51" s="147" t="str">
        <f>MID('3 pr-2'!B53,12,2)</f>
        <v>06</v>
      </c>
      <c r="N51" s="147" t="str">
        <f>IFERROR(INDEX(Veiklos!$C$2:$C$54,MATCH(M51,Veiklos!$D$2:$D$54,0),1),"")</f>
        <v>Vandentvarka (esamų geriamo vandens ir nuotekų tinklų modernizavimas)</v>
      </c>
      <c r="O51" s="968" t="str">
        <f>MID('3 pr-2'!B53,14,2)</f>
        <v>50</v>
      </c>
      <c r="P51" s="968" t="str">
        <f>IFERROR(INDEX(Veiklos!$C$2:$C$54,MATCH(O51,Veiklos!$D$2:$D$54,0),1),"")</f>
        <v>Kita (nepriskirta kitoms grupėms) viešoji infrastruktūra ar paslaugos</v>
      </c>
      <c r="Q51" s="147"/>
      <c r="R51" s="147"/>
      <c r="S51" s="147"/>
      <c r="T51" s="147"/>
      <c r="U51" s="349">
        <v>1</v>
      </c>
      <c r="V51" s="571">
        <f>SUM('3 pr-2'!L53)</f>
        <v>1437425.74</v>
      </c>
      <c r="W51" s="571">
        <f>SUM('3 pr-2'!AA53)</f>
        <v>796102</v>
      </c>
    </row>
    <row r="52" spans="1:23" ht="51.75" thickBot="1" x14ac:dyDescent="0.3">
      <c r="A52" s="147" t="str">
        <f>CONCATENATE('3 pr-2'!A54)</f>
        <v>1.1.1.5.4.</v>
      </c>
      <c r="B52" s="147" t="str">
        <f>CONCATENATE('3 pr-2'!B54)</f>
        <v>R01-0014-060700-1154</v>
      </c>
      <c r="C52" s="341" t="str">
        <f>CONCATENATE('3 pr-2'!D54)</f>
        <v>Vandens tiekimo ir nuotekų šalinimo infrastruktūros renovavimas ir plėtra Druskininkų savivaldybėje</v>
      </c>
      <c r="D52" s="341" t="str">
        <f>CONCATENATE('3 pr-2'!E54)</f>
        <v>UAB "Druskininkų vandenys"</v>
      </c>
      <c r="E52" s="341" t="str">
        <f>CONCATENATE('3 pr-2'!F54)</f>
        <v>Lietuvos Respublikos aplinkos ministerija</v>
      </c>
      <c r="F52" s="341" t="str">
        <f>CONCATENATE('3 pr-2'!G54)</f>
        <v>Druskininkų sav.</v>
      </c>
      <c r="G52" s="147" t="str">
        <f>CONCATENATE('3 pr-2'!H54)</f>
        <v>05.3.2-APVA-R-014</v>
      </c>
      <c r="H52" s="147" t="str">
        <f>CONCATENATE('3 pr-2'!I54)</f>
        <v>R</v>
      </c>
      <c r="I52" s="147" t="str">
        <f>CONCATENATE('3 pr-2'!J54)</f>
        <v>-</v>
      </c>
      <c r="J52" s="147" t="str">
        <f>CONCATENATE('3 pr-2'!K54)</f>
        <v>-</v>
      </c>
      <c r="K52" s="147" t="str">
        <f>MID('3 pr-2'!B54,10,2)</f>
        <v>06</v>
      </c>
      <c r="L52" s="147" t="str">
        <f>IFERROR(INDEX(Veiklos!$C$2:$C$54,MATCH(K52,Veiklos!$D$2:$D$54,0),1),"")</f>
        <v>Vandentvarka (esamų geriamo vandens ir nuotekų tinklų modernizavimas)</v>
      </c>
      <c r="M52" s="147" t="str">
        <f>MID('3 pr-2'!B54,12,2)</f>
        <v>07</v>
      </c>
      <c r="N52" s="147" t="str">
        <f>IFERROR(INDEX(Veiklos!$C$2:$C$54,MATCH(M52,Veiklos!$D$2:$D$54,0),1),"")</f>
        <v>Vandentvarka (naujų tinklų įrengimas)</v>
      </c>
      <c r="O52" s="147" t="str">
        <f>MID('3 pr-2'!B54,14,2)</f>
        <v>00</v>
      </c>
      <c r="P52" s="147">
        <f>IFERROR(INDEX(Veiklos!$C$2:$C$54,MATCH(O52,Veiklos!$D$2:$D$54,0),1),"")</f>
        <v>0</v>
      </c>
      <c r="Q52" s="147"/>
      <c r="R52" s="147"/>
      <c r="S52" s="147"/>
      <c r="T52" s="147"/>
      <c r="U52" s="349">
        <v>1</v>
      </c>
      <c r="V52" s="571">
        <f>SUM('3 pr-2'!L54)</f>
        <v>5186812</v>
      </c>
      <c r="W52" s="571">
        <f>SUM('3 pr-2'!AA54)</f>
        <v>2892603</v>
      </c>
    </row>
    <row r="53" spans="1:23" ht="64.5" thickBot="1" x14ac:dyDescent="0.3">
      <c r="A53" s="147" t="str">
        <f>CONCATENATE('3 pr-2'!A55)</f>
        <v>1.1.1.5.5.</v>
      </c>
      <c r="B53" s="147" t="str">
        <f>CONCATENATE('3 pr-2'!B55)</f>
        <v>R01-0014-060750-1155</v>
      </c>
      <c r="C53" s="341" t="str">
        <f>CONCATENATE('3 pr-2'!D55)</f>
        <v>Vandens tiekimo ir nuotekų tvarkymo infrastruktūros plėtra Alytaus rajone (Krokialaukyje)</v>
      </c>
      <c r="D53" s="341" t="str">
        <f>CONCATENATE('3 pr-2'!E55)</f>
        <v>SĮ „Simno komunalininkas“</v>
      </c>
      <c r="E53" s="341" t="str">
        <f>CONCATENATE('3 pr-2'!F55)</f>
        <v>Lietuvos Respublikos aplinkos ministerija</v>
      </c>
      <c r="F53" s="341" t="str">
        <f>CONCATENATE('3 pr-2'!G55)</f>
        <v>Alytaus r. sav.</v>
      </c>
      <c r="G53" s="147" t="str">
        <f>CONCATENATE('3 pr-2'!H55)</f>
        <v>05.3.2-APVA-R-014</v>
      </c>
      <c r="H53" s="147" t="str">
        <f>CONCATENATE('3 pr-2'!I55)</f>
        <v>R</v>
      </c>
      <c r="I53" s="147" t="str">
        <f>CONCATENATE('3 pr-2'!J55)</f>
        <v>-</v>
      </c>
      <c r="J53" s="147" t="str">
        <f>CONCATENATE('3 pr-2'!K55)</f>
        <v>-</v>
      </c>
      <c r="K53" s="147" t="str">
        <f>MID('3 pr-2'!B55,10,2)</f>
        <v>06</v>
      </c>
      <c r="L53" s="147" t="str">
        <f>IFERROR(INDEX(Veiklos!$C$2:$C$54,MATCH(K53,Veiklos!$D$2:$D$54,0),1),"")</f>
        <v>Vandentvarka (esamų geriamo vandens ir nuotekų tinklų modernizavimas)</v>
      </c>
      <c r="M53" s="147" t="str">
        <f>MID('3 pr-2'!B55,12,2)</f>
        <v>07</v>
      </c>
      <c r="N53" s="147" t="str">
        <f>IFERROR(INDEX(Veiklos!$C$2:$C$54,MATCH(M53,Veiklos!$D$2:$D$54,0),1),"")</f>
        <v>Vandentvarka (naujų tinklų įrengimas)</v>
      </c>
      <c r="O53" s="147" t="str">
        <f>MID('3 pr-2'!B55,14,2)</f>
        <v>50</v>
      </c>
      <c r="P53" s="147" t="str">
        <f>IFERROR(INDEX(Veiklos!$C$2:$C$54,MATCH(O53,Veiklos!$D$2:$D$54,0),1),"")</f>
        <v>Kita (nepriskirta kitoms grupėms) viešoji infrastruktūra ar paslaugos</v>
      </c>
      <c r="Q53" s="147"/>
      <c r="R53" s="147"/>
      <c r="S53" s="147"/>
      <c r="T53" s="147"/>
      <c r="U53" s="349">
        <v>1</v>
      </c>
      <c r="V53" s="571">
        <f>SUM('3 pr-2'!L55)</f>
        <v>1571000</v>
      </c>
      <c r="W53" s="571">
        <f>SUM('3 pr-2'!AA55)</f>
        <v>920475</v>
      </c>
    </row>
    <row r="54" spans="1:23" ht="35.25" customHeight="1" thickBot="1" x14ac:dyDescent="0.3">
      <c r="A54" s="328" t="s">
        <v>79</v>
      </c>
      <c r="B54" s="711"/>
      <c r="C54" s="1906" t="s">
        <v>842</v>
      </c>
      <c r="D54" s="1894"/>
      <c r="E54" s="1894"/>
      <c r="F54" s="1894"/>
      <c r="G54" s="1894"/>
      <c r="H54" s="1894"/>
      <c r="I54" s="1894"/>
      <c r="J54" s="1895"/>
      <c r="K54" s="575"/>
      <c r="L54" s="576"/>
      <c r="M54" s="577"/>
      <c r="N54" s="576"/>
      <c r="O54" s="577"/>
      <c r="P54" s="576"/>
      <c r="Q54" s="577"/>
      <c r="R54" s="576"/>
      <c r="S54" s="577"/>
      <c r="T54" s="576"/>
      <c r="U54" s="568"/>
      <c r="V54" s="569">
        <f>SUM(V55)</f>
        <v>3999404.09</v>
      </c>
      <c r="W54" s="569">
        <f>SUM(W55)</f>
        <v>3399493.48</v>
      </c>
    </row>
    <row r="55" spans="1:23" ht="26.25" thickBot="1" x14ac:dyDescent="0.3">
      <c r="A55" s="147" t="str">
        <f>CONCATENATE('3 pr-2'!A57)</f>
        <v>1.1.1.6.1</v>
      </c>
      <c r="B55" s="147" t="str">
        <f>CONCATENATE('3 pr-2'!B57)</f>
        <v>R01-0007-080000-1161</v>
      </c>
      <c r="C55" s="147" t="str">
        <f>CONCATENATE('3 pr-2'!D57)</f>
        <v>Paviršinių nuotekų sistemų tvarkymas Alytaus mieste</v>
      </c>
      <c r="D55" s="147" t="str">
        <f>CONCATENATE('3 pr-2'!E57)</f>
        <v>UAB “Dzūkijos vandenys“</v>
      </c>
      <c r="E55" s="147" t="str">
        <f>CONCATENATE('3 pr-2'!F57)</f>
        <v>Lietuvos Respublikos aplinkos ministerija</v>
      </c>
      <c r="F55" s="147" t="str">
        <f>CONCATENATE('3 pr-2'!G57)</f>
        <v>Alytaus m. sav.</v>
      </c>
      <c r="G55" s="147" t="str">
        <f>CONCATENATE('3 pr-2'!H57)</f>
        <v>05.1.1-APVA-R-007</v>
      </c>
      <c r="H55" s="147" t="str">
        <f>CONCATENATE('3 pr-2'!I57)</f>
        <v>R</v>
      </c>
      <c r="I55" s="147" t="str">
        <f>CONCATENATE('3 pr-2'!J57)</f>
        <v>-</v>
      </c>
      <c r="J55" s="147" t="str">
        <f>CONCATENATE('3 pr-2'!K57)</f>
        <v xml:space="preserve"> -</v>
      </c>
      <c r="K55" s="147" t="str">
        <f>MID('3 pr-2'!B57,10,2)</f>
        <v>08</v>
      </c>
      <c r="L55" s="147" t="str">
        <f>IFERROR(INDEX(Veiklos!$C$2:$C$54,MATCH(K55,Veiklos!$D$2:$D$54,0),1),"")</f>
        <v>Lietaus nuotekų sistemų modernizavimas ir plėtra</v>
      </c>
      <c r="M55" s="147" t="str">
        <f>MID('3 pr-2'!B57,12,2)</f>
        <v>00</v>
      </c>
      <c r="N55" s="147">
        <f>IFERROR(INDEX(Veiklos!$C$2:$C$54,MATCH(M55,Veiklos!$D$2:$D$54,0),1),"")</f>
        <v>0</v>
      </c>
      <c r="O55" s="147" t="str">
        <f>MID('3 pr-2'!B57,14,2)</f>
        <v>00</v>
      </c>
      <c r="P55" s="147">
        <f>IFERROR(INDEX(Veiklos!$C$2:$C$54,MATCH(O55,Veiklos!$D$2:$D$54,0),1),"")</f>
        <v>0</v>
      </c>
      <c r="Q55" s="147"/>
      <c r="R55" s="147"/>
      <c r="S55" s="147"/>
      <c r="T55" s="147"/>
      <c r="U55" s="349">
        <v>1</v>
      </c>
      <c r="V55" s="571">
        <f>SUM('3 pr-2'!L57)</f>
        <v>3999404.09</v>
      </c>
      <c r="W55" s="571">
        <f>SUM('3 pr-2'!AA57)</f>
        <v>3399493.48</v>
      </c>
    </row>
    <row r="56" spans="1:23" ht="48" customHeight="1" thickBot="1" x14ac:dyDescent="0.3">
      <c r="A56" s="328" t="s">
        <v>81</v>
      </c>
      <c r="B56" s="711"/>
      <c r="C56" s="1880" t="s">
        <v>843</v>
      </c>
      <c r="D56" s="1894"/>
      <c r="E56" s="1894"/>
      <c r="F56" s="1894"/>
      <c r="G56" s="1894"/>
      <c r="H56" s="1894"/>
      <c r="I56" s="1894"/>
      <c r="J56" s="1895"/>
      <c r="K56" s="575"/>
      <c r="L56" s="576"/>
      <c r="M56" s="577"/>
      <c r="N56" s="576"/>
      <c r="O56" s="577"/>
      <c r="P56" s="576"/>
      <c r="Q56" s="577"/>
      <c r="R56" s="576"/>
      <c r="S56" s="577"/>
      <c r="T56" s="576"/>
      <c r="U56" s="578"/>
      <c r="V56" s="579">
        <f>SUM(V57:V59)</f>
        <v>719317.64705882361</v>
      </c>
      <c r="W56" s="579">
        <f>SUM(W57:W59)</f>
        <v>611420</v>
      </c>
    </row>
    <row r="57" spans="1:23" ht="39" thickBot="1" x14ac:dyDescent="0.3">
      <c r="A57" s="147" t="str">
        <f>CONCATENATE('3 pr-2'!A59)</f>
        <v>1.1.1.7.1</v>
      </c>
      <c r="B57" s="147" t="str">
        <f>CONCATENATE('3 pr-2'!B59)</f>
        <v>R01-8821-420000-1171</v>
      </c>
      <c r="C57" s="341" t="str">
        <f>CONCATENATE('3 pr-2'!D59)</f>
        <v>Alytaus regiono turizmo informacinės infrastruktūros plėtra</v>
      </c>
      <c r="D57" s="341" t="str">
        <f>CONCATENATE('3 pr-2'!E59)</f>
        <v>Alytaus miesto savivaldybės administracija</v>
      </c>
      <c r="E57" s="341" t="str">
        <f>CONCATENATE('3 pr-2'!F59)</f>
        <v>Lietuvos Respublikos ūkio ministerija</v>
      </c>
      <c r="F57" s="341" t="str">
        <f>CONCATENATE('3 pr-2'!G59)</f>
        <v>Alytaus m. sav.</v>
      </c>
      <c r="G57" s="147" t="str">
        <f>CONCATENATE('3 pr-2'!H59)</f>
        <v>05.4.1-LVPA-R-821</v>
      </c>
      <c r="H57" s="147" t="str">
        <f>CONCATENATE('3 pr-2'!I59)</f>
        <v>R</v>
      </c>
      <c r="I57" s="147" t="str">
        <f>CONCATENATE('3 pr-2'!J59)</f>
        <v>-</v>
      </c>
      <c r="J57" s="147" t="str">
        <f>CONCATENATE('3 pr-2'!K59)</f>
        <v>-</v>
      </c>
      <c r="K57" s="147" t="str">
        <f>MID('3 pr-2'!B59,10,2)</f>
        <v>42</v>
      </c>
      <c r="L57" s="147" t="str">
        <f>IFERROR(INDEX(Veiklos!$C$2:$C$54,MATCH(K57,Veiklos!$D$2:$D$54,0),1),"")</f>
        <v>Viešoji turizmo infrastruktūra</v>
      </c>
      <c r="M57" s="147" t="str">
        <f>MID('3 pr-2'!B59,12,2)</f>
        <v>00</v>
      </c>
      <c r="N57" s="147">
        <f>IFERROR(INDEX(Veiklos!$C$2:$C$54,MATCH(M57,Veiklos!$D$2:$D$54,0),1),"")</f>
        <v>0</v>
      </c>
      <c r="O57" s="147" t="str">
        <f>MID('3 pr-2'!B59,14,2)</f>
        <v>00</v>
      </c>
      <c r="P57" s="147">
        <f>IFERROR(INDEX(Veiklos!$C$2:$C$54,MATCH(O57,Veiklos!$D$2:$D$54,0),1),"")</f>
        <v>0</v>
      </c>
      <c r="Q57" s="147"/>
      <c r="R57" s="147"/>
      <c r="S57" s="147"/>
      <c r="T57" s="147"/>
      <c r="U57" s="349">
        <v>1</v>
      </c>
      <c r="V57" s="571">
        <f>SUM('3 pr-2'!L59)</f>
        <v>208223.52941176473</v>
      </c>
      <c r="W57" s="571">
        <f>SUM('3 pr-2'!AA59)</f>
        <v>176990</v>
      </c>
    </row>
    <row r="58" spans="1:23" ht="64.5" thickBot="1" x14ac:dyDescent="0.3">
      <c r="A58" s="147" t="str">
        <f>CONCATENATE('3 pr-2'!A60)</f>
        <v>1.1.1.7.2</v>
      </c>
      <c r="B58" s="147" t="str">
        <f>CONCATENATE('3 pr-2'!B60)</f>
        <v>R01-8821-420000-1172</v>
      </c>
      <c r="C58" s="341" t="str">
        <f>CONCATENATE('3 pr-2'!D60)</f>
        <v>„Turizmo trasų ir maršrutų informacinės infrastruktūros plėtra  Lazdijų, Varėnos rajonų ir Druskininkų savivaldybėse“</v>
      </c>
      <c r="D58" s="341" t="str">
        <f>CONCATENATE('3 pr-2'!E60)</f>
        <v>Lazdijų rajono savivaldybės administracija</v>
      </c>
      <c r="E58" s="341" t="str">
        <f>CONCATENATE('3 pr-2'!F60)</f>
        <v>Lietuvos Respublikos ūkio ministerija</v>
      </c>
      <c r="F58" s="341" t="str">
        <f>CONCATENATE('3 pr-2'!G60)</f>
        <v xml:space="preserve">Lazdijų, Varėnos rajonų ir Druskininkų savivaldybės </v>
      </c>
      <c r="G58" s="147" t="str">
        <f>CONCATENATE('3 pr-2'!H60)</f>
        <v>05.4.1-LVPA-R-821</v>
      </c>
      <c r="H58" s="147" t="str">
        <f>CONCATENATE('3 pr-2'!I60)</f>
        <v>R</v>
      </c>
      <c r="I58" s="147" t="str">
        <f>CONCATENATE('3 pr-2'!J60)</f>
        <v>-</v>
      </c>
      <c r="J58" s="147" t="str">
        <f>CONCATENATE('3 pr-2'!K60)</f>
        <v>-</v>
      </c>
      <c r="K58" s="147" t="str">
        <f>MID('3 pr-2'!B60,10,2)</f>
        <v>42</v>
      </c>
      <c r="L58" s="147" t="str">
        <f>IFERROR(INDEX(Veiklos!$C$2:$C$54,MATCH(K58,Veiklos!$D$2:$D$54,0),1),"")</f>
        <v>Viešoji turizmo infrastruktūra</v>
      </c>
      <c r="M58" s="147" t="str">
        <f>MID('3 pr-2'!B60,12,2)</f>
        <v>00</v>
      </c>
      <c r="N58" s="147">
        <f>IFERROR(INDEX(Veiklos!$C$2:$C$54,MATCH(M58,Veiklos!$D$2:$D$54,0),1),"")</f>
        <v>0</v>
      </c>
      <c r="O58" s="147" t="str">
        <f>MID('3 pr-2'!B60,14,2)</f>
        <v>00</v>
      </c>
      <c r="P58" s="147">
        <f>IFERROR(INDEX(Veiklos!$C$2:$C$54,MATCH(O58,Veiklos!$D$2:$D$54,0),1),"")</f>
        <v>0</v>
      </c>
      <c r="Q58" s="147"/>
      <c r="R58" s="147"/>
      <c r="S58" s="147"/>
      <c r="T58" s="147"/>
      <c r="U58" s="349">
        <v>1</v>
      </c>
      <c r="V58" s="571">
        <f>SUM('3 pr-2'!L60)</f>
        <v>288106</v>
      </c>
      <c r="W58" s="571">
        <f>SUM('3 pr-2'!AA60)</f>
        <v>244890.1</v>
      </c>
    </row>
    <row r="59" spans="1:23" ht="64.5" thickBot="1" x14ac:dyDescent="0.3">
      <c r="A59" s="147" t="str">
        <f>CONCATENATE('3 pr-2'!A61)</f>
        <v>1.1.1.7.3</v>
      </c>
      <c r="B59" s="147" t="str">
        <f>CONCATENATE('3 pr-2'!B61)</f>
        <v>R01-8821-420000-1173</v>
      </c>
      <c r="C59" s="341" t="str">
        <f>CONCATENATE('3 pr-2'!D61)</f>
        <v>„Turizmo trasų ir maršrutų informacinės infrastruktūros plėtra  Lazdijų, Varėnos rajonų ir Druskininkų savivaldybėse II etapas“</v>
      </c>
      <c r="D59" s="341" t="str">
        <f>CONCATENATE('3 pr-2'!E61)</f>
        <v>Lazdijų rajono savivaldybės administracija</v>
      </c>
      <c r="E59" s="341" t="str">
        <f>CONCATENATE('3 pr-2'!F61)</f>
        <v>Lietuvos Respublikos ūkio ministerija</v>
      </c>
      <c r="F59" s="341" t="str">
        <f>CONCATENATE('3 pr-2'!G61)</f>
        <v xml:space="preserve">Lazdijų, Varėnos rajonų ir Druskininkų savivaldybės </v>
      </c>
      <c r="G59" s="147" t="str">
        <f>CONCATENATE('3 pr-2'!H61)</f>
        <v>05.4.1-LVPA-R-821</v>
      </c>
      <c r="H59" s="147" t="str">
        <f>CONCATENATE('3 pr-2'!I61)</f>
        <v>R</v>
      </c>
      <c r="I59" s="147" t="str">
        <f>CONCATENATE('3 pr-2'!J61)</f>
        <v>-</v>
      </c>
      <c r="J59" s="147" t="str">
        <f>CONCATENATE('3 pr-2'!K61)</f>
        <v>-</v>
      </c>
      <c r="K59" s="147" t="str">
        <f>MID('3 pr-2'!B61,10,2)</f>
        <v>42</v>
      </c>
      <c r="L59" s="147" t="str">
        <f>IFERROR(INDEX(Veiklos!$C$2:$C$54,MATCH(K59,Veiklos!$D$2:$D$54,0),1),"")</f>
        <v>Viešoji turizmo infrastruktūra</v>
      </c>
      <c r="M59" s="147" t="str">
        <f>MID('3 pr-2'!B61,12,2)</f>
        <v>00</v>
      </c>
      <c r="N59" s="147">
        <f>IFERROR(INDEX(Veiklos!$C$2:$C$54,MATCH(M59,Veiklos!$D$2:$D$54,0),1),"")</f>
        <v>0</v>
      </c>
      <c r="O59" s="147" t="str">
        <f>MID('3 pr-2'!B61,14,2)</f>
        <v>00</v>
      </c>
      <c r="P59" s="147">
        <f>IFERROR(INDEX(Veiklos!$C$2:$C$54,MATCH(O59,Veiklos!$D$2:$D$54,0),1),"")</f>
        <v>0</v>
      </c>
      <c r="Q59" s="147"/>
      <c r="R59" s="147"/>
      <c r="S59" s="147"/>
      <c r="T59" s="147"/>
      <c r="U59" s="349">
        <v>1</v>
      </c>
      <c r="V59" s="571">
        <f>SUM('3 pr-2'!L61)</f>
        <v>222988.11764705885</v>
      </c>
      <c r="W59" s="571">
        <f>SUM('3 pr-2'!AA61)</f>
        <v>189539.9</v>
      </c>
    </row>
    <row r="60" spans="1:23" ht="35.25" customHeight="1" thickBot="1" x14ac:dyDescent="0.3">
      <c r="A60" s="580" t="s">
        <v>84</v>
      </c>
      <c r="B60" s="713"/>
      <c r="C60" s="1880" t="s">
        <v>838</v>
      </c>
      <c r="D60" s="1894"/>
      <c r="E60" s="1894"/>
      <c r="F60" s="1894"/>
      <c r="G60" s="1894"/>
      <c r="H60" s="1894"/>
      <c r="I60" s="1894"/>
      <c r="J60" s="1895"/>
      <c r="K60" s="581"/>
      <c r="L60" s="582"/>
      <c r="M60" s="583"/>
      <c r="N60" s="582"/>
      <c r="O60" s="583"/>
      <c r="P60" s="582"/>
      <c r="Q60" s="583"/>
      <c r="R60" s="582"/>
      <c r="S60" s="583"/>
      <c r="T60" s="582"/>
      <c r="U60" s="584"/>
      <c r="V60" s="579">
        <f>SUM(V61:V64)</f>
        <v>1972835.5100000002</v>
      </c>
      <c r="W60" s="579">
        <f>SUM(W61:W64)</f>
        <v>1198163.7</v>
      </c>
    </row>
    <row r="61" spans="1:23" ht="39" thickBot="1" x14ac:dyDescent="0.3">
      <c r="A61" s="147" t="str">
        <f>CONCATENATE('3 pr-2'!A63)</f>
        <v>1.1.1.8.1</v>
      </c>
      <c r="B61" s="147" t="str">
        <f>CONCATENATE('3 pr-2'!B63)</f>
        <v>R01-3305-330000-1181</v>
      </c>
      <c r="C61" s="341" t="str">
        <f>CONCATENATE('3 pr-2'!D63)</f>
        <v>Kultūros įstaigų infrastruktūros modernizavimas Varėnos mieste</v>
      </c>
      <c r="D61" s="341" t="str">
        <f>CONCATENATE('3 pr-2'!E63)</f>
        <v>Varėnos rajono savivaldybės administracija</v>
      </c>
      <c r="E61" s="341" t="str">
        <f>CONCATENATE('3 pr-2'!F63)</f>
        <v>Lietuvos Respublikos kultūros ministerija</v>
      </c>
      <c r="F61" s="341" t="str">
        <f>CONCATENATE('3 pr-2'!G63)</f>
        <v>Varėnos r. sav.</v>
      </c>
      <c r="G61" s="147" t="str">
        <f>CONCATENATE('3 pr-2'!H63)</f>
        <v>07.1.1-CPVA-R-305</v>
      </c>
      <c r="H61" s="147" t="str">
        <f>CONCATENATE('3 pr-2'!I63)</f>
        <v>R</v>
      </c>
      <c r="I61" s="147" t="str">
        <f>CONCATENATE('3 pr-2'!J63)</f>
        <v>ITI</v>
      </c>
      <c r="J61" s="147" t="str">
        <f>CONCATENATE('3 pr-2'!K63)</f>
        <v>-</v>
      </c>
      <c r="K61" s="147" t="str">
        <f>MID('3 pr-2'!B63,10,2)</f>
        <v>33</v>
      </c>
      <c r="L61" s="147" t="str">
        <f>IFERROR(INDEX(Veiklos!$C$2:$C$54,MATCH(K61,Veiklos!$D$2:$D$54,0),1),"")</f>
        <v>Kitos viešosios infrastruktūros modernizavimas (pastatai ir statiniai): kultūros objektai</v>
      </c>
      <c r="M61" s="147" t="str">
        <f>MID('3 pr-2'!B63,12,2)</f>
        <v>00</v>
      </c>
      <c r="N61" s="147">
        <f>IFERROR(INDEX(Veiklos!$C$2:$C$54,MATCH(M61,Veiklos!$D$2:$D$54,0),1),"")</f>
        <v>0</v>
      </c>
      <c r="O61" s="147" t="str">
        <f>MID('3 pr-2'!B63,14,2)</f>
        <v>00</v>
      </c>
      <c r="P61" s="147">
        <f>IFERROR(INDEX(Veiklos!$C$2:$C$54,MATCH(O61,Veiklos!$D$2:$D$54,0),1),"")</f>
        <v>0</v>
      </c>
      <c r="Q61" s="147"/>
      <c r="R61" s="147"/>
      <c r="S61" s="147"/>
      <c r="T61" s="147"/>
      <c r="U61" s="349">
        <v>1</v>
      </c>
      <c r="V61" s="571">
        <f>SUM('3 pr-2'!L63)</f>
        <v>352401</v>
      </c>
      <c r="W61" s="571">
        <f>SUM('3 pr-2'!AA63)</f>
        <v>299540.84999999998</v>
      </c>
    </row>
    <row r="62" spans="1:23" s="25" customFormat="1" ht="51.75" thickBot="1" x14ac:dyDescent="0.3">
      <c r="A62" s="147" t="str">
        <f>CONCATENATE('3 pr-2'!A64)</f>
        <v>1.1.1.8.2</v>
      </c>
      <c r="B62" s="147" t="str">
        <f>CONCATENATE('3 pr-2'!B64)</f>
        <v>R01-3305-330000-1182</v>
      </c>
      <c r="C62" s="341" t="str">
        <f>CONCATENATE('3 pr-2'!D64)</f>
        <v>VšĮ Alytaus kultūros ir komunikacijos centro pastato Alytuje, Pramonės g. 1B, rekonstravimas</v>
      </c>
      <c r="D62" s="341" t="str">
        <f>CONCATENATE('3 pr-2'!E64)</f>
        <v>Alytaus miesto savivaldybės administracija</v>
      </c>
      <c r="E62" s="341" t="str">
        <f>CONCATENATE('3 pr-2'!F64)</f>
        <v>Lietuvos Respublikos kultūros ministerija</v>
      </c>
      <c r="F62" s="341" t="str">
        <f>CONCATENATE('3 pr-2'!G64)</f>
        <v>Alytaus m. sav.</v>
      </c>
      <c r="G62" s="147" t="str">
        <f>CONCATENATE('3 pr-2'!H64)</f>
        <v>07.1.1-CPVA-R-305</v>
      </c>
      <c r="H62" s="147" t="str">
        <f>CONCATENATE('3 pr-2'!I64)</f>
        <v>R</v>
      </c>
      <c r="I62" s="147" t="str">
        <f>CONCATENATE('3 pr-2'!J64)</f>
        <v>ITI</v>
      </c>
      <c r="J62" s="147" t="str">
        <f>CONCATENATE('3 pr-2'!K64)</f>
        <v>-</v>
      </c>
      <c r="K62" s="147" t="str">
        <f>MID('3 pr-2'!B64,10,2)</f>
        <v>33</v>
      </c>
      <c r="L62" s="147" t="str">
        <f>IFERROR(INDEX(Veiklos!$C$2:$C$54,MATCH(K62,Veiklos!$D$2:$D$54,0),1),"")</f>
        <v>Kitos viešosios infrastruktūros modernizavimas (pastatai ir statiniai): kultūros objektai</v>
      </c>
      <c r="M62" s="147" t="str">
        <f>MID('3 pr-2'!B64,12,2)</f>
        <v>00</v>
      </c>
      <c r="N62" s="147">
        <f>IFERROR(INDEX(Veiklos!$C$2:$C$54,MATCH(M62,Veiklos!$D$2:$D$54,0),1),"")</f>
        <v>0</v>
      </c>
      <c r="O62" s="147" t="str">
        <f>MID('3 pr-2'!B64,14,2)</f>
        <v>00</v>
      </c>
      <c r="P62" s="147">
        <f>IFERROR(INDEX(Veiklos!$C$2:$C$54,MATCH(O62,Veiklos!$D$2:$D$54,0),1),"")</f>
        <v>0</v>
      </c>
      <c r="Q62" s="147"/>
      <c r="R62" s="147"/>
      <c r="S62" s="147"/>
      <c r="T62" s="147"/>
      <c r="U62" s="349">
        <v>1</v>
      </c>
      <c r="V62" s="571">
        <f>SUM('3 pr-2'!L64)</f>
        <v>783264.16</v>
      </c>
      <c r="W62" s="571">
        <f>SUM('3 pr-2'!AA64)</f>
        <v>299541</v>
      </c>
    </row>
    <row r="63" spans="1:23" s="25" customFormat="1" ht="51.75" thickBot="1" x14ac:dyDescent="0.3">
      <c r="A63" s="147" t="str">
        <f>CONCATENATE('3 pr-2'!A65)</f>
        <v>1.1.1.8.3</v>
      </c>
      <c r="B63" s="147" t="str">
        <f>CONCATENATE('3 pr-2'!B65)</f>
        <v>R01-3305-330000-1183</v>
      </c>
      <c r="C63" s="341" t="str">
        <f>CONCATENATE('3 pr-2'!D65)</f>
        <v>Druskininkų kultūros centro lauko scenos, Vilniaus al. 24, Druskininkai, modernizavimas ir pritaikymas kultūros  poreikiams</v>
      </c>
      <c r="D63" s="341" t="str">
        <f>CONCATENATE('3 pr-2'!E65)</f>
        <v xml:space="preserve">Druskininkų savivaldybės administracija  </v>
      </c>
      <c r="E63" s="341" t="str">
        <f>CONCATENATE('3 pr-2'!F65)</f>
        <v>Lietuvos Respublikos kultūros ministerija</v>
      </c>
      <c r="F63" s="341" t="str">
        <f>CONCATENATE('3 pr-2'!G65)</f>
        <v>Druskininkų sav.</v>
      </c>
      <c r="G63" s="147" t="str">
        <f>CONCATENATE('3 pr-2'!H65)</f>
        <v>07.1.1-CPVA-R-305</v>
      </c>
      <c r="H63" s="147" t="str">
        <f>CONCATENATE('3 pr-2'!I65)</f>
        <v>R</v>
      </c>
      <c r="I63" s="147" t="str">
        <f>CONCATENATE('3 pr-2'!J65)</f>
        <v>ITI</v>
      </c>
      <c r="J63" s="147" t="str">
        <f>CONCATENATE('3 pr-2'!K65)</f>
        <v>-</v>
      </c>
      <c r="K63" s="147" t="str">
        <f>MID('3 pr-2'!B65,10,2)</f>
        <v>33</v>
      </c>
      <c r="L63" s="147" t="str">
        <f>IFERROR(INDEX(Veiklos!$C$2:$C$54,MATCH(K63,Veiklos!$D$2:$D$54,0),1),"")</f>
        <v>Kitos viešosios infrastruktūros modernizavimas (pastatai ir statiniai): kultūros objektai</v>
      </c>
      <c r="M63" s="147" t="str">
        <f>MID('3 pr-2'!B65,12,2)</f>
        <v>00</v>
      </c>
      <c r="N63" s="147">
        <f>IFERROR(INDEX(Veiklos!$C$2:$C$54,MATCH(M63,Veiklos!$D$2:$D$54,0),1),"")</f>
        <v>0</v>
      </c>
      <c r="O63" s="147" t="str">
        <f>MID('3 pr-2'!B65,14,2)</f>
        <v>00</v>
      </c>
      <c r="P63" s="147">
        <f>IFERROR(INDEX(Veiklos!$C$2:$C$54,MATCH(O63,Veiklos!$D$2:$D$54,0),1),"")</f>
        <v>0</v>
      </c>
      <c r="Q63" s="147"/>
      <c r="R63" s="147"/>
      <c r="S63" s="147"/>
      <c r="T63" s="147"/>
      <c r="U63" s="349">
        <v>1</v>
      </c>
      <c r="V63" s="571">
        <f>SUM('3 pr-2'!L65)</f>
        <v>352401</v>
      </c>
      <c r="W63" s="571">
        <f>SUM('3 pr-2'!AA65)</f>
        <v>299540.84999999998</v>
      </c>
    </row>
    <row r="64" spans="1:23" s="25" customFormat="1" ht="51.75" thickBot="1" x14ac:dyDescent="0.3">
      <c r="A64" s="147" t="str">
        <f>CONCATENATE('3 pr-2'!A66)</f>
        <v>1.1.1.8.4</v>
      </c>
      <c r="B64" s="147" t="str">
        <f>CONCATENATE('3 pr-2'!B66)</f>
        <v>R01-3305-330200-1184</v>
      </c>
      <c r="C64" s="341" t="str">
        <f>CONCATENATE('3 pr-2'!D66)</f>
        <v>Pastato rekonstrukcija ir pritaikymas kultūrinėms, muziejinėms ir edukacinėms reikmėms</v>
      </c>
      <c r="D64" s="341" t="str">
        <f>CONCATENATE('3 pr-2'!E66)</f>
        <v>Lazdijų rajono savivaldybės administracija</v>
      </c>
      <c r="E64" s="341" t="str">
        <f>CONCATENATE('3 pr-2'!F66)</f>
        <v>Lietuvos Respublikos kultūros ministerija</v>
      </c>
      <c r="F64" s="341" t="str">
        <f>CONCATENATE('3 pr-2'!G66)</f>
        <v>Lazdijų r. sav.</v>
      </c>
      <c r="G64" s="147" t="str">
        <f>CONCATENATE('3 pr-2'!H66)</f>
        <v>07.1.1-CPVA-R-305</v>
      </c>
      <c r="H64" s="147" t="str">
        <f>CONCATENATE('3 pr-2'!I66)</f>
        <v>R</v>
      </c>
      <c r="I64" s="147" t="str">
        <f>CONCATENATE('3 pr-2'!J66)</f>
        <v>ITI</v>
      </c>
      <c r="J64" s="147" t="str">
        <f>CONCATENATE('3 pr-2'!K66)</f>
        <v>-</v>
      </c>
      <c r="K64" s="147" t="str">
        <f>MID('3 pr-2'!B66,10,2)</f>
        <v>33</v>
      </c>
      <c r="L64" s="147" t="str">
        <f>IFERROR(INDEX(Veiklos!$C$2:$C$54,MATCH(K64,Veiklos!$D$2:$D$54,0),1),"")</f>
        <v>Kitos viešosios infrastruktūros modernizavimas (pastatai ir statiniai): kultūros objektai</v>
      </c>
      <c r="M64" s="147" t="str">
        <f>MID('3 pr-2'!B66,12,2)</f>
        <v>02</v>
      </c>
      <c r="N64" s="147" t="str">
        <f>IFERROR(INDEX(Veiklos!$C$2:$C$54,MATCH(M64,Veiklos!$D$2:$D$54,0),1),"")</f>
        <v>Viešųjų pastatų energinio efektyvumo didinimas</v>
      </c>
      <c r="O64" s="147" t="str">
        <f>MID('3 pr-2'!B66,14,2)</f>
        <v>00</v>
      </c>
      <c r="P64" s="147">
        <f>IFERROR(INDEX(Veiklos!$C$2:$C$54,MATCH(O64,Veiklos!$D$2:$D$54,0),1),"")</f>
        <v>0</v>
      </c>
      <c r="Q64" s="147"/>
      <c r="R64" s="147"/>
      <c r="S64" s="147"/>
      <c r="T64" s="147"/>
      <c r="U64" s="349">
        <v>1</v>
      </c>
      <c r="V64" s="571">
        <f>SUM('3 pr-2'!L66)</f>
        <v>484769.35</v>
      </c>
      <c r="W64" s="571">
        <f>SUM('3 pr-2'!AA66)</f>
        <v>299541</v>
      </c>
    </row>
    <row r="65" spans="1:24" ht="39" customHeight="1" thickBot="1" x14ac:dyDescent="0.3">
      <c r="A65" s="328" t="s">
        <v>86</v>
      </c>
      <c r="B65" s="713"/>
      <c r="C65" s="1885" t="s">
        <v>837</v>
      </c>
      <c r="D65" s="1894"/>
      <c r="E65" s="1894"/>
      <c r="F65" s="1894"/>
      <c r="G65" s="1894"/>
      <c r="H65" s="1894"/>
      <c r="I65" s="1894"/>
      <c r="J65" s="1895"/>
      <c r="K65" s="581"/>
      <c r="L65" s="582"/>
      <c r="M65" s="583"/>
      <c r="N65" s="582"/>
      <c r="O65" s="583"/>
      <c r="P65" s="582"/>
      <c r="Q65" s="583"/>
      <c r="R65" s="582"/>
      <c r="S65" s="583"/>
      <c r="T65" s="582"/>
      <c r="U65" s="584"/>
      <c r="V65" s="579">
        <f>SUM(V66:V70)</f>
        <v>1487190.57</v>
      </c>
      <c r="W65" s="579">
        <f>SUM(W66:W70)</f>
        <v>1030280</v>
      </c>
    </row>
    <row r="66" spans="1:24" ht="51.75" thickBot="1" x14ac:dyDescent="0.3">
      <c r="A66" s="147" t="str">
        <f>CONCATENATE('3 pr-2'!A68)</f>
        <v>1.1.1.9.1</v>
      </c>
      <c r="B66" s="147" t="str">
        <f>CONCATENATE('3 pr-2'!B68)</f>
        <v>R01-3302-440000-1191</v>
      </c>
      <c r="C66" s="341" t="str">
        <f>CONCATENATE('3 pr-2'!D68)</f>
        <v>Buvusios sinagogos pastato Kauno g. 9A Alytuje rekonstravimas ir aplinkinės teritorijos sutvarkymas</v>
      </c>
      <c r="D66" s="341" t="str">
        <f>CONCATENATE('3 pr-2'!E68)</f>
        <v>Alytaus miesto savivaldybės administracija</v>
      </c>
      <c r="E66" s="341" t="str">
        <f>CONCATENATE('3 pr-2'!F68)</f>
        <v>Lietuvos Respublikos kultūros ministerija</v>
      </c>
      <c r="F66" s="341" t="str">
        <f>CONCATENATE('3 pr-2'!G68)</f>
        <v>Alytaus m. sav.</v>
      </c>
      <c r="G66" s="147" t="str">
        <f>CONCATENATE('3 pr-2'!H68)</f>
        <v>05.4.1-CPVA-R-302</v>
      </c>
      <c r="H66" s="147" t="str">
        <f>CONCATENATE('3 pr-2'!I68)</f>
        <v>R</v>
      </c>
      <c r="I66" s="147" t="str">
        <f>CONCATENATE('3 pr-2'!J68)</f>
        <v>ITI</v>
      </c>
      <c r="J66" s="147" t="str">
        <f>CONCATENATE('3 pr-2'!K68)</f>
        <v xml:space="preserve"> -</v>
      </c>
      <c r="K66" s="147" t="str">
        <f>MID('3 pr-2'!B68,10,2)</f>
        <v>44</v>
      </c>
      <c r="L66" s="147" t="str">
        <f>IFERROR(INDEX(Veiklos!$C$2:$C$54,MATCH(K66,Veiklos!$D$2:$D$54,0),1),"")</f>
        <v>Kultūros paveldo objektų sutvarkymas ir pritaikymas</v>
      </c>
      <c r="M66" s="147" t="str">
        <f>MID('3 pr-2'!B68,12,2)</f>
        <v>00</v>
      </c>
      <c r="N66" s="147">
        <f>IFERROR(INDEX(Veiklos!$C$2:$C$54,MATCH(M66,Veiklos!$D$2:$D$54,0),1),"")</f>
        <v>0</v>
      </c>
      <c r="O66" s="147" t="str">
        <f>MID('3 pr-2'!B68,14,2)</f>
        <v>00</v>
      </c>
      <c r="P66" s="147">
        <f>IFERROR(INDEX(Veiklos!$C$2:$C$54,MATCH(O66,Veiklos!$D$2:$D$54,0),1),"")</f>
        <v>0</v>
      </c>
      <c r="Q66" s="147"/>
      <c r="R66" s="147"/>
      <c r="S66" s="147"/>
      <c r="T66" s="147"/>
      <c r="U66" s="349">
        <v>1</v>
      </c>
      <c r="V66" s="571">
        <f>SUM('3 pr-2'!L68)</f>
        <v>444560.16000000003</v>
      </c>
      <c r="W66" s="571">
        <f>SUM('3 pr-2'!AA68)</f>
        <v>206056</v>
      </c>
    </row>
    <row r="67" spans="1:24" s="25" customFormat="1" ht="51.75" thickBot="1" x14ac:dyDescent="0.3">
      <c r="A67" s="147" t="str">
        <f>CONCATENATE('3 pr-2'!A69)</f>
        <v>1.1.1.9.2</v>
      </c>
      <c r="B67" s="147" t="str">
        <f>CONCATENATE('3 pr-2'!B69)</f>
        <v>R01-3302-440000-1192</v>
      </c>
      <c r="C67" s="341" t="str">
        <f>CONCATENATE('3 pr-2'!D69)</f>
        <v>Mažosios dailės galerijos, M.K.Čiurlionio g. 37, Druskininkai, modernizavimas ir pritaikymas kultūros poreikiams</v>
      </c>
      <c r="D67" s="341" t="str">
        <f>CONCATENATE('3 pr-2'!E69)</f>
        <v xml:space="preserve">Druskininkų savivaldybės administracija  </v>
      </c>
      <c r="E67" s="341" t="str">
        <f>CONCATENATE('3 pr-2'!F69)</f>
        <v>Lietuvos Respublikos kultūros ministerija</v>
      </c>
      <c r="F67" s="341" t="str">
        <f>CONCATENATE('3 pr-2'!G69)</f>
        <v>Druskininkų sav.</v>
      </c>
      <c r="G67" s="147" t="str">
        <f>CONCATENATE('3 pr-2'!H69)</f>
        <v>05.4.1-CPVA-R-302</v>
      </c>
      <c r="H67" s="147" t="str">
        <f>CONCATENATE('3 pr-2'!I69)</f>
        <v>R</v>
      </c>
      <c r="I67" s="147" t="str">
        <f>CONCATENATE('3 pr-2'!J69)</f>
        <v>-</v>
      </c>
      <c r="J67" s="147" t="str">
        <f>CONCATENATE('3 pr-2'!K69)</f>
        <v/>
      </c>
      <c r="K67" s="147" t="str">
        <f>MID('3 pr-2'!B69,10,2)</f>
        <v>44</v>
      </c>
      <c r="L67" s="147" t="str">
        <f>IFERROR(INDEX(Veiklos!$C$2:$C$54,MATCH(K67,Veiklos!$D$2:$D$54,0),1),"")</f>
        <v>Kultūros paveldo objektų sutvarkymas ir pritaikymas</v>
      </c>
      <c r="M67" s="147" t="str">
        <f>MID('3 pr-2'!B69,12,2)</f>
        <v>00</v>
      </c>
      <c r="N67" s="147">
        <f>IFERROR(INDEX(Veiklos!$C$2:$C$54,MATCH(M67,Veiklos!$D$2:$D$54,0),1),"")</f>
        <v>0</v>
      </c>
      <c r="O67" s="147" t="str">
        <f>MID('3 pr-2'!B69,14,2)</f>
        <v>00</v>
      </c>
      <c r="P67" s="147">
        <f>IFERROR(INDEX(Veiklos!$C$2:$C$54,MATCH(O67,Veiklos!$D$2:$D$54,0),1),"")</f>
        <v>0</v>
      </c>
      <c r="Q67" s="147"/>
      <c r="R67" s="147"/>
      <c r="S67" s="147"/>
      <c r="T67" s="147"/>
      <c r="U67" s="349">
        <v>1</v>
      </c>
      <c r="V67" s="571">
        <f>SUM('3 pr-2'!L69)</f>
        <v>297670.41000000003</v>
      </c>
      <c r="W67" s="571">
        <f>SUM('3 pr-2'!AA69)</f>
        <v>206056</v>
      </c>
    </row>
    <row r="68" spans="1:24" s="25" customFormat="1" ht="39" thickBot="1" x14ac:dyDescent="0.3">
      <c r="A68" s="147" t="str">
        <f>CONCATENATE('3 pr-2'!A70)</f>
        <v>1.1.1.9.3</v>
      </c>
      <c r="B68" s="147" t="str">
        <f>CONCATENATE('3 pr-2'!B70)</f>
        <v>R01-3302-440200-1193</v>
      </c>
      <c r="C68" s="341" t="str">
        <f>CONCATENATE('3 pr-2'!D70)</f>
        <v>Motiejaus  Gustaičio  memorialinio  namo  kompleksinis sutvarkymas</v>
      </c>
      <c r="D68" s="341" t="str">
        <f>CONCATENATE('3 pr-2'!E70)</f>
        <v>Lazdijų rajono savivaldybės administracija</v>
      </c>
      <c r="E68" s="341" t="str">
        <f>CONCATENATE('3 pr-2'!F70)</f>
        <v>Lietuvos Respublikos kultūros ministerija</v>
      </c>
      <c r="F68" s="341" t="str">
        <f>CONCATENATE('3 pr-2'!G70)</f>
        <v>Lazdijų r. sav.</v>
      </c>
      <c r="G68" s="147" t="str">
        <f>CONCATENATE('3 pr-2'!H70)</f>
        <v>05.4.1-CPVA-R-302</v>
      </c>
      <c r="H68" s="147" t="str">
        <f>CONCATENATE('3 pr-2'!I70)</f>
        <v>R</v>
      </c>
      <c r="I68" s="147" t="str">
        <f>CONCATENATE('3 pr-2'!J70)</f>
        <v>ITI</v>
      </c>
      <c r="J68" s="147" t="str">
        <f>CONCATENATE('3 pr-2'!K70)</f>
        <v>-</v>
      </c>
      <c r="K68" s="147" t="str">
        <f>MID('3 pr-2'!B70,10,2)</f>
        <v>44</v>
      </c>
      <c r="L68" s="147" t="str">
        <f>IFERROR(INDEX(Veiklos!$C$2:$C$54,MATCH(K68,Veiklos!$D$2:$D$54,0),1),"")</f>
        <v>Kultūros paveldo objektų sutvarkymas ir pritaikymas</v>
      </c>
      <c r="M68" s="147" t="str">
        <f>MID('3 pr-2'!B70,12,2)</f>
        <v>02</v>
      </c>
      <c r="N68" s="147" t="str">
        <f>IFERROR(INDEX(Veiklos!$C$2:$C$54,MATCH(M68,Veiklos!$D$2:$D$54,0),1),"")</f>
        <v>Viešųjų pastatų energinio efektyvumo didinimas</v>
      </c>
      <c r="O68" s="147" t="str">
        <f>MID('3 pr-2'!B70,14,2)</f>
        <v>00</v>
      </c>
      <c r="P68" s="147">
        <f>IFERROR(INDEX(Veiklos!$C$2:$C$54,MATCH(O68,Veiklos!$D$2:$D$54,0),1),"")</f>
        <v>0</v>
      </c>
      <c r="Q68" s="147"/>
      <c r="R68" s="147"/>
      <c r="S68" s="147"/>
      <c r="T68" s="147"/>
      <c r="U68" s="349">
        <v>1</v>
      </c>
      <c r="V68" s="571">
        <f>SUM('3 pr-2'!L70)</f>
        <v>242419</v>
      </c>
      <c r="W68" s="571">
        <f>SUM('3 pr-2'!AA70)</f>
        <v>206056</v>
      </c>
    </row>
    <row r="69" spans="1:24" s="25" customFormat="1" ht="39" thickBot="1" x14ac:dyDescent="0.3">
      <c r="A69" s="147" t="str">
        <f>CONCATENATE('3 pr-2'!A71)</f>
        <v>1.1.1.9.4</v>
      </c>
      <c r="B69" s="147" t="str">
        <f>CONCATENATE('3 pr-2'!B71)</f>
        <v>R01-3302-440000-1194</v>
      </c>
      <c r="C69" s="341" t="str">
        <f>CONCATENATE('3 pr-2'!D71)</f>
        <v>Kurnėnų Lauryno Radziukyno mokyklos pritaikymas kultūrinėms ir turistinėms reikmėms</v>
      </c>
      <c r="D69" s="341" t="str">
        <f>CONCATENATE('3 pr-2'!E71)</f>
        <v>Alytaus rajono savivaldybės administracija</v>
      </c>
      <c r="E69" s="341" t="str">
        <f>CONCATENATE('3 pr-2'!F71)</f>
        <v>Lietuvos Respublikos kultūros ministerija</v>
      </c>
      <c r="F69" s="341" t="str">
        <f>CONCATENATE('3 pr-2'!G71)</f>
        <v>Alytaus r. sav.</v>
      </c>
      <c r="G69" s="147" t="str">
        <f>CONCATENATE('3 pr-2'!H71)</f>
        <v>05.4.1-CPVA-R-302</v>
      </c>
      <c r="H69" s="147" t="str">
        <f>CONCATENATE('3 pr-2'!I71)</f>
        <v>R</v>
      </c>
      <c r="I69" s="147" t="str">
        <f>CONCATENATE('3 pr-2'!J71)</f>
        <v>-</v>
      </c>
      <c r="J69" s="147" t="str">
        <f>CONCATENATE('3 pr-2'!K71)</f>
        <v>-</v>
      </c>
      <c r="K69" s="147" t="str">
        <f>MID('3 pr-2'!B71,10,2)</f>
        <v>44</v>
      </c>
      <c r="L69" s="147" t="str">
        <f>IFERROR(INDEX(Veiklos!$C$2:$C$54,MATCH(K69,Veiklos!$D$2:$D$54,0),1),"")</f>
        <v>Kultūros paveldo objektų sutvarkymas ir pritaikymas</v>
      </c>
      <c r="M69" s="147" t="str">
        <f>MID('3 pr-2'!B71,12,2)</f>
        <v>00</v>
      </c>
      <c r="N69" s="147">
        <f>IFERROR(INDEX(Veiklos!$C$2:$C$54,MATCH(M69,Veiklos!$D$2:$D$54,0),1),"")</f>
        <v>0</v>
      </c>
      <c r="O69" s="147" t="str">
        <f>MID('3 pr-2'!B71,14,2)</f>
        <v>00</v>
      </c>
      <c r="P69" s="147">
        <f>IFERROR(INDEX(Veiklos!$C$2:$C$54,MATCH(O69,Veiklos!$D$2:$D$54,0),1),"")</f>
        <v>0</v>
      </c>
      <c r="Q69" s="147"/>
      <c r="R69" s="147"/>
      <c r="S69" s="147"/>
      <c r="T69" s="147"/>
      <c r="U69" s="349">
        <v>1</v>
      </c>
      <c r="V69" s="571">
        <f>SUM('3 pr-2'!L71)</f>
        <v>260122</v>
      </c>
      <c r="W69" s="571">
        <f>SUM('3 pr-2'!AA71)</f>
        <v>206056</v>
      </c>
    </row>
    <row r="70" spans="1:24" ht="39" thickBot="1" x14ac:dyDescent="0.3">
      <c r="A70" s="147" t="str">
        <f>CONCATENATE('3 pr-2'!A72)</f>
        <v>1.1.1.9.5</v>
      </c>
      <c r="B70" s="147" t="str">
        <f>CONCATENATE('3 pr-2'!B72)</f>
        <v>R01-3302-440000-1195</v>
      </c>
      <c r="C70" s="341" t="str">
        <f>CONCATENATE('3 pr-2'!D72)</f>
        <v>Vinco Krėvės-Mickevičiaus memorialinio muziejaus atnaujinimas</v>
      </c>
      <c r="D70" s="341" t="str">
        <f>CONCATENATE('3 pr-2'!E72)</f>
        <v>Varėnos rajono savivaldybės administracija</v>
      </c>
      <c r="E70" s="341" t="str">
        <f>CONCATENATE('3 pr-2'!F72)</f>
        <v>Lietuvos Respublikos kultūros ministerija</v>
      </c>
      <c r="F70" s="341" t="str">
        <f>CONCATENATE('3 pr-2'!G72)</f>
        <v>Varėnos r. sav.</v>
      </c>
      <c r="G70" s="147" t="str">
        <f>CONCATENATE('3 pr-2'!H72)</f>
        <v>05.4.1-CPVA-R-302</v>
      </c>
      <c r="H70" s="147" t="str">
        <f>CONCATENATE('3 pr-2'!I72)</f>
        <v>R</v>
      </c>
      <c r="I70" s="147" t="str">
        <f>CONCATENATE('3 pr-2'!J72)</f>
        <v>-</v>
      </c>
      <c r="J70" s="147" t="str">
        <f>CONCATENATE('3 pr-2'!K72)</f>
        <v>-</v>
      </c>
      <c r="K70" s="147" t="str">
        <f>MID('3 pr-2'!B72,10,2)</f>
        <v>44</v>
      </c>
      <c r="L70" s="147" t="str">
        <f>IFERROR(INDEX(Veiklos!$C$2:$C$54,MATCH(K70,Veiklos!$D$2:$D$54,0),1),"")</f>
        <v>Kultūros paveldo objektų sutvarkymas ir pritaikymas</v>
      </c>
      <c r="M70" s="147" t="str">
        <f>MID('3 pr-2'!B72,12,2)</f>
        <v>00</v>
      </c>
      <c r="N70" s="147">
        <f>IFERROR(INDEX(Veiklos!$C$2:$C$54,MATCH(M70,Veiklos!$D$2:$D$54,0),1),"")</f>
        <v>0</v>
      </c>
      <c r="O70" s="147" t="str">
        <f>MID('3 pr-2'!B72,14,2)</f>
        <v>00</v>
      </c>
      <c r="P70" s="147">
        <f>IFERROR(INDEX(Veiklos!$C$2:$C$54,MATCH(O70,Veiklos!$D$2:$D$54,0),1),"")</f>
        <v>0</v>
      </c>
      <c r="Q70" s="147"/>
      <c r="R70" s="147"/>
      <c r="S70" s="147"/>
      <c r="T70" s="147"/>
      <c r="U70" s="349">
        <v>1</v>
      </c>
      <c r="V70" s="571">
        <f>SUM('3 pr-2'!L72)</f>
        <v>242419</v>
      </c>
      <c r="W70" s="571">
        <f>SUM('3 pr-2'!AA72)</f>
        <v>206056</v>
      </c>
    </row>
    <row r="71" spans="1:24" ht="60.75" customHeight="1" thickBot="1" x14ac:dyDescent="0.3">
      <c r="A71" s="151" t="s">
        <v>22</v>
      </c>
      <c r="B71" s="714"/>
      <c r="C71" s="1877" t="s">
        <v>621</v>
      </c>
      <c r="D71" s="1892"/>
      <c r="E71" s="1892"/>
      <c r="F71" s="1892"/>
      <c r="G71" s="1892"/>
      <c r="H71" s="1892"/>
      <c r="I71" s="1892"/>
      <c r="J71" s="1893"/>
      <c r="K71" s="561"/>
      <c r="L71" s="562"/>
      <c r="M71" s="563"/>
      <c r="N71" s="562"/>
      <c r="O71" s="563"/>
      <c r="P71" s="562"/>
      <c r="Q71" s="563"/>
      <c r="R71" s="562"/>
      <c r="S71" s="563"/>
      <c r="T71" s="562"/>
      <c r="U71" s="562"/>
      <c r="V71" s="585"/>
      <c r="W71" s="586"/>
    </row>
    <row r="72" spans="1:24" ht="39" customHeight="1" thickBot="1" x14ac:dyDescent="0.3">
      <c r="A72" s="328" t="s">
        <v>88</v>
      </c>
      <c r="B72" s="711"/>
      <c r="C72" s="1880" t="s">
        <v>844</v>
      </c>
      <c r="D72" s="1894"/>
      <c r="E72" s="1894"/>
      <c r="F72" s="1894"/>
      <c r="G72" s="1894"/>
      <c r="H72" s="1894"/>
      <c r="I72" s="1894"/>
      <c r="J72" s="1895"/>
      <c r="K72" s="581"/>
      <c r="L72" s="582"/>
      <c r="M72" s="583"/>
      <c r="N72" s="582"/>
      <c r="O72" s="583"/>
      <c r="P72" s="582"/>
      <c r="Q72" s="583"/>
      <c r="R72" s="582"/>
      <c r="S72" s="583"/>
      <c r="T72" s="582"/>
      <c r="U72" s="584"/>
      <c r="V72" s="579">
        <f>SUM(V73:V76)</f>
        <v>1835210</v>
      </c>
      <c r="W72" s="579">
        <f>SUM(W73:W76)</f>
        <v>1263272</v>
      </c>
    </row>
    <row r="73" spans="1:24" ht="39" thickBot="1" x14ac:dyDescent="0.3">
      <c r="A73" s="147" t="str">
        <f>CONCATENATE('3 pr-2'!A75)</f>
        <v>1.1.2.1.1</v>
      </c>
      <c r="B73" s="147" t="str">
        <f>CONCATENATE('3 pr-2'!B75)</f>
        <v>R01-5518-100000-1211</v>
      </c>
      <c r="C73" s="341" t="str">
        <f>CONCATENATE('3 pr-2'!D75)</f>
        <v xml:space="preserve">Nekenksmingų aplinkai viešojo transporto priemonių įsigijimas Alytaus mieste </v>
      </c>
      <c r="D73" s="341" t="str">
        <f>CONCATENATE('3 pr-2'!E75)</f>
        <v>Alytaus miesto savivaldybės administracija</v>
      </c>
      <c r="E73" s="341" t="str">
        <f>CONCATENATE('3 pr-2'!F75)</f>
        <v>Lietuvos Respublikos susisiekimo ministerija</v>
      </c>
      <c r="F73" s="341" t="str">
        <f>CONCATENATE('3 pr-2'!G75)</f>
        <v>Alytaus m. sav.</v>
      </c>
      <c r="G73" s="147" t="str">
        <f>CONCATENATE('3 pr-2'!H75)</f>
        <v>04.5.1-TID-R-518</v>
      </c>
      <c r="H73" s="147" t="str">
        <f>CONCATENATE('3 pr-2'!I75)</f>
        <v>R</v>
      </c>
      <c r="I73" s="147" t="str">
        <f>CONCATENATE('3 pr-2'!J75)</f>
        <v>ITI</v>
      </c>
      <c r="J73" s="147" t="str">
        <f>CONCATENATE('3 pr-2'!K75)</f>
        <v>-</v>
      </c>
      <c r="K73" s="147" t="str">
        <f>MID('3 pr-2'!B75,10,2)</f>
        <v>10</v>
      </c>
      <c r="L73" s="147" t="str">
        <f>IFERROR(INDEX(Veiklos!$C$2:$C$54,MATCH(K73,Veiklos!$D$2:$D$54,0),1),"")</f>
        <v>Viešojo transporto priemonių įsigijimas</v>
      </c>
      <c r="M73" s="147" t="str">
        <f>MID('3 pr-2'!B75,12,2)</f>
        <v>00</v>
      </c>
      <c r="N73" s="147">
        <f>IFERROR(INDEX(Veiklos!$C$2:$C$54,MATCH(M73,Veiklos!$D$2:$D$54,0),1),"")</f>
        <v>0</v>
      </c>
      <c r="O73" s="147" t="str">
        <f>MID('3 pr-2'!B75,14,2)</f>
        <v>00</v>
      </c>
      <c r="P73" s="147">
        <f>IFERROR(INDEX(Veiklos!$C$2:$C$54,MATCH(O73,Veiklos!$D$2:$D$54,0),1),"")</f>
        <v>0</v>
      </c>
      <c r="Q73" s="147"/>
      <c r="R73" s="147"/>
      <c r="S73" s="147"/>
      <c r="T73" s="147"/>
      <c r="U73" s="349">
        <v>1</v>
      </c>
      <c r="V73" s="571">
        <f>SUM('3 pr-2'!L75)</f>
        <v>406091</v>
      </c>
      <c r="W73" s="571">
        <f>SUM('3 pr-2'!AA75)</f>
        <v>345177</v>
      </c>
    </row>
    <row r="74" spans="1:24" ht="39" thickBot="1" x14ac:dyDescent="0.3">
      <c r="A74" s="147" t="str">
        <f>CONCATENATE('3 pr-2'!A76)</f>
        <v>1.1.2.1.2</v>
      </c>
      <c r="B74" s="147" t="str">
        <f>CONCATENATE('3 pr-2'!B76)</f>
        <v>R01-5518-100000-1212</v>
      </c>
      <c r="C74" s="341" t="str">
        <f>CONCATENATE('3 pr-2'!D76)</f>
        <v>Vietinio susisiekimo transporto priemonių įsigijimas</v>
      </c>
      <c r="D74" s="341" t="str">
        <f>CONCATENATE('3 pr-2'!E76)</f>
        <v>Alytaus rajono savivaldybės administracija</v>
      </c>
      <c r="E74" s="341" t="str">
        <f>CONCATENATE('3 pr-2'!F76)</f>
        <v>Lietuvos Respublikos susisiekimo ministerija</v>
      </c>
      <c r="F74" s="341" t="str">
        <f>CONCATENATE('3 pr-2'!G76)</f>
        <v>Alytaus r. sav.</v>
      </c>
      <c r="G74" s="147" t="str">
        <f>CONCATENATE('3 pr-2'!H76)</f>
        <v>04.5.1-TID-R-518</v>
      </c>
      <c r="H74" s="147" t="str">
        <f>CONCATENATE('3 pr-2'!I76)</f>
        <v>R</v>
      </c>
      <c r="I74" s="147" t="str">
        <f>CONCATENATE('3 pr-2'!J76)</f>
        <v>-</v>
      </c>
      <c r="J74" s="147" t="str">
        <f>CONCATENATE('3 pr-2'!K76)</f>
        <v>-</v>
      </c>
      <c r="K74" s="147" t="str">
        <f>MID('3 pr-2'!B76,10,2)</f>
        <v>10</v>
      </c>
      <c r="L74" s="147" t="str">
        <f>IFERROR(INDEX(Veiklos!$C$2:$C$54,MATCH(K74,Veiklos!$D$2:$D$54,0),1),"")</f>
        <v>Viešojo transporto priemonių įsigijimas</v>
      </c>
      <c r="M74" s="147" t="str">
        <f>MID('3 pr-2'!B76,12,2)</f>
        <v>00</v>
      </c>
      <c r="N74" s="147">
        <f>IFERROR(INDEX(Veiklos!$C$2:$C$54,MATCH(M74,Veiklos!$D$2:$D$54,0),1),"")</f>
        <v>0</v>
      </c>
      <c r="O74" s="147" t="str">
        <f>MID('3 pr-2'!B76,14,2)</f>
        <v>00</v>
      </c>
      <c r="P74" s="147">
        <f>IFERROR(INDEX(Veiklos!$C$2:$C$54,MATCH(O74,Veiklos!$D$2:$D$54,0),1),"")</f>
        <v>0</v>
      </c>
      <c r="Q74" s="147"/>
      <c r="R74" s="147"/>
      <c r="S74" s="147"/>
      <c r="T74" s="147"/>
      <c r="U74" s="349">
        <v>1</v>
      </c>
      <c r="V74" s="571">
        <f>SUM('3 pr-2'!L76)</f>
        <v>326175</v>
      </c>
      <c r="W74" s="571">
        <f>SUM('3 pr-2'!AA76)</f>
        <v>277249</v>
      </c>
    </row>
    <row r="75" spans="1:24" ht="39" thickBot="1" x14ac:dyDescent="0.3">
      <c r="A75" s="147" t="str">
        <f>CONCATENATE('3 pr-2'!A77)</f>
        <v>1.1.2.1.3</v>
      </c>
      <c r="B75" s="147" t="str">
        <f>CONCATENATE('3 pr-2'!B77)</f>
        <v>R01-5518-100000-1213</v>
      </c>
      <c r="C75" s="341" t="str">
        <f>CONCATENATE('3 pr-2'!D77)</f>
        <v>Ekologiškų transporto priemonių įsigijimas Druskininkų savivaldybėje</v>
      </c>
      <c r="D75" s="341" t="str">
        <f>CONCATENATE('3 pr-2'!E77)</f>
        <v xml:space="preserve">Druskininkų savivaldybės administracija  </v>
      </c>
      <c r="E75" s="341" t="str">
        <f>CONCATENATE('3 pr-2'!F77)</f>
        <v>Lietuvos Respublikos susisiekimo ministerija</v>
      </c>
      <c r="F75" s="341" t="str">
        <f>CONCATENATE('3 pr-2'!G77)</f>
        <v>Druskininkų sav.</v>
      </c>
      <c r="G75" s="147" t="str">
        <f>CONCATENATE('3 pr-2'!H77)</f>
        <v>04.5.1-TID-R-518</v>
      </c>
      <c r="H75" s="147" t="str">
        <f>CONCATENATE('3 pr-2'!I77)</f>
        <v>R</v>
      </c>
      <c r="I75" s="147" t="str">
        <f>CONCATENATE('3 pr-2'!J77)</f>
        <v>-</v>
      </c>
      <c r="J75" s="147" t="str">
        <f>CONCATENATE('3 pr-2'!K77)</f>
        <v>-</v>
      </c>
      <c r="K75" s="147" t="str">
        <f>MID('3 pr-2'!B77,10,2)</f>
        <v>10</v>
      </c>
      <c r="L75" s="147" t="str">
        <f>IFERROR(INDEX(Veiklos!$C$2:$C$54,MATCH(K75,Veiklos!$D$2:$D$54,0),1),"")</f>
        <v>Viešojo transporto priemonių įsigijimas</v>
      </c>
      <c r="M75" s="147" t="str">
        <f>MID('3 pr-2'!B77,12,2)</f>
        <v>00</v>
      </c>
      <c r="N75" s="147">
        <f>IFERROR(INDEX(Veiklos!$C$2:$C$54,MATCH(M75,Veiklos!$D$2:$D$54,0),1),"")</f>
        <v>0</v>
      </c>
      <c r="O75" s="147" t="str">
        <f>MID('3 pr-2'!B77,14,2)</f>
        <v>00</v>
      </c>
      <c r="P75" s="147">
        <f>IFERROR(INDEX(Veiklos!$C$2:$C$54,MATCH(O75,Veiklos!$D$2:$D$54,0),1),"")</f>
        <v>0</v>
      </c>
      <c r="Q75" s="147"/>
      <c r="R75" s="147"/>
      <c r="S75" s="147"/>
      <c r="T75" s="147"/>
      <c r="U75" s="349">
        <v>1</v>
      </c>
      <c r="V75" s="571">
        <f>SUM('3 pr-2'!L77)</f>
        <v>840240</v>
      </c>
      <c r="W75" s="571">
        <f>SUM('3 pr-2'!AA77)</f>
        <v>417548</v>
      </c>
    </row>
    <row r="76" spans="1:24" ht="39" thickBot="1" x14ac:dyDescent="0.3">
      <c r="A76" s="147" t="str">
        <f>CONCATENATE('3 pr-2'!A78)</f>
        <v>1.1.2.1.4</v>
      </c>
      <c r="B76" s="147" t="str">
        <f>CONCATENATE('3 pr-2'!B78)</f>
        <v>R01-5518-100000-1214</v>
      </c>
      <c r="C76" s="341" t="str">
        <f>CONCATENATE('3 pr-2'!D78)</f>
        <v>Ekologiškų transporto priemonių įsigijimas  Lazdijų rajono savivaldybėje</v>
      </c>
      <c r="D76" s="341" t="str">
        <f>CONCATENATE('3 pr-2'!E78)</f>
        <v>Lazdijų rajono savivaldybės administracija</v>
      </c>
      <c r="E76" s="341" t="str">
        <f>CONCATENATE('3 pr-2'!F78)</f>
        <v>Lietuvos Respublikos susisiekimo ministerija</v>
      </c>
      <c r="F76" s="341" t="str">
        <f>CONCATENATE('3 pr-2'!G78)</f>
        <v>Lazdijų r. sav.</v>
      </c>
      <c r="G76" s="147" t="str">
        <f>CONCATENATE('3 pr-2'!H78)</f>
        <v>04.5.1-TID-R-518</v>
      </c>
      <c r="H76" s="147" t="str">
        <f>CONCATENATE('3 pr-2'!I78)</f>
        <v>R</v>
      </c>
      <c r="I76" s="147" t="str">
        <f>CONCATENATE('3 pr-2'!J78)</f>
        <v>-</v>
      </c>
      <c r="J76" s="147" t="str">
        <f>CONCATENATE('3 pr-2'!K78)</f>
        <v>-</v>
      </c>
      <c r="K76" s="147" t="str">
        <f>MID('3 pr-2'!B78,10,2)</f>
        <v>10</v>
      </c>
      <c r="L76" s="147" t="str">
        <f>IFERROR(INDEX(Veiklos!$C$2:$C$54,MATCH(K76,Veiklos!$D$2:$D$54,0),1),"")</f>
        <v>Viešojo transporto priemonių įsigijimas</v>
      </c>
      <c r="M76" s="147" t="str">
        <f>MID('3 pr-2'!B78,12,2)</f>
        <v>00</v>
      </c>
      <c r="N76" s="147">
        <f>IFERROR(INDEX(Veiklos!$C$2:$C$54,MATCH(M76,Veiklos!$D$2:$D$54,0),1),"")</f>
        <v>0</v>
      </c>
      <c r="O76" s="147" t="str">
        <f>MID('3 pr-2'!B78,14,2)</f>
        <v>00</v>
      </c>
      <c r="P76" s="147">
        <f>IFERROR(INDEX(Veiklos!$C$2:$C$54,MATCH(O76,Veiklos!$D$2:$D$54,0),1),"")</f>
        <v>0</v>
      </c>
      <c r="Q76" s="147"/>
      <c r="R76" s="147"/>
      <c r="S76" s="147"/>
      <c r="T76" s="147"/>
      <c r="U76" s="349">
        <v>1</v>
      </c>
      <c r="V76" s="571">
        <f>SUM('3 pr-2'!L78)</f>
        <v>262704</v>
      </c>
      <c r="W76" s="571">
        <f>SUM('3 pr-2'!AA78)</f>
        <v>223298</v>
      </c>
    </row>
    <row r="77" spans="1:24" ht="40.5" customHeight="1" thickBot="1" x14ac:dyDescent="0.3">
      <c r="A77" s="328" t="s">
        <v>90</v>
      </c>
      <c r="B77" s="711"/>
      <c r="C77" s="1885" t="s">
        <v>836</v>
      </c>
      <c r="D77" s="1883"/>
      <c r="E77" s="1883"/>
      <c r="F77" s="1883"/>
      <c r="G77" s="1883"/>
      <c r="H77" s="1883"/>
      <c r="I77" s="1883"/>
      <c r="J77" s="1884"/>
      <c r="K77" s="581"/>
      <c r="L77" s="582"/>
      <c r="M77" s="583"/>
      <c r="N77" s="582"/>
      <c r="O77" s="583"/>
      <c r="P77" s="582"/>
      <c r="Q77" s="583"/>
      <c r="R77" s="582"/>
      <c r="S77" s="583"/>
      <c r="T77" s="582"/>
      <c r="U77" s="584"/>
      <c r="V77" s="579">
        <f>SUM(V78:V83)</f>
        <v>1894943.24</v>
      </c>
      <c r="W77" s="579">
        <f>SUM(W78:W83)</f>
        <v>1610702.1</v>
      </c>
    </row>
    <row r="78" spans="1:24" ht="77.25" thickBot="1" x14ac:dyDescent="0.3">
      <c r="A78" s="147" t="str">
        <f>CONCATENATE('3 pr-2'!A80)</f>
        <v>1.1.2.2.1</v>
      </c>
      <c r="B78" s="147" t="str">
        <f>CONCATENATE('3 pr-2'!B80)</f>
        <v>R01-5514-190000-1221</v>
      </c>
      <c r="C78" s="341" t="str">
        <f>CONCATENATE('3 pr-2'!D80)</f>
        <v>Darnaus judumo priemonių diegimas Alytaus mieste</v>
      </c>
      <c r="D78" s="341" t="str">
        <f>CONCATENATE('3 pr-2'!E80)</f>
        <v>Alytaus miesto savivaldybės administracija</v>
      </c>
      <c r="E78" s="341" t="str">
        <f>CONCATENATE('3 pr-2'!F80)</f>
        <v>Lietuvos Respublikos susisiekimo ministerija</v>
      </c>
      <c r="F78" s="341" t="str">
        <f>CONCATENATE('3 pr-2'!G80)</f>
        <v>Alytaus m. sav.</v>
      </c>
      <c r="G78" s="147" t="str">
        <f>CONCATENATE('3 pr-2'!H80)</f>
        <v>04.5.1.-TID-R-514</v>
      </c>
      <c r="H78" s="147" t="str">
        <f>CONCATENATE('3 pr-2'!I80)</f>
        <v>R</v>
      </c>
      <c r="I78" s="147" t="str">
        <f>CONCATENATE('3 pr-2'!J80)</f>
        <v>ITI</v>
      </c>
      <c r="J78" s="147"/>
      <c r="K78" s="147" t="str">
        <f>MID('3 pr-2'!B80,10,2)</f>
        <v>19</v>
      </c>
      <c r="L78" s="147" t="str">
        <f>IFERROR(INDEX(Veiklos!$C$2:$C$54,MATCH(K78,Veiklos!$D$2:$D$54,0),1),"")</f>
        <v>Darnaus judumo priemonės miestuose (pėsčiųjų ir dviračių takų infrastruktūra, Park and Ride, Bike and Ride aikštelės, elektromobilių įkrovimo stotelių įrengimas ir kita)</v>
      </c>
      <c r="M78" s="147" t="str">
        <f>MID('3 pr-2'!B80,12,2)</f>
        <v>00</v>
      </c>
      <c r="N78" s="147">
        <f>IFERROR(INDEX(Veiklos!$C$2:$C$54,MATCH(M78,Veiklos!$D$2:$D$54,0),1),"")</f>
        <v>0</v>
      </c>
      <c r="O78" s="147" t="str">
        <f>MID('3 pr-2'!B80,14,2)</f>
        <v>00</v>
      </c>
      <c r="P78" s="147">
        <f>IFERROR(INDEX(Veiklos!$C$2:$C$54,MATCH(O78,Veiklos!$D$2:$D$54,0),1),"")</f>
        <v>0</v>
      </c>
      <c r="Q78" s="147"/>
      <c r="R78" s="147"/>
      <c r="S78" s="147"/>
      <c r="T78" s="147"/>
      <c r="U78" s="349">
        <v>1</v>
      </c>
      <c r="V78" s="571">
        <f>SUM('3 pr-2'!L80)</f>
        <v>1143469</v>
      </c>
      <c r="W78" s="571">
        <f>SUM('3 pr-2'!AA80)</f>
        <v>971949</v>
      </c>
      <c r="X78" s="69"/>
    </row>
    <row r="79" spans="1:24" ht="77.25" thickBot="1" x14ac:dyDescent="0.3">
      <c r="A79" s="147" t="str">
        <f>CONCATENATE('3 pr-2'!A81)</f>
        <v>1.1.2.2.2</v>
      </c>
      <c r="B79" s="147" t="str">
        <f>CONCATENATE('3 pr-2'!B81)</f>
        <v>R01-5514-190000-1222</v>
      </c>
      <c r="C79" s="341" t="str">
        <f>CONCATENATE('3 pr-2'!D81)</f>
        <v>Alytaus miesto darnaus judumo plano parengimas</v>
      </c>
      <c r="D79" s="341" t="str">
        <f>CONCATENATE('3 pr-2'!E81)</f>
        <v>Alytaus miesto savivaldybės administracija</v>
      </c>
      <c r="E79" s="341" t="str">
        <f>CONCATENATE('3 pr-2'!F81)</f>
        <v>Lietuvos Respublikos susisiekimo ministerija</v>
      </c>
      <c r="F79" s="341" t="str">
        <f>CONCATENATE('3 pr-2'!G81)</f>
        <v>Alytaus m. sav.</v>
      </c>
      <c r="G79" s="147" t="str">
        <f>CONCATENATE('3 pr-2'!H81)</f>
        <v>04.5.1-TID-V-513</v>
      </c>
      <c r="H79" s="147" t="str">
        <f>CONCATENATE('3 pr-2'!I81)</f>
        <v>V</v>
      </c>
      <c r="I79" s="147" t="str">
        <f>CONCATENATE('3 pr-2'!J81)</f>
        <v>ITI</v>
      </c>
      <c r="J79" s="147"/>
      <c r="K79" s="147" t="str">
        <f>MID('3 pr-2'!B81,10,2)</f>
        <v>19</v>
      </c>
      <c r="L79" s="147" t="str">
        <f>IFERROR(INDEX(Veiklos!$C$2:$C$54,MATCH(K79,Veiklos!$D$2:$D$54,0),1),"")</f>
        <v>Darnaus judumo priemonės miestuose (pėsčiųjų ir dviračių takų infrastruktūra, Park and Ride, Bike and Ride aikštelės, elektromobilių įkrovimo stotelių įrengimas ir kita)</v>
      </c>
      <c r="M79" s="147" t="str">
        <f>MID('3 pr-2'!B81,12,2)</f>
        <v>00</v>
      </c>
      <c r="N79" s="147">
        <f>IFERROR(INDEX(Veiklos!$C$2:$C$54,MATCH(M79,Veiklos!$D$2:$D$54,0),1),"")</f>
        <v>0</v>
      </c>
      <c r="O79" s="147" t="str">
        <f>MID('3 pr-2'!B81,14,2)</f>
        <v>00</v>
      </c>
      <c r="P79" s="147">
        <f>IFERROR(INDEX(Veiklos!$C$2:$C$54,MATCH(O79,Veiklos!$D$2:$D$54,0),1),"")</f>
        <v>0</v>
      </c>
      <c r="Q79" s="147"/>
      <c r="R79" s="147"/>
      <c r="S79" s="147"/>
      <c r="T79" s="147"/>
      <c r="U79" s="349">
        <v>1</v>
      </c>
      <c r="V79" s="571">
        <f>SUM('3 pr-2'!L81)</f>
        <v>33638</v>
      </c>
      <c r="W79" s="571">
        <f>SUM('3 pr-2'!AA81)</f>
        <v>28592.3</v>
      </c>
    </row>
    <row r="80" spans="1:24" ht="77.25" thickBot="1" x14ac:dyDescent="0.3">
      <c r="A80" s="147" t="str">
        <f>CONCATENATE('3 pr-2'!A82)</f>
        <v>1.1.2.2.3</v>
      </c>
      <c r="B80" s="147" t="str">
        <f>CONCATENATE('3 pr-2'!B82)</f>
        <v>R01-5514-191800-1223</v>
      </c>
      <c r="C80" s="341" t="str">
        <f>CONCATENATE('3 pr-2'!D82)</f>
        <v>Intelektinių transporto sistemų diegimas Druskininkuose</v>
      </c>
      <c r="D80" s="341" t="str">
        <f>CONCATENATE('3 pr-2'!E82)</f>
        <v>Druskininkų savivaldybės administracija</v>
      </c>
      <c r="E80" s="341" t="str">
        <f>CONCATENATE('3 pr-2'!F82)</f>
        <v>Lietuvos Respublikos susisiekimo ministerija</v>
      </c>
      <c r="F80" s="341" t="str">
        <f>CONCATENATE('3 pr-2'!G82)</f>
        <v>Druskininkų sav.</v>
      </c>
      <c r="G80" s="147" t="str">
        <f>CONCATENATE('3 pr-2'!H82)</f>
        <v>04.5.1.-TID-R-514</v>
      </c>
      <c r="H80" s="147" t="str">
        <f>CONCATENATE('3 pr-2'!I82)</f>
        <v>R</v>
      </c>
      <c r="I80" s="147" t="str">
        <f>CONCATENATE('3 pr-2'!J82)</f>
        <v>-</v>
      </c>
      <c r="J80" s="147"/>
      <c r="K80" s="147" t="str">
        <f>MID('3 pr-2'!B82,10,2)</f>
        <v>19</v>
      </c>
      <c r="L80" s="147" t="str">
        <f>IFERROR(INDEX(Veiklos!$C$2:$C$54,MATCH(K80,Veiklos!$D$2:$D$54,0),1),"")</f>
        <v>Darnaus judumo priemonės miestuose (pėsčiųjų ir dviračių takų infrastruktūra, Park and Ride, Bike and Ride aikštelės, elektromobilių įkrovimo stotelių įrengimas ir kita)</v>
      </c>
      <c r="M80" s="147" t="str">
        <f>MID('3 pr-2'!B82,12,2)</f>
        <v>18</v>
      </c>
      <c r="N80" s="147" t="str">
        <f>IFERROR(INDEX(Veiklos!$C$2:$C$54,MATCH(M80,Veiklos!$D$2:$D$54,0),1),"")</f>
        <v>Intelektinės transporto sistemos</v>
      </c>
      <c r="O80" s="147" t="str">
        <f>MID('3 pr-2'!B82,14,2)</f>
        <v>00</v>
      </c>
      <c r="P80" s="147">
        <f>IFERROR(INDEX(Veiklos!$C$2:$C$54,MATCH(O80,Veiklos!$D$2:$D$54,0),1),"")</f>
        <v>0</v>
      </c>
      <c r="Q80" s="147"/>
      <c r="R80" s="147"/>
      <c r="S80" s="147"/>
      <c r="T80" s="147"/>
      <c r="U80" s="349">
        <v>1</v>
      </c>
      <c r="V80" s="571">
        <f>SUM('3 pr-2'!L82)</f>
        <v>160836.24</v>
      </c>
      <c r="W80" s="571">
        <f>SUM('3 pr-2'!AA82)</f>
        <v>136710.79999999999</v>
      </c>
    </row>
    <row r="81" spans="1:23" ht="77.25" thickBot="1" x14ac:dyDescent="0.3">
      <c r="A81" s="147" t="str">
        <f>CONCATENATE('3 pr-2'!A83)</f>
        <v>1.1.2.2.4</v>
      </c>
      <c r="B81" s="147" t="str">
        <f>CONCATENATE('3 pr-2'!B83)</f>
        <v>R01-5514-190000-1224</v>
      </c>
      <c r="C81" s="341" t="str">
        <f>CONCATENATE('3 pr-2'!D83)</f>
        <v>Darnaus judumo plano Druskininkuose parengimas</v>
      </c>
      <c r="D81" s="341" t="str">
        <f>CONCATENATE('3 pr-2'!E83)</f>
        <v>Druskininkų savivaldybės administracija</v>
      </c>
      <c r="E81" s="341" t="str">
        <f>CONCATENATE('3 pr-2'!F83)</f>
        <v>Lietuvos Respublikos susisiekimo ministerija</v>
      </c>
      <c r="F81" s="341" t="str">
        <f>CONCATENATE('3 pr-2'!G83)</f>
        <v>Druskininkų sav.</v>
      </c>
      <c r="G81" s="147" t="str">
        <f>CONCATENATE('3 pr-2'!H83)</f>
        <v>04.5.1-TID-V-513</v>
      </c>
      <c r="H81" s="147" t="str">
        <f>CONCATENATE('3 pr-2'!I83)</f>
        <v>V</v>
      </c>
      <c r="I81" s="147" t="str">
        <f>CONCATENATE('3 pr-2'!J83)</f>
        <v>ITI</v>
      </c>
      <c r="J81" s="147"/>
      <c r="K81" s="147" t="str">
        <f>MID('3 pr-2'!B83,10,2)</f>
        <v>19</v>
      </c>
      <c r="L81" s="147" t="str">
        <f>IFERROR(INDEX(Veiklos!$C$2:$C$54,MATCH(K81,Veiklos!$D$2:$D$54,0),1),"")</f>
        <v>Darnaus judumo priemonės miestuose (pėsčiųjų ir dviračių takų infrastruktūra, Park and Ride, Bike and Ride aikštelės, elektromobilių įkrovimo stotelių įrengimas ir kita)</v>
      </c>
      <c r="M81" s="147" t="str">
        <f>MID('3 pr-2'!B83,12,2)</f>
        <v>00</v>
      </c>
      <c r="N81" s="147">
        <f>IFERROR(INDEX(Veiklos!$C$2:$C$54,MATCH(M81,Veiklos!$D$2:$D$54,0),1),"")</f>
        <v>0</v>
      </c>
      <c r="O81" s="147" t="str">
        <f>MID('3 pr-2'!B83,14,2)</f>
        <v>00</v>
      </c>
      <c r="P81" s="147">
        <f>IFERROR(INDEX(Veiklos!$C$2:$C$54,MATCH(O81,Veiklos!$D$2:$D$54,0),1),"")</f>
        <v>0</v>
      </c>
      <c r="Q81" s="147"/>
      <c r="R81" s="147"/>
      <c r="S81" s="147"/>
      <c r="T81" s="147"/>
      <c r="U81" s="349">
        <v>1</v>
      </c>
      <c r="V81" s="571">
        <f>SUM('3 pr-2'!L83)</f>
        <v>17000</v>
      </c>
      <c r="W81" s="571">
        <f>SUM('3 pr-2'!AA83)</f>
        <v>14450</v>
      </c>
    </row>
    <row r="82" spans="1:23" ht="77.25" thickBot="1" x14ac:dyDescent="0.3">
      <c r="A82" s="147" t="str">
        <f>CONCATENATE('3 pr-2'!A84)</f>
        <v>1.1.2.2.5</v>
      </c>
      <c r="B82" s="147" t="str">
        <f>CONCATENATE('3 pr-2'!B84)</f>
        <v>R01-5514-190000-1225</v>
      </c>
      <c r="C82" s="341" t="str">
        <f>CONCATENATE('3 pr-2'!D84)</f>
        <v>Viešojo transporto organizavimo tobulinimas rekonstruojant Druskininkų miesto gatvių infrastruktūrą</v>
      </c>
      <c r="D82" s="341" t="str">
        <f>CONCATENATE('3 pr-2'!E84)</f>
        <v>Druskininkų savivaldybės administracija</v>
      </c>
      <c r="E82" s="341" t="str">
        <f>CONCATENATE('3 pr-2'!F84)</f>
        <v>Lietuvos Respublikos susisiekimo ministerija</v>
      </c>
      <c r="F82" s="341" t="str">
        <f>CONCATENATE('3 pr-2'!G84)</f>
        <v>Druskininkų sav.</v>
      </c>
      <c r="G82" s="147" t="str">
        <f>CONCATENATE('3 pr-2'!H84)</f>
        <v>04.5.1.-TID-R-514</v>
      </c>
      <c r="H82" s="147" t="str">
        <f>CONCATENATE('3 pr-2'!I84)</f>
        <v>R</v>
      </c>
      <c r="I82" s="147" t="str">
        <f>CONCATENATE('3 pr-2'!J84)</f>
        <v>-</v>
      </c>
      <c r="J82" s="147"/>
      <c r="K82" s="147" t="str">
        <f>MID('3 pr-2'!B84,10,2)</f>
        <v>19</v>
      </c>
      <c r="L82" s="147" t="str">
        <f>IFERROR(INDEX(Veiklos!$C$2:$C$54,MATCH(K82,Veiklos!$D$2:$D$54,0),1),"")</f>
        <v>Darnaus judumo priemonės miestuose (pėsčiųjų ir dviračių takų infrastruktūra, Park and Ride, Bike and Ride aikštelės, elektromobilių įkrovimo stotelių įrengimas ir kita)</v>
      </c>
      <c r="M82" s="147" t="str">
        <f>MID('3 pr-2'!B84,12,2)</f>
        <v>00</v>
      </c>
      <c r="N82" s="147">
        <f>IFERROR(INDEX(Veiklos!$C$2:$C$54,MATCH(M82,Veiklos!$D$2:$D$54,0),1),"")</f>
        <v>0</v>
      </c>
      <c r="O82" s="147" t="str">
        <f>MID('3 pr-2'!B84,14,2)</f>
        <v>00</v>
      </c>
      <c r="P82" s="147">
        <f>IFERROR(INDEX(Veiklos!$C$2:$C$54,MATCH(O82,Veiklos!$D$2:$D$54,0),1),"")</f>
        <v>0</v>
      </c>
      <c r="Q82" s="147"/>
      <c r="R82" s="147"/>
      <c r="S82" s="147"/>
      <c r="T82" s="147"/>
      <c r="U82" s="349">
        <v>1</v>
      </c>
      <c r="V82" s="571">
        <f>SUM('3 pr-2'!L84)</f>
        <v>290000</v>
      </c>
      <c r="W82" s="571">
        <f>SUM('3 pr-2'!AA84)</f>
        <v>246500</v>
      </c>
    </row>
    <row r="83" spans="1:23" ht="77.25" thickBot="1" x14ac:dyDescent="0.3">
      <c r="A83" s="147" t="str">
        <f>CONCATENATE('3 pr-2'!A85)</f>
        <v>1.1.2.2.6</v>
      </c>
      <c r="B83" s="147" t="str">
        <f>CONCATENATE('3 pr-2'!B85)</f>
        <v>R01-5514-190000-1226</v>
      </c>
      <c r="C83" s="341" t="str">
        <f>CONCATENATE('3 pr-2'!D85)</f>
        <v>Vandens transporto infrastruktūros įrengimas skatinant kitų rūšių transportą</v>
      </c>
      <c r="D83" s="341" t="str">
        <f>CONCATENATE('3 pr-2'!E85)</f>
        <v>Druskininkų savivaldybės administracija</v>
      </c>
      <c r="E83" s="341" t="str">
        <f>CONCATENATE('3 pr-2'!F85)</f>
        <v>Lietuvos Respublikos susisiekimo ministerija</v>
      </c>
      <c r="F83" s="341" t="str">
        <f>CONCATENATE('3 pr-2'!G85)</f>
        <v>Druskininkų sav.</v>
      </c>
      <c r="G83" s="147" t="str">
        <f>CONCATENATE('3 pr-2'!H85)</f>
        <v>04.5.1.-TID-R-514</v>
      </c>
      <c r="H83" s="147" t="str">
        <f>CONCATENATE('3 pr-2'!I85)</f>
        <v>R</v>
      </c>
      <c r="I83" s="147" t="str">
        <f>CONCATENATE('3 pr-2'!J85)</f>
        <v>-</v>
      </c>
      <c r="J83" s="147"/>
      <c r="K83" s="147" t="str">
        <f>MID('3 pr-2'!B85,10,2)</f>
        <v>19</v>
      </c>
      <c r="L83" s="147" t="str">
        <f>IFERROR(INDEX(Veiklos!$C$2:$C$54,MATCH(K83,Veiklos!$D$2:$D$54,0),1),"")</f>
        <v>Darnaus judumo priemonės miestuose (pėsčiųjų ir dviračių takų infrastruktūra, Park and Ride, Bike and Ride aikštelės, elektromobilių įkrovimo stotelių įrengimas ir kita)</v>
      </c>
      <c r="M83" s="147" t="str">
        <f>MID('3 pr-2'!B85,12,2)</f>
        <v>00</v>
      </c>
      <c r="N83" s="147">
        <f>IFERROR(INDEX(Veiklos!$C$2:$C$54,MATCH(M83,Veiklos!$D$2:$D$54,0),1),"")</f>
        <v>0</v>
      </c>
      <c r="O83" s="147" t="str">
        <f>MID('3 pr-2'!B85,14,2)</f>
        <v>00</v>
      </c>
      <c r="P83" s="147">
        <f>IFERROR(INDEX(Veiklos!$C$2:$C$54,MATCH(O83,Veiklos!$D$2:$D$54,0),1),"")</f>
        <v>0</v>
      </c>
      <c r="Q83" s="147"/>
      <c r="R83" s="147"/>
      <c r="S83" s="147"/>
      <c r="T83" s="147"/>
      <c r="U83" s="349">
        <v>1</v>
      </c>
      <c r="V83" s="571">
        <f>SUM('3 pr-2'!L85)</f>
        <v>250000</v>
      </c>
      <c r="W83" s="571">
        <f>SUM('3 pr-2'!AA85)</f>
        <v>212500</v>
      </c>
    </row>
    <row r="84" spans="1:23" ht="39.75" customHeight="1" thickBot="1" x14ac:dyDescent="0.3">
      <c r="A84" s="328" t="s">
        <v>92</v>
      </c>
      <c r="B84" s="711"/>
      <c r="C84" s="1885" t="s">
        <v>835</v>
      </c>
      <c r="D84" s="1883"/>
      <c r="E84" s="1883"/>
      <c r="F84" s="1883"/>
      <c r="G84" s="1883"/>
      <c r="H84" s="1883"/>
      <c r="I84" s="1883"/>
      <c r="J84" s="1884"/>
      <c r="K84" s="318"/>
      <c r="L84" s="319"/>
      <c r="M84" s="320"/>
      <c r="N84" s="319"/>
      <c r="O84" s="320"/>
      <c r="P84" s="319"/>
      <c r="Q84" s="320"/>
      <c r="R84" s="319"/>
      <c r="S84" s="320"/>
      <c r="T84" s="319"/>
      <c r="U84" s="587"/>
      <c r="V84" s="588">
        <f>SUM(V85:V89)</f>
        <v>490058.56</v>
      </c>
      <c r="W84" s="588">
        <f>SUM(W85:W89)</f>
        <v>412707.13</v>
      </c>
    </row>
    <row r="85" spans="1:23" ht="77.25" thickBot="1" x14ac:dyDescent="0.3">
      <c r="A85" s="147" t="str">
        <f>CONCATENATE('3 pr-2'!A87)</f>
        <v>1.1.2.3.1</v>
      </c>
      <c r="B85" s="147" t="str">
        <f>CONCATENATE('3 pr-2'!B87)</f>
        <v>R01-5516-190000-1231</v>
      </c>
      <c r="C85" s="341" t="str">
        <f>CONCATENATE('3 pr-2'!D87)</f>
        <v>Dviračių ir pėsčiųjų takų įrengimas Varėnos miesto J. Basanavičiaus ir Žiedo gatvėse</v>
      </c>
      <c r="D85" s="341" t="str">
        <f>CONCATENATE('3 pr-2'!E87)</f>
        <v>Varėnos rajono savivaldybės administracija</v>
      </c>
      <c r="E85" s="341" t="str">
        <f>CONCATENATE('3 pr-2'!F87)</f>
        <v>Lietuvos Respublikos susisiekimo ministerija</v>
      </c>
      <c r="F85" s="341" t="str">
        <f>CONCATENATE('3 pr-2'!G87)</f>
        <v>Varėnos r. sav.</v>
      </c>
      <c r="G85" s="147" t="str">
        <f>CONCATENATE('3 pr-2'!H87)</f>
        <v>04.5.1-TID-R-516</v>
      </c>
      <c r="H85" s="147" t="str">
        <f>CONCATENATE('3 pr-2'!I87)</f>
        <v>R</v>
      </c>
      <c r="I85" s="147" t="str">
        <f>CONCATENATE('3 pr-2'!J87)</f>
        <v>ITI</v>
      </c>
      <c r="J85" s="147" t="str">
        <f>CONCATENATE('3 pr-2'!K87)</f>
        <v>-</v>
      </c>
      <c r="K85" s="147" t="str">
        <f>MID('3 pr-2'!B87,10,2)</f>
        <v>19</v>
      </c>
      <c r="L85" s="147" t="str">
        <f>IFERROR(INDEX(Veiklos!$C$2:$C$54,MATCH(K85,Veiklos!$D$2:$D$54,0),1),"")</f>
        <v>Darnaus judumo priemonės miestuose (pėsčiųjų ir dviračių takų infrastruktūra, Park and Ride, Bike and Ride aikštelės, elektromobilių įkrovimo stotelių įrengimas ir kita)</v>
      </c>
      <c r="M85" s="147" t="str">
        <f>MID('3 pr-2'!B87,12,2)</f>
        <v>00</v>
      </c>
      <c r="N85" s="147">
        <f>IFERROR(INDEX(Veiklos!$C$2:$C$54,MATCH(M85,Veiklos!$D$2:$D$54,0),1),"")</f>
        <v>0</v>
      </c>
      <c r="O85" s="147" t="str">
        <f>MID('3 pr-2'!B87,14,2)</f>
        <v>00</v>
      </c>
      <c r="P85" s="147">
        <f>IFERROR(INDEX(Veiklos!$C$2:$C$54,MATCH(O85,Veiklos!$D$2:$D$54,0),1),"")</f>
        <v>0</v>
      </c>
      <c r="Q85" s="147"/>
      <c r="R85" s="147"/>
      <c r="S85" s="147"/>
      <c r="T85" s="147"/>
      <c r="U85" s="349">
        <v>1</v>
      </c>
      <c r="V85" s="571">
        <f>SUM('3 pr-2'!L87)</f>
        <v>96513</v>
      </c>
      <c r="W85" s="571">
        <f>SUM('3 pr-2'!AA87)</f>
        <v>82036</v>
      </c>
    </row>
    <row r="86" spans="1:23" ht="77.25" thickBot="1" x14ac:dyDescent="0.3">
      <c r="A86" s="347" t="str">
        <f>CONCATENATE('3 pr-2'!A88)</f>
        <v>1.1.2.3.2</v>
      </c>
      <c r="B86" s="147" t="str">
        <f>CONCATENATE('3 pr-2'!B88)</f>
        <v>R01-5516-190000-1232</v>
      </c>
      <c r="C86" s="589" t="str">
        <f>CONCATENATE('3 pr-2'!D88)</f>
        <v>Dviračių trasų infrastruktūros įrengimas nuo Putinų g. žiedo Pramonės gatvėje, Alytaus mieste</v>
      </c>
      <c r="D86" s="589" t="str">
        <f>CONCATENATE('3 pr-2'!E88)</f>
        <v>Alytaus miesto savivaldybės administracija</v>
      </c>
      <c r="E86" s="589" t="str">
        <f>CONCATENATE('3 pr-2'!F88)</f>
        <v>Lietuvos Respublikos susisiekimo ministerija</v>
      </c>
      <c r="F86" s="589" t="str">
        <f>CONCATENATE('3 pr-2'!G88)</f>
        <v>Alytaus m. sav.</v>
      </c>
      <c r="G86" s="347" t="str">
        <f>CONCATENATE('3 pr-2'!H88)</f>
        <v>04.5.1-TID-R-516</v>
      </c>
      <c r="H86" s="347" t="str">
        <f>CONCATENATE('3 pr-2'!I88)</f>
        <v>R</v>
      </c>
      <c r="I86" s="347" t="str">
        <f>CONCATENATE('3 pr-2'!J88)</f>
        <v>ITI</v>
      </c>
      <c r="J86" s="347" t="str">
        <f>CONCATENATE('3 pr-2'!K88)</f>
        <v>-</v>
      </c>
      <c r="K86" s="147" t="str">
        <f>MID('3 pr-2'!B88,10,2)</f>
        <v>19</v>
      </c>
      <c r="L86" s="147" t="str">
        <f>IFERROR(INDEX(Veiklos!$C$2:$C$54,MATCH(K86,Veiklos!$D$2:$D$54,0),1),"")</f>
        <v>Darnaus judumo priemonės miestuose (pėsčiųjų ir dviračių takų infrastruktūra, Park and Ride, Bike and Ride aikštelės, elektromobilių įkrovimo stotelių įrengimas ir kita)</v>
      </c>
      <c r="M86" s="147" t="str">
        <f>MID('3 pr-2'!B88,12,2)</f>
        <v>00</v>
      </c>
      <c r="N86" s="147">
        <f>IFERROR(INDEX(Veiklos!$C$2:$C$54,MATCH(M86,Veiklos!$D$2:$D$54,0),1),"")</f>
        <v>0</v>
      </c>
      <c r="O86" s="147" t="str">
        <f>MID('3 pr-2'!B88,14,2)</f>
        <v>00</v>
      </c>
      <c r="P86" s="147">
        <f>IFERROR(INDEX(Veiklos!$C$2:$C$54,MATCH(O86,Veiklos!$D$2:$D$54,0),1),"")</f>
        <v>0</v>
      </c>
      <c r="Q86" s="347"/>
      <c r="R86" s="347"/>
      <c r="S86" s="347"/>
      <c r="T86" s="347"/>
      <c r="U86" s="590">
        <v>1</v>
      </c>
      <c r="V86" s="591">
        <f>SUM('3 pr-2'!L88)</f>
        <v>135732</v>
      </c>
      <c r="W86" s="591">
        <f>SUM('3 pr-2'!AA88)</f>
        <v>115332</v>
      </c>
    </row>
    <row r="87" spans="1:23" s="592" customFormat="1" ht="77.25" thickBot="1" x14ac:dyDescent="0.3">
      <c r="A87" s="348" t="str">
        <f>CONCATENATE('3 pr-2'!A89)</f>
        <v>1.1.2.3.3</v>
      </c>
      <c r="B87" s="147" t="str">
        <f>CONCATENATE('3 pr-2'!B89)</f>
        <v>R01-5516-190000-1233</v>
      </c>
      <c r="C87" s="589" t="str">
        <f>CONCATENATE('3 pr-2'!D89)</f>
        <v>Dviračių ir pėsčiųjų takų plėtra Lazdijų miesto Turistų gatvėje iki sodų bendrijos „Baltasis“ Lazdijų seniūnijoje</v>
      </c>
      <c r="D87" s="589" t="str">
        <f>CONCATENATE('3 pr-2'!E89)</f>
        <v>Lazdijų rajono savivaldybės administracija</v>
      </c>
      <c r="E87" s="589" t="str">
        <f>CONCATENATE('3 pr-2'!F89)</f>
        <v>Lietuvos Respublikos susisiekimo ministerija</v>
      </c>
      <c r="F87" s="589" t="str">
        <f>CONCATENATE('3 pr-2'!G89)</f>
        <v>Lazdijų r. sav.</v>
      </c>
      <c r="G87" s="347" t="str">
        <f>CONCATENATE('3 pr-2'!H89)</f>
        <v>04.5.1-TID-R-516</v>
      </c>
      <c r="H87" s="347" t="str">
        <f>CONCATENATE('3 pr-2'!I89)</f>
        <v>R</v>
      </c>
      <c r="I87" s="347" t="str">
        <f>CONCATENATE('3 pr-2'!J89)</f>
        <v>ITI</v>
      </c>
      <c r="J87" s="347" t="str">
        <f>CONCATENATE('3 pr-2'!K89)</f>
        <v>-</v>
      </c>
      <c r="K87" s="147" t="str">
        <f>MID('3 pr-2'!B89,10,2)</f>
        <v>19</v>
      </c>
      <c r="L87" s="147" t="str">
        <f>IFERROR(INDEX(Veiklos!$C$2:$C$54,MATCH(K87,Veiklos!$D$2:$D$54,0),1),"")</f>
        <v>Darnaus judumo priemonės miestuose (pėsčiųjų ir dviračių takų infrastruktūra, Park and Ride, Bike and Ride aikštelės, elektromobilių įkrovimo stotelių įrengimas ir kita)</v>
      </c>
      <c r="M87" s="147" t="str">
        <f>MID('3 pr-2'!B89,12,2)</f>
        <v>00</v>
      </c>
      <c r="N87" s="147">
        <f>IFERROR(INDEX(Veiklos!$C$2:$C$54,MATCH(M87,Veiklos!$D$2:$D$54,0),1),"")</f>
        <v>0</v>
      </c>
      <c r="O87" s="147" t="str">
        <f>MID('3 pr-2'!B89,14,2)</f>
        <v>00</v>
      </c>
      <c r="P87" s="147">
        <f>IFERROR(INDEX(Veiklos!$C$2:$C$54,MATCH(O87,Veiklos!$D$2:$D$54,0),1),"")</f>
        <v>0</v>
      </c>
      <c r="Q87" s="347"/>
      <c r="R87" s="347"/>
      <c r="S87" s="347"/>
      <c r="T87" s="347"/>
      <c r="U87" s="571">
        <v>1</v>
      </c>
      <c r="V87" s="571">
        <f>SUM('3 pr-2'!L89)</f>
        <v>87775</v>
      </c>
      <c r="W87" s="571">
        <f>SUM('3 pr-2'!AA89)</f>
        <v>74609</v>
      </c>
    </row>
    <row r="88" spans="1:23" s="592" customFormat="1" ht="77.25" thickBot="1" x14ac:dyDescent="0.3">
      <c r="A88" s="344" t="str">
        <f>CONCATENATE('3 pr-2'!A90)</f>
        <v>1.1.2.3.4</v>
      </c>
      <c r="B88" s="147" t="str">
        <f>CONCATENATE('3 pr-2'!B90)</f>
        <v>R01-5516-190000-1234</v>
      </c>
      <c r="C88" s="341" t="str">
        <f>CONCATENATE('3 pr-2'!D90)</f>
        <v>Pėsčiųjų ir dviračių takų plėtra Simno seniūnijoje</v>
      </c>
      <c r="D88" s="341" t="str">
        <f>CONCATENATE('3 pr-2'!E90)</f>
        <v>Alytaus rajono savivaldybės administracija</v>
      </c>
      <c r="E88" s="341" t="str">
        <f>CONCATENATE('3 pr-2'!F90)</f>
        <v>Lietuvos Respublikos susisiekimo ministerija</v>
      </c>
      <c r="F88" s="341" t="str">
        <f>CONCATENATE('3 pr-2'!G90)</f>
        <v>Alytaus r. sav.</v>
      </c>
      <c r="G88" s="147" t="str">
        <f>CONCATENATE('3 pr-2'!H90)</f>
        <v>04.5.1-TID-R-516</v>
      </c>
      <c r="H88" s="147" t="str">
        <f>CONCATENATE('3 pr-2'!I90)</f>
        <v>R</v>
      </c>
      <c r="I88" s="147" t="str">
        <f>CONCATENATE('3 pr-2'!J90)</f>
        <v>-</v>
      </c>
      <c r="J88" s="147" t="str">
        <f>CONCATENATE('3 pr-2'!K90)</f>
        <v>-</v>
      </c>
      <c r="K88" s="147" t="str">
        <f>MID('3 pr-2'!B90,10,2)</f>
        <v>19</v>
      </c>
      <c r="L88" s="147" t="str">
        <f>IFERROR(INDEX(Veiklos!$C$2:$C$54,MATCH(K88,Veiklos!$D$2:$D$54,0),1),"")</f>
        <v>Darnaus judumo priemonės miestuose (pėsčiųjų ir dviračių takų infrastruktūra, Park and Ride, Bike and Ride aikštelės, elektromobilių įkrovimo stotelių įrengimas ir kita)</v>
      </c>
      <c r="M88" s="147" t="str">
        <f>MID('3 pr-2'!B90,12,2)</f>
        <v>00</v>
      </c>
      <c r="N88" s="147">
        <f>IFERROR(INDEX(Veiklos!$C$2:$C$54,MATCH(M88,Veiklos!$D$2:$D$54,0),1),"")</f>
        <v>0</v>
      </c>
      <c r="O88" s="147" t="str">
        <f>MID('3 pr-2'!B90,14,2)</f>
        <v>00</v>
      </c>
      <c r="P88" s="147">
        <f>IFERROR(INDEX(Veiklos!$C$2:$C$54,MATCH(O88,Veiklos!$D$2:$D$54,0),1),"")</f>
        <v>0</v>
      </c>
      <c r="Q88" s="147"/>
      <c r="R88" s="147"/>
      <c r="S88" s="147"/>
      <c r="T88" s="147"/>
      <c r="U88" s="593">
        <v>1</v>
      </c>
      <c r="V88" s="594">
        <f>SUM('3 pr-2'!L90)</f>
        <v>98949.56</v>
      </c>
      <c r="W88" s="594">
        <f>SUM('3 pr-2'!AA90)</f>
        <v>84107.13</v>
      </c>
    </row>
    <row r="89" spans="1:23" s="592" customFormat="1" ht="77.25" thickBot="1" x14ac:dyDescent="0.3">
      <c r="A89" s="147" t="str">
        <f>CONCATENATE('3 pr-2'!A91)</f>
        <v>1.1.2.3.5</v>
      </c>
      <c r="B89" s="147" t="str">
        <f>CONCATENATE('3 pr-2'!B91)</f>
        <v>R01-5516-190000-1235</v>
      </c>
      <c r="C89" s="341" t="str">
        <f>CONCATENATE('3 pr-2'!D91)</f>
        <v>Dviračių ir pėsčiųjų tako, esančio šalia Ratnyčios upelio, Druskininkų mieste, rekonstrukcija</v>
      </c>
      <c r="D89" s="341" t="str">
        <f>CONCATENATE('3 pr-2'!E91)</f>
        <v xml:space="preserve">Druskininkų savivaldybės administracija  </v>
      </c>
      <c r="E89" s="341" t="str">
        <f>CONCATENATE('3 pr-2'!F91)</f>
        <v>Lietuvos Respublikos susisiekimo ministerija</v>
      </c>
      <c r="F89" s="341" t="str">
        <f>CONCATENATE('3 pr-2'!G91)</f>
        <v>Druskininkų sav.</v>
      </c>
      <c r="G89" s="147" t="str">
        <f>CONCATENATE('3 pr-2'!H91)</f>
        <v>04.5.1-TID-R-516</v>
      </c>
      <c r="H89" s="147" t="str">
        <f>CONCATENATE('3 pr-2'!I91)</f>
        <v>R</v>
      </c>
      <c r="I89" s="147" t="str">
        <f>CONCATENATE('3 pr-2'!J91)</f>
        <v>-</v>
      </c>
      <c r="J89" s="147" t="str">
        <f>CONCATENATE('3 pr-2'!K91)</f>
        <v>-</v>
      </c>
      <c r="K89" s="147" t="str">
        <f>MID('3 pr-2'!B91,10,2)</f>
        <v>19</v>
      </c>
      <c r="L89" s="147" t="str">
        <f>IFERROR(INDEX(Veiklos!$C$2:$C$54,MATCH(K89,Veiklos!$D$2:$D$54,0),1),"")</f>
        <v>Darnaus judumo priemonės miestuose (pėsčiųjų ir dviračių takų infrastruktūra, Park and Ride, Bike and Ride aikštelės, elektromobilių įkrovimo stotelių įrengimas ir kita)</v>
      </c>
      <c r="M89" s="147" t="str">
        <f>MID('3 pr-2'!B91,12,2)</f>
        <v>00</v>
      </c>
      <c r="N89" s="147">
        <f>IFERROR(INDEX(Veiklos!$C$2:$C$54,MATCH(M89,Veiklos!$D$2:$D$54,0),1),"")</f>
        <v>0</v>
      </c>
      <c r="O89" s="147" t="str">
        <f>MID('3 pr-2'!B91,14,2)</f>
        <v>00</v>
      </c>
      <c r="P89" s="147">
        <f>IFERROR(INDEX(Veiklos!$C$2:$C$54,MATCH(O89,Veiklos!$D$2:$D$54,0),1),"")</f>
        <v>0</v>
      </c>
      <c r="Q89" s="147"/>
      <c r="R89" s="147"/>
      <c r="S89" s="147"/>
      <c r="T89" s="147"/>
      <c r="U89" s="349">
        <v>1</v>
      </c>
      <c r="V89" s="571">
        <f>SUM('3 pr-2'!L91)</f>
        <v>71089</v>
      </c>
      <c r="W89" s="571">
        <f>SUM('3 pr-2'!AA91)</f>
        <v>56623</v>
      </c>
    </row>
    <row r="90" spans="1:23" ht="37.5" customHeight="1" thickBot="1" x14ac:dyDescent="0.3">
      <c r="A90" s="595" t="s">
        <v>94</v>
      </c>
      <c r="B90" s="147" t="str">
        <f>CONCATENATE('3 pr-2'!B92)</f>
        <v>Priemonė:
Vietinių kelių techninių parametrų ir eismo saugos gerinimas</v>
      </c>
      <c r="C90" s="1890" t="s">
        <v>625</v>
      </c>
      <c r="D90" s="1896"/>
      <c r="E90" s="1896"/>
      <c r="F90" s="1896"/>
      <c r="G90" s="1896"/>
      <c r="H90" s="1896"/>
      <c r="I90" s="1896"/>
      <c r="J90" s="1896"/>
      <c r="K90" s="321"/>
      <c r="L90" s="322"/>
      <c r="M90" s="323"/>
      <c r="N90" s="324"/>
      <c r="O90" s="323"/>
      <c r="P90" s="324"/>
      <c r="Q90" s="323"/>
      <c r="R90" s="324"/>
      <c r="S90" s="323"/>
      <c r="T90" s="324"/>
      <c r="U90" s="596"/>
      <c r="V90" s="597">
        <f>SUM(V91:V96)</f>
        <v>4846187.82</v>
      </c>
      <c r="W90" s="598">
        <f>SUM(W91:W96)</f>
        <v>2939818</v>
      </c>
    </row>
    <row r="91" spans="1:23" ht="39" thickBot="1" x14ac:dyDescent="0.3">
      <c r="A91" s="147" t="str">
        <f>CONCATENATE('3 pr-2'!A93)</f>
        <v>1.1.2.4.1</v>
      </c>
      <c r="B91" s="147" t="str">
        <f>CONCATENATE('3 pr-2'!B93)</f>
        <v>R01-5511-120000-1241</v>
      </c>
      <c r="C91" s="341" t="str">
        <f>CONCATENATE('3 pr-2'!D93)</f>
        <v>Varėnos miesto J. Basanavičiaus, Savanorių ir M. K. Čiurlionio gatvių rekonstrukcija</v>
      </c>
      <c r="D91" s="341" t="str">
        <f>CONCATENATE('3 pr-2'!E93)</f>
        <v>Varėnos rajono savivaldybės administracija</v>
      </c>
      <c r="E91" s="341" t="str">
        <f>CONCATENATE('3 pr-2'!F93)</f>
        <v>Lietuvos Respublikos susisiekimo ministerija</v>
      </c>
      <c r="F91" s="341" t="str">
        <f>CONCATENATE('3 pr-2'!G93)</f>
        <v>Varėnos r. sav.</v>
      </c>
      <c r="G91" s="147" t="str">
        <f>CONCATENATE('3 pr-2'!H93)</f>
        <v>06.2.1-TID-R-511</v>
      </c>
      <c r="H91" s="147" t="str">
        <f>CONCATENATE('3 pr-2'!I93)</f>
        <v>R</v>
      </c>
      <c r="I91" s="147" t="str">
        <f>CONCATENATE('3 pr-2'!J93)</f>
        <v>ITI</v>
      </c>
      <c r="J91" s="147" t="str">
        <f>CONCATENATE('3 pr-2'!K93)</f>
        <v>-</v>
      </c>
      <c r="K91" s="147" t="str">
        <f>MID('3 pr-2'!B93,10,2)</f>
        <v>12</v>
      </c>
      <c r="L91" s="147" t="str">
        <f>IFERROR(INDEX(Veiklos!$C$2:$C$54,MATCH(K91,Veiklos!$D$2:$D$54,0),1),"")</f>
        <v>Vietinės reikšmės keliai ir gatvės (rekonstrukcija)</v>
      </c>
      <c r="M91" s="147" t="str">
        <f>MID('3 pr-2'!B93,12,2)</f>
        <v>00</v>
      </c>
      <c r="N91" s="147">
        <f>IFERROR(INDEX(Veiklos!$C$2:$C$54,MATCH(M91,Veiklos!$D$2:$D$54,0),1),"")</f>
        <v>0</v>
      </c>
      <c r="O91" s="147" t="str">
        <f>MID('3 pr-2'!B93,14,2)</f>
        <v>00</v>
      </c>
      <c r="P91" s="147">
        <f>IFERROR(INDEX(Veiklos!$C$2:$C$54,MATCH(O91,Veiklos!$D$2:$D$54,0),1),"")</f>
        <v>0</v>
      </c>
      <c r="Q91" s="147"/>
      <c r="R91" s="147"/>
      <c r="S91" s="147"/>
      <c r="T91" s="147"/>
      <c r="U91" s="349">
        <v>1</v>
      </c>
      <c r="V91" s="571">
        <f>SUM('3 pr-2'!L93)</f>
        <v>835464</v>
      </c>
      <c r="W91" s="571">
        <f>SUM('3 pr-2'!AA93)</f>
        <v>710144</v>
      </c>
    </row>
    <row r="92" spans="1:23" ht="39" thickBot="1" x14ac:dyDescent="0.3">
      <c r="A92" s="147" t="str">
        <f>CONCATENATE('3 pr-2'!A94)</f>
        <v>1.1.2.4.2</v>
      </c>
      <c r="B92" s="147" t="str">
        <f>CONCATENATE('3 pr-2'!B94)</f>
        <v>R01-5511-110000-1242</v>
      </c>
      <c r="C92" s="341" t="str">
        <f>CONCATENATE('3 pr-2'!D94)</f>
        <v>Perspektyvinės gatvės nuo Pramonės g. iki Naujosios g. Alytuje įrengimas</v>
      </c>
      <c r="D92" s="341" t="str">
        <f>CONCATENATE('3 pr-2'!E94)</f>
        <v>Alytaus miesto savivaldybės administracija</v>
      </c>
      <c r="E92" s="341" t="str">
        <f>CONCATENATE('3 pr-2'!F94)</f>
        <v>Lietuvos Respublikos susisiekimo ministerija</v>
      </c>
      <c r="F92" s="341" t="str">
        <f>CONCATENATE('3 pr-2'!G94)</f>
        <v>Alytaus m. sav.</v>
      </c>
      <c r="G92" s="147" t="str">
        <f>CONCATENATE('3 pr-2'!H94)</f>
        <v>06.2.1-TID-R-511</v>
      </c>
      <c r="H92" s="147" t="str">
        <f>CONCATENATE('3 pr-2'!I94)</f>
        <v>R</v>
      </c>
      <c r="I92" s="147" t="str">
        <f>CONCATENATE('3 pr-2'!J94)</f>
        <v>ITI</v>
      </c>
      <c r="J92" s="147" t="str">
        <f>CONCATENATE('3 pr-2'!K94)</f>
        <v>-</v>
      </c>
      <c r="K92" s="147" t="str">
        <f>MID('3 pr-2'!B94,10,2)</f>
        <v>11</v>
      </c>
      <c r="L92" s="147" t="str">
        <f>IFERROR(INDEX(Veiklos!$C$2:$C$54,MATCH(K92,Veiklos!$D$2:$D$54,0),1),"")</f>
        <v>Vietinės reikšmės keliai ir gatvės (statyba)</v>
      </c>
      <c r="M92" s="147" t="str">
        <f>MID('3 pr-2'!B94,12,2)</f>
        <v>00</v>
      </c>
      <c r="N92" s="147">
        <f>IFERROR(INDEX(Veiklos!$C$2:$C$54,MATCH(M92,Veiklos!$D$2:$D$54,0),1),"")</f>
        <v>0</v>
      </c>
      <c r="O92" s="147" t="str">
        <f>MID('3 pr-2'!B94,14,2)</f>
        <v>00</v>
      </c>
      <c r="P92" s="147">
        <f>IFERROR(INDEX(Veiklos!$C$2:$C$54,MATCH(O92,Veiklos!$D$2:$D$54,0),1),"")</f>
        <v>0</v>
      </c>
      <c r="Q92" s="147"/>
      <c r="R92" s="147"/>
      <c r="S92" s="147"/>
      <c r="T92" s="147"/>
      <c r="U92" s="349">
        <v>1</v>
      </c>
      <c r="V92" s="571">
        <f>SUM('3 pr-2'!L94)</f>
        <v>1402213</v>
      </c>
      <c r="W92" s="571">
        <f>SUM('3 pr-2'!AA94)</f>
        <v>747938</v>
      </c>
    </row>
    <row r="93" spans="1:23" ht="39" thickBot="1" x14ac:dyDescent="0.3">
      <c r="A93" s="147" t="str">
        <f>CONCATENATE('3 pr-2'!A95)</f>
        <v>1.1.2.4.3.</v>
      </c>
      <c r="B93" s="147" t="str">
        <f>CONCATENATE('3 pr-2'!B95)</f>
        <v>R01-5511-500000-1243</v>
      </c>
      <c r="C93" s="341" t="str">
        <f>CONCATENATE('3 pr-2'!D95)</f>
        <v>Saugaus eismo priemonių diegimas Alytaus mieste</v>
      </c>
      <c r="D93" s="341" t="str">
        <f>CONCATENATE('3 pr-2'!E95)</f>
        <v>Alytaus miesto savivaldybės administracija</v>
      </c>
      <c r="E93" s="341" t="str">
        <f>CONCATENATE('3 pr-2'!F95)</f>
        <v>Lietuvos Respublikos susisiekimo ministerija</v>
      </c>
      <c r="F93" s="341" t="str">
        <f>CONCATENATE('3 pr-2'!G95)</f>
        <v>Alytaus m. sav.</v>
      </c>
      <c r="G93" s="147" t="str">
        <f>CONCATENATE('3 pr-2'!H95)</f>
        <v>06.2.1-TID-R-511</v>
      </c>
      <c r="H93" s="147" t="str">
        <f>CONCATENATE('3 pr-2'!I95)</f>
        <v>R</v>
      </c>
      <c r="I93" s="147" t="str">
        <f>CONCATENATE('3 pr-2'!J95)</f>
        <v>-</v>
      </c>
      <c r="J93" s="147" t="str">
        <f>CONCATENATE('3 pr-2'!K95)</f>
        <v>-</v>
      </c>
      <c r="K93" s="147" t="str">
        <f>MID('3 pr-2'!B95,10,2)</f>
        <v>50</v>
      </c>
      <c r="L93" s="147" t="str">
        <f>IFERROR(INDEX(Veiklos!$C$2:$C$54,MATCH(K93,Veiklos!$D$2:$D$54,0),1),"")</f>
        <v>Kita (nepriskirta kitoms grupėms) viešoji infrastruktūra ar paslaugos</v>
      </c>
      <c r="M93" s="147" t="str">
        <f>MID('3 pr-2'!B95,12,2)</f>
        <v>00</v>
      </c>
      <c r="N93" s="147">
        <f>IFERROR(INDEX(Veiklos!$C$2:$C$54,MATCH(M93,Veiklos!$D$2:$D$54,0),1),"")</f>
        <v>0</v>
      </c>
      <c r="O93" s="147" t="str">
        <f>MID('3 pr-2'!B95,14,2)</f>
        <v>00</v>
      </c>
      <c r="P93" s="147">
        <f>IFERROR(INDEX(Veiklos!$C$2:$C$54,MATCH(O93,Veiklos!$D$2:$D$54,0),1),"")</f>
        <v>0</v>
      </c>
      <c r="Q93" s="147"/>
      <c r="R93" s="147"/>
      <c r="S93" s="147"/>
      <c r="T93" s="147"/>
      <c r="U93" s="349">
        <v>1</v>
      </c>
      <c r="V93" s="571">
        <f>SUM('3 pr-2'!L95)</f>
        <v>315614.59999999998</v>
      </c>
      <c r="W93" s="571">
        <f>SUM('3 pr-2'!AA95)</f>
        <v>250299</v>
      </c>
    </row>
    <row r="94" spans="1:23" ht="39" thickBot="1" x14ac:dyDescent="0.3">
      <c r="A94" s="147" t="str">
        <f>CONCATENATE('3 pr-2'!A96)</f>
        <v>1.1.2.4.4</v>
      </c>
      <c r="B94" s="147" t="str">
        <f>CONCATENATE('3 pr-2'!B96)</f>
        <v>R01-5511-500000-1244</v>
      </c>
      <c r="C94" s="341" t="str">
        <f>CONCATENATE('3 pr-2'!D96)</f>
        <v>Eismo saugos priemonių diegimas Alytaus rajone</v>
      </c>
      <c r="D94" s="341" t="str">
        <f>CONCATENATE('3 pr-2'!E96)</f>
        <v>Alytaus rajono savivaldybės administracija</v>
      </c>
      <c r="E94" s="341" t="str">
        <f>CONCATENATE('3 pr-2'!F96)</f>
        <v>Lietuvos Respublikos susisiekimo ministerija</v>
      </c>
      <c r="F94" s="341" t="str">
        <f>CONCATENATE('3 pr-2'!G96)</f>
        <v>Alytaus r. sav.</v>
      </c>
      <c r="G94" s="147" t="str">
        <f>CONCATENATE('3 pr-2'!H96)</f>
        <v>06.2.1-TID-R-511</v>
      </c>
      <c r="H94" s="147" t="str">
        <f>CONCATENATE('3 pr-2'!I96)</f>
        <v>R</v>
      </c>
      <c r="I94" s="147" t="str">
        <f>CONCATENATE('3 pr-2'!J96)</f>
        <v>-</v>
      </c>
      <c r="J94" s="147" t="str">
        <f>CONCATENATE('3 pr-2'!K96)</f>
        <v>-</v>
      </c>
      <c r="K94" s="147" t="str">
        <f>MID('3 pr-2'!B96,10,2)</f>
        <v>50</v>
      </c>
      <c r="L94" s="147" t="str">
        <f>IFERROR(INDEX(Veiklos!$C$2:$C$54,MATCH(K94,Veiklos!$D$2:$D$54,0),1),"")</f>
        <v>Kita (nepriskirta kitoms grupėms) viešoji infrastruktūra ar paslaugos</v>
      </c>
      <c r="M94" s="147" t="str">
        <f>MID('3 pr-2'!B96,12,2)</f>
        <v>00</v>
      </c>
      <c r="N94" s="147">
        <f>IFERROR(INDEX(Veiklos!$C$2:$C$54,MATCH(M94,Veiklos!$D$2:$D$54,0),1),"")</f>
        <v>0</v>
      </c>
      <c r="O94" s="147" t="str">
        <f>MID('3 pr-2'!B96,14,2)</f>
        <v>00</v>
      </c>
      <c r="P94" s="147">
        <f>IFERROR(INDEX(Veiklos!$C$2:$C$54,MATCH(O94,Veiklos!$D$2:$D$54,0),1),"")</f>
        <v>0</v>
      </c>
      <c r="Q94" s="147"/>
      <c r="R94" s="147"/>
      <c r="S94" s="147"/>
      <c r="T94" s="147"/>
      <c r="U94" s="349">
        <v>1</v>
      </c>
      <c r="V94" s="571">
        <f>SUM('3 pr-2'!L96)</f>
        <v>274817.98</v>
      </c>
      <c r="W94" s="571">
        <f>SUM('3 pr-2'!AA96)</f>
        <v>200844</v>
      </c>
    </row>
    <row r="95" spans="1:23" ht="39" thickBot="1" x14ac:dyDescent="0.3">
      <c r="A95" s="147" t="str">
        <f>CONCATENATE('3 pr-2'!A97)</f>
        <v>1.1.2.4.5</v>
      </c>
      <c r="B95" s="147" t="str">
        <f>CONCATENATE('3 pr-2'!B97)</f>
        <v>R01-5511-120900-1245</v>
      </c>
      <c r="C95" s="341" t="str">
        <f>CONCATENATE('3 pr-2'!D97)</f>
        <v>M. K. Čiurlionio gatvės atkarpos Druskininkų m. rekonstrukcija</v>
      </c>
      <c r="D95" s="341" t="str">
        <f>CONCATENATE('3 pr-2'!E97)</f>
        <v xml:space="preserve">Druskininkų savivaldybės administracija  </v>
      </c>
      <c r="E95" s="341" t="str">
        <f>CONCATENATE('3 pr-2'!F97)</f>
        <v>Lietuvos Respublikos susisiekimo ministerija</v>
      </c>
      <c r="F95" s="341" t="str">
        <f>CONCATENATE('3 pr-2'!G97)</f>
        <v>Druskininkų sav.</v>
      </c>
      <c r="G95" s="147" t="str">
        <f>CONCATENATE('3 pr-2'!H97)</f>
        <v>06.2.1-TID-R-511</v>
      </c>
      <c r="H95" s="147" t="str">
        <f>CONCATENATE('3 pr-2'!I97)</f>
        <v>R</v>
      </c>
      <c r="I95" s="147" t="str">
        <f>CONCATENATE('3 pr-2'!J97)</f>
        <v>-</v>
      </c>
      <c r="J95" s="147" t="str">
        <f>CONCATENATE('3 pr-2'!K97)</f>
        <v>-</v>
      </c>
      <c r="K95" s="147" t="str">
        <f>MID('3 pr-2'!B97,10,2)</f>
        <v>12</v>
      </c>
      <c r="L95" s="147" t="str">
        <f>IFERROR(INDEX(Veiklos!$C$2:$C$54,MATCH(K95,Veiklos!$D$2:$D$54,0),1),"")</f>
        <v>Vietinės reikšmės keliai ir gatvės (rekonstrukcija)</v>
      </c>
      <c r="M95" s="147" t="str">
        <f>MID('3 pr-2'!B97,12,2)</f>
        <v>09</v>
      </c>
      <c r="N95" s="147" t="str">
        <f>IFERROR(INDEX(Veiklos!$C$2:$C$54,MATCH(M95,Veiklos!$D$2:$D$54,0),1),"")</f>
        <v>Viešojo transporto infrastruktūra</v>
      </c>
      <c r="O95" s="147" t="str">
        <f>MID('3 pr-2'!B97,14,2)</f>
        <v>00</v>
      </c>
      <c r="P95" s="147">
        <f>IFERROR(INDEX(Veiklos!$C$2:$C$54,MATCH(O95,Veiklos!$D$2:$D$54,0),1),"")</f>
        <v>0</v>
      </c>
      <c r="Q95" s="147"/>
      <c r="R95" s="147"/>
      <c r="S95" s="147"/>
      <c r="T95" s="147"/>
      <c r="U95" s="349">
        <v>1</v>
      </c>
      <c r="V95" s="571">
        <f>SUM('3 pr-2'!L97)</f>
        <v>1258144.24</v>
      </c>
      <c r="W95" s="571">
        <f>SUM('3 pr-2'!AA97)</f>
        <v>384649</v>
      </c>
    </row>
    <row r="96" spans="1:23" ht="51.75" thickBot="1" x14ac:dyDescent="0.3">
      <c r="A96" s="147" t="str">
        <f>CONCATENATE('3 pr-2'!A98)</f>
        <v>1.1.2.4.6</v>
      </c>
      <c r="B96" s="147" t="str">
        <f>CONCATENATE('3 pr-2'!B98)</f>
        <v>R01-5511-120000-1246</v>
      </c>
      <c r="C96" s="341" t="str">
        <f>CONCATENATE('3 pr-2'!D98)</f>
        <v>Lazdijų miesto Seinų ir Lazdijos gatvių bei vietinės reikšmės kelio nuo Janonio gatvės iki Lazdijų hipodromo rekonstravimas</v>
      </c>
      <c r="D96" s="341" t="str">
        <f>CONCATENATE('3 pr-2'!E98)</f>
        <v>Lazdijų rajono savivaldybės administracija</v>
      </c>
      <c r="E96" s="341" t="str">
        <f>CONCATENATE('3 pr-2'!F98)</f>
        <v>Lietuvos Respublikos susisiekimo ministerija</v>
      </c>
      <c r="F96" s="341" t="str">
        <f>CONCATENATE('3 pr-2'!G98)</f>
        <v>Lazdijų r. sav.</v>
      </c>
      <c r="G96" s="147" t="str">
        <f>CONCATENATE('3 pr-2'!H98)</f>
        <v>06.2.1-TID-R-511</v>
      </c>
      <c r="H96" s="147" t="str">
        <f>CONCATENATE('3 pr-2'!I98)</f>
        <v>R</v>
      </c>
      <c r="I96" s="147" t="str">
        <f>CONCATENATE('3 pr-2'!J98)</f>
        <v>ITI</v>
      </c>
      <c r="J96" s="147" t="str">
        <f>CONCATENATE('3 pr-2'!K98)</f>
        <v>-</v>
      </c>
      <c r="K96" s="147" t="str">
        <f>MID('3 pr-2'!B98,10,2)</f>
        <v>12</v>
      </c>
      <c r="L96" s="147" t="str">
        <f>IFERROR(INDEX(Veiklos!$C$2:$C$54,MATCH(K96,Veiklos!$D$2:$D$54,0),1),"")</f>
        <v>Vietinės reikšmės keliai ir gatvės (rekonstrukcija)</v>
      </c>
      <c r="M96" s="147" t="str">
        <f>MID('3 pr-2'!B98,12,2)</f>
        <v>00</v>
      </c>
      <c r="N96" s="147">
        <f>IFERROR(INDEX(Veiklos!$C$2:$C$54,MATCH(M96,Veiklos!$D$2:$D$54,0),1),"")</f>
        <v>0</v>
      </c>
      <c r="O96" s="147" t="str">
        <f>MID('3 pr-2'!B98,14,2)</f>
        <v>00</v>
      </c>
      <c r="P96" s="147">
        <f>IFERROR(INDEX(Veiklos!$C$2:$C$54,MATCH(O96,Veiklos!$D$2:$D$54,0),1),"")</f>
        <v>0</v>
      </c>
      <c r="Q96" s="147"/>
      <c r="R96" s="147"/>
      <c r="S96" s="147"/>
      <c r="T96" s="147"/>
      <c r="U96" s="349">
        <v>1</v>
      </c>
      <c r="V96" s="571">
        <f>SUM('3 pr-2'!L98)</f>
        <v>759934</v>
      </c>
      <c r="W96" s="571">
        <f>SUM('3 pr-2'!AA98)</f>
        <v>645944</v>
      </c>
    </row>
    <row r="97" spans="1:23" ht="39" thickBot="1" x14ac:dyDescent="0.3">
      <c r="A97" s="147" t="str">
        <f>CONCATENATE('3 pr-2'!A99)</f>
        <v>1.1.2.4.7</v>
      </c>
      <c r="B97" s="147" t="str">
        <f>CONCATENATE('3 pr-2'!B99)</f>
        <v>R01-5511-120000-1247</v>
      </c>
      <c r="C97" s="341" t="str">
        <f>CONCATENATE('3 pr-2'!D99)</f>
        <v>Eismo saugumo priemonių diegimas Druskininkų savivaldybėje</v>
      </c>
      <c r="D97" s="341" t="str">
        <f>CONCATENATE('3 pr-2'!E99)</f>
        <v xml:space="preserve">Druskininkų savivaldybės administracija  </v>
      </c>
      <c r="E97" s="341" t="str">
        <f>CONCATENATE('3 pr-2'!F99)</f>
        <v>Lietuvos Respublikos susisiekimo ministerija</v>
      </c>
      <c r="F97" s="341" t="str">
        <f>CONCATENATE('3 pr-2'!G99)</f>
        <v>Druskininkų sav.</v>
      </c>
      <c r="G97" s="147" t="str">
        <f>CONCATENATE('3 pr-2'!H99)</f>
        <v>06.2.1-TID-R-511</v>
      </c>
      <c r="H97" s="147" t="str">
        <f>CONCATENATE('3 pr-2'!I99)</f>
        <v>R</v>
      </c>
      <c r="I97" s="147" t="str">
        <f>CONCATENATE('3 pr-2'!J99)</f>
        <v>-</v>
      </c>
      <c r="J97" s="147" t="str">
        <f>CONCATENATE('3 pr-2'!K99)</f>
        <v>-</v>
      </c>
      <c r="K97" s="147" t="str">
        <f>MID('3 pr-2'!B99,10,2)</f>
        <v>12</v>
      </c>
      <c r="L97" s="147" t="str">
        <f>IFERROR(INDEX(Veiklos!$C$2:$C$54,MATCH(K97,Veiklos!$D$2:$D$54,0),1),"")</f>
        <v>Vietinės reikšmės keliai ir gatvės (rekonstrukcija)</v>
      </c>
      <c r="M97" s="147" t="str">
        <f>MID('3 pr-2'!B99,12,2)</f>
        <v>00</v>
      </c>
      <c r="N97" s="147">
        <f>IFERROR(INDEX(Veiklos!$C$2:$C$54,MATCH(M97,Veiklos!$D$2:$D$54,0),1),"")</f>
        <v>0</v>
      </c>
      <c r="O97" s="147" t="str">
        <f>MID('3 pr-2'!B99,14,2)</f>
        <v>00</v>
      </c>
      <c r="P97" s="147">
        <f>IFERROR(INDEX(Veiklos!$C$2:$C$54,MATCH(O97,Veiklos!$D$2:$D$54,0),1),"")</f>
        <v>0</v>
      </c>
      <c r="Q97" s="147"/>
      <c r="R97" s="367"/>
      <c r="S97" s="147"/>
      <c r="T97" s="367"/>
      <c r="U97" s="349">
        <v>1</v>
      </c>
      <c r="V97" s="571">
        <f>SUM('3 pr-2'!L99)</f>
        <v>135352</v>
      </c>
      <c r="W97" s="571">
        <f>SUM('3 pr-2'!AA99)</f>
        <v>112989</v>
      </c>
    </row>
    <row r="98" spans="1:23" ht="49.5" customHeight="1" thickBot="1" x14ac:dyDescent="0.3">
      <c r="A98" s="158" t="s">
        <v>27</v>
      </c>
      <c r="B98" s="715"/>
      <c r="C98" s="1897" t="str">
        <f>CONCATENATE('3 pr-2'!D100)</f>
        <v/>
      </c>
      <c r="D98" s="1898"/>
      <c r="E98" s="1898"/>
      <c r="F98" s="1898"/>
      <c r="G98" s="1898"/>
      <c r="H98" s="1898"/>
      <c r="I98" s="1898"/>
      <c r="J98" s="1899"/>
      <c r="K98" s="557"/>
      <c r="L98" s="599"/>
      <c r="M98" s="560"/>
      <c r="N98" s="599"/>
      <c r="O98" s="560"/>
      <c r="P98" s="599"/>
      <c r="Q98" s="560"/>
      <c r="R98" s="599"/>
      <c r="S98" s="560"/>
      <c r="T98" s="560"/>
      <c r="U98" s="599"/>
      <c r="V98" s="600"/>
      <c r="W98" s="600"/>
    </row>
    <row r="99" spans="1:23" ht="61.5" customHeight="1" thickBot="1" x14ac:dyDescent="0.3">
      <c r="A99" s="151" t="s">
        <v>28</v>
      </c>
      <c r="B99" s="714"/>
      <c r="C99" s="1887" t="s">
        <v>627</v>
      </c>
      <c r="D99" s="1900"/>
      <c r="E99" s="1900"/>
      <c r="F99" s="1900"/>
      <c r="G99" s="1900"/>
      <c r="H99" s="1900"/>
      <c r="I99" s="1900"/>
      <c r="J99" s="1901"/>
      <c r="K99" s="561"/>
      <c r="L99" s="601"/>
      <c r="M99" s="564"/>
      <c r="N99" s="601"/>
      <c r="O99" s="564"/>
      <c r="P99" s="601"/>
      <c r="Q99" s="602"/>
      <c r="R99" s="601"/>
      <c r="S99" s="602"/>
      <c r="T99" s="564"/>
      <c r="U99" s="601"/>
      <c r="V99" s="603"/>
      <c r="W99" s="604"/>
    </row>
    <row r="100" spans="1:23" ht="41.25" customHeight="1" thickBot="1" x14ac:dyDescent="0.3">
      <c r="A100" s="328" t="s">
        <v>96</v>
      </c>
      <c r="B100" s="711"/>
      <c r="C100" s="1885" t="s">
        <v>834</v>
      </c>
      <c r="D100" s="1883"/>
      <c r="E100" s="1883"/>
      <c r="F100" s="1883"/>
      <c r="G100" s="1883"/>
      <c r="H100" s="1883"/>
      <c r="I100" s="1883"/>
      <c r="J100" s="1883"/>
      <c r="K100" s="321"/>
      <c r="L100" s="322"/>
      <c r="M100" s="323"/>
      <c r="N100" s="324"/>
      <c r="O100" s="323"/>
      <c r="P100" s="324"/>
      <c r="Q100" s="323"/>
      <c r="R100" s="324"/>
      <c r="S100" s="323"/>
      <c r="T100" s="324"/>
      <c r="U100" s="596"/>
      <c r="V100" s="597">
        <f>SUM(V101:V105)</f>
        <v>1343975.4100000001</v>
      </c>
      <c r="W100" s="598">
        <f>SUM(W101:W105)</f>
        <v>1142377</v>
      </c>
    </row>
    <row r="101" spans="1:23" ht="64.5" thickBot="1" x14ac:dyDescent="0.3">
      <c r="A101" s="147" t="str">
        <f>CONCATENATE('3 pr-2'!A103)</f>
        <v>2.1.1.1.1</v>
      </c>
      <c r="B101" s="147" t="str">
        <f>CONCATENATE('3 pr-2'!B103)</f>
        <v>R01-7724-220000-2111</v>
      </c>
      <c r="C101" s="341" t="str">
        <f>CONCATENATE('3 pr-2'!D103)</f>
        <v>Varėnos r. Merkinės Vinco Krėvės gimnazijos laisvų patalpų pritaikymas ikimokyklinio ir priešmokyklinio ugdymo grupėms įrengti</v>
      </c>
      <c r="D101" s="341" t="str">
        <f>CONCATENATE('3 pr-2'!E103)</f>
        <v>Varėnos rajono savivaldybės administracija</v>
      </c>
      <c r="E101" s="341" t="str">
        <f>CONCATENATE('3 pr-2'!F103)</f>
        <v>Lietuvos Respublikos švietimo ir mokslo ministerija</v>
      </c>
      <c r="F101" s="341" t="str">
        <f>CONCATENATE('3 pr-2'!G103)</f>
        <v>Varėnos r. sav.</v>
      </c>
      <c r="G101" s="147" t="str">
        <f>CONCATENATE('3 pr-2'!H103)</f>
        <v>09.1.3-CPVA-R-724</v>
      </c>
      <c r="H101" s="147" t="str">
        <f>CONCATENATE('3 pr-2'!I103)</f>
        <v>R</v>
      </c>
      <c r="I101" s="147" t="str">
        <f>CONCATENATE('3 pr-2'!J103)</f>
        <v>-</v>
      </c>
      <c r="J101" s="147" t="str">
        <f>CONCATENATE('3 pr-2'!K103)</f>
        <v>-</v>
      </c>
      <c r="K101" s="147" t="str">
        <f>MID('3 pr-2'!B103,10,2)</f>
        <v>22</v>
      </c>
      <c r="L101" s="147" t="str">
        <f>IFERROR(INDEX(Veiklos!$C$2:$C$54,MATCH(K101,Veiklos!$D$2:$D$54,0),1),"")</f>
        <v>Bendrojo lavinimo mokyklų modernizavimas</v>
      </c>
      <c r="M101" s="147" t="str">
        <f>MID('3 pr-2'!B103,12,2)</f>
        <v>00</v>
      </c>
      <c r="N101" s="147">
        <f>IFERROR(INDEX(Veiklos!$C$2:$C$54,MATCH(M101,Veiklos!$D$2:$D$54,0),1),"")</f>
        <v>0</v>
      </c>
      <c r="O101" s="147" t="str">
        <f>MID('3 pr-2'!B103,14,2)</f>
        <v>00</v>
      </c>
      <c r="P101" s="147">
        <f>IFERROR(INDEX(Veiklos!$C$2:$C$54,MATCH(O101,Veiklos!$D$2:$D$54,0),1),"")</f>
        <v>0</v>
      </c>
      <c r="Q101" s="147"/>
      <c r="R101" s="147"/>
      <c r="S101" s="147"/>
      <c r="T101" s="147"/>
      <c r="U101" s="349">
        <v>1</v>
      </c>
      <c r="V101" s="571">
        <f>SUM('3 pr-2'!L103)</f>
        <v>220453</v>
      </c>
      <c r="W101" s="571">
        <f>SUM('3 pr-2'!AA103)</f>
        <v>187385</v>
      </c>
    </row>
    <row r="102" spans="1:23" ht="51.75" thickBot="1" x14ac:dyDescent="0.3">
      <c r="A102" s="147" t="str">
        <f>CONCATENATE('3 pr-2'!A104)</f>
        <v>2.1.1.1.2</v>
      </c>
      <c r="B102" s="147" t="str">
        <f>CONCATENATE('3 pr-2'!B104)</f>
        <v>R01-7724-220000-2112</v>
      </c>
      <c r="C102" s="341" t="str">
        <f>CONCATENATE('3 pr-2'!D104)</f>
        <v>Alytaus rajono bendrojo ugdymo įstaigų aprūpinimas gamtos, technologijų, menų ir kitų mokslų laboratorijų įranga</v>
      </c>
      <c r="D102" s="341" t="str">
        <f>CONCATENATE('3 pr-2'!E104)</f>
        <v>Alytaus rajono savivaldybės administracija</v>
      </c>
      <c r="E102" s="341" t="str">
        <f>CONCATENATE('3 pr-2'!F104)</f>
        <v>Lietuvos Respublikos švietimo ir mokslo ministerija</v>
      </c>
      <c r="F102" s="341" t="str">
        <f>CONCATENATE('3 pr-2'!G104)</f>
        <v>Alytaus r. sav.</v>
      </c>
      <c r="G102" s="147" t="str">
        <f>CONCATENATE('3 pr-2'!H104)</f>
        <v>09.1.3-CPVA-R-724</v>
      </c>
      <c r="H102" s="147" t="str">
        <f>CONCATENATE('3 pr-2'!I104)</f>
        <v>R</v>
      </c>
      <c r="I102" s="147" t="str">
        <f>CONCATENATE('3 pr-2'!J104)</f>
        <v>-</v>
      </c>
      <c r="J102" s="147" t="str">
        <f>CONCATENATE('3 pr-2'!K104)</f>
        <v>-</v>
      </c>
      <c r="K102" s="147" t="str">
        <f>MID('3 pr-2'!B104,10,2)</f>
        <v>22</v>
      </c>
      <c r="L102" s="147" t="str">
        <f>IFERROR(INDEX(Veiklos!$C$2:$C$54,MATCH(K102,Veiklos!$D$2:$D$54,0),1),"")</f>
        <v>Bendrojo lavinimo mokyklų modernizavimas</v>
      </c>
      <c r="M102" s="147" t="str">
        <f>MID('3 pr-2'!B104,12,2)</f>
        <v>00</v>
      </c>
      <c r="N102" s="147">
        <f>IFERROR(INDEX(Veiklos!$C$2:$C$54,MATCH(M102,Veiklos!$D$2:$D$54,0),1),"")</f>
        <v>0</v>
      </c>
      <c r="O102" s="147" t="str">
        <f>MID('3 pr-2'!B104,14,2)</f>
        <v>00</v>
      </c>
      <c r="P102" s="147">
        <f>IFERROR(INDEX(Veiklos!$C$2:$C$54,MATCH(O102,Veiklos!$D$2:$D$54,0),1),"")</f>
        <v>0</v>
      </c>
      <c r="Q102" s="147"/>
      <c r="R102" s="147"/>
      <c r="S102" s="147"/>
      <c r="T102" s="147"/>
      <c r="U102" s="349">
        <v>1</v>
      </c>
      <c r="V102" s="571">
        <f>SUM('3 pr-2'!L104)</f>
        <v>106845.41</v>
      </c>
      <c r="W102" s="571">
        <f>SUM('3 pr-2'!AA104)</f>
        <v>90818</v>
      </c>
    </row>
    <row r="103" spans="1:23" ht="39" thickBot="1" x14ac:dyDescent="0.3">
      <c r="A103" s="147" t="str">
        <f>CONCATENATE('3 pr-2'!A105)</f>
        <v>2.1.1.1.3</v>
      </c>
      <c r="B103" s="147" t="str">
        <f>CONCATENATE('3 pr-2'!B105)</f>
        <v>R01-7724-220000-2113</v>
      </c>
      <c r="C103" s="341" t="str">
        <f>CONCATENATE('3 pr-2'!D105)</f>
        <v>Modernių ir saugių erdvių kūrimas Dzūkijos pagrindinėje mokykloje, Alytuje</v>
      </c>
      <c r="D103" s="341" t="str">
        <f>CONCATENATE('3 pr-2'!E105)</f>
        <v>Alytaus miesto savivaldybės administracija</v>
      </c>
      <c r="E103" s="341" t="str">
        <f>CONCATENATE('3 pr-2'!F105)</f>
        <v>Lietuvos Respublikos švietimo ir mokslo ministerija</v>
      </c>
      <c r="F103" s="341" t="str">
        <f>CONCATENATE('3 pr-2'!G105)</f>
        <v>Alytaus m. sav.</v>
      </c>
      <c r="G103" s="147" t="str">
        <f>CONCATENATE('3 pr-2'!H105)</f>
        <v>09.1.3-CPVA-R-724</v>
      </c>
      <c r="H103" s="147" t="str">
        <f>CONCATENATE('3 pr-2'!I105)</f>
        <v>R</v>
      </c>
      <c r="I103" s="147" t="str">
        <f>CONCATENATE('3 pr-2'!J105)</f>
        <v>-</v>
      </c>
      <c r="J103" s="147" t="str">
        <f>CONCATENATE('3 pr-2'!K105)</f>
        <v>-</v>
      </c>
      <c r="K103" s="147" t="str">
        <f>MID('3 pr-2'!B105,10,2)</f>
        <v>22</v>
      </c>
      <c r="L103" s="147" t="str">
        <f>IFERROR(INDEX(Veiklos!$C$2:$C$54,MATCH(K103,Veiklos!$D$2:$D$54,0),1),"")</f>
        <v>Bendrojo lavinimo mokyklų modernizavimas</v>
      </c>
      <c r="M103" s="147" t="str">
        <f>MID('3 pr-2'!B105,12,2)</f>
        <v>00</v>
      </c>
      <c r="N103" s="147">
        <f>IFERROR(INDEX(Veiklos!$C$2:$C$54,MATCH(M103,Veiklos!$D$2:$D$54,0),1),"")</f>
        <v>0</v>
      </c>
      <c r="O103" s="147" t="str">
        <f>MID('3 pr-2'!B105,14,2)</f>
        <v>00</v>
      </c>
      <c r="P103" s="147">
        <f>IFERROR(INDEX(Veiklos!$C$2:$C$54,MATCH(O103,Veiklos!$D$2:$D$54,0),1),"")</f>
        <v>0</v>
      </c>
      <c r="Q103" s="147"/>
      <c r="R103" s="147"/>
      <c r="S103" s="147"/>
      <c r="T103" s="147"/>
      <c r="U103" s="349">
        <v>1</v>
      </c>
      <c r="V103" s="571">
        <f>SUM('3 pr-2'!L105)</f>
        <v>657021</v>
      </c>
      <c r="W103" s="571">
        <f>SUM('3 pr-2'!AA105)</f>
        <v>558467</v>
      </c>
    </row>
    <row r="104" spans="1:23" ht="39" thickBot="1" x14ac:dyDescent="0.3">
      <c r="A104" s="147" t="str">
        <f>CONCATENATE('3 pr-2'!A106)</f>
        <v>2.1.1.1.4</v>
      </c>
      <c r="B104" s="147" t="str">
        <f>CONCATENATE('3 pr-2'!B106)</f>
        <v>R01-7724-220000-2114</v>
      </c>
      <c r="C104" s="341" t="str">
        <f>CONCATENATE('3 pr-2'!D106)</f>
        <v>Modernių ir saugių erdvių sukūrimas bendrojo ugdymo mokyklose Druskininkų sav.</v>
      </c>
      <c r="D104" s="341" t="str">
        <f>CONCATENATE('3 pr-2'!E106)</f>
        <v>Druskininkų savivaldybės administracija</v>
      </c>
      <c r="E104" s="341" t="str">
        <f>CONCATENATE('3 pr-2'!F106)</f>
        <v>Lietuvos Respublikos švietimo ir mokslo ministerija</v>
      </c>
      <c r="F104" s="341" t="str">
        <f>CONCATENATE('3 pr-2'!G106)</f>
        <v>Druskininkų sav.</v>
      </c>
      <c r="G104" s="147" t="str">
        <f>CONCATENATE('3 pr-2'!H106)</f>
        <v>09.1.3-CPVA-R-724</v>
      </c>
      <c r="H104" s="147" t="str">
        <f>CONCATENATE('3 pr-2'!I106)</f>
        <v>R</v>
      </c>
      <c r="I104" s="147" t="str">
        <f>CONCATENATE('3 pr-2'!J106)</f>
        <v>-</v>
      </c>
      <c r="J104" s="147" t="str">
        <f>CONCATENATE('3 pr-2'!K106)</f>
        <v>-</v>
      </c>
      <c r="K104" s="147" t="str">
        <f>MID('3 pr-2'!B106,10,2)</f>
        <v>22</v>
      </c>
      <c r="L104" s="147" t="str">
        <f>IFERROR(INDEX(Veiklos!$C$2:$C$54,MATCH(K104,Veiklos!$D$2:$D$54,0),1),"")</f>
        <v>Bendrojo lavinimo mokyklų modernizavimas</v>
      </c>
      <c r="M104" s="147" t="str">
        <f>MID('3 pr-2'!B106,12,2)</f>
        <v>00</v>
      </c>
      <c r="N104" s="147">
        <f>IFERROR(INDEX(Veiklos!$C$2:$C$54,MATCH(M104,Veiklos!$D$2:$D$54,0),1),"")</f>
        <v>0</v>
      </c>
      <c r="O104" s="147" t="str">
        <f>MID('3 pr-2'!B106,14,2)</f>
        <v>00</v>
      </c>
      <c r="P104" s="147">
        <f>IFERROR(INDEX(Veiklos!$C$2:$C$54,MATCH(O104,Veiklos!$D$2:$D$54,0),1),"")</f>
        <v>0</v>
      </c>
      <c r="Q104" s="147"/>
      <c r="R104" s="147"/>
      <c r="S104" s="147"/>
      <c r="T104" s="147"/>
      <c r="U104" s="349">
        <v>1</v>
      </c>
      <c r="V104" s="571">
        <f>SUM('3 pr-2'!L106)</f>
        <v>163877</v>
      </c>
      <c r="W104" s="571">
        <f>SUM('3 pr-2'!AA106)</f>
        <v>139295</v>
      </c>
    </row>
    <row r="105" spans="1:23" ht="51.75" thickBot="1" x14ac:dyDescent="0.3">
      <c r="A105" s="147" t="str">
        <f>CONCATENATE('3 pr-2'!A107)</f>
        <v>2.1.1.1.5</v>
      </c>
      <c r="B105" s="147" t="str">
        <f>CONCATENATE('3 pr-2'!B107)</f>
        <v>R01-7724-220000-2115</v>
      </c>
      <c r="C105" s="341" t="str">
        <f>CONCATENATE('3 pr-2'!D107)</f>
        <v>Modernių ir saugių erdvių sukūrimas bendrojo ugdymo įstaigose Lazdijų rajono savivaldybėje</v>
      </c>
      <c r="D105" s="341" t="str">
        <f>CONCATENATE('3 pr-2'!E107)</f>
        <v>Lazdijų rajono savivaldybės administracija</v>
      </c>
      <c r="E105" s="341" t="str">
        <f>CONCATENATE('3 pr-2'!F107)</f>
        <v>Lietuvos Respublikos švietimo ir mokslo ministerija</v>
      </c>
      <c r="F105" s="341" t="str">
        <f>CONCATENATE('3 pr-2'!G107)</f>
        <v>Lazdijų r. sav.</v>
      </c>
      <c r="G105" s="147" t="str">
        <f>CONCATENATE('3 pr-2'!H107)</f>
        <v>09.1.3-CPVA-R-724</v>
      </c>
      <c r="H105" s="147" t="str">
        <f>CONCATENATE('3 pr-2'!I107)</f>
        <v>R</v>
      </c>
      <c r="I105" s="147" t="str">
        <f>CONCATENATE('3 pr-2'!J107)</f>
        <v>-</v>
      </c>
      <c r="J105" s="147" t="str">
        <f>CONCATENATE('3 pr-2'!K107)</f>
        <v>-</v>
      </c>
      <c r="K105" s="147" t="str">
        <f>MID('3 pr-2'!B107,10,2)</f>
        <v>22</v>
      </c>
      <c r="L105" s="147" t="str">
        <f>IFERROR(INDEX(Veiklos!$C$2:$C$54,MATCH(K105,Veiklos!$D$2:$D$54,0),1),"")</f>
        <v>Bendrojo lavinimo mokyklų modernizavimas</v>
      </c>
      <c r="M105" s="147" t="str">
        <f>MID('3 pr-2'!B107,12,2)</f>
        <v>00</v>
      </c>
      <c r="N105" s="147">
        <f>IFERROR(INDEX(Veiklos!$C$2:$C$54,MATCH(M105,Veiklos!$D$2:$D$54,0),1),"")</f>
        <v>0</v>
      </c>
      <c r="O105" s="147" t="str">
        <f>MID('3 pr-2'!B107,14,2)</f>
        <v>00</v>
      </c>
      <c r="P105" s="147">
        <f>IFERROR(INDEX(Veiklos!$C$2:$C$54,MATCH(O105,Veiklos!$D$2:$D$54,0),1),"")</f>
        <v>0</v>
      </c>
      <c r="Q105" s="147"/>
      <c r="R105" s="147"/>
      <c r="S105" s="147"/>
      <c r="T105" s="147"/>
      <c r="U105" s="349">
        <v>1</v>
      </c>
      <c r="V105" s="571">
        <f>SUM('3 pr-2'!L107)</f>
        <v>195779</v>
      </c>
      <c r="W105" s="571">
        <f>SUM('3 pr-2'!AA107)</f>
        <v>166412</v>
      </c>
    </row>
    <row r="106" spans="1:23" ht="39" customHeight="1" thickBot="1" x14ac:dyDescent="0.3">
      <c r="A106" s="328" t="s">
        <v>99</v>
      </c>
      <c r="B106" s="711"/>
      <c r="C106" s="1885" t="s">
        <v>833</v>
      </c>
      <c r="D106" s="1883"/>
      <c r="E106" s="1883"/>
      <c r="F106" s="1883"/>
      <c r="G106" s="1883"/>
      <c r="H106" s="1883"/>
      <c r="I106" s="1883"/>
      <c r="J106" s="1884"/>
      <c r="K106" s="321"/>
      <c r="L106" s="322"/>
      <c r="M106" s="323"/>
      <c r="N106" s="324"/>
      <c r="O106" s="323"/>
      <c r="P106" s="324"/>
      <c r="Q106" s="323"/>
      <c r="R106" s="324"/>
      <c r="S106" s="323"/>
      <c r="T106" s="324"/>
      <c r="U106" s="596"/>
      <c r="V106" s="597">
        <f>SUM(V107:V111)</f>
        <v>1973870.18</v>
      </c>
      <c r="W106" s="598">
        <f>SUM(W107:W111)</f>
        <v>1486007</v>
      </c>
    </row>
    <row r="107" spans="1:23" ht="39" thickBot="1" x14ac:dyDescent="0.3">
      <c r="A107" s="147" t="str">
        <f>CONCATENATE('3 pr-2'!A109)</f>
        <v>2.1.1.2.1</v>
      </c>
      <c r="B107" s="147" t="str">
        <f>CONCATENATE('3 pr-2'!B109)</f>
        <v>R01-7725-240000-2121</v>
      </c>
      <c r="C107" s="341" t="str">
        <f>CONCATENATE('3 pr-2'!D109)</f>
        <v>Varėnos moksleivių kūrybos centro pastato J. Basanavičiaus g. 38, Varėnoje, modernizavimas</v>
      </c>
      <c r="D107" s="341" t="str">
        <f>CONCATENATE('3 pr-2'!E109)</f>
        <v>Varėnos rajono savivaldybės administracija</v>
      </c>
      <c r="E107" s="341" t="str">
        <f>CONCATENATE('3 pr-2'!F109)</f>
        <v>Lietuvos Respublikos švietimo ir mokslo ministerija</v>
      </c>
      <c r="F107" s="341" t="str">
        <f>CONCATENATE('3 pr-2'!G109)</f>
        <v>Varėnos r. sav.</v>
      </c>
      <c r="G107" s="147" t="str">
        <f>CONCATENATE('3 pr-2'!H109)</f>
        <v>09.13.CPVA-R-725</v>
      </c>
      <c r="H107" s="147" t="str">
        <f>CONCATENATE('3 pr-2'!I109)</f>
        <v>R</v>
      </c>
      <c r="I107" s="147" t="str">
        <f>CONCATENATE('3 pr-2'!J109)</f>
        <v>-</v>
      </c>
      <c r="J107" s="147" t="str">
        <f>CONCATENATE('3 pr-2'!K109)</f>
        <v>-</v>
      </c>
      <c r="K107" s="147" t="str">
        <f>MID('3 pr-2'!B109,10,2)</f>
        <v>24</v>
      </c>
      <c r="L107" s="147" t="str">
        <f>IFERROR(INDEX(Veiklos!$C$2:$C$54,MATCH(K107,Veiklos!$D$2:$D$54,0),1),"")</f>
        <v>Neformaliojo švietimo įstaigų modernizavimas</v>
      </c>
      <c r="M107" s="147" t="str">
        <f>MID('3 pr-2'!B109,12,2)</f>
        <v>00</v>
      </c>
      <c r="N107" s="147">
        <f>IFERROR(INDEX(Veiklos!$C$2:$C$54,MATCH(M107,Veiklos!$D$2:$D$54,0),1),"")</f>
        <v>0</v>
      </c>
      <c r="O107" s="147" t="str">
        <f>MID('3 pr-2'!B109,14,2)</f>
        <v>00</v>
      </c>
      <c r="P107" s="147">
        <f>IFERROR(INDEX(Veiklos!$C$2:$C$54,MATCH(O107,Veiklos!$D$2:$D$54,0),1),"")</f>
        <v>0</v>
      </c>
      <c r="Q107" s="147"/>
      <c r="R107" s="147"/>
      <c r="S107" s="147"/>
      <c r="T107" s="147"/>
      <c r="U107" s="349">
        <v>1</v>
      </c>
      <c r="V107" s="571">
        <f>SUM('3 pr-2'!L109)</f>
        <v>437551</v>
      </c>
      <c r="W107" s="571">
        <f>SUM('3 pr-2'!AA109)</f>
        <v>371918</v>
      </c>
    </row>
    <row r="108" spans="1:23" ht="39" thickBot="1" x14ac:dyDescent="0.3">
      <c r="A108" s="147" t="str">
        <f>CONCATENATE('3 pr-2'!A110)</f>
        <v>2.1.1.2.2</v>
      </c>
      <c r="B108" s="147" t="str">
        <f>CONCATENATE('3 pr-2'!B110)</f>
        <v>R01-7725-240000-2122</v>
      </c>
      <c r="C108" s="341" t="str">
        <f>CONCATENATE('3 pr-2'!D110)</f>
        <v>Alytaus r. meno ir sporto mokyklos edukacinių erdvių įkūrimas ir atnaujinimas</v>
      </c>
      <c r="D108" s="341" t="str">
        <f>CONCATENATE('3 pr-2'!E110)</f>
        <v>Alytaus rajono savivaldybės administracija</v>
      </c>
      <c r="E108" s="341" t="str">
        <f>CONCATENATE('3 pr-2'!F110)</f>
        <v>Lietuvos Respublikos švietimo ir mokslo ministerija</v>
      </c>
      <c r="F108" s="341" t="str">
        <f>CONCATENATE('3 pr-2'!G110)</f>
        <v>Alytaus r. sav.</v>
      </c>
      <c r="G108" s="147" t="str">
        <f>CONCATENATE('3 pr-2'!H110)</f>
        <v>09.13.CPVA-R-725</v>
      </c>
      <c r="H108" s="147" t="str">
        <f>CONCATENATE('3 pr-2'!I110)</f>
        <v>R</v>
      </c>
      <c r="I108" s="147" t="str">
        <f>CONCATENATE('3 pr-2'!J110)</f>
        <v>-</v>
      </c>
      <c r="J108" s="147" t="str">
        <f>CONCATENATE('3 pr-2'!K110)</f>
        <v>-</v>
      </c>
      <c r="K108" s="147" t="str">
        <f>MID('3 pr-2'!B110,10,2)</f>
        <v>24</v>
      </c>
      <c r="L108" s="147" t="str">
        <f>IFERROR(INDEX(Veiklos!$C$2:$C$54,MATCH(K108,Veiklos!$D$2:$D$54,0),1),"")</f>
        <v>Neformaliojo švietimo įstaigų modernizavimas</v>
      </c>
      <c r="M108" s="147" t="str">
        <f>MID('3 pr-2'!B110,12,2)</f>
        <v>00</v>
      </c>
      <c r="N108" s="147">
        <f>IFERROR(INDEX(Veiklos!$C$2:$C$54,MATCH(M108,Veiklos!$D$2:$D$54,0),1),"")</f>
        <v>0</v>
      </c>
      <c r="O108" s="147" t="str">
        <f>MID('3 pr-2'!B110,14,2)</f>
        <v>00</v>
      </c>
      <c r="P108" s="147">
        <f>IFERROR(INDEX(Veiklos!$C$2:$C$54,MATCH(O108,Veiklos!$D$2:$D$54,0),1),"")</f>
        <v>0</v>
      </c>
      <c r="Q108" s="147"/>
      <c r="R108" s="147"/>
      <c r="S108" s="147"/>
      <c r="T108" s="147"/>
      <c r="U108" s="349">
        <v>1</v>
      </c>
      <c r="V108" s="571">
        <f>SUM('3 pr-2'!L110)</f>
        <v>856424.88</v>
      </c>
      <c r="W108" s="571">
        <f>SUM('3 pr-2'!AA110)</f>
        <v>536611</v>
      </c>
    </row>
    <row r="109" spans="1:23" ht="39" thickBot="1" x14ac:dyDescent="0.3">
      <c r="A109" s="147" t="str">
        <f>CONCATENATE('3 pr-2'!A111)</f>
        <v>2.1.1.2.3</v>
      </c>
      <c r="B109" s="147" t="str">
        <f>CONCATENATE('3 pr-2'!B111)</f>
        <v>R01-7725-240000-2123</v>
      </c>
      <c r="C109" s="341" t="str">
        <f>CONCATENATE('3 pr-2'!D111)</f>
        <v>Alytaus muzikos mokyklos pastato modernizavimas ir ugdymo aplinkos gerinimas</v>
      </c>
      <c r="D109" s="341" t="str">
        <f>CONCATENATE('3 pr-2'!E111)</f>
        <v>Alytaus miesto savivaldybės administracija</v>
      </c>
      <c r="E109" s="341" t="str">
        <f>CONCATENATE('3 pr-2'!F111)</f>
        <v>Lietuvos Respublikos švietimo ir mokslo ministerija</v>
      </c>
      <c r="F109" s="341" t="str">
        <f>CONCATENATE('3 pr-2'!G111)</f>
        <v>Alytaus m. sav.</v>
      </c>
      <c r="G109" s="147" t="str">
        <f>CONCATENATE('3 pr-2'!H111)</f>
        <v>09.13.CPVA-R-725</v>
      </c>
      <c r="H109" s="147" t="str">
        <f>CONCATENATE('3 pr-2'!I111)</f>
        <v>R</v>
      </c>
      <c r="I109" s="147" t="str">
        <f>CONCATENATE('3 pr-2'!J111)</f>
        <v>-</v>
      </c>
      <c r="J109" s="147" t="str">
        <f>CONCATENATE('3 pr-2'!K111)</f>
        <v>-</v>
      </c>
      <c r="K109" s="147" t="str">
        <f>MID('3 pr-2'!B111,10,2)</f>
        <v>24</v>
      </c>
      <c r="L109" s="147" t="str">
        <f>IFERROR(INDEX(Veiklos!$C$2:$C$54,MATCH(K109,Veiklos!$D$2:$D$54,0),1),"")</f>
        <v>Neformaliojo švietimo įstaigų modernizavimas</v>
      </c>
      <c r="M109" s="147" t="str">
        <f>MID('3 pr-2'!B111,12,2)</f>
        <v>00</v>
      </c>
      <c r="N109" s="147">
        <f>IFERROR(INDEX(Veiklos!$C$2:$C$54,MATCH(M109,Veiklos!$D$2:$D$54,0),1),"")</f>
        <v>0</v>
      </c>
      <c r="O109" s="147" t="str">
        <f>MID('3 pr-2'!B111,14,2)</f>
        <v>00</v>
      </c>
      <c r="P109" s="147">
        <f>IFERROR(INDEX(Veiklos!$C$2:$C$54,MATCH(O109,Veiklos!$D$2:$D$54,0),1),"")</f>
        <v>0</v>
      </c>
      <c r="Q109" s="147"/>
      <c r="R109" s="147"/>
      <c r="S109" s="147"/>
      <c r="T109" s="147"/>
      <c r="U109" s="349">
        <v>1</v>
      </c>
      <c r="V109" s="571">
        <f>SUM('3 pr-2'!L111)</f>
        <v>397378</v>
      </c>
      <c r="W109" s="571">
        <f>SUM('3 pr-2'!AA111)</f>
        <v>337771</v>
      </c>
    </row>
    <row r="110" spans="1:23" ht="39" thickBot="1" x14ac:dyDescent="0.3">
      <c r="A110" s="147" t="str">
        <f>CONCATENATE('3 pr-2'!A112)</f>
        <v>2.1.1.2.4</v>
      </c>
      <c r="B110" s="147" t="str">
        <f>CONCATENATE('3 pr-2'!B112)</f>
        <v>R01-7725-240000-2124</v>
      </c>
      <c r="C110" s="341" t="str">
        <f>CONCATENATE('3 pr-2'!D112)</f>
        <v>Druskininkų M. K. Čiurlionio meno mokyklos infrastruktūros tobulinimas</v>
      </c>
      <c r="D110" s="341" t="str">
        <f>CONCATENATE('3 pr-2'!E112)</f>
        <v xml:space="preserve">Druskininkų savivaldybės administracija  </v>
      </c>
      <c r="E110" s="341" t="str">
        <f>CONCATENATE('3 pr-2'!F112)</f>
        <v>Lietuvos Respublikos švietimo ir mokslo ministerija</v>
      </c>
      <c r="F110" s="341" t="str">
        <f>CONCATENATE('3 pr-2'!G112)</f>
        <v>Druskininkų sav.</v>
      </c>
      <c r="G110" s="147" t="str">
        <f>CONCATENATE('3 pr-2'!H112)</f>
        <v>09.13.CPVA-R-725</v>
      </c>
      <c r="H110" s="147" t="str">
        <f>CONCATENATE('3 pr-2'!I112)</f>
        <v>R</v>
      </c>
      <c r="I110" s="147" t="str">
        <f>CONCATENATE('3 pr-2'!J112)</f>
        <v>-</v>
      </c>
      <c r="J110" s="147" t="str">
        <f>CONCATENATE('3 pr-2'!K112)</f>
        <v>-</v>
      </c>
      <c r="K110" s="147" t="str">
        <f>MID('3 pr-2'!B112,10,2)</f>
        <v>24</v>
      </c>
      <c r="L110" s="147" t="str">
        <f>IFERROR(INDEX(Veiklos!$C$2:$C$54,MATCH(K110,Veiklos!$D$2:$D$54,0),1),"")</f>
        <v>Neformaliojo švietimo įstaigų modernizavimas</v>
      </c>
      <c r="M110" s="147" t="str">
        <f>MID('3 pr-2'!B112,12,2)</f>
        <v>00</v>
      </c>
      <c r="N110" s="147">
        <f>IFERROR(INDEX(Veiklos!$C$2:$C$54,MATCH(M110,Veiklos!$D$2:$D$54,0),1),"")</f>
        <v>0</v>
      </c>
      <c r="O110" s="147" t="str">
        <f>MID('3 pr-2'!B112,14,2)</f>
        <v>00</v>
      </c>
      <c r="P110" s="147">
        <f>IFERROR(INDEX(Veiklos!$C$2:$C$54,MATCH(O110,Veiklos!$D$2:$D$54,0),1),"")</f>
        <v>0</v>
      </c>
      <c r="Q110" s="147"/>
      <c r="R110" s="147"/>
      <c r="S110" s="147"/>
      <c r="T110" s="147"/>
      <c r="U110" s="349">
        <v>1</v>
      </c>
      <c r="V110" s="571">
        <f>SUM('3 pr-2'!L112)</f>
        <v>146702.29999999999</v>
      </c>
      <c r="W110" s="571">
        <f>SUM('3 pr-2'!AA112)</f>
        <v>124266</v>
      </c>
    </row>
    <row r="111" spans="1:23" ht="39" thickBot="1" x14ac:dyDescent="0.3">
      <c r="A111" s="147" t="str">
        <f>CONCATENATE('3 pr-2'!A113)</f>
        <v>2.1.1.2.5</v>
      </c>
      <c r="B111" s="147" t="str">
        <f>CONCATENATE('3 pr-2'!B113)</f>
        <v>R01-7725-240000-2125</v>
      </c>
      <c r="C111" s="341" t="str">
        <f>CONCATENATE('3 pr-2'!D113)</f>
        <v>Neformaliojo švietimo įstaigų Lazdijų rajono savivaldybėje infrastruktūros tobulinimas</v>
      </c>
      <c r="D111" s="341" t="str">
        <f>CONCATENATE('3 pr-2'!E113)</f>
        <v>VšĮ „Lazdijų sporto centras“</v>
      </c>
      <c r="E111" s="341" t="str">
        <f>CONCATENATE('3 pr-2'!F113)</f>
        <v>Lietuvos Respublikos švietimo ir mokslo ministerija</v>
      </c>
      <c r="F111" s="341" t="str">
        <f>CONCATENATE('3 pr-2'!G113)</f>
        <v>Lazdijų r. sav.</v>
      </c>
      <c r="G111" s="147" t="str">
        <f>CONCATENATE('3 pr-2'!H113)</f>
        <v>09.13.CPVA-R-725</v>
      </c>
      <c r="H111" s="147" t="str">
        <f>CONCATENATE('3 pr-2'!I113)</f>
        <v>R</v>
      </c>
      <c r="I111" s="147" t="str">
        <f>CONCATENATE('3 pr-2'!J113)</f>
        <v>-</v>
      </c>
      <c r="J111" s="147" t="str">
        <f>CONCATENATE('3 pr-2'!K113)</f>
        <v>-</v>
      </c>
      <c r="K111" s="147" t="str">
        <f>MID('3 pr-2'!B113,10,2)</f>
        <v>24</v>
      </c>
      <c r="L111" s="147" t="str">
        <f>IFERROR(INDEX(Veiklos!$C$2:$C$54,MATCH(K111,Veiklos!$D$2:$D$54,0),1),"")</f>
        <v>Neformaliojo švietimo įstaigų modernizavimas</v>
      </c>
      <c r="M111" s="147" t="str">
        <f>MID('3 pr-2'!B113,12,2)</f>
        <v>00</v>
      </c>
      <c r="N111" s="147">
        <f>IFERROR(INDEX(Veiklos!$C$2:$C$54,MATCH(M111,Veiklos!$D$2:$D$54,0),1),"")</f>
        <v>0</v>
      </c>
      <c r="O111" s="147" t="str">
        <f>MID('3 pr-2'!B113,14,2)</f>
        <v>00</v>
      </c>
      <c r="P111" s="147">
        <f>IFERROR(INDEX(Veiklos!$C$2:$C$54,MATCH(O111,Veiklos!$D$2:$D$54,0),1),"")</f>
        <v>0</v>
      </c>
      <c r="Q111" s="147"/>
      <c r="R111" s="147"/>
      <c r="S111" s="147"/>
      <c r="T111" s="147"/>
      <c r="U111" s="349">
        <v>1</v>
      </c>
      <c r="V111" s="571">
        <f>SUM('3 pr-2'!L113)</f>
        <v>135814</v>
      </c>
      <c r="W111" s="571">
        <f>SUM('3 pr-2'!AA113)</f>
        <v>115441</v>
      </c>
    </row>
    <row r="112" spans="1:23" ht="40.5" customHeight="1" thickBot="1" x14ac:dyDescent="0.3">
      <c r="A112" s="328" t="s">
        <v>101</v>
      </c>
      <c r="B112" s="711"/>
      <c r="C112" s="1880" t="s">
        <v>1148</v>
      </c>
      <c r="D112" s="1883"/>
      <c r="E112" s="1883"/>
      <c r="F112" s="1883"/>
      <c r="G112" s="1883"/>
      <c r="H112" s="1883"/>
      <c r="I112" s="1883"/>
      <c r="J112" s="1884"/>
      <c r="K112" s="321"/>
      <c r="L112" s="322"/>
      <c r="M112" s="323"/>
      <c r="N112" s="324"/>
      <c r="O112" s="323"/>
      <c r="P112" s="324"/>
      <c r="Q112" s="323"/>
      <c r="R112" s="324"/>
      <c r="S112" s="323"/>
      <c r="T112" s="324"/>
      <c r="U112" s="596"/>
      <c r="V112" s="597">
        <f>SUM(V113:V117)</f>
        <v>1459021.7699999998</v>
      </c>
      <c r="W112" s="598">
        <f>SUM(W113:W117)</f>
        <v>1138588</v>
      </c>
    </row>
    <row r="113" spans="1:23" ht="39" thickBot="1" x14ac:dyDescent="0.3">
      <c r="A113" s="147" t="str">
        <f>CONCATENATE('3 pr-2'!A115)</f>
        <v>2.1.1.3.1</v>
      </c>
      <c r="B113" s="147" t="str">
        <f>CONCATENATE('3 pr-2'!B115)</f>
        <v>R01-7705-230000-2131</v>
      </c>
      <c r="C113" s="341" t="str">
        <f>CONCATENATE('3 pr-2'!D115)</f>
        <v>Varėnos "Pasakos" vaikų lopšelio-darželio pastato modernizavimas</v>
      </c>
      <c r="D113" s="341" t="str">
        <f>CONCATENATE('3 pr-2'!E115)</f>
        <v>Varėnos rajono savivaldybės administracija</v>
      </c>
      <c r="E113" s="341" t="str">
        <f>CONCATENATE('3 pr-2'!F115)</f>
        <v>Lietuvos Respublikos švietimo ir mokslo ministerija</v>
      </c>
      <c r="F113" s="341" t="str">
        <f>CONCATENATE('3 pr-2'!G115)</f>
        <v>Varėnos r. sav.</v>
      </c>
      <c r="G113" s="147" t="str">
        <f>CONCATENATE('3 pr-2'!H115)</f>
        <v>09.1.3-CPVA-R-705</v>
      </c>
      <c r="H113" s="147" t="str">
        <f>CONCATENATE('3 pr-2'!I115)</f>
        <v>R</v>
      </c>
      <c r="I113" s="147" t="str">
        <f>CONCATENATE('3 pr-2'!J115)</f>
        <v>-</v>
      </c>
      <c r="J113" s="147" t="str">
        <f>CONCATENATE('3 pr-2'!K115)</f>
        <v>-</v>
      </c>
      <c r="K113" s="147" t="str">
        <f>MID('3 pr-2'!B115,10,2)</f>
        <v>23</v>
      </c>
      <c r="L113" s="147" t="str">
        <f>IFERROR(INDEX(Veiklos!$C$2:$C$54,MATCH(K113,Veiklos!$D$2:$D$54,0),1),"")</f>
        <v>Ikimokyklinio ar priešmokyklinio ugdymo įstaigų modernizavimas</v>
      </c>
      <c r="M113" s="147" t="str">
        <f>MID('3 pr-2'!B115,12,2)</f>
        <v>00</v>
      </c>
      <c r="N113" s="147">
        <f>IFERROR(INDEX(Veiklos!$C$2:$C$54,MATCH(M113,Veiklos!$D$2:$D$54,0),1),"")</f>
        <v>0</v>
      </c>
      <c r="O113" s="147" t="str">
        <f>MID('3 pr-2'!B115,14,2)</f>
        <v>00</v>
      </c>
      <c r="P113" s="147">
        <f>IFERROR(INDEX(Veiklos!$C$2:$C$54,MATCH(O113,Veiklos!$D$2:$D$54,0),1),"")</f>
        <v>0</v>
      </c>
      <c r="Q113" s="147"/>
      <c r="R113" s="147"/>
      <c r="S113" s="147"/>
      <c r="T113" s="147"/>
      <c r="U113" s="349">
        <v>1</v>
      </c>
      <c r="V113" s="571">
        <f>SUM('3 pr-2'!L115)</f>
        <v>370000</v>
      </c>
      <c r="W113" s="571">
        <f>SUM('3 pr-2'!AA115)</f>
        <v>287307</v>
      </c>
    </row>
    <row r="114" spans="1:23" ht="51.75" thickBot="1" x14ac:dyDescent="0.3">
      <c r="A114" s="147" t="str">
        <f>CONCATENATE('3 pr-2'!A116)</f>
        <v>2.1.1.3.2</v>
      </c>
      <c r="B114" s="147" t="str">
        <f>CONCATENATE('3 pr-2'!B116)</f>
        <v>R01-7705-230000-2132</v>
      </c>
      <c r="C114" s="341" t="str">
        <f>CONCATENATE('3 pr-2'!D116)</f>
        <v>Alytaus r. ikimokyklinio ir priešmokyklinio ugdymo prieinamumo didinimas įkuriant ir atnaujinant edukacines erdves</v>
      </c>
      <c r="D114" s="341" t="str">
        <f>CONCATENATE('3 pr-2'!E116)</f>
        <v>Alytaus rajono savivaldybės administracija</v>
      </c>
      <c r="E114" s="341" t="str">
        <f>CONCATENATE('3 pr-2'!F116)</f>
        <v>Lietuvos Respublikos švietimo ir mokslo ministerija</v>
      </c>
      <c r="F114" s="341" t="str">
        <f>CONCATENATE('3 pr-2'!G116)</f>
        <v>Alytaus r. sav.</v>
      </c>
      <c r="G114" s="147" t="str">
        <f>CONCATENATE('3 pr-2'!H116)</f>
        <v>09.1.3-CPVA-R-705</v>
      </c>
      <c r="H114" s="147" t="str">
        <f>CONCATENATE('3 pr-2'!I116)</f>
        <v>R</v>
      </c>
      <c r="I114" s="147" t="str">
        <f>CONCATENATE('3 pr-2'!J116)</f>
        <v/>
      </c>
      <c r="J114" s="147" t="str">
        <f>CONCATENATE('3 pr-2'!K116)</f>
        <v/>
      </c>
      <c r="K114" s="147" t="str">
        <f>MID('3 pr-2'!B116,10,2)</f>
        <v>23</v>
      </c>
      <c r="L114" s="147" t="str">
        <f>IFERROR(INDEX(Veiklos!$C$2:$C$54,MATCH(K114,Veiklos!$D$2:$D$54,0),1),"")</f>
        <v>Ikimokyklinio ar priešmokyklinio ugdymo įstaigų modernizavimas</v>
      </c>
      <c r="M114" s="147" t="str">
        <f>MID('3 pr-2'!B116,12,2)</f>
        <v>00</v>
      </c>
      <c r="N114" s="147">
        <f>IFERROR(INDEX(Veiklos!$C$2:$C$54,MATCH(M114,Veiklos!$D$2:$D$54,0),1),"")</f>
        <v>0</v>
      </c>
      <c r="O114" s="147" t="str">
        <f>MID('3 pr-2'!B116,14,2)</f>
        <v>00</v>
      </c>
      <c r="P114" s="147">
        <f>IFERROR(INDEX(Veiklos!$C$2:$C$54,MATCH(O114,Veiklos!$D$2:$D$54,0),1),"")</f>
        <v>0</v>
      </c>
      <c r="Q114" s="147"/>
      <c r="R114" s="147"/>
      <c r="S114" s="147"/>
      <c r="T114" s="147"/>
      <c r="U114" s="349">
        <v>1</v>
      </c>
      <c r="V114" s="571">
        <f>SUM('3 pr-2'!L116)</f>
        <v>597456.88</v>
      </c>
      <c r="W114" s="571">
        <f>SUM('3 pr-2'!AA116)</f>
        <v>494007</v>
      </c>
    </row>
    <row r="115" spans="1:23" ht="39" thickBot="1" x14ac:dyDescent="0.3">
      <c r="A115" s="147" t="str">
        <f>CONCATENATE('3 pr-2'!A117)</f>
        <v>2.1.1.3.3</v>
      </c>
      <c r="B115" s="147" t="str">
        <f>CONCATENATE('3 pr-2'!B117)</f>
        <v>R01-7705-230000-2133</v>
      </c>
      <c r="C115" s="341" t="str">
        <f>CONCATENATE('3 pr-2'!D117)</f>
        <v>Alytaus lopšelio-darželio " Girinukas" ugdymo aplinkos modernizavimas</v>
      </c>
      <c r="D115" s="341" t="str">
        <f>CONCATENATE('3 pr-2'!E117)</f>
        <v>Alytaus miesto savivaldybės administracija</v>
      </c>
      <c r="E115" s="341" t="str">
        <f>CONCATENATE('3 pr-2'!F117)</f>
        <v>Lietuvos Respublikos švietimo ir mokslo ministerija</v>
      </c>
      <c r="F115" s="341" t="str">
        <f>CONCATENATE('3 pr-2'!G117)</f>
        <v>Alytaus m. sav.</v>
      </c>
      <c r="G115" s="147" t="str">
        <f>CONCATENATE('3 pr-2'!H117)</f>
        <v>09.1.3-CPVA-R-705</v>
      </c>
      <c r="H115" s="147" t="str">
        <f>CONCATENATE('3 pr-2'!I117)</f>
        <v>R</v>
      </c>
      <c r="I115" s="147" t="str">
        <f>CONCATENATE('3 pr-2'!J117)</f>
        <v>-</v>
      </c>
      <c r="J115" s="147" t="str">
        <f>CONCATENATE('3 pr-2'!K117)</f>
        <v>-</v>
      </c>
      <c r="K115" s="147" t="str">
        <f>MID('3 pr-2'!B117,10,2)</f>
        <v>23</v>
      </c>
      <c r="L115" s="147" t="str">
        <f>IFERROR(INDEX(Veiklos!$C$2:$C$54,MATCH(K115,Veiklos!$D$2:$D$54,0),1),"")</f>
        <v>Ikimokyklinio ar priešmokyklinio ugdymo įstaigų modernizavimas</v>
      </c>
      <c r="M115" s="147" t="str">
        <f>MID('3 pr-2'!B117,12,2)</f>
        <v>00</v>
      </c>
      <c r="N115" s="147">
        <f>IFERROR(INDEX(Veiklos!$C$2:$C$54,MATCH(M115,Veiklos!$D$2:$D$54,0),1),"")</f>
        <v>0</v>
      </c>
      <c r="O115" s="147" t="str">
        <f>MID('3 pr-2'!B117,14,2)</f>
        <v>00</v>
      </c>
      <c r="P115" s="147">
        <f>IFERROR(INDEX(Veiklos!$C$2:$C$54,MATCH(O115,Veiklos!$D$2:$D$54,0),1),"")</f>
        <v>0</v>
      </c>
      <c r="Q115" s="147"/>
      <c r="R115" s="147"/>
      <c r="S115" s="147"/>
      <c r="T115" s="147"/>
      <c r="U115" s="349">
        <v>1</v>
      </c>
      <c r="V115" s="571">
        <f>SUM('3 pr-2'!L117)</f>
        <v>181986</v>
      </c>
      <c r="W115" s="571">
        <f>SUM('3 pr-2'!AA117)</f>
        <v>154688</v>
      </c>
    </row>
    <row r="116" spans="1:23" ht="51.75" thickBot="1" x14ac:dyDescent="0.3">
      <c r="A116" s="147" t="str">
        <f>CONCATENATE('3 pr-2'!A118)</f>
        <v>2.1.1.3.4</v>
      </c>
      <c r="B116" s="147" t="str">
        <f>CONCATENATE('3 pr-2'!B118)</f>
        <v>R01-7705-230000-2134</v>
      </c>
      <c r="C116" s="341" t="str">
        <f>CONCATENATE('3 pr-2'!D118)</f>
        <v>Druskininkų sav. Viečiūnų progimnazijos ikimokyklinio ugdymo skyriaus „Linelis“ ugdymo prieinamumo didinimas</v>
      </c>
      <c r="D116" s="341" t="str">
        <f>CONCATENATE('3 pr-2'!E118)</f>
        <v xml:space="preserve">Druskininkų savivaldybės administracija  </v>
      </c>
      <c r="E116" s="341" t="str">
        <f>CONCATENATE('3 pr-2'!F118)</f>
        <v>Lietuvos Respublikos švietimo ir mokslo ministerija</v>
      </c>
      <c r="F116" s="341" t="str">
        <f>CONCATENATE('3 pr-2'!G118)</f>
        <v>Druskininkų sav.</v>
      </c>
      <c r="G116" s="147" t="str">
        <f>CONCATENATE('3 pr-2'!H118)</f>
        <v>09.1.3-CPVA-R-705</v>
      </c>
      <c r="H116" s="147" t="str">
        <f>CONCATENATE('3 pr-2'!I118)</f>
        <v>R</v>
      </c>
      <c r="I116" s="147" t="str">
        <f>CONCATENATE('3 pr-2'!J118)</f>
        <v>-</v>
      </c>
      <c r="J116" s="147" t="str">
        <f>CONCATENATE('3 pr-2'!K118)</f>
        <v>-</v>
      </c>
      <c r="K116" s="147" t="str">
        <f>MID('3 pr-2'!B118,10,2)</f>
        <v>23</v>
      </c>
      <c r="L116" s="147" t="str">
        <f>IFERROR(INDEX(Veiklos!$C$2:$C$54,MATCH(K116,Veiklos!$D$2:$D$54,0),1),"")</f>
        <v>Ikimokyklinio ar priešmokyklinio ugdymo įstaigų modernizavimas</v>
      </c>
      <c r="M116" s="147" t="str">
        <f>MID('3 pr-2'!B118,12,2)</f>
        <v>00</v>
      </c>
      <c r="N116" s="147">
        <f>IFERROR(INDEX(Veiklos!$C$2:$C$54,MATCH(M116,Veiklos!$D$2:$D$54,0),1),"")</f>
        <v>0</v>
      </c>
      <c r="O116" s="147" t="str">
        <f>MID('3 pr-2'!B118,14,2)</f>
        <v>00</v>
      </c>
      <c r="P116" s="147">
        <f>IFERROR(INDEX(Veiklos!$C$2:$C$54,MATCH(O116,Veiklos!$D$2:$D$54,0),1),"")</f>
        <v>0</v>
      </c>
      <c r="Q116" s="147"/>
      <c r="R116" s="147"/>
      <c r="S116" s="147"/>
      <c r="T116" s="147"/>
      <c r="U116" s="349">
        <v>1</v>
      </c>
      <c r="V116" s="571">
        <f>SUM('3 pr-2'!L118)</f>
        <v>176024.68</v>
      </c>
      <c r="W116" s="571">
        <f>SUM('3 pr-2'!AA118)</f>
        <v>89074</v>
      </c>
    </row>
    <row r="117" spans="1:23" ht="39" thickBot="1" x14ac:dyDescent="0.3">
      <c r="A117" s="147" t="str">
        <f>CONCATENATE('3 pr-2'!A119)</f>
        <v>2.1.1.3.5</v>
      </c>
      <c r="B117" s="147" t="str">
        <f>CONCATENATE('3 pr-2'!B119)</f>
        <v>R01-7705-230000-2135</v>
      </c>
      <c r="C117" s="341" t="str">
        <f>CONCATENATE('3 pr-2'!D119)</f>
        <v>Ikimokyklinio ir priešmokyklinio ugdymo įstaigų Lazdijų rajono savivaldybėje modernizavimas</v>
      </c>
      <c r="D117" s="341" t="str">
        <f>CONCATENATE('3 pr-2'!E119)</f>
        <v>Lazdijų rajono savivaldybės administracija</v>
      </c>
      <c r="E117" s="341" t="str">
        <f>CONCATENATE('3 pr-2'!F119)</f>
        <v>Lietuvos Respublikos švietimo ir mokslo ministerija</v>
      </c>
      <c r="F117" s="341" t="str">
        <f>CONCATENATE('3 pr-2'!G119)</f>
        <v>Lazdijų r. sav.</v>
      </c>
      <c r="G117" s="147" t="str">
        <f>CONCATENATE('3 pr-2'!H119)</f>
        <v>09.1.3-CPVA-R-705</v>
      </c>
      <c r="H117" s="147" t="str">
        <f>CONCATENATE('3 pr-2'!I119)</f>
        <v>R</v>
      </c>
      <c r="I117" s="147" t="str">
        <f>CONCATENATE('3 pr-2'!J119)</f>
        <v>-</v>
      </c>
      <c r="J117" s="147" t="str">
        <f>CONCATENATE('3 pr-2'!K119)</f>
        <v>-</v>
      </c>
      <c r="K117" s="147" t="str">
        <f>MID('3 pr-2'!B119,10,2)</f>
        <v>23</v>
      </c>
      <c r="L117" s="147" t="str">
        <f>IFERROR(INDEX(Veiklos!$C$2:$C$54,MATCH(K117,Veiklos!$D$2:$D$54,0),1),"")</f>
        <v>Ikimokyklinio ar priešmokyklinio ugdymo įstaigų modernizavimas</v>
      </c>
      <c r="M117" s="147" t="str">
        <f>MID('3 pr-2'!B119,12,2)</f>
        <v>00</v>
      </c>
      <c r="N117" s="147">
        <f>IFERROR(INDEX(Veiklos!$C$2:$C$54,MATCH(M117,Veiklos!$D$2:$D$54,0),1),"")</f>
        <v>0</v>
      </c>
      <c r="O117" s="147" t="str">
        <f>MID('3 pr-2'!B119,14,2)</f>
        <v>00</v>
      </c>
      <c r="P117" s="147">
        <f>IFERROR(INDEX(Veiklos!$C$2:$C$54,MATCH(O117,Veiklos!$D$2:$D$54,0),1),"")</f>
        <v>0</v>
      </c>
      <c r="Q117" s="147"/>
      <c r="R117" s="147"/>
      <c r="S117" s="147"/>
      <c r="T117" s="147"/>
      <c r="U117" s="349">
        <v>1</v>
      </c>
      <c r="V117" s="571">
        <f>SUM('3 pr-2'!L119)</f>
        <v>133554.21</v>
      </c>
      <c r="W117" s="571">
        <f>SUM('3 pr-2'!AA119)</f>
        <v>113512</v>
      </c>
    </row>
    <row r="118" spans="1:23" ht="55.5" customHeight="1" thickBot="1" x14ac:dyDescent="0.3">
      <c r="A118" s="151" t="s">
        <v>32</v>
      </c>
      <c r="B118" s="714"/>
      <c r="C118" s="1887" t="s">
        <v>630</v>
      </c>
      <c r="D118" s="1888"/>
      <c r="E118" s="1888"/>
      <c r="F118" s="1888"/>
      <c r="G118" s="1888"/>
      <c r="H118" s="1888"/>
      <c r="I118" s="1888"/>
      <c r="J118" s="1889"/>
      <c r="K118" s="561"/>
      <c r="L118" s="562"/>
      <c r="M118" s="563"/>
      <c r="N118" s="562"/>
      <c r="O118" s="563"/>
      <c r="P118" s="562"/>
      <c r="Q118" s="563"/>
      <c r="R118" s="562"/>
      <c r="S118" s="563"/>
      <c r="T118" s="562"/>
      <c r="U118" s="562"/>
      <c r="V118" s="585"/>
      <c r="W118" s="586"/>
    </row>
    <row r="119" spans="1:23" ht="44.25" customHeight="1" thickBot="1" x14ac:dyDescent="0.3">
      <c r="A119" s="327" t="s">
        <v>33</v>
      </c>
      <c r="B119" s="710"/>
      <c r="C119" s="1885" t="s">
        <v>832</v>
      </c>
      <c r="D119" s="1883"/>
      <c r="E119" s="1883"/>
      <c r="F119" s="1883"/>
      <c r="G119" s="1883"/>
      <c r="H119" s="1883"/>
      <c r="I119" s="1883"/>
      <c r="J119" s="1884"/>
      <c r="K119" s="575"/>
      <c r="L119" s="576"/>
      <c r="M119" s="577"/>
      <c r="N119" s="576"/>
      <c r="O119" s="577"/>
      <c r="P119" s="576"/>
      <c r="Q119" s="577"/>
      <c r="R119" s="576"/>
      <c r="S119" s="577"/>
      <c r="T119" s="576"/>
      <c r="U119" s="605"/>
      <c r="V119" s="579">
        <f>SUM(V120:V127)</f>
        <v>1000941</v>
      </c>
      <c r="W119" s="579">
        <f>SUM(W120:W127)</f>
        <v>850799</v>
      </c>
    </row>
    <row r="120" spans="1:23" ht="51.75" thickBot="1" x14ac:dyDescent="0.3">
      <c r="A120" s="147" t="str">
        <f>CONCATENATE('3 pr-2'!A122)</f>
        <v>2.1.2.1.1</v>
      </c>
      <c r="B120" s="147" t="str">
        <f>CONCATENATE('3 pr-2'!B122)</f>
        <v>R01-6609-274710-2211</v>
      </c>
      <c r="C120" s="341" t="str">
        <f>CONCATENATE('3 pr-2'!D122)</f>
        <v xml:space="preserve">Alytaus poliklinikos teikiamų pirminės sveikatos priežiūros paslaugų prieinamumo didinimas ir kokybės gerinimas </v>
      </c>
      <c r="D120" s="341" t="str">
        <f>CONCATENATE('3 pr-2'!E122)</f>
        <v>VšĮ Alytaus poliklinika</v>
      </c>
      <c r="E120" s="341" t="str">
        <f>CONCATENATE('3 pr-2'!F122)</f>
        <v>Lietuvos Respublikos Sveikatos apsaugos ministerija</v>
      </c>
      <c r="F120" s="341" t="str">
        <f>CONCATENATE('3 pr-2'!G122)</f>
        <v>Alytaus m. sav.</v>
      </c>
      <c r="G120" s="147" t="str">
        <f>CONCATENATE('3 pr-2'!H122)</f>
        <v>08.1.3-CPVA-R-609</v>
      </c>
      <c r="H120" s="147" t="str">
        <f>CONCATENATE('3 pr-2'!I122)</f>
        <v>R</v>
      </c>
      <c r="I120" s="147" t="str">
        <f>CONCATENATE('3 pr-2'!J122)</f>
        <v>-</v>
      </c>
      <c r="J120" s="147" t="str">
        <f>CONCATENATE('3 pr-2'!K122)</f>
        <v>-</v>
      </c>
      <c r="K120" s="147" t="str">
        <f>MID('3 pr-2'!B122,10,2)</f>
        <v>27</v>
      </c>
      <c r="L120" s="147" t="str">
        <f>IFERROR(INDEX(Veiklos!$C$2:$C$54,MATCH(K120,Veiklos!$D$2:$D$54,0),1),"")</f>
        <v>Socialinių ir sveikatos paslaugų infrastruktūra</v>
      </c>
      <c r="M120" s="147" t="str">
        <f>MID('3 pr-2'!B122,12,2)</f>
        <v>47</v>
      </c>
      <c r="N120" s="147" t="str">
        <f>IFERROR(INDEX(Veiklos!$C$2:$C$54,MATCH(M120,Veiklos!$D$2:$D$54,0),1),"")</f>
        <v>Sveikatos paslaugų plėtra (ne infrastruktūra)</v>
      </c>
      <c r="O120" s="147" t="str">
        <f>MID('3 pr-2'!B122,14,2)</f>
        <v>10</v>
      </c>
      <c r="P120" s="147" t="str">
        <f>IFERROR(INDEX(Veiklos!$C$2:$C$54,MATCH(O120,Veiklos!$D$2:$D$54,0),1),"")</f>
        <v>Viešojo transporto priemonių įsigijimas</v>
      </c>
      <c r="Q120" s="147"/>
      <c r="R120" s="147"/>
      <c r="S120" s="147"/>
      <c r="T120" s="147"/>
      <c r="U120" s="349">
        <v>1</v>
      </c>
      <c r="V120" s="571">
        <f>SUM('3 pr-2'!L122)</f>
        <v>458183</v>
      </c>
      <c r="W120" s="571">
        <f>SUM('3 pr-2'!AA122)</f>
        <v>389456</v>
      </c>
    </row>
    <row r="121" spans="1:23" ht="90" thickBot="1" x14ac:dyDescent="0.3">
      <c r="A121" s="147" t="str">
        <f>CONCATENATE('3 pr-2'!A123)</f>
        <v>2.1.2.1.2</v>
      </c>
      <c r="B121" s="147" t="str">
        <f>CONCATENATE('3 pr-2'!B123)</f>
        <v>R01-6609-274710-2212</v>
      </c>
      <c r="C121" s="341" t="str">
        <f>CONCATENATE('3 pr-2'!D123)</f>
        <v>Sveikatos priežiūros paslaugų modernizavimas bei optimizavimas pirminės sveikatos priežiūros centre</v>
      </c>
      <c r="D121" s="341" t="str">
        <f>CONCATENATE('3 pr-2'!E123)</f>
        <v xml:space="preserve">VšĮ Alytaus miesto savivaldybės pirminės sveikatos priežiūros centras </v>
      </c>
      <c r="E121" s="341" t="str">
        <f>CONCATENATE('3 pr-2'!F123)</f>
        <v>Lietuvos Respublikos Sveikatos apsaugos ministerija</v>
      </c>
      <c r="F121" s="341" t="str">
        <f>CONCATENATE('3 pr-2'!G123)</f>
        <v>Alytaus m. sav.</v>
      </c>
      <c r="G121" s="147" t="str">
        <f>CONCATENATE('3 pr-2'!H123)</f>
        <v>08.1.3-CPVA-R-609</v>
      </c>
      <c r="H121" s="147" t="str">
        <f>CONCATENATE('3 pr-2'!I123)</f>
        <v>R</v>
      </c>
      <c r="I121" s="147" t="str">
        <f>CONCATENATE('3 pr-2'!J123)</f>
        <v>-</v>
      </c>
      <c r="J121" s="147" t="str">
        <f>CONCATENATE('3 pr-2'!K123)</f>
        <v>-</v>
      </c>
      <c r="K121" s="147" t="str">
        <f>MID('3 pr-2'!B123,10,2)</f>
        <v>27</v>
      </c>
      <c r="L121" s="147" t="str">
        <f>IFERROR(INDEX(Veiklos!$C$2:$C$54,MATCH(K121,Veiklos!$D$2:$D$54,0),1),"")</f>
        <v>Socialinių ir sveikatos paslaugų infrastruktūra</v>
      </c>
      <c r="M121" s="147" t="str">
        <f>MID('3 pr-2'!B123,12,2)</f>
        <v>47</v>
      </c>
      <c r="N121" s="147" t="str">
        <f>IFERROR(INDEX(Veiklos!$C$2:$C$54,MATCH(M121,Veiklos!$D$2:$D$54,0),1),"")</f>
        <v>Sveikatos paslaugų plėtra (ne infrastruktūra)</v>
      </c>
      <c r="O121" s="147" t="str">
        <f>MID('3 pr-2'!B123,14,2)</f>
        <v>10</v>
      </c>
      <c r="P121" s="147" t="str">
        <f>IFERROR(INDEX(Veiklos!$C$2:$C$54,MATCH(O121,Veiklos!$D$2:$D$54,0),1),"")</f>
        <v>Viešojo transporto priemonių įsigijimas</v>
      </c>
      <c r="Q121" s="147"/>
      <c r="R121" s="147"/>
      <c r="S121" s="147"/>
      <c r="T121" s="147"/>
      <c r="U121" s="349">
        <v>1</v>
      </c>
      <c r="V121" s="571">
        <f>SUM('3 pr-2'!L123)</f>
        <v>50356</v>
      </c>
      <c r="W121" s="571">
        <f>SUM('3 pr-2'!AA123)</f>
        <v>42802</v>
      </c>
    </row>
    <row r="122" spans="1:23" ht="64.5" thickBot="1" x14ac:dyDescent="0.3">
      <c r="A122" s="147" t="str">
        <f>CONCATENATE('3 pr-2'!A124)</f>
        <v>2.1.2.1.3</v>
      </c>
      <c r="B122" s="147" t="str">
        <f>CONCATENATE('3 pr-2'!B124)</f>
        <v>R01-6609-274700-2213</v>
      </c>
      <c r="C122" s="341" t="str">
        <f>CONCATENATE('3 pr-2'!D124)</f>
        <v>UAB „MediCA klinika“ teikiamų pirminės asmens sveikatos priežiūros paslaugų efektyvumo didinimas Alytaus miesto savivaldybėje</v>
      </c>
      <c r="D122" s="341" t="str">
        <f>CONCATENATE('3 pr-2'!E124)</f>
        <v>UAB „MediCA klinika“</v>
      </c>
      <c r="E122" s="341" t="str">
        <f>CONCATENATE('3 pr-2'!F124)</f>
        <v>Lietuvos Respublikos Sveikatos apsaugos ministerija</v>
      </c>
      <c r="F122" s="341" t="str">
        <f>CONCATENATE('3 pr-2'!G124)</f>
        <v>Alytaus m. sav.</v>
      </c>
      <c r="G122" s="147" t="str">
        <f>CONCATENATE('3 pr-2'!H124)</f>
        <v>08.1.3-CPVA-R-609</v>
      </c>
      <c r="H122" s="147" t="str">
        <f>CONCATENATE('3 pr-2'!I124)</f>
        <v>R</v>
      </c>
      <c r="I122" s="147" t="str">
        <f>CONCATENATE('3 pr-2'!J124)</f>
        <v>-</v>
      </c>
      <c r="J122" s="147" t="str">
        <f>CONCATENATE('3 pr-2'!K124)</f>
        <v>-</v>
      </c>
      <c r="K122" s="147" t="str">
        <f>MID('3 pr-2'!B124,10,2)</f>
        <v>27</v>
      </c>
      <c r="L122" s="147" t="str">
        <f>IFERROR(INDEX(Veiklos!$C$2:$C$54,MATCH(K122,Veiklos!$D$2:$D$54,0),1),"")</f>
        <v>Socialinių ir sveikatos paslaugų infrastruktūra</v>
      </c>
      <c r="M122" s="147" t="str">
        <f>MID('3 pr-2'!B124,12,2)</f>
        <v>47</v>
      </c>
      <c r="N122" s="147" t="str">
        <f>IFERROR(INDEX(Veiklos!$C$2:$C$54,MATCH(M122,Veiklos!$D$2:$D$54,0),1),"")</f>
        <v>Sveikatos paslaugų plėtra (ne infrastruktūra)</v>
      </c>
      <c r="O122" s="147" t="str">
        <f>MID('3 pr-2'!B124,14,2)</f>
        <v>00</v>
      </c>
      <c r="P122" s="147">
        <f>IFERROR(INDEX(Veiklos!$C$2:$C$54,MATCH(O122,Veiklos!$D$2:$D$54,0),1),"")</f>
        <v>0</v>
      </c>
      <c r="Q122" s="147"/>
      <c r="R122" s="147"/>
      <c r="S122" s="147"/>
      <c r="T122" s="147"/>
      <c r="U122" s="349">
        <v>1</v>
      </c>
      <c r="V122" s="571">
        <f>SUM('3 pr-2'!L124)</f>
        <v>83468</v>
      </c>
      <c r="W122" s="571">
        <f>SUM('3 pr-2'!AA124)</f>
        <v>70948</v>
      </c>
    </row>
    <row r="123" spans="1:23" ht="39" thickBot="1" x14ac:dyDescent="0.3">
      <c r="A123" s="147" t="str">
        <f>CONCATENATE('3 pr-2'!A125)</f>
        <v>2.1.2.1.4</v>
      </c>
      <c r="B123" s="147" t="str">
        <f>CONCATENATE('3 pr-2'!B125)</f>
        <v>R01-6609-274710-2214</v>
      </c>
      <c r="C123" s="341" t="str">
        <f>CONCATENATE('3 pr-2'!D125)</f>
        <v>UAB "Pagalba ligoniui" teikiamų paslaugų efektyvumo didinimas</v>
      </c>
      <c r="D123" s="341" t="str">
        <f>CONCATENATE('3 pr-2'!E125)</f>
        <v>UAB „Pagalba ligoniui“, Alytaus filialas</v>
      </c>
      <c r="E123" s="341" t="str">
        <f>CONCATENATE('3 pr-2'!F125)</f>
        <v>Lietuvos Respublikos Sveikatos apsaugos ministerija</v>
      </c>
      <c r="F123" s="341" t="str">
        <f>CONCATENATE('3 pr-2'!G125)</f>
        <v>Alytaus m. sav.</v>
      </c>
      <c r="G123" s="147" t="str">
        <f>CONCATENATE('3 pr-2'!H125)</f>
        <v>08.1.3-CPVA-R-609</v>
      </c>
      <c r="H123" s="147" t="str">
        <f>CONCATENATE('3 pr-2'!I125)</f>
        <v>R</v>
      </c>
      <c r="I123" s="147" t="str">
        <f>CONCATENATE('3 pr-2'!J125)</f>
        <v>-</v>
      </c>
      <c r="J123" s="147" t="str">
        <f>CONCATENATE('3 pr-2'!K125)</f>
        <v>-</v>
      </c>
      <c r="K123" s="147" t="str">
        <f>MID('3 pr-2'!B125,10,2)</f>
        <v>27</v>
      </c>
      <c r="L123" s="147" t="str">
        <f>IFERROR(INDEX(Veiklos!$C$2:$C$54,MATCH(K123,Veiklos!$D$2:$D$54,0),1),"")</f>
        <v>Socialinių ir sveikatos paslaugų infrastruktūra</v>
      </c>
      <c r="M123" s="147" t="str">
        <f>MID('3 pr-2'!B125,12,2)</f>
        <v>47</v>
      </c>
      <c r="N123" s="147" t="str">
        <f>IFERROR(INDEX(Veiklos!$C$2:$C$54,MATCH(M123,Veiklos!$D$2:$D$54,0),1),"")</f>
        <v>Sveikatos paslaugų plėtra (ne infrastruktūra)</v>
      </c>
      <c r="O123" s="147" t="str">
        <f>MID('3 pr-2'!B125,14,2)</f>
        <v>10</v>
      </c>
      <c r="P123" s="147" t="str">
        <f>IFERROR(INDEX(Veiklos!$C$2:$C$54,MATCH(O123,Veiklos!$D$2:$D$54,0),1),"")</f>
        <v>Viešojo transporto priemonių įsigijimas</v>
      </c>
      <c r="Q123" s="147"/>
      <c r="R123" s="147"/>
      <c r="S123" s="147"/>
      <c r="T123" s="147"/>
      <c r="U123" s="349">
        <v>1</v>
      </c>
      <c r="V123" s="571">
        <f>SUM('3 pr-2'!L125)</f>
        <v>44091</v>
      </c>
      <c r="W123" s="571">
        <f>SUM('3 pr-2'!AA125)</f>
        <v>37478</v>
      </c>
    </row>
    <row r="124" spans="1:23" ht="90" thickBot="1" x14ac:dyDescent="0.3">
      <c r="A124" s="147" t="str">
        <f>CONCATENATE('3 pr-2'!A126)</f>
        <v>2.1.2.1.5</v>
      </c>
      <c r="B124" s="147" t="str">
        <f>CONCATENATE('3 pr-2'!B126)</f>
        <v>R01-6609-274710-2215</v>
      </c>
      <c r="C124" s="341" t="str">
        <f>CONCATENATE('3 pr-2'!D126)</f>
        <v>Pirminės asmens sveikatos priežiūros veiklos efektyvumo didinimas Alytaus rajono savivaldybėje</v>
      </c>
      <c r="D124" s="341" t="str">
        <f>CONCATENATE('3 pr-2'!E126)</f>
        <v>VšĮ Alytaus rajono savivaldybės pirminės sveikatos priežiūros centras</v>
      </c>
      <c r="E124" s="341" t="str">
        <f>CONCATENATE('3 pr-2'!F126)</f>
        <v>Lietuvos Respublikos Sveikatos apsaugos ministerija</v>
      </c>
      <c r="F124" s="341" t="str">
        <f>CONCATENATE('3 pr-2'!G126)</f>
        <v>Alytaus r. sav.</v>
      </c>
      <c r="G124" s="147" t="str">
        <f>CONCATENATE('3 pr-2'!H126)</f>
        <v>08.1.3-CPVA-R-609</v>
      </c>
      <c r="H124" s="147" t="str">
        <f>CONCATENATE('3 pr-2'!I126)</f>
        <v>R</v>
      </c>
      <c r="I124" s="147" t="str">
        <f>CONCATENATE('3 pr-2'!J126)</f>
        <v>-</v>
      </c>
      <c r="J124" s="147" t="str">
        <f>CONCATENATE('3 pr-2'!K126)</f>
        <v>-</v>
      </c>
      <c r="K124" s="147" t="str">
        <f>MID('3 pr-2'!B126,10,2)</f>
        <v>27</v>
      </c>
      <c r="L124" s="147" t="str">
        <f>IFERROR(INDEX(Veiklos!$C$2:$C$54,MATCH(K124,Veiklos!$D$2:$D$54,0),1),"")</f>
        <v>Socialinių ir sveikatos paslaugų infrastruktūra</v>
      </c>
      <c r="M124" s="147" t="str">
        <f>MID('3 pr-2'!B126,12,2)</f>
        <v>47</v>
      </c>
      <c r="N124" s="147" t="str">
        <f>IFERROR(INDEX(Veiklos!$C$2:$C$54,MATCH(M124,Veiklos!$D$2:$D$54,0),1),"")</f>
        <v>Sveikatos paslaugų plėtra (ne infrastruktūra)</v>
      </c>
      <c r="O124" s="147" t="str">
        <f>MID('3 pr-2'!B126,14,2)</f>
        <v>10</v>
      </c>
      <c r="P124" s="147" t="str">
        <f>IFERROR(INDEX(Veiklos!$C$2:$C$54,MATCH(O124,Veiklos!$D$2:$D$54,0),1),"")</f>
        <v>Viešojo transporto priemonių įsigijimas</v>
      </c>
      <c r="Q124" s="147"/>
      <c r="R124" s="147"/>
      <c r="S124" s="147"/>
      <c r="T124" s="147"/>
      <c r="U124" s="349">
        <v>1</v>
      </c>
      <c r="V124" s="571">
        <f>SUM('3 pr-2'!L126)</f>
        <v>171636</v>
      </c>
      <c r="W124" s="571">
        <f>SUM('3 pr-2'!AA126)</f>
        <v>145890</v>
      </c>
    </row>
    <row r="125" spans="1:23" ht="39" thickBot="1" x14ac:dyDescent="0.3">
      <c r="A125" s="147" t="str">
        <f>CONCATENATE('3 pr-2'!A127)</f>
        <v>2.1.2.1.6</v>
      </c>
      <c r="B125" s="147" t="str">
        <f>CONCATENATE('3 pr-2'!B127)</f>
        <v>R01-6609-471000-2216</v>
      </c>
      <c r="C125" s="341" t="str">
        <f>CONCATENATE('3 pr-2'!D127)</f>
        <v>Sveikatos priežiūros paslaugų gerinimas "UAB "Disolis"</v>
      </c>
      <c r="D125" s="341" t="str">
        <f>CONCATENATE('3 pr-2'!E127)</f>
        <v>UAB „Disolis“</v>
      </c>
      <c r="E125" s="341" t="str">
        <f>CONCATENATE('3 pr-2'!F127)</f>
        <v>Lietuvos Respublikos Sveikatos apsaugos ministerija</v>
      </c>
      <c r="F125" s="341" t="str">
        <f>CONCATENATE('3 pr-2'!G127)</f>
        <v>Alytaus r. sav.</v>
      </c>
      <c r="G125" s="147" t="str">
        <f>CONCATENATE('3 pr-2'!H127)</f>
        <v>08.1.3-CPVA-R-609</v>
      </c>
      <c r="H125" s="147" t="str">
        <f>CONCATENATE('3 pr-2'!I127)</f>
        <v>R</v>
      </c>
      <c r="I125" s="147" t="str">
        <f>CONCATENATE('3 pr-2'!J127)</f>
        <v>-</v>
      </c>
      <c r="J125" s="147" t="str">
        <f>CONCATENATE('3 pr-2'!K127)</f>
        <v>-</v>
      </c>
      <c r="K125" s="147" t="str">
        <f>MID('3 pr-2'!B127,10,2)</f>
        <v>47</v>
      </c>
      <c r="L125" s="147" t="str">
        <f>IFERROR(INDEX(Veiklos!$C$2:$C$54,MATCH(K125,Veiklos!$D$2:$D$54,0),1),"")</f>
        <v>Sveikatos paslaugų plėtra (ne infrastruktūra)</v>
      </c>
      <c r="M125" s="147" t="str">
        <f>MID('3 pr-2'!B127,12,2)</f>
        <v>10</v>
      </c>
      <c r="N125" s="147" t="str">
        <f>IFERROR(INDEX(Veiklos!$C$2:$C$54,MATCH(M125,Veiklos!$D$2:$D$54,0),1),"")</f>
        <v>Viešojo transporto priemonių įsigijimas</v>
      </c>
      <c r="O125" s="147" t="str">
        <f>MID('3 pr-2'!B127,14,2)</f>
        <v>00</v>
      </c>
      <c r="P125" s="147">
        <f>IFERROR(INDEX(Veiklos!$C$2:$C$54,MATCH(O125,Veiklos!$D$2:$D$54,0),1),"")</f>
        <v>0</v>
      </c>
      <c r="Q125" s="147"/>
      <c r="R125" s="147"/>
      <c r="S125" s="147"/>
      <c r="T125" s="147"/>
      <c r="U125" s="349">
        <v>1</v>
      </c>
      <c r="V125" s="571">
        <f>SUM('3 pr-2'!L127)</f>
        <v>17386</v>
      </c>
      <c r="W125" s="571">
        <f>SUM('3 pr-2'!AA127)</f>
        <v>14778</v>
      </c>
    </row>
    <row r="126" spans="1:23" ht="64.5" thickBot="1" x14ac:dyDescent="0.3">
      <c r="A126" s="147" t="str">
        <f>CONCATENATE('3 pr-2'!A128)</f>
        <v>2.1.2.1.7</v>
      </c>
      <c r="B126" s="147" t="str">
        <f>CONCATENATE('3 pr-2'!B128)</f>
        <v>R01-6609-274710-2217</v>
      </c>
      <c r="C126" s="341" t="str">
        <f>CONCATENATE('3 pr-2'!D128)</f>
        <v>Pirminės asmens sveikatos priežiūros kokybės ir prieinamumo gerinimas Druskininkų savivaldybėje</v>
      </c>
      <c r="D126" s="341" t="str">
        <f>CONCATENATE('3 pr-2'!E128)</f>
        <v>VšĮ Druskininkų pirminės sveikatos priežiūros centras</v>
      </c>
      <c r="E126" s="341" t="str">
        <f>CONCATENATE('3 pr-2'!F128)</f>
        <v>Lietuvos Respublikos Sveikatos apsaugos ministerija</v>
      </c>
      <c r="F126" s="341" t="str">
        <f>CONCATENATE('3 pr-2'!G128)</f>
        <v>Druskininkų sav.</v>
      </c>
      <c r="G126" s="147" t="str">
        <f>CONCATENATE('3 pr-2'!H128)</f>
        <v>08.1.3-CPVA-R-609</v>
      </c>
      <c r="H126" s="147" t="str">
        <f>CONCATENATE('3 pr-2'!I128)</f>
        <v>R</v>
      </c>
      <c r="I126" s="147" t="str">
        <f>CONCATENATE('3 pr-2'!J128)</f>
        <v>-</v>
      </c>
      <c r="J126" s="147" t="str">
        <f>CONCATENATE('3 pr-2'!K128)</f>
        <v>-</v>
      </c>
      <c r="K126" s="147" t="str">
        <f>MID('3 pr-2'!B128,10,2)</f>
        <v>27</v>
      </c>
      <c r="L126" s="147" t="str">
        <f>IFERROR(INDEX(Veiklos!$C$2:$C$54,MATCH(K126,Veiklos!$D$2:$D$54,0),1),"")</f>
        <v>Socialinių ir sveikatos paslaugų infrastruktūra</v>
      </c>
      <c r="M126" s="147" t="str">
        <f>MID('3 pr-2'!B128,12,2)</f>
        <v>47</v>
      </c>
      <c r="N126" s="147" t="str">
        <f>IFERROR(INDEX(Veiklos!$C$2:$C$54,MATCH(M126,Veiklos!$D$2:$D$54,0),1),"")</f>
        <v>Sveikatos paslaugų plėtra (ne infrastruktūra)</v>
      </c>
      <c r="O126" s="147" t="str">
        <f>MID('3 pr-2'!B128,14,2)</f>
        <v>10</v>
      </c>
      <c r="P126" s="147" t="str">
        <f>IFERROR(INDEX(Veiklos!$C$2:$C$54,MATCH(O126,Veiklos!$D$2:$D$54,0),1),"")</f>
        <v>Viešojo transporto priemonių įsigijimas</v>
      </c>
      <c r="Q126" s="147"/>
      <c r="R126" s="147"/>
      <c r="S126" s="147"/>
      <c r="T126" s="147"/>
      <c r="U126" s="349">
        <v>1</v>
      </c>
      <c r="V126" s="571">
        <f>SUM('3 pr-2'!L128)</f>
        <v>163532</v>
      </c>
      <c r="W126" s="571">
        <f>SUM('3 pr-2'!AA128)</f>
        <v>139002</v>
      </c>
    </row>
    <row r="127" spans="1:23" ht="51.75" thickBot="1" x14ac:dyDescent="0.3">
      <c r="A127" s="147" t="str">
        <f>CONCATENATE('3 pr-2'!A129)</f>
        <v>2.1.2.1.8</v>
      </c>
      <c r="B127" s="147" t="str">
        <f>CONCATENATE('3 pr-2'!B129)</f>
        <v>R01-6609-104700-2218</v>
      </c>
      <c r="C127" s="341" t="str">
        <f>CONCATENATE('3 pr-2'!D129)</f>
        <v>UAB "Druskininkų šeimos klinika" asmens sveikatos priežiūros paslaugų prieinamumo ir efektyvumo didinimas</v>
      </c>
      <c r="D127" s="341" t="str">
        <f>CONCATENATE('3 pr-2'!E129)</f>
        <v>UAB „Druskininkų šeimos klinika“</v>
      </c>
      <c r="E127" s="341" t="str">
        <f>CONCATENATE('3 pr-2'!F129)</f>
        <v>Lietuvos Respublikos Sveikatos apsaugos ministerija</v>
      </c>
      <c r="F127" s="341" t="str">
        <f>CONCATENATE('3 pr-2'!G129)</f>
        <v>Druskininkų sav.</v>
      </c>
      <c r="G127" s="147" t="str">
        <f>CONCATENATE('3 pr-2'!H129)</f>
        <v>08.1.3-CPVA-R-609</v>
      </c>
      <c r="H127" s="147" t="str">
        <f>CONCATENATE('3 pr-2'!I129)</f>
        <v>R</v>
      </c>
      <c r="I127" s="147" t="str">
        <f>CONCATENATE('3 pr-2'!J129)</f>
        <v>-</v>
      </c>
      <c r="J127" s="147" t="str">
        <f>CONCATENATE('3 pr-2'!K129)</f>
        <v>-</v>
      </c>
      <c r="K127" s="147" t="str">
        <f>MID('3 pr-2'!B129,10,2)</f>
        <v>10</v>
      </c>
      <c r="L127" s="147" t="str">
        <f>IFERROR(INDEX(Veiklos!$C$2:$C$54,MATCH(K127,Veiklos!$D$2:$D$54,0),1),"")</f>
        <v>Viešojo transporto priemonių įsigijimas</v>
      </c>
      <c r="M127" s="147" t="str">
        <f>MID('3 pr-2'!B129,12,2)</f>
        <v>47</v>
      </c>
      <c r="N127" s="147" t="str">
        <f>IFERROR(INDEX(Veiklos!$C$2:$C$54,MATCH(M127,Veiklos!$D$2:$D$54,0),1),"")</f>
        <v>Sveikatos paslaugų plėtra (ne infrastruktūra)</v>
      </c>
      <c r="O127" s="147" t="str">
        <f>MID('3 pr-2'!B129,14,2)</f>
        <v>00</v>
      </c>
      <c r="P127" s="147">
        <f>IFERROR(INDEX(Veiklos!$C$2:$C$54,MATCH(O127,Veiklos!$D$2:$D$54,0),1),"")</f>
        <v>0</v>
      </c>
      <c r="Q127" s="147"/>
      <c r="R127" s="147"/>
      <c r="S127" s="147"/>
      <c r="T127" s="147"/>
      <c r="U127" s="349">
        <v>1</v>
      </c>
      <c r="V127" s="571">
        <f>SUM('3 pr-2'!L129)</f>
        <v>12289</v>
      </c>
      <c r="W127" s="571">
        <f>SUM('3 pr-2'!AA129)</f>
        <v>10445</v>
      </c>
    </row>
    <row r="128" spans="1:23" ht="64.5" thickBot="1" x14ac:dyDescent="0.3">
      <c r="A128" s="147" t="str">
        <f>CONCATENATE('3 pr-2'!A130)</f>
        <v>2.1.2.1.9</v>
      </c>
      <c r="B128" s="147" t="str">
        <f>CONCATENATE('3 pr-2'!B130)</f>
        <v>R01-6609-274710-2219</v>
      </c>
      <c r="C128" s="341" t="str">
        <f>CONCATENATE('3 pr-2'!D130)</f>
        <v>I. S. Kavaliauskienės įmonės teikiamų pirminės ambulatorinės asmens sveikatos priežiūros paslaugų kokybės ir prieinamumo gerinimas.</v>
      </c>
      <c r="D128" s="341" t="str">
        <f>CONCATENATE('3 pr-2'!E130)</f>
        <v>Irenos Stanislavos Kavaliauskienės įmonė</v>
      </c>
      <c r="E128" s="341" t="str">
        <f>CONCATENATE('3 pr-2'!F130)</f>
        <v>Lietuvos Respublikos Sveikatos apsaugos ministerija</v>
      </c>
      <c r="F128" s="341" t="str">
        <f>CONCATENATE('3 pr-2'!G130)</f>
        <v>Druskininkų sav.</v>
      </c>
      <c r="G128" s="147" t="str">
        <f>CONCATENATE('3 pr-2'!H130)</f>
        <v>08.1.3-CPVA-R-609</v>
      </c>
      <c r="H128" s="147" t="str">
        <f>CONCATENATE('3 pr-2'!I130)</f>
        <v>R</v>
      </c>
      <c r="I128" s="147" t="str">
        <f>CONCATENATE('3 pr-2'!J130)</f>
        <v>-</v>
      </c>
      <c r="J128" s="147" t="str">
        <f>CONCATENATE('3 pr-2'!K130)</f>
        <v>-</v>
      </c>
      <c r="K128" s="147" t="str">
        <f>MID('3 pr-2'!B130,10,2)</f>
        <v>27</v>
      </c>
      <c r="L128" s="147" t="str">
        <f>IFERROR(INDEX(Veiklos!$C$2:$C$54,MATCH(K128,Veiklos!$D$2:$D$54,0),1),"")</f>
        <v>Socialinių ir sveikatos paslaugų infrastruktūra</v>
      </c>
      <c r="M128" s="147" t="str">
        <f>MID('3 pr-2'!B130,12,2)</f>
        <v>47</v>
      </c>
      <c r="N128" s="147" t="str">
        <f>IFERROR(INDEX(Veiklos!$C$2:$C$54,MATCH(M128,Veiklos!$D$2:$D$54,0),1),"")</f>
        <v>Sveikatos paslaugų plėtra (ne infrastruktūra)</v>
      </c>
      <c r="O128" s="147" t="str">
        <f>MID('3 pr-2'!B130,14,2)</f>
        <v>10</v>
      </c>
      <c r="P128" s="147" t="str">
        <f>IFERROR(INDEX(Veiklos!$C$2:$C$54,MATCH(O128,Veiklos!$D$2:$D$54,0),1),"")</f>
        <v>Viešojo transporto priemonių įsigijimas</v>
      </c>
      <c r="Q128" s="147"/>
      <c r="R128" s="147"/>
      <c r="S128" s="147"/>
      <c r="T128" s="147"/>
      <c r="U128" s="349">
        <v>1</v>
      </c>
      <c r="V128" s="571">
        <f>SUM('3 pr-2'!L130)</f>
        <v>25517</v>
      </c>
      <c r="W128" s="571">
        <f>SUM('3 pr-2'!AA130)</f>
        <v>21689</v>
      </c>
    </row>
    <row r="129" spans="1:23" ht="64.5" thickBot="1" x14ac:dyDescent="0.3">
      <c r="A129" s="147" t="str">
        <f>CONCATENATE('3 pr-2'!A131)</f>
        <v>2.1.2.1.10</v>
      </c>
      <c r="B129" s="147" t="str">
        <f>CONCATENATE('3 pr-2'!B131)</f>
        <v>R01-6609-274710-2220</v>
      </c>
      <c r="C129" s="341" t="str">
        <f>CONCATENATE('3 pr-2'!D131)</f>
        <v>Pirminės ambulatorinės asmens sveikatos priežiūros efektyvumo didinimas R.Ambrazaitienės ir L. Puzinovienės šeimos gydytojų kabinetuose</v>
      </c>
      <c r="D129" s="341" t="str">
        <f>CONCATENATE('3 pr-2'!E131)</f>
        <v>UAB „Rasos Ambrazaitienės šeimos gydytojo kabinetas“</v>
      </c>
      <c r="E129" s="341" t="str">
        <f>CONCATENATE('3 pr-2'!F131)</f>
        <v>Lietuvos Respublikos Sveikatos apsaugos ministerija</v>
      </c>
      <c r="F129" s="341" t="str">
        <f>CONCATENATE('3 pr-2'!G131)</f>
        <v>Druskininkų sav.</v>
      </c>
      <c r="G129" s="147" t="str">
        <f>CONCATENATE('3 pr-2'!H131)</f>
        <v>08.1.3-CPVA-R-609</v>
      </c>
      <c r="H129" s="147" t="str">
        <f>CONCATENATE('3 pr-2'!I131)</f>
        <v>R</v>
      </c>
      <c r="I129" s="147" t="str">
        <f>CONCATENATE('3 pr-2'!J131)</f>
        <v>-</v>
      </c>
      <c r="J129" s="147" t="str">
        <f>CONCATENATE('3 pr-2'!K131)</f>
        <v>-</v>
      </c>
      <c r="K129" s="147" t="str">
        <f>MID('3 pr-2'!B131,10,2)</f>
        <v>27</v>
      </c>
      <c r="L129" s="147" t="str">
        <f>IFERROR(INDEX(Veiklos!$C$2:$C$54,MATCH(K129,Veiklos!$D$2:$D$54,0),1),"")</f>
        <v>Socialinių ir sveikatos paslaugų infrastruktūra</v>
      </c>
      <c r="M129" s="147" t="str">
        <f>MID('3 pr-2'!B131,12,2)</f>
        <v>47</v>
      </c>
      <c r="N129" s="147" t="str">
        <f>IFERROR(INDEX(Veiklos!$C$2:$C$54,MATCH(M129,Veiklos!$D$2:$D$54,0),1),"")</f>
        <v>Sveikatos paslaugų plėtra (ne infrastruktūra)</v>
      </c>
      <c r="O129" s="147" t="str">
        <f>MID('3 pr-2'!B131,14,2)</f>
        <v>10</v>
      </c>
      <c r="P129" s="147" t="str">
        <f>IFERROR(INDEX(Veiklos!$C$2:$C$54,MATCH(O129,Veiklos!$D$2:$D$54,0),1),"")</f>
        <v>Viešojo transporto priemonių įsigijimas</v>
      </c>
      <c r="Q129" s="147"/>
      <c r="R129" s="147"/>
      <c r="S129" s="147"/>
      <c r="T129" s="147"/>
      <c r="U129" s="349">
        <v>1</v>
      </c>
      <c r="V129" s="571">
        <f>SUM('3 pr-2'!L131)</f>
        <v>27906</v>
      </c>
      <c r="W129" s="571">
        <f>SUM('3 pr-2'!AA131)</f>
        <v>23720</v>
      </c>
    </row>
    <row r="130" spans="1:23" ht="51.75" thickBot="1" x14ac:dyDescent="0.3">
      <c r="A130" s="147" t="str">
        <f>CONCATENATE('3 pr-2'!A132)</f>
        <v>2.1.2.1.11</v>
      </c>
      <c r="B130" s="147" t="str">
        <f>CONCATENATE('3 pr-2'!B132)</f>
        <v>R01-6609-274700-2221</v>
      </c>
      <c r="C130" s="341" t="str">
        <f>CONCATENATE('3 pr-2'!D132)</f>
        <v xml:space="preserve">Pirminės asmens sveikatos priežiūros veiklos efektyvumo didinimas Lazdijų rajono savivaldybėje </v>
      </c>
      <c r="D130" s="341" t="str">
        <f>CONCATENATE('3 pr-2'!E132)</f>
        <v>Lazdijų rajono savivaldybės administracija</v>
      </c>
      <c r="E130" s="341" t="str">
        <f>CONCATENATE('3 pr-2'!F132)</f>
        <v>Lietuvos Respublikos Sveikatos apsaugos ministerija</v>
      </c>
      <c r="F130" s="341" t="str">
        <f>CONCATENATE('3 pr-2'!G132)</f>
        <v>Lazdijų r. sav.</v>
      </c>
      <c r="G130" s="147" t="str">
        <f>CONCATENATE('3 pr-2'!H132)</f>
        <v>08.1.3-CPVA-R-609</v>
      </c>
      <c r="H130" s="147" t="str">
        <f>CONCATENATE('3 pr-2'!I132)</f>
        <v>R</v>
      </c>
      <c r="I130" s="147" t="str">
        <f>CONCATENATE('3 pr-2'!J132)</f>
        <v>-</v>
      </c>
      <c r="J130" s="147" t="str">
        <f>CONCATENATE('3 pr-2'!K132)</f>
        <v>-</v>
      </c>
      <c r="K130" s="147" t="str">
        <f>MID('3 pr-2'!B132,10,2)</f>
        <v>27</v>
      </c>
      <c r="L130" s="147" t="str">
        <f>IFERROR(INDEX(Veiklos!$C$2:$C$54,MATCH(K130,Veiklos!$D$2:$D$54,0),1),"")</f>
        <v>Socialinių ir sveikatos paslaugų infrastruktūra</v>
      </c>
      <c r="M130" s="147" t="str">
        <f>MID('3 pr-2'!B132,12,2)</f>
        <v>47</v>
      </c>
      <c r="N130" s="147" t="str">
        <f>IFERROR(INDEX(Veiklos!$C$2:$C$54,MATCH(M130,Veiklos!$D$2:$D$54,0),1),"")</f>
        <v>Sveikatos paslaugų plėtra (ne infrastruktūra)</v>
      </c>
      <c r="O130" s="147" t="str">
        <f>MID('3 pr-2'!B132,14,2)</f>
        <v>00</v>
      </c>
      <c r="P130" s="147">
        <f>IFERROR(INDEX(Veiklos!$C$2:$C$54,MATCH(O130,Veiklos!$D$2:$D$54,0),1),"")</f>
        <v>0</v>
      </c>
      <c r="Q130" s="147"/>
      <c r="R130" s="147"/>
      <c r="S130" s="147"/>
      <c r="T130" s="147"/>
      <c r="U130" s="349">
        <v>1</v>
      </c>
      <c r="V130" s="571">
        <f>SUM('3 pr-2'!L132)</f>
        <v>192719</v>
      </c>
      <c r="W130" s="571">
        <f>SUM('3 pr-2'!AA132)</f>
        <v>163811</v>
      </c>
    </row>
    <row r="131" spans="1:23" ht="64.5" thickBot="1" x14ac:dyDescent="0.3">
      <c r="A131" s="147" t="str">
        <f>CONCATENATE('3 pr-2'!A133)</f>
        <v>2.1.2.1.12</v>
      </c>
      <c r="B131" s="147" t="str">
        <f>CONCATENATE('3 pr-2'!B133)</f>
        <v>R01-6609-274710-2222</v>
      </c>
      <c r="C131" s="341" t="str">
        <f>CONCATENATE('3 pr-2'!D133)</f>
        <v>Pirminės asmens sveikatos priežiūros veiklos efektyvumo didinimas Varėnos rajono savivaldybėje</v>
      </c>
      <c r="D131" s="341" t="str">
        <f>CONCATENATE('3 pr-2'!E133)</f>
        <v>VšĮ Varėnos pirminės sveikatos priežiūros centras</v>
      </c>
      <c r="E131" s="341" t="str">
        <f>CONCATENATE('3 pr-2'!F133)</f>
        <v>Lietuvos Respublikos Sveikatos apsaugos ministerija</v>
      </c>
      <c r="F131" s="341" t="str">
        <f>CONCATENATE('3 pr-2'!G133)</f>
        <v>Varėnos r. sav.</v>
      </c>
      <c r="G131" s="147" t="str">
        <f>CONCATENATE('3 pr-2'!H133)</f>
        <v>08.1.3-CPVA-R-609</v>
      </c>
      <c r="H131" s="147" t="str">
        <f>CONCATENATE('3 pr-2'!I133)</f>
        <v>R</v>
      </c>
      <c r="I131" s="147" t="str">
        <f>CONCATENATE('3 pr-2'!J133)</f>
        <v>-</v>
      </c>
      <c r="J131" s="147" t="str">
        <f>CONCATENATE('3 pr-2'!K133)</f>
        <v>-</v>
      </c>
      <c r="K131" s="147" t="str">
        <f>MID('3 pr-2'!B133,10,2)</f>
        <v>27</v>
      </c>
      <c r="L131" s="147" t="str">
        <f>IFERROR(INDEX(Veiklos!$C$2:$C$54,MATCH(K131,Veiklos!$D$2:$D$54,0),1),"")</f>
        <v>Socialinių ir sveikatos paslaugų infrastruktūra</v>
      </c>
      <c r="M131" s="147" t="str">
        <f>MID('3 pr-2'!B133,12,2)</f>
        <v>47</v>
      </c>
      <c r="N131" s="147" t="str">
        <f>IFERROR(INDEX(Veiklos!$C$2:$C$54,MATCH(M131,Veiklos!$D$2:$D$54,0),1),"")</f>
        <v>Sveikatos paslaugų plėtra (ne infrastruktūra)</v>
      </c>
      <c r="O131" s="147" t="str">
        <f>MID('3 pr-2'!B133,14,2)</f>
        <v>10</v>
      </c>
      <c r="P131" s="147" t="str">
        <f>IFERROR(INDEX(Veiklos!$C$2:$C$54,MATCH(O131,Veiklos!$D$2:$D$54,0),1),"")</f>
        <v>Viešojo transporto priemonių įsigijimas</v>
      </c>
      <c r="Q131" s="147"/>
      <c r="R131" s="147"/>
      <c r="S131" s="147"/>
      <c r="T131" s="147"/>
      <c r="U131" s="349">
        <v>1</v>
      </c>
      <c r="V131" s="571">
        <f>SUM('3 pr-2'!L133)</f>
        <v>192678</v>
      </c>
      <c r="W131" s="571">
        <f>SUM('3 pr-2'!AA133)</f>
        <v>163776</v>
      </c>
    </row>
    <row r="132" spans="1:23" ht="51.75" thickBot="1" x14ac:dyDescent="0.3">
      <c r="A132" s="147" t="str">
        <f>CONCATENATE('3 pr-2'!A134)</f>
        <v>2.1.2.1.13</v>
      </c>
      <c r="B132" s="147" t="str">
        <f>CONCATENATE('3 pr-2'!B134)</f>
        <v>R01-6609-470000-2223</v>
      </c>
      <c r="C132" s="341" t="str">
        <f>CONCATENATE('3 pr-2'!D134)</f>
        <v>Pirminės asmens sveikatos priežiūros veiklos efektyvumo didinimas N. Jarašienės personalinėje įmonėje</v>
      </c>
      <c r="D132" s="341" t="str">
        <f>CONCATENATE('3 pr-2'!E134)</f>
        <v>N. Jarašienės personalinė įmonė</v>
      </c>
      <c r="E132" s="341" t="str">
        <f>CONCATENATE('3 pr-2'!F134)</f>
        <v>Lietuvos Respublikos Sveikatos apsaugos ministerija</v>
      </c>
      <c r="F132" s="341" t="str">
        <f>CONCATENATE('3 pr-2'!G134)</f>
        <v>Varėnos r. sav.</v>
      </c>
      <c r="G132" s="147" t="str">
        <f>CONCATENATE('3 pr-2'!H134)</f>
        <v>08.1.3-CPVA-R-609</v>
      </c>
      <c r="H132" s="147" t="str">
        <f>CONCATENATE('3 pr-2'!I134)</f>
        <v>R</v>
      </c>
      <c r="I132" s="147" t="str">
        <f>CONCATENATE('3 pr-2'!J134)</f>
        <v>-</v>
      </c>
      <c r="J132" s="147" t="str">
        <f>CONCATENATE('3 pr-2'!K134)</f>
        <v>-</v>
      </c>
      <c r="K132" s="147" t="str">
        <f>MID('3 pr-2'!B134,10,2)</f>
        <v>47</v>
      </c>
      <c r="L132" s="147" t="str">
        <f>IFERROR(INDEX(Veiklos!$C$2:$C$54,MATCH(K132,Veiklos!$D$2:$D$54,0),1),"")</f>
        <v>Sveikatos paslaugų plėtra (ne infrastruktūra)</v>
      </c>
      <c r="M132" s="147" t="str">
        <f>MID('3 pr-2'!B134,12,2)</f>
        <v>00</v>
      </c>
      <c r="N132" s="147">
        <f>IFERROR(INDEX(Veiklos!$C$2:$C$54,MATCH(M132,Veiklos!$D$2:$D$54,0),1),"")</f>
        <v>0</v>
      </c>
      <c r="O132" s="147" t="str">
        <f>MID('3 pr-2'!B134,14,2)</f>
        <v>00</v>
      </c>
      <c r="P132" s="147">
        <f>IFERROR(INDEX(Veiklos!$C$2:$C$54,MATCH(O132,Veiklos!$D$2:$D$54,0),1),"")</f>
        <v>0</v>
      </c>
      <c r="Q132" s="147"/>
      <c r="R132" s="147"/>
      <c r="S132" s="147"/>
      <c r="T132" s="147"/>
      <c r="U132" s="349">
        <v>1</v>
      </c>
      <c r="V132" s="571">
        <f>SUM('3 pr-2'!L134)</f>
        <v>8305</v>
      </c>
      <c r="W132" s="571">
        <f>SUM('3 pr-2'!AA134)</f>
        <v>7059</v>
      </c>
    </row>
    <row r="133" spans="1:23" ht="38.25" customHeight="1" thickBot="1" x14ac:dyDescent="0.3">
      <c r="A133" s="325" t="s">
        <v>34</v>
      </c>
      <c r="B133" s="489"/>
      <c r="C133" s="1885" t="str">
        <f>CONCATENATE('3 pr-2'!D135)</f>
        <v/>
      </c>
      <c r="D133" s="1883"/>
      <c r="E133" s="1883"/>
      <c r="F133" s="1883"/>
      <c r="G133" s="1883"/>
      <c r="H133" s="1883"/>
      <c r="I133" s="1883"/>
      <c r="J133" s="1884"/>
      <c r="K133" s="575"/>
      <c r="L133" s="576"/>
      <c r="M133" s="577"/>
      <c r="N133" s="576"/>
      <c r="O133" s="577"/>
      <c r="P133" s="576"/>
      <c r="Q133" s="577"/>
      <c r="R133" s="576"/>
      <c r="S133" s="577"/>
      <c r="T133" s="576"/>
      <c r="U133" s="605"/>
      <c r="V133" s="569">
        <f>SUM(V134:V138)</f>
        <v>994984.5399999998</v>
      </c>
      <c r="W133" s="569">
        <f>SUM(W134:W138)</f>
        <v>845736.85</v>
      </c>
    </row>
    <row r="134" spans="1:23" ht="64.5" thickBot="1" x14ac:dyDescent="0.3">
      <c r="A134" s="147" t="str">
        <f>CONCATENATE('3 pr-2'!A136)</f>
        <v>2.1.2.2.1</v>
      </c>
      <c r="B134" s="147" t="str">
        <f>CONCATENATE('3 pr-2'!B136)</f>
        <v>R01-6630-475000-2221</v>
      </c>
      <c r="C134" s="341" t="str">
        <f>CONCATENATE('3 pr-2'!D136)</f>
        <v>Sveikos gyvensenos skatinimas Alytaus rajone</v>
      </c>
      <c r="D134" s="341" t="str">
        <f>CONCATENATE('3 pr-2'!E136)</f>
        <v>Alytaus rajono savivaldybės visuomenės sveikatos biuras</v>
      </c>
      <c r="E134" s="341" t="str">
        <f>CONCATENATE('3 pr-2'!F136)</f>
        <v>Lietuvos Respublikos Sveikatos apsaugos ministerija</v>
      </c>
      <c r="F134" s="341" t="str">
        <f>CONCATENATE('3 pr-2'!G136)</f>
        <v>Alytaus r. sav.</v>
      </c>
      <c r="G134" s="147" t="str">
        <f>CONCATENATE('3 pr-2'!H136)</f>
        <v>08.4.2-ESFA-R-630</v>
      </c>
      <c r="H134" s="147" t="str">
        <f>CONCATENATE('3 pr-2'!I136)</f>
        <v>R</v>
      </c>
      <c r="I134" s="147" t="str">
        <f>CONCATENATE('3 pr-2'!J136)</f>
        <v>-</v>
      </c>
      <c r="J134" s="147" t="str">
        <f>CONCATENATE('3 pr-2'!K136)</f>
        <v>-</v>
      </c>
      <c r="K134" s="147" t="str">
        <f>MID('3 pr-2'!B136,10,2)</f>
        <v>47</v>
      </c>
      <c r="L134" s="147" t="str">
        <f>IFERROR(INDEX(Veiklos!$C$2:$C$54,MATCH(K134,Veiklos!$D$2:$D$54,0),1),"")</f>
        <v>Sveikatos paslaugų plėtra (ne infrastruktūra)</v>
      </c>
      <c r="M134" s="147" t="str">
        <f>MID('3 pr-2'!B136,12,2)</f>
        <v>50</v>
      </c>
      <c r="N134" s="147" t="str">
        <f>IFERROR(INDEX(Veiklos!$C$2:$C$54,MATCH(M134,Veiklos!$D$2:$D$54,0),1),"")</f>
        <v>Kita (nepriskirta kitoms grupėms) viešoji infrastruktūra ar paslaugos</v>
      </c>
      <c r="O134" s="147" t="str">
        <f>MID('3 pr-2'!B136,14,2)</f>
        <v>00</v>
      </c>
      <c r="P134" s="147">
        <f>IFERROR(INDEX(Veiklos!$C$2:$C$54,MATCH(O134,Veiklos!$D$2:$D$54,0),1),"")</f>
        <v>0</v>
      </c>
      <c r="Q134" s="147"/>
      <c r="R134" s="147"/>
      <c r="S134" s="147"/>
      <c r="T134" s="147"/>
      <c r="U134" s="349">
        <v>1</v>
      </c>
      <c r="V134" s="571">
        <f>SUM('3 pr-2'!L136)</f>
        <v>198997.18</v>
      </c>
      <c r="W134" s="571">
        <f>SUM('3 pr-2'!AA136)</f>
        <v>169147.6</v>
      </c>
    </row>
    <row r="135" spans="1:23" ht="39" thickBot="1" x14ac:dyDescent="0.3">
      <c r="A135" s="147" t="str">
        <f>CONCATENATE('3 pr-2'!A137)</f>
        <v>2.1.2.2.2</v>
      </c>
      <c r="B135" s="147" t="str">
        <f>CONCATENATE('3 pr-2'!B137)</f>
        <v>R01-6630-470000-2222</v>
      </c>
      <c r="C135" s="341" t="str">
        <f>CONCATENATE('3 pr-2'!D137)</f>
        <v>Mažais žingsneliais – sveikos gyvensenos link</v>
      </c>
      <c r="D135" s="341" t="str">
        <f>CONCATENATE('3 pr-2'!E137)</f>
        <v>Alytaus miesto savivaldybės administracija</v>
      </c>
      <c r="E135" s="341" t="str">
        <f>CONCATENATE('3 pr-2'!F137)</f>
        <v>Lietuvos Respublikos Sveikatos apsaugos ministerija</v>
      </c>
      <c r="F135" s="341" t="str">
        <f>CONCATENATE('3 pr-2'!G137)</f>
        <v>Alytaus m. sav.</v>
      </c>
      <c r="G135" s="147" t="str">
        <f>CONCATENATE('3 pr-2'!H137)</f>
        <v>08.4.2-ESFA-R-630</v>
      </c>
      <c r="H135" s="147" t="str">
        <f>CONCATENATE('3 pr-2'!I137)</f>
        <v>R</v>
      </c>
      <c r="I135" s="147" t="str">
        <f>CONCATENATE('3 pr-2'!J137)</f>
        <v>-</v>
      </c>
      <c r="J135" s="147" t="str">
        <f>CONCATENATE('3 pr-2'!K137)</f>
        <v>-</v>
      </c>
      <c r="K135" s="147" t="str">
        <f>MID('3 pr-2'!B137,10,2)</f>
        <v>47</v>
      </c>
      <c r="L135" s="147" t="str">
        <f>IFERROR(INDEX(Veiklos!$C$2:$C$54,MATCH(K135,Veiklos!$D$2:$D$54,0),1),"")</f>
        <v>Sveikatos paslaugų plėtra (ne infrastruktūra)</v>
      </c>
      <c r="M135" s="147" t="str">
        <f>MID('3 pr-2'!B137,12,2)</f>
        <v>00</v>
      </c>
      <c r="N135" s="147">
        <f>IFERROR(INDEX(Veiklos!$C$2:$C$54,MATCH(M135,Veiklos!$D$2:$D$54,0),1),"")</f>
        <v>0</v>
      </c>
      <c r="O135" s="147" t="str">
        <f>MID('3 pr-2'!B137,14,2)</f>
        <v>00</v>
      </c>
      <c r="P135" s="147">
        <f>IFERROR(INDEX(Veiklos!$C$2:$C$54,MATCH(O135,Veiklos!$D$2:$D$54,0),1),"")</f>
        <v>0</v>
      </c>
      <c r="Q135" s="147"/>
      <c r="R135" s="147"/>
      <c r="S135" s="147"/>
      <c r="T135" s="147"/>
      <c r="U135" s="349">
        <v>1</v>
      </c>
      <c r="V135" s="571">
        <f>SUM('3 pr-2'!L137)</f>
        <v>198996</v>
      </c>
      <c r="W135" s="571">
        <f>SUM('3 pr-2'!AA137)</f>
        <v>169146.6</v>
      </c>
    </row>
    <row r="136" spans="1:23" ht="64.5" thickBot="1" x14ac:dyDescent="0.3">
      <c r="A136" s="147" t="str">
        <f>CONCATENATE('3 pr-2'!A138)</f>
        <v>2.1.2.2.3</v>
      </c>
      <c r="B136" s="147" t="str">
        <f>CONCATENATE('3 pr-2'!B138)</f>
        <v>R01-6630-470000-2223</v>
      </c>
      <c r="C136" s="341" t="str">
        <f>CONCATENATE('3 pr-2'!D138)</f>
        <v>Sveikos gyvensenos skatinimas Varėnos rajono savivaldybėje</v>
      </c>
      <c r="D136" s="341" t="str">
        <f>CONCATENATE('3 pr-2'!E138)</f>
        <v>Varėnos rajono savivaldybės visuomenės sveikatos biuras</v>
      </c>
      <c r="E136" s="341" t="str">
        <f>CONCATENATE('3 pr-2'!F138)</f>
        <v>Lietuvos Respublikos Sveikatos apsaugos ministerija</v>
      </c>
      <c r="F136" s="341" t="str">
        <f>CONCATENATE('3 pr-2'!G138)</f>
        <v>Varėnos r. sav.</v>
      </c>
      <c r="G136" s="147" t="str">
        <f>CONCATENATE('3 pr-2'!H138)</f>
        <v>08.4.2-ESFA-R-630</v>
      </c>
      <c r="H136" s="147" t="str">
        <f>CONCATENATE('3 pr-2'!I138)</f>
        <v>R</v>
      </c>
      <c r="I136" s="147" t="str">
        <f>CONCATENATE('3 pr-2'!J138)</f>
        <v>-</v>
      </c>
      <c r="J136" s="147" t="str">
        <f>CONCATENATE('3 pr-2'!K138)</f>
        <v>-</v>
      </c>
      <c r="K136" s="147" t="str">
        <f>MID('3 pr-2'!B138,10,2)</f>
        <v>47</v>
      </c>
      <c r="L136" s="147" t="str">
        <f>IFERROR(INDEX(Veiklos!$C$2:$C$54,MATCH(K136,Veiklos!$D$2:$D$54,0),1),"")</f>
        <v>Sveikatos paslaugų plėtra (ne infrastruktūra)</v>
      </c>
      <c r="M136" s="147" t="str">
        <f>MID('3 pr-2'!B138,12,2)</f>
        <v>00</v>
      </c>
      <c r="N136" s="147">
        <f>IFERROR(INDEX(Veiklos!$C$2:$C$54,MATCH(M136,Veiklos!$D$2:$D$54,0),1),"")</f>
        <v>0</v>
      </c>
      <c r="O136" s="147" t="str">
        <f>MID('3 pr-2'!B138,14,2)</f>
        <v>00</v>
      </c>
      <c r="P136" s="147">
        <f>IFERROR(INDEX(Veiklos!$C$2:$C$54,MATCH(O136,Veiklos!$D$2:$D$54,0),1),"")</f>
        <v>0</v>
      </c>
      <c r="Q136" s="147"/>
      <c r="R136" s="147"/>
      <c r="S136" s="147"/>
      <c r="T136" s="147"/>
      <c r="U136" s="349">
        <v>1</v>
      </c>
      <c r="V136" s="571">
        <f>SUM('3 pr-2'!L138)</f>
        <v>198997</v>
      </c>
      <c r="W136" s="571">
        <f>SUM('3 pr-2'!AA138)</f>
        <v>169147.45</v>
      </c>
    </row>
    <row r="137" spans="1:23" ht="64.5" thickBot="1" x14ac:dyDescent="0.3">
      <c r="A137" s="147" t="str">
        <f>CONCATENATE('3 pr-2'!A139)</f>
        <v>2.1.2.2.4.</v>
      </c>
      <c r="B137" s="147" t="str">
        <f>CONCATENATE('3 pr-2'!B139)</f>
        <v>R01-6630-470000-2224</v>
      </c>
      <c r="C137" s="341" t="str">
        <f>CONCATENATE('3 pr-2'!D139)</f>
        <v>Sveika bendruomenė – stipri visuomenė</v>
      </c>
      <c r="D137" s="341" t="str">
        <f>CONCATENATE('3 pr-2'!E139)</f>
        <v>Druskininkų savivaldybės visuomenės sveikatos biuras</v>
      </c>
      <c r="E137" s="341" t="str">
        <f>CONCATENATE('3 pr-2'!F139)</f>
        <v>Lietuvos Respublikos Sveikatos apsaugos ministerija</v>
      </c>
      <c r="F137" s="341" t="str">
        <f>CONCATENATE('3 pr-2'!G139)</f>
        <v>Druskininkų sav.</v>
      </c>
      <c r="G137" s="147" t="str">
        <f>CONCATENATE('3 pr-2'!H139)</f>
        <v>08.4.2-ESFA-R-630</v>
      </c>
      <c r="H137" s="147" t="str">
        <f>CONCATENATE('3 pr-2'!I139)</f>
        <v>R</v>
      </c>
      <c r="I137" s="147" t="str">
        <f>CONCATENATE('3 pr-2'!J139)</f>
        <v>-</v>
      </c>
      <c r="J137" s="147" t="str">
        <f>CONCATENATE('3 pr-2'!K139)</f>
        <v>-</v>
      </c>
      <c r="K137" s="147" t="str">
        <f>MID('3 pr-2'!B139,10,2)</f>
        <v>47</v>
      </c>
      <c r="L137" s="147" t="str">
        <f>IFERROR(INDEX(Veiklos!$C$2:$C$54,MATCH(K137,Veiklos!$D$2:$D$54,0),1),"")</f>
        <v>Sveikatos paslaugų plėtra (ne infrastruktūra)</v>
      </c>
      <c r="M137" s="147" t="str">
        <f>MID('3 pr-2'!B139,12,2)</f>
        <v>00</v>
      </c>
      <c r="N137" s="147">
        <f>IFERROR(INDEX(Veiklos!$C$2:$C$54,MATCH(M137,Veiklos!$D$2:$D$54,0),1),"")</f>
        <v>0</v>
      </c>
      <c r="O137" s="147" t="str">
        <f>MID('3 pr-2'!B139,14,2)</f>
        <v>00</v>
      </c>
      <c r="P137" s="147">
        <f>IFERROR(INDEX(Veiklos!$C$2:$C$54,MATCH(O137,Veiklos!$D$2:$D$54,0),1),"")</f>
        <v>0</v>
      </c>
      <c r="Q137" s="147"/>
      <c r="R137" s="147"/>
      <c r="S137" s="147"/>
      <c r="T137" s="147"/>
      <c r="U137" s="349">
        <v>1</v>
      </c>
      <c r="V137" s="571">
        <f>SUM('3 pr-2'!L139)</f>
        <v>198997.18</v>
      </c>
      <c r="W137" s="571">
        <f>SUM('3 pr-2'!AA139)</f>
        <v>169147.6</v>
      </c>
    </row>
    <row r="138" spans="1:23" ht="64.5" thickBot="1" x14ac:dyDescent="0.3">
      <c r="A138" s="147" t="str">
        <f>CONCATENATE('3 pr-2'!A140)</f>
        <v>2.1.2.2.5</v>
      </c>
      <c r="B138" s="147" t="str">
        <f>CONCATENATE('3 pr-2'!B140)</f>
        <v>R01-6630-470000-2225</v>
      </c>
      <c r="C138" s="341" t="str">
        <f>CONCATENATE('3 pr-2'!D140)</f>
        <v>Sveikos gyvensenos skatinimas Lazdijų rajono savivaldybėje</v>
      </c>
      <c r="D138" s="341" t="str">
        <f>CONCATENATE('3 pr-2'!E140)</f>
        <v>Lazdijų rajono savivaldybės visuomenės sveikatos biuras</v>
      </c>
      <c r="E138" s="341" t="str">
        <f>CONCATENATE('3 pr-2'!F140)</f>
        <v>Lietuvos Respublikos Sveikatos apsaugos ministerija</v>
      </c>
      <c r="F138" s="341" t="str">
        <f>CONCATENATE('3 pr-2'!G140)</f>
        <v>Lazdijų r. sav.</v>
      </c>
      <c r="G138" s="147" t="str">
        <f>CONCATENATE('3 pr-2'!H140)</f>
        <v>08.4.2-ESFA-R-630</v>
      </c>
      <c r="H138" s="147" t="str">
        <f>CONCATENATE('3 pr-2'!I140)</f>
        <v>R</v>
      </c>
      <c r="I138" s="147" t="str">
        <f>CONCATENATE('3 pr-2'!J140)</f>
        <v>-</v>
      </c>
      <c r="J138" s="147" t="str">
        <f>CONCATENATE('3 pr-2'!K140)</f>
        <v>-</v>
      </c>
      <c r="K138" s="147" t="str">
        <f>MID('3 pr-2'!B140,10,2)</f>
        <v>47</v>
      </c>
      <c r="L138" s="147" t="str">
        <f>IFERROR(INDEX(Veiklos!$C$2:$C$54,MATCH(K138,Veiklos!$D$2:$D$54,0),1),"")</f>
        <v>Sveikatos paslaugų plėtra (ne infrastruktūra)</v>
      </c>
      <c r="M138" s="147" t="str">
        <f>MID('3 pr-2'!B140,12,2)</f>
        <v>00</v>
      </c>
      <c r="N138" s="147">
        <f>IFERROR(INDEX(Veiklos!$C$2:$C$54,MATCH(M138,Veiklos!$D$2:$D$54,0),1),"")</f>
        <v>0</v>
      </c>
      <c r="O138" s="147" t="str">
        <f>MID('3 pr-2'!B140,14,2)</f>
        <v>00</v>
      </c>
      <c r="P138" s="147">
        <f>IFERROR(INDEX(Veiklos!$C$2:$C$54,MATCH(O138,Veiklos!$D$2:$D$54,0),1),"")</f>
        <v>0</v>
      </c>
      <c r="Q138" s="147"/>
      <c r="R138" s="147"/>
      <c r="S138" s="147"/>
      <c r="T138" s="147"/>
      <c r="U138" s="349">
        <v>1</v>
      </c>
      <c r="V138" s="571">
        <f>SUM('3 pr-2'!L140)</f>
        <v>198997.18</v>
      </c>
      <c r="W138" s="571">
        <f>SUM('3 pr-2'!AA140)</f>
        <v>169147.6</v>
      </c>
    </row>
    <row r="139" spans="1:23" ht="38.25" customHeight="1" thickBot="1" x14ac:dyDescent="0.3">
      <c r="A139" s="325" t="str">
        <f>CONCATENATE('3 pr-2'!A141)</f>
        <v>2.1.2.3</v>
      </c>
      <c r="B139" s="147" t="str">
        <f>CONCATENATE('3 pr-2'!B141)</f>
        <v>Priemonė:
Priemonių, gerinančių ambulatorinių sveikatos priežiūros paslaugų prieinamumą tuberkulioze sergantiems pacientams, įgyvendinimas</v>
      </c>
      <c r="C139" s="1885" t="str">
        <f>CONCATENATE('3 pr-2'!D141)</f>
        <v/>
      </c>
      <c r="D139" s="1883"/>
      <c r="E139" s="1883"/>
      <c r="F139" s="1883"/>
      <c r="G139" s="1883"/>
      <c r="H139" s="1883"/>
      <c r="I139" s="1883"/>
      <c r="J139" s="1884"/>
      <c r="K139" s="575"/>
      <c r="L139" s="576"/>
      <c r="M139" s="577"/>
      <c r="N139" s="576"/>
      <c r="O139" s="577"/>
      <c r="P139" s="576"/>
      <c r="Q139" s="577"/>
      <c r="R139" s="576"/>
      <c r="S139" s="577"/>
      <c r="T139" s="576"/>
      <c r="U139" s="605"/>
      <c r="V139" s="569">
        <f>SUM(V140:V150)</f>
        <v>2389537.7800000003</v>
      </c>
      <c r="W139" s="569">
        <f>SUM(W140:W150)</f>
        <v>1701911.85</v>
      </c>
    </row>
    <row r="140" spans="1:23" ht="90" thickBot="1" x14ac:dyDescent="0.3">
      <c r="A140" s="147" t="str">
        <f>CONCATENATE('3 pr-2'!A142)</f>
        <v>2.1.2.3.1</v>
      </c>
      <c r="B140" s="147" t="str">
        <f>CONCATENATE('3 pr-2'!B142)</f>
        <v>R01-6615-475000-2231</v>
      </c>
      <c r="C140" s="341" t="str">
        <f>CONCATENATE('3 pr-2'!D142)</f>
        <v>Priemonių gerinančių ambulatorinių sveikatos priežiūros paslaugų prieinamumą tuberkulioze sergantiems asmenims, Alytaus rajone įgyvendinimas</v>
      </c>
      <c r="D140" s="341" t="str">
        <f>CONCATENATE('3 pr-2'!E142)</f>
        <v>VšĮ Alytaus rajono savivaldybės pirminės sveikatos priežiūros centras</v>
      </c>
      <c r="E140" s="341" t="str">
        <f>CONCATENATE('3 pr-2'!F142)</f>
        <v>Lietuvos Respublikos Sveikatos apsaugos ministerija</v>
      </c>
      <c r="F140" s="341" t="str">
        <f>CONCATENATE('3 pr-2'!G142)</f>
        <v>Alytaus r. sav.</v>
      </c>
      <c r="G140" s="147" t="str">
        <f>CONCATENATE('3 pr-2'!H142)</f>
        <v>08.4.2-ESFA-R-615</v>
      </c>
      <c r="H140" s="147" t="str">
        <f>CONCATENATE('3 pr-2'!I142)</f>
        <v>R</v>
      </c>
      <c r="I140" s="147" t="str">
        <f>CONCATENATE('3 pr-2'!J142)</f>
        <v>-</v>
      </c>
      <c r="J140" s="147" t="str">
        <f>CONCATENATE('3 pr-2'!K142)</f>
        <v>-</v>
      </c>
      <c r="K140" s="147" t="str">
        <f>MID('3 pr-2'!B142,10,2)</f>
        <v>47</v>
      </c>
      <c r="L140" s="147" t="str">
        <f>IFERROR(INDEX(Veiklos!$C$2:$C$54,MATCH(K140,Veiklos!$D$2:$D$54,0),1),"")</f>
        <v>Sveikatos paslaugų plėtra (ne infrastruktūra)</v>
      </c>
      <c r="M140" s="147" t="str">
        <f>MID('3 pr-2'!B142,12,2)</f>
        <v>50</v>
      </c>
      <c r="N140" s="147" t="str">
        <f>IFERROR(INDEX(Veiklos!$C$2:$C$54,MATCH(M140,Veiklos!$D$2:$D$54,0),1),"")</f>
        <v>Kita (nepriskirta kitoms grupėms) viešoji infrastruktūra ar paslaugos</v>
      </c>
      <c r="O140" s="147" t="str">
        <f>MID('3 pr-2'!B142,14,2)</f>
        <v>00</v>
      </c>
      <c r="P140" s="147">
        <f>IFERROR(INDEX(Veiklos!$C$2:$C$54,MATCH(O140,Veiklos!$D$2:$D$54,0),1),"")</f>
        <v>0</v>
      </c>
      <c r="Q140" s="147"/>
      <c r="R140" s="147"/>
      <c r="S140" s="147"/>
      <c r="T140" s="147"/>
      <c r="U140" s="349">
        <v>1</v>
      </c>
      <c r="V140" s="571">
        <f>SUM('3 pr-2'!L142)</f>
        <v>10453</v>
      </c>
      <c r="W140" s="571">
        <f>SUM('3 pr-2'!AA142)</f>
        <v>8214.61</v>
      </c>
    </row>
    <row r="141" spans="1:23" ht="39" thickBot="1" x14ac:dyDescent="0.3">
      <c r="A141" s="147" t="str">
        <f>CONCATENATE('3 pr-2'!A143)</f>
        <v>2.1.2.3.2</v>
      </c>
      <c r="B141" s="147" t="str">
        <f>CONCATENATE('3 pr-2'!B143)</f>
        <v>R01-6615-470000-2232</v>
      </c>
      <c r="C141" s="341" t="str">
        <f>CONCATENATE('3 pr-2'!D143)</f>
        <v>Ambulatorinių sveikatos priežiūros paslaugų gerinimas tuberkulioze sergantiems asmenims</v>
      </c>
      <c r="D141" s="341" t="str">
        <f>CONCATENATE('3 pr-2'!E143)</f>
        <v>Alytaus miesto savivaldybės administracija</v>
      </c>
      <c r="E141" s="341" t="str">
        <f>CONCATENATE('3 pr-2'!F143)</f>
        <v>Lietuvos Respublikos Sveikatos apsaugos ministerija</v>
      </c>
      <c r="F141" s="341" t="str">
        <f>CONCATENATE('3 pr-2'!G143)</f>
        <v>Alytaus m. sav.</v>
      </c>
      <c r="G141" s="147" t="str">
        <f>CONCATENATE('3 pr-2'!H143)</f>
        <v>08.4.2-ESFA-R-615</v>
      </c>
      <c r="H141" s="147" t="str">
        <f>CONCATENATE('3 pr-2'!I143)</f>
        <v>R</v>
      </c>
      <c r="I141" s="147" t="str">
        <f>CONCATENATE('3 pr-2'!J143)</f>
        <v>-</v>
      </c>
      <c r="J141" s="147" t="str">
        <f>CONCATENATE('3 pr-2'!K143)</f>
        <v>-</v>
      </c>
      <c r="K141" s="147" t="str">
        <f>MID('3 pr-2'!B143,10,2)</f>
        <v>47</v>
      </c>
      <c r="L141" s="147" t="str">
        <f>IFERROR(INDEX(Veiklos!$C$2:$C$54,MATCH(K141,Veiklos!$D$2:$D$54,0),1),"")</f>
        <v>Sveikatos paslaugų plėtra (ne infrastruktūra)</v>
      </c>
      <c r="M141" s="147" t="str">
        <f>MID('3 pr-2'!B143,12,2)</f>
        <v>00</v>
      </c>
      <c r="N141" s="147">
        <f>IFERROR(INDEX(Veiklos!$C$2:$C$54,MATCH(M141,Veiklos!$D$2:$D$54,0),1),"")</f>
        <v>0</v>
      </c>
      <c r="O141" s="147" t="str">
        <f>MID('3 pr-2'!B143,14,2)</f>
        <v>00</v>
      </c>
      <c r="P141" s="147">
        <f>IFERROR(INDEX(Veiklos!$C$2:$C$54,MATCH(O141,Veiklos!$D$2:$D$54,0),1),"")</f>
        <v>0</v>
      </c>
      <c r="Q141" s="147"/>
      <c r="R141" s="147"/>
      <c r="S141" s="147"/>
      <c r="T141" s="147"/>
      <c r="U141" s="349">
        <v>1</v>
      </c>
      <c r="V141" s="571">
        <f>SUM('3 pr-2'!L143)</f>
        <v>17041.18</v>
      </c>
      <c r="W141" s="571">
        <f>SUM('3 pr-2'!AA143)</f>
        <v>14485.09</v>
      </c>
    </row>
    <row r="142" spans="1:23" ht="39" thickBot="1" x14ac:dyDescent="0.3">
      <c r="A142" s="147" t="str">
        <f>CONCATENATE('3 pr-2'!A144)</f>
        <v>2.1.2.3.3</v>
      </c>
      <c r="B142" s="147" t="str">
        <f>CONCATENATE('3 pr-2'!B144)</f>
        <v>R01-6615-470000-2233</v>
      </c>
      <c r="C142" s="341" t="str">
        <f>CONCATENATE('3 pr-2'!D144)</f>
        <v xml:space="preserve">Paslaugų tuberkulioze sergantiems asmenims gerinimas Lazdijų rajono savivaldybėje </v>
      </c>
      <c r="D142" s="341" t="str">
        <f>CONCATENATE('3 pr-2'!E144)</f>
        <v>Lazdijų rajono savivaldybės administracija</v>
      </c>
      <c r="E142" s="341" t="str">
        <f>CONCATENATE('3 pr-2'!F144)</f>
        <v>Lietuvos Respublikos Sveikatos apsaugos ministerija</v>
      </c>
      <c r="F142" s="341" t="str">
        <f>CONCATENATE('3 pr-2'!G144)</f>
        <v>Lazdijų r. sav.</v>
      </c>
      <c r="G142" s="147" t="str">
        <f>CONCATENATE('3 pr-2'!H144)</f>
        <v>08.4.2-ESFA-R-615</v>
      </c>
      <c r="H142" s="147" t="str">
        <f>CONCATENATE('3 pr-2'!I144)</f>
        <v>R</v>
      </c>
      <c r="I142" s="147" t="str">
        <f>CONCATENATE('3 pr-2'!J144)</f>
        <v>-</v>
      </c>
      <c r="J142" s="147" t="str">
        <f>CONCATENATE('3 pr-2'!K144)</f>
        <v>-</v>
      </c>
      <c r="K142" s="147" t="str">
        <f>MID('3 pr-2'!B144,10,2)</f>
        <v>47</v>
      </c>
      <c r="L142" s="147" t="str">
        <f>IFERROR(INDEX(Veiklos!$C$2:$C$54,MATCH(K142,Veiklos!$D$2:$D$54,0),1),"")</f>
        <v>Sveikatos paslaugų plėtra (ne infrastruktūra)</v>
      </c>
      <c r="M142" s="147" t="str">
        <f>MID('3 pr-2'!B144,12,2)</f>
        <v>00</v>
      </c>
      <c r="N142" s="147">
        <f>IFERROR(INDEX(Veiklos!$C$2:$C$54,MATCH(M142,Veiklos!$D$2:$D$54,0),1),"")</f>
        <v>0</v>
      </c>
      <c r="O142" s="147" t="str">
        <f>MID('3 pr-2'!B144,14,2)</f>
        <v>00</v>
      </c>
      <c r="P142" s="147">
        <f>IFERROR(INDEX(Veiklos!$C$2:$C$54,MATCH(O142,Veiklos!$D$2:$D$54,0),1),"")</f>
        <v>0</v>
      </c>
      <c r="Q142" s="147"/>
      <c r="R142" s="147"/>
      <c r="S142" s="147"/>
      <c r="T142" s="147"/>
      <c r="U142" s="349">
        <v>1</v>
      </c>
      <c r="V142" s="571">
        <f>SUM('3 pr-2'!L144)</f>
        <v>15224</v>
      </c>
      <c r="W142" s="571">
        <f>SUM('3 pr-2'!AA144)</f>
        <v>12940.4</v>
      </c>
    </row>
    <row r="143" spans="1:23" ht="64.5" thickBot="1" x14ac:dyDescent="0.3">
      <c r="A143" s="147" t="str">
        <f>CONCATENATE('3 pr-2'!A145)</f>
        <v>2.1.2.3.4</v>
      </c>
      <c r="B143" s="147" t="str">
        <f>CONCATENATE('3 pr-2'!B145)</f>
        <v>R01-6615-470000-2234</v>
      </c>
      <c r="C143" s="341" t="str">
        <f>CONCATENATE('3 pr-2'!D145)</f>
        <v>Ambulatorinių sveikatos priežiūros paslaugų tuberkulioze sergantiems asmenims prieinamumo gerinimas Druskininkų savivaldybėje</v>
      </c>
      <c r="D143" s="341" t="str">
        <f>CONCATENATE('3 pr-2'!E145)</f>
        <v>Druskininkų pirminės sveikatos priežiūros centras</v>
      </c>
      <c r="E143" s="341" t="str">
        <f>CONCATENATE('3 pr-2'!F145)</f>
        <v>Lietuvos Respublikos Sveikatos apsaugos ministerija</v>
      </c>
      <c r="F143" s="341" t="str">
        <f>CONCATENATE('3 pr-2'!G145)</f>
        <v>Druskininkų sav.</v>
      </c>
      <c r="G143" s="147" t="str">
        <f>CONCATENATE('3 pr-2'!H145)</f>
        <v>08.4.2-ESFA-R-615</v>
      </c>
      <c r="H143" s="147" t="str">
        <f>CONCATENATE('3 pr-2'!I145)</f>
        <v>R</v>
      </c>
      <c r="I143" s="147" t="str">
        <f>CONCATENATE('3 pr-2'!J145)</f>
        <v>-</v>
      </c>
      <c r="J143" s="147" t="str">
        <f>CONCATENATE('3 pr-2'!K145)</f>
        <v>-</v>
      </c>
      <c r="K143" s="147" t="str">
        <f>MID('3 pr-2'!B145,10,2)</f>
        <v>47</v>
      </c>
      <c r="L143" s="147" t="str">
        <f>IFERROR(INDEX(Veiklos!$C$2:$C$54,MATCH(K143,Veiklos!$D$2:$D$54,0),1),"")</f>
        <v>Sveikatos paslaugų plėtra (ne infrastruktūra)</v>
      </c>
      <c r="M143" s="147" t="str">
        <f>MID('3 pr-2'!B145,12,2)</f>
        <v>00</v>
      </c>
      <c r="N143" s="147">
        <f>IFERROR(INDEX(Veiklos!$C$2:$C$54,MATCH(M143,Veiklos!$D$2:$D$54,0),1),"")</f>
        <v>0</v>
      </c>
      <c r="O143" s="147" t="str">
        <f>MID('3 pr-2'!B145,14,2)</f>
        <v>00</v>
      </c>
      <c r="P143" s="147">
        <f>IFERROR(INDEX(Veiklos!$C$2:$C$54,MATCH(O143,Veiklos!$D$2:$D$54,0),1),"")</f>
        <v>0</v>
      </c>
      <c r="Q143" s="147"/>
      <c r="R143" s="147"/>
      <c r="S143" s="147"/>
      <c r="T143" s="147"/>
      <c r="U143" s="349">
        <v>1</v>
      </c>
      <c r="V143" s="571">
        <f>SUM('3 pr-2'!L145)</f>
        <v>6816</v>
      </c>
      <c r="W143" s="571">
        <f>SUM('3 pr-2'!AA145)</f>
        <v>5793.6</v>
      </c>
    </row>
    <row r="144" spans="1:23" ht="51.75" thickBot="1" x14ac:dyDescent="0.3">
      <c r="A144" s="147" t="str">
        <f>CONCATENATE('3 pr-2'!A146)</f>
        <v>2.1.2.3.5</v>
      </c>
      <c r="B144" s="147" t="str">
        <f>CONCATENATE('3 pr-2'!B146)</f>
        <v>R01-6615-470000-2235</v>
      </c>
      <c r="C144" s="341" t="str">
        <f>CONCATENATE('3 pr-2'!D146)</f>
        <v>Ambulatorinių sveikatos priežiūros paslaugų prieinamumo gerinimas tuberkulioze sergantiems asmenims Varėnos rajono savivaldybėje</v>
      </c>
      <c r="D144" s="341" t="str">
        <f>CONCATENATE('3 pr-2'!E146)</f>
        <v>Varėnos rajono savivaldybės administracija</v>
      </c>
      <c r="E144" s="341" t="str">
        <f>CONCATENATE('3 pr-2'!F146)</f>
        <v>Lietuvos Respublikos Sveikatos apsaugos ministerija</v>
      </c>
      <c r="F144" s="341" t="str">
        <f>CONCATENATE('3 pr-2'!G146)</f>
        <v>Varėnos r. sav.</v>
      </c>
      <c r="G144" s="147" t="str">
        <f>CONCATENATE('3 pr-2'!H146)</f>
        <v>08.4.2-ESFA-R-615</v>
      </c>
      <c r="H144" s="147" t="str">
        <f>CONCATENATE('3 pr-2'!I146)</f>
        <v>R</v>
      </c>
      <c r="I144" s="147" t="str">
        <f>CONCATENATE('3 pr-2'!J146)</f>
        <v>-</v>
      </c>
      <c r="J144" s="147" t="str">
        <f>CONCATENATE('3 pr-2'!K146)</f>
        <v>-</v>
      </c>
      <c r="K144" s="147" t="str">
        <f>MID('3 pr-2'!B146,10,2)</f>
        <v>47</v>
      </c>
      <c r="L144" s="147" t="str">
        <f>IFERROR(INDEX(Veiklos!$C$2:$C$54,MATCH(K144,Veiklos!$D$2:$D$54,0),1),"")</f>
        <v>Sveikatos paslaugų plėtra (ne infrastruktūra)</v>
      </c>
      <c r="M144" s="147" t="str">
        <f>MID('3 pr-2'!B146,12,2)</f>
        <v>00</v>
      </c>
      <c r="N144" s="147">
        <f>IFERROR(INDEX(Veiklos!$C$2:$C$54,MATCH(M144,Veiklos!$D$2:$D$54,0),1),"")</f>
        <v>0</v>
      </c>
      <c r="O144" s="147" t="str">
        <f>MID('3 pr-2'!B146,14,2)</f>
        <v>00</v>
      </c>
      <c r="P144" s="147">
        <f>IFERROR(INDEX(Veiklos!$C$2:$C$54,MATCH(O144,Veiklos!$D$2:$D$54,0),1),"")</f>
        <v>0</v>
      </c>
      <c r="Q144" s="147"/>
      <c r="R144" s="147"/>
      <c r="S144" s="147"/>
      <c r="T144" s="147"/>
      <c r="U144" s="349">
        <v>1</v>
      </c>
      <c r="V144" s="571">
        <f>SUM('3 pr-2'!L146)</f>
        <v>15679</v>
      </c>
      <c r="W144" s="571">
        <f>SUM('3 pr-2'!AA146)</f>
        <v>13327</v>
      </c>
    </row>
    <row r="145" spans="1:23" ht="40.5" customHeight="1" thickBot="1" x14ac:dyDescent="0.3">
      <c r="A145" s="151" t="s">
        <v>35</v>
      </c>
      <c r="B145" s="714"/>
      <c r="C145" s="1887" t="s">
        <v>636</v>
      </c>
      <c r="D145" s="1888"/>
      <c r="E145" s="1888"/>
      <c r="F145" s="1888"/>
      <c r="G145" s="1888"/>
      <c r="H145" s="1888"/>
      <c r="I145" s="1888"/>
      <c r="J145" s="1889"/>
      <c r="K145" s="561"/>
      <c r="L145" s="601"/>
      <c r="M145" s="564"/>
      <c r="N145" s="601"/>
      <c r="O145" s="564"/>
      <c r="P145" s="601"/>
      <c r="Q145" s="564"/>
      <c r="R145" s="601"/>
      <c r="S145" s="564"/>
      <c r="T145" s="601"/>
      <c r="U145" s="601"/>
      <c r="V145" s="603"/>
      <c r="W145" s="603"/>
    </row>
    <row r="146" spans="1:23" ht="27.75" customHeight="1" thickBot="1" x14ac:dyDescent="0.3">
      <c r="A146" s="326" t="s">
        <v>36</v>
      </c>
      <c r="B146" s="335"/>
      <c r="C146" s="1890" t="s">
        <v>632</v>
      </c>
      <c r="D146" s="1891"/>
      <c r="E146" s="1891"/>
      <c r="F146" s="1891"/>
      <c r="G146" s="1891"/>
      <c r="H146" s="1891"/>
      <c r="I146" s="1891"/>
      <c r="J146" s="1891"/>
      <c r="K146" s="321"/>
      <c r="L146" s="606"/>
      <c r="M146" s="323"/>
      <c r="N146" s="606"/>
      <c r="O146" s="323"/>
      <c r="P146" s="606"/>
      <c r="Q146" s="323"/>
      <c r="R146" s="606"/>
      <c r="S146" s="323"/>
      <c r="T146" s="606"/>
      <c r="U146" s="607"/>
      <c r="V146" s="597">
        <f>SUM(V147:V151)</f>
        <v>1235321.8</v>
      </c>
      <c r="W146" s="597">
        <f>SUM(W147:W151)</f>
        <v>885761.15</v>
      </c>
    </row>
    <row r="147" spans="1:23" ht="39" thickBot="1" x14ac:dyDescent="0.3">
      <c r="A147" s="147" t="str">
        <f>CONCATENATE('3 pr-2'!A149)</f>
        <v>2.1.3.1.1</v>
      </c>
      <c r="B147" s="147" t="str">
        <f>CONCATENATE('3 pr-2'!B149)</f>
        <v>R01-4407-270000-2311</v>
      </c>
      <c r="C147" s="341" t="str">
        <f>CONCATENATE('3 pr-2'!D149)</f>
        <v>Socialinių paslaugų infrastruktūros plėtra Varėnos rajono savivaldybėje</v>
      </c>
      <c r="D147" s="341" t="str">
        <f>CONCATENATE('3 pr-2'!E149)</f>
        <v>Varėnos rajono savivaldybės administracija</v>
      </c>
      <c r="E147" s="341" t="str">
        <f>CONCATENATE('3 pr-2'!F149)</f>
        <v>Lietuvos Respublikos socialinės apsaugos ir darbo ministerija</v>
      </c>
      <c r="F147" s="341" t="str">
        <f>CONCATENATE('3 pr-2'!G149)</f>
        <v>Varėnos r. sav.</v>
      </c>
      <c r="G147" s="147" t="str">
        <f>CONCATENATE('3 pr-2'!H149)</f>
        <v>08.1.2-CPVA-R-407</v>
      </c>
      <c r="H147" s="147" t="str">
        <f>CONCATENATE('3 pr-2'!I149)</f>
        <v>R</v>
      </c>
      <c r="I147" s="147" t="str">
        <f>CONCATENATE('3 pr-2'!J149)</f>
        <v>-</v>
      </c>
      <c r="J147" s="147" t="str">
        <f>CONCATENATE('3 pr-2'!K149)</f>
        <v>-</v>
      </c>
      <c r="K147" s="147" t="str">
        <f>MID('3 pr-2'!B149,10,2)</f>
        <v>27</v>
      </c>
      <c r="L147" s="147" t="str">
        <f>IFERROR(INDEX(Veiklos!$C$2:$C$54,MATCH(K147,Veiklos!$D$2:$D$54,0),1),"")</f>
        <v>Socialinių ir sveikatos paslaugų infrastruktūra</v>
      </c>
      <c r="M147" s="147" t="str">
        <f>MID('3 pr-2'!B149,12,2)</f>
        <v>00</v>
      </c>
      <c r="N147" s="147">
        <f>IFERROR(INDEX(Veiklos!$C$2:$C$54,MATCH(M147,Veiklos!$D$2:$D$54,0),1),"")</f>
        <v>0</v>
      </c>
      <c r="O147" s="147" t="str">
        <f>MID('3 pr-2'!B149,14,2)</f>
        <v>00</v>
      </c>
      <c r="P147" s="147">
        <f>IFERROR(INDEX(Veiklos!$C$2:$C$54,MATCH(O147,Veiklos!$D$2:$D$54,0),1),"")</f>
        <v>0</v>
      </c>
      <c r="Q147" s="147"/>
      <c r="R147" s="147"/>
      <c r="S147" s="147"/>
      <c r="T147" s="147"/>
      <c r="U147" s="349">
        <v>1</v>
      </c>
      <c r="V147" s="571">
        <f>SUM('3 pr-2'!L149)</f>
        <v>148480</v>
      </c>
      <c r="W147" s="571">
        <f>SUM('3 pr-2'!AA149)</f>
        <v>126208</v>
      </c>
    </row>
    <row r="148" spans="1:23" ht="39" thickBot="1" x14ac:dyDescent="0.3">
      <c r="A148" s="147" t="str">
        <f>CONCATENATE('3 pr-2'!A150)</f>
        <v>2.1.3.1.2</v>
      </c>
      <c r="B148" s="147" t="str">
        <f>CONCATENATE('3 pr-2'!B150)</f>
        <v>R01-4407-274800-2312</v>
      </c>
      <c r="C148" s="341" t="str">
        <f>CONCATENATE('3 pr-2'!D150)</f>
        <v>Psichosocialinės pagalbos centro įkūrimas</v>
      </c>
      <c r="D148" s="341" t="str">
        <f>CONCATENATE('3 pr-2'!E150)</f>
        <v>Alytaus rajono savivaldybės administracija</v>
      </c>
      <c r="E148" s="341" t="str">
        <f>CONCATENATE('3 pr-2'!F150)</f>
        <v>Lietuvos Respublikos socialinės apsaugos ir darbo ministerija</v>
      </c>
      <c r="F148" s="341" t="str">
        <f>CONCATENATE('3 pr-2'!G150)</f>
        <v>Alytaus r. sav.</v>
      </c>
      <c r="G148" s="147" t="str">
        <f>CONCATENATE('3 pr-2'!H150)</f>
        <v>08.1.2-CPVA-R-407</v>
      </c>
      <c r="H148" s="147" t="str">
        <f>CONCATENATE('3 pr-2'!I150)</f>
        <v>R</v>
      </c>
      <c r="I148" s="147" t="str">
        <f>CONCATENATE('3 pr-2'!J150)</f>
        <v/>
      </c>
      <c r="J148" s="147" t="str">
        <f>CONCATENATE('3 pr-2'!K150)</f>
        <v>-</v>
      </c>
      <c r="K148" s="147" t="str">
        <f>MID('3 pr-2'!B150,10,2)</f>
        <v>27</v>
      </c>
      <c r="L148" s="147" t="str">
        <f>IFERROR(INDEX(Veiklos!$C$2:$C$54,MATCH(K148,Veiklos!$D$2:$D$54,0),1),"")</f>
        <v>Socialinių ir sveikatos paslaugų infrastruktūra</v>
      </c>
      <c r="M148" s="147" t="str">
        <f>MID('3 pr-2'!B150,12,2)</f>
        <v>48</v>
      </c>
      <c r="N148" s="147" t="str">
        <f>IFERROR(INDEX(Veiklos!$C$2:$C$54,MATCH(M148,Veiklos!$D$2:$D$54,0),1),"")</f>
        <v>Socialinių paslaugų plėtra (ne infrastruktūra)</v>
      </c>
      <c r="O148" s="147" t="str">
        <f>MID('3 pr-2'!B150,14,2)</f>
        <v>00</v>
      </c>
      <c r="P148" s="147">
        <f>IFERROR(INDEX(Veiklos!$C$2:$C$54,MATCH(O148,Veiklos!$D$2:$D$54,0),1),"")</f>
        <v>0</v>
      </c>
      <c r="Q148" s="147"/>
      <c r="R148" s="147"/>
      <c r="S148" s="147"/>
      <c r="T148" s="147"/>
      <c r="U148" s="349">
        <v>1</v>
      </c>
      <c r="V148" s="571">
        <f>SUM('3 pr-2'!L150)</f>
        <v>188353</v>
      </c>
      <c r="W148" s="571">
        <f>SUM('3 pr-2'!AA150)</f>
        <v>160100</v>
      </c>
    </row>
    <row r="149" spans="1:23" ht="39" thickBot="1" x14ac:dyDescent="0.3">
      <c r="A149" s="147" t="str">
        <f>CONCATENATE('3 pr-2'!A151)</f>
        <v>2.1.3.1.3</v>
      </c>
      <c r="B149" s="147" t="str">
        <f>CONCATENATE('3 pr-2'!B151)</f>
        <v>R01-4407-270000-2313</v>
      </c>
      <c r="C149" s="341" t="str">
        <f>CONCATENATE('3 pr-2'!D151)</f>
        <v>Socialinių paslaugų plėtra Alytaus mieste</v>
      </c>
      <c r="D149" s="341" t="str">
        <f>CONCATENATE('3 pr-2'!E151)</f>
        <v>Alytaus miesto savivaldybės administracija</v>
      </c>
      <c r="E149" s="341" t="str">
        <f>CONCATENATE('3 pr-2'!F151)</f>
        <v>Lietuvos Respublikos socialinės apsaugos ir darbo ministerija</v>
      </c>
      <c r="F149" s="341" t="str">
        <f>CONCATENATE('3 pr-2'!G151)</f>
        <v>Alytaus m. sav.</v>
      </c>
      <c r="G149" s="147" t="str">
        <f>CONCATENATE('3 pr-2'!H151)</f>
        <v>08.1.2-CPVA-R-407</v>
      </c>
      <c r="H149" s="147" t="str">
        <f>CONCATENATE('3 pr-2'!I151)</f>
        <v>R</v>
      </c>
      <c r="I149" s="147" t="str">
        <f>CONCATENATE('3 pr-2'!J151)</f>
        <v>-</v>
      </c>
      <c r="J149" s="147" t="str">
        <f>CONCATENATE('3 pr-2'!K151)</f>
        <v>-</v>
      </c>
      <c r="K149" s="147" t="str">
        <f>MID('3 pr-2'!B151,10,2)</f>
        <v>27</v>
      </c>
      <c r="L149" s="147" t="str">
        <f>IFERROR(INDEX(Veiklos!$C$2:$C$54,MATCH(K149,Veiklos!$D$2:$D$54,0),1),"")</f>
        <v>Socialinių ir sveikatos paslaugų infrastruktūra</v>
      </c>
      <c r="M149" s="147" t="str">
        <f>MID('3 pr-2'!B151,12,2)</f>
        <v>00</v>
      </c>
      <c r="N149" s="147">
        <f>IFERROR(INDEX(Veiklos!$C$2:$C$54,MATCH(M149,Veiklos!$D$2:$D$54,0),1),"")</f>
        <v>0</v>
      </c>
      <c r="O149" s="147" t="str">
        <f>MID('3 pr-2'!B151,14,2)</f>
        <v>00</v>
      </c>
      <c r="P149" s="147">
        <f>IFERROR(INDEX(Veiklos!$C$2:$C$54,MATCH(O149,Veiklos!$D$2:$D$54,0),1),"")</f>
        <v>0</v>
      </c>
      <c r="Q149" s="147"/>
      <c r="R149" s="147"/>
      <c r="S149" s="147"/>
      <c r="T149" s="147"/>
      <c r="U149" s="349">
        <v>1</v>
      </c>
      <c r="V149" s="571">
        <f>SUM('3 pr-2'!L151)</f>
        <v>600732.80000000005</v>
      </c>
      <c r="W149" s="571">
        <f>SUM('3 pr-2'!AA151)</f>
        <v>346361</v>
      </c>
    </row>
    <row r="150" spans="1:23" ht="39" thickBot="1" x14ac:dyDescent="0.3">
      <c r="A150" s="147" t="str">
        <f>CONCATENATE('3 pr-2'!A152)</f>
        <v>2.1.3.1.4</v>
      </c>
      <c r="B150" s="147" t="str">
        <f>CONCATENATE('3 pr-2'!B152)</f>
        <v>R01-4407-270000-2314</v>
      </c>
      <c r="C150" s="341" t="str">
        <f>CONCATENATE('3 pr-2'!D152)</f>
        <v>Socialinių paslaugų infrastruktūros plėtra Druskininkų savivaldybėje</v>
      </c>
      <c r="D150" s="341" t="str">
        <f>CONCATENATE('3 pr-2'!E152)</f>
        <v>Druskininkų savivaldybės administracija</v>
      </c>
      <c r="E150" s="341" t="str">
        <f>CONCATENATE('3 pr-2'!F152)</f>
        <v>Lietuvos Respublikos socialinės apsaugos ir darbo ministerija</v>
      </c>
      <c r="F150" s="341" t="str">
        <f>CONCATENATE('3 pr-2'!G152)</f>
        <v>Druskininkų sav.</v>
      </c>
      <c r="G150" s="147" t="str">
        <f>CONCATENATE('3 pr-2'!H152)</f>
        <v>08.1.2-CPVA-R-407</v>
      </c>
      <c r="H150" s="147" t="str">
        <f>CONCATENATE('3 pr-2'!I152)</f>
        <v>R</v>
      </c>
      <c r="I150" s="147" t="str">
        <f>CONCATENATE('3 pr-2'!J152)</f>
        <v>-</v>
      </c>
      <c r="J150" s="147" t="str">
        <f>CONCATENATE('3 pr-2'!K152)</f>
        <v>-</v>
      </c>
      <c r="K150" s="147" t="str">
        <f>MID('3 pr-2'!B152,10,2)</f>
        <v>27</v>
      </c>
      <c r="L150" s="147" t="str">
        <f>IFERROR(INDEX(Veiklos!$C$2:$C$54,MATCH(K150,Veiklos!$D$2:$D$54,0),1),"")</f>
        <v>Socialinių ir sveikatos paslaugų infrastruktūra</v>
      </c>
      <c r="M150" s="147" t="str">
        <f>MID('3 pr-2'!B152,12,2)</f>
        <v>00</v>
      </c>
      <c r="N150" s="147">
        <f>IFERROR(INDEX(Veiklos!$C$2:$C$54,MATCH(M150,Veiklos!$D$2:$D$54,0),1),"")</f>
        <v>0</v>
      </c>
      <c r="O150" s="147" t="str">
        <f>MID('3 pr-2'!B152,14,2)</f>
        <v>00</v>
      </c>
      <c r="P150" s="147">
        <f>IFERROR(INDEX(Veiklos!$C$2:$C$54,MATCH(O150,Veiklos!$D$2:$D$54,0),1),"")</f>
        <v>0</v>
      </c>
      <c r="Q150" s="147"/>
      <c r="R150" s="147"/>
      <c r="S150" s="147"/>
      <c r="T150" s="147"/>
      <c r="U150" s="349">
        <v>1</v>
      </c>
      <c r="V150" s="571">
        <f>SUM('3 pr-2'!L152)</f>
        <v>151437</v>
      </c>
      <c r="W150" s="571">
        <f>SUM('3 pr-2'!AA152)</f>
        <v>128721</v>
      </c>
    </row>
    <row r="151" spans="1:23" ht="39" thickBot="1" x14ac:dyDescent="0.3">
      <c r="A151" s="147" t="str">
        <f>CONCATENATE('3 pr-2'!A153)</f>
        <v>2.1.3.1.5</v>
      </c>
      <c r="B151" s="147" t="str">
        <f>CONCATENATE('3 pr-2'!B153)</f>
        <v>R01-4407-270000-2315</v>
      </c>
      <c r="C151" s="341" t="str">
        <f>CONCATENATE('3 pr-2'!D153)</f>
        <v>Socialinių paslaugų infrastruktūros modernizavimas ir plėtra VšĮ Kapčiamiesčio globos namuose</v>
      </c>
      <c r="D151" s="341" t="str">
        <f>CONCATENATE('3 pr-2'!E153)</f>
        <v>VšĮ Kapčiamiesčio globos namai</v>
      </c>
      <c r="E151" s="341" t="str">
        <f>CONCATENATE('3 pr-2'!F153)</f>
        <v>Lietuvos Respublikos socialinės apsaugos ir darbo ministerija</v>
      </c>
      <c r="F151" s="341" t="str">
        <f>CONCATENATE('3 pr-2'!G153)</f>
        <v>Lazdijų r. sav.</v>
      </c>
      <c r="G151" s="147" t="str">
        <f>CONCATENATE('3 pr-2'!H153)</f>
        <v>08.1.2-CPVA-R-407</v>
      </c>
      <c r="H151" s="147" t="str">
        <f>CONCATENATE('3 pr-2'!I153)</f>
        <v>R</v>
      </c>
      <c r="I151" s="147" t="str">
        <f>CONCATENATE('3 pr-2'!J153)</f>
        <v>-</v>
      </c>
      <c r="J151" s="147" t="str">
        <f>CONCATENATE('3 pr-2'!K153)</f>
        <v>-</v>
      </c>
      <c r="K151" s="147" t="str">
        <f>MID('3 pr-2'!B153,10,2)</f>
        <v>27</v>
      </c>
      <c r="L151" s="147" t="str">
        <f>IFERROR(INDEX(Veiklos!$C$2:$C$54,MATCH(K151,Veiklos!$D$2:$D$54,0),1),"")</f>
        <v>Socialinių ir sveikatos paslaugų infrastruktūra</v>
      </c>
      <c r="M151" s="147" t="str">
        <f>MID('3 pr-2'!B153,12,2)</f>
        <v>00</v>
      </c>
      <c r="N151" s="147">
        <f>IFERROR(INDEX(Veiklos!$C$2:$C$54,MATCH(M151,Veiklos!$D$2:$D$54,0),1),"")</f>
        <v>0</v>
      </c>
      <c r="O151" s="147" t="str">
        <f>MID('3 pr-2'!B153,14,2)</f>
        <v>00</v>
      </c>
      <c r="P151" s="147">
        <f>IFERROR(INDEX(Veiklos!$C$2:$C$54,MATCH(O151,Veiklos!$D$2:$D$54,0),1),"")</f>
        <v>0</v>
      </c>
      <c r="Q151" s="147"/>
      <c r="R151" s="147"/>
      <c r="S151" s="147"/>
      <c r="T151" s="147"/>
      <c r="U151" s="349">
        <v>1</v>
      </c>
      <c r="V151" s="571">
        <f>SUM('3 pr-2'!L153)</f>
        <v>146319</v>
      </c>
      <c r="W151" s="571">
        <f>SUM('3 pr-2'!AA153)</f>
        <v>124371.15</v>
      </c>
    </row>
    <row r="152" spans="1:23" ht="38.25" customHeight="1" thickBot="1" x14ac:dyDescent="0.3">
      <c r="A152" s="330" t="s">
        <v>37</v>
      </c>
      <c r="B152" s="353"/>
      <c r="C152" s="1885" t="s">
        <v>831</v>
      </c>
      <c r="D152" s="1883"/>
      <c r="E152" s="1883"/>
      <c r="F152" s="1883"/>
      <c r="G152" s="1883"/>
      <c r="H152" s="1883"/>
      <c r="I152" s="1883"/>
      <c r="J152" s="1884"/>
      <c r="K152" s="575"/>
      <c r="L152" s="608"/>
      <c r="M152" s="323"/>
      <c r="N152" s="608"/>
      <c r="O152" s="323"/>
      <c r="P152" s="608"/>
      <c r="Q152" s="323"/>
      <c r="R152" s="608"/>
      <c r="S152" s="323"/>
      <c r="T152" s="608"/>
      <c r="U152" s="609"/>
      <c r="V152" s="597">
        <f>SUM(V153:V157)</f>
        <v>2966201.12</v>
      </c>
      <c r="W152" s="579">
        <f>SUM(W153:W157)</f>
        <v>2520973.9900000002</v>
      </c>
    </row>
    <row r="153" spans="1:23" ht="39" thickBot="1" x14ac:dyDescent="0.3">
      <c r="A153" s="147" t="str">
        <f>CONCATENATE('3 pr-2'!A155)</f>
        <v>2.1.3.2.1</v>
      </c>
      <c r="B153" s="147" t="str">
        <f>CONCATENATE('3 pr-2'!B155)</f>
        <v>R01-4408-260000-2321</v>
      </c>
      <c r="C153" s="341" t="str">
        <f>CONCATENATE('3 pr-2'!D155)</f>
        <v>Socialinio būsto plėtra Varėnos rajone</v>
      </c>
      <c r="D153" s="341" t="str">
        <f>CONCATENATE('3 pr-2'!E155)</f>
        <v>Varėnos rajono savivaldybės administracija</v>
      </c>
      <c r="E153" s="341" t="str">
        <f>CONCATENATE('3 pr-2'!F155)</f>
        <v>Lietuvos Respublikos socialinės apsaugos ir darbo ministerija</v>
      </c>
      <c r="F153" s="341" t="str">
        <f>CONCATENATE('3 pr-2'!G155)</f>
        <v>Varėnos r. sav.</v>
      </c>
      <c r="G153" s="147" t="str">
        <f>CONCATENATE('3 pr-2'!H155)</f>
        <v>08.1.1-CPVA·R-408</v>
      </c>
      <c r="H153" s="147" t="str">
        <f>CONCATENATE('3 pr-2'!I155)</f>
        <v>R</v>
      </c>
      <c r="I153" s="147" t="str">
        <f>CONCATENATE('3 pr-2'!J155)</f>
        <v>-</v>
      </c>
      <c r="J153" s="147" t="str">
        <f>CONCATENATE('3 pr-2'!K155)</f>
        <v>-</v>
      </c>
      <c r="K153" s="147" t="str">
        <f>MID('3 pr-2'!B155,10,2)</f>
        <v>26</v>
      </c>
      <c r="L153" s="147" t="str">
        <f>IFERROR(INDEX(Veiklos!$C$2:$C$54,MATCH(K153,Veiklos!$D$2:$D$54,0),1),"")</f>
        <v>Socialinio būsto įsigijimas</v>
      </c>
      <c r="M153" s="147" t="str">
        <f>MID('3 pr-2'!B155,12,2)</f>
        <v>00</v>
      </c>
      <c r="N153" s="147">
        <f>IFERROR(INDEX(Veiklos!$C$2:$C$54,MATCH(M153,Veiklos!$D$2:$D$54,0),1),"")</f>
        <v>0</v>
      </c>
      <c r="O153" s="147" t="str">
        <f>MID('3 pr-2'!B155,14,2)</f>
        <v>00</v>
      </c>
      <c r="P153" s="147">
        <f>IFERROR(INDEX(Veiklos!$C$2:$C$54,MATCH(O153,Veiklos!$D$2:$D$54,0),1),"")</f>
        <v>0</v>
      </c>
      <c r="Q153" s="147"/>
      <c r="R153" s="147"/>
      <c r="S153" s="147"/>
      <c r="T153" s="147"/>
      <c r="U153" s="349">
        <v>1</v>
      </c>
      <c r="V153" s="571">
        <f>SUM('3 pr-2'!L155)</f>
        <v>736499</v>
      </c>
      <c r="W153" s="571">
        <f>SUM('3 pr-2'!AA155)</f>
        <v>626024</v>
      </c>
    </row>
    <row r="154" spans="1:23" ht="39" thickBot="1" x14ac:dyDescent="0.3">
      <c r="A154" s="147" t="str">
        <f>CONCATENATE('3 pr-2'!A156)</f>
        <v>2.1.3.2.2</v>
      </c>
      <c r="B154" s="147" t="str">
        <f>CONCATENATE('3 pr-2'!B156)</f>
        <v>R01-4408-250000-2322</v>
      </c>
      <c r="C154" s="341" t="str">
        <f>CONCATENATE('3 pr-2'!D156)</f>
        <v>Būsto prieinamumo pažeidžiamoms gyventojų grupėms didinimas Alytaus rajone</v>
      </c>
      <c r="D154" s="341" t="str">
        <f>CONCATENATE('3 pr-2'!E156)</f>
        <v>Alytaus rajono savivaldybės administracija</v>
      </c>
      <c r="E154" s="341" t="str">
        <f>CONCATENATE('3 pr-2'!F156)</f>
        <v>Lietuvos Respublikos socialinės apsaugos ir darbo ministerija</v>
      </c>
      <c r="F154" s="341" t="str">
        <f>CONCATENATE('3 pr-2'!G156)</f>
        <v>Alytaus r. sav.</v>
      </c>
      <c r="G154" s="147" t="str">
        <f>CONCATENATE('3 pr-2'!H156)</f>
        <v>08.1.1-CPVA·R-408</v>
      </c>
      <c r="H154" s="147" t="str">
        <f>CONCATENATE('3 pr-2'!I156)</f>
        <v>R</v>
      </c>
      <c r="I154" s="147" t="str">
        <f>CONCATENATE('3 pr-2'!J156)</f>
        <v>-</v>
      </c>
      <c r="J154" s="147" t="str">
        <f>CONCATENATE('3 pr-2'!K156)</f>
        <v>-</v>
      </c>
      <c r="K154" s="147" t="str">
        <f>MID('3 pr-2'!B156,10,2)</f>
        <v>25</v>
      </c>
      <c r="L154" s="147" t="str">
        <f>IFERROR(INDEX(Veiklos!$C$2:$C$54,MATCH(K154,Veiklos!$D$2:$D$54,0),1),"")</f>
        <v>Socialinio būsto infrastruktūra (nauja statyba arba pritaikymas)</v>
      </c>
      <c r="M154" s="147" t="str">
        <f>MID('3 pr-2'!B156,12,2)</f>
        <v>00</v>
      </c>
      <c r="N154" s="147">
        <f>IFERROR(INDEX(Veiklos!$C$2:$C$54,MATCH(M154,Veiklos!$D$2:$D$54,0),1),"")</f>
        <v>0</v>
      </c>
      <c r="O154" s="147" t="str">
        <f>MID('3 pr-2'!B156,14,2)</f>
        <v>00</v>
      </c>
      <c r="P154" s="147">
        <f>IFERROR(INDEX(Veiklos!$C$2:$C$54,MATCH(O154,Veiklos!$D$2:$D$54,0),1),"")</f>
        <v>0</v>
      </c>
      <c r="Q154" s="147"/>
      <c r="R154" s="147"/>
      <c r="S154" s="147"/>
      <c r="T154" s="147"/>
      <c r="U154" s="349">
        <v>1</v>
      </c>
      <c r="V154" s="571">
        <f>SUM('3 pr-2'!L156)</f>
        <v>241889</v>
      </c>
      <c r="W154" s="571">
        <f>SUM('3 pr-2'!AA156)</f>
        <v>205606</v>
      </c>
    </row>
    <row r="155" spans="1:23" ht="39" thickBot="1" x14ac:dyDescent="0.3">
      <c r="A155" s="147" t="str">
        <f>CONCATENATE('3 pr-2'!A157)</f>
        <v>2.1.3.1.3</v>
      </c>
      <c r="B155" s="147" t="str">
        <f>CONCATENATE('3 pr-2'!B157)</f>
        <v>R01-4408-260000-2323</v>
      </c>
      <c r="C155" s="341" t="str">
        <f>CONCATENATE('3 pr-2'!D157)</f>
        <v>Socialinio būsto plėtra Alytaus mieste</v>
      </c>
      <c r="D155" s="341" t="str">
        <f>CONCATENATE('3 pr-2'!E157)</f>
        <v>Alytaus miesto savivaldybės administracija</v>
      </c>
      <c r="E155" s="341" t="str">
        <f>CONCATENATE('3 pr-2'!F157)</f>
        <v>Lietuvos Respublikos socialinės apsaugos ir darbo ministerija</v>
      </c>
      <c r="F155" s="341" t="str">
        <f>CONCATENATE('3 pr-2'!G157)</f>
        <v>Alytaus m. sav.</v>
      </c>
      <c r="G155" s="147" t="str">
        <f>CONCATENATE('3 pr-2'!H157)</f>
        <v>08.1.1-CPVA·R-408</v>
      </c>
      <c r="H155" s="147" t="str">
        <f>CONCATENATE('3 pr-2'!I157)</f>
        <v>R</v>
      </c>
      <c r="I155" s="147" t="str">
        <f>CONCATENATE('3 pr-2'!J157)</f>
        <v>-</v>
      </c>
      <c r="J155" s="147" t="str">
        <f>CONCATENATE('3 pr-2'!K157)</f>
        <v>-</v>
      </c>
      <c r="K155" s="147" t="str">
        <f>MID('3 pr-2'!B157,10,2)</f>
        <v>26</v>
      </c>
      <c r="L155" s="147" t="str">
        <f>IFERROR(INDEX(Veiklos!$C$2:$C$54,MATCH(K155,Veiklos!$D$2:$D$54,0),1),"")</f>
        <v>Socialinio būsto įsigijimas</v>
      </c>
      <c r="M155" s="147" t="str">
        <f>MID('3 pr-2'!B157,12,2)</f>
        <v>00</v>
      </c>
      <c r="N155" s="147">
        <f>IFERROR(INDEX(Veiklos!$C$2:$C$54,MATCH(M155,Veiklos!$D$2:$D$54,0),1),"")</f>
        <v>0</v>
      </c>
      <c r="O155" s="147" t="str">
        <f>MID('3 pr-2'!B157,14,2)</f>
        <v>00</v>
      </c>
      <c r="P155" s="147">
        <f>IFERROR(INDEX(Veiklos!$C$2:$C$54,MATCH(O155,Veiklos!$D$2:$D$54,0),1),"")</f>
        <v>0</v>
      </c>
      <c r="Q155" s="147"/>
      <c r="R155" s="147"/>
      <c r="S155" s="147"/>
      <c r="T155" s="147"/>
      <c r="U155" s="349">
        <v>1</v>
      </c>
      <c r="V155" s="571">
        <f>SUM('3 pr-2'!L157)</f>
        <v>891741.17999999993</v>
      </c>
      <c r="W155" s="571">
        <f>SUM('3 pr-2'!AA157)</f>
        <v>757980</v>
      </c>
    </row>
    <row r="156" spans="1:23" ht="39" thickBot="1" x14ac:dyDescent="0.3">
      <c r="A156" s="147" t="str">
        <f>CONCATENATE('3 pr-2'!A158)</f>
        <v>2.1.3.2.4</v>
      </c>
      <c r="B156" s="147" t="str">
        <f>CONCATENATE('3 pr-2'!B158)</f>
        <v>R01-4408-260000-2324</v>
      </c>
      <c r="C156" s="341" t="str">
        <f>CONCATENATE('3 pr-2'!D158)</f>
        <v>Socialinio būsto fondo plėtra Druskininkų savivaldybėje</v>
      </c>
      <c r="D156" s="341" t="str">
        <f>CONCATENATE('3 pr-2'!E158)</f>
        <v>Druskininkų savivaldybės administracija</v>
      </c>
      <c r="E156" s="341" t="str">
        <f>CONCATENATE('3 pr-2'!F158)</f>
        <v>Lietuvos Respublikos socialinės apsaugos ir darbo ministerija</v>
      </c>
      <c r="F156" s="341" t="str">
        <f>CONCATENATE('3 pr-2'!G158)</f>
        <v>Druskininkų sav.</v>
      </c>
      <c r="G156" s="147" t="str">
        <f>CONCATENATE('3 pr-2'!H158)</f>
        <v>08.1.1-CPVA·R-408</v>
      </c>
      <c r="H156" s="147" t="str">
        <f>CONCATENATE('3 pr-2'!I158)</f>
        <v>R</v>
      </c>
      <c r="I156" s="147" t="str">
        <f>CONCATENATE('3 pr-2'!J158)</f>
        <v>-</v>
      </c>
      <c r="J156" s="147" t="str">
        <f>CONCATENATE('3 pr-2'!K158)</f>
        <v>-</v>
      </c>
      <c r="K156" s="147" t="str">
        <f>MID('3 pr-2'!B158,10,2)</f>
        <v>26</v>
      </c>
      <c r="L156" s="147" t="str">
        <f>IFERROR(INDEX(Veiklos!$C$2:$C$54,MATCH(K156,Veiklos!$D$2:$D$54,0),1),"")</f>
        <v>Socialinio būsto įsigijimas</v>
      </c>
      <c r="M156" s="147" t="str">
        <f>MID('3 pr-2'!B158,12,2)</f>
        <v>00</v>
      </c>
      <c r="N156" s="147">
        <f>IFERROR(INDEX(Veiklos!$C$2:$C$54,MATCH(M156,Veiklos!$D$2:$D$54,0),1),"")</f>
        <v>0</v>
      </c>
      <c r="O156" s="147" t="str">
        <f>MID('3 pr-2'!B158,14,2)</f>
        <v>00</v>
      </c>
      <c r="P156" s="147">
        <f>IFERROR(INDEX(Veiklos!$C$2:$C$54,MATCH(O156,Veiklos!$D$2:$D$54,0),1),"")</f>
        <v>0</v>
      </c>
      <c r="Q156" s="147"/>
      <c r="R156" s="147"/>
      <c r="S156" s="147"/>
      <c r="T156" s="147"/>
      <c r="U156" s="349">
        <v>1</v>
      </c>
      <c r="V156" s="571">
        <f>SUM('3 pr-2'!L158)</f>
        <v>727472.94</v>
      </c>
      <c r="W156" s="571">
        <f>SUM('3 pr-2'!AA158)</f>
        <v>618351.99</v>
      </c>
    </row>
    <row r="157" spans="1:23" ht="39" thickBot="1" x14ac:dyDescent="0.3">
      <c r="A157" s="147" t="str">
        <f>CONCATENATE('3 pr-2'!A159)</f>
        <v>2.1.3.2.5</v>
      </c>
      <c r="B157" s="147" t="str">
        <f>CONCATENATE('3 pr-2'!B159)</f>
        <v>R01-4408-252600-2325</v>
      </c>
      <c r="C157" s="341" t="str">
        <f>CONCATENATE('3 pr-2'!D159)</f>
        <v>Socialinio būsto fondo plėtra Lazdijų rajono savivaldybėje</v>
      </c>
      <c r="D157" s="341" t="str">
        <f>CONCATENATE('3 pr-2'!E159)</f>
        <v>Lazdijų rajono savivaldybės administracija</v>
      </c>
      <c r="E157" s="341" t="str">
        <f>CONCATENATE('3 pr-2'!F159)</f>
        <v>Lietuvos Respublikos socialinės apsaugos ir darbo ministerija</v>
      </c>
      <c r="F157" s="341" t="str">
        <f>CONCATENATE('3 pr-2'!G159)</f>
        <v>Lazdijų r. sav.</v>
      </c>
      <c r="G157" s="147" t="str">
        <f>CONCATENATE('3 pr-2'!H159)</f>
        <v>08.1.1-CPVA·R-408</v>
      </c>
      <c r="H157" s="147" t="str">
        <f>CONCATENATE('3 pr-2'!I159)</f>
        <v>R</v>
      </c>
      <c r="I157" s="147" t="str">
        <f>CONCATENATE('3 pr-2'!J159)</f>
        <v>-</v>
      </c>
      <c r="J157" s="147" t="str">
        <f>CONCATENATE('3 pr-2'!K159)</f>
        <v>-</v>
      </c>
      <c r="K157" s="147" t="str">
        <f>MID('3 pr-2'!B159,10,2)</f>
        <v>25</v>
      </c>
      <c r="L157" s="147" t="str">
        <f>IFERROR(INDEX(Veiklos!$C$2:$C$54,MATCH(K157,Veiklos!$D$2:$D$54,0),1),"")</f>
        <v>Socialinio būsto infrastruktūra (nauja statyba arba pritaikymas)</v>
      </c>
      <c r="M157" s="147" t="str">
        <f>MID('3 pr-2'!B159,12,2)</f>
        <v>26</v>
      </c>
      <c r="N157" s="147" t="str">
        <f>IFERROR(INDEX(Veiklos!$C$2:$C$54,MATCH(M157,Veiklos!$D$2:$D$54,0),1),"")</f>
        <v>Socialinio būsto įsigijimas</v>
      </c>
      <c r="O157" s="147" t="str">
        <f>MID('3 pr-2'!B159,14,2)</f>
        <v>00</v>
      </c>
      <c r="P157" s="147">
        <f>IFERROR(INDEX(Veiklos!$C$2:$C$54,MATCH(O157,Veiklos!$D$2:$D$54,0),1),"")</f>
        <v>0</v>
      </c>
      <c r="Q157" s="147"/>
      <c r="R157" s="147"/>
      <c r="S157" s="147"/>
      <c r="T157" s="147"/>
      <c r="U157" s="349">
        <v>1</v>
      </c>
      <c r="V157" s="571">
        <f>SUM('3 pr-2'!L159)</f>
        <v>368599</v>
      </c>
      <c r="W157" s="571">
        <f>SUM('3 pr-2'!AA159)</f>
        <v>313012</v>
      </c>
    </row>
    <row r="158" spans="1:23" ht="46.5" customHeight="1" thickBot="1" x14ac:dyDescent="0.3">
      <c r="A158" s="151" t="s">
        <v>38</v>
      </c>
      <c r="B158" s="714"/>
      <c r="C158" s="1887" t="s">
        <v>634</v>
      </c>
      <c r="D158" s="1888"/>
      <c r="E158" s="1888"/>
      <c r="F158" s="1888"/>
      <c r="G158" s="1888"/>
      <c r="H158" s="1888"/>
      <c r="I158" s="1888"/>
      <c r="J158" s="1889"/>
      <c r="K158" s="603"/>
      <c r="L158" s="601"/>
      <c r="M158" s="564"/>
      <c r="N158" s="601"/>
      <c r="O158" s="564"/>
      <c r="P158" s="601"/>
      <c r="Q158" s="564"/>
      <c r="R158" s="601"/>
      <c r="S158" s="564"/>
      <c r="T158" s="601"/>
      <c r="U158" s="601"/>
      <c r="V158" s="603"/>
      <c r="W158" s="603"/>
    </row>
    <row r="159" spans="1:23" ht="36.75" customHeight="1" thickBot="1" x14ac:dyDescent="0.3">
      <c r="A159" s="327" t="s">
        <v>109</v>
      </c>
      <c r="B159" s="710"/>
      <c r="C159" s="1885" t="s">
        <v>830</v>
      </c>
      <c r="D159" s="1883"/>
      <c r="E159" s="1883"/>
      <c r="F159" s="1883"/>
      <c r="G159" s="1883"/>
      <c r="H159" s="1883"/>
      <c r="I159" s="1883"/>
      <c r="J159" s="1884"/>
      <c r="K159" s="610"/>
      <c r="L159" s="608"/>
      <c r="M159" s="611"/>
      <c r="N159" s="608"/>
      <c r="O159" s="611"/>
      <c r="P159" s="608"/>
      <c r="Q159" s="611"/>
      <c r="R159" s="608"/>
      <c r="S159" s="611"/>
      <c r="T159" s="608"/>
      <c r="U159" s="609"/>
      <c r="V159" s="597">
        <f>SUM(V160:V164)</f>
        <v>906987.73</v>
      </c>
      <c r="W159" s="597">
        <f>SUM(W160:W164)</f>
        <v>770807.84000000008</v>
      </c>
    </row>
    <row r="160" spans="1:23" ht="39" thickBot="1" x14ac:dyDescent="0.3">
      <c r="A160" s="147" t="str">
        <f>CONCATENATE('3 pr-2'!A162)</f>
        <v>2.1.4.1.1</v>
      </c>
      <c r="B160" s="147" t="str">
        <f>CONCATENATE('3 pr-2'!B162)</f>
        <v>R01-9920-490000-2411</v>
      </c>
      <c r="C160" s="341" t="str">
        <f>CONCATENATE('3 pr-2'!D162)</f>
        <v>Paslaugų teikimo ir asmenų aptarnavimo kokybės gerinimas Varėnos rajono savivaldybėje</v>
      </c>
      <c r="D160" s="341" t="str">
        <f>CONCATENATE('3 pr-2'!E162)</f>
        <v>Varėnos rajono savivaldybės administracija</v>
      </c>
      <c r="E160" s="341" t="str">
        <f>CONCATENATE('3 pr-2'!F162)</f>
        <v>Lietuvos Respublikos vidaus reikalų ministerija</v>
      </c>
      <c r="F160" s="341" t="str">
        <f>CONCATENATE('3 pr-2'!G162)</f>
        <v>Varėnos r. sav.</v>
      </c>
      <c r="G160" s="147" t="str">
        <f>CONCATENATE('3 pr-2'!H162)</f>
        <v>10.1.3-ESFA-R-920</v>
      </c>
      <c r="H160" s="147" t="str">
        <f>CONCATENATE('3 pr-2'!I162)</f>
        <v>R</v>
      </c>
      <c r="I160" s="147" t="str">
        <f>CONCATENATE('3 pr-2'!J162)</f>
        <v>-</v>
      </c>
      <c r="J160" s="147" t="str">
        <f>CONCATENATE('3 pr-2'!K162)</f>
        <v>-</v>
      </c>
      <c r="K160" s="147" t="str">
        <f>MID('3 pr-2'!B162,10,2)</f>
        <v>49</v>
      </c>
      <c r="L160" s="147" t="str">
        <f>IFERROR(INDEX(Veiklos!$C$2:$C$54,MATCH(K160,Veiklos!$D$2:$D$54,0),1),"")</f>
        <v>Viešojo valdymo tobulinimas</v>
      </c>
      <c r="M160" s="147" t="str">
        <f>MID('3 pr-2'!B162,12,2)</f>
        <v>00</v>
      </c>
      <c r="N160" s="147">
        <f>IFERROR(INDEX(Veiklos!$C$2:$C$54,MATCH(M160,Veiklos!$D$2:$D$54,0),1),"")</f>
        <v>0</v>
      </c>
      <c r="O160" s="147" t="str">
        <f>MID('3 pr-2'!B162,14,2)</f>
        <v>00</v>
      </c>
      <c r="P160" s="147">
        <f>IFERROR(INDEX(Veiklos!$C$2:$C$54,MATCH(O160,Veiklos!$D$2:$D$54,0),1),"")</f>
        <v>0</v>
      </c>
      <c r="Q160" s="147"/>
      <c r="R160" s="147"/>
      <c r="S160" s="147"/>
      <c r="T160" s="147"/>
      <c r="U160" s="349">
        <v>1</v>
      </c>
      <c r="V160" s="571">
        <f>SUM('3 pr-2'!L162)</f>
        <v>172733.52</v>
      </c>
      <c r="W160" s="571">
        <f>SUM('3 pr-2'!AA162)</f>
        <v>146823.49</v>
      </c>
    </row>
    <row r="161" spans="1:23" ht="39" thickBot="1" x14ac:dyDescent="0.3">
      <c r="A161" s="147" t="str">
        <f>CONCATENATE('3 pr-2'!A163)</f>
        <v>2.1.4.1.2</v>
      </c>
      <c r="B161" s="147" t="str">
        <f>CONCATENATE('3 pr-2'!B163)</f>
        <v>R01-9920-490000-2412</v>
      </c>
      <c r="C161" s="341" t="str">
        <f>CONCATENATE('3 pr-2'!D163)</f>
        <v>Paslaugų ir asmenų aptarnavimo kokybės gerinimas Alytaus rajono savivaldybėje</v>
      </c>
      <c r="D161" s="341" t="str">
        <f>CONCATENATE('3 pr-2'!E163)</f>
        <v>Alytaus rajono savivaldybės administracija</v>
      </c>
      <c r="E161" s="341" t="str">
        <f>CONCATENATE('3 pr-2'!F163)</f>
        <v>Lietuvos Respublikos vidaus reikalų ministerija</v>
      </c>
      <c r="F161" s="341" t="str">
        <f>CONCATENATE('3 pr-2'!G163)</f>
        <v>Alytaus r. sav.</v>
      </c>
      <c r="G161" s="147" t="str">
        <f>CONCATENATE('3 pr-2'!H163)</f>
        <v>10.1.3-ESFA-R-920</v>
      </c>
      <c r="H161" s="147" t="str">
        <f>CONCATENATE('3 pr-2'!I163)</f>
        <v>R</v>
      </c>
      <c r="I161" s="147" t="str">
        <f>CONCATENATE('3 pr-2'!J163)</f>
        <v>-</v>
      </c>
      <c r="J161" s="147" t="str">
        <f>CONCATENATE('3 pr-2'!K163)</f>
        <v>-</v>
      </c>
      <c r="K161" s="147" t="str">
        <f>MID('3 pr-2'!B163,10,2)</f>
        <v>49</v>
      </c>
      <c r="L161" s="147" t="str">
        <f>IFERROR(INDEX(Veiklos!$C$2:$C$54,MATCH(K161,Veiklos!$D$2:$D$54,0),1),"")</f>
        <v>Viešojo valdymo tobulinimas</v>
      </c>
      <c r="M161" s="147" t="str">
        <f>MID('3 pr-2'!B163,12,2)</f>
        <v>00</v>
      </c>
      <c r="N161" s="147">
        <f>IFERROR(INDEX(Veiklos!$C$2:$C$54,MATCH(M161,Veiklos!$D$2:$D$54,0),1),"")</f>
        <v>0</v>
      </c>
      <c r="O161" s="147" t="str">
        <f>MID('3 pr-2'!B163,14,2)</f>
        <v>00</v>
      </c>
      <c r="P161" s="147">
        <f>IFERROR(INDEX(Veiklos!$C$2:$C$54,MATCH(O161,Veiklos!$D$2:$D$54,0),1),"")</f>
        <v>0</v>
      </c>
      <c r="Q161" s="147"/>
      <c r="R161" s="147"/>
      <c r="S161" s="147"/>
      <c r="T161" s="147"/>
      <c r="U161" s="349">
        <v>1</v>
      </c>
      <c r="V161" s="571">
        <f>SUM('3 pr-2'!L163)</f>
        <v>192832.21</v>
      </c>
      <c r="W161" s="571">
        <f>SUM('3 pr-2'!AA163)</f>
        <v>163907.37</v>
      </c>
    </row>
    <row r="162" spans="1:23" s="25" customFormat="1" ht="51.75" thickBot="1" x14ac:dyDescent="0.3">
      <c r="A162" s="147" t="str">
        <f>CONCATENATE('3 pr-2'!A164)</f>
        <v>2.1.4.1.3</v>
      </c>
      <c r="B162" s="147" t="str">
        <f>CONCATENATE('3 pr-2'!B164)</f>
        <v>R01-9920-490000-2413</v>
      </c>
      <c r="C162" s="341" t="str">
        <f>CONCATENATE('3 pr-2'!D164)</f>
        <v>Lazdijų rajono savivaldybės administracijos ir jos viešojo valdymo institucijų teikiamų paslaugų procesų tobulinimas</v>
      </c>
      <c r="D162" s="341" t="str">
        <f>CONCATENATE('3 pr-2'!E164)</f>
        <v>Lazdijų rajono savivaldybės administracija</v>
      </c>
      <c r="E162" s="341" t="str">
        <f>CONCATENATE('3 pr-2'!F164)</f>
        <v>Lietuvos Respublikos vidaus reikalų ministerija</v>
      </c>
      <c r="F162" s="341" t="str">
        <f>CONCATENATE('3 pr-2'!G164)</f>
        <v>Lazdijų r. sav.</v>
      </c>
      <c r="G162" s="147" t="str">
        <f>CONCATENATE('3 pr-2'!H164)</f>
        <v>10.1.3-ESFA-R-920</v>
      </c>
      <c r="H162" s="147" t="str">
        <f>CONCATENATE('3 pr-2'!I164)</f>
        <v>R</v>
      </c>
      <c r="I162" s="147" t="str">
        <f>CONCATENATE('3 pr-2'!J164)</f>
        <v>-</v>
      </c>
      <c r="J162" s="147" t="str">
        <f>CONCATENATE('3 pr-2'!K164)</f>
        <v>-</v>
      </c>
      <c r="K162" s="147" t="str">
        <f>MID('3 pr-2'!B164,10,2)</f>
        <v>49</v>
      </c>
      <c r="L162" s="147" t="str">
        <f>IFERROR(INDEX(Veiklos!$C$2:$C$54,MATCH(K162,Veiklos!$D$2:$D$54,0),1),"")</f>
        <v>Viešojo valdymo tobulinimas</v>
      </c>
      <c r="M162" s="147" t="str">
        <f>MID('3 pr-2'!B164,12,2)</f>
        <v>00</v>
      </c>
      <c r="N162" s="147">
        <f>IFERROR(INDEX(Veiklos!$C$2:$C$54,MATCH(M162,Veiklos!$D$2:$D$54,0),1),"")</f>
        <v>0</v>
      </c>
      <c r="O162" s="147" t="str">
        <f>MID('3 pr-2'!B164,14,2)</f>
        <v>00</v>
      </c>
      <c r="P162" s="147">
        <f>IFERROR(INDEX(Veiklos!$C$2:$C$54,MATCH(O162,Veiklos!$D$2:$D$54,0),1),"")</f>
        <v>0</v>
      </c>
      <c r="Q162" s="147"/>
      <c r="R162" s="147"/>
      <c r="S162" s="147"/>
      <c r="T162" s="147"/>
      <c r="U162" s="349">
        <v>1</v>
      </c>
      <c r="V162" s="571">
        <f>SUM('3 pr-2'!L164)</f>
        <v>163986.88</v>
      </c>
      <c r="W162" s="571">
        <f>SUM('3 pr-2'!AA164)</f>
        <v>139388</v>
      </c>
    </row>
    <row r="163" spans="1:23" s="25" customFormat="1" ht="64.5" thickBot="1" x14ac:dyDescent="0.3">
      <c r="A163" s="345" t="str">
        <f>CONCATENATE('3 pr-2'!A165)</f>
        <v>2.1.4.1.4</v>
      </c>
      <c r="B163" s="147" t="str">
        <f>CONCATENATE('3 pr-2'!B165)</f>
        <v>R01-9920-490000-2414</v>
      </c>
      <c r="C163" s="342" t="str">
        <f>CONCATENATE('3 pr-2'!D165)</f>
        <v>Teikiamų paslaugų procesų tobulinimas ir asmenų aptarnavimo kokybės gerinimas Alytaus m. sav. administracijoje ir jai pavaldžiose įstaigose. I etapas</v>
      </c>
      <c r="D163" s="342" t="str">
        <f>CONCATENATE('3 pr-2'!E165)</f>
        <v>Alytaus miesto savivaldybės administracija</v>
      </c>
      <c r="E163" s="342" t="str">
        <f>CONCATENATE('3 pr-2'!F165)</f>
        <v>Lietuvos Respublikos vidaus reikalų ministerija</v>
      </c>
      <c r="F163" s="342" t="str">
        <f>CONCATENATE('3 pr-2'!G165)</f>
        <v>Alytaus m. sav.</v>
      </c>
      <c r="G163" s="345" t="str">
        <f>CONCATENATE('3 pr-2'!H165)</f>
        <v>10.1.3-ESFA-R-920</v>
      </c>
      <c r="H163" s="345" t="str">
        <f>CONCATENATE('3 pr-2'!I165)</f>
        <v>R</v>
      </c>
      <c r="I163" s="345" t="str">
        <f>CONCATENATE('3 pr-2'!J165)</f>
        <v>-</v>
      </c>
      <c r="J163" s="345" t="str">
        <f>CONCATENATE('3 pr-2'!K165)</f>
        <v>-</v>
      </c>
      <c r="K163" s="147" t="str">
        <f>MID('3 pr-2'!B165,10,2)</f>
        <v>49</v>
      </c>
      <c r="L163" s="147" t="str">
        <f>IFERROR(INDEX(Veiklos!$C$2:$C$54,MATCH(K163,Veiklos!$D$2:$D$54,0),1),"")</f>
        <v>Viešojo valdymo tobulinimas</v>
      </c>
      <c r="M163" s="147" t="str">
        <f>MID('3 pr-2'!B165,12,2)</f>
        <v>00</v>
      </c>
      <c r="N163" s="147">
        <f>IFERROR(INDEX(Veiklos!$C$2:$C$54,MATCH(M163,Veiklos!$D$2:$D$54,0),1),"")</f>
        <v>0</v>
      </c>
      <c r="O163" s="147" t="str">
        <f>MID('3 pr-2'!B165,14,2)</f>
        <v>00</v>
      </c>
      <c r="P163" s="147">
        <f>IFERROR(INDEX(Veiklos!$C$2:$C$54,MATCH(O163,Veiklos!$D$2:$D$54,0),1),"")</f>
        <v>0</v>
      </c>
      <c r="Q163" s="147"/>
      <c r="R163" s="147"/>
      <c r="S163" s="147"/>
      <c r="T163" s="147"/>
      <c r="U163" s="349">
        <v>1</v>
      </c>
      <c r="V163" s="571">
        <f>SUM('3 pr-2'!L165)</f>
        <v>215693.16</v>
      </c>
      <c r="W163" s="571">
        <f>SUM('3 pr-2'!AA165)</f>
        <v>183339.18</v>
      </c>
    </row>
    <row r="164" spans="1:23" s="25" customFormat="1" ht="39" thickBot="1" x14ac:dyDescent="0.3">
      <c r="A164" s="345" t="str">
        <f>CONCATENATE('3 pr-2'!A166)</f>
        <v>2.1.4.1.5</v>
      </c>
      <c r="B164" s="147" t="str">
        <f>CONCATENATE('3 pr-2'!B166)</f>
        <v>R01-9920-490000-2415</v>
      </c>
      <c r="C164" s="342" t="str">
        <f>CONCATENATE('3 pr-2'!D166)</f>
        <v>Paslaugų teikimo ir asmenų aptarnavimo kokybės gerinimas Druskininkų savivaldybėje</v>
      </c>
      <c r="D164" s="342" t="str">
        <f>CONCATENATE('3 pr-2'!E166)</f>
        <v>Druskininkų savivaldybės administracija</v>
      </c>
      <c r="E164" s="342" t="str">
        <f>CONCATENATE('3 pr-2'!F166)</f>
        <v>Lietuvos Respublikos vidaus reikalų ministerija</v>
      </c>
      <c r="F164" s="342" t="str">
        <f>CONCATENATE('3 pr-2'!G166)</f>
        <v>Druskininkų sav.</v>
      </c>
      <c r="G164" s="345" t="str">
        <f>CONCATENATE('3 pr-2'!H166)</f>
        <v>10.1.3-ESFA-R-920</v>
      </c>
      <c r="H164" s="345" t="str">
        <f>CONCATENATE('3 pr-2'!I166)</f>
        <v>R</v>
      </c>
      <c r="I164" s="345" t="str">
        <f>CONCATENATE('3 pr-2'!J166)</f>
        <v>-</v>
      </c>
      <c r="J164" s="345" t="str">
        <f>CONCATENATE('3 pr-2'!K166)</f>
        <v>-</v>
      </c>
      <c r="K164" s="147" t="str">
        <f>MID('3 pr-2'!B166,10,2)</f>
        <v>49</v>
      </c>
      <c r="L164" s="147" t="str">
        <f>IFERROR(INDEX(Veiklos!$C$2:$C$54,MATCH(K164,Veiklos!$D$2:$D$54,0),1),"")</f>
        <v>Viešojo valdymo tobulinimas</v>
      </c>
      <c r="M164" s="147" t="str">
        <f>MID('3 pr-2'!B166,12,2)</f>
        <v>00</v>
      </c>
      <c r="N164" s="147">
        <f>IFERROR(INDEX(Veiklos!$C$2:$C$54,MATCH(M164,Veiklos!$D$2:$D$54,0),1),"")</f>
        <v>0</v>
      </c>
      <c r="O164" s="147" t="str">
        <f>MID('3 pr-2'!B166,14,2)</f>
        <v>00</v>
      </c>
      <c r="P164" s="147">
        <f>IFERROR(INDEX(Veiklos!$C$2:$C$54,MATCH(O164,Veiklos!$D$2:$D$54,0),1),"")</f>
        <v>0</v>
      </c>
      <c r="Q164" s="147"/>
      <c r="R164" s="147"/>
      <c r="S164" s="147"/>
      <c r="T164" s="147"/>
      <c r="U164" s="349">
        <v>1</v>
      </c>
      <c r="V164" s="571">
        <f>SUM('3 pr-2'!L166)</f>
        <v>161741.96</v>
      </c>
      <c r="W164" s="571">
        <f>SUM('3 pr-2'!AA166)</f>
        <v>137349.79999999999</v>
      </c>
    </row>
    <row r="165" spans="1:23" s="25" customFormat="1" ht="64.5" thickBot="1" x14ac:dyDescent="0.3">
      <c r="A165" s="345" t="str">
        <f>CONCATENATE('3 pr-2'!A167)</f>
        <v>2.1.4.1.6</v>
      </c>
      <c r="B165" s="147" t="str">
        <f>CONCATENATE('3 pr-2'!B167)</f>
        <v>R01-9920-490000-2416</v>
      </c>
      <c r="C165" s="342" t="str">
        <f>CONCATENATE('3 pr-2'!D167)</f>
        <v>Teikiamų paslaugų procesų tobulinimas ir asmenų aptarnavimo kokybės gerinimas Alytaus m. sav. administracijoje ir jai pavaldžiose įstaigose. II etapas</v>
      </c>
      <c r="D165" s="342" t="str">
        <f>CONCATENATE('3 pr-2'!E167)</f>
        <v>Alytaus miesto savivaldybės administracija</v>
      </c>
      <c r="E165" s="342" t="str">
        <f>CONCATENATE('3 pr-2'!F167)</f>
        <v>Lietuvos Respublikos vidaus reikalų ministerija</v>
      </c>
      <c r="F165" s="342" t="str">
        <f>CONCATENATE('3 pr-2'!G167)</f>
        <v>Alytaus m. sav.</v>
      </c>
      <c r="G165" s="345" t="str">
        <f>CONCATENATE('3 pr-2'!H167)</f>
        <v>10.1.3-ESFA-R-920</v>
      </c>
      <c r="H165" s="345" t="str">
        <f>CONCATENATE('3 pr-2'!I167)</f>
        <v>R</v>
      </c>
      <c r="I165" s="345" t="str">
        <f>CONCATENATE('3 pr-2'!J167)</f>
        <v>-</v>
      </c>
      <c r="J165" s="345" t="str">
        <f>CONCATENATE('3 pr-2'!K167)</f>
        <v>-</v>
      </c>
      <c r="K165" s="147" t="str">
        <f>MID('3 pr-2'!B167,10,2)</f>
        <v>49</v>
      </c>
      <c r="L165" s="147" t="str">
        <f>IFERROR(INDEX(Veiklos!$C$2:$C$54,MATCH(K165,Veiklos!$D$2:$D$54,0),1),"")</f>
        <v>Viešojo valdymo tobulinimas</v>
      </c>
      <c r="M165" s="147" t="str">
        <f>MID('3 pr-2'!B167,12,2)</f>
        <v>00</v>
      </c>
      <c r="N165" s="147">
        <f>IFERROR(INDEX(Veiklos!$C$2:$C$54,MATCH(M165,Veiklos!$D$2:$D$54,0),1),"")</f>
        <v>0</v>
      </c>
      <c r="O165" s="147" t="str">
        <f>MID('3 pr-2'!B167,14,2)</f>
        <v>00</v>
      </c>
      <c r="P165" s="147">
        <f>IFERROR(INDEX(Veiklos!$C$2:$C$54,MATCH(O165,Veiklos!$D$2:$D$54,0),1),"")</f>
        <v>0</v>
      </c>
      <c r="Q165" s="147"/>
      <c r="R165" s="147"/>
      <c r="S165" s="147"/>
      <c r="T165" s="147"/>
      <c r="U165" s="349">
        <v>1</v>
      </c>
      <c r="V165" s="571">
        <f>SUM('3 pr-2'!L167)</f>
        <v>200000</v>
      </c>
      <c r="W165" s="571">
        <f>SUM('3 pr-2'!AA167)</f>
        <v>170000</v>
      </c>
    </row>
    <row r="166" spans="1:23" ht="54" customHeight="1" thickBot="1" x14ac:dyDescent="0.3">
      <c r="A166" s="149" t="s">
        <v>40</v>
      </c>
      <c r="B166" s="716"/>
      <c r="C166" s="1886" t="s">
        <v>607</v>
      </c>
      <c r="D166" s="1878"/>
      <c r="E166" s="1878"/>
      <c r="F166" s="1878"/>
      <c r="G166" s="1878"/>
      <c r="H166" s="1878"/>
      <c r="I166" s="1878"/>
      <c r="J166" s="1879"/>
      <c r="K166" s="612"/>
      <c r="L166" s="613"/>
      <c r="M166" s="614"/>
      <c r="N166" s="615"/>
      <c r="O166" s="614"/>
      <c r="P166" s="615"/>
      <c r="Q166" s="614"/>
      <c r="R166" s="615"/>
      <c r="S166" s="614"/>
      <c r="T166" s="615"/>
      <c r="U166" s="615"/>
      <c r="V166" s="616"/>
      <c r="W166" s="616"/>
    </row>
    <row r="167" spans="1:23" ht="41.25" customHeight="1" thickBot="1" x14ac:dyDescent="0.3">
      <c r="A167" s="151" t="s">
        <v>41</v>
      </c>
      <c r="B167" s="714"/>
      <c r="C167" s="1877" t="s">
        <v>608</v>
      </c>
      <c r="D167" s="1878"/>
      <c r="E167" s="1878"/>
      <c r="F167" s="1878"/>
      <c r="G167" s="1878"/>
      <c r="H167" s="1878"/>
      <c r="I167" s="1878"/>
      <c r="J167" s="1879"/>
      <c r="K167" s="370"/>
      <c r="L167" s="617"/>
      <c r="M167" s="563"/>
      <c r="N167" s="562"/>
      <c r="O167" s="563"/>
      <c r="P167" s="562"/>
      <c r="Q167" s="563"/>
      <c r="R167" s="562"/>
      <c r="S167" s="563"/>
      <c r="T167" s="562"/>
      <c r="U167" s="562"/>
      <c r="V167" s="585"/>
      <c r="W167" s="586"/>
    </row>
    <row r="168" spans="1:23" ht="39" customHeight="1" thickBot="1" x14ac:dyDescent="0.3">
      <c r="A168" s="327" t="s">
        <v>42</v>
      </c>
      <c r="B168" s="710"/>
      <c r="C168" s="1880" t="s">
        <v>828</v>
      </c>
      <c r="D168" s="1881"/>
      <c r="E168" s="1881"/>
      <c r="F168" s="1881"/>
      <c r="G168" s="1881"/>
      <c r="H168" s="1881"/>
      <c r="I168" s="1881"/>
      <c r="J168" s="1882"/>
      <c r="K168" s="618"/>
      <c r="L168" s="619"/>
      <c r="M168" s="577"/>
      <c r="N168" s="576"/>
      <c r="O168" s="577"/>
      <c r="P168" s="576"/>
      <c r="Q168" s="577"/>
      <c r="R168" s="576"/>
      <c r="S168" s="577"/>
      <c r="T168" s="576"/>
      <c r="U168" s="605"/>
      <c r="V168" s="579">
        <f>SUM(V169:V169)</f>
        <v>4130687.05</v>
      </c>
      <c r="W168" s="579">
        <f>SUM(W169:W169)</f>
        <v>3352807.77</v>
      </c>
    </row>
    <row r="169" spans="1:23" ht="51.75" thickBot="1" x14ac:dyDescent="0.3">
      <c r="A169" s="147" t="str">
        <f>CONCATENATE('3 pr-2'!A171)</f>
        <v>3.1.1.1.1</v>
      </c>
      <c r="B169" s="147" t="str">
        <f>CONCATENATE('3 pr-2'!B171)</f>
        <v>R01-0008-050000-3111</v>
      </c>
      <c r="C169" s="341" t="str">
        <f>CONCATENATE('3 pr-2'!D171)</f>
        <v>Komunalinių atliekų tvarkymo sistemos plėtra Alytaus regione</v>
      </c>
      <c r="D169" s="341" t="str">
        <f>CONCATENATE('3 pr-2'!E171)</f>
        <v>Alytaus regiono atliekų tvarkymo centras</v>
      </c>
      <c r="E169" s="341" t="str">
        <f>CONCATENATE('3 pr-2'!F171)</f>
        <v>Lietuvos Respublikos aplinkos ministerija</v>
      </c>
      <c r="F169" s="341" t="str">
        <f>CONCATENATE('3 pr-2'!G171)</f>
        <v>Alytaus regionas</v>
      </c>
      <c r="G169" s="147" t="str">
        <f>CONCATENATE('3 pr-2'!H171)</f>
        <v>05.2.1-APVA-R-008</v>
      </c>
      <c r="H169" s="147" t="str">
        <f>CONCATENATE('3 pr-2'!I171)</f>
        <v>R</v>
      </c>
      <c r="I169" s="147" t="str">
        <f>CONCATENATE('3 pr-2'!J171)</f>
        <v>-</v>
      </c>
      <c r="J169" s="147" t="str">
        <f>CONCATENATE('3 pr-2'!K171)</f>
        <v>-</v>
      </c>
      <c r="K169" s="147" t="str">
        <f>MID('3 pr-2'!B171,10,2)</f>
        <v>05</v>
      </c>
      <c r="L169" s="147" t="str">
        <f>IFERROR(INDEX(Veiklos!$C$2:$C$54,MATCH(K169,Veiklos!$D$2:$D$54,0),1),"")</f>
        <v>Atliekų tvarkymas (mažinimo, rūšiavimo ir perdirbimo skatinimo priemonės)</v>
      </c>
      <c r="M169" s="147" t="str">
        <f>MID('3 pr-2'!B171,12,2)</f>
        <v>00</v>
      </c>
      <c r="N169" s="147">
        <f>IFERROR(INDEX(Veiklos!$C$2:$C$54,MATCH(M169,Veiklos!$D$2:$D$54,0),1),"")</f>
        <v>0</v>
      </c>
      <c r="O169" s="147" t="str">
        <f>MID('3 pr-2'!B171,14,2)</f>
        <v>00</v>
      </c>
      <c r="P169" s="147">
        <f>IFERROR(INDEX(Veiklos!$C$2:$C$54,MATCH(O169,Veiklos!$D$2:$D$54,0),1),"")</f>
        <v>0</v>
      </c>
      <c r="Q169" s="147"/>
      <c r="R169" s="147"/>
      <c r="S169" s="147"/>
      <c r="T169" s="147"/>
      <c r="U169" s="349">
        <v>1</v>
      </c>
      <c r="V169" s="571">
        <f>SUM('3 pr-2'!L171)</f>
        <v>4130687.05</v>
      </c>
      <c r="W169" s="571">
        <f>SUM('3 pr-2'!AA171)</f>
        <v>3352807.77</v>
      </c>
    </row>
    <row r="170" spans="1:23" ht="39" customHeight="1" thickBot="1" x14ac:dyDescent="0.3">
      <c r="A170" s="151" t="s">
        <v>43</v>
      </c>
      <c r="B170" s="714"/>
      <c r="C170" s="1877" t="s">
        <v>609</v>
      </c>
      <c r="D170" s="1878"/>
      <c r="E170" s="1878"/>
      <c r="F170" s="1878"/>
      <c r="G170" s="1878"/>
      <c r="H170" s="1878"/>
      <c r="I170" s="1878"/>
      <c r="J170" s="1879"/>
      <c r="K170" s="620"/>
      <c r="L170" s="621"/>
      <c r="M170" s="564"/>
      <c r="N170" s="622"/>
      <c r="O170" s="564"/>
      <c r="P170" s="622"/>
      <c r="Q170" s="564"/>
      <c r="R170" s="622"/>
      <c r="S170" s="564"/>
      <c r="T170" s="622"/>
      <c r="U170" s="622"/>
      <c r="V170" s="603"/>
      <c r="W170" s="585"/>
    </row>
    <row r="171" spans="1:23" ht="36.75" customHeight="1" thickBot="1" x14ac:dyDescent="0.3">
      <c r="A171" s="327" t="s">
        <v>113</v>
      </c>
      <c r="B171" s="710"/>
      <c r="C171" s="1880" t="s">
        <v>829</v>
      </c>
      <c r="D171" s="1883"/>
      <c r="E171" s="1883"/>
      <c r="F171" s="1883"/>
      <c r="G171" s="1883"/>
      <c r="H171" s="1883"/>
      <c r="I171" s="1883"/>
      <c r="J171" s="1884"/>
      <c r="K171" s="623"/>
      <c r="L171" s="624"/>
      <c r="M171" s="611"/>
      <c r="N171" s="608"/>
      <c r="O171" s="611"/>
      <c r="P171" s="608"/>
      <c r="Q171" s="611"/>
      <c r="R171" s="608"/>
      <c r="S171" s="611"/>
      <c r="T171" s="608"/>
      <c r="U171" s="609"/>
      <c r="V171" s="625">
        <f>SUM(V172:V177)</f>
        <v>1532943.8399999999</v>
      </c>
      <c r="W171" s="569">
        <f>SUM(W172:W177)</f>
        <v>1303001.8800000001</v>
      </c>
    </row>
    <row r="172" spans="1:23" ht="39" thickBot="1" x14ac:dyDescent="0.3">
      <c r="A172" s="147" t="str">
        <f>CONCATENATE('3 pr-2'!A174)</f>
        <v>3.1.2.1.1</v>
      </c>
      <c r="B172" s="147" t="str">
        <f>CONCATENATE('3 pr-2'!B174)</f>
        <v>R01-0019-380000-3211</v>
      </c>
      <c r="C172" s="341" t="str">
        <f>CONCATENATE('3 pr-2'!D174)</f>
        <v>Kraštovaizdžio formavimas ir tvarkymas Varėnos r. savivaldybėje (I etapas)</v>
      </c>
      <c r="D172" s="341" t="str">
        <f>CONCATENATE('3 pr-2'!E174)</f>
        <v>Varėnos rajono savivaldybės administracija</v>
      </c>
      <c r="E172" s="341" t="str">
        <f>CONCATENATE('3 pr-2'!F174)</f>
        <v>Lietuvos Respublikos aplinkos ministerija</v>
      </c>
      <c r="F172" s="341" t="str">
        <f>CONCATENATE('3 pr-2'!G174)</f>
        <v>Varėnos r. sav.</v>
      </c>
      <c r="G172" s="147" t="str">
        <f>CONCATENATE('3 pr-2'!H174)</f>
        <v>05.5.1-APVA-R-019</v>
      </c>
      <c r="H172" s="147" t="str">
        <f>CONCATENATE('3 pr-2'!I174)</f>
        <v>R</v>
      </c>
      <c r="I172" s="147" t="str">
        <f>CONCATENATE('3 pr-2'!J174)</f>
        <v>-</v>
      </c>
      <c r="J172" s="147" t="str">
        <f>CONCATENATE('3 pr-2'!K174)</f>
        <v>-</v>
      </c>
      <c r="K172" s="147" t="str">
        <f>MID('3 pr-2'!B174,10,2)</f>
        <v>38</v>
      </c>
      <c r="L172" s="147" t="str">
        <f>IFERROR(INDEX(Veiklos!$C$2:$C$54,MATCH(K172,Veiklos!$D$2:$D$54,0),1),"")</f>
        <v>Kraštovaizdžio tvarkymas (kraštovaizdžio etalonai, pažeistos teritorijos ir pan.)</v>
      </c>
      <c r="M172" s="147" t="str">
        <f>MID('3 pr-2'!B174,12,2)</f>
        <v>00</v>
      </c>
      <c r="N172" s="147">
        <f>IFERROR(INDEX(Veiklos!$C$2:$C$54,MATCH(M172,Veiklos!$D$2:$D$54,0),1),"")</f>
        <v>0</v>
      </c>
      <c r="O172" s="147" t="str">
        <f>MID('3 pr-2'!B174,14,2)</f>
        <v>00</v>
      </c>
      <c r="P172" s="147">
        <f>IFERROR(INDEX(Veiklos!$C$2:$C$54,MATCH(O172,Veiklos!$D$2:$D$54,0),1),"")</f>
        <v>0</v>
      </c>
      <c r="Q172" s="147"/>
      <c r="R172" s="147"/>
      <c r="S172" s="147"/>
      <c r="T172" s="147"/>
      <c r="U172" s="349">
        <v>1</v>
      </c>
      <c r="V172" s="571">
        <f>SUM('3 pr-2'!L174)</f>
        <v>309522</v>
      </c>
      <c r="W172" s="571">
        <f>SUM('3 pr-2'!AA174)</f>
        <v>263093.7</v>
      </c>
    </row>
    <row r="173" spans="1:23" ht="39" thickBot="1" x14ac:dyDescent="0.3">
      <c r="A173" s="147" t="str">
        <f>CONCATENATE('3 pr-2'!A175)</f>
        <v>3.1.2.1.2</v>
      </c>
      <c r="B173" s="147" t="str">
        <f>CONCATENATE('3 pr-2'!B175)</f>
        <v>R01-0019-380000-3212</v>
      </c>
      <c r="C173" s="341" t="str">
        <f>CONCATENATE('3 pr-2'!D175)</f>
        <v>Kraštovaizdžio formavimas ir tvarkymas Varėnos r. savivaldybėje (II etapas)</v>
      </c>
      <c r="D173" s="341" t="str">
        <f>CONCATENATE('3 pr-2'!E175)</f>
        <v>Varėnos rajono savivaldybės administracija</v>
      </c>
      <c r="E173" s="341" t="str">
        <f>CONCATENATE('3 pr-2'!F175)</f>
        <v>Lietuvos Respublikos aplinkos ministerija</v>
      </c>
      <c r="F173" s="341" t="str">
        <f>CONCATENATE('3 pr-2'!G175)</f>
        <v>Varėnos r. sav.</v>
      </c>
      <c r="G173" s="147" t="str">
        <f>CONCATENATE('3 pr-2'!H175)</f>
        <v>05.5.1-APVA-R-019</v>
      </c>
      <c r="H173" s="147" t="str">
        <f>CONCATENATE('3 pr-2'!I175)</f>
        <v>R</v>
      </c>
      <c r="I173" s="147" t="str">
        <f>CONCATENATE('3 pr-2'!J175)</f>
        <v>-</v>
      </c>
      <c r="J173" s="147" t="str">
        <f>CONCATENATE('3 pr-2'!K175)</f>
        <v>-</v>
      </c>
      <c r="K173" s="147" t="str">
        <f>MID('3 pr-2'!B175,10,2)</f>
        <v>38</v>
      </c>
      <c r="L173" s="147" t="str">
        <f>IFERROR(INDEX(Veiklos!$C$2:$C$54,MATCH(K173,Veiklos!$D$2:$D$54,0),1),"")</f>
        <v>Kraštovaizdžio tvarkymas (kraštovaizdžio etalonai, pažeistos teritorijos ir pan.)</v>
      </c>
      <c r="M173" s="147" t="str">
        <f>MID('3 pr-2'!B175,12,2)</f>
        <v>00</v>
      </c>
      <c r="N173" s="147">
        <f>IFERROR(INDEX(Veiklos!$C$2:$C$54,MATCH(M173,Veiklos!$D$2:$D$54,0),1),"")</f>
        <v>0</v>
      </c>
      <c r="O173" s="147" t="str">
        <f>MID('3 pr-2'!B175,14,2)</f>
        <v>00</v>
      </c>
      <c r="P173" s="147">
        <f>IFERROR(INDEX(Veiklos!$C$2:$C$54,MATCH(O173,Veiklos!$D$2:$D$54,0),1),"")</f>
        <v>0</v>
      </c>
      <c r="Q173" s="147"/>
      <c r="R173" s="147"/>
      <c r="S173" s="147"/>
      <c r="T173" s="147"/>
      <c r="U173" s="349">
        <v>1</v>
      </c>
      <c r="V173" s="571">
        <f>SUM('3 pr-2'!L175)</f>
        <v>554211</v>
      </c>
      <c r="W173" s="571">
        <f>SUM('3 pr-2'!AA175)</f>
        <v>471079</v>
      </c>
    </row>
    <row r="174" spans="1:23" ht="39" thickBot="1" x14ac:dyDescent="0.3">
      <c r="A174" s="147" t="str">
        <f>CONCATENATE('3 pr-2'!A176)</f>
        <v>3.1.2.1.3</v>
      </c>
      <c r="B174" s="147" t="str">
        <f>CONCATENATE('3 pr-2'!B176)</f>
        <v>R01-0019-380000-3213</v>
      </c>
      <c r="C174" s="341" t="str">
        <f>CONCATENATE('3 pr-2'!D176)</f>
        <v>Bešeimininkių apleistų pastatų ir įrenginių tvarkymas Alytaus rajono savivaldybėje</v>
      </c>
      <c r="D174" s="341" t="str">
        <f>CONCATENATE('3 pr-2'!E176)</f>
        <v>Alytaus rajono savivaldybės administracija</v>
      </c>
      <c r="E174" s="341" t="str">
        <f>CONCATENATE('3 pr-2'!F176)</f>
        <v>Lietuvos Respublikos aplinkos ministerija</v>
      </c>
      <c r="F174" s="341" t="str">
        <f>CONCATENATE('3 pr-2'!G176)</f>
        <v>Alytaus r. sav.</v>
      </c>
      <c r="G174" s="147" t="str">
        <f>CONCATENATE('3 pr-2'!H176)</f>
        <v>05.5.1-APVA-R-019</v>
      </c>
      <c r="H174" s="147" t="str">
        <f>CONCATENATE('3 pr-2'!I176)</f>
        <v>R</v>
      </c>
      <c r="I174" s="147" t="str">
        <f>CONCATENATE('3 pr-2'!J176)</f>
        <v/>
      </c>
      <c r="J174" s="147" t="str">
        <f>CONCATENATE('3 pr-2'!K176)</f>
        <v/>
      </c>
      <c r="K174" s="147" t="str">
        <f>MID('3 pr-2'!B176,10,2)</f>
        <v>38</v>
      </c>
      <c r="L174" s="147" t="str">
        <f>IFERROR(INDEX(Veiklos!$C$2:$C$54,MATCH(K174,Veiklos!$D$2:$D$54,0),1),"")</f>
        <v>Kraštovaizdžio tvarkymas (kraštovaizdžio etalonai, pažeistos teritorijos ir pan.)</v>
      </c>
      <c r="M174" s="147" t="str">
        <f>MID('3 pr-2'!B176,12,2)</f>
        <v>00</v>
      </c>
      <c r="N174" s="147">
        <f>IFERROR(INDEX(Veiklos!$C$2:$C$54,MATCH(M174,Veiklos!$D$2:$D$54,0),1),"")</f>
        <v>0</v>
      </c>
      <c r="O174" s="147" t="str">
        <f>MID('3 pr-2'!B176,14,2)</f>
        <v>00</v>
      </c>
      <c r="P174" s="147">
        <f>IFERROR(INDEX(Veiklos!$C$2:$C$54,MATCH(O174,Veiklos!$D$2:$D$54,0),1),"")</f>
        <v>0</v>
      </c>
      <c r="Q174" s="147"/>
      <c r="R174" s="147"/>
      <c r="S174" s="147"/>
      <c r="T174" s="147"/>
      <c r="U174" s="349">
        <v>1</v>
      </c>
      <c r="V174" s="571">
        <f>SUM('3 pr-2'!L176)</f>
        <v>101765.7</v>
      </c>
      <c r="W174" s="571">
        <f>SUM('3 pr-2'!AA176)</f>
        <v>86500.800000000003</v>
      </c>
    </row>
    <row r="175" spans="1:23" ht="51.75" thickBot="1" x14ac:dyDescent="0.3">
      <c r="A175" s="147" t="str">
        <f>CONCATENATE('3 pr-2'!A177)</f>
        <v>3.1.2.1.4</v>
      </c>
      <c r="B175" s="147" t="str">
        <f>CONCATENATE('3 pr-2'!B177)</f>
        <v>R01-0019-380000-3214</v>
      </c>
      <c r="C175" s="341" t="str">
        <f>CONCATENATE('3 pr-2'!D177)</f>
        <v>Alytaus miesto bendrojo plano korektūra zonuojant kraštovaizdžio struktūrą, nustatant reglamentus ir principus</v>
      </c>
      <c r="D175" s="341" t="str">
        <f>CONCATENATE('3 pr-2'!E177)</f>
        <v>Alytaus miesto savivaldybės administracija</v>
      </c>
      <c r="E175" s="341" t="str">
        <f>CONCATENATE('3 pr-2'!F177)</f>
        <v>Lietuvos Respublikos aplinkos ministerija</v>
      </c>
      <c r="F175" s="341" t="str">
        <f>CONCATENATE('3 pr-2'!G177)</f>
        <v>Alytaus m. sav.</v>
      </c>
      <c r="G175" s="147" t="str">
        <f>CONCATENATE('3 pr-2'!H177)</f>
        <v>05.5.1-APVA-R-019</v>
      </c>
      <c r="H175" s="147" t="str">
        <f>CONCATENATE('3 pr-2'!I177)</f>
        <v>R</v>
      </c>
      <c r="I175" s="147" t="str">
        <f>CONCATENATE('3 pr-2'!J177)</f>
        <v/>
      </c>
      <c r="J175" s="147" t="str">
        <f>CONCATENATE('3 pr-2'!K177)</f>
        <v>-</v>
      </c>
      <c r="K175" s="147" t="str">
        <f>MID('3 pr-2'!B177,10,2)</f>
        <v>38</v>
      </c>
      <c r="L175" s="147" t="str">
        <f>IFERROR(INDEX(Veiklos!$C$2:$C$54,MATCH(K175,Veiklos!$D$2:$D$54,0),1),"")</f>
        <v>Kraštovaizdžio tvarkymas (kraštovaizdžio etalonai, pažeistos teritorijos ir pan.)</v>
      </c>
      <c r="M175" s="147" t="str">
        <f>MID('3 pr-2'!B177,12,2)</f>
        <v>00</v>
      </c>
      <c r="N175" s="147">
        <f>IFERROR(INDEX(Veiklos!$C$2:$C$54,MATCH(M175,Veiklos!$D$2:$D$54,0),1),"")</f>
        <v>0</v>
      </c>
      <c r="O175" s="147" t="str">
        <f>MID('3 pr-2'!B177,14,2)</f>
        <v>00</v>
      </c>
      <c r="P175" s="147">
        <f>IFERROR(INDEX(Veiklos!$C$2:$C$54,MATCH(O175,Veiklos!$D$2:$D$54,0),1),"")</f>
        <v>0</v>
      </c>
      <c r="Q175" s="147"/>
      <c r="R175" s="147"/>
      <c r="S175" s="147"/>
      <c r="T175" s="147"/>
      <c r="U175" s="349">
        <v>1</v>
      </c>
      <c r="V175" s="571">
        <f>SUM('3 pr-2'!L177)</f>
        <v>3993</v>
      </c>
      <c r="W175" s="571">
        <f>SUM('3 pr-2'!AA177)</f>
        <v>3394.05</v>
      </c>
    </row>
    <row r="176" spans="1:23" ht="39" thickBot="1" x14ac:dyDescent="0.3">
      <c r="A176" s="147" t="str">
        <f>CONCATENATE('3 pr-2'!A178)</f>
        <v>3.1.2.1.5</v>
      </c>
      <c r="B176" s="147" t="str">
        <f>CONCATENATE('3 pr-2'!B178)</f>
        <v>R01-0019-380000-3215</v>
      </c>
      <c r="C176" s="341" t="str">
        <f>CONCATENATE('3 pr-2'!D178)</f>
        <v>Bešeimininkių apleistų pastatų Druskininkų savivaldybės teritorijoje likvidavimas</v>
      </c>
      <c r="D176" s="341" t="str">
        <f>CONCATENATE('3 pr-2'!E178)</f>
        <v>Druskininkų savivaldybės administracija</v>
      </c>
      <c r="E176" s="341" t="str">
        <f>CONCATENATE('3 pr-2'!F178)</f>
        <v>Lietuvos Respublikos aplinkos ministerija</v>
      </c>
      <c r="F176" s="341" t="str">
        <f>CONCATENATE('3 pr-2'!G178)</f>
        <v>Druskininkų sav.</v>
      </c>
      <c r="G176" s="147" t="str">
        <f>CONCATENATE('3 pr-2'!H178)</f>
        <v>05.5.1-APVA-R-019</v>
      </c>
      <c r="H176" s="147" t="str">
        <f>CONCATENATE('3 pr-2'!I178)</f>
        <v>R</v>
      </c>
      <c r="I176" s="147" t="str">
        <f>CONCATENATE('3 pr-2'!J178)</f>
        <v>-</v>
      </c>
      <c r="J176" s="147" t="str">
        <f>CONCATENATE('3 pr-2'!K178)</f>
        <v>-</v>
      </c>
      <c r="K176" s="147" t="str">
        <f>MID('3 pr-2'!B178,10,2)</f>
        <v>38</v>
      </c>
      <c r="L176" s="147" t="str">
        <f>IFERROR(INDEX(Veiklos!$C$2:$C$54,MATCH(K176,Veiklos!$D$2:$D$54,0),1),"")</f>
        <v>Kraštovaizdžio tvarkymas (kraštovaizdžio etalonai, pažeistos teritorijos ir pan.)</v>
      </c>
      <c r="M176" s="147" t="str">
        <f>MID('3 pr-2'!B178,12,2)</f>
        <v>00</v>
      </c>
      <c r="N176" s="147">
        <f>IFERROR(INDEX(Veiklos!$C$2:$C$54,MATCH(M176,Veiklos!$D$2:$D$54,0),1),"")</f>
        <v>0</v>
      </c>
      <c r="O176" s="147" t="str">
        <f>MID('3 pr-2'!B178,14,2)</f>
        <v>00</v>
      </c>
      <c r="P176" s="147">
        <f>IFERROR(INDEX(Veiklos!$C$2:$C$54,MATCH(O176,Veiklos!$D$2:$D$54,0),1),"")</f>
        <v>0</v>
      </c>
      <c r="Q176" s="147"/>
      <c r="R176" s="147"/>
      <c r="S176" s="147"/>
      <c r="T176" s="147"/>
      <c r="U176" s="349">
        <v>1</v>
      </c>
      <c r="V176" s="571">
        <f>SUM('3 pr-2'!L178)</f>
        <v>121153.55</v>
      </c>
      <c r="W176" s="571">
        <f>SUM('3 pr-2'!AA178)</f>
        <v>102980.52</v>
      </c>
    </row>
    <row r="177" spans="1:23" ht="39" thickBot="1" x14ac:dyDescent="0.3">
      <c r="A177" s="147" t="str">
        <f>CONCATENATE('3 pr-2'!A179)</f>
        <v>3.1.2.1.6</v>
      </c>
      <c r="B177" s="147" t="str">
        <f>CONCATENATE('3 pr-2'!B179)</f>
        <v>R01-0019-380000-3216</v>
      </c>
      <c r="C177" s="341" t="str">
        <f>CONCATENATE('3 pr-2'!D179)</f>
        <v>Kraštovaizdžio formavimas Lazdijų rajono savivaldybėje</v>
      </c>
      <c r="D177" s="341" t="str">
        <f>CONCATENATE('3 pr-2'!E179)</f>
        <v>Lazdijų rajono savivaldybės administracija</v>
      </c>
      <c r="E177" s="341" t="str">
        <f>CONCATENATE('3 pr-2'!F179)</f>
        <v>Lietuvos Respublikos aplinkos ministerija</v>
      </c>
      <c r="F177" s="341" t="str">
        <f>CONCATENATE('3 pr-2'!G179)</f>
        <v>Lazdijų r. sav.</v>
      </c>
      <c r="G177" s="147" t="str">
        <f>CONCATENATE('3 pr-2'!H179)</f>
        <v>05.5.1-APVA-R-019</v>
      </c>
      <c r="H177" s="147" t="str">
        <f>CONCATENATE('3 pr-2'!I179)</f>
        <v>R</v>
      </c>
      <c r="I177" s="147" t="str">
        <f>CONCATENATE('3 pr-2'!J179)</f>
        <v>-</v>
      </c>
      <c r="J177" s="147" t="str">
        <f>CONCATENATE('3 pr-2'!K179)</f>
        <v>-</v>
      </c>
      <c r="K177" s="147" t="str">
        <f>MID('3 pr-2'!B179,10,2)</f>
        <v>38</v>
      </c>
      <c r="L177" s="147" t="str">
        <f>IFERROR(INDEX(Veiklos!$C$2:$C$54,MATCH(K177,Veiklos!$D$2:$D$54,0),1),"")</f>
        <v>Kraštovaizdžio tvarkymas (kraštovaizdžio etalonai, pažeistos teritorijos ir pan.)</v>
      </c>
      <c r="M177" s="147" t="str">
        <f>MID('3 pr-2'!B179,12,2)</f>
        <v>00</v>
      </c>
      <c r="N177" s="147">
        <f>IFERROR(INDEX(Veiklos!$C$2:$C$54,MATCH(M177,Veiklos!$D$2:$D$54,0),1),"")</f>
        <v>0</v>
      </c>
      <c r="O177" s="147" t="str">
        <f>MID('3 pr-2'!B179,14,2)</f>
        <v>00</v>
      </c>
      <c r="P177" s="147">
        <f>IFERROR(INDEX(Veiklos!$C$2:$C$54,MATCH(O177,Veiklos!$D$2:$D$54,0),1),"")</f>
        <v>0</v>
      </c>
      <c r="Q177" s="147"/>
      <c r="R177" s="147"/>
      <c r="S177" s="147"/>
      <c r="T177" s="147"/>
      <c r="U177" s="349">
        <v>1</v>
      </c>
      <c r="V177" s="571">
        <f>SUM('3 pr-2'!L179)</f>
        <v>442298.58999999997</v>
      </c>
      <c r="W177" s="571">
        <f>SUM('3 pr-2'!AA179)</f>
        <v>375953.81</v>
      </c>
    </row>
    <row r="178" spans="1:23" ht="51.75" thickBot="1" x14ac:dyDescent="0.3">
      <c r="A178" s="147" t="str">
        <f>CONCATENATE('3 pr-2'!A180)</f>
        <v>3.1.2.1.7</v>
      </c>
      <c r="B178" s="147" t="str">
        <f>CONCATENATE('3 pr-2'!B180)</f>
        <v>R01-0019-283800-3217</v>
      </c>
      <c r="C178" s="341" t="str">
        <f>CONCATENATE('3 pr-2'!D180)</f>
        <v>Kraštovaizdžio formavimas Lazdijų rajono savivaldybėje (II etapas)</v>
      </c>
      <c r="D178" s="341" t="str">
        <f>CONCATENATE('3 pr-2'!E180)</f>
        <v>Lazdijų rajono savivaldybės administracija</v>
      </c>
      <c r="E178" s="341" t="str">
        <f>CONCATENATE('3 pr-2'!F180)</f>
        <v>Lietuvos Respublikos aplinkos ministerija</v>
      </c>
      <c r="F178" s="341" t="str">
        <f>CONCATENATE('3 pr-2'!G180)</f>
        <v>Lazdijų r. sav.</v>
      </c>
      <c r="G178" s="147" t="str">
        <f>CONCATENATE('3 pr-2'!H180)</f>
        <v>05.5.1-APVA-R-019</v>
      </c>
      <c r="H178" s="147" t="str">
        <f>CONCATENATE('3 pr-2'!I180)</f>
        <v>R</v>
      </c>
      <c r="I178" s="147" t="str">
        <f>CONCATENATE('3 pr-2'!J180)</f>
        <v>-</v>
      </c>
      <c r="J178" s="147" t="str">
        <f>CONCATENATE('3 pr-2'!K180)</f>
        <v>-</v>
      </c>
      <c r="K178" s="147" t="str">
        <f>MID('3 pr-2'!B180,10,2)</f>
        <v>28</v>
      </c>
      <c r="L178" s="147" t="str">
        <f>IFERROR(INDEX(Veiklos!$C$2:$C$54,MATCH(K178,Veiklos!$D$2:$D$54,0),1),"")</f>
        <v>Kitos viešosios infrastruktūros modernizavimas (viešosios erdvės): rekreacinės teritorijos ir gamtinis karkasas</v>
      </c>
      <c r="M178" s="147" t="str">
        <f>MID('3 pr-2'!B180,12,2)</f>
        <v>38</v>
      </c>
      <c r="N178" s="147" t="str">
        <f>IFERROR(INDEX(Veiklos!$C$2:$C$54,MATCH(M178,Veiklos!$D$2:$D$54,0),1),"")</f>
        <v>Kraštovaizdžio tvarkymas (kraštovaizdžio etalonai, pažeistos teritorijos ir pan.)</v>
      </c>
      <c r="O178" s="147" t="str">
        <f>MID('3 pr-2'!B180,14,2)</f>
        <v>00</v>
      </c>
      <c r="P178" s="147">
        <f>IFERROR(INDEX(Veiklos!$C$2:$C$54,MATCH(O178,Veiklos!$D$2:$D$54,0),1),"")</f>
        <v>0</v>
      </c>
      <c r="Q178" s="147"/>
      <c r="R178" s="147"/>
      <c r="S178" s="147"/>
      <c r="T178" s="147"/>
      <c r="U178" s="349">
        <v>1</v>
      </c>
      <c r="V178" s="571">
        <f>SUM('3 pr-2'!L180)</f>
        <v>149792.22</v>
      </c>
      <c r="W178" s="571">
        <f>SUM('3 pr-2'!AA180)</f>
        <v>127323.39</v>
      </c>
    </row>
    <row r="179" spans="1:23" ht="39" thickBot="1" x14ac:dyDescent="0.3">
      <c r="A179" s="147" t="str">
        <f>CONCATENATE('3 pr-2'!A181)</f>
        <v>3.1.2.1.8</v>
      </c>
      <c r="B179" s="147" t="str">
        <f>CONCATENATE('3 pr-2'!B181)</f>
        <v>R01-0019-380000-3218</v>
      </c>
      <c r="C179" s="341" t="str">
        <f>CONCATENATE('3 pr-2'!D181)</f>
        <v>Bešeimininkių apleistų pastatų ir įrenginių tvarkymas Alytaus rajono savivaldybėje (II etapas)</v>
      </c>
      <c r="D179" s="341" t="str">
        <f>CONCATENATE('3 pr-2'!E181)</f>
        <v>Alytaus rajono savivaldybės administracija</v>
      </c>
      <c r="E179" s="341" t="str">
        <f>CONCATENATE('3 pr-2'!F181)</f>
        <v>Lietuvos Respublikos aplinkos ministerija</v>
      </c>
      <c r="F179" s="341" t="str">
        <f>CONCATENATE('3 pr-2'!G181)</f>
        <v>Alytaus r. sav.</v>
      </c>
      <c r="G179" s="147" t="str">
        <f>CONCATENATE('3 pr-2'!H181)</f>
        <v>05.5.1-APVA-R-019</v>
      </c>
      <c r="H179" s="147" t="str">
        <f>CONCATENATE('3 pr-2'!I181)</f>
        <v>R</v>
      </c>
      <c r="I179" s="147" t="str">
        <f>CONCATENATE('3 pr-2'!J181)</f>
        <v>-</v>
      </c>
      <c r="J179" s="147" t="str">
        <f>CONCATENATE('3 pr-2'!K181)</f>
        <v>-</v>
      </c>
      <c r="K179" s="147" t="str">
        <f>MID('3 pr-2'!B181,10,2)</f>
        <v>38</v>
      </c>
      <c r="L179" s="147" t="str">
        <f>IFERROR(INDEX(Veiklos!$C$2:$C$54,MATCH(K179,Veiklos!$D$2:$D$54,0),1),"")</f>
        <v>Kraštovaizdžio tvarkymas (kraštovaizdžio etalonai, pažeistos teritorijos ir pan.)</v>
      </c>
      <c r="M179" s="147" t="str">
        <f>MID('3 pr-2'!B181,12,2)</f>
        <v>00</v>
      </c>
      <c r="N179" s="147">
        <f>IFERROR(INDEX(Veiklos!$C$2:$C$54,MATCH(M179,Veiklos!$D$2:$D$54,0),1),"")</f>
        <v>0</v>
      </c>
      <c r="O179" s="147" t="str">
        <f>MID('3 pr-2'!B181,14,2)</f>
        <v>00</v>
      </c>
      <c r="P179" s="147">
        <f>IFERROR(INDEX(Veiklos!$C$2:$C$54,MATCH(O179,Veiklos!$D$2:$D$54,0),1),"")</f>
        <v>0</v>
      </c>
      <c r="Q179" s="147"/>
      <c r="R179" s="147"/>
      <c r="S179" s="147"/>
      <c r="T179" s="147"/>
      <c r="U179" s="349">
        <v>1</v>
      </c>
      <c r="V179" s="571">
        <f>SUM('3 pr-2'!L181)</f>
        <v>736537.6470588235</v>
      </c>
      <c r="W179" s="571">
        <f>SUM('3 pr-2'!AA181)</f>
        <v>626057</v>
      </c>
    </row>
    <row r="180" spans="1:23" ht="39" thickBot="1" x14ac:dyDescent="0.3">
      <c r="A180" s="147" t="str">
        <f>CONCATENATE('3 pr-2'!A182)</f>
        <v>3.1.2.1.9</v>
      </c>
      <c r="B180" s="147" t="str">
        <f>CONCATENATE('3 pr-2'!B182)</f>
        <v>R01-0019-380000-3219</v>
      </c>
      <c r="C180" s="341" t="str">
        <f>CONCATENATE('3 pr-2'!D182)</f>
        <v>Etaloninio kraštovaizdžio formavimas Druskininkų savivaldybės pasienyje</v>
      </c>
      <c r="D180" s="341" t="str">
        <f>CONCATENATE('3 pr-2'!E182)</f>
        <v>Druskininkų savivaldybės administracija</v>
      </c>
      <c r="E180" s="341" t="str">
        <f>CONCATENATE('3 pr-2'!F182)</f>
        <v>Lietuvos Respublikos aplinkos ministerija</v>
      </c>
      <c r="F180" s="341" t="str">
        <f>CONCATENATE('3 pr-2'!G182)</f>
        <v>Druskininkų sav.</v>
      </c>
      <c r="G180" s="147" t="str">
        <f>CONCATENATE('3 pr-2'!H182)</f>
        <v>05.5.1-APVA-R-019</v>
      </c>
      <c r="H180" s="147" t="str">
        <f>CONCATENATE('3 pr-2'!I182)</f>
        <v>R</v>
      </c>
      <c r="I180" s="147" t="str">
        <f>CONCATENATE('3 pr-2'!J182)</f>
        <v>-</v>
      </c>
      <c r="J180" s="147" t="str">
        <f>CONCATENATE('3 pr-2'!K182)</f>
        <v>-</v>
      </c>
      <c r="K180" s="147" t="str">
        <f>MID('3 pr-2'!B182,10,2)</f>
        <v>38</v>
      </c>
      <c r="L180" s="147" t="str">
        <f>IFERROR(INDEX(Veiklos!$C$2:$C$54,MATCH(K180,Veiklos!$D$2:$D$54,0),1),"")</f>
        <v>Kraštovaizdžio tvarkymas (kraštovaizdžio etalonai, pažeistos teritorijos ir pan.)</v>
      </c>
      <c r="M180" s="147" t="str">
        <f>MID('3 pr-2'!B182,12,2)</f>
        <v>00</v>
      </c>
      <c r="N180" s="147">
        <f>IFERROR(INDEX(Veiklos!$C$2:$C$54,MATCH(M180,Veiklos!$D$2:$D$54,0),1),"")</f>
        <v>0</v>
      </c>
      <c r="O180" s="147" t="str">
        <f>MID('3 pr-2'!B182,14,2)</f>
        <v>00</v>
      </c>
      <c r="P180" s="147">
        <f>IFERROR(INDEX(Veiklos!$C$2:$C$54,MATCH(O180,Veiklos!$D$2:$D$54,0),1),"")</f>
        <v>0</v>
      </c>
      <c r="Q180" s="147"/>
      <c r="R180" s="147"/>
      <c r="S180" s="147"/>
      <c r="T180" s="147"/>
      <c r="U180" s="349">
        <v>1</v>
      </c>
      <c r="V180" s="571">
        <f>SUM('3 pr-2'!L182)</f>
        <v>88524.094117647051</v>
      </c>
      <c r="W180" s="571">
        <f>SUM('3 pr-2'!AA182)</f>
        <v>75245.48</v>
      </c>
    </row>
    <row r="182" spans="1:23" x14ac:dyDescent="0.25">
      <c r="C182" s="52" t="s">
        <v>1264</v>
      </c>
    </row>
    <row r="183" spans="1:23" x14ac:dyDescent="0.25">
      <c r="C183" s="52" t="s">
        <v>1265</v>
      </c>
    </row>
    <row r="184" spans="1:23" x14ac:dyDescent="0.25">
      <c r="C184" s="52" t="s">
        <v>1266</v>
      </c>
    </row>
    <row r="185" spans="1:23" x14ac:dyDescent="0.25">
      <c r="C185" s="52" t="s">
        <v>1267</v>
      </c>
    </row>
  </sheetData>
  <autoFilter ref="A1:W180"/>
  <mergeCells count="35">
    <mergeCell ref="C65:J65"/>
    <mergeCell ref="C7:J7"/>
    <mergeCell ref="C6:J6"/>
    <mergeCell ref="C5:J5"/>
    <mergeCell ref="C31:J31"/>
    <mergeCell ref="C37:J37"/>
    <mergeCell ref="C44:J44"/>
    <mergeCell ref="C48:J48"/>
    <mergeCell ref="C54:J54"/>
    <mergeCell ref="C56:J56"/>
    <mergeCell ref="C60:J60"/>
    <mergeCell ref="C119:J119"/>
    <mergeCell ref="C71:J71"/>
    <mergeCell ref="C72:J72"/>
    <mergeCell ref="C77:J77"/>
    <mergeCell ref="C84:J84"/>
    <mergeCell ref="C90:J90"/>
    <mergeCell ref="C98:J98"/>
    <mergeCell ref="C99:J99"/>
    <mergeCell ref="C100:J100"/>
    <mergeCell ref="C106:J106"/>
    <mergeCell ref="C112:J112"/>
    <mergeCell ref="C118:J118"/>
    <mergeCell ref="C133:J133"/>
    <mergeCell ref="C145:J145"/>
    <mergeCell ref="C146:J146"/>
    <mergeCell ref="C159:J159"/>
    <mergeCell ref="C158:J158"/>
    <mergeCell ref="C139:J139"/>
    <mergeCell ref="C167:J167"/>
    <mergeCell ref="C168:J168"/>
    <mergeCell ref="C170:J170"/>
    <mergeCell ref="C171:J171"/>
    <mergeCell ref="C152:J152"/>
    <mergeCell ref="C166:J166"/>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M185"/>
  <sheetViews>
    <sheetView showGridLines="0" showRuler="0" topLeftCell="A3" zoomScaleNormal="100" zoomScalePageLayoutView="95" workbookViewId="0">
      <pane ySplit="2220" topLeftCell="A136"/>
      <selection activeCell="W3" sqref="W1:AE1048576"/>
      <selection pane="bottomLeft" activeCell="AD139" sqref="AD139"/>
    </sheetView>
  </sheetViews>
  <sheetFormatPr defaultColWidth="9.140625" defaultRowHeight="15" x14ac:dyDescent="0.25"/>
  <cols>
    <col min="1" max="1" width="8.7109375" style="95" customWidth="1"/>
    <col min="2" max="2" width="12.7109375" style="95" customWidth="1"/>
    <col min="3" max="3" width="13.42578125" style="95" hidden="1" customWidth="1"/>
    <col min="4" max="4" width="18.140625" style="759" customWidth="1"/>
    <col min="5" max="5" width="11.7109375" style="95" customWidth="1"/>
    <col min="6" max="6" width="13.28515625" style="95" customWidth="1"/>
    <col min="7" max="7" width="11.42578125" style="95" customWidth="1"/>
    <col min="8" max="8" width="14.7109375" style="95" customWidth="1"/>
    <col min="9" max="9" width="4.140625" style="95" bestFit="1" customWidth="1"/>
    <col min="10" max="10" width="3.28515625" style="95" bestFit="1" customWidth="1"/>
    <col min="11" max="11" width="5.140625" style="95" customWidth="1"/>
    <col min="12" max="12" width="8.28515625" style="95" customWidth="1"/>
    <col min="13" max="13" width="16.5703125" style="95" customWidth="1"/>
    <col min="14" max="14" width="5.28515625" style="95" hidden="1" customWidth="1"/>
    <col min="15" max="19" width="4.42578125" style="95" hidden="1" customWidth="1"/>
    <col min="20" max="20" width="4.85546875" style="95" hidden="1" customWidth="1"/>
    <col min="21" max="21" width="7" style="95" hidden="1" customWidth="1"/>
    <col min="22" max="22" width="8.85546875" style="95" bestFit="1" customWidth="1"/>
    <col min="23" max="24" width="9.28515625" style="95" hidden="1" customWidth="1"/>
    <col min="25" max="26" width="6.140625" style="95" hidden="1" customWidth="1"/>
    <col min="27" max="27" width="7.7109375" style="95" hidden="1" customWidth="1"/>
    <col min="28" max="28" width="6.140625" style="95" hidden="1" customWidth="1"/>
    <col min="29" max="29" width="6.5703125" style="95" hidden="1" customWidth="1"/>
    <col min="30" max="31" width="6.140625" style="95" hidden="1" customWidth="1"/>
    <col min="32" max="32" width="8.28515625" style="95" customWidth="1"/>
    <col min="33" max="33" width="17.28515625" style="95" customWidth="1"/>
    <col min="34" max="40" width="4.42578125" style="95" hidden="1" customWidth="1"/>
    <col min="41" max="41" width="4.5703125" style="95" hidden="1" customWidth="1"/>
    <col min="42" max="42" width="7.42578125" style="95" customWidth="1"/>
    <col min="43" max="43" width="8" style="95" hidden="1" customWidth="1"/>
    <col min="44" max="44" width="9.42578125" style="95" hidden="1" customWidth="1"/>
    <col min="45" max="45" width="4.5703125" style="95" hidden="1" customWidth="1"/>
    <col min="46" max="46" width="6.28515625" style="95" hidden="1" customWidth="1"/>
    <col min="47" max="51" width="5.85546875" style="95" hidden="1" customWidth="1"/>
    <col min="52" max="52" width="7.85546875" style="95" customWidth="1"/>
    <col min="53" max="53" width="15.140625" style="95" customWidth="1"/>
    <col min="54" max="60" width="4.42578125" style="95" hidden="1" customWidth="1"/>
    <col min="61" max="61" width="4.5703125" style="95" hidden="1" customWidth="1"/>
    <col min="62" max="62" width="9.28515625" style="95" customWidth="1"/>
    <col min="63" max="64" width="9.140625" style="95" hidden="1" customWidth="1"/>
    <col min="65" max="66" width="4.85546875" style="95" hidden="1" customWidth="1"/>
    <col min="67" max="67" width="5.7109375" style="95" hidden="1" customWidth="1"/>
    <col min="68" max="68" width="5.140625" style="95" hidden="1" customWidth="1"/>
    <col min="69" max="71" width="4.85546875" style="95" hidden="1" customWidth="1"/>
    <col min="72" max="72" width="7.7109375" style="95" customWidth="1"/>
    <col min="73" max="73" width="15.42578125" style="95" customWidth="1"/>
    <col min="74" max="80" width="4.42578125" style="95" hidden="1" customWidth="1"/>
    <col min="81" max="81" width="4.5703125" style="95" hidden="1" customWidth="1"/>
    <col min="82" max="82" width="9.140625" style="95" customWidth="1"/>
    <col min="83" max="84" width="9.140625" style="95" hidden="1" customWidth="1"/>
    <col min="85" max="91" width="5.28515625" style="95" hidden="1" customWidth="1"/>
    <col min="92" max="92" width="9.140625" style="95"/>
    <col min="93" max="93" width="14.140625" style="95" customWidth="1"/>
    <col min="94" max="100" width="4.42578125" style="95" hidden="1" customWidth="1"/>
    <col min="101" max="101" width="4.5703125" style="95" hidden="1" customWidth="1"/>
    <col min="102" max="102" width="9.42578125" style="95" customWidth="1"/>
    <col min="103" max="104" width="10.7109375" style="95" hidden="1" customWidth="1"/>
    <col min="105" max="105" width="5.28515625" style="95" hidden="1" customWidth="1"/>
    <col min="106" max="106" width="7.85546875" style="95" hidden="1" customWidth="1"/>
    <col min="107" max="111" width="5.28515625" style="95" hidden="1" customWidth="1"/>
    <col min="112" max="112" width="9.140625" style="95" hidden="1" customWidth="1"/>
    <col min="113" max="113" width="14.140625" style="95" hidden="1" customWidth="1"/>
    <col min="114" max="120" width="4.42578125" style="95" hidden="1" customWidth="1"/>
    <col min="121" max="121" width="4.5703125" style="95" hidden="1" customWidth="1"/>
    <col min="122" max="122" width="9.42578125" style="95" hidden="1" customWidth="1"/>
    <col min="123" max="124" width="10.7109375" style="95" hidden="1" customWidth="1"/>
    <col min="125" max="125" width="5.28515625" style="95" hidden="1" customWidth="1"/>
    <col min="126" max="126" width="7.85546875" style="95" hidden="1" customWidth="1"/>
    <col min="127" max="131" width="5.28515625" style="95" hidden="1" customWidth="1"/>
    <col min="132" max="132" width="9.140625" style="95" hidden="1" customWidth="1"/>
    <col min="133" max="133" width="14.140625" style="95" hidden="1" customWidth="1"/>
    <col min="134" max="136" width="10.7109375" style="95" hidden="1" customWidth="1"/>
    <col min="137" max="137" width="5.28515625" style="95" hidden="1" customWidth="1"/>
    <col min="138" max="138" width="7.85546875" style="95" hidden="1" customWidth="1"/>
    <col min="139" max="143" width="5.28515625" style="95" hidden="1" customWidth="1"/>
    <col min="144" max="16384" width="9.140625" style="95"/>
  </cols>
  <sheetData>
    <row r="2" spans="1:143" x14ac:dyDescent="0.25">
      <c r="A2" s="876"/>
      <c r="B2" s="876"/>
      <c r="C2" s="876"/>
    </row>
    <row r="3" spans="1:143" ht="16.5" thickBot="1" x14ac:dyDescent="0.3">
      <c r="A3" s="877" t="s">
        <v>1389</v>
      </c>
      <c r="B3" s="877"/>
      <c r="C3" s="877"/>
    </row>
    <row r="4" spans="1:143" ht="54" customHeight="1" thickTop="1" thickBot="1" x14ac:dyDescent="0.3">
      <c r="A4" s="1929" t="s">
        <v>7</v>
      </c>
      <c r="B4" s="1929" t="str">
        <f>CONCATENATE('3 pr-2'!B4)</f>
        <v xml:space="preserve">Unikalus numeris**** </v>
      </c>
      <c r="C4" s="799" t="str">
        <f>CONCATENATE('ketv. 2'!B3)</f>
        <v>Projekto kodas</v>
      </c>
      <c r="D4" s="1935" t="s">
        <v>49</v>
      </c>
      <c r="E4" s="1923" t="s">
        <v>50</v>
      </c>
      <c r="F4" s="1923" t="s">
        <v>51</v>
      </c>
      <c r="G4" s="1923" t="s">
        <v>52</v>
      </c>
      <c r="H4" s="1924" t="s">
        <v>53</v>
      </c>
      <c r="I4" s="1923" t="s">
        <v>326</v>
      </c>
      <c r="J4" s="1923" t="s">
        <v>167</v>
      </c>
      <c r="K4" s="1923" t="s">
        <v>327</v>
      </c>
      <c r="L4" s="1915" t="s">
        <v>445</v>
      </c>
      <c r="M4" s="160" t="s">
        <v>848</v>
      </c>
      <c r="N4" s="1925" t="s">
        <v>791</v>
      </c>
      <c r="O4" s="1918"/>
      <c r="P4" s="1918"/>
      <c r="Q4" s="1918"/>
      <c r="R4" s="1918"/>
      <c r="S4" s="1918"/>
      <c r="T4" s="1918"/>
      <c r="U4" s="1919"/>
      <c r="V4" s="1915" t="s">
        <v>446</v>
      </c>
      <c r="W4" s="1907" t="s">
        <v>813</v>
      </c>
      <c r="X4" s="1907" t="s">
        <v>818</v>
      </c>
      <c r="Y4" s="1316">
        <v>2017</v>
      </c>
      <c r="Z4" s="1317">
        <v>2018</v>
      </c>
      <c r="AA4" s="1317">
        <v>2019</v>
      </c>
      <c r="AB4" s="1317">
        <v>2020</v>
      </c>
      <c r="AC4" s="1317">
        <v>2021</v>
      </c>
      <c r="AD4" s="1317">
        <v>2022</v>
      </c>
      <c r="AE4" s="1317">
        <v>2023</v>
      </c>
      <c r="AF4" s="1915" t="s">
        <v>332</v>
      </c>
      <c r="AG4" s="160" t="s">
        <v>447</v>
      </c>
      <c r="AH4" s="1925" t="s">
        <v>791</v>
      </c>
      <c r="AI4" s="1918"/>
      <c r="AJ4" s="1918"/>
      <c r="AK4" s="1918"/>
      <c r="AL4" s="1918"/>
      <c r="AM4" s="1918"/>
      <c r="AN4" s="1918"/>
      <c r="AO4" s="1919"/>
      <c r="AP4" s="1915" t="s">
        <v>448</v>
      </c>
      <c r="AQ4" s="1907" t="s">
        <v>814</v>
      </c>
      <c r="AR4" s="1907" t="s">
        <v>3572</v>
      </c>
      <c r="AS4" s="1317">
        <v>2017</v>
      </c>
      <c r="AT4" s="1317">
        <v>2018</v>
      </c>
      <c r="AU4" s="1317">
        <v>2019</v>
      </c>
      <c r="AV4" s="1317">
        <v>2020</v>
      </c>
      <c r="AW4" s="1317">
        <v>2021</v>
      </c>
      <c r="AX4" s="1317">
        <v>2022</v>
      </c>
      <c r="AY4" s="1318">
        <v>2023</v>
      </c>
      <c r="AZ4" s="1915" t="s">
        <v>334</v>
      </c>
      <c r="BA4" s="161" t="s">
        <v>449</v>
      </c>
      <c r="BB4" s="1925" t="s">
        <v>791</v>
      </c>
      <c r="BC4" s="1918"/>
      <c r="BD4" s="1918"/>
      <c r="BE4" s="1918"/>
      <c r="BF4" s="1918"/>
      <c r="BG4" s="1918"/>
      <c r="BH4" s="1918"/>
      <c r="BI4" s="1919"/>
      <c r="BJ4" s="1915" t="s">
        <v>450</v>
      </c>
      <c r="BK4" s="1907" t="s">
        <v>815</v>
      </c>
      <c r="BL4" s="1907" t="s">
        <v>3571</v>
      </c>
      <c r="BM4" s="1316">
        <v>2017</v>
      </c>
      <c r="BN4" s="1317">
        <v>2018</v>
      </c>
      <c r="BO4" s="1317">
        <v>2019</v>
      </c>
      <c r="BP4" s="1317">
        <v>2020</v>
      </c>
      <c r="BQ4" s="1317">
        <v>2021</v>
      </c>
      <c r="BR4" s="1317">
        <v>2022</v>
      </c>
      <c r="BS4" s="1317">
        <v>2023</v>
      </c>
      <c r="BT4" s="1915" t="s">
        <v>451</v>
      </c>
      <c r="BU4" s="160" t="s">
        <v>452</v>
      </c>
      <c r="BV4" s="1925" t="s">
        <v>791</v>
      </c>
      <c r="BW4" s="1918"/>
      <c r="BX4" s="1918"/>
      <c r="BY4" s="1918"/>
      <c r="BZ4" s="1918"/>
      <c r="CA4" s="1918"/>
      <c r="CB4" s="1918"/>
      <c r="CC4" s="1919"/>
      <c r="CD4" s="1915" t="s">
        <v>453</v>
      </c>
      <c r="CE4" s="1907" t="s">
        <v>816</v>
      </c>
      <c r="CF4" s="1907" t="s">
        <v>3573</v>
      </c>
      <c r="CG4" s="1317">
        <v>2017</v>
      </c>
      <c r="CH4" s="1317">
        <v>2018</v>
      </c>
      <c r="CI4" s="1317">
        <v>2019</v>
      </c>
      <c r="CJ4" s="1317">
        <v>2020</v>
      </c>
      <c r="CK4" s="1317">
        <v>2021</v>
      </c>
      <c r="CL4" s="1317">
        <v>2022</v>
      </c>
      <c r="CM4" s="1317">
        <v>2023</v>
      </c>
      <c r="CN4" s="1915" t="s">
        <v>851</v>
      </c>
      <c r="CO4" s="160" t="s">
        <v>852</v>
      </c>
      <c r="CP4" s="1917" t="s">
        <v>791</v>
      </c>
      <c r="CQ4" s="1918"/>
      <c r="CR4" s="1918"/>
      <c r="CS4" s="1918"/>
      <c r="CT4" s="1918"/>
      <c r="CU4" s="1918"/>
      <c r="CV4" s="1918"/>
      <c r="CW4" s="1919"/>
      <c r="CX4" s="1915" t="s">
        <v>853</v>
      </c>
      <c r="CY4" s="1907" t="s">
        <v>817</v>
      </c>
      <c r="CZ4" s="1907" t="s">
        <v>819</v>
      </c>
      <c r="DA4" s="1319">
        <v>2017</v>
      </c>
      <c r="DB4" s="160">
        <v>2018</v>
      </c>
      <c r="DC4" s="1320">
        <v>2019</v>
      </c>
      <c r="DD4" s="1320">
        <v>2020</v>
      </c>
      <c r="DE4" s="1320">
        <v>2021</v>
      </c>
      <c r="DF4" s="1320">
        <v>2022</v>
      </c>
      <c r="DG4" s="1320">
        <v>2023</v>
      </c>
      <c r="DH4" s="1915" t="s">
        <v>1828</v>
      </c>
      <c r="DI4" s="160" t="s">
        <v>1830</v>
      </c>
      <c r="DJ4" s="1917" t="s">
        <v>791</v>
      </c>
      <c r="DK4" s="1918"/>
      <c r="DL4" s="1918"/>
      <c r="DM4" s="1918"/>
      <c r="DN4" s="1918"/>
      <c r="DO4" s="1918"/>
      <c r="DP4" s="1918"/>
      <c r="DQ4" s="1919"/>
      <c r="DR4" s="1915" t="s">
        <v>1831</v>
      </c>
      <c r="DS4" s="1907" t="s">
        <v>1832</v>
      </c>
      <c r="DT4" s="1907" t="s">
        <v>3574</v>
      </c>
      <c r="DU4" s="1319">
        <v>2017</v>
      </c>
      <c r="DV4" s="160">
        <v>2018</v>
      </c>
      <c r="DW4" s="1320">
        <v>2019</v>
      </c>
      <c r="DX4" s="1320">
        <v>2020</v>
      </c>
      <c r="DY4" s="1320">
        <v>2021</v>
      </c>
      <c r="DZ4" s="1320">
        <v>2022</v>
      </c>
      <c r="EA4" s="1320">
        <v>2023</v>
      </c>
      <c r="EB4" s="1915" t="s">
        <v>1829</v>
      </c>
      <c r="EC4" s="160" t="s">
        <v>1830</v>
      </c>
      <c r="ED4" s="1915" t="s">
        <v>1839</v>
      </c>
      <c r="EE4" s="1907" t="s">
        <v>1833</v>
      </c>
      <c r="EF4" s="1907" t="s">
        <v>1834</v>
      </c>
      <c r="EG4" s="1319">
        <v>2017</v>
      </c>
      <c r="EH4" s="160">
        <v>2018</v>
      </c>
      <c r="EI4" s="1320">
        <v>2019</v>
      </c>
      <c r="EJ4" s="1320">
        <v>2020</v>
      </c>
      <c r="EK4" s="1320">
        <v>2021</v>
      </c>
      <c r="EL4" s="1320">
        <v>2022</v>
      </c>
      <c r="EM4" s="1320">
        <v>2023</v>
      </c>
    </row>
    <row r="5" spans="1:143" ht="24.75" customHeight="1" thickTop="1" thickBot="1" x14ac:dyDescent="0.3">
      <c r="A5" s="1930"/>
      <c r="B5" s="1930"/>
      <c r="C5" s="806" t="str">
        <f>CONCATENATE('ketv. 2'!B4)</f>
        <v/>
      </c>
      <c r="D5" s="1936"/>
      <c r="E5" s="1916"/>
      <c r="F5" s="1916"/>
      <c r="G5" s="1916"/>
      <c r="H5" s="1916"/>
      <c r="I5" s="1916"/>
      <c r="J5" s="1916"/>
      <c r="K5" s="1916"/>
      <c r="L5" s="1916"/>
      <c r="M5" s="1313" t="s">
        <v>454</v>
      </c>
      <c r="N5" s="1313">
        <v>2017</v>
      </c>
      <c r="O5" s="1313">
        <v>2018</v>
      </c>
      <c r="P5" s="1313">
        <v>2019</v>
      </c>
      <c r="Q5" s="1313">
        <v>2020</v>
      </c>
      <c r="R5" s="1313">
        <v>2021</v>
      </c>
      <c r="S5" s="1313">
        <v>2022</v>
      </c>
      <c r="T5" s="1313">
        <v>2023</v>
      </c>
      <c r="U5" s="1313" t="s">
        <v>336</v>
      </c>
      <c r="V5" s="1916"/>
      <c r="W5" s="1908"/>
      <c r="X5" s="1908"/>
      <c r="Y5" s="1912" t="s">
        <v>847</v>
      </c>
      <c r="Z5" s="1913"/>
      <c r="AA5" s="1913"/>
      <c r="AB5" s="1913"/>
      <c r="AC5" s="1913"/>
      <c r="AD5" s="1913"/>
      <c r="AE5" s="1914"/>
      <c r="AF5" s="1916"/>
      <c r="AG5" s="1313" t="s">
        <v>454</v>
      </c>
      <c r="AH5" s="1313">
        <v>2017</v>
      </c>
      <c r="AI5" s="1313">
        <v>2018</v>
      </c>
      <c r="AJ5" s="1313">
        <v>2019</v>
      </c>
      <c r="AK5" s="1313">
        <v>2020</v>
      </c>
      <c r="AL5" s="1313">
        <v>2021</v>
      </c>
      <c r="AM5" s="1313">
        <v>2022</v>
      </c>
      <c r="AN5" s="1313">
        <v>2023</v>
      </c>
      <c r="AO5" s="1313" t="s">
        <v>336</v>
      </c>
      <c r="AP5" s="1916"/>
      <c r="AQ5" s="1908"/>
      <c r="AR5" s="1908"/>
      <c r="AS5" s="1912" t="s">
        <v>847</v>
      </c>
      <c r="AT5" s="1913"/>
      <c r="AU5" s="1913"/>
      <c r="AV5" s="1913"/>
      <c r="AW5" s="1913"/>
      <c r="AX5" s="1913"/>
      <c r="AY5" s="1914"/>
      <c r="AZ5" s="1916"/>
      <c r="BA5" s="992" t="s">
        <v>454</v>
      </c>
      <c r="BB5" s="1313">
        <v>2017</v>
      </c>
      <c r="BC5" s="1313">
        <v>2018</v>
      </c>
      <c r="BD5" s="1313">
        <v>2019</v>
      </c>
      <c r="BE5" s="1313">
        <v>2020</v>
      </c>
      <c r="BF5" s="1313">
        <v>2021</v>
      </c>
      <c r="BG5" s="1313">
        <v>2022</v>
      </c>
      <c r="BH5" s="1313">
        <v>2023</v>
      </c>
      <c r="BI5" s="1313" t="s">
        <v>336</v>
      </c>
      <c r="BJ5" s="1916"/>
      <c r="BK5" s="1908"/>
      <c r="BL5" s="1908"/>
      <c r="BM5" s="1912" t="s">
        <v>847</v>
      </c>
      <c r="BN5" s="1913"/>
      <c r="BO5" s="1913"/>
      <c r="BP5" s="1913"/>
      <c r="BQ5" s="1913"/>
      <c r="BR5" s="1913"/>
      <c r="BS5" s="1914"/>
      <c r="BT5" s="1916"/>
      <c r="BU5" s="1313" t="s">
        <v>454</v>
      </c>
      <c r="BV5" s="1313">
        <v>2017</v>
      </c>
      <c r="BW5" s="1313">
        <v>2018</v>
      </c>
      <c r="BX5" s="1313">
        <v>2019</v>
      </c>
      <c r="BY5" s="1313">
        <v>2020</v>
      </c>
      <c r="BZ5" s="1313">
        <v>2021</v>
      </c>
      <c r="CA5" s="1313">
        <v>2022</v>
      </c>
      <c r="CB5" s="1313">
        <v>2023</v>
      </c>
      <c r="CC5" s="1313" t="s">
        <v>336</v>
      </c>
      <c r="CD5" s="1916"/>
      <c r="CE5" s="1908"/>
      <c r="CF5" s="1908"/>
      <c r="CG5" s="1912" t="s">
        <v>847</v>
      </c>
      <c r="CH5" s="1913"/>
      <c r="CI5" s="1913"/>
      <c r="CJ5" s="1913"/>
      <c r="CK5" s="1913"/>
      <c r="CL5" s="1913"/>
      <c r="CM5" s="1914"/>
      <c r="CN5" s="1916"/>
      <c r="CO5" s="1313" t="s">
        <v>454</v>
      </c>
      <c r="CP5" s="1313">
        <v>2017</v>
      </c>
      <c r="CQ5" s="1313">
        <v>2018</v>
      </c>
      <c r="CR5" s="1313">
        <v>2019</v>
      </c>
      <c r="CS5" s="1313">
        <v>2020</v>
      </c>
      <c r="CT5" s="1313">
        <v>2021</v>
      </c>
      <c r="CU5" s="1313">
        <v>2022</v>
      </c>
      <c r="CV5" s="1313">
        <v>2023</v>
      </c>
      <c r="CW5" s="1313" t="s">
        <v>336</v>
      </c>
      <c r="CX5" s="1916"/>
      <c r="CY5" s="1908"/>
      <c r="CZ5" s="1908"/>
      <c r="DA5" s="1909" t="s">
        <v>847</v>
      </c>
      <c r="DB5" s="1910"/>
      <c r="DC5" s="1910"/>
      <c r="DD5" s="1910"/>
      <c r="DE5" s="1910"/>
      <c r="DF5" s="1910"/>
      <c r="DG5" s="1911"/>
      <c r="DH5" s="1916"/>
      <c r="DI5" s="1567" t="s">
        <v>454</v>
      </c>
      <c r="DJ5" s="1567">
        <v>2017</v>
      </c>
      <c r="DK5" s="1567">
        <v>2018</v>
      </c>
      <c r="DL5" s="1567">
        <v>2019</v>
      </c>
      <c r="DM5" s="1567">
        <v>2020</v>
      </c>
      <c r="DN5" s="1567">
        <v>2021</v>
      </c>
      <c r="DO5" s="1567">
        <v>2022</v>
      </c>
      <c r="DP5" s="1567">
        <v>2023</v>
      </c>
      <c r="DQ5" s="1567" t="s">
        <v>336</v>
      </c>
      <c r="DR5" s="1916"/>
      <c r="DS5" s="1908"/>
      <c r="DT5" s="1908"/>
      <c r="DU5" s="1909" t="s">
        <v>847</v>
      </c>
      <c r="DV5" s="1910"/>
      <c r="DW5" s="1910"/>
      <c r="DX5" s="1910"/>
      <c r="DY5" s="1910"/>
      <c r="DZ5" s="1910"/>
      <c r="EA5" s="1911"/>
      <c r="EB5" s="1916"/>
      <c r="EC5" s="1567" t="s">
        <v>454</v>
      </c>
      <c r="ED5" s="1916"/>
      <c r="EE5" s="1908"/>
      <c r="EF5" s="1908"/>
      <c r="EG5" s="1909" t="s">
        <v>847</v>
      </c>
      <c r="EH5" s="1910"/>
      <c r="EI5" s="1910"/>
      <c r="EJ5" s="1910"/>
      <c r="EK5" s="1910"/>
      <c r="EL5" s="1910"/>
      <c r="EM5" s="1911"/>
    </row>
    <row r="6" spans="1:143" ht="15.75" thickBot="1" x14ac:dyDescent="0.3">
      <c r="A6" s="1754" t="str">
        <f>CONCATENATE('3 pr-2'!B6)</f>
        <v/>
      </c>
      <c r="B6" s="1920"/>
      <c r="C6" s="1921"/>
      <c r="D6" s="1921"/>
      <c r="E6" s="1921"/>
      <c r="F6" s="1921"/>
      <c r="G6" s="1921"/>
      <c r="H6" s="1921"/>
      <c r="I6" s="1921"/>
      <c r="J6" s="1921"/>
      <c r="K6" s="1922"/>
      <c r="L6" s="1764"/>
      <c r="M6" s="1764"/>
      <c r="N6" s="1764"/>
      <c r="O6" s="1764"/>
      <c r="P6" s="1764"/>
      <c r="Q6" s="1764"/>
      <c r="R6" s="1764"/>
      <c r="S6" s="1764"/>
      <c r="T6" s="1764"/>
      <c r="U6" s="1764"/>
      <c r="V6" s="1764"/>
      <c r="W6" s="1764"/>
      <c r="X6" s="1764"/>
      <c r="Y6" s="1764"/>
      <c r="Z6" s="1764"/>
      <c r="AA6" s="1764"/>
      <c r="AB6" s="1764"/>
      <c r="AC6" s="1764"/>
      <c r="AD6" s="1764"/>
      <c r="AE6" s="1764"/>
      <c r="AF6" s="1764"/>
      <c r="AG6" s="1764"/>
      <c r="AH6" s="1764"/>
      <c r="AI6" s="1764"/>
      <c r="AJ6" s="1764"/>
      <c r="AK6" s="1764"/>
      <c r="AL6" s="1764"/>
      <c r="AM6" s="1764"/>
      <c r="AN6" s="1764"/>
      <c r="AO6" s="1764"/>
      <c r="AP6" s="1764"/>
      <c r="AQ6" s="1764"/>
      <c r="AR6" s="1764"/>
      <c r="AS6" s="1764"/>
      <c r="AT6" s="1764"/>
      <c r="AU6" s="1764"/>
      <c r="AV6" s="1764"/>
      <c r="AW6" s="1764"/>
      <c r="AX6" s="1764"/>
      <c r="AY6" s="1764"/>
      <c r="AZ6" s="1764"/>
      <c r="BA6" s="1764"/>
      <c r="BB6" s="1764"/>
      <c r="BC6" s="1764"/>
      <c r="BD6" s="1764"/>
      <c r="BE6" s="1764"/>
      <c r="BF6" s="1764"/>
      <c r="BG6" s="1764"/>
      <c r="BH6" s="1764"/>
      <c r="BI6" s="1764"/>
      <c r="BJ6" s="1764"/>
      <c r="BK6" s="1764"/>
      <c r="BL6" s="1764"/>
      <c r="BM6" s="1764"/>
      <c r="BN6" s="1764"/>
      <c r="BO6" s="1764"/>
      <c r="BP6" s="1764"/>
      <c r="BQ6" s="1764"/>
      <c r="BR6" s="1764"/>
      <c r="BS6" s="1764"/>
      <c r="BT6" s="1764"/>
      <c r="BU6" s="1764"/>
      <c r="BV6" s="1764"/>
      <c r="BW6" s="1764"/>
      <c r="BX6" s="1764"/>
      <c r="BY6" s="1764"/>
      <c r="BZ6" s="1764"/>
      <c r="CA6" s="1764"/>
      <c r="CB6" s="1764"/>
      <c r="CC6" s="1764"/>
      <c r="CD6" s="1764"/>
      <c r="CE6" s="1764"/>
      <c r="CF6" s="1764"/>
      <c r="CG6" s="1764"/>
      <c r="CH6" s="1764"/>
      <c r="CI6" s="1764"/>
      <c r="CJ6" s="1764"/>
      <c r="CK6" s="1764"/>
      <c r="CL6" s="1764"/>
      <c r="CM6" s="1764"/>
      <c r="CN6" s="1764"/>
      <c r="CO6" s="1764"/>
      <c r="CP6" s="1764"/>
      <c r="CQ6" s="1764"/>
      <c r="CR6" s="1764"/>
      <c r="CS6" s="1764"/>
      <c r="CT6" s="1764"/>
      <c r="CU6" s="1764"/>
      <c r="CV6" s="1764"/>
      <c r="CW6" s="1764"/>
      <c r="CX6" s="1764"/>
      <c r="CY6" s="1764"/>
      <c r="CZ6" s="1764"/>
      <c r="DA6" s="310"/>
      <c r="DB6" s="826"/>
      <c r="DC6" s="826"/>
      <c r="DD6" s="826"/>
      <c r="DE6" s="826"/>
      <c r="DF6" s="826"/>
      <c r="DG6" s="826"/>
      <c r="DH6" s="1764"/>
      <c r="DI6" s="1764"/>
      <c r="DR6" s="1764"/>
      <c r="DS6" s="1764"/>
      <c r="DT6" s="1764"/>
      <c r="DU6" s="1764"/>
      <c r="DV6" s="1764"/>
      <c r="DW6" s="1764"/>
      <c r="DX6" s="1764"/>
      <c r="DY6" s="1764"/>
      <c r="DZ6" s="1764"/>
      <c r="EA6" s="1764"/>
      <c r="EB6" s="1764"/>
      <c r="EC6" s="1764"/>
      <c r="ED6" s="1764"/>
      <c r="EE6" s="1764"/>
      <c r="EF6" s="1764"/>
      <c r="EG6" s="310"/>
      <c r="EH6" s="826"/>
      <c r="EI6" s="826"/>
      <c r="EJ6" s="826"/>
      <c r="EK6" s="826"/>
      <c r="EL6" s="826"/>
      <c r="EM6" s="826"/>
    </row>
    <row r="7" spans="1:143" ht="75.75" customHeight="1" thickBot="1" x14ac:dyDescent="0.3">
      <c r="A7" s="995" t="s">
        <v>11</v>
      </c>
      <c r="B7" s="1931" t="str">
        <f>CONCATENATE('3 pr-2'!B7)</f>
        <v>Tikslas: 
DIDINTI ŪKINĖS VEIKLOS ĮVAIROVĘ IR PAGERINTI SĄLYGAS INVESTICIJŲ PRITRAUKIMUI, MAŽINANT GEOGRAFINIŲ SĄLYGŲ IR DEMOGRAFINIŲ PROCESŲ SUKELIAMUS GYVENIMO KOKYBĖS NETOLYGUMUS</v>
      </c>
      <c r="C7" s="1927"/>
      <c r="D7" s="1927"/>
      <c r="E7" s="1927"/>
      <c r="F7" s="1927"/>
      <c r="G7" s="1927"/>
      <c r="H7" s="1927"/>
      <c r="I7" s="1927"/>
      <c r="J7" s="1927"/>
      <c r="K7" s="1928"/>
      <c r="L7" s="336" t="s">
        <v>66</v>
      </c>
      <c r="M7" s="337"/>
      <c r="N7" s="879"/>
      <c r="O7" s="880"/>
      <c r="P7" s="880"/>
      <c r="Q7" s="880"/>
      <c r="R7" s="880"/>
      <c r="S7" s="880"/>
      <c r="T7" s="880"/>
      <c r="U7" s="881"/>
      <c r="V7" s="336" t="s">
        <v>66</v>
      </c>
      <c r="W7" s="1570"/>
      <c r="X7" s="1571"/>
      <c r="Y7" s="1572"/>
      <c r="Z7" s="1573"/>
      <c r="AA7" s="1573"/>
      <c r="AB7" s="1573"/>
      <c r="AC7" s="1573"/>
      <c r="AD7" s="1573"/>
      <c r="AE7" s="1574"/>
      <c r="AF7" s="339"/>
      <c r="AG7" s="337" t="s">
        <v>66</v>
      </c>
      <c r="AH7" s="993"/>
      <c r="AI7" s="880"/>
      <c r="AJ7" s="880"/>
      <c r="AK7" s="880"/>
      <c r="AL7" s="880"/>
      <c r="AM7" s="880"/>
      <c r="AN7" s="880"/>
      <c r="AO7" s="881"/>
      <c r="AP7" s="336"/>
      <c r="AQ7" s="1595"/>
      <c r="AR7" s="1571"/>
      <c r="AS7" s="1573"/>
      <c r="AT7" s="1573"/>
      <c r="AU7" s="1573"/>
      <c r="AV7" s="1573"/>
      <c r="AW7" s="1573"/>
      <c r="AX7" s="1573"/>
      <c r="AY7" s="1596"/>
      <c r="AZ7" s="336" t="s">
        <v>66</v>
      </c>
      <c r="BA7" s="339"/>
      <c r="BB7" s="993"/>
      <c r="BC7" s="880"/>
      <c r="BD7" s="880"/>
      <c r="BE7" s="880"/>
      <c r="BF7" s="880"/>
      <c r="BG7" s="880"/>
      <c r="BH7" s="880"/>
      <c r="BI7" s="881"/>
      <c r="BJ7" s="336" t="s">
        <v>66</v>
      </c>
      <c r="BK7" s="1595"/>
      <c r="BL7" s="1571"/>
      <c r="BM7" s="1595"/>
      <c r="BN7" s="1573"/>
      <c r="BO7" s="1573"/>
      <c r="BP7" s="1573"/>
      <c r="BQ7" s="1573"/>
      <c r="BR7" s="1573"/>
      <c r="BS7" s="1573"/>
      <c r="BT7" s="340"/>
      <c r="BU7" s="539"/>
      <c r="BV7" s="993"/>
      <c r="BW7" s="880"/>
      <c r="BX7" s="880"/>
      <c r="BY7" s="880"/>
      <c r="BZ7" s="880"/>
      <c r="CA7" s="880"/>
      <c r="CB7" s="880"/>
      <c r="CC7" s="881"/>
      <c r="CD7" s="336"/>
      <c r="CE7" s="1595"/>
      <c r="CF7" s="1571"/>
      <c r="CG7" s="1573"/>
      <c r="CH7" s="1573"/>
      <c r="CI7" s="1573"/>
      <c r="CJ7" s="1573"/>
      <c r="CK7" s="1573"/>
      <c r="CL7" s="1573"/>
      <c r="CM7" s="1573"/>
      <c r="CN7" s="340"/>
      <c r="CO7" s="541"/>
      <c r="CP7" s="885"/>
      <c r="CQ7" s="880"/>
      <c r="CR7" s="880"/>
      <c r="CS7" s="880"/>
      <c r="CT7" s="880"/>
      <c r="CU7" s="880"/>
      <c r="CV7" s="880"/>
      <c r="CW7" s="886"/>
      <c r="CX7" s="338"/>
      <c r="CY7" s="1577"/>
      <c r="CZ7" s="1577"/>
      <c r="DA7" s="1577"/>
      <c r="DB7" s="1604"/>
      <c r="DC7" s="1604"/>
      <c r="DD7" s="1604"/>
      <c r="DE7" s="1604"/>
      <c r="DF7" s="1604"/>
      <c r="DG7" s="1604"/>
      <c r="DH7" s="340"/>
      <c r="DI7" s="541"/>
      <c r="DJ7" s="885"/>
      <c r="DK7" s="880"/>
      <c r="DL7" s="880"/>
      <c r="DM7" s="880"/>
      <c r="DN7" s="880"/>
      <c r="DO7" s="880"/>
      <c r="DP7" s="880"/>
      <c r="DQ7" s="886"/>
      <c r="DR7" s="338"/>
      <c r="DS7" s="1577"/>
      <c r="DT7" s="1577"/>
      <c r="DU7" s="1577"/>
      <c r="DV7" s="1604"/>
      <c r="DW7" s="1604"/>
      <c r="DX7" s="1604"/>
      <c r="DY7" s="1604"/>
      <c r="DZ7" s="1604"/>
      <c r="EA7" s="1604"/>
      <c r="EB7" s="340"/>
      <c r="EC7" s="541"/>
      <c r="ED7" s="334"/>
      <c r="EE7" s="1577"/>
      <c r="EF7" s="1577"/>
      <c r="EG7" s="1577"/>
      <c r="EH7" s="1604"/>
      <c r="EI7" s="1604"/>
      <c r="EJ7" s="1604"/>
      <c r="EK7" s="1604"/>
      <c r="EL7" s="1604"/>
      <c r="EM7" s="1604"/>
    </row>
    <row r="8" spans="1:143" ht="54" customHeight="1" thickBot="1" x14ac:dyDescent="0.3">
      <c r="A8" s="822" t="s">
        <v>12</v>
      </c>
      <c r="B8" s="1932" t="str">
        <f>CONCATENATE('3 pr-2'!B8)</f>
        <v>Uždavinys: 
Sudaryti sąlygas darbo vietų kūrimui, kuriant ir atnaujinant viešąją ir ekoinžinerinę  infrastruktūrą,  gamtos, kultūros paveldo objektus ir kultūros įstaigas</v>
      </c>
      <c r="C8" s="1933"/>
      <c r="D8" s="1933"/>
      <c r="E8" s="1933"/>
      <c r="F8" s="1933"/>
      <c r="G8" s="1933"/>
      <c r="H8" s="1933"/>
      <c r="I8" s="1933"/>
      <c r="J8" s="1933"/>
      <c r="K8" s="1934"/>
      <c r="L8" s="336" t="s">
        <v>66</v>
      </c>
      <c r="M8" s="337"/>
      <c r="N8" s="879"/>
      <c r="O8" s="880"/>
      <c r="P8" s="880"/>
      <c r="Q8" s="880"/>
      <c r="R8" s="880"/>
      <c r="S8" s="880"/>
      <c r="T8" s="880"/>
      <c r="U8" s="881"/>
      <c r="V8" s="336" t="s">
        <v>66</v>
      </c>
      <c r="W8" s="1570"/>
      <c r="X8" s="1571"/>
      <c r="Y8" s="1572"/>
      <c r="Z8" s="1573"/>
      <c r="AA8" s="1573"/>
      <c r="AB8" s="1573"/>
      <c r="AC8" s="1573"/>
      <c r="AD8" s="1573"/>
      <c r="AE8" s="1574"/>
      <c r="AF8" s="339"/>
      <c r="AG8" s="337" t="s">
        <v>66</v>
      </c>
      <c r="AH8" s="882"/>
      <c r="AI8" s="883"/>
      <c r="AJ8" s="883"/>
      <c r="AK8" s="883"/>
      <c r="AL8" s="883"/>
      <c r="AM8" s="883"/>
      <c r="AN8" s="883"/>
      <c r="AO8" s="884"/>
      <c r="AP8" s="336"/>
      <c r="AQ8" s="1595"/>
      <c r="AR8" s="1571"/>
      <c r="AS8" s="1573"/>
      <c r="AT8" s="1573"/>
      <c r="AU8" s="1573"/>
      <c r="AV8" s="1573"/>
      <c r="AW8" s="1573"/>
      <c r="AX8" s="1573"/>
      <c r="AY8" s="1596"/>
      <c r="AZ8" s="336" t="s">
        <v>66</v>
      </c>
      <c r="BA8" s="339"/>
      <c r="BB8" s="882"/>
      <c r="BC8" s="883"/>
      <c r="BD8" s="883"/>
      <c r="BE8" s="883"/>
      <c r="BF8" s="883"/>
      <c r="BG8" s="883"/>
      <c r="BH8" s="883"/>
      <c r="BI8" s="884"/>
      <c r="BJ8" s="336" t="s">
        <v>66</v>
      </c>
      <c r="BK8" s="1595"/>
      <c r="BL8" s="1571"/>
      <c r="BM8" s="1595"/>
      <c r="BN8" s="1573"/>
      <c r="BO8" s="1573"/>
      <c r="BP8" s="1573"/>
      <c r="BQ8" s="1573"/>
      <c r="BR8" s="1573"/>
      <c r="BS8" s="1573"/>
      <c r="BT8" s="340"/>
      <c r="BU8" s="539"/>
      <c r="BV8" s="882"/>
      <c r="BW8" s="883"/>
      <c r="BX8" s="883"/>
      <c r="BY8" s="883"/>
      <c r="BZ8" s="883"/>
      <c r="CA8" s="883"/>
      <c r="CB8" s="883"/>
      <c r="CC8" s="884"/>
      <c r="CD8" s="336"/>
      <c r="CE8" s="1595"/>
      <c r="CF8" s="1571"/>
      <c r="CG8" s="1573"/>
      <c r="CH8" s="1573"/>
      <c r="CI8" s="1573"/>
      <c r="CJ8" s="1573"/>
      <c r="CK8" s="1573"/>
      <c r="CL8" s="1573"/>
      <c r="CM8" s="1573"/>
      <c r="CN8" s="340"/>
      <c r="CO8" s="541"/>
      <c r="CP8" s="885"/>
      <c r="CQ8" s="880"/>
      <c r="CR8" s="880"/>
      <c r="CS8" s="880"/>
      <c r="CT8" s="880"/>
      <c r="CU8" s="880"/>
      <c r="CV8" s="880"/>
      <c r="CW8" s="886"/>
      <c r="CX8" s="338"/>
      <c r="CY8" s="1577"/>
      <c r="CZ8" s="1577"/>
      <c r="DA8" s="1577"/>
      <c r="DB8" s="1604"/>
      <c r="DC8" s="1604"/>
      <c r="DD8" s="1604"/>
      <c r="DE8" s="1604"/>
      <c r="DF8" s="1604"/>
      <c r="DG8" s="1604"/>
      <c r="DH8" s="340"/>
      <c r="DI8" s="541"/>
      <c r="DJ8" s="885"/>
      <c r="DK8" s="880"/>
      <c r="DL8" s="880"/>
      <c r="DM8" s="880"/>
      <c r="DN8" s="880"/>
      <c r="DO8" s="880"/>
      <c r="DP8" s="880"/>
      <c r="DQ8" s="886"/>
      <c r="DR8" s="338"/>
      <c r="DS8" s="1577"/>
      <c r="DT8" s="1577"/>
      <c r="DU8" s="1577"/>
      <c r="DV8" s="1604"/>
      <c r="DW8" s="1604"/>
      <c r="DX8" s="1604"/>
      <c r="DY8" s="1604"/>
      <c r="DZ8" s="1604"/>
      <c r="EA8" s="1604"/>
      <c r="EB8" s="340"/>
      <c r="EC8" s="541"/>
      <c r="ED8" s="334"/>
      <c r="EE8" s="1577"/>
      <c r="EF8" s="1577"/>
      <c r="EG8" s="1577"/>
      <c r="EH8" s="1604"/>
      <c r="EI8" s="1604"/>
      <c r="EJ8" s="1604"/>
      <c r="EK8" s="1604"/>
      <c r="EL8" s="1604"/>
      <c r="EM8" s="1604"/>
    </row>
    <row r="9" spans="1:143" ht="37.5" customHeight="1" thickBot="1" x14ac:dyDescent="0.3">
      <c r="A9" s="824" t="s">
        <v>67</v>
      </c>
      <c r="B9" s="1926" t="str">
        <f>CONCATENATE('3 pr-2'!B9)</f>
        <v>Priemonė:
Kaimo gyvenamųjų vietovių (turinčių iki 1 tūkst. gyventojų) atnaujinimas</v>
      </c>
      <c r="C9" s="1927"/>
      <c r="D9" s="1927"/>
      <c r="E9" s="1927"/>
      <c r="F9" s="1927"/>
      <c r="G9" s="1927"/>
      <c r="H9" s="1927"/>
      <c r="I9" s="1927"/>
      <c r="J9" s="1927"/>
      <c r="K9" s="1928"/>
      <c r="L9" s="1312"/>
      <c r="M9" s="540"/>
      <c r="N9" s="334">
        <f>SUM(N10:N32)</f>
        <v>0</v>
      </c>
      <c r="O9" s="334">
        <f t="shared" ref="O9:T9" si="0">SUM(O10:O32)</f>
        <v>0</v>
      </c>
      <c r="P9" s="334">
        <f t="shared" si="0"/>
        <v>0</v>
      </c>
      <c r="Q9" s="334">
        <f t="shared" si="0"/>
        <v>0</v>
      </c>
      <c r="R9" s="334">
        <f t="shared" si="0"/>
        <v>0</v>
      </c>
      <c r="S9" s="334">
        <f t="shared" si="0"/>
        <v>0</v>
      </c>
      <c r="T9" s="334">
        <f t="shared" si="0"/>
        <v>0</v>
      </c>
      <c r="U9" s="887">
        <f>SUM(N9:T9)</f>
        <v>0</v>
      </c>
      <c r="V9" s="864"/>
      <c r="W9" s="1575"/>
      <c r="X9" s="1576"/>
      <c r="Y9" s="1577">
        <f>SUM(Y10:Y32)</f>
        <v>0</v>
      </c>
      <c r="Z9" s="1577">
        <f t="shared" ref="Z9:AE9" si="1">SUM(Z10:Z32)</f>
        <v>31</v>
      </c>
      <c r="AA9" s="1577">
        <f t="shared" si="1"/>
        <v>5</v>
      </c>
      <c r="AB9" s="1577">
        <f t="shared" si="1"/>
        <v>0</v>
      </c>
      <c r="AC9" s="1577">
        <f t="shared" si="1"/>
        <v>0</v>
      </c>
      <c r="AD9" s="1577">
        <f t="shared" si="1"/>
        <v>0</v>
      </c>
      <c r="AE9" s="1577">
        <f t="shared" si="1"/>
        <v>0</v>
      </c>
      <c r="AF9" s="888"/>
      <c r="AG9" s="540"/>
      <c r="AH9" s="334">
        <f>SUM(AH10:AH32)</f>
        <v>0</v>
      </c>
      <c r="AI9" s="334">
        <f t="shared" ref="AI9" si="2">SUM(AI10:AI32)</f>
        <v>0</v>
      </c>
      <c r="AJ9" s="334">
        <f t="shared" ref="AJ9" si="3">SUM(AJ10:AJ32)</f>
        <v>0</v>
      </c>
      <c r="AK9" s="334">
        <f t="shared" ref="AK9" si="4">SUM(AK10:AK32)</f>
        <v>0</v>
      </c>
      <c r="AL9" s="334">
        <f t="shared" ref="AL9" si="5">SUM(AL10:AL32)</f>
        <v>0</v>
      </c>
      <c r="AM9" s="334">
        <f t="shared" ref="AM9" si="6">SUM(AM10:AM32)</f>
        <v>0</v>
      </c>
      <c r="AN9" s="334">
        <f t="shared" ref="AN9" si="7">SUM(AN10:AN32)</f>
        <v>0</v>
      </c>
      <c r="AO9" s="864">
        <f>SUM(AH9:AN9)</f>
        <v>0</v>
      </c>
      <c r="AP9" s="864"/>
      <c r="AQ9" s="1577"/>
      <c r="AR9" s="1577"/>
      <c r="AS9" s="1577">
        <f>SUM(AS10:AS32)</f>
        <v>0</v>
      </c>
      <c r="AT9" s="1577">
        <f t="shared" ref="AT9" si="8">SUM(AT10:AT32)</f>
        <v>6394</v>
      </c>
      <c r="AU9" s="1577">
        <f t="shared" ref="AU9" si="9">SUM(AU10:AU32)</f>
        <v>1163</v>
      </c>
      <c r="AV9" s="1577">
        <f t="shared" ref="AV9" si="10">SUM(AV10:AV32)</f>
        <v>0</v>
      </c>
      <c r="AW9" s="1577">
        <f t="shared" ref="AW9" si="11">SUM(AW10:AW32)</f>
        <v>0</v>
      </c>
      <c r="AX9" s="1577">
        <f t="shared" ref="AX9" si="12">SUM(AX10:AX32)</f>
        <v>0</v>
      </c>
      <c r="AY9" s="1577">
        <f t="shared" ref="AY9" si="13">SUM(AY10:AY32)</f>
        <v>0</v>
      </c>
      <c r="AZ9" s="864"/>
      <c r="BA9" s="889"/>
      <c r="BB9" s="334">
        <f>SUM(BB10:BB32)</f>
        <v>0</v>
      </c>
      <c r="BC9" s="334">
        <f t="shared" ref="BC9:BH9" si="14">SUM(BC10:BC32)</f>
        <v>0</v>
      </c>
      <c r="BD9" s="334">
        <f t="shared" si="14"/>
        <v>0</v>
      </c>
      <c r="BE9" s="334">
        <f t="shared" si="14"/>
        <v>0</v>
      </c>
      <c r="BF9" s="334">
        <f t="shared" si="14"/>
        <v>0</v>
      </c>
      <c r="BG9" s="334">
        <f t="shared" si="14"/>
        <v>0</v>
      </c>
      <c r="BH9" s="334">
        <f t="shared" si="14"/>
        <v>0</v>
      </c>
      <c r="BI9" s="864">
        <f>SUM(BB9:BH9)</f>
        <v>0</v>
      </c>
      <c r="BJ9" s="864"/>
      <c r="BK9" s="1594"/>
      <c r="BL9" s="1594"/>
      <c r="BM9" s="1594">
        <f>SUM(BM10:BM32)</f>
        <v>0</v>
      </c>
      <c r="BN9" s="1594">
        <f t="shared" ref="BN9" si="15">SUM(BN10:BN32)</f>
        <v>18</v>
      </c>
      <c r="BO9" s="1594">
        <f t="shared" ref="BO9" si="16">SUM(BO10:BO32)</f>
        <v>5</v>
      </c>
      <c r="BP9" s="1594">
        <f t="shared" ref="BP9" si="17">SUM(BP10:BP32)</f>
        <v>0</v>
      </c>
      <c r="BQ9" s="1594">
        <f t="shared" ref="BQ9" si="18">SUM(BQ10:BQ32)</f>
        <v>0</v>
      </c>
      <c r="BR9" s="1594">
        <f t="shared" ref="BR9" si="19">SUM(BR10:BR32)</f>
        <v>0</v>
      </c>
      <c r="BS9" s="1594">
        <f t="shared" ref="BS9" si="20">SUM(BS10:BS32)</f>
        <v>0</v>
      </c>
      <c r="BT9" s="890"/>
      <c r="BU9" s="538"/>
      <c r="BV9" s="890">
        <f>SUM(BV10:BV32)</f>
        <v>0</v>
      </c>
      <c r="BW9" s="890">
        <f t="shared" ref="BW9:CB9" si="21">SUM(BW10:BW32)</f>
        <v>0</v>
      </c>
      <c r="BX9" s="890">
        <f t="shared" si="21"/>
        <v>0</v>
      </c>
      <c r="BY9" s="890">
        <f t="shared" si="21"/>
        <v>0</v>
      </c>
      <c r="BZ9" s="890">
        <f t="shared" si="21"/>
        <v>0</v>
      </c>
      <c r="CA9" s="890">
        <f t="shared" si="21"/>
        <v>0</v>
      </c>
      <c r="CB9" s="890">
        <f t="shared" si="21"/>
        <v>0</v>
      </c>
      <c r="CC9" s="867">
        <f>SUM(BV9:CB9)</f>
        <v>0</v>
      </c>
      <c r="CD9" s="890"/>
      <c r="CE9" s="1594"/>
      <c r="CF9" s="1594"/>
      <c r="CG9" s="1594">
        <f>SUM(CG10:CG32)</f>
        <v>0</v>
      </c>
      <c r="CH9" s="1594">
        <f t="shared" ref="CH9:CM9" si="22">SUM(CH10:CH32)</f>
        <v>0</v>
      </c>
      <c r="CI9" s="1594">
        <f t="shared" si="22"/>
        <v>0</v>
      </c>
      <c r="CJ9" s="1594">
        <f t="shared" si="22"/>
        <v>0</v>
      </c>
      <c r="CK9" s="1594">
        <f t="shared" si="22"/>
        <v>0</v>
      </c>
      <c r="CL9" s="1594">
        <f t="shared" si="22"/>
        <v>0</v>
      </c>
      <c r="CM9" s="1594">
        <f t="shared" si="22"/>
        <v>0</v>
      </c>
      <c r="CN9" s="891"/>
      <c r="CO9" s="538"/>
      <c r="CP9" s="892">
        <f>SUM(CP10:CP32)</f>
        <v>0</v>
      </c>
      <c r="CQ9" s="890">
        <f t="shared" ref="CQ9" si="23">SUM(CQ10:CQ32)</f>
        <v>0</v>
      </c>
      <c r="CR9" s="890">
        <f t="shared" ref="CR9" si="24">SUM(CR10:CR32)</f>
        <v>0</v>
      </c>
      <c r="CS9" s="890">
        <f t="shared" ref="CS9" si="25">SUM(CS10:CS32)</f>
        <v>0</v>
      </c>
      <c r="CT9" s="890">
        <f t="shared" ref="CT9" si="26">SUM(CT10:CT32)</f>
        <v>0</v>
      </c>
      <c r="CU9" s="890">
        <f t="shared" ref="CU9" si="27">SUM(CU10:CU32)</f>
        <v>0</v>
      </c>
      <c r="CV9" s="890">
        <f t="shared" ref="CV9" si="28">SUM(CV10:CV32)</f>
        <v>0</v>
      </c>
      <c r="CW9" s="867">
        <f>SUM(CP9:CV9)</f>
        <v>0</v>
      </c>
      <c r="CX9" s="890"/>
      <c r="CY9" s="1594"/>
      <c r="CZ9" s="1594"/>
      <c r="DA9" s="1594">
        <f>SUM(DA10:DA32)</f>
        <v>0</v>
      </c>
      <c r="DB9" s="1594">
        <f t="shared" ref="DB9:DG9" si="29">SUM(DB10:DB32)</f>
        <v>0</v>
      </c>
      <c r="DC9" s="1594">
        <f t="shared" si="29"/>
        <v>0</v>
      </c>
      <c r="DD9" s="1594">
        <f t="shared" si="29"/>
        <v>0</v>
      </c>
      <c r="DE9" s="1594">
        <f t="shared" si="29"/>
        <v>0</v>
      </c>
      <c r="DF9" s="1594">
        <f t="shared" si="29"/>
        <v>0</v>
      </c>
      <c r="DG9" s="1594">
        <f t="shared" si="29"/>
        <v>0</v>
      </c>
      <c r="DH9" s="891"/>
      <c r="DI9" s="538"/>
      <c r="DJ9" s="892">
        <f>SUM(DJ10:DJ32)</f>
        <v>0</v>
      </c>
      <c r="DK9" s="890">
        <f t="shared" ref="DK9:DP9" si="30">SUM(DK10:DK32)</f>
        <v>0</v>
      </c>
      <c r="DL9" s="890">
        <f t="shared" si="30"/>
        <v>0</v>
      </c>
      <c r="DM9" s="890">
        <f t="shared" si="30"/>
        <v>0</v>
      </c>
      <c r="DN9" s="890">
        <f t="shared" si="30"/>
        <v>0</v>
      </c>
      <c r="DO9" s="890">
        <f t="shared" si="30"/>
        <v>0</v>
      </c>
      <c r="DP9" s="890">
        <f t="shared" si="30"/>
        <v>0</v>
      </c>
      <c r="DQ9" s="867">
        <f>SUM(DJ9:DP9)</f>
        <v>0</v>
      </c>
      <c r="DR9" s="890"/>
      <c r="DS9" s="1594"/>
      <c r="DT9" s="1594"/>
      <c r="DU9" s="1594">
        <f>SUM(DU10:DU32)</f>
        <v>0</v>
      </c>
      <c r="DV9" s="1594">
        <f t="shared" ref="DV9:EA9" si="31">SUM(DV10:DV32)</f>
        <v>0</v>
      </c>
      <c r="DW9" s="1594">
        <f t="shared" si="31"/>
        <v>0</v>
      </c>
      <c r="DX9" s="1594">
        <f t="shared" si="31"/>
        <v>0</v>
      </c>
      <c r="DY9" s="1594">
        <f t="shared" si="31"/>
        <v>0</v>
      </c>
      <c r="DZ9" s="1594">
        <f t="shared" si="31"/>
        <v>0</v>
      </c>
      <c r="EA9" s="1594">
        <f t="shared" si="31"/>
        <v>0</v>
      </c>
      <c r="EB9" s="891"/>
      <c r="EC9" s="538"/>
      <c r="ED9" s="890"/>
      <c r="EE9" s="1594"/>
      <c r="EF9" s="1594"/>
      <c r="EG9" s="1594">
        <f>SUM(EG10:EG32)</f>
        <v>0</v>
      </c>
      <c r="EH9" s="1594">
        <f t="shared" ref="EH9:EM9" si="32">SUM(EH10:EH32)</f>
        <v>0</v>
      </c>
      <c r="EI9" s="1594">
        <f t="shared" si="32"/>
        <v>0</v>
      </c>
      <c r="EJ9" s="1594">
        <f t="shared" si="32"/>
        <v>0</v>
      </c>
      <c r="EK9" s="1594">
        <f t="shared" si="32"/>
        <v>0</v>
      </c>
      <c r="EL9" s="1594">
        <f t="shared" si="32"/>
        <v>0</v>
      </c>
      <c r="EM9" s="1594">
        <f t="shared" si="32"/>
        <v>0</v>
      </c>
    </row>
    <row r="10" spans="1:143" ht="75" thickTop="1" thickBot="1" x14ac:dyDescent="0.3">
      <c r="A10" s="345" t="str">
        <f>CONCATENATE('3 pr-2'!A10)</f>
        <v>1.1.1.1.1</v>
      </c>
      <c r="B10" s="345" t="str">
        <f>CONCATENATE('3 pr-2'!B10)</f>
        <v>R01-ZM72-120000-1101</v>
      </c>
      <c r="C10" s="970" t="str">
        <f>CONCATENATE('ketv. 2'!B9)</f>
        <v>20KI-KA-17-1-02616-PR001</v>
      </c>
      <c r="D10" s="125" t="str">
        <f>CONCATENATE('3 pr-2'!D10)</f>
        <v xml:space="preserve">Druskininkų savivaldybės Viečiūnų seniūnijos Ilgio ir Raigardo seniūnaitijų kelių būklės gerinimas  </v>
      </c>
      <c r="E10" s="345" t="str">
        <f>CONCATENATE('3 pr-2'!E10)</f>
        <v xml:space="preserve">Druskininkų savivaldybės administracija  </v>
      </c>
      <c r="F10" s="345" t="str">
        <f>CONCATENATE('3 pr-2'!F10)</f>
        <v>Lietuvos Respublikos žemės ūkio ministerija</v>
      </c>
      <c r="G10" s="345" t="str">
        <f>CONCATENATE('3 pr-2'!G10)</f>
        <v>Druskininkų sav.</v>
      </c>
      <c r="H10" s="345" t="str">
        <f>CONCATENATE('3 pr-2'!H10)</f>
        <v xml:space="preserve">Pagrindinės paslaugos ir kaimų atnaujinimas kaimo vietovėse </v>
      </c>
      <c r="I10" s="345" t="str">
        <f>CONCATENATE('3 pr-2'!I10)</f>
        <v>R</v>
      </c>
      <c r="J10" s="345" t="str">
        <f>CONCATENATE('3 pr-2'!J10)</f>
        <v>-</v>
      </c>
      <c r="K10" s="345" t="str">
        <f>CONCATENATE('3 pr-2'!K10)</f>
        <v>-</v>
      </c>
      <c r="L10" s="345" t="s">
        <v>455</v>
      </c>
      <c r="M10" s="537" t="s">
        <v>456</v>
      </c>
      <c r="N10" s="345"/>
      <c r="O10" s="345"/>
      <c r="P10" s="345"/>
      <c r="Q10" s="345"/>
      <c r="R10" s="345"/>
      <c r="S10" s="345"/>
      <c r="T10" s="345"/>
      <c r="U10" s="893">
        <f>SUM(N10:T10)</f>
        <v>0</v>
      </c>
      <c r="V10" s="345">
        <v>2</v>
      </c>
      <c r="W10" s="1578" t="str">
        <f>IF('ketv. 6 '!L9&gt;0,"taip",0)</f>
        <v>taip</v>
      </c>
      <c r="X10" s="1579"/>
      <c r="Y10" s="1579">
        <f>IF(YEAR('3 pr-2'!$AK10)=2017,$V10,0)</f>
        <v>0</v>
      </c>
      <c r="Z10" s="1579">
        <f>IF(YEAR('3 pr-2'!$AK10)=2018,$V10,0)</f>
        <v>2</v>
      </c>
      <c r="AA10" s="1579">
        <f>IF(YEAR('3 pr-2'!$AK10)=2019,$V10,0)</f>
        <v>0</v>
      </c>
      <c r="AB10" s="1579">
        <f>IF(YEAR('3 pr-2'!$AK10)=2020,$V10,0)</f>
        <v>0</v>
      </c>
      <c r="AC10" s="1579">
        <f>IF(YEAR('3 pr-2'!$AK10)=2021,$V10,0)</f>
        <v>0</v>
      </c>
      <c r="AD10" s="1579">
        <f>IF(YEAR('3 pr-2'!$AK10)=2022,$V10,0)</f>
        <v>0</v>
      </c>
      <c r="AE10" s="1579">
        <f>IF(YEAR('3 pr-2'!$AK10)=2023,$V10,0)</f>
        <v>0</v>
      </c>
      <c r="AF10" s="350" t="s">
        <v>457</v>
      </c>
      <c r="AG10" s="537" t="s">
        <v>458</v>
      </c>
      <c r="AH10" s="345"/>
      <c r="AI10" s="345"/>
      <c r="AJ10" s="345"/>
      <c r="AK10" s="345"/>
      <c r="AL10" s="345"/>
      <c r="AM10" s="345"/>
      <c r="AN10" s="345"/>
      <c r="AO10" s="895">
        <f>SUM(AH10:AN10)</f>
        <v>0</v>
      </c>
      <c r="AP10" s="345">
        <v>411</v>
      </c>
      <c r="AQ10" s="1597"/>
      <c r="AR10" s="1579"/>
      <c r="AS10" s="1579">
        <f>IF(YEAR('3 pr-2'!$AK10)=2017,$AP10,0)</f>
        <v>0</v>
      </c>
      <c r="AT10" s="1579">
        <f>IF(YEAR('3 pr-2'!$AK10)=2018,$AP10,0)</f>
        <v>411</v>
      </c>
      <c r="AU10" s="1579">
        <f>IF(YEAR('3 pr-2'!$AK10)=2019,$AP10,0)</f>
        <v>0</v>
      </c>
      <c r="AV10" s="1579">
        <f>IF(YEAR('3 pr-2'!$AK10)=2020,$AP10,0)</f>
        <v>0</v>
      </c>
      <c r="AW10" s="1579">
        <f>IF(YEAR('3 pr-2'!$AK10)=2021,$AP10,0)</f>
        <v>0</v>
      </c>
      <c r="AX10" s="1579">
        <f>IF(YEAR('3 pr-2'!$AK10)=2022,$AP10,0)</f>
        <v>0</v>
      </c>
      <c r="AY10" s="1579">
        <f>IF(YEAR('3 pr-2'!$AK10)=2023,$AP10,0)</f>
        <v>0</v>
      </c>
      <c r="AZ10" s="345" t="s">
        <v>459</v>
      </c>
      <c r="BA10" s="536" t="s">
        <v>460</v>
      </c>
      <c r="BB10" s="345"/>
      <c r="BC10" s="345"/>
      <c r="BD10" s="345"/>
      <c r="BE10" s="345"/>
      <c r="BF10" s="345"/>
      <c r="BG10" s="345"/>
      <c r="BH10" s="345"/>
      <c r="BI10" s="895">
        <f>SUM(BB10:BH10)</f>
        <v>0</v>
      </c>
      <c r="BJ10" s="345">
        <v>1</v>
      </c>
      <c r="BK10" s="1597"/>
      <c r="BL10" s="1579"/>
      <c r="BM10" s="1579">
        <f>IF(YEAR('3 pr-2'!AK10)=2017,BJ10,0)</f>
        <v>0</v>
      </c>
      <c r="BN10" s="1579">
        <f>IF(YEAR('3 pr-2'!AK10)=2018,BJ10,0)</f>
        <v>1</v>
      </c>
      <c r="BO10" s="1579">
        <f>IF(YEAR('3 pr-2'!AK10)=2019,BJ10,0)</f>
        <v>0</v>
      </c>
      <c r="BP10" s="1579">
        <f>IF(YEAR('3 pr-2'!AK10)=2020,BJ10,0)</f>
        <v>0</v>
      </c>
      <c r="BQ10" s="1579">
        <f>IF(YEAR('3 pr-2'!AK10)=2021,BJ10,0)</f>
        <v>0</v>
      </c>
      <c r="BR10" s="1579">
        <f>IF(YEAR('3 pr-2'!AK10)=2022,BJ10,0)</f>
        <v>0</v>
      </c>
      <c r="BS10" s="1579">
        <f>IF(YEAR('3 pr-2'!AK10)=2023,BJ10,0)</f>
        <v>0</v>
      </c>
      <c r="BT10" s="350"/>
      <c r="BU10" s="537"/>
      <c r="BV10" s="345"/>
      <c r="BW10" s="345"/>
      <c r="BX10" s="345"/>
      <c r="BY10" s="345"/>
      <c r="BZ10" s="345"/>
      <c r="CA10" s="345"/>
      <c r="CB10" s="345"/>
      <c r="CC10" s="895">
        <f>SUM(BV10:CB10)</f>
        <v>0</v>
      </c>
      <c r="CD10" s="345"/>
      <c r="CE10" s="1579"/>
      <c r="CF10" s="1579"/>
      <c r="CG10" s="1579">
        <f>IF(YEAR('3 pr-2'!$AK10)=2017,$CD10,0)</f>
        <v>0</v>
      </c>
      <c r="CH10" s="1579">
        <f>IF(YEAR('3 pr-2'!$AK10)=2018,$CD10,0)</f>
        <v>0</v>
      </c>
      <c r="CI10" s="1579">
        <f>IF(YEAR('3 pr-2'!$AK10)=2019,$CD10,0)</f>
        <v>0</v>
      </c>
      <c r="CJ10" s="1579">
        <f>IF(YEAR('3 pr-2'!$AK10)=2020,$CD10,0)</f>
        <v>0</v>
      </c>
      <c r="CK10" s="1579">
        <f>IF(YEAR('3 pr-2'!$AK10)=2021,$CD10,0)</f>
        <v>0</v>
      </c>
      <c r="CL10" s="1579">
        <f>IF(YEAR('3 pr-2'!$AK10)=2022,$CD10,0)</f>
        <v>0</v>
      </c>
      <c r="CM10" s="1579">
        <f>IF(YEAR('3 pr-2'!$AK10)=2023,$CD10,0)</f>
        <v>0</v>
      </c>
      <c r="CN10" s="350"/>
      <c r="CO10" s="538"/>
      <c r="CP10" s="351"/>
      <c r="CQ10" s="345"/>
      <c r="CR10" s="345"/>
      <c r="CS10" s="345"/>
      <c r="CT10" s="345"/>
      <c r="CU10" s="345"/>
      <c r="CV10" s="345"/>
      <c r="CW10" s="895">
        <f>SUM(CP10:CV10)</f>
        <v>0</v>
      </c>
      <c r="CX10" s="351"/>
      <c r="CY10" s="1605"/>
      <c r="CZ10" s="1605"/>
      <c r="DA10" s="1594">
        <f>IF(YEAR('3 pr-2'!AK10)=2017,CX10,0)</f>
        <v>0</v>
      </c>
      <c r="DB10" s="1594">
        <f>IF(YEAR('3 pr-2'!AK10)=2018,CX10,0)</f>
        <v>0</v>
      </c>
      <c r="DC10" s="1594">
        <f>IF(YEAR('3 pr-2'!AK10)=2019,CX10,0)</f>
        <v>0</v>
      </c>
      <c r="DD10" s="1594">
        <f>IF(YEAR('3 pr-2'!AK10)=2020,CX10,0)</f>
        <v>0</v>
      </c>
      <c r="DE10" s="1594">
        <f>IF(YEAR('3 pr-2'!AK10)=2021,CX10,0)</f>
        <v>0</v>
      </c>
      <c r="DF10" s="1594">
        <f>IF(YEAR('3 pr-2'!AK10)=2022,CX10,0)</f>
        <v>0</v>
      </c>
      <c r="DG10" s="1594">
        <f>IF(YEAR('3 pr-2'!AK10)=2023,CX10,0)</f>
        <v>0</v>
      </c>
      <c r="DH10" s="350"/>
      <c r="DI10" s="538"/>
      <c r="DJ10" s="351"/>
      <c r="DK10" s="345"/>
      <c r="DL10" s="345"/>
      <c r="DM10" s="345"/>
      <c r="DN10" s="345"/>
      <c r="DO10" s="345"/>
      <c r="DP10" s="345"/>
      <c r="DQ10" s="895">
        <f>SUM(DJ10:DP10)</f>
        <v>0</v>
      </c>
      <c r="DR10" s="351"/>
      <c r="DS10" s="1605"/>
      <c r="DT10" s="1605"/>
      <c r="DU10" s="1594">
        <f>IF(YEAR('3 pr-2'!BF10)=2017,DS10,0)</f>
        <v>0</v>
      </c>
      <c r="DV10" s="1594">
        <f>IF(YEAR('3 pr-2'!BF10)=2018,DS10,0)</f>
        <v>0</v>
      </c>
      <c r="DW10" s="1594">
        <f>IF(YEAR('3 pr-2'!BF10)=2019,DS10,0)</f>
        <v>0</v>
      </c>
      <c r="DX10" s="1594">
        <f>IF(YEAR('3 pr-2'!BF10)=2020,DS10,0)</f>
        <v>0</v>
      </c>
      <c r="DY10" s="1594">
        <f>IF(YEAR('3 pr-2'!BF10)=2021,DS10,0)</f>
        <v>0</v>
      </c>
      <c r="DZ10" s="1594">
        <f>IF(YEAR('3 pr-2'!BF10)=2022,DS10,0)</f>
        <v>0</v>
      </c>
      <c r="EA10" s="1594">
        <f>IF(YEAR('3 pr-2'!BF10)=2023,DS10,0)</f>
        <v>0</v>
      </c>
      <c r="EB10" s="350"/>
      <c r="EC10" s="538"/>
      <c r="ED10" s="333"/>
      <c r="EE10" s="1605"/>
      <c r="EF10" s="1605"/>
      <c r="EG10" s="1594">
        <f>IF(YEAR('3 pr-2'!BP10)=2017,ED10,0)</f>
        <v>0</v>
      </c>
      <c r="EH10" s="1594">
        <f>IF(YEAR('3 pr-2'!BP10)=2018,ED10,0)</f>
        <v>0</v>
      </c>
      <c r="EI10" s="1594">
        <f>IF(YEAR('3 pr-2'!BP10)=2019,ED10,0)</f>
        <v>0</v>
      </c>
      <c r="EJ10" s="1594">
        <f>IF(YEAR('3 pr-2'!BP10)=2020,ED10,0)</f>
        <v>0</v>
      </c>
      <c r="EK10" s="1594">
        <f>IF(YEAR('3 pr-2'!BP10)=2021,ED10,0)</f>
        <v>0</v>
      </c>
      <c r="EL10" s="1594">
        <f>IF(YEAR('3 pr-2'!BP10)=2022,ED10,0)</f>
        <v>0</v>
      </c>
      <c r="EM10" s="1594">
        <f>IF(YEAR('3 pr-2'!BP10)=2023,ED10,0)</f>
        <v>0</v>
      </c>
    </row>
    <row r="11" spans="1:143" ht="75" thickTop="1" thickBot="1" x14ac:dyDescent="0.3">
      <c r="A11" s="345" t="str">
        <f>CONCATENATE('3 pr-2'!A11)</f>
        <v>1.1.1.1.2</v>
      </c>
      <c r="B11" s="345" t="str">
        <f>CONCATENATE('3 pr-2'!B11)</f>
        <v>R01-ZM72-120000-1102</v>
      </c>
      <c r="C11" s="970" t="str">
        <f>CONCATENATE('ketv. 2'!B10)</f>
        <v>20KI-KA-17-1-02617-PR001</v>
      </c>
      <c r="D11" s="125" t="str">
        <f>CONCATENATE('3 pr-2'!D11)</f>
        <v>Druskininkų savivaldybės Viečiūnų seniūnijos Ratnyčėlės seniūnaitijos kelių būklės gerinimas</v>
      </c>
      <c r="E11" s="312" t="str">
        <f>CONCATENATE('3 pr-2'!E11)</f>
        <v xml:space="preserve">Druskininkų savivaldybės administracija  </v>
      </c>
      <c r="F11" s="312" t="str">
        <f>CONCATENATE('3 pr-2'!F11)</f>
        <v>Lietuvos Respublikos žemės ūkio ministerija</v>
      </c>
      <c r="G11" s="312" t="str">
        <f>CONCATENATE('3 pr-2'!G11)</f>
        <v>Druskininkų sav.</v>
      </c>
      <c r="H11" s="312" t="str">
        <f>CONCATENATE('3 pr-2'!H11)</f>
        <v xml:space="preserve">Pagrindinės paslaugos ir kaimų atnaujinimas kaimo vietovėse </v>
      </c>
      <c r="I11" s="345" t="str">
        <f>CONCATENATE('3 pr-2'!I11)</f>
        <v>R</v>
      </c>
      <c r="J11" s="345" t="str">
        <f>CONCATENATE('3 pr-2'!J11)</f>
        <v>-</v>
      </c>
      <c r="K11" s="345" t="str">
        <f>CONCATENATE('3 pr-2'!K11)</f>
        <v>-</v>
      </c>
      <c r="L11" s="345" t="s">
        <v>455</v>
      </c>
      <c r="M11" s="537" t="s">
        <v>456</v>
      </c>
      <c r="N11" s="345"/>
      <c r="O11" s="345"/>
      <c r="P11" s="345"/>
      <c r="Q11" s="345"/>
      <c r="R11" s="345"/>
      <c r="S11" s="345"/>
      <c r="T11" s="345"/>
      <c r="U11" s="893"/>
      <c r="V11" s="345">
        <v>2</v>
      </c>
      <c r="W11" s="1578" t="str">
        <f>IF('ketv. 6 '!L10&gt;0,"taip",0)</f>
        <v>taip</v>
      </c>
      <c r="X11" s="1579"/>
      <c r="Y11" s="1579">
        <f>IF(YEAR('3 pr-2'!$AK11)=2017,$V11,0)</f>
        <v>0</v>
      </c>
      <c r="Z11" s="1579">
        <f>IF(YEAR('3 pr-2'!$AK11)=2018,$V11,0)</f>
        <v>2</v>
      </c>
      <c r="AA11" s="1579">
        <f>IF(YEAR('3 pr-2'!$AK11)=2019,$V11,0)</f>
        <v>0</v>
      </c>
      <c r="AB11" s="1579">
        <f>IF(YEAR('3 pr-2'!$AK11)=2020,$V11,0)</f>
        <v>0</v>
      </c>
      <c r="AC11" s="1579">
        <f>IF(YEAR('3 pr-2'!$AK11)=2021,$V11,0)</f>
        <v>0</v>
      </c>
      <c r="AD11" s="1579">
        <f>IF(YEAR('3 pr-2'!$AK11)=2022,$V11,0)</f>
        <v>0</v>
      </c>
      <c r="AE11" s="1579">
        <f>IF(YEAR('3 pr-2'!$AK11)=2023,$V11,0)</f>
        <v>0</v>
      </c>
      <c r="AF11" s="350" t="s">
        <v>457</v>
      </c>
      <c r="AG11" s="537" t="s">
        <v>458</v>
      </c>
      <c r="AH11" s="345"/>
      <c r="AI11" s="345"/>
      <c r="AJ11" s="345"/>
      <c r="AK11" s="345"/>
      <c r="AL11" s="345"/>
      <c r="AM11" s="345"/>
      <c r="AN11" s="345"/>
      <c r="AO11" s="895">
        <f t="shared" ref="AO11:AO32" si="33">SUM(AH11:AN11)</f>
        <v>0</v>
      </c>
      <c r="AP11" s="345">
        <v>123</v>
      </c>
      <c r="AQ11" s="1597"/>
      <c r="AR11" s="1579"/>
      <c r="AS11" s="1579">
        <f>IF(YEAR('3 pr-2'!$AK11)=2017,$AP11,0)</f>
        <v>0</v>
      </c>
      <c r="AT11" s="1579">
        <f>IF(YEAR('3 pr-2'!$AK11)=2018,$AP11,0)</f>
        <v>123</v>
      </c>
      <c r="AU11" s="1579">
        <f>IF(YEAR('3 pr-2'!$AK11)=2019,$AP11,0)</f>
        <v>0</v>
      </c>
      <c r="AV11" s="1579">
        <f>IF(YEAR('3 pr-2'!$AK11)=2020,$AP11,0)</f>
        <v>0</v>
      </c>
      <c r="AW11" s="1579">
        <f>IF(YEAR('3 pr-2'!$AK11)=2021,$AP11,0)</f>
        <v>0</v>
      </c>
      <c r="AX11" s="1579">
        <f>IF(YEAR('3 pr-2'!$AK11)=2022,$AP11,0)</f>
        <v>0</v>
      </c>
      <c r="AY11" s="1579">
        <f>IF(YEAR('3 pr-2'!$AK11)=2023,$AP11,0)</f>
        <v>0</v>
      </c>
      <c r="AZ11" s="345" t="s">
        <v>459</v>
      </c>
      <c r="BA11" s="536" t="s">
        <v>460</v>
      </c>
      <c r="BB11" s="345"/>
      <c r="BC11" s="345"/>
      <c r="BD11" s="345"/>
      <c r="BE11" s="345"/>
      <c r="BF11" s="345"/>
      <c r="BG11" s="345"/>
      <c r="BH11" s="345"/>
      <c r="BI11" s="895">
        <f t="shared" ref="BI11:BI32" si="34">SUM(BB11:BH11)</f>
        <v>0</v>
      </c>
      <c r="BJ11" s="345">
        <v>1</v>
      </c>
      <c r="BK11" s="1597"/>
      <c r="BL11" s="1579"/>
      <c r="BM11" s="1579">
        <f>IF(YEAR('3 pr-2'!AK11)=2017,BJ11,0)</f>
        <v>0</v>
      </c>
      <c r="BN11" s="1579">
        <f>IF(YEAR('3 pr-2'!AK11)=2018,BJ11,0)</f>
        <v>1</v>
      </c>
      <c r="BO11" s="1579">
        <f>IF(YEAR('3 pr-2'!AK11)=2019,BJ11,0)</f>
        <v>0</v>
      </c>
      <c r="BP11" s="1579">
        <f>IF(YEAR('3 pr-2'!AK11)=2020,BJ11,0)</f>
        <v>0</v>
      </c>
      <c r="BQ11" s="1579">
        <f>IF(YEAR('3 pr-2'!AK11)=2021,BJ11,0)</f>
        <v>0</v>
      </c>
      <c r="BR11" s="1579">
        <f>IF(YEAR('3 pr-2'!AK11)=2022,BJ11,0)</f>
        <v>0</v>
      </c>
      <c r="BS11" s="1579">
        <f>IF(YEAR('3 pr-2'!AK11)=2023,BJ11,0)</f>
        <v>0</v>
      </c>
      <c r="BT11" s="350"/>
      <c r="BU11" s="537"/>
      <c r="BV11" s="345"/>
      <c r="BW11" s="345"/>
      <c r="BX11" s="345"/>
      <c r="BY11" s="345"/>
      <c r="BZ11" s="345"/>
      <c r="CA11" s="345"/>
      <c r="CB11" s="345"/>
      <c r="CC11" s="895">
        <f t="shared" ref="CC11:CC45" si="35">SUM(BV11:CB11)</f>
        <v>0</v>
      </c>
      <c r="CD11" s="345"/>
      <c r="CE11" s="1579"/>
      <c r="CF11" s="1579"/>
      <c r="CG11" s="1579">
        <f>IF(YEAR('3 pr-2'!$AK11)=2017,$CD11,0)</f>
        <v>0</v>
      </c>
      <c r="CH11" s="1579">
        <f>IF(YEAR('3 pr-2'!$AK11)=2018,$CD11,0)</f>
        <v>0</v>
      </c>
      <c r="CI11" s="1579">
        <f>IF(YEAR('3 pr-2'!$AK11)=2019,$CD11,0)</f>
        <v>0</v>
      </c>
      <c r="CJ11" s="1579">
        <f>IF(YEAR('3 pr-2'!$AK11)=2020,$CD11,0)</f>
        <v>0</v>
      </c>
      <c r="CK11" s="1579">
        <f>IF(YEAR('3 pr-2'!$AK11)=2021,$CD11,0)</f>
        <v>0</v>
      </c>
      <c r="CL11" s="1579">
        <f>IF(YEAR('3 pr-2'!$AK11)=2022,$CD11,0)</f>
        <v>0</v>
      </c>
      <c r="CM11" s="1579">
        <f>IF(YEAR('3 pr-2'!$AK11)=2023,$CD11,0)</f>
        <v>0</v>
      </c>
      <c r="CN11" s="350"/>
      <c r="CO11" s="538"/>
      <c r="CP11" s="351"/>
      <c r="CQ11" s="345"/>
      <c r="CR11" s="345"/>
      <c r="CS11" s="345"/>
      <c r="CT11" s="345"/>
      <c r="CU11" s="345"/>
      <c r="CV11" s="345"/>
      <c r="CW11" s="895">
        <f t="shared" ref="CW11:CW45" si="36">SUM(CP11:CV11)</f>
        <v>0</v>
      </c>
      <c r="CX11" s="351"/>
      <c r="CY11" s="1605"/>
      <c r="CZ11" s="1605"/>
      <c r="DA11" s="1594">
        <f>IF(YEAR('3 pr-2'!AK11)=2017,CX11,0)</f>
        <v>0</v>
      </c>
      <c r="DB11" s="1594">
        <f>IF(YEAR('3 pr-2'!AK11)=2018,CX11,0)</f>
        <v>0</v>
      </c>
      <c r="DC11" s="1594">
        <f>IF(YEAR('3 pr-2'!AK11)=2019,CX11,0)</f>
        <v>0</v>
      </c>
      <c r="DD11" s="1594">
        <f>IF(YEAR('3 pr-2'!AK11)=2020,CX11,0)</f>
        <v>0</v>
      </c>
      <c r="DE11" s="1594">
        <f>IF(YEAR('3 pr-2'!AK11)=2021,CX11,0)</f>
        <v>0</v>
      </c>
      <c r="DF11" s="1594">
        <f>IF(YEAR('3 pr-2'!AK11)=2022,CX11,0)</f>
        <v>0</v>
      </c>
      <c r="DG11" s="1594">
        <f>IF(YEAR('3 pr-2'!AK11)=2023,CX11,0)</f>
        <v>0</v>
      </c>
      <c r="DH11" s="350"/>
      <c r="DI11" s="538"/>
      <c r="DJ11" s="351"/>
      <c r="DK11" s="345"/>
      <c r="DL11" s="345"/>
      <c r="DM11" s="345"/>
      <c r="DN11" s="345"/>
      <c r="DO11" s="345"/>
      <c r="DP11" s="345"/>
      <c r="DQ11" s="895">
        <f t="shared" ref="DQ11:DQ45" si="37">SUM(DJ11:DP11)</f>
        <v>0</v>
      </c>
      <c r="DR11" s="351"/>
      <c r="DS11" s="1605"/>
      <c r="DT11" s="1605"/>
      <c r="DU11" s="1594">
        <f>IF(YEAR('3 pr-2'!BF11)=2017,DS11,0)</f>
        <v>0</v>
      </c>
      <c r="DV11" s="1594">
        <f>IF(YEAR('3 pr-2'!BF11)=2018,DS11,0)</f>
        <v>0</v>
      </c>
      <c r="DW11" s="1594">
        <f>IF(YEAR('3 pr-2'!BF11)=2019,DS11,0)</f>
        <v>0</v>
      </c>
      <c r="DX11" s="1594">
        <f>IF(YEAR('3 pr-2'!BF11)=2020,DS11,0)</f>
        <v>0</v>
      </c>
      <c r="DY11" s="1594">
        <f>IF(YEAR('3 pr-2'!BF11)=2021,DS11,0)</f>
        <v>0</v>
      </c>
      <c r="DZ11" s="1594">
        <f>IF(YEAR('3 pr-2'!BF11)=2022,DS11,0)</f>
        <v>0</v>
      </c>
      <c r="EA11" s="1594">
        <f>IF(YEAR('3 pr-2'!BF11)=2023,DS11,0)</f>
        <v>0</v>
      </c>
      <c r="EB11" s="350"/>
      <c r="EC11" s="538"/>
      <c r="ED11" s="333"/>
      <c r="EE11" s="1605"/>
      <c r="EF11" s="1605"/>
      <c r="EG11" s="1594">
        <f>IF(YEAR('3 pr-2'!BP11)=2017,ED11,0)</f>
        <v>0</v>
      </c>
      <c r="EH11" s="1594">
        <f>IF(YEAR('3 pr-2'!BP11)=2018,ED11,0)</f>
        <v>0</v>
      </c>
      <c r="EI11" s="1594">
        <f>IF(YEAR('3 pr-2'!BP11)=2019,ED11,0)</f>
        <v>0</v>
      </c>
      <c r="EJ11" s="1594">
        <f>IF(YEAR('3 pr-2'!BP11)=2020,ED11,0)</f>
        <v>0</v>
      </c>
      <c r="EK11" s="1594">
        <f>IF(YEAR('3 pr-2'!BP11)=2021,ED11,0)</f>
        <v>0</v>
      </c>
      <c r="EL11" s="1594">
        <f>IF(YEAR('3 pr-2'!BP11)=2022,ED11,0)</f>
        <v>0</v>
      </c>
      <c r="EM11" s="1594">
        <f>IF(YEAR('3 pr-2'!BP11)=2023,ED11,0)</f>
        <v>0</v>
      </c>
    </row>
    <row r="12" spans="1:143" ht="75" thickTop="1" thickBot="1" x14ac:dyDescent="0.3">
      <c r="A12" s="345" t="str">
        <f>CONCATENATE('3 pr-2'!A12)</f>
        <v>1.1.1.1.3</v>
      </c>
      <c r="B12" s="345" t="str">
        <f>CONCATENATE('3 pr-2'!B12)</f>
        <v>R01-ZM72-120000-1103</v>
      </c>
      <c r="C12" s="970" t="str">
        <f>CONCATENATE('ketv. 2'!B11)</f>
        <v>20KI-KA-17-1-02622-PR001</v>
      </c>
      <c r="D12" s="125" t="str">
        <f>CONCATENATE('3 pr-2'!D12)</f>
        <v>Druskininkų savivaldybės Leipalingio seniūnijos Klonio seniūnaitijos kelių būklės gerinimas</v>
      </c>
      <c r="E12" s="312" t="str">
        <f>CONCATENATE('3 pr-2'!E12)</f>
        <v xml:space="preserve">Druskininkų savivaldybės administracija  </v>
      </c>
      <c r="F12" s="312" t="str">
        <f>CONCATENATE('3 pr-2'!F12)</f>
        <v>Lietuvos Respublikos žemės ūkio ministerija</v>
      </c>
      <c r="G12" s="312" t="str">
        <f>CONCATENATE('3 pr-2'!G12)</f>
        <v>Druskininkų sav.</v>
      </c>
      <c r="H12" s="312" t="str">
        <f>CONCATENATE('3 pr-2'!H12)</f>
        <v xml:space="preserve">Pagrindinės paslaugos ir kaimų atnaujinimas kaimo vietovėse </v>
      </c>
      <c r="I12" s="345" t="str">
        <f>CONCATENATE('3 pr-2'!I12)</f>
        <v>R</v>
      </c>
      <c r="J12" s="345" t="str">
        <f>CONCATENATE('3 pr-2'!J12)</f>
        <v>-</v>
      </c>
      <c r="K12" s="345" t="str">
        <f>CONCATENATE('3 pr-2'!K12)</f>
        <v>-</v>
      </c>
      <c r="L12" s="345" t="s">
        <v>455</v>
      </c>
      <c r="M12" s="537" t="s">
        <v>456</v>
      </c>
      <c r="N12" s="345"/>
      <c r="O12" s="345"/>
      <c r="P12" s="345"/>
      <c r="Q12" s="345"/>
      <c r="R12" s="345"/>
      <c r="S12" s="345"/>
      <c r="T12" s="345"/>
      <c r="U12" s="893"/>
      <c r="V12" s="345">
        <v>2</v>
      </c>
      <c r="W12" s="1578" t="str">
        <f>IF('ketv. 6 '!L11&gt;0,"taip",0)</f>
        <v>taip</v>
      </c>
      <c r="X12" s="1579"/>
      <c r="Y12" s="1579">
        <f>IF(YEAR('3 pr-2'!$AK12)=2017,$V12,0)</f>
        <v>0</v>
      </c>
      <c r="Z12" s="1579">
        <f>IF(YEAR('3 pr-2'!$AK12)=2018,$V12,0)</f>
        <v>2</v>
      </c>
      <c r="AA12" s="1579">
        <f>IF(YEAR('3 pr-2'!$AK12)=2019,$V12,0)</f>
        <v>0</v>
      </c>
      <c r="AB12" s="1579">
        <f>IF(YEAR('3 pr-2'!$AK12)=2020,$V12,0)</f>
        <v>0</v>
      </c>
      <c r="AC12" s="1579">
        <f>IF(YEAR('3 pr-2'!$AK12)=2021,$V12,0)</f>
        <v>0</v>
      </c>
      <c r="AD12" s="1579">
        <f>IF(YEAR('3 pr-2'!$AK12)=2022,$V12,0)</f>
        <v>0</v>
      </c>
      <c r="AE12" s="1579">
        <f>IF(YEAR('3 pr-2'!$AK12)=2023,$V12,0)</f>
        <v>0</v>
      </c>
      <c r="AF12" s="350" t="s">
        <v>457</v>
      </c>
      <c r="AG12" s="537" t="s">
        <v>458</v>
      </c>
      <c r="AH12" s="345"/>
      <c r="AI12" s="345"/>
      <c r="AJ12" s="345"/>
      <c r="AK12" s="345"/>
      <c r="AL12" s="345"/>
      <c r="AM12" s="345"/>
      <c r="AN12" s="345"/>
      <c r="AO12" s="895">
        <f t="shared" si="33"/>
        <v>0</v>
      </c>
      <c r="AP12" s="345">
        <v>77</v>
      </c>
      <c r="AQ12" s="1597"/>
      <c r="AR12" s="1579"/>
      <c r="AS12" s="1579">
        <f>IF(YEAR('3 pr-2'!$AK12)=2017,$AP12,0)</f>
        <v>0</v>
      </c>
      <c r="AT12" s="1579">
        <f>IF(YEAR('3 pr-2'!$AK12)=2018,$AP12,0)</f>
        <v>77</v>
      </c>
      <c r="AU12" s="1579">
        <f>IF(YEAR('3 pr-2'!$AK12)=2019,$AP12,0)</f>
        <v>0</v>
      </c>
      <c r="AV12" s="1579">
        <f>IF(YEAR('3 pr-2'!$AK12)=2020,$AP12,0)</f>
        <v>0</v>
      </c>
      <c r="AW12" s="1579">
        <f>IF(YEAR('3 pr-2'!$AK12)=2021,$AP12,0)</f>
        <v>0</v>
      </c>
      <c r="AX12" s="1579">
        <f>IF(YEAR('3 pr-2'!$AK12)=2022,$AP12,0)</f>
        <v>0</v>
      </c>
      <c r="AY12" s="1579">
        <f>IF(YEAR('3 pr-2'!$AK12)=2023,$AP12,0)</f>
        <v>0</v>
      </c>
      <c r="AZ12" s="345" t="s">
        <v>459</v>
      </c>
      <c r="BA12" s="536" t="s">
        <v>460</v>
      </c>
      <c r="BB12" s="345"/>
      <c r="BC12" s="345"/>
      <c r="BD12" s="345"/>
      <c r="BE12" s="345"/>
      <c r="BF12" s="345"/>
      <c r="BG12" s="345"/>
      <c r="BH12" s="345"/>
      <c r="BI12" s="895">
        <f t="shared" si="34"/>
        <v>0</v>
      </c>
      <c r="BJ12" s="345">
        <v>1</v>
      </c>
      <c r="BK12" s="1597"/>
      <c r="BL12" s="1579"/>
      <c r="BM12" s="1579">
        <f>IF(YEAR('3 pr-2'!AK12)=2017,BJ12,0)</f>
        <v>0</v>
      </c>
      <c r="BN12" s="1579">
        <f>IF(YEAR('3 pr-2'!AK12)=2018,BJ12,0)</f>
        <v>1</v>
      </c>
      <c r="BO12" s="1579">
        <f>IF(YEAR('3 pr-2'!AK12)=2019,BJ12,0)</f>
        <v>0</v>
      </c>
      <c r="BP12" s="1579">
        <f>IF(YEAR('3 pr-2'!AK12)=2020,BJ12,0)</f>
        <v>0</v>
      </c>
      <c r="BQ12" s="1579">
        <f>IF(YEAR('3 pr-2'!AK12)=2021,BJ12,0)</f>
        <v>0</v>
      </c>
      <c r="BR12" s="1579">
        <f>IF(YEAR('3 pr-2'!AK12)=2022,BJ12,0)</f>
        <v>0</v>
      </c>
      <c r="BS12" s="1579">
        <f>IF(YEAR('3 pr-2'!AK12)=2023,BJ12,0)</f>
        <v>0</v>
      </c>
      <c r="BT12" s="350"/>
      <c r="BU12" s="537"/>
      <c r="BV12" s="345"/>
      <c r="BW12" s="345"/>
      <c r="BX12" s="345"/>
      <c r="BY12" s="345"/>
      <c r="BZ12" s="345"/>
      <c r="CA12" s="345"/>
      <c r="CB12" s="345"/>
      <c r="CC12" s="895">
        <f t="shared" si="35"/>
        <v>0</v>
      </c>
      <c r="CD12" s="345"/>
      <c r="CE12" s="1579"/>
      <c r="CF12" s="1579"/>
      <c r="CG12" s="1579">
        <f>IF(YEAR('3 pr-2'!$AK12)=2017,$CD12,0)</f>
        <v>0</v>
      </c>
      <c r="CH12" s="1579">
        <f>IF(YEAR('3 pr-2'!$AK12)=2018,$CD12,0)</f>
        <v>0</v>
      </c>
      <c r="CI12" s="1579">
        <f>IF(YEAR('3 pr-2'!$AK12)=2019,$CD12,0)</f>
        <v>0</v>
      </c>
      <c r="CJ12" s="1579">
        <f>IF(YEAR('3 pr-2'!$AK12)=2020,$CD12,0)</f>
        <v>0</v>
      </c>
      <c r="CK12" s="1579">
        <f>IF(YEAR('3 pr-2'!$AK12)=2021,$CD12,0)</f>
        <v>0</v>
      </c>
      <c r="CL12" s="1579">
        <f>IF(YEAR('3 pr-2'!$AK12)=2022,$CD12,0)</f>
        <v>0</v>
      </c>
      <c r="CM12" s="1579">
        <f>IF(YEAR('3 pr-2'!$AK12)=2023,$CD12,0)</f>
        <v>0</v>
      </c>
      <c r="CN12" s="350"/>
      <c r="CO12" s="538"/>
      <c r="CP12" s="351"/>
      <c r="CQ12" s="345"/>
      <c r="CR12" s="345"/>
      <c r="CS12" s="345"/>
      <c r="CT12" s="345"/>
      <c r="CU12" s="345"/>
      <c r="CV12" s="345"/>
      <c r="CW12" s="895">
        <f t="shared" si="36"/>
        <v>0</v>
      </c>
      <c r="CX12" s="351"/>
      <c r="CY12" s="1605"/>
      <c r="CZ12" s="1605"/>
      <c r="DA12" s="1594">
        <f>IF(YEAR('3 pr-2'!AK12)=2017,CX12,0)</f>
        <v>0</v>
      </c>
      <c r="DB12" s="1594">
        <f>IF(YEAR('3 pr-2'!AK12)=2018,CX12,0)</f>
        <v>0</v>
      </c>
      <c r="DC12" s="1594">
        <f>IF(YEAR('3 pr-2'!AK12)=2019,CX12,0)</f>
        <v>0</v>
      </c>
      <c r="DD12" s="1594">
        <f>IF(YEAR('3 pr-2'!AK12)=2020,CX12,0)</f>
        <v>0</v>
      </c>
      <c r="DE12" s="1594">
        <f>IF(YEAR('3 pr-2'!AK12)=2021,CX12,0)</f>
        <v>0</v>
      </c>
      <c r="DF12" s="1594">
        <f>IF(YEAR('3 pr-2'!AK12)=2022,CX12,0)</f>
        <v>0</v>
      </c>
      <c r="DG12" s="1594">
        <f>IF(YEAR('3 pr-2'!AK12)=2023,CX12,0)</f>
        <v>0</v>
      </c>
      <c r="DH12" s="350"/>
      <c r="DI12" s="538"/>
      <c r="DJ12" s="351"/>
      <c r="DK12" s="345"/>
      <c r="DL12" s="345"/>
      <c r="DM12" s="345"/>
      <c r="DN12" s="345"/>
      <c r="DO12" s="345"/>
      <c r="DP12" s="345"/>
      <c r="DQ12" s="895">
        <f t="shared" si="37"/>
        <v>0</v>
      </c>
      <c r="DR12" s="351"/>
      <c r="DS12" s="1605"/>
      <c r="DT12" s="1605"/>
      <c r="DU12" s="1594">
        <f>IF(YEAR('3 pr-2'!BF12)=2017,DS12,0)</f>
        <v>0</v>
      </c>
      <c r="DV12" s="1594">
        <f>IF(YEAR('3 pr-2'!BF12)=2018,DS12,0)</f>
        <v>0</v>
      </c>
      <c r="DW12" s="1594">
        <f>IF(YEAR('3 pr-2'!BF12)=2019,DS12,0)</f>
        <v>0</v>
      </c>
      <c r="DX12" s="1594">
        <f>IF(YEAR('3 pr-2'!BF12)=2020,DS12,0)</f>
        <v>0</v>
      </c>
      <c r="DY12" s="1594">
        <f>IF(YEAR('3 pr-2'!BF12)=2021,DS12,0)</f>
        <v>0</v>
      </c>
      <c r="DZ12" s="1594">
        <f>IF(YEAR('3 pr-2'!BF12)=2022,DS12,0)</f>
        <v>0</v>
      </c>
      <c r="EA12" s="1594">
        <f>IF(YEAR('3 pr-2'!BF12)=2023,DS12,0)</f>
        <v>0</v>
      </c>
      <c r="EB12" s="350"/>
      <c r="EC12" s="538"/>
      <c r="ED12" s="333"/>
      <c r="EE12" s="1605"/>
      <c r="EF12" s="1605"/>
      <c r="EG12" s="1594">
        <f>IF(YEAR('3 pr-2'!BP12)=2017,ED12,0)</f>
        <v>0</v>
      </c>
      <c r="EH12" s="1594">
        <f>IF(YEAR('3 pr-2'!BP12)=2018,ED12,0)</f>
        <v>0</v>
      </c>
      <c r="EI12" s="1594">
        <f>IF(YEAR('3 pr-2'!BP12)=2019,ED12,0)</f>
        <v>0</v>
      </c>
      <c r="EJ12" s="1594">
        <f>IF(YEAR('3 pr-2'!BP12)=2020,ED12,0)</f>
        <v>0</v>
      </c>
      <c r="EK12" s="1594">
        <f>IF(YEAR('3 pr-2'!BP12)=2021,ED12,0)</f>
        <v>0</v>
      </c>
      <c r="EL12" s="1594">
        <f>IF(YEAR('3 pr-2'!BP12)=2022,ED12,0)</f>
        <v>0</v>
      </c>
      <c r="EM12" s="1594">
        <f>IF(YEAR('3 pr-2'!BP12)=2023,ED12,0)</f>
        <v>0</v>
      </c>
    </row>
    <row r="13" spans="1:143" ht="75" thickTop="1" thickBot="1" x14ac:dyDescent="0.3">
      <c r="A13" s="345" t="str">
        <f>CONCATENATE('3 pr-2'!A13)</f>
        <v>1.1.1.1.4</v>
      </c>
      <c r="B13" s="345" t="str">
        <f>CONCATENATE('3 pr-2'!B13)</f>
        <v>R01-ZM72-330200-1104</v>
      </c>
      <c r="C13" s="970" t="str">
        <f>CONCATENATE('ketv. 2'!B12)</f>
        <v>20KI-KA-17-1-02368-PR001</v>
      </c>
      <c r="D13" s="125" t="str">
        <f>CONCATENATE('3 pr-2'!D13)</f>
        <v>Rudaminos laisvalaikio salės pritaikymas bendruomenės poreikiams ir liaudies amatų plėtrai</v>
      </c>
      <c r="E13" s="312" t="str">
        <f>CONCATENATE('3 pr-2'!E13)</f>
        <v>Viešoji įstaiga Lazdijų kultūros centras</v>
      </c>
      <c r="F13" s="312" t="str">
        <f>CONCATENATE('3 pr-2'!F13)</f>
        <v>Lietuvos Respublikos žemės ūkio ministerija</v>
      </c>
      <c r="G13" s="312" t="str">
        <f>CONCATENATE('3 pr-2'!G13)</f>
        <v>Lazdijų r. sav.</v>
      </c>
      <c r="H13" s="312" t="str">
        <f>CONCATENATE('3 pr-2'!H13)</f>
        <v xml:space="preserve">Pagrindinės paslaugos ir kaimų atnaujinimas kaimo vietovėse </v>
      </c>
      <c r="I13" s="345" t="str">
        <f>CONCATENATE('3 pr-2'!I13)</f>
        <v>R</v>
      </c>
      <c r="J13" s="345" t="str">
        <f>CONCATENATE('3 pr-2'!J13)</f>
        <v>-</v>
      </c>
      <c r="K13" s="345" t="str">
        <f>CONCATENATE('3 pr-2'!K13)</f>
        <v>-</v>
      </c>
      <c r="L13" s="345" t="s">
        <v>455</v>
      </c>
      <c r="M13" s="537" t="s">
        <v>456</v>
      </c>
      <c r="N13" s="345"/>
      <c r="O13" s="345"/>
      <c r="P13" s="345"/>
      <c r="Q13" s="345"/>
      <c r="R13" s="345"/>
      <c r="S13" s="345"/>
      <c r="T13" s="345"/>
      <c r="U13" s="893"/>
      <c r="V13" s="345">
        <v>1</v>
      </c>
      <c r="W13" s="1578" t="str">
        <f>IF('ketv. 6 '!L12&gt;0,"taip",0)</f>
        <v>taip</v>
      </c>
      <c r="X13" s="1579"/>
      <c r="Y13" s="1579">
        <f>IF(YEAR('3 pr-2'!$AK13)=2017,$V13,0)</f>
        <v>0</v>
      </c>
      <c r="Z13" s="1579">
        <f>IF(YEAR('3 pr-2'!$AK13)=2018,$V13,0)</f>
        <v>1</v>
      </c>
      <c r="AA13" s="1579">
        <f>IF(YEAR('3 pr-2'!$AK13)=2019,$V13,0)</f>
        <v>0</v>
      </c>
      <c r="AB13" s="1579">
        <f>IF(YEAR('3 pr-2'!$AK13)=2020,$V13,0)</f>
        <v>0</v>
      </c>
      <c r="AC13" s="1579">
        <f>IF(YEAR('3 pr-2'!$AK13)=2021,$V13,0)</f>
        <v>0</v>
      </c>
      <c r="AD13" s="1579">
        <f>IF(YEAR('3 pr-2'!$AK13)=2022,$V13,0)</f>
        <v>0</v>
      </c>
      <c r="AE13" s="1579">
        <f>IF(YEAR('3 pr-2'!$AK13)=2023,$V13,0)</f>
        <v>0</v>
      </c>
      <c r="AF13" s="350" t="s">
        <v>457</v>
      </c>
      <c r="AG13" s="537" t="s">
        <v>458</v>
      </c>
      <c r="AH13" s="345"/>
      <c r="AI13" s="345"/>
      <c r="AJ13" s="345"/>
      <c r="AK13" s="345"/>
      <c r="AL13" s="345"/>
      <c r="AM13" s="345"/>
      <c r="AN13" s="345"/>
      <c r="AO13" s="895">
        <f t="shared" si="33"/>
        <v>0</v>
      </c>
      <c r="AP13" s="345">
        <v>256</v>
      </c>
      <c r="AQ13" s="1597"/>
      <c r="AR13" s="1579"/>
      <c r="AS13" s="1579">
        <f>IF(YEAR('3 pr-2'!$AK13)=2017,$AP13,0)</f>
        <v>0</v>
      </c>
      <c r="AT13" s="1579">
        <f>IF(YEAR('3 pr-2'!$AK13)=2018,$AP13,0)</f>
        <v>256</v>
      </c>
      <c r="AU13" s="1579">
        <f>IF(YEAR('3 pr-2'!$AK13)=2019,$AP13,0)</f>
        <v>0</v>
      </c>
      <c r="AV13" s="1579">
        <f>IF(YEAR('3 pr-2'!$AK13)=2020,$AP13,0)</f>
        <v>0</v>
      </c>
      <c r="AW13" s="1579">
        <f>IF(YEAR('3 pr-2'!$AK13)=2021,$AP13,0)</f>
        <v>0</v>
      </c>
      <c r="AX13" s="1579">
        <f>IF(YEAR('3 pr-2'!$AK13)=2022,$AP13,0)</f>
        <v>0</v>
      </c>
      <c r="AY13" s="1579">
        <f>IF(YEAR('3 pr-2'!$AK13)=2023,$AP13,0)</f>
        <v>0</v>
      </c>
      <c r="AZ13" s="345" t="s">
        <v>459</v>
      </c>
      <c r="BA13" s="536" t="s">
        <v>460</v>
      </c>
      <c r="BB13" s="345"/>
      <c r="BC13" s="345"/>
      <c r="BD13" s="345"/>
      <c r="BE13" s="345"/>
      <c r="BF13" s="345"/>
      <c r="BG13" s="345"/>
      <c r="BH13" s="345"/>
      <c r="BI13" s="895">
        <f t="shared" si="34"/>
        <v>0</v>
      </c>
      <c r="BJ13" s="345">
        <v>1</v>
      </c>
      <c r="BK13" s="1597"/>
      <c r="BL13" s="1579"/>
      <c r="BM13" s="1579">
        <f>IF(YEAR('3 pr-2'!AK13)=2017,BJ13,0)</f>
        <v>0</v>
      </c>
      <c r="BN13" s="1579">
        <f>IF(YEAR('3 pr-2'!AK13)=2018,BJ13,0)</f>
        <v>1</v>
      </c>
      <c r="BO13" s="1579">
        <f>IF(YEAR('3 pr-2'!AK13)=2019,BJ13,0)</f>
        <v>0</v>
      </c>
      <c r="BP13" s="1579">
        <f>IF(YEAR('3 pr-2'!AK13)=2020,BJ13,0)</f>
        <v>0</v>
      </c>
      <c r="BQ13" s="1579">
        <f>IF(YEAR('3 pr-2'!AK13)=2021,BJ13,0)</f>
        <v>0</v>
      </c>
      <c r="BR13" s="1579">
        <f>IF(YEAR('3 pr-2'!AK13)=2022,BJ13,0)</f>
        <v>0</v>
      </c>
      <c r="BS13" s="1579">
        <f>IF(YEAR('3 pr-2'!AK13)=2023,BJ13,0)</f>
        <v>0</v>
      </c>
      <c r="BT13" s="350"/>
      <c r="BU13" s="537"/>
      <c r="BV13" s="345"/>
      <c r="BW13" s="345"/>
      <c r="BX13" s="345"/>
      <c r="BY13" s="345"/>
      <c r="BZ13" s="345"/>
      <c r="CA13" s="345"/>
      <c r="CB13" s="345"/>
      <c r="CC13" s="895">
        <f t="shared" si="35"/>
        <v>0</v>
      </c>
      <c r="CD13" s="345"/>
      <c r="CE13" s="1579"/>
      <c r="CF13" s="1579"/>
      <c r="CG13" s="1579">
        <f>IF(YEAR('3 pr-2'!$AK13)=2017,$CD13,0)</f>
        <v>0</v>
      </c>
      <c r="CH13" s="1579">
        <f>IF(YEAR('3 pr-2'!$AK13)=2018,$CD13,0)</f>
        <v>0</v>
      </c>
      <c r="CI13" s="1579">
        <f>IF(YEAR('3 pr-2'!$AK13)=2019,$CD13,0)</f>
        <v>0</v>
      </c>
      <c r="CJ13" s="1579">
        <f>IF(YEAR('3 pr-2'!$AK13)=2020,$CD13,0)</f>
        <v>0</v>
      </c>
      <c r="CK13" s="1579">
        <f>IF(YEAR('3 pr-2'!$AK13)=2021,$CD13,0)</f>
        <v>0</v>
      </c>
      <c r="CL13" s="1579">
        <f>IF(YEAR('3 pr-2'!$AK13)=2022,$CD13,0)</f>
        <v>0</v>
      </c>
      <c r="CM13" s="1579">
        <f>IF(YEAR('3 pr-2'!$AK13)=2023,$CD13,0)</f>
        <v>0</v>
      </c>
      <c r="CN13" s="350"/>
      <c r="CO13" s="538"/>
      <c r="CP13" s="351"/>
      <c r="CQ13" s="345"/>
      <c r="CR13" s="345"/>
      <c r="CS13" s="345"/>
      <c r="CT13" s="345"/>
      <c r="CU13" s="345"/>
      <c r="CV13" s="345"/>
      <c r="CW13" s="895">
        <f t="shared" si="36"/>
        <v>0</v>
      </c>
      <c r="CX13" s="351"/>
      <c r="CY13" s="1605"/>
      <c r="CZ13" s="1605"/>
      <c r="DA13" s="1594">
        <f>IF(YEAR('3 pr-2'!AK13)=2017,CX13,0)</f>
        <v>0</v>
      </c>
      <c r="DB13" s="1594">
        <f>IF(YEAR('3 pr-2'!AK13)=2018,CX13,0)</f>
        <v>0</v>
      </c>
      <c r="DC13" s="1594">
        <f>IF(YEAR('3 pr-2'!AK13)=2019,CX13,0)</f>
        <v>0</v>
      </c>
      <c r="DD13" s="1594">
        <f>IF(YEAR('3 pr-2'!AK13)=2020,CX13,0)</f>
        <v>0</v>
      </c>
      <c r="DE13" s="1594">
        <f>IF(YEAR('3 pr-2'!AK13)=2021,CX13,0)</f>
        <v>0</v>
      </c>
      <c r="DF13" s="1594">
        <f>IF(YEAR('3 pr-2'!AK13)=2022,CX13,0)</f>
        <v>0</v>
      </c>
      <c r="DG13" s="1594">
        <f>IF(YEAR('3 pr-2'!AK13)=2023,CX13,0)</f>
        <v>0</v>
      </c>
      <c r="DH13" s="350"/>
      <c r="DI13" s="538"/>
      <c r="DJ13" s="351"/>
      <c r="DK13" s="345"/>
      <c r="DL13" s="345"/>
      <c r="DM13" s="345"/>
      <c r="DN13" s="345"/>
      <c r="DO13" s="345"/>
      <c r="DP13" s="345"/>
      <c r="DQ13" s="895">
        <f t="shared" si="37"/>
        <v>0</v>
      </c>
      <c r="DR13" s="351"/>
      <c r="DS13" s="1605"/>
      <c r="DT13" s="1605"/>
      <c r="DU13" s="1594">
        <f>IF(YEAR('3 pr-2'!BF13)=2017,DS13,0)</f>
        <v>0</v>
      </c>
      <c r="DV13" s="1594">
        <f>IF(YEAR('3 pr-2'!BF13)=2018,DS13,0)</f>
        <v>0</v>
      </c>
      <c r="DW13" s="1594">
        <f>IF(YEAR('3 pr-2'!BF13)=2019,DS13,0)</f>
        <v>0</v>
      </c>
      <c r="DX13" s="1594">
        <f>IF(YEAR('3 pr-2'!BF13)=2020,DS13,0)</f>
        <v>0</v>
      </c>
      <c r="DY13" s="1594">
        <f>IF(YEAR('3 pr-2'!BF13)=2021,DS13,0)</f>
        <v>0</v>
      </c>
      <c r="DZ13" s="1594">
        <f>IF(YEAR('3 pr-2'!BF13)=2022,DS13,0)</f>
        <v>0</v>
      </c>
      <c r="EA13" s="1594">
        <f>IF(YEAR('3 pr-2'!BF13)=2023,DS13,0)</f>
        <v>0</v>
      </c>
      <c r="EB13" s="350"/>
      <c r="EC13" s="538"/>
      <c r="ED13" s="333"/>
      <c r="EE13" s="1605"/>
      <c r="EF13" s="1605"/>
      <c r="EG13" s="1594">
        <f>IF(YEAR('3 pr-2'!BP13)=2017,ED13,0)</f>
        <v>0</v>
      </c>
      <c r="EH13" s="1594">
        <f>IF(YEAR('3 pr-2'!BP13)=2018,ED13,0)</f>
        <v>0</v>
      </c>
      <c r="EI13" s="1594">
        <f>IF(YEAR('3 pr-2'!BP13)=2019,ED13,0)</f>
        <v>0</v>
      </c>
      <c r="EJ13" s="1594">
        <f>IF(YEAR('3 pr-2'!BP13)=2020,ED13,0)</f>
        <v>0</v>
      </c>
      <c r="EK13" s="1594">
        <f>IF(YEAR('3 pr-2'!BP13)=2021,ED13,0)</f>
        <v>0</v>
      </c>
      <c r="EL13" s="1594">
        <f>IF(YEAR('3 pr-2'!BP13)=2022,ED13,0)</f>
        <v>0</v>
      </c>
      <c r="EM13" s="1594">
        <f>IF(YEAR('3 pr-2'!BP13)=2023,ED13,0)</f>
        <v>0</v>
      </c>
    </row>
    <row r="14" spans="1:143" ht="75" thickTop="1" thickBot="1" x14ac:dyDescent="0.3">
      <c r="A14" s="345" t="str">
        <f>CONCATENATE('3 pr-2'!A14)</f>
        <v>1.1.1.1.5</v>
      </c>
      <c r="B14" s="345" t="str">
        <f>CONCATENATE('3 pr-2'!B14)</f>
        <v>R01-ZM72-120000-1105</v>
      </c>
      <c r="C14" s="970" t="str">
        <f>CONCATENATE('ketv. 2'!B13)</f>
        <v>20KI-KA-17-1-02619-PR001</v>
      </c>
      <c r="D14" s="125" t="str">
        <f>CONCATENATE('3 pr-2'!D14)</f>
        <v>Druskininkų savivaldybės Leipalingio seniūnijos Bilso seniūnaitijos kelių būklės gerinimas</v>
      </c>
      <c r="E14" s="312" t="str">
        <f>CONCATENATE('3 pr-2'!E14)</f>
        <v xml:space="preserve">Druskininkų savivaldybės administracija  </v>
      </c>
      <c r="F14" s="312" t="str">
        <f>CONCATENATE('3 pr-2'!F14)</f>
        <v>Lietuvos Respublikos žemės ūkio ministerija</v>
      </c>
      <c r="G14" s="312" t="str">
        <f>CONCATENATE('3 pr-2'!G14)</f>
        <v>Druskininkų sav.</v>
      </c>
      <c r="H14" s="312" t="str">
        <f>CONCATENATE('3 pr-2'!H14)</f>
        <v xml:space="preserve">Pagrindinės paslaugos ir kaimų atnaujinimas kaimo vietovėse </v>
      </c>
      <c r="I14" s="345" t="str">
        <f>CONCATENATE('3 pr-2'!I14)</f>
        <v>R</v>
      </c>
      <c r="J14" s="345" t="str">
        <f>CONCATENATE('3 pr-2'!J14)</f>
        <v>-</v>
      </c>
      <c r="K14" s="345" t="str">
        <f>CONCATENATE('3 pr-2'!K14)</f>
        <v>-</v>
      </c>
      <c r="L14" s="345" t="s">
        <v>455</v>
      </c>
      <c r="M14" s="537" t="s">
        <v>456</v>
      </c>
      <c r="N14" s="345"/>
      <c r="O14" s="345"/>
      <c r="P14" s="345"/>
      <c r="Q14" s="345"/>
      <c r="R14" s="345"/>
      <c r="S14" s="345"/>
      <c r="T14" s="345"/>
      <c r="U14" s="893"/>
      <c r="V14" s="345">
        <v>1</v>
      </c>
      <c r="W14" s="1578" t="str">
        <f>IF('ketv. 6 '!L13&gt;0,"taip",0)</f>
        <v>taip</v>
      </c>
      <c r="X14" s="1579"/>
      <c r="Y14" s="1579">
        <f>IF(YEAR('3 pr-2'!$AK14)=2017,$V14,0)</f>
        <v>0</v>
      </c>
      <c r="Z14" s="1579">
        <f>IF(YEAR('3 pr-2'!$AK14)=2018,$V14,0)</f>
        <v>1</v>
      </c>
      <c r="AA14" s="1579">
        <f>IF(YEAR('3 pr-2'!$AK14)=2019,$V14,0)</f>
        <v>0</v>
      </c>
      <c r="AB14" s="1579">
        <f>IF(YEAR('3 pr-2'!$AK14)=2020,$V14,0)</f>
        <v>0</v>
      </c>
      <c r="AC14" s="1579">
        <f>IF(YEAR('3 pr-2'!$AK14)=2021,$V14,0)</f>
        <v>0</v>
      </c>
      <c r="AD14" s="1579">
        <f>IF(YEAR('3 pr-2'!$AK14)=2022,$V14,0)</f>
        <v>0</v>
      </c>
      <c r="AE14" s="1579">
        <f>IF(YEAR('3 pr-2'!$AK14)=2023,$V14,0)</f>
        <v>0</v>
      </c>
      <c r="AF14" s="350" t="s">
        <v>457</v>
      </c>
      <c r="AG14" s="537" t="s">
        <v>458</v>
      </c>
      <c r="AH14" s="345"/>
      <c r="AI14" s="345"/>
      <c r="AJ14" s="345"/>
      <c r="AK14" s="345"/>
      <c r="AL14" s="345"/>
      <c r="AM14" s="345"/>
      <c r="AN14" s="345"/>
      <c r="AO14" s="895">
        <f t="shared" si="33"/>
        <v>0</v>
      </c>
      <c r="AP14" s="345">
        <v>52</v>
      </c>
      <c r="AQ14" s="1597"/>
      <c r="AR14" s="1579"/>
      <c r="AS14" s="1579">
        <f>IF(YEAR('3 pr-2'!$AK14)=2017,$AP14,0)</f>
        <v>0</v>
      </c>
      <c r="AT14" s="1579">
        <f>IF(YEAR('3 pr-2'!$AK14)=2018,$AP14,0)</f>
        <v>52</v>
      </c>
      <c r="AU14" s="1579">
        <f>IF(YEAR('3 pr-2'!$AK14)=2019,$AP14,0)</f>
        <v>0</v>
      </c>
      <c r="AV14" s="1579">
        <f>IF(YEAR('3 pr-2'!$AK14)=2020,$AP14,0)</f>
        <v>0</v>
      </c>
      <c r="AW14" s="1579">
        <f>IF(YEAR('3 pr-2'!$AK14)=2021,$AP14,0)</f>
        <v>0</v>
      </c>
      <c r="AX14" s="1579">
        <f>IF(YEAR('3 pr-2'!$AK14)=2022,$AP14,0)</f>
        <v>0</v>
      </c>
      <c r="AY14" s="1579">
        <f>IF(YEAR('3 pr-2'!$AK14)=2023,$AP14,0)</f>
        <v>0</v>
      </c>
      <c r="AZ14" s="345" t="s">
        <v>459</v>
      </c>
      <c r="BA14" s="536" t="s">
        <v>460</v>
      </c>
      <c r="BB14" s="345"/>
      <c r="BC14" s="345"/>
      <c r="BD14" s="345"/>
      <c r="BE14" s="345"/>
      <c r="BF14" s="345"/>
      <c r="BG14" s="345"/>
      <c r="BH14" s="345"/>
      <c r="BI14" s="895">
        <f t="shared" si="34"/>
        <v>0</v>
      </c>
      <c r="BJ14" s="345">
        <v>1</v>
      </c>
      <c r="BK14" s="1597"/>
      <c r="BL14" s="1579"/>
      <c r="BM14" s="1579">
        <f>IF(YEAR('3 pr-2'!AK14)=2017,BJ14,0)</f>
        <v>0</v>
      </c>
      <c r="BN14" s="1579">
        <f>IF(YEAR('3 pr-2'!AK14)=2018,BJ14,0)</f>
        <v>1</v>
      </c>
      <c r="BO14" s="1579">
        <f>IF(YEAR('3 pr-2'!AK14)=2019,BJ14,0)</f>
        <v>0</v>
      </c>
      <c r="BP14" s="1579">
        <f>IF(YEAR('3 pr-2'!AK14)=2020,BJ14,0)</f>
        <v>0</v>
      </c>
      <c r="BQ14" s="1579">
        <f>IF(YEAR('3 pr-2'!AK14)=2021,BJ14,0)</f>
        <v>0</v>
      </c>
      <c r="BR14" s="1579">
        <f>IF(YEAR('3 pr-2'!AK14)=2022,BJ14,0)</f>
        <v>0</v>
      </c>
      <c r="BS14" s="1579">
        <f>IF(YEAR('3 pr-2'!AK14)=2023,BJ14,0)</f>
        <v>0</v>
      </c>
      <c r="BT14" s="350"/>
      <c r="BU14" s="537"/>
      <c r="BV14" s="345"/>
      <c r="BW14" s="345"/>
      <c r="BX14" s="345"/>
      <c r="BY14" s="345"/>
      <c r="BZ14" s="345"/>
      <c r="CA14" s="345"/>
      <c r="CB14" s="345"/>
      <c r="CC14" s="895">
        <f t="shared" si="35"/>
        <v>0</v>
      </c>
      <c r="CD14" s="345"/>
      <c r="CE14" s="1579"/>
      <c r="CF14" s="1579"/>
      <c r="CG14" s="1579">
        <f>IF(YEAR('3 pr-2'!$AK14)=2017,$CD14,0)</f>
        <v>0</v>
      </c>
      <c r="CH14" s="1579">
        <f>IF(YEAR('3 pr-2'!$AK14)=2018,$CD14,0)</f>
        <v>0</v>
      </c>
      <c r="CI14" s="1579">
        <f>IF(YEAR('3 pr-2'!$AK14)=2019,$CD14,0)</f>
        <v>0</v>
      </c>
      <c r="CJ14" s="1579">
        <f>IF(YEAR('3 pr-2'!$AK14)=2020,$CD14,0)</f>
        <v>0</v>
      </c>
      <c r="CK14" s="1579">
        <f>IF(YEAR('3 pr-2'!$AK14)=2021,$CD14,0)</f>
        <v>0</v>
      </c>
      <c r="CL14" s="1579">
        <f>IF(YEAR('3 pr-2'!$AK14)=2022,$CD14,0)</f>
        <v>0</v>
      </c>
      <c r="CM14" s="1579">
        <f>IF(YEAR('3 pr-2'!$AK14)=2023,$CD14,0)</f>
        <v>0</v>
      </c>
      <c r="CN14" s="350"/>
      <c r="CO14" s="538"/>
      <c r="CP14" s="351"/>
      <c r="CQ14" s="345"/>
      <c r="CR14" s="345"/>
      <c r="CS14" s="345"/>
      <c r="CT14" s="345"/>
      <c r="CU14" s="345"/>
      <c r="CV14" s="345"/>
      <c r="CW14" s="895">
        <f t="shared" si="36"/>
        <v>0</v>
      </c>
      <c r="CX14" s="351"/>
      <c r="CY14" s="1605"/>
      <c r="CZ14" s="1605"/>
      <c r="DA14" s="1594">
        <f>IF(YEAR('3 pr-2'!AK14)=2017,CX14,0)</f>
        <v>0</v>
      </c>
      <c r="DB14" s="1594">
        <f>IF(YEAR('3 pr-2'!AK14)=2018,CX14,0)</f>
        <v>0</v>
      </c>
      <c r="DC14" s="1594">
        <f>IF(YEAR('3 pr-2'!AK14)=2019,CX14,0)</f>
        <v>0</v>
      </c>
      <c r="DD14" s="1594">
        <f>IF(YEAR('3 pr-2'!AK14)=2020,CX14,0)</f>
        <v>0</v>
      </c>
      <c r="DE14" s="1594">
        <f>IF(YEAR('3 pr-2'!AK14)=2021,CX14,0)</f>
        <v>0</v>
      </c>
      <c r="DF14" s="1594">
        <f>IF(YEAR('3 pr-2'!AK14)=2022,CX14,0)</f>
        <v>0</v>
      </c>
      <c r="DG14" s="1594">
        <f>IF(YEAR('3 pr-2'!AK14)=2023,CX14,0)</f>
        <v>0</v>
      </c>
      <c r="DH14" s="350"/>
      <c r="DI14" s="538"/>
      <c r="DJ14" s="351"/>
      <c r="DK14" s="345"/>
      <c r="DL14" s="345"/>
      <c r="DM14" s="345"/>
      <c r="DN14" s="345"/>
      <c r="DO14" s="345"/>
      <c r="DP14" s="345"/>
      <c r="DQ14" s="895">
        <f t="shared" si="37"/>
        <v>0</v>
      </c>
      <c r="DR14" s="351"/>
      <c r="DS14" s="1605"/>
      <c r="DT14" s="1605"/>
      <c r="DU14" s="1594">
        <f>IF(YEAR('3 pr-2'!BF14)=2017,DS14,0)</f>
        <v>0</v>
      </c>
      <c r="DV14" s="1594">
        <f>IF(YEAR('3 pr-2'!BF14)=2018,DS14,0)</f>
        <v>0</v>
      </c>
      <c r="DW14" s="1594">
        <f>IF(YEAR('3 pr-2'!BF14)=2019,DS14,0)</f>
        <v>0</v>
      </c>
      <c r="DX14" s="1594">
        <f>IF(YEAR('3 pr-2'!BF14)=2020,DS14,0)</f>
        <v>0</v>
      </c>
      <c r="DY14" s="1594">
        <f>IF(YEAR('3 pr-2'!BF14)=2021,DS14,0)</f>
        <v>0</v>
      </c>
      <c r="DZ14" s="1594">
        <f>IF(YEAR('3 pr-2'!BF14)=2022,DS14,0)</f>
        <v>0</v>
      </c>
      <c r="EA14" s="1594">
        <f>IF(YEAR('3 pr-2'!BF14)=2023,DS14,0)</f>
        <v>0</v>
      </c>
      <c r="EB14" s="350"/>
      <c r="EC14" s="538"/>
      <c r="ED14" s="333"/>
      <c r="EE14" s="1605"/>
      <c r="EF14" s="1605"/>
      <c r="EG14" s="1594">
        <f>IF(YEAR('3 pr-2'!BP14)=2017,ED14,0)</f>
        <v>0</v>
      </c>
      <c r="EH14" s="1594">
        <f>IF(YEAR('3 pr-2'!BP14)=2018,ED14,0)</f>
        <v>0</v>
      </c>
      <c r="EI14" s="1594">
        <f>IF(YEAR('3 pr-2'!BP14)=2019,ED14,0)</f>
        <v>0</v>
      </c>
      <c r="EJ14" s="1594">
        <f>IF(YEAR('3 pr-2'!BP14)=2020,ED14,0)</f>
        <v>0</v>
      </c>
      <c r="EK14" s="1594">
        <f>IF(YEAR('3 pr-2'!BP14)=2021,ED14,0)</f>
        <v>0</v>
      </c>
      <c r="EL14" s="1594">
        <f>IF(YEAR('3 pr-2'!BP14)=2022,ED14,0)</f>
        <v>0</v>
      </c>
      <c r="EM14" s="1594">
        <f>IF(YEAR('3 pr-2'!BP14)=2023,ED14,0)</f>
        <v>0</v>
      </c>
    </row>
    <row r="15" spans="1:143" ht="75" thickTop="1" thickBot="1" x14ac:dyDescent="0.3">
      <c r="A15" s="345" t="str">
        <f>CONCATENATE('3 pr-2'!A15)</f>
        <v>1.1.1.1.6</v>
      </c>
      <c r="B15" s="345" t="str">
        <f>CONCATENATE('3 pr-2'!B15)</f>
        <v>R01-ZM72-330200-1106</v>
      </c>
      <c r="C15" s="970" t="str">
        <f>CONCATENATE('ketv. 2'!B14)</f>
        <v>20KI-KA-17-1-02374-PR001</v>
      </c>
      <c r="D15" s="125" t="str">
        <f>CONCATENATE('3 pr-2'!D15)</f>
        <v>Lazdijų rajono kaimų patrauklumo didinimas atnaujinant bibliotekas</v>
      </c>
      <c r="E15" s="312" t="str">
        <f>CONCATENATE('3 pr-2'!E15)</f>
        <v xml:space="preserve">Biudžetinė įstaiga Lazdijų rajono savivaldybės viešoji biblioteka </v>
      </c>
      <c r="F15" s="312" t="str">
        <f>CONCATENATE('3 pr-2'!F15)</f>
        <v>Lietuvos Respublikos žemės ūkio ministerija</v>
      </c>
      <c r="G15" s="312" t="str">
        <f>CONCATENATE('3 pr-2'!G15)</f>
        <v>Lazdijų r. sav.</v>
      </c>
      <c r="H15" s="312" t="str">
        <f>CONCATENATE('3 pr-2'!H15)</f>
        <v xml:space="preserve">Pagrindinės paslaugos ir kaimų atnaujinimas kaimo vietovėse </v>
      </c>
      <c r="I15" s="345" t="str">
        <f>CONCATENATE('3 pr-2'!I15)</f>
        <v>R</v>
      </c>
      <c r="J15" s="345" t="str">
        <f>CONCATENATE('3 pr-2'!J15)</f>
        <v>-</v>
      </c>
      <c r="K15" s="345" t="str">
        <f>CONCATENATE('3 pr-2'!K15)</f>
        <v>-</v>
      </c>
      <c r="L15" s="345" t="s">
        <v>455</v>
      </c>
      <c r="M15" s="537" t="s">
        <v>456</v>
      </c>
      <c r="N15" s="345"/>
      <c r="O15" s="345"/>
      <c r="P15" s="345"/>
      <c r="Q15" s="345"/>
      <c r="R15" s="345"/>
      <c r="S15" s="345"/>
      <c r="T15" s="345"/>
      <c r="U15" s="893"/>
      <c r="V15" s="345">
        <v>3</v>
      </c>
      <c r="W15" s="1578" t="str">
        <f>IF('ketv. 6 '!L14&gt;0,"taip",0)</f>
        <v>taip</v>
      </c>
      <c r="X15" s="1579"/>
      <c r="Y15" s="1579">
        <f>IF(YEAR('3 pr-2'!$AK15)=2017,$V15,0)</f>
        <v>0</v>
      </c>
      <c r="Z15" s="1579">
        <f>IF(YEAR('3 pr-2'!$AK15)=2018,$V15,0)</f>
        <v>3</v>
      </c>
      <c r="AA15" s="1579">
        <f>IF(YEAR('3 pr-2'!$AK15)=2019,$V15,0)</f>
        <v>0</v>
      </c>
      <c r="AB15" s="1579">
        <f>IF(YEAR('3 pr-2'!$AK15)=2020,$V15,0)</f>
        <v>0</v>
      </c>
      <c r="AC15" s="1579">
        <f>IF(YEAR('3 pr-2'!$AK15)=2021,$V15,0)</f>
        <v>0</v>
      </c>
      <c r="AD15" s="1579">
        <f>IF(YEAR('3 pr-2'!$AK15)=2022,$V15,0)</f>
        <v>0</v>
      </c>
      <c r="AE15" s="1579">
        <f>IF(YEAR('3 pr-2'!$AK15)=2023,$V15,0)</f>
        <v>0</v>
      </c>
      <c r="AF15" s="350" t="s">
        <v>457</v>
      </c>
      <c r="AG15" s="537" t="s">
        <v>458</v>
      </c>
      <c r="AH15" s="345"/>
      <c r="AI15" s="345"/>
      <c r="AJ15" s="345"/>
      <c r="AK15" s="345"/>
      <c r="AL15" s="345"/>
      <c r="AM15" s="345"/>
      <c r="AN15" s="345"/>
      <c r="AO15" s="895">
        <f t="shared" si="33"/>
        <v>0</v>
      </c>
      <c r="AP15" s="345">
        <v>501</v>
      </c>
      <c r="AQ15" s="1597"/>
      <c r="AR15" s="1579"/>
      <c r="AS15" s="1579">
        <f>IF(YEAR('3 pr-2'!$AK15)=2017,$AP15,0)</f>
        <v>0</v>
      </c>
      <c r="AT15" s="1579">
        <f>IF(YEAR('3 pr-2'!$AK15)=2018,$AP15,0)</f>
        <v>501</v>
      </c>
      <c r="AU15" s="1579">
        <f>IF(YEAR('3 pr-2'!$AK15)=2019,$AP15,0)</f>
        <v>0</v>
      </c>
      <c r="AV15" s="1579">
        <f>IF(YEAR('3 pr-2'!$AK15)=2020,$AP15,0)</f>
        <v>0</v>
      </c>
      <c r="AW15" s="1579">
        <f>IF(YEAR('3 pr-2'!$AK15)=2021,$AP15,0)</f>
        <v>0</v>
      </c>
      <c r="AX15" s="1579">
        <f>IF(YEAR('3 pr-2'!$AK15)=2022,$AP15,0)</f>
        <v>0</v>
      </c>
      <c r="AY15" s="1579">
        <f>IF(YEAR('3 pr-2'!$AK15)=2023,$AP15,0)</f>
        <v>0</v>
      </c>
      <c r="AZ15" s="345" t="s">
        <v>459</v>
      </c>
      <c r="BA15" s="536" t="s">
        <v>460</v>
      </c>
      <c r="BB15" s="345"/>
      <c r="BC15" s="345"/>
      <c r="BD15" s="345"/>
      <c r="BE15" s="345"/>
      <c r="BF15" s="345"/>
      <c r="BG15" s="345"/>
      <c r="BH15" s="345"/>
      <c r="BI15" s="895">
        <f t="shared" si="34"/>
        <v>0</v>
      </c>
      <c r="BJ15" s="345">
        <v>1</v>
      </c>
      <c r="BK15" s="1597"/>
      <c r="BL15" s="1579"/>
      <c r="BM15" s="1579">
        <f>IF(YEAR('3 pr-2'!AK15)=2017,BJ15,0)</f>
        <v>0</v>
      </c>
      <c r="BN15" s="1579">
        <f>IF(YEAR('3 pr-2'!AK15)=2018,BJ15,0)</f>
        <v>1</v>
      </c>
      <c r="BO15" s="1579">
        <f>IF(YEAR('3 pr-2'!AK15)=2019,BJ15,0)</f>
        <v>0</v>
      </c>
      <c r="BP15" s="1579">
        <f>IF(YEAR('3 pr-2'!AK15)=2020,BJ15,0)</f>
        <v>0</v>
      </c>
      <c r="BQ15" s="1579">
        <f>IF(YEAR('3 pr-2'!AK15)=2021,BJ15,0)</f>
        <v>0</v>
      </c>
      <c r="BR15" s="1579">
        <f>IF(YEAR('3 pr-2'!AK15)=2022,BJ15,0)</f>
        <v>0</v>
      </c>
      <c r="BS15" s="1579">
        <f>IF(YEAR('3 pr-2'!AK15)=2023,BJ15,0)</f>
        <v>0</v>
      </c>
      <c r="BT15" s="350"/>
      <c r="BU15" s="537"/>
      <c r="BV15" s="345"/>
      <c r="BW15" s="345"/>
      <c r="BX15" s="345"/>
      <c r="BY15" s="345"/>
      <c r="BZ15" s="345"/>
      <c r="CA15" s="345"/>
      <c r="CB15" s="345"/>
      <c r="CC15" s="895">
        <f t="shared" si="35"/>
        <v>0</v>
      </c>
      <c r="CD15" s="345"/>
      <c r="CE15" s="1579"/>
      <c r="CF15" s="1579"/>
      <c r="CG15" s="1579">
        <f>IF(YEAR('3 pr-2'!$AK15)=2017,$CD15,0)</f>
        <v>0</v>
      </c>
      <c r="CH15" s="1579">
        <f>IF(YEAR('3 pr-2'!$AK15)=2018,$CD15,0)</f>
        <v>0</v>
      </c>
      <c r="CI15" s="1579">
        <f>IF(YEAR('3 pr-2'!$AK15)=2019,$CD15,0)</f>
        <v>0</v>
      </c>
      <c r="CJ15" s="1579">
        <f>IF(YEAR('3 pr-2'!$AK15)=2020,$CD15,0)</f>
        <v>0</v>
      </c>
      <c r="CK15" s="1579">
        <f>IF(YEAR('3 pr-2'!$AK15)=2021,$CD15,0)</f>
        <v>0</v>
      </c>
      <c r="CL15" s="1579">
        <f>IF(YEAR('3 pr-2'!$AK15)=2022,$CD15,0)</f>
        <v>0</v>
      </c>
      <c r="CM15" s="1579">
        <f>IF(YEAR('3 pr-2'!$AK15)=2023,$CD15,0)</f>
        <v>0</v>
      </c>
      <c r="CN15" s="350"/>
      <c r="CO15" s="538"/>
      <c r="CP15" s="351"/>
      <c r="CQ15" s="345"/>
      <c r="CR15" s="345"/>
      <c r="CS15" s="345"/>
      <c r="CT15" s="345"/>
      <c r="CU15" s="345"/>
      <c r="CV15" s="345"/>
      <c r="CW15" s="895">
        <f t="shared" si="36"/>
        <v>0</v>
      </c>
      <c r="CX15" s="351"/>
      <c r="CY15" s="1605"/>
      <c r="CZ15" s="1605"/>
      <c r="DA15" s="1594">
        <f>IF(YEAR('3 pr-2'!AK15)=2017,CX15,0)</f>
        <v>0</v>
      </c>
      <c r="DB15" s="1594">
        <f>IF(YEAR('3 pr-2'!AK15)=2018,CX15,0)</f>
        <v>0</v>
      </c>
      <c r="DC15" s="1594">
        <f>IF(YEAR('3 pr-2'!AK15)=2019,CX15,0)</f>
        <v>0</v>
      </c>
      <c r="DD15" s="1594">
        <f>IF(YEAR('3 pr-2'!AK15)=2020,CX15,0)</f>
        <v>0</v>
      </c>
      <c r="DE15" s="1594">
        <f>IF(YEAR('3 pr-2'!AK15)=2021,CX15,0)</f>
        <v>0</v>
      </c>
      <c r="DF15" s="1594">
        <f>IF(YEAR('3 pr-2'!AK15)=2022,CX15,0)</f>
        <v>0</v>
      </c>
      <c r="DG15" s="1594">
        <f>IF(YEAR('3 pr-2'!AK15)=2023,CX15,0)</f>
        <v>0</v>
      </c>
      <c r="DH15" s="350"/>
      <c r="DI15" s="538"/>
      <c r="DJ15" s="351"/>
      <c r="DK15" s="345"/>
      <c r="DL15" s="345"/>
      <c r="DM15" s="345"/>
      <c r="DN15" s="345"/>
      <c r="DO15" s="345"/>
      <c r="DP15" s="345"/>
      <c r="DQ15" s="895">
        <f t="shared" si="37"/>
        <v>0</v>
      </c>
      <c r="DR15" s="351"/>
      <c r="DS15" s="1605"/>
      <c r="DT15" s="1605"/>
      <c r="DU15" s="1594">
        <f>IF(YEAR('3 pr-2'!BF15)=2017,DS15,0)</f>
        <v>0</v>
      </c>
      <c r="DV15" s="1594">
        <f>IF(YEAR('3 pr-2'!BF15)=2018,DS15,0)</f>
        <v>0</v>
      </c>
      <c r="DW15" s="1594">
        <f>IF(YEAR('3 pr-2'!BF15)=2019,DS15,0)</f>
        <v>0</v>
      </c>
      <c r="DX15" s="1594">
        <f>IF(YEAR('3 pr-2'!BF15)=2020,DS15,0)</f>
        <v>0</v>
      </c>
      <c r="DY15" s="1594">
        <f>IF(YEAR('3 pr-2'!BF15)=2021,DS15,0)</f>
        <v>0</v>
      </c>
      <c r="DZ15" s="1594">
        <f>IF(YEAR('3 pr-2'!BF15)=2022,DS15,0)</f>
        <v>0</v>
      </c>
      <c r="EA15" s="1594">
        <f>IF(YEAR('3 pr-2'!BF15)=2023,DS15,0)</f>
        <v>0</v>
      </c>
      <c r="EB15" s="350"/>
      <c r="EC15" s="538"/>
      <c r="ED15" s="333"/>
      <c r="EE15" s="1605"/>
      <c r="EF15" s="1605"/>
      <c r="EG15" s="1594">
        <f>IF(YEAR('3 pr-2'!BP15)=2017,ED15,0)</f>
        <v>0</v>
      </c>
      <c r="EH15" s="1594">
        <f>IF(YEAR('3 pr-2'!BP15)=2018,ED15,0)</f>
        <v>0</v>
      </c>
      <c r="EI15" s="1594">
        <f>IF(YEAR('3 pr-2'!BP15)=2019,ED15,0)</f>
        <v>0</v>
      </c>
      <c r="EJ15" s="1594">
        <f>IF(YEAR('3 pr-2'!BP15)=2020,ED15,0)</f>
        <v>0</v>
      </c>
      <c r="EK15" s="1594">
        <f>IF(YEAR('3 pr-2'!BP15)=2021,ED15,0)</f>
        <v>0</v>
      </c>
      <c r="EL15" s="1594">
        <f>IF(YEAR('3 pr-2'!BP15)=2022,ED15,0)</f>
        <v>0</v>
      </c>
      <c r="EM15" s="1594">
        <f>IF(YEAR('3 pr-2'!BP15)=2023,ED15,0)</f>
        <v>0</v>
      </c>
    </row>
    <row r="16" spans="1:143" ht="75" thickTop="1" thickBot="1" x14ac:dyDescent="0.3">
      <c r="A16" s="345" t="str">
        <f>CONCATENATE('3 pr-2'!A16)</f>
        <v>1.1.1.1.7</v>
      </c>
      <c r="B16" s="345" t="str">
        <f>CONCATENATE('3 pr-2'!B16)</f>
        <v>R01-ZM72-123200-1107</v>
      </c>
      <c r="C16" s="970" t="str">
        <f>CONCATENATE('ketv. 2'!B15)</f>
        <v>20KI-KA-17-1-02437-PR001</v>
      </c>
      <c r="D16" s="125" t="str">
        <f>CONCATENATE('3 pr-2'!D16)</f>
        <v>Alytaus rajono Miroslavo kaimo multifunkcinės sporto aikštės įrengimas ir gatvių bei šaligatvių rekonstrukcija</v>
      </c>
      <c r="E16" s="312" t="str">
        <f>CONCATENATE('3 pr-2'!E16)</f>
        <v>Alytaus rajono savivaldybės administracija</v>
      </c>
      <c r="F16" s="312" t="str">
        <f>CONCATENATE('3 pr-2'!F16)</f>
        <v>Lietuvos Respublikos žemės ūkio ministerija</v>
      </c>
      <c r="G16" s="312" t="str">
        <f>CONCATENATE('3 pr-2'!G16)</f>
        <v>Alytaus r. sav.</v>
      </c>
      <c r="H16" s="312" t="str">
        <f>CONCATENATE('3 pr-2'!H16)</f>
        <v xml:space="preserve">Pagrindinės paslaugos ir kaimų atnaujinimas kaimo vietovėse </v>
      </c>
      <c r="I16" s="345" t="str">
        <f>CONCATENATE('3 pr-2'!I16)</f>
        <v>R</v>
      </c>
      <c r="J16" s="345" t="str">
        <f>CONCATENATE('3 pr-2'!J16)</f>
        <v>-</v>
      </c>
      <c r="K16" s="345" t="str">
        <f>CONCATENATE('3 pr-2'!K16)</f>
        <v>-</v>
      </c>
      <c r="L16" s="345" t="s">
        <v>455</v>
      </c>
      <c r="M16" s="537" t="s">
        <v>456</v>
      </c>
      <c r="N16" s="345"/>
      <c r="O16" s="345"/>
      <c r="P16" s="345"/>
      <c r="Q16" s="345"/>
      <c r="R16" s="345"/>
      <c r="S16" s="345"/>
      <c r="T16" s="345"/>
      <c r="U16" s="893"/>
      <c r="V16" s="345">
        <v>3</v>
      </c>
      <c r="W16" s="1578" t="str">
        <f>IF('ketv. 6 '!L15&gt;0,"taip",0)</f>
        <v>taip</v>
      </c>
      <c r="X16" s="1579"/>
      <c r="Y16" s="1579">
        <f>IF(YEAR('3 pr-2'!$AK16)=2017,$V16,0)</f>
        <v>0</v>
      </c>
      <c r="Z16" s="1579">
        <f>IF(YEAR('3 pr-2'!$AK16)=2018,$V16,0)</f>
        <v>3</v>
      </c>
      <c r="AA16" s="1579">
        <f>IF(YEAR('3 pr-2'!$AK16)=2019,$V16,0)</f>
        <v>0</v>
      </c>
      <c r="AB16" s="1579">
        <f>IF(YEAR('3 pr-2'!$AK16)=2020,$V16,0)</f>
        <v>0</v>
      </c>
      <c r="AC16" s="1579">
        <f>IF(YEAR('3 pr-2'!$AK16)=2021,$V16,0)</f>
        <v>0</v>
      </c>
      <c r="AD16" s="1579">
        <f>IF(YEAR('3 pr-2'!$AK16)=2022,$V16,0)</f>
        <v>0</v>
      </c>
      <c r="AE16" s="1579">
        <f>IF(YEAR('3 pr-2'!$AK16)=2023,$V16,0)</f>
        <v>0</v>
      </c>
      <c r="AF16" s="350" t="s">
        <v>457</v>
      </c>
      <c r="AG16" s="537" t="s">
        <v>458</v>
      </c>
      <c r="AH16" s="345"/>
      <c r="AI16" s="345"/>
      <c r="AJ16" s="345"/>
      <c r="AK16" s="345"/>
      <c r="AL16" s="345"/>
      <c r="AM16" s="345"/>
      <c r="AN16" s="345"/>
      <c r="AO16" s="895">
        <f t="shared" si="33"/>
        <v>0</v>
      </c>
      <c r="AP16" s="345">
        <v>382</v>
      </c>
      <c r="AQ16" s="1597"/>
      <c r="AR16" s="1579"/>
      <c r="AS16" s="1579">
        <f>IF(YEAR('3 pr-2'!$AK16)=2017,$AP16,0)</f>
        <v>0</v>
      </c>
      <c r="AT16" s="1579">
        <f>IF(YEAR('3 pr-2'!$AK16)=2018,$AP16,0)</f>
        <v>382</v>
      </c>
      <c r="AU16" s="1579">
        <f>IF(YEAR('3 pr-2'!$AK16)=2019,$AP16,0)</f>
        <v>0</v>
      </c>
      <c r="AV16" s="1579">
        <f>IF(YEAR('3 pr-2'!$AK16)=2020,$AP16,0)</f>
        <v>0</v>
      </c>
      <c r="AW16" s="1579">
        <f>IF(YEAR('3 pr-2'!$AK16)=2021,$AP16,0)</f>
        <v>0</v>
      </c>
      <c r="AX16" s="1579">
        <f>IF(YEAR('3 pr-2'!$AK16)=2022,$AP16,0)</f>
        <v>0</v>
      </c>
      <c r="AY16" s="1579">
        <f>IF(YEAR('3 pr-2'!$AK16)=2023,$AP16,0)</f>
        <v>0</v>
      </c>
      <c r="AZ16" s="345" t="s">
        <v>459</v>
      </c>
      <c r="BA16" s="536" t="s">
        <v>460</v>
      </c>
      <c r="BB16" s="345"/>
      <c r="BC16" s="345"/>
      <c r="BD16" s="345"/>
      <c r="BE16" s="345"/>
      <c r="BF16" s="345"/>
      <c r="BG16" s="345"/>
      <c r="BH16" s="345"/>
      <c r="BI16" s="895">
        <f t="shared" si="34"/>
        <v>0</v>
      </c>
      <c r="BJ16" s="345">
        <v>1</v>
      </c>
      <c r="BK16" s="1597"/>
      <c r="BL16" s="1579"/>
      <c r="BM16" s="1579">
        <f>IF(YEAR('3 pr-2'!AK16)=2017,BJ16,0)</f>
        <v>0</v>
      </c>
      <c r="BN16" s="1579">
        <f>IF(YEAR('3 pr-2'!AK16)=2018,BJ16,0)</f>
        <v>1</v>
      </c>
      <c r="BO16" s="1579">
        <f>IF(YEAR('3 pr-2'!AK16)=2019,BJ16,0)</f>
        <v>0</v>
      </c>
      <c r="BP16" s="1579">
        <f>IF(YEAR('3 pr-2'!AK16)=2020,BJ16,0)</f>
        <v>0</v>
      </c>
      <c r="BQ16" s="1579">
        <f>IF(YEAR('3 pr-2'!AK16)=2021,BJ16,0)</f>
        <v>0</v>
      </c>
      <c r="BR16" s="1579">
        <f>IF(YEAR('3 pr-2'!AK16)=2022,BJ16,0)</f>
        <v>0</v>
      </c>
      <c r="BS16" s="1579">
        <f>IF(YEAR('3 pr-2'!AK16)=2023,BJ16,0)</f>
        <v>0</v>
      </c>
      <c r="BT16" s="350"/>
      <c r="BU16" s="537"/>
      <c r="BV16" s="345"/>
      <c r="BW16" s="345"/>
      <c r="BX16" s="345"/>
      <c r="BY16" s="345"/>
      <c r="BZ16" s="345"/>
      <c r="CA16" s="345"/>
      <c r="CB16" s="345"/>
      <c r="CC16" s="895">
        <f t="shared" si="35"/>
        <v>0</v>
      </c>
      <c r="CD16" s="345"/>
      <c r="CE16" s="1579"/>
      <c r="CF16" s="1579"/>
      <c r="CG16" s="1579">
        <f>IF(YEAR('3 pr-2'!$AK16)=2017,$CD16,0)</f>
        <v>0</v>
      </c>
      <c r="CH16" s="1579">
        <f>IF(YEAR('3 pr-2'!$AK16)=2018,$CD16,0)</f>
        <v>0</v>
      </c>
      <c r="CI16" s="1579">
        <f>IF(YEAR('3 pr-2'!$AK16)=2019,$CD16,0)</f>
        <v>0</v>
      </c>
      <c r="CJ16" s="1579">
        <f>IF(YEAR('3 pr-2'!$AK16)=2020,$CD16,0)</f>
        <v>0</v>
      </c>
      <c r="CK16" s="1579">
        <f>IF(YEAR('3 pr-2'!$AK16)=2021,$CD16,0)</f>
        <v>0</v>
      </c>
      <c r="CL16" s="1579">
        <f>IF(YEAR('3 pr-2'!$AK16)=2022,$CD16,0)</f>
        <v>0</v>
      </c>
      <c r="CM16" s="1579">
        <f>IF(YEAR('3 pr-2'!$AK16)=2023,$CD16,0)</f>
        <v>0</v>
      </c>
      <c r="CN16" s="350"/>
      <c r="CO16" s="538"/>
      <c r="CP16" s="351"/>
      <c r="CQ16" s="345"/>
      <c r="CR16" s="345"/>
      <c r="CS16" s="345"/>
      <c r="CT16" s="345"/>
      <c r="CU16" s="345"/>
      <c r="CV16" s="345"/>
      <c r="CW16" s="895">
        <f t="shared" si="36"/>
        <v>0</v>
      </c>
      <c r="CX16" s="351"/>
      <c r="CY16" s="1605"/>
      <c r="CZ16" s="1605"/>
      <c r="DA16" s="1594">
        <f>IF(YEAR('3 pr-2'!AK16)=2017,CX16,0)</f>
        <v>0</v>
      </c>
      <c r="DB16" s="1594">
        <f>IF(YEAR('3 pr-2'!AK16)=2018,CX16,0)</f>
        <v>0</v>
      </c>
      <c r="DC16" s="1594">
        <f>IF(YEAR('3 pr-2'!AK16)=2019,CX16,0)</f>
        <v>0</v>
      </c>
      <c r="DD16" s="1594">
        <f>IF(YEAR('3 pr-2'!AK16)=2020,CX16,0)</f>
        <v>0</v>
      </c>
      <c r="DE16" s="1594">
        <f>IF(YEAR('3 pr-2'!AK16)=2021,CX16,0)</f>
        <v>0</v>
      </c>
      <c r="DF16" s="1594">
        <f>IF(YEAR('3 pr-2'!AK16)=2022,CX16,0)</f>
        <v>0</v>
      </c>
      <c r="DG16" s="1594">
        <f>IF(YEAR('3 pr-2'!AK16)=2023,CX16,0)</f>
        <v>0</v>
      </c>
      <c r="DH16" s="350"/>
      <c r="DI16" s="538"/>
      <c r="DJ16" s="351"/>
      <c r="DK16" s="345"/>
      <c r="DL16" s="345"/>
      <c r="DM16" s="345"/>
      <c r="DN16" s="345"/>
      <c r="DO16" s="345"/>
      <c r="DP16" s="345"/>
      <c r="DQ16" s="895">
        <f t="shared" si="37"/>
        <v>0</v>
      </c>
      <c r="DR16" s="351"/>
      <c r="DS16" s="1605"/>
      <c r="DT16" s="1605"/>
      <c r="DU16" s="1594">
        <f>IF(YEAR('3 pr-2'!BF16)=2017,DS16,0)</f>
        <v>0</v>
      </c>
      <c r="DV16" s="1594">
        <f>IF(YEAR('3 pr-2'!BF16)=2018,DS16,0)</f>
        <v>0</v>
      </c>
      <c r="DW16" s="1594">
        <f>IF(YEAR('3 pr-2'!BF16)=2019,DS16,0)</f>
        <v>0</v>
      </c>
      <c r="DX16" s="1594">
        <f>IF(YEAR('3 pr-2'!BF16)=2020,DS16,0)</f>
        <v>0</v>
      </c>
      <c r="DY16" s="1594">
        <f>IF(YEAR('3 pr-2'!BF16)=2021,DS16,0)</f>
        <v>0</v>
      </c>
      <c r="DZ16" s="1594">
        <f>IF(YEAR('3 pr-2'!BF16)=2022,DS16,0)</f>
        <v>0</v>
      </c>
      <c r="EA16" s="1594">
        <f>IF(YEAR('3 pr-2'!BF16)=2023,DS16,0)</f>
        <v>0</v>
      </c>
      <c r="EB16" s="350"/>
      <c r="EC16" s="538"/>
      <c r="ED16" s="333"/>
      <c r="EE16" s="1605"/>
      <c r="EF16" s="1605"/>
      <c r="EG16" s="1594">
        <f>IF(YEAR('3 pr-2'!BP16)=2017,ED16,0)</f>
        <v>0</v>
      </c>
      <c r="EH16" s="1594">
        <f>IF(YEAR('3 pr-2'!BP16)=2018,ED16,0)</f>
        <v>0</v>
      </c>
      <c r="EI16" s="1594">
        <f>IF(YEAR('3 pr-2'!BP16)=2019,ED16,0)</f>
        <v>0</v>
      </c>
      <c r="EJ16" s="1594">
        <f>IF(YEAR('3 pr-2'!BP16)=2020,ED16,0)</f>
        <v>0</v>
      </c>
      <c r="EK16" s="1594">
        <f>IF(YEAR('3 pr-2'!BP16)=2021,ED16,0)</f>
        <v>0</v>
      </c>
      <c r="EL16" s="1594">
        <f>IF(YEAR('3 pr-2'!BP16)=2022,ED16,0)</f>
        <v>0</v>
      </c>
      <c r="EM16" s="1594">
        <f>IF(YEAR('3 pr-2'!BP16)=2023,ED16,0)</f>
        <v>0</v>
      </c>
    </row>
    <row r="17" spans="1:143" ht="75" thickTop="1" thickBot="1" x14ac:dyDescent="0.3">
      <c r="A17" s="345" t="str">
        <f>CONCATENATE('3 pr-2'!A17)</f>
        <v>1.1.1.1.8</v>
      </c>
      <c r="B17" s="345" t="str">
        <f>CONCATENATE('3 pr-2'!B17)</f>
        <v>R01-ZM72-123200-1108</v>
      </c>
      <c r="C17" s="970" t="str">
        <f>CONCATENATE('ketv. 2'!B16)</f>
        <v>20KI-KA-17-1-02242-PR001</v>
      </c>
      <c r="D17" s="125" t="str">
        <f>CONCATENATE('3 pr-2'!D17)</f>
        <v>Alytaus rajono Luksnėnų kaimo multifunkcinės sporto aikštės įrengimas ir gatvių rekonstrukcija</v>
      </c>
      <c r="E17" s="312" t="str">
        <f>CONCATENATE('3 pr-2'!E17)</f>
        <v>Alytaus rajono savivaldybės administracija</v>
      </c>
      <c r="F17" s="312" t="str">
        <f>CONCATENATE('3 pr-2'!F17)</f>
        <v>Lietuvos Respublikos žemės ūkio ministerija</v>
      </c>
      <c r="G17" s="312" t="str">
        <f>CONCATENATE('3 pr-2'!G17)</f>
        <v>Alytaus r. sav.</v>
      </c>
      <c r="H17" s="312" t="str">
        <f>CONCATENATE('3 pr-2'!H17)</f>
        <v xml:space="preserve">Pagrindinės paslaugos ir kaimų atnaujinimas kaimo vietovėse </v>
      </c>
      <c r="I17" s="345" t="str">
        <f>CONCATENATE('3 pr-2'!I17)</f>
        <v>R</v>
      </c>
      <c r="J17" s="345" t="str">
        <f>CONCATENATE('3 pr-2'!J17)</f>
        <v>-</v>
      </c>
      <c r="K17" s="345" t="str">
        <f>CONCATENATE('3 pr-2'!K17)</f>
        <v>-</v>
      </c>
      <c r="L17" s="345" t="s">
        <v>455</v>
      </c>
      <c r="M17" s="537" t="s">
        <v>456</v>
      </c>
      <c r="N17" s="345"/>
      <c r="O17" s="345"/>
      <c r="P17" s="345"/>
      <c r="Q17" s="345"/>
      <c r="R17" s="345"/>
      <c r="S17" s="345"/>
      <c r="T17" s="345"/>
      <c r="U17" s="893"/>
      <c r="V17" s="345">
        <v>2</v>
      </c>
      <c r="W17" s="1578" t="str">
        <f>IF('ketv. 6 '!L16&gt;0,"taip",0)</f>
        <v>taip</v>
      </c>
      <c r="X17" s="1579"/>
      <c r="Y17" s="1579">
        <f>IF(YEAR('3 pr-2'!$AK17)=2017,$V17,0)</f>
        <v>0</v>
      </c>
      <c r="Z17" s="1579">
        <f>IF(YEAR('3 pr-2'!$AK17)=2018,$V17,0)</f>
        <v>2</v>
      </c>
      <c r="AA17" s="1579">
        <f>IF(YEAR('3 pr-2'!$AK17)=2019,$V17,0)</f>
        <v>0</v>
      </c>
      <c r="AB17" s="1579">
        <f>IF(YEAR('3 pr-2'!$AK17)=2020,$V17,0)</f>
        <v>0</v>
      </c>
      <c r="AC17" s="1579">
        <f>IF(YEAR('3 pr-2'!$AK17)=2021,$V17,0)</f>
        <v>0</v>
      </c>
      <c r="AD17" s="1579">
        <f>IF(YEAR('3 pr-2'!$AK17)=2022,$V17,0)</f>
        <v>0</v>
      </c>
      <c r="AE17" s="1579">
        <f>IF(YEAR('3 pr-2'!$AK17)=2023,$V17,0)</f>
        <v>0</v>
      </c>
      <c r="AF17" s="350" t="s">
        <v>457</v>
      </c>
      <c r="AG17" s="537" t="s">
        <v>458</v>
      </c>
      <c r="AH17" s="345"/>
      <c r="AI17" s="345"/>
      <c r="AJ17" s="345"/>
      <c r="AK17" s="345"/>
      <c r="AL17" s="345"/>
      <c r="AM17" s="345"/>
      <c r="AN17" s="345"/>
      <c r="AO17" s="895">
        <f t="shared" si="33"/>
        <v>0</v>
      </c>
      <c r="AP17" s="345">
        <v>491</v>
      </c>
      <c r="AQ17" s="1597"/>
      <c r="AR17" s="1579"/>
      <c r="AS17" s="1579">
        <f>IF(YEAR('3 pr-2'!$AK17)=2017,$AP17,0)</f>
        <v>0</v>
      </c>
      <c r="AT17" s="1579">
        <f>IF(YEAR('3 pr-2'!$AK17)=2018,$AP17,0)</f>
        <v>491</v>
      </c>
      <c r="AU17" s="1579">
        <f>IF(YEAR('3 pr-2'!$AK17)=2019,$AP17,0)</f>
        <v>0</v>
      </c>
      <c r="AV17" s="1579">
        <f>IF(YEAR('3 pr-2'!$AK17)=2020,$AP17,0)</f>
        <v>0</v>
      </c>
      <c r="AW17" s="1579">
        <f>IF(YEAR('3 pr-2'!$AK17)=2021,$AP17,0)</f>
        <v>0</v>
      </c>
      <c r="AX17" s="1579">
        <f>IF(YEAR('3 pr-2'!$AK17)=2022,$AP17,0)</f>
        <v>0</v>
      </c>
      <c r="AY17" s="1579">
        <f>IF(YEAR('3 pr-2'!$AK17)=2023,$AP17,0)</f>
        <v>0</v>
      </c>
      <c r="AZ17" s="345" t="s">
        <v>459</v>
      </c>
      <c r="BA17" s="536" t="s">
        <v>460</v>
      </c>
      <c r="BB17" s="345"/>
      <c r="BC17" s="345"/>
      <c r="BD17" s="345"/>
      <c r="BE17" s="345"/>
      <c r="BF17" s="345"/>
      <c r="BG17" s="345"/>
      <c r="BH17" s="345"/>
      <c r="BI17" s="895">
        <f t="shared" si="34"/>
        <v>0</v>
      </c>
      <c r="BJ17" s="345">
        <v>1</v>
      </c>
      <c r="BK17" s="1597"/>
      <c r="BL17" s="1579"/>
      <c r="BM17" s="1579">
        <f>IF(YEAR('3 pr-2'!AK17)=2017,BJ17,0)</f>
        <v>0</v>
      </c>
      <c r="BN17" s="1579">
        <f>IF(YEAR('3 pr-2'!AK17)=2018,BJ17,0)</f>
        <v>1</v>
      </c>
      <c r="BO17" s="1579">
        <f>IF(YEAR('3 pr-2'!AK17)=2019,BJ17,0)</f>
        <v>0</v>
      </c>
      <c r="BP17" s="1579">
        <f>IF(YEAR('3 pr-2'!AK17)=2020,BJ17,0)</f>
        <v>0</v>
      </c>
      <c r="BQ17" s="1579">
        <f>IF(YEAR('3 pr-2'!AK17)=2021,BJ17,0)</f>
        <v>0</v>
      </c>
      <c r="BR17" s="1579">
        <f>IF(YEAR('3 pr-2'!AK17)=2022,BJ17,0)</f>
        <v>0</v>
      </c>
      <c r="BS17" s="1579">
        <f>IF(YEAR('3 pr-2'!AK17)=2023,BJ17,0)</f>
        <v>0</v>
      </c>
      <c r="BT17" s="350"/>
      <c r="BU17" s="537"/>
      <c r="BV17" s="345"/>
      <c r="BW17" s="345"/>
      <c r="BX17" s="345"/>
      <c r="BY17" s="345"/>
      <c r="BZ17" s="345"/>
      <c r="CA17" s="345"/>
      <c r="CB17" s="345"/>
      <c r="CC17" s="895">
        <f t="shared" si="35"/>
        <v>0</v>
      </c>
      <c r="CD17" s="345"/>
      <c r="CE17" s="1579"/>
      <c r="CF17" s="1579"/>
      <c r="CG17" s="1579">
        <f>IF(YEAR('3 pr-2'!$AK17)=2017,$CD17,0)</f>
        <v>0</v>
      </c>
      <c r="CH17" s="1579">
        <f>IF(YEAR('3 pr-2'!$AK17)=2018,$CD17,0)</f>
        <v>0</v>
      </c>
      <c r="CI17" s="1579">
        <f>IF(YEAR('3 pr-2'!$AK17)=2019,$CD17,0)</f>
        <v>0</v>
      </c>
      <c r="CJ17" s="1579">
        <f>IF(YEAR('3 pr-2'!$AK17)=2020,$CD17,0)</f>
        <v>0</v>
      </c>
      <c r="CK17" s="1579">
        <f>IF(YEAR('3 pr-2'!$AK17)=2021,$CD17,0)</f>
        <v>0</v>
      </c>
      <c r="CL17" s="1579">
        <f>IF(YEAR('3 pr-2'!$AK17)=2022,$CD17,0)</f>
        <v>0</v>
      </c>
      <c r="CM17" s="1579">
        <f>IF(YEAR('3 pr-2'!$AK17)=2023,$CD17,0)</f>
        <v>0</v>
      </c>
      <c r="CN17" s="350"/>
      <c r="CO17" s="538"/>
      <c r="CP17" s="351"/>
      <c r="CQ17" s="345"/>
      <c r="CR17" s="345"/>
      <c r="CS17" s="345"/>
      <c r="CT17" s="345"/>
      <c r="CU17" s="345"/>
      <c r="CV17" s="345"/>
      <c r="CW17" s="895">
        <f t="shared" si="36"/>
        <v>0</v>
      </c>
      <c r="CX17" s="351"/>
      <c r="CY17" s="1605"/>
      <c r="CZ17" s="1605"/>
      <c r="DA17" s="1594">
        <f>IF(YEAR('3 pr-2'!AK17)=2017,CX17,0)</f>
        <v>0</v>
      </c>
      <c r="DB17" s="1594">
        <f>IF(YEAR('3 pr-2'!AK17)=2018,CX17,0)</f>
        <v>0</v>
      </c>
      <c r="DC17" s="1594">
        <f>IF(YEAR('3 pr-2'!AK17)=2019,CX17,0)</f>
        <v>0</v>
      </c>
      <c r="DD17" s="1594">
        <f>IF(YEAR('3 pr-2'!AK17)=2020,CX17,0)</f>
        <v>0</v>
      </c>
      <c r="DE17" s="1594">
        <f>IF(YEAR('3 pr-2'!AK17)=2021,CX17,0)</f>
        <v>0</v>
      </c>
      <c r="DF17" s="1594">
        <f>IF(YEAR('3 pr-2'!AK17)=2022,CX17,0)</f>
        <v>0</v>
      </c>
      <c r="DG17" s="1594">
        <f>IF(YEAR('3 pr-2'!AK17)=2023,CX17,0)</f>
        <v>0</v>
      </c>
      <c r="DH17" s="350"/>
      <c r="DI17" s="538"/>
      <c r="DJ17" s="351"/>
      <c r="DK17" s="345"/>
      <c r="DL17" s="345"/>
      <c r="DM17" s="345"/>
      <c r="DN17" s="345"/>
      <c r="DO17" s="345"/>
      <c r="DP17" s="345"/>
      <c r="DQ17" s="895">
        <f t="shared" si="37"/>
        <v>0</v>
      </c>
      <c r="DR17" s="351"/>
      <c r="DS17" s="1605"/>
      <c r="DT17" s="1605"/>
      <c r="DU17" s="1594">
        <f>IF(YEAR('3 pr-2'!BF17)=2017,DS17,0)</f>
        <v>0</v>
      </c>
      <c r="DV17" s="1594">
        <f>IF(YEAR('3 pr-2'!BF17)=2018,DS17,0)</f>
        <v>0</v>
      </c>
      <c r="DW17" s="1594">
        <f>IF(YEAR('3 pr-2'!BF17)=2019,DS17,0)</f>
        <v>0</v>
      </c>
      <c r="DX17" s="1594">
        <f>IF(YEAR('3 pr-2'!BF17)=2020,DS17,0)</f>
        <v>0</v>
      </c>
      <c r="DY17" s="1594">
        <f>IF(YEAR('3 pr-2'!BF17)=2021,DS17,0)</f>
        <v>0</v>
      </c>
      <c r="DZ17" s="1594">
        <f>IF(YEAR('3 pr-2'!BF17)=2022,DS17,0)</f>
        <v>0</v>
      </c>
      <c r="EA17" s="1594">
        <f>IF(YEAR('3 pr-2'!BF17)=2023,DS17,0)</f>
        <v>0</v>
      </c>
      <c r="EB17" s="350"/>
      <c r="EC17" s="538"/>
      <c r="ED17" s="333"/>
      <c r="EE17" s="1605"/>
      <c r="EF17" s="1605"/>
      <c r="EG17" s="1594">
        <f>IF(YEAR('3 pr-2'!BP17)=2017,ED17,0)</f>
        <v>0</v>
      </c>
      <c r="EH17" s="1594">
        <f>IF(YEAR('3 pr-2'!BP17)=2018,ED17,0)</f>
        <v>0</v>
      </c>
      <c r="EI17" s="1594">
        <f>IF(YEAR('3 pr-2'!BP17)=2019,ED17,0)</f>
        <v>0</v>
      </c>
      <c r="EJ17" s="1594">
        <f>IF(YEAR('3 pr-2'!BP17)=2020,ED17,0)</f>
        <v>0</v>
      </c>
      <c r="EK17" s="1594">
        <f>IF(YEAR('3 pr-2'!BP17)=2021,ED17,0)</f>
        <v>0</v>
      </c>
      <c r="EL17" s="1594">
        <f>IF(YEAR('3 pr-2'!BP17)=2022,ED17,0)</f>
        <v>0</v>
      </c>
      <c r="EM17" s="1594">
        <f>IF(YEAR('3 pr-2'!BP17)=2023,ED17,0)</f>
        <v>0</v>
      </c>
    </row>
    <row r="18" spans="1:143" ht="75" thickTop="1" thickBot="1" x14ac:dyDescent="0.3">
      <c r="A18" s="345" t="str">
        <f>CONCATENATE('3 pr-2'!A18)</f>
        <v>1.1.1.1.9</v>
      </c>
      <c r="B18" s="345" t="str">
        <f>CONCATENATE('3 pr-2'!B18)</f>
        <v>R01-ZM72-340000-1109</v>
      </c>
      <c r="C18" s="970" t="str">
        <f>CONCATENATE('ketv. 2'!B17)</f>
        <v>20KI-KA-17-1-02372-PR001</v>
      </c>
      <c r="D18" s="125" t="str">
        <f>CONCATENATE('3 pr-2'!D18)</f>
        <v>Krikštonių laisvalaikio salės pritaikymas bendruomenės poreikiams</v>
      </c>
      <c r="E18" s="312" t="str">
        <f>CONCATENATE('3 pr-2'!E18)</f>
        <v xml:space="preserve">Viešoji įstaiga Lazdijų kultūros centras </v>
      </c>
      <c r="F18" s="312" t="str">
        <f>CONCATENATE('3 pr-2'!F18)</f>
        <v>Lietuvos Respublikos žemės ūkio ministerija</v>
      </c>
      <c r="G18" s="312" t="str">
        <f>CONCATENATE('3 pr-2'!G18)</f>
        <v>Lazdijų r. sav.</v>
      </c>
      <c r="H18" s="312" t="str">
        <f>CONCATENATE('3 pr-2'!H18)</f>
        <v xml:space="preserve">Pagrindinės paslaugos ir kaimų atnaujinimas kaimo vietovėse </v>
      </c>
      <c r="I18" s="345" t="str">
        <f>CONCATENATE('3 pr-2'!I18)</f>
        <v>R</v>
      </c>
      <c r="J18" s="345" t="str">
        <f>CONCATENATE('3 pr-2'!J18)</f>
        <v>-</v>
      </c>
      <c r="K18" s="345" t="str">
        <f>CONCATENATE('3 pr-2'!K18)</f>
        <v>-</v>
      </c>
      <c r="L18" s="345" t="s">
        <v>455</v>
      </c>
      <c r="M18" s="537" t="s">
        <v>456</v>
      </c>
      <c r="N18" s="345"/>
      <c r="O18" s="345"/>
      <c r="P18" s="345"/>
      <c r="Q18" s="345"/>
      <c r="R18" s="345"/>
      <c r="S18" s="345"/>
      <c r="T18" s="345"/>
      <c r="U18" s="893"/>
      <c r="V18" s="345">
        <v>1</v>
      </c>
      <c r="W18" s="1578" t="str">
        <f>IF('ketv. 6 '!L17&gt;0,"taip",0)</f>
        <v>taip</v>
      </c>
      <c r="X18" s="1579"/>
      <c r="Y18" s="1579">
        <f>IF(YEAR('3 pr-2'!$AK18)=2017,$V18,0)</f>
        <v>0</v>
      </c>
      <c r="Z18" s="1579">
        <f>IF(YEAR('3 pr-2'!$AK18)=2018,$V18,0)</f>
        <v>1</v>
      </c>
      <c r="AA18" s="1579">
        <f>IF(YEAR('3 pr-2'!$AK18)=2019,$V18,0)</f>
        <v>0</v>
      </c>
      <c r="AB18" s="1579">
        <f>IF(YEAR('3 pr-2'!$AK18)=2020,$V18,0)</f>
        <v>0</v>
      </c>
      <c r="AC18" s="1579">
        <f>IF(YEAR('3 pr-2'!$AK18)=2021,$V18,0)</f>
        <v>0</v>
      </c>
      <c r="AD18" s="1579">
        <f>IF(YEAR('3 pr-2'!$AK18)=2022,$V18,0)</f>
        <v>0</v>
      </c>
      <c r="AE18" s="1579">
        <f>IF(YEAR('3 pr-2'!$AK18)=2023,$V18,0)</f>
        <v>0</v>
      </c>
      <c r="AF18" s="350" t="s">
        <v>457</v>
      </c>
      <c r="AG18" s="537" t="s">
        <v>458</v>
      </c>
      <c r="AH18" s="345"/>
      <c r="AI18" s="345"/>
      <c r="AJ18" s="345"/>
      <c r="AK18" s="345"/>
      <c r="AL18" s="345"/>
      <c r="AM18" s="345"/>
      <c r="AN18" s="345"/>
      <c r="AO18" s="895">
        <f t="shared" si="33"/>
        <v>0</v>
      </c>
      <c r="AP18" s="345">
        <v>228</v>
      </c>
      <c r="AQ18" s="1597"/>
      <c r="AR18" s="1579"/>
      <c r="AS18" s="1579">
        <f>IF(YEAR('3 pr-2'!$AK18)=2017,$AP18,0)</f>
        <v>0</v>
      </c>
      <c r="AT18" s="1579">
        <f>IF(YEAR('3 pr-2'!$AK18)=2018,$AP18,0)</f>
        <v>228</v>
      </c>
      <c r="AU18" s="1579">
        <f>IF(YEAR('3 pr-2'!$AK18)=2019,$AP18,0)</f>
        <v>0</v>
      </c>
      <c r="AV18" s="1579">
        <f>IF(YEAR('3 pr-2'!$AK18)=2020,$AP18,0)</f>
        <v>0</v>
      </c>
      <c r="AW18" s="1579">
        <f>IF(YEAR('3 pr-2'!$AK18)=2021,$AP18,0)</f>
        <v>0</v>
      </c>
      <c r="AX18" s="1579">
        <f>IF(YEAR('3 pr-2'!$AK18)=2022,$AP18,0)</f>
        <v>0</v>
      </c>
      <c r="AY18" s="1579">
        <f>IF(YEAR('3 pr-2'!$AK18)=2023,$AP18,0)</f>
        <v>0</v>
      </c>
      <c r="AZ18" s="345" t="s">
        <v>459</v>
      </c>
      <c r="BA18" s="536" t="s">
        <v>460</v>
      </c>
      <c r="BB18" s="345"/>
      <c r="BC18" s="345"/>
      <c r="BD18" s="345"/>
      <c r="BE18" s="345"/>
      <c r="BF18" s="345"/>
      <c r="BG18" s="345"/>
      <c r="BH18" s="345"/>
      <c r="BI18" s="895">
        <f t="shared" si="34"/>
        <v>0</v>
      </c>
      <c r="BJ18" s="345">
        <v>1</v>
      </c>
      <c r="BK18" s="1597"/>
      <c r="BL18" s="1579"/>
      <c r="BM18" s="1579">
        <f>IF(YEAR('3 pr-2'!AK18)=2017,BJ18,0)</f>
        <v>0</v>
      </c>
      <c r="BN18" s="1579">
        <f>IF(YEAR('3 pr-2'!AK18)=2018,BJ18,0)</f>
        <v>1</v>
      </c>
      <c r="BO18" s="1579">
        <f>IF(YEAR('3 pr-2'!AK18)=2019,BJ18,0)</f>
        <v>0</v>
      </c>
      <c r="BP18" s="1579">
        <f>IF(YEAR('3 pr-2'!AK18)=2020,BJ18,0)</f>
        <v>0</v>
      </c>
      <c r="BQ18" s="1579">
        <f>IF(YEAR('3 pr-2'!AK18)=2021,BJ18,0)</f>
        <v>0</v>
      </c>
      <c r="BR18" s="1579">
        <f>IF(YEAR('3 pr-2'!AK18)=2022,BJ18,0)</f>
        <v>0</v>
      </c>
      <c r="BS18" s="1579">
        <f>IF(YEAR('3 pr-2'!AK18)=2023,BJ18,0)</f>
        <v>0</v>
      </c>
      <c r="BT18" s="350"/>
      <c r="BU18" s="537"/>
      <c r="BV18" s="345"/>
      <c r="BW18" s="345"/>
      <c r="BX18" s="345"/>
      <c r="BY18" s="345"/>
      <c r="BZ18" s="345"/>
      <c r="CA18" s="345"/>
      <c r="CB18" s="345"/>
      <c r="CC18" s="895">
        <f t="shared" si="35"/>
        <v>0</v>
      </c>
      <c r="CD18" s="345"/>
      <c r="CE18" s="1579"/>
      <c r="CF18" s="1579"/>
      <c r="CG18" s="1579">
        <f>IF(YEAR('3 pr-2'!$AK18)=2017,$CD18,0)</f>
        <v>0</v>
      </c>
      <c r="CH18" s="1579">
        <f>IF(YEAR('3 pr-2'!$AK18)=2018,$CD18,0)</f>
        <v>0</v>
      </c>
      <c r="CI18" s="1579">
        <f>IF(YEAR('3 pr-2'!$AK18)=2019,$CD18,0)</f>
        <v>0</v>
      </c>
      <c r="CJ18" s="1579">
        <f>IF(YEAR('3 pr-2'!$AK18)=2020,$CD18,0)</f>
        <v>0</v>
      </c>
      <c r="CK18" s="1579">
        <f>IF(YEAR('3 pr-2'!$AK18)=2021,$CD18,0)</f>
        <v>0</v>
      </c>
      <c r="CL18" s="1579">
        <f>IF(YEAR('3 pr-2'!$AK18)=2022,$CD18,0)</f>
        <v>0</v>
      </c>
      <c r="CM18" s="1579">
        <f>IF(YEAR('3 pr-2'!$AK18)=2023,$CD18,0)</f>
        <v>0</v>
      </c>
      <c r="CN18" s="350"/>
      <c r="CO18" s="538"/>
      <c r="CP18" s="351"/>
      <c r="CQ18" s="345"/>
      <c r="CR18" s="345"/>
      <c r="CS18" s="345"/>
      <c r="CT18" s="345"/>
      <c r="CU18" s="345"/>
      <c r="CV18" s="345"/>
      <c r="CW18" s="895">
        <f t="shared" si="36"/>
        <v>0</v>
      </c>
      <c r="CX18" s="351"/>
      <c r="CY18" s="1605"/>
      <c r="CZ18" s="1605"/>
      <c r="DA18" s="1594">
        <f>IF(YEAR('3 pr-2'!AK18)=2017,CX18,0)</f>
        <v>0</v>
      </c>
      <c r="DB18" s="1594">
        <f>IF(YEAR('3 pr-2'!AK18)=2018,CX18,0)</f>
        <v>0</v>
      </c>
      <c r="DC18" s="1594">
        <f>IF(YEAR('3 pr-2'!AK18)=2019,CX18,0)</f>
        <v>0</v>
      </c>
      <c r="DD18" s="1594">
        <f>IF(YEAR('3 pr-2'!AK18)=2020,CX18,0)</f>
        <v>0</v>
      </c>
      <c r="DE18" s="1594">
        <f>IF(YEAR('3 pr-2'!AK18)=2021,CX18,0)</f>
        <v>0</v>
      </c>
      <c r="DF18" s="1594">
        <f>IF(YEAR('3 pr-2'!AK18)=2022,CX18,0)</f>
        <v>0</v>
      </c>
      <c r="DG18" s="1594">
        <f>IF(YEAR('3 pr-2'!AK18)=2023,CX18,0)</f>
        <v>0</v>
      </c>
      <c r="DH18" s="350"/>
      <c r="DI18" s="538"/>
      <c r="DJ18" s="351"/>
      <c r="DK18" s="345"/>
      <c r="DL18" s="345"/>
      <c r="DM18" s="345"/>
      <c r="DN18" s="345"/>
      <c r="DO18" s="345"/>
      <c r="DP18" s="345"/>
      <c r="DQ18" s="895">
        <f t="shared" si="37"/>
        <v>0</v>
      </c>
      <c r="DR18" s="351"/>
      <c r="DS18" s="1605"/>
      <c r="DT18" s="1605"/>
      <c r="DU18" s="1594">
        <f>IF(YEAR('3 pr-2'!BF18)=2017,DS18,0)</f>
        <v>0</v>
      </c>
      <c r="DV18" s="1594">
        <f>IF(YEAR('3 pr-2'!BF18)=2018,DS18,0)</f>
        <v>0</v>
      </c>
      <c r="DW18" s="1594">
        <f>IF(YEAR('3 pr-2'!BF18)=2019,DS18,0)</f>
        <v>0</v>
      </c>
      <c r="DX18" s="1594">
        <f>IF(YEAR('3 pr-2'!BF18)=2020,DS18,0)</f>
        <v>0</v>
      </c>
      <c r="DY18" s="1594">
        <f>IF(YEAR('3 pr-2'!BF18)=2021,DS18,0)</f>
        <v>0</v>
      </c>
      <c r="DZ18" s="1594">
        <f>IF(YEAR('3 pr-2'!BF18)=2022,DS18,0)</f>
        <v>0</v>
      </c>
      <c r="EA18" s="1594">
        <f>IF(YEAR('3 pr-2'!BF18)=2023,DS18,0)</f>
        <v>0</v>
      </c>
      <c r="EB18" s="350"/>
      <c r="EC18" s="538"/>
      <c r="ED18" s="333"/>
      <c r="EE18" s="1605"/>
      <c r="EF18" s="1605"/>
      <c r="EG18" s="1594">
        <f>IF(YEAR('3 pr-2'!BP18)=2017,ED18,0)</f>
        <v>0</v>
      </c>
      <c r="EH18" s="1594">
        <f>IF(YEAR('3 pr-2'!BP18)=2018,ED18,0)</f>
        <v>0</v>
      </c>
      <c r="EI18" s="1594">
        <f>IF(YEAR('3 pr-2'!BP18)=2019,ED18,0)</f>
        <v>0</v>
      </c>
      <c r="EJ18" s="1594">
        <f>IF(YEAR('3 pr-2'!BP18)=2020,ED18,0)</f>
        <v>0</v>
      </c>
      <c r="EK18" s="1594">
        <f>IF(YEAR('3 pr-2'!BP18)=2021,ED18,0)</f>
        <v>0</v>
      </c>
      <c r="EL18" s="1594">
        <f>IF(YEAR('3 pr-2'!BP18)=2022,ED18,0)</f>
        <v>0</v>
      </c>
      <c r="EM18" s="1594">
        <f>IF(YEAR('3 pr-2'!BP18)=2023,ED18,0)</f>
        <v>0</v>
      </c>
    </row>
    <row r="19" spans="1:143" ht="75" thickTop="1" thickBot="1" x14ac:dyDescent="0.3">
      <c r="A19" s="345" t="str">
        <f>CONCATENATE('3 pr-2'!A19)</f>
        <v>1.1.1.1.10</v>
      </c>
      <c r="B19" s="345" t="str">
        <f>CONCATENATE('3 pr-2'!B19)</f>
        <v>R01-ZM72-340200-1110</v>
      </c>
      <c r="C19" s="970" t="str">
        <f>CONCATENATE('ketv. 2'!B18)</f>
        <v>20KI-KA-17-1-02370-PR001</v>
      </c>
      <c r="D19" s="125" t="str">
        <f>CONCATENATE('3 pr-2'!D19)</f>
        <v>Kučiūnų laisvalaikio salės pritaikymas bendruomenės poreikiams</v>
      </c>
      <c r="E19" s="312" t="str">
        <f>CONCATENATE('3 pr-2'!E19)</f>
        <v xml:space="preserve">Viešoji įstaiga Lazdijų kultūros centras </v>
      </c>
      <c r="F19" s="312" t="str">
        <f>CONCATENATE('3 pr-2'!F19)</f>
        <v>Lietuvos Respublikos žemės ūkio ministerija</v>
      </c>
      <c r="G19" s="312" t="str">
        <f>CONCATENATE('3 pr-2'!G19)</f>
        <v>Lazdijų r. sav.</v>
      </c>
      <c r="H19" s="312" t="str">
        <f>CONCATENATE('3 pr-2'!H19)</f>
        <v xml:space="preserve">Pagrindinės paslaugos ir kaimų atnaujinimas kaimo vietovėse </v>
      </c>
      <c r="I19" s="345" t="str">
        <f>CONCATENATE('3 pr-2'!I19)</f>
        <v>R</v>
      </c>
      <c r="J19" s="345" t="str">
        <f>CONCATENATE('3 pr-2'!J19)</f>
        <v>-</v>
      </c>
      <c r="K19" s="345" t="str">
        <f>CONCATENATE('3 pr-2'!K19)</f>
        <v>-</v>
      </c>
      <c r="L19" s="345" t="s">
        <v>455</v>
      </c>
      <c r="M19" s="537" t="s">
        <v>456</v>
      </c>
      <c r="N19" s="345"/>
      <c r="O19" s="345"/>
      <c r="P19" s="345"/>
      <c r="Q19" s="345"/>
      <c r="R19" s="345"/>
      <c r="S19" s="345"/>
      <c r="T19" s="345"/>
      <c r="U19" s="893"/>
      <c r="V19" s="345">
        <v>1</v>
      </c>
      <c r="W19" s="1578" t="str">
        <f>IF('ketv. 6 '!L18&gt;0,"taip",0)</f>
        <v>taip</v>
      </c>
      <c r="X19" s="1579"/>
      <c r="Y19" s="1579">
        <f>IF(YEAR('3 pr-2'!$AK19)=2017,$V19,0)</f>
        <v>0</v>
      </c>
      <c r="Z19" s="1579">
        <f>IF(YEAR('3 pr-2'!$AK19)=2018,$V19,0)</f>
        <v>1</v>
      </c>
      <c r="AA19" s="1579">
        <f>IF(YEAR('3 pr-2'!$AK19)=2019,$V19,0)</f>
        <v>0</v>
      </c>
      <c r="AB19" s="1579">
        <f>IF(YEAR('3 pr-2'!$AK19)=2020,$V19,0)</f>
        <v>0</v>
      </c>
      <c r="AC19" s="1579">
        <f>IF(YEAR('3 pr-2'!$AK19)=2021,$V19,0)</f>
        <v>0</v>
      </c>
      <c r="AD19" s="1579">
        <f>IF(YEAR('3 pr-2'!$AK19)=2022,$V19,0)</f>
        <v>0</v>
      </c>
      <c r="AE19" s="1579">
        <f>IF(YEAR('3 pr-2'!$AK19)=2023,$V19,0)</f>
        <v>0</v>
      </c>
      <c r="AF19" s="350" t="s">
        <v>457</v>
      </c>
      <c r="AG19" s="537" t="s">
        <v>458</v>
      </c>
      <c r="AH19" s="345"/>
      <c r="AI19" s="345"/>
      <c r="AJ19" s="345"/>
      <c r="AK19" s="345"/>
      <c r="AL19" s="345"/>
      <c r="AM19" s="345"/>
      <c r="AN19" s="345"/>
      <c r="AO19" s="895">
        <f t="shared" si="33"/>
        <v>0</v>
      </c>
      <c r="AP19" s="345">
        <v>273</v>
      </c>
      <c r="AQ19" s="1597"/>
      <c r="AR19" s="1579"/>
      <c r="AS19" s="1579">
        <f>IF(YEAR('3 pr-2'!$AK19)=2017,$AP19,0)</f>
        <v>0</v>
      </c>
      <c r="AT19" s="1579">
        <f>IF(YEAR('3 pr-2'!$AK19)=2018,$AP19,0)</f>
        <v>273</v>
      </c>
      <c r="AU19" s="1579">
        <f>IF(YEAR('3 pr-2'!$AK19)=2019,$AP19,0)</f>
        <v>0</v>
      </c>
      <c r="AV19" s="1579">
        <f>IF(YEAR('3 pr-2'!$AK19)=2020,$AP19,0)</f>
        <v>0</v>
      </c>
      <c r="AW19" s="1579">
        <f>IF(YEAR('3 pr-2'!$AK19)=2021,$AP19,0)</f>
        <v>0</v>
      </c>
      <c r="AX19" s="1579">
        <f>IF(YEAR('3 pr-2'!$AK19)=2022,$AP19,0)</f>
        <v>0</v>
      </c>
      <c r="AY19" s="1579">
        <f>IF(YEAR('3 pr-2'!$AK19)=2023,$AP19,0)</f>
        <v>0</v>
      </c>
      <c r="AZ19" s="345" t="s">
        <v>459</v>
      </c>
      <c r="BA19" s="536" t="s">
        <v>460</v>
      </c>
      <c r="BB19" s="345"/>
      <c r="BC19" s="345"/>
      <c r="BD19" s="345"/>
      <c r="BE19" s="345"/>
      <c r="BF19" s="345"/>
      <c r="BG19" s="345"/>
      <c r="BH19" s="345"/>
      <c r="BI19" s="895">
        <f t="shared" si="34"/>
        <v>0</v>
      </c>
      <c r="BJ19" s="345">
        <v>1</v>
      </c>
      <c r="BK19" s="1597"/>
      <c r="BL19" s="1579"/>
      <c r="BM19" s="1579">
        <f>IF(YEAR('3 pr-2'!AK19)=2017,BJ19,0)</f>
        <v>0</v>
      </c>
      <c r="BN19" s="1579">
        <f>IF(YEAR('3 pr-2'!AK19)=2018,BJ19,0)</f>
        <v>1</v>
      </c>
      <c r="BO19" s="1579">
        <f>IF(YEAR('3 pr-2'!AK19)=2019,BJ19,0)</f>
        <v>0</v>
      </c>
      <c r="BP19" s="1579">
        <f>IF(YEAR('3 pr-2'!AK19)=2020,BJ19,0)</f>
        <v>0</v>
      </c>
      <c r="BQ19" s="1579">
        <f>IF(YEAR('3 pr-2'!AK19)=2021,BJ19,0)</f>
        <v>0</v>
      </c>
      <c r="BR19" s="1579">
        <f>IF(YEAR('3 pr-2'!AK19)=2022,BJ19,0)</f>
        <v>0</v>
      </c>
      <c r="BS19" s="1579">
        <f>IF(YEAR('3 pr-2'!AK19)=2023,BJ19,0)</f>
        <v>0</v>
      </c>
      <c r="BT19" s="350"/>
      <c r="BU19" s="537"/>
      <c r="BV19" s="345"/>
      <c r="BW19" s="345"/>
      <c r="BX19" s="345"/>
      <c r="BY19" s="345"/>
      <c r="BZ19" s="345"/>
      <c r="CA19" s="345"/>
      <c r="CB19" s="345"/>
      <c r="CC19" s="895">
        <f t="shared" si="35"/>
        <v>0</v>
      </c>
      <c r="CD19" s="345"/>
      <c r="CE19" s="1579"/>
      <c r="CF19" s="1579"/>
      <c r="CG19" s="1579">
        <f>IF(YEAR('3 pr-2'!$AK19)=2017,$CD19,0)</f>
        <v>0</v>
      </c>
      <c r="CH19" s="1579">
        <f>IF(YEAR('3 pr-2'!$AK19)=2018,$CD19,0)</f>
        <v>0</v>
      </c>
      <c r="CI19" s="1579">
        <f>IF(YEAR('3 pr-2'!$AK19)=2019,$CD19,0)</f>
        <v>0</v>
      </c>
      <c r="CJ19" s="1579">
        <f>IF(YEAR('3 pr-2'!$AK19)=2020,$CD19,0)</f>
        <v>0</v>
      </c>
      <c r="CK19" s="1579">
        <f>IF(YEAR('3 pr-2'!$AK19)=2021,$CD19,0)</f>
        <v>0</v>
      </c>
      <c r="CL19" s="1579">
        <f>IF(YEAR('3 pr-2'!$AK19)=2022,$CD19,0)</f>
        <v>0</v>
      </c>
      <c r="CM19" s="1579">
        <f>IF(YEAR('3 pr-2'!$AK19)=2023,$CD19,0)</f>
        <v>0</v>
      </c>
      <c r="CN19" s="350"/>
      <c r="CO19" s="538"/>
      <c r="CP19" s="351"/>
      <c r="CQ19" s="345"/>
      <c r="CR19" s="345"/>
      <c r="CS19" s="345"/>
      <c r="CT19" s="345"/>
      <c r="CU19" s="345"/>
      <c r="CV19" s="345"/>
      <c r="CW19" s="895">
        <f t="shared" si="36"/>
        <v>0</v>
      </c>
      <c r="CX19" s="351"/>
      <c r="CY19" s="1605"/>
      <c r="CZ19" s="1605"/>
      <c r="DA19" s="1594">
        <f>IF(YEAR('3 pr-2'!AK19)=2017,CX19,0)</f>
        <v>0</v>
      </c>
      <c r="DB19" s="1594">
        <f>IF(YEAR('3 pr-2'!AK19)=2018,CX19,0)</f>
        <v>0</v>
      </c>
      <c r="DC19" s="1594">
        <f>IF(YEAR('3 pr-2'!AK19)=2019,CX19,0)</f>
        <v>0</v>
      </c>
      <c r="DD19" s="1594">
        <f>IF(YEAR('3 pr-2'!AK19)=2020,CX19,0)</f>
        <v>0</v>
      </c>
      <c r="DE19" s="1594">
        <f>IF(YEAR('3 pr-2'!AK19)=2021,CX19,0)</f>
        <v>0</v>
      </c>
      <c r="DF19" s="1594">
        <f>IF(YEAR('3 pr-2'!AK19)=2022,CX19,0)</f>
        <v>0</v>
      </c>
      <c r="DG19" s="1594">
        <f>IF(YEAR('3 pr-2'!AK19)=2023,CX19,0)</f>
        <v>0</v>
      </c>
      <c r="DH19" s="350"/>
      <c r="DI19" s="538"/>
      <c r="DJ19" s="351"/>
      <c r="DK19" s="345"/>
      <c r="DL19" s="345"/>
      <c r="DM19" s="345"/>
      <c r="DN19" s="345"/>
      <c r="DO19" s="345"/>
      <c r="DP19" s="345"/>
      <c r="DQ19" s="895">
        <f t="shared" si="37"/>
        <v>0</v>
      </c>
      <c r="DR19" s="351"/>
      <c r="DS19" s="1605"/>
      <c r="DT19" s="1605"/>
      <c r="DU19" s="1594">
        <f>IF(YEAR('3 pr-2'!BF19)=2017,DS19,0)</f>
        <v>0</v>
      </c>
      <c r="DV19" s="1594">
        <f>IF(YEAR('3 pr-2'!BF19)=2018,DS19,0)</f>
        <v>0</v>
      </c>
      <c r="DW19" s="1594">
        <f>IF(YEAR('3 pr-2'!BF19)=2019,DS19,0)</f>
        <v>0</v>
      </c>
      <c r="DX19" s="1594">
        <f>IF(YEAR('3 pr-2'!BF19)=2020,DS19,0)</f>
        <v>0</v>
      </c>
      <c r="DY19" s="1594">
        <f>IF(YEAR('3 pr-2'!BF19)=2021,DS19,0)</f>
        <v>0</v>
      </c>
      <c r="DZ19" s="1594">
        <f>IF(YEAR('3 pr-2'!BF19)=2022,DS19,0)</f>
        <v>0</v>
      </c>
      <c r="EA19" s="1594">
        <f>IF(YEAR('3 pr-2'!BF19)=2023,DS19,0)</f>
        <v>0</v>
      </c>
      <c r="EB19" s="350"/>
      <c r="EC19" s="538"/>
      <c r="ED19" s="333"/>
      <c r="EE19" s="1605"/>
      <c r="EF19" s="1605"/>
      <c r="EG19" s="1594">
        <f>IF(YEAR('3 pr-2'!BP19)=2017,ED19,0)</f>
        <v>0</v>
      </c>
      <c r="EH19" s="1594">
        <f>IF(YEAR('3 pr-2'!BP19)=2018,ED19,0)</f>
        <v>0</v>
      </c>
      <c r="EI19" s="1594">
        <f>IF(YEAR('3 pr-2'!BP19)=2019,ED19,0)</f>
        <v>0</v>
      </c>
      <c r="EJ19" s="1594">
        <f>IF(YEAR('3 pr-2'!BP19)=2020,ED19,0)</f>
        <v>0</v>
      </c>
      <c r="EK19" s="1594">
        <f>IF(YEAR('3 pr-2'!BP19)=2021,ED19,0)</f>
        <v>0</v>
      </c>
      <c r="EL19" s="1594">
        <f>IF(YEAR('3 pr-2'!BP19)=2022,ED19,0)</f>
        <v>0</v>
      </c>
      <c r="EM19" s="1594">
        <f>IF(YEAR('3 pr-2'!BP19)=2023,ED19,0)</f>
        <v>0</v>
      </c>
    </row>
    <row r="20" spans="1:143" ht="75" thickTop="1" thickBot="1" x14ac:dyDescent="0.3">
      <c r="A20" s="345" t="str">
        <f>CONCATENATE('3 pr-2'!A20)</f>
        <v>1.1.1.1.11</v>
      </c>
      <c r="B20" s="345" t="str">
        <f>CONCATENATE('3 pr-2'!B20)</f>
        <v>R01-ZM72-320000-1111</v>
      </c>
      <c r="C20" s="970" t="str">
        <f>CONCATENATE('ketv. 2'!B19)</f>
        <v>20KI-KA-17-1-02354-PR001</v>
      </c>
      <c r="D20" s="125" t="str">
        <f>CONCATENATE('3 pr-2'!D20)</f>
        <v>Laisvalaikio infrastruktūros sukūrimas Lazdijų rajono kaimo gyvenamosiose vietovėse</v>
      </c>
      <c r="E20" s="312" t="str">
        <f>CONCATENATE('3 pr-2'!E20)</f>
        <v>Lazdijų rajono savivaldybės administracija</v>
      </c>
      <c r="F20" s="312" t="str">
        <f>CONCATENATE('3 pr-2'!F20)</f>
        <v>Lietuvos Respublikos žemės ūkio ministerija</v>
      </c>
      <c r="G20" s="312" t="str">
        <f>CONCATENATE('3 pr-2'!G20)</f>
        <v>Lazdijų r. sav.</v>
      </c>
      <c r="H20" s="312" t="str">
        <f>CONCATENATE('3 pr-2'!H20)</f>
        <v xml:space="preserve">Pagrindinės paslaugos ir kaimų atnaujinimas kaimo vietovėse </v>
      </c>
      <c r="I20" s="345" t="str">
        <f>CONCATENATE('3 pr-2'!I20)</f>
        <v>R</v>
      </c>
      <c r="J20" s="345" t="str">
        <f>CONCATENATE('3 pr-2'!J20)</f>
        <v>-</v>
      </c>
      <c r="K20" s="345" t="str">
        <f>CONCATENATE('3 pr-2'!K20)</f>
        <v>-</v>
      </c>
      <c r="L20" s="345" t="s">
        <v>455</v>
      </c>
      <c r="M20" s="537" t="s">
        <v>456</v>
      </c>
      <c r="N20" s="345"/>
      <c r="O20" s="345"/>
      <c r="P20" s="345"/>
      <c r="Q20" s="345"/>
      <c r="R20" s="345"/>
      <c r="S20" s="345"/>
      <c r="T20" s="345"/>
      <c r="U20" s="893"/>
      <c r="V20" s="345">
        <v>1</v>
      </c>
      <c r="W20" s="1578" t="str">
        <f>IF('ketv. 6 '!L19&gt;0,"taip",0)</f>
        <v>taip</v>
      </c>
      <c r="X20" s="1579"/>
      <c r="Y20" s="1579">
        <f>IF(YEAR('3 pr-2'!$AK20)=2017,$V20,0)</f>
        <v>0</v>
      </c>
      <c r="Z20" s="1579">
        <f>IF(YEAR('3 pr-2'!$AK20)=2018,$V20,0)</f>
        <v>1</v>
      </c>
      <c r="AA20" s="1579">
        <f>IF(YEAR('3 pr-2'!$AK20)=2019,$V20,0)</f>
        <v>0</v>
      </c>
      <c r="AB20" s="1579">
        <f>IF(YEAR('3 pr-2'!$AK20)=2020,$V20,0)</f>
        <v>0</v>
      </c>
      <c r="AC20" s="1579">
        <f>IF(YEAR('3 pr-2'!$AK20)=2021,$V20,0)</f>
        <v>0</v>
      </c>
      <c r="AD20" s="1579">
        <f>IF(YEAR('3 pr-2'!$AK20)=2022,$V20,0)</f>
        <v>0</v>
      </c>
      <c r="AE20" s="1579">
        <f>IF(YEAR('3 pr-2'!$AK20)=2023,$V20,0)</f>
        <v>0</v>
      </c>
      <c r="AF20" s="350" t="s">
        <v>457</v>
      </c>
      <c r="AG20" s="537" t="s">
        <v>458</v>
      </c>
      <c r="AH20" s="345"/>
      <c r="AI20" s="345"/>
      <c r="AJ20" s="345"/>
      <c r="AK20" s="345"/>
      <c r="AL20" s="345"/>
      <c r="AM20" s="345"/>
      <c r="AN20" s="345"/>
      <c r="AO20" s="895">
        <f t="shared" si="33"/>
        <v>0</v>
      </c>
      <c r="AP20" s="345">
        <v>631</v>
      </c>
      <c r="AQ20" s="1597"/>
      <c r="AR20" s="1579"/>
      <c r="AS20" s="1579">
        <f>IF(YEAR('3 pr-2'!$AK20)=2017,$AP20,0)</f>
        <v>0</v>
      </c>
      <c r="AT20" s="1579">
        <f>IF(YEAR('3 pr-2'!$AK20)=2018,$AP20,0)</f>
        <v>631</v>
      </c>
      <c r="AU20" s="1579">
        <f>IF(YEAR('3 pr-2'!$AK20)=2019,$AP20,0)</f>
        <v>0</v>
      </c>
      <c r="AV20" s="1579">
        <f>IF(YEAR('3 pr-2'!$AK20)=2020,$AP20,0)</f>
        <v>0</v>
      </c>
      <c r="AW20" s="1579">
        <f>IF(YEAR('3 pr-2'!$AK20)=2021,$AP20,0)</f>
        <v>0</v>
      </c>
      <c r="AX20" s="1579">
        <f>IF(YEAR('3 pr-2'!$AK20)=2022,$AP20,0)</f>
        <v>0</v>
      </c>
      <c r="AY20" s="1579">
        <f>IF(YEAR('3 pr-2'!$AK20)=2023,$AP20,0)</f>
        <v>0</v>
      </c>
      <c r="AZ20" s="345" t="s">
        <v>459</v>
      </c>
      <c r="BA20" s="536" t="s">
        <v>460</v>
      </c>
      <c r="BB20" s="345"/>
      <c r="BC20" s="345"/>
      <c r="BD20" s="345"/>
      <c r="BE20" s="345"/>
      <c r="BF20" s="345"/>
      <c r="BG20" s="345"/>
      <c r="BH20" s="345"/>
      <c r="BI20" s="895">
        <f t="shared" si="34"/>
        <v>0</v>
      </c>
      <c r="BJ20" s="345">
        <v>1</v>
      </c>
      <c r="BK20" s="1597"/>
      <c r="BL20" s="1579"/>
      <c r="BM20" s="1579">
        <f>IF(YEAR('3 pr-2'!AK20)=2017,BJ20,0)</f>
        <v>0</v>
      </c>
      <c r="BN20" s="1579">
        <f>IF(YEAR('3 pr-2'!AK20)=2018,BJ20,0)</f>
        <v>1</v>
      </c>
      <c r="BO20" s="1579">
        <f>IF(YEAR('3 pr-2'!AK20)=2019,BJ20,0)</f>
        <v>0</v>
      </c>
      <c r="BP20" s="1579">
        <f>IF(YEAR('3 pr-2'!AK20)=2020,BJ20,0)</f>
        <v>0</v>
      </c>
      <c r="BQ20" s="1579">
        <f>IF(YEAR('3 pr-2'!AK20)=2021,BJ20,0)</f>
        <v>0</v>
      </c>
      <c r="BR20" s="1579">
        <f>IF(YEAR('3 pr-2'!AK20)=2022,BJ20,0)</f>
        <v>0</v>
      </c>
      <c r="BS20" s="1579">
        <f>IF(YEAR('3 pr-2'!AK20)=2023,BJ20,0)</f>
        <v>0</v>
      </c>
      <c r="BT20" s="350"/>
      <c r="BU20" s="537"/>
      <c r="BV20" s="345"/>
      <c r="BW20" s="345"/>
      <c r="BX20" s="345"/>
      <c r="BY20" s="345"/>
      <c r="BZ20" s="345"/>
      <c r="CA20" s="345"/>
      <c r="CB20" s="345"/>
      <c r="CC20" s="895">
        <f t="shared" si="35"/>
        <v>0</v>
      </c>
      <c r="CD20" s="345"/>
      <c r="CE20" s="1579"/>
      <c r="CF20" s="1579"/>
      <c r="CG20" s="1579">
        <f>IF(YEAR('3 pr-2'!$AK20)=2017,$CD20,0)</f>
        <v>0</v>
      </c>
      <c r="CH20" s="1579">
        <f>IF(YEAR('3 pr-2'!$AK20)=2018,$CD20,0)</f>
        <v>0</v>
      </c>
      <c r="CI20" s="1579">
        <f>IF(YEAR('3 pr-2'!$AK20)=2019,$CD20,0)</f>
        <v>0</v>
      </c>
      <c r="CJ20" s="1579">
        <f>IF(YEAR('3 pr-2'!$AK20)=2020,$CD20,0)</f>
        <v>0</v>
      </c>
      <c r="CK20" s="1579">
        <f>IF(YEAR('3 pr-2'!$AK20)=2021,$CD20,0)</f>
        <v>0</v>
      </c>
      <c r="CL20" s="1579">
        <f>IF(YEAR('3 pr-2'!$AK20)=2022,$CD20,0)</f>
        <v>0</v>
      </c>
      <c r="CM20" s="1579">
        <f>IF(YEAR('3 pr-2'!$AK20)=2023,$CD20,0)</f>
        <v>0</v>
      </c>
      <c r="CN20" s="350"/>
      <c r="CO20" s="538"/>
      <c r="CP20" s="351"/>
      <c r="CQ20" s="345"/>
      <c r="CR20" s="345"/>
      <c r="CS20" s="345"/>
      <c r="CT20" s="345"/>
      <c r="CU20" s="345"/>
      <c r="CV20" s="345"/>
      <c r="CW20" s="895">
        <f t="shared" si="36"/>
        <v>0</v>
      </c>
      <c r="CX20" s="351"/>
      <c r="CY20" s="1605"/>
      <c r="CZ20" s="1605"/>
      <c r="DA20" s="1594">
        <f>IF(YEAR('3 pr-2'!AK20)=2017,CX20,0)</f>
        <v>0</v>
      </c>
      <c r="DB20" s="1594">
        <f>IF(YEAR('3 pr-2'!AK20)=2018,CX20,0)</f>
        <v>0</v>
      </c>
      <c r="DC20" s="1594">
        <f>IF(YEAR('3 pr-2'!AK20)=2019,CX20,0)</f>
        <v>0</v>
      </c>
      <c r="DD20" s="1594">
        <f>IF(YEAR('3 pr-2'!AK20)=2020,CX20,0)</f>
        <v>0</v>
      </c>
      <c r="DE20" s="1594">
        <f>IF(YEAR('3 pr-2'!AK20)=2021,CX20,0)</f>
        <v>0</v>
      </c>
      <c r="DF20" s="1594">
        <f>IF(YEAR('3 pr-2'!AK20)=2022,CX20,0)</f>
        <v>0</v>
      </c>
      <c r="DG20" s="1594">
        <f>IF(YEAR('3 pr-2'!AK20)=2023,CX20,0)</f>
        <v>0</v>
      </c>
      <c r="DH20" s="350"/>
      <c r="DI20" s="538"/>
      <c r="DJ20" s="351"/>
      <c r="DK20" s="345"/>
      <c r="DL20" s="345"/>
      <c r="DM20" s="345"/>
      <c r="DN20" s="345"/>
      <c r="DO20" s="345"/>
      <c r="DP20" s="345"/>
      <c r="DQ20" s="895">
        <f t="shared" si="37"/>
        <v>0</v>
      </c>
      <c r="DR20" s="351"/>
      <c r="DS20" s="1605"/>
      <c r="DT20" s="1605"/>
      <c r="DU20" s="1594">
        <f>IF(YEAR('3 pr-2'!BF20)=2017,DS20,0)</f>
        <v>0</v>
      </c>
      <c r="DV20" s="1594">
        <f>IF(YEAR('3 pr-2'!BF20)=2018,DS20,0)</f>
        <v>0</v>
      </c>
      <c r="DW20" s="1594">
        <f>IF(YEAR('3 pr-2'!BF20)=2019,DS20,0)</f>
        <v>0</v>
      </c>
      <c r="DX20" s="1594">
        <f>IF(YEAR('3 pr-2'!BF20)=2020,DS20,0)</f>
        <v>0</v>
      </c>
      <c r="DY20" s="1594">
        <f>IF(YEAR('3 pr-2'!BF20)=2021,DS20,0)</f>
        <v>0</v>
      </c>
      <c r="DZ20" s="1594">
        <f>IF(YEAR('3 pr-2'!BF20)=2022,DS20,0)</f>
        <v>0</v>
      </c>
      <c r="EA20" s="1594">
        <f>IF(YEAR('3 pr-2'!BF20)=2023,DS20,0)</f>
        <v>0</v>
      </c>
      <c r="EB20" s="350"/>
      <c r="EC20" s="538"/>
      <c r="ED20" s="333"/>
      <c r="EE20" s="1605"/>
      <c r="EF20" s="1605"/>
      <c r="EG20" s="1594">
        <f>IF(YEAR('3 pr-2'!BP20)=2017,ED20,0)</f>
        <v>0</v>
      </c>
      <c r="EH20" s="1594">
        <f>IF(YEAR('3 pr-2'!BP20)=2018,ED20,0)</f>
        <v>0</v>
      </c>
      <c r="EI20" s="1594">
        <f>IF(YEAR('3 pr-2'!BP20)=2019,ED20,0)</f>
        <v>0</v>
      </c>
      <c r="EJ20" s="1594">
        <f>IF(YEAR('3 pr-2'!BP20)=2020,ED20,0)</f>
        <v>0</v>
      </c>
      <c r="EK20" s="1594">
        <f>IF(YEAR('3 pr-2'!BP20)=2021,ED20,0)</f>
        <v>0</v>
      </c>
      <c r="EL20" s="1594">
        <f>IF(YEAR('3 pr-2'!BP20)=2022,ED20,0)</f>
        <v>0</v>
      </c>
      <c r="EM20" s="1594">
        <f>IF(YEAR('3 pr-2'!BP20)=2023,ED20,0)</f>
        <v>0</v>
      </c>
    </row>
    <row r="21" spans="1:143" ht="75" thickTop="1" thickBot="1" x14ac:dyDescent="0.3">
      <c r="A21" s="345" t="str">
        <f>CONCATENATE('3 pr-2'!A21)</f>
        <v>1.1.1.1.12</v>
      </c>
      <c r="B21" s="345" t="str">
        <f>CONCATENATE('3 pr-2'!B21)</f>
        <v>R01-ZM72-120000-1112</v>
      </c>
      <c r="C21" s="970" t="str">
        <f>CONCATENATE('ketv. 2'!B20)</f>
        <v>20KI-KA-17-1-02470-PR001</v>
      </c>
      <c r="D21" s="125" t="str">
        <f>CONCATENATE('3 pr-2'!D21)</f>
        <v>Alytaus rajono Butrimonių miestelio šaligatvių kapitalinis remontas ir gyvenvietės apšvietimo įrengimas</v>
      </c>
      <c r="E21" s="312" t="str">
        <f>CONCATENATE('3 pr-2'!E21)</f>
        <v>Alytaus rajono savivaldybės administracija</v>
      </c>
      <c r="F21" s="312" t="str">
        <f>CONCATENATE('3 pr-2'!F21)</f>
        <v>Lietuvos Respublikos žemės ūkio ministerija</v>
      </c>
      <c r="G21" s="312" t="str">
        <f>CONCATENATE('3 pr-2'!G21)</f>
        <v>Alytaus r. sav.</v>
      </c>
      <c r="H21" s="312" t="str">
        <f>CONCATENATE('3 pr-2'!H21)</f>
        <v xml:space="preserve">Pagrindinės paslaugos ir kaimų atnaujinimas kaimo vietovėse </v>
      </c>
      <c r="I21" s="345" t="str">
        <f>CONCATENATE('3 pr-2'!I21)</f>
        <v>R</v>
      </c>
      <c r="J21" s="345" t="str">
        <f>CONCATENATE('3 pr-2'!J21)</f>
        <v>-</v>
      </c>
      <c r="K21" s="345" t="str">
        <f>CONCATENATE('3 pr-2'!K21)</f>
        <v>-</v>
      </c>
      <c r="L21" s="345" t="s">
        <v>455</v>
      </c>
      <c r="M21" s="537" t="s">
        <v>456</v>
      </c>
      <c r="N21" s="345"/>
      <c r="O21" s="345"/>
      <c r="P21" s="345"/>
      <c r="Q21" s="345"/>
      <c r="R21" s="345"/>
      <c r="S21" s="345"/>
      <c r="T21" s="345"/>
      <c r="U21" s="893"/>
      <c r="V21" s="345">
        <v>2</v>
      </c>
      <c r="W21" s="1578" t="str">
        <f>IF('ketv. 6 '!L20&gt;0,"taip",0)</f>
        <v>taip</v>
      </c>
      <c r="X21" s="1579"/>
      <c r="Y21" s="1579">
        <f>IF(YEAR('3 pr-2'!$AK21)=2017,$V21,0)</f>
        <v>0</v>
      </c>
      <c r="Z21" s="1579">
        <f>IF(YEAR('3 pr-2'!$AK21)=2018,$V21,0)</f>
        <v>2</v>
      </c>
      <c r="AA21" s="1579">
        <f>IF(YEAR('3 pr-2'!$AK21)=2019,$V21,0)</f>
        <v>0</v>
      </c>
      <c r="AB21" s="1579">
        <f>IF(YEAR('3 pr-2'!$AK21)=2020,$V21,0)</f>
        <v>0</v>
      </c>
      <c r="AC21" s="1579">
        <f>IF(YEAR('3 pr-2'!$AK21)=2021,$V21,0)</f>
        <v>0</v>
      </c>
      <c r="AD21" s="1579">
        <f>IF(YEAR('3 pr-2'!$AK21)=2022,$V21,0)</f>
        <v>0</v>
      </c>
      <c r="AE21" s="1579">
        <f>IF(YEAR('3 pr-2'!$AK21)=2023,$V21,0)</f>
        <v>0</v>
      </c>
      <c r="AF21" s="350" t="s">
        <v>457</v>
      </c>
      <c r="AG21" s="537" t="s">
        <v>458</v>
      </c>
      <c r="AH21" s="345"/>
      <c r="AI21" s="345"/>
      <c r="AJ21" s="345"/>
      <c r="AK21" s="345"/>
      <c r="AL21" s="345"/>
      <c r="AM21" s="345"/>
      <c r="AN21" s="345"/>
      <c r="AO21" s="895">
        <f t="shared" si="33"/>
        <v>0</v>
      </c>
      <c r="AP21" s="345">
        <v>941</v>
      </c>
      <c r="AQ21" s="1597"/>
      <c r="AR21" s="1579"/>
      <c r="AS21" s="1579">
        <f>IF(YEAR('3 pr-2'!$AK21)=2017,$AP21,0)</f>
        <v>0</v>
      </c>
      <c r="AT21" s="1579">
        <f>IF(YEAR('3 pr-2'!$AK21)=2018,$AP21,0)</f>
        <v>941</v>
      </c>
      <c r="AU21" s="1579">
        <f>IF(YEAR('3 pr-2'!$AK21)=2019,$AP21,0)</f>
        <v>0</v>
      </c>
      <c r="AV21" s="1579">
        <f>IF(YEAR('3 pr-2'!$AK21)=2020,$AP21,0)</f>
        <v>0</v>
      </c>
      <c r="AW21" s="1579">
        <f>IF(YEAR('3 pr-2'!$AK21)=2021,$AP21,0)</f>
        <v>0</v>
      </c>
      <c r="AX21" s="1579">
        <f>IF(YEAR('3 pr-2'!$AK21)=2022,$AP21,0)</f>
        <v>0</v>
      </c>
      <c r="AY21" s="1579">
        <f>IF(YEAR('3 pr-2'!$AK21)=2023,$AP21,0)</f>
        <v>0</v>
      </c>
      <c r="AZ21" s="345" t="s">
        <v>459</v>
      </c>
      <c r="BA21" s="536" t="s">
        <v>460</v>
      </c>
      <c r="BB21" s="345"/>
      <c r="BC21" s="345"/>
      <c r="BD21" s="345"/>
      <c r="BE21" s="345"/>
      <c r="BF21" s="345"/>
      <c r="BG21" s="345"/>
      <c r="BH21" s="345"/>
      <c r="BI21" s="895">
        <f t="shared" si="34"/>
        <v>0</v>
      </c>
      <c r="BJ21" s="345">
        <v>1</v>
      </c>
      <c r="BK21" s="1597"/>
      <c r="BL21" s="1579"/>
      <c r="BM21" s="1579">
        <f>IF(YEAR('3 pr-2'!AK21)=2017,BJ21,0)</f>
        <v>0</v>
      </c>
      <c r="BN21" s="1579">
        <f>IF(YEAR('3 pr-2'!AK21)=2018,BJ21,0)</f>
        <v>1</v>
      </c>
      <c r="BO21" s="1579">
        <f>IF(YEAR('3 pr-2'!AK21)=2019,BJ21,0)</f>
        <v>0</v>
      </c>
      <c r="BP21" s="1579">
        <f>IF(YEAR('3 pr-2'!AK21)=2020,BJ21,0)</f>
        <v>0</v>
      </c>
      <c r="BQ21" s="1579">
        <f>IF(YEAR('3 pr-2'!AK21)=2021,BJ21,0)</f>
        <v>0</v>
      </c>
      <c r="BR21" s="1579">
        <f>IF(YEAR('3 pr-2'!AK21)=2022,BJ21,0)</f>
        <v>0</v>
      </c>
      <c r="BS21" s="1579">
        <f>IF(YEAR('3 pr-2'!AK21)=2023,BJ21,0)</f>
        <v>0</v>
      </c>
      <c r="BT21" s="350"/>
      <c r="BU21" s="537"/>
      <c r="BV21" s="345"/>
      <c r="BW21" s="345"/>
      <c r="BX21" s="345"/>
      <c r="BY21" s="345"/>
      <c r="BZ21" s="345"/>
      <c r="CA21" s="345"/>
      <c r="CB21" s="345"/>
      <c r="CC21" s="895">
        <f t="shared" si="35"/>
        <v>0</v>
      </c>
      <c r="CD21" s="345"/>
      <c r="CE21" s="1579"/>
      <c r="CF21" s="1579"/>
      <c r="CG21" s="1579">
        <f>IF(YEAR('3 pr-2'!$AK21)=2017,$CD21,0)</f>
        <v>0</v>
      </c>
      <c r="CH21" s="1579">
        <f>IF(YEAR('3 pr-2'!$AK21)=2018,$CD21,0)</f>
        <v>0</v>
      </c>
      <c r="CI21" s="1579">
        <f>IF(YEAR('3 pr-2'!$AK21)=2019,$CD21,0)</f>
        <v>0</v>
      </c>
      <c r="CJ21" s="1579">
        <f>IF(YEAR('3 pr-2'!$AK21)=2020,$CD21,0)</f>
        <v>0</v>
      </c>
      <c r="CK21" s="1579">
        <f>IF(YEAR('3 pr-2'!$AK21)=2021,$CD21,0)</f>
        <v>0</v>
      </c>
      <c r="CL21" s="1579">
        <f>IF(YEAR('3 pr-2'!$AK21)=2022,$CD21,0)</f>
        <v>0</v>
      </c>
      <c r="CM21" s="1579">
        <f>IF(YEAR('3 pr-2'!$AK21)=2023,$CD21,0)</f>
        <v>0</v>
      </c>
      <c r="CN21" s="350"/>
      <c r="CO21" s="538"/>
      <c r="CP21" s="351"/>
      <c r="CQ21" s="345"/>
      <c r="CR21" s="345"/>
      <c r="CS21" s="345"/>
      <c r="CT21" s="345"/>
      <c r="CU21" s="345"/>
      <c r="CV21" s="345"/>
      <c r="CW21" s="895">
        <f t="shared" si="36"/>
        <v>0</v>
      </c>
      <c r="CX21" s="351"/>
      <c r="CY21" s="1605"/>
      <c r="CZ21" s="1605"/>
      <c r="DA21" s="1594">
        <f>IF(YEAR('3 pr-2'!AK21)=2017,CX21,0)</f>
        <v>0</v>
      </c>
      <c r="DB21" s="1594">
        <f>IF(YEAR('3 pr-2'!AK21)=2018,CX21,0)</f>
        <v>0</v>
      </c>
      <c r="DC21" s="1594">
        <f>IF(YEAR('3 pr-2'!AK21)=2019,CX21,0)</f>
        <v>0</v>
      </c>
      <c r="DD21" s="1594">
        <f>IF(YEAR('3 pr-2'!AK21)=2020,CX21,0)</f>
        <v>0</v>
      </c>
      <c r="DE21" s="1594">
        <f>IF(YEAR('3 pr-2'!AK21)=2021,CX21,0)</f>
        <v>0</v>
      </c>
      <c r="DF21" s="1594">
        <f>IF(YEAR('3 pr-2'!AK21)=2022,CX21,0)</f>
        <v>0</v>
      </c>
      <c r="DG21" s="1594">
        <f>IF(YEAR('3 pr-2'!AK21)=2023,CX21,0)</f>
        <v>0</v>
      </c>
      <c r="DH21" s="350"/>
      <c r="DI21" s="538"/>
      <c r="DJ21" s="351"/>
      <c r="DK21" s="345"/>
      <c r="DL21" s="345"/>
      <c r="DM21" s="345"/>
      <c r="DN21" s="345"/>
      <c r="DO21" s="345"/>
      <c r="DP21" s="345"/>
      <c r="DQ21" s="895">
        <f t="shared" si="37"/>
        <v>0</v>
      </c>
      <c r="DR21" s="351"/>
      <c r="DS21" s="1605"/>
      <c r="DT21" s="1605"/>
      <c r="DU21" s="1594">
        <f>IF(YEAR('3 pr-2'!BF21)=2017,DS21,0)</f>
        <v>0</v>
      </c>
      <c r="DV21" s="1594">
        <f>IF(YEAR('3 pr-2'!BF21)=2018,DS21,0)</f>
        <v>0</v>
      </c>
      <c r="DW21" s="1594">
        <f>IF(YEAR('3 pr-2'!BF21)=2019,DS21,0)</f>
        <v>0</v>
      </c>
      <c r="DX21" s="1594">
        <f>IF(YEAR('3 pr-2'!BF21)=2020,DS21,0)</f>
        <v>0</v>
      </c>
      <c r="DY21" s="1594">
        <f>IF(YEAR('3 pr-2'!BF21)=2021,DS21,0)</f>
        <v>0</v>
      </c>
      <c r="DZ21" s="1594">
        <f>IF(YEAR('3 pr-2'!BF21)=2022,DS21,0)</f>
        <v>0</v>
      </c>
      <c r="EA21" s="1594">
        <f>IF(YEAR('3 pr-2'!BF21)=2023,DS21,0)</f>
        <v>0</v>
      </c>
      <c r="EB21" s="350"/>
      <c r="EC21" s="538"/>
      <c r="ED21" s="333"/>
      <c r="EE21" s="1605"/>
      <c r="EF21" s="1605"/>
      <c r="EG21" s="1594">
        <f>IF(YEAR('3 pr-2'!BP21)=2017,ED21,0)</f>
        <v>0</v>
      </c>
      <c r="EH21" s="1594">
        <f>IF(YEAR('3 pr-2'!BP21)=2018,ED21,0)</f>
        <v>0</v>
      </c>
      <c r="EI21" s="1594">
        <f>IF(YEAR('3 pr-2'!BP21)=2019,ED21,0)</f>
        <v>0</v>
      </c>
      <c r="EJ21" s="1594">
        <f>IF(YEAR('3 pr-2'!BP21)=2020,ED21,0)</f>
        <v>0</v>
      </c>
      <c r="EK21" s="1594">
        <f>IF(YEAR('3 pr-2'!BP21)=2021,ED21,0)</f>
        <v>0</v>
      </c>
      <c r="EL21" s="1594">
        <f>IF(YEAR('3 pr-2'!BP21)=2022,ED21,0)</f>
        <v>0</v>
      </c>
      <c r="EM21" s="1594">
        <f>IF(YEAR('3 pr-2'!BP21)=2023,ED21,0)</f>
        <v>0</v>
      </c>
    </row>
    <row r="22" spans="1:143" ht="75" thickTop="1" thickBot="1" x14ac:dyDescent="0.3">
      <c r="A22" s="345" t="str">
        <f>CONCATENATE('3 pr-2'!A22)</f>
        <v>1.1.1.1.13</v>
      </c>
      <c r="B22" s="345" t="str">
        <f>CONCATENATE('3 pr-2'!B22)</f>
        <v>R01-ZM72-123200-1113</v>
      </c>
      <c r="C22" s="970" t="str">
        <f>CONCATENATE('ketv. 2'!B21)</f>
        <v>20KI-KA-17-1-02438-PR001</v>
      </c>
      <c r="D22" s="125" t="str">
        <f>CONCATENATE('3 pr-2'!D22)</f>
        <v>Alytaus rajono Genių kaimo sporto aikštės įrengimas ir gatvių rekonstrukcija</v>
      </c>
      <c r="E22" s="312" t="str">
        <f>CONCATENATE('3 pr-2'!E22)</f>
        <v>Alytaus rajono savivaldybės administracija</v>
      </c>
      <c r="F22" s="312" t="str">
        <f>CONCATENATE('3 pr-2'!F22)</f>
        <v>Lietuvos Respublikos žemės ūkio ministerija</v>
      </c>
      <c r="G22" s="312" t="str">
        <f>CONCATENATE('3 pr-2'!G22)</f>
        <v>Alytaus r. sav.</v>
      </c>
      <c r="H22" s="312" t="str">
        <f>CONCATENATE('3 pr-2'!H22)</f>
        <v xml:space="preserve">Pagrindinės paslaugos ir kaimų atnaujinimas kaimo vietovėse </v>
      </c>
      <c r="I22" s="345" t="str">
        <f>CONCATENATE('3 pr-2'!I22)</f>
        <v>R</v>
      </c>
      <c r="J22" s="345" t="str">
        <f>CONCATENATE('3 pr-2'!J22)</f>
        <v>-</v>
      </c>
      <c r="K22" s="345" t="str">
        <f>CONCATENATE('3 pr-2'!K22)</f>
        <v>-</v>
      </c>
      <c r="L22" s="345" t="s">
        <v>455</v>
      </c>
      <c r="M22" s="537" t="s">
        <v>456</v>
      </c>
      <c r="N22" s="345"/>
      <c r="O22" s="345"/>
      <c r="P22" s="345"/>
      <c r="Q22" s="345"/>
      <c r="R22" s="345"/>
      <c r="S22" s="345"/>
      <c r="T22" s="345"/>
      <c r="U22" s="893"/>
      <c r="V22" s="345">
        <v>2</v>
      </c>
      <c r="W22" s="1578" t="str">
        <f>IF('ketv. 6 '!L21&gt;0,"taip",0)</f>
        <v>taip</v>
      </c>
      <c r="X22" s="1579"/>
      <c r="Y22" s="1579">
        <f>IF(YEAR('3 pr-2'!$AK22)=2017,$V22,0)</f>
        <v>0</v>
      </c>
      <c r="Z22" s="1579">
        <f>IF(YEAR('3 pr-2'!$AK22)=2018,$V22,0)</f>
        <v>2</v>
      </c>
      <c r="AA22" s="1579">
        <f>IF(YEAR('3 pr-2'!$AK22)=2019,$V22,0)</f>
        <v>0</v>
      </c>
      <c r="AB22" s="1579">
        <f>IF(YEAR('3 pr-2'!$AK22)=2020,$V22,0)</f>
        <v>0</v>
      </c>
      <c r="AC22" s="1579">
        <f>IF(YEAR('3 pr-2'!$AK22)=2021,$V22,0)</f>
        <v>0</v>
      </c>
      <c r="AD22" s="1579">
        <f>IF(YEAR('3 pr-2'!$AK22)=2022,$V22,0)</f>
        <v>0</v>
      </c>
      <c r="AE22" s="1579">
        <f>IF(YEAR('3 pr-2'!$AK22)=2023,$V22,0)</f>
        <v>0</v>
      </c>
      <c r="AF22" s="350" t="s">
        <v>457</v>
      </c>
      <c r="AG22" s="537" t="s">
        <v>458</v>
      </c>
      <c r="AH22" s="345"/>
      <c r="AI22" s="345"/>
      <c r="AJ22" s="345"/>
      <c r="AK22" s="345"/>
      <c r="AL22" s="345"/>
      <c r="AM22" s="345"/>
      <c r="AN22" s="345"/>
      <c r="AO22" s="895">
        <f t="shared" si="33"/>
        <v>0</v>
      </c>
      <c r="AP22" s="345">
        <v>309</v>
      </c>
      <c r="AQ22" s="1597"/>
      <c r="AR22" s="1579"/>
      <c r="AS22" s="1579">
        <f>IF(YEAR('3 pr-2'!$AK22)=2017,$AP22,0)</f>
        <v>0</v>
      </c>
      <c r="AT22" s="1579">
        <f>IF(YEAR('3 pr-2'!$AK22)=2018,$AP22,0)</f>
        <v>309</v>
      </c>
      <c r="AU22" s="1579">
        <f>IF(YEAR('3 pr-2'!$AK22)=2019,$AP22,0)</f>
        <v>0</v>
      </c>
      <c r="AV22" s="1579">
        <f>IF(YEAR('3 pr-2'!$AK22)=2020,$AP22,0)</f>
        <v>0</v>
      </c>
      <c r="AW22" s="1579">
        <f>IF(YEAR('3 pr-2'!$AK22)=2021,$AP22,0)</f>
        <v>0</v>
      </c>
      <c r="AX22" s="1579">
        <f>IF(YEAR('3 pr-2'!$AK22)=2022,$AP22,0)</f>
        <v>0</v>
      </c>
      <c r="AY22" s="1579">
        <f>IF(YEAR('3 pr-2'!$AK22)=2023,$AP22,0)</f>
        <v>0</v>
      </c>
      <c r="AZ22" s="345" t="s">
        <v>459</v>
      </c>
      <c r="BA22" s="536" t="s">
        <v>460</v>
      </c>
      <c r="BB22" s="345"/>
      <c r="BC22" s="345"/>
      <c r="BD22" s="345"/>
      <c r="BE22" s="345"/>
      <c r="BF22" s="345"/>
      <c r="BG22" s="345"/>
      <c r="BH22" s="345"/>
      <c r="BI22" s="895">
        <f t="shared" si="34"/>
        <v>0</v>
      </c>
      <c r="BJ22" s="345">
        <v>1</v>
      </c>
      <c r="BK22" s="1597"/>
      <c r="BL22" s="1579"/>
      <c r="BM22" s="1579">
        <f>IF(YEAR('3 pr-2'!AK22)=2017,BJ22,0)</f>
        <v>0</v>
      </c>
      <c r="BN22" s="1579">
        <f>IF(YEAR('3 pr-2'!AK22)=2018,BJ22,0)</f>
        <v>1</v>
      </c>
      <c r="BO22" s="1579">
        <f>IF(YEAR('3 pr-2'!AK22)=2019,BJ22,0)</f>
        <v>0</v>
      </c>
      <c r="BP22" s="1579">
        <f>IF(YEAR('3 pr-2'!AK22)=2020,BJ22,0)</f>
        <v>0</v>
      </c>
      <c r="BQ22" s="1579">
        <f>IF(YEAR('3 pr-2'!AK22)=2021,BJ22,0)</f>
        <v>0</v>
      </c>
      <c r="BR22" s="1579">
        <f>IF(YEAR('3 pr-2'!AK22)=2022,BJ22,0)</f>
        <v>0</v>
      </c>
      <c r="BS22" s="1579">
        <f>IF(YEAR('3 pr-2'!AK22)=2023,BJ22,0)</f>
        <v>0</v>
      </c>
      <c r="BT22" s="350"/>
      <c r="BU22" s="537"/>
      <c r="BV22" s="345"/>
      <c r="BW22" s="345"/>
      <c r="BX22" s="345"/>
      <c r="BY22" s="345"/>
      <c r="BZ22" s="345"/>
      <c r="CA22" s="345"/>
      <c r="CB22" s="345"/>
      <c r="CC22" s="895">
        <f t="shared" si="35"/>
        <v>0</v>
      </c>
      <c r="CD22" s="345"/>
      <c r="CE22" s="1579"/>
      <c r="CF22" s="1579"/>
      <c r="CG22" s="1579">
        <f>IF(YEAR('3 pr-2'!$AK22)=2017,$CD22,0)</f>
        <v>0</v>
      </c>
      <c r="CH22" s="1579">
        <f>IF(YEAR('3 pr-2'!$AK22)=2018,$CD22,0)</f>
        <v>0</v>
      </c>
      <c r="CI22" s="1579">
        <f>IF(YEAR('3 pr-2'!$AK22)=2019,$CD22,0)</f>
        <v>0</v>
      </c>
      <c r="CJ22" s="1579">
        <f>IF(YEAR('3 pr-2'!$AK22)=2020,$CD22,0)</f>
        <v>0</v>
      </c>
      <c r="CK22" s="1579">
        <f>IF(YEAR('3 pr-2'!$AK22)=2021,$CD22,0)</f>
        <v>0</v>
      </c>
      <c r="CL22" s="1579">
        <f>IF(YEAR('3 pr-2'!$AK22)=2022,$CD22,0)</f>
        <v>0</v>
      </c>
      <c r="CM22" s="1579">
        <f>IF(YEAR('3 pr-2'!$AK22)=2023,$CD22,0)</f>
        <v>0</v>
      </c>
      <c r="CN22" s="350"/>
      <c r="CO22" s="538"/>
      <c r="CP22" s="351"/>
      <c r="CQ22" s="345"/>
      <c r="CR22" s="345"/>
      <c r="CS22" s="345"/>
      <c r="CT22" s="345"/>
      <c r="CU22" s="345"/>
      <c r="CV22" s="345"/>
      <c r="CW22" s="895">
        <f t="shared" si="36"/>
        <v>0</v>
      </c>
      <c r="CX22" s="351"/>
      <c r="CY22" s="1605"/>
      <c r="CZ22" s="1605"/>
      <c r="DA22" s="1594">
        <f>IF(YEAR('3 pr-2'!AK22)=2017,CX22,0)</f>
        <v>0</v>
      </c>
      <c r="DB22" s="1594">
        <f>IF(YEAR('3 pr-2'!AK22)=2018,CX22,0)</f>
        <v>0</v>
      </c>
      <c r="DC22" s="1594">
        <f>IF(YEAR('3 pr-2'!AK22)=2019,CX22,0)</f>
        <v>0</v>
      </c>
      <c r="DD22" s="1594">
        <f>IF(YEAR('3 pr-2'!AK22)=2020,CX22,0)</f>
        <v>0</v>
      </c>
      <c r="DE22" s="1594">
        <f>IF(YEAR('3 pr-2'!AK22)=2021,CX22,0)</f>
        <v>0</v>
      </c>
      <c r="DF22" s="1594">
        <f>IF(YEAR('3 pr-2'!AK22)=2022,CX22,0)</f>
        <v>0</v>
      </c>
      <c r="DG22" s="1594">
        <f>IF(YEAR('3 pr-2'!AK22)=2023,CX22,0)</f>
        <v>0</v>
      </c>
      <c r="DH22" s="350"/>
      <c r="DI22" s="538"/>
      <c r="DJ22" s="351"/>
      <c r="DK22" s="345"/>
      <c r="DL22" s="345"/>
      <c r="DM22" s="345"/>
      <c r="DN22" s="345"/>
      <c r="DO22" s="345"/>
      <c r="DP22" s="345"/>
      <c r="DQ22" s="895">
        <f t="shared" si="37"/>
        <v>0</v>
      </c>
      <c r="DR22" s="351"/>
      <c r="DS22" s="1605"/>
      <c r="DT22" s="1605"/>
      <c r="DU22" s="1594">
        <f>IF(YEAR('3 pr-2'!BF22)=2017,DS22,0)</f>
        <v>0</v>
      </c>
      <c r="DV22" s="1594">
        <f>IF(YEAR('3 pr-2'!BF22)=2018,DS22,0)</f>
        <v>0</v>
      </c>
      <c r="DW22" s="1594">
        <f>IF(YEAR('3 pr-2'!BF22)=2019,DS22,0)</f>
        <v>0</v>
      </c>
      <c r="DX22" s="1594">
        <f>IF(YEAR('3 pr-2'!BF22)=2020,DS22,0)</f>
        <v>0</v>
      </c>
      <c r="DY22" s="1594">
        <f>IF(YEAR('3 pr-2'!BF22)=2021,DS22,0)</f>
        <v>0</v>
      </c>
      <c r="DZ22" s="1594">
        <f>IF(YEAR('3 pr-2'!BF22)=2022,DS22,0)</f>
        <v>0</v>
      </c>
      <c r="EA22" s="1594">
        <f>IF(YEAR('3 pr-2'!BF22)=2023,DS22,0)</f>
        <v>0</v>
      </c>
      <c r="EB22" s="350"/>
      <c r="EC22" s="538"/>
      <c r="ED22" s="333"/>
      <c r="EE22" s="1605"/>
      <c r="EF22" s="1605"/>
      <c r="EG22" s="1594">
        <f>IF(YEAR('3 pr-2'!BP22)=2017,ED22,0)</f>
        <v>0</v>
      </c>
      <c r="EH22" s="1594">
        <f>IF(YEAR('3 pr-2'!BP22)=2018,ED22,0)</f>
        <v>0</v>
      </c>
      <c r="EI22" s="1594">
        <f>IF(YEAR('3 pr-2'!BP22)=2019,ED22,0)</f>
        <v>0</v>
      </c>
      <c r="EJ22" s="1594">
        <f>IF(YEAR('3 pr-2'!BP22)=2020,ED22,0)</f>
        <v>0</v>
      </c>
      <c r="EK22" s="1594">
        <f>IF(YEAR('3 pr-2'!BP22)=2021,ED22,0)</f>
        <v>0</v>
      </c>
      <c r="EL22" s="1594">
        <f>IF(YEAR('3 pr-2'!BP22)=2022,ED22,0)</f>
        <v>0</v>
      </c>
      <c r="EM22" s="1594">
        <f>IF(YEAR('3 pr-2'!BP22)=2023,ED22,0)</f>
        <v>0</v>
      </c>
    </row>
    <row r="23" spans="1:143" ht="75" thickTop="1" thickBot="1" x14ac:dyDescent="0.3">
      <c r="A23" s="345" t="str">
        <f>CONCATENATE('3 pr-2'!A23)</f>
        <v>1.1.1.1.14</v>
      </c>
      <c r="B23" s="345" t="str">
        <f>CONCATENATE('3 pr-2'!B23)</f>
        <v>R01-ZM72-122900-1114</v>
      </c>
      <c r="C23" s="970" t="str">
        <f>CONCATENATE('ketv. 2'!B22)</f>
        <v>20KI-KA-17-1-01647-PR001</v>
      </c>
      <c r="D23" s="125" t="str">
        <f>CONCATENATE('3 pr-2'!D23)</f>
        <v>Varėnos r. Dargužių kaimo Liepų gatvės ir viešosios erdvės įrengimas</v>
      </c>
      <c r="E23" s="312" t="str">
        <f>CONCATENATE('3 pr-2'!E23)</f>
        <v xml:space="preserve">Varėnos rajono savivaldybės administracija </v>
      </c>
      <c r="F23" s="312" t="str">
        <f>CONCATENATE('3 pr-2'!F23)</f>
        <v>Lietuvos Respublikos žemės ūkio ministerija</v>
      </c>
      <c r="G23" s="312" t="str">
        <f>CONCATENATE('3 pr-2'!G23)</f>
        <v>Varėnos r. sav.</v>
      </c>
      <c r="H23" s="312" t="str">
        <f>CONCATENATE('3 pr-2'!H23)</f>
        <v xml:space="preserve">Pagrindinės paslaugos ir kaimų atnaujinimas kaimo vietovėse </v>
      </c>
      <c r="I23" s="345" t="str">
        <f>CONCATENATE('3 pr-2'!I23)</f>
        <v>R</v>
      </c>
      <c r="J23" s="345" t="str">
        <f>CONCATENATE('3 pr-2'!J23)</f>
        <v>-</v>
      </c>
      <c r="K23" s="345" t="str">
        <f>CONCATENATE('3 pr-2'!K23)</f>
        <v>-</v>
      </c>
      <c r="L23" s="345" t="s">
        <v>455</v>
      </c>
      <c r="M23" s="537" t="s">
        <v>456</v>
      </c>
      <c r="N23" s="345"/>
      <c r="O23" s="345"/>
      <c r="P23" s="345"/>
      <c r="Q23" s="345"/>
      <c r="R23" s="345"/>
      <c r="S23" s="345"/>
      <c r="T23" s="345"/>
      <c r="U23" s="893"/>
      <c r="V23" s="345">
        <v>1</v>
      </c>
      <c r="W23" s="1578" t="str">
        <f>IF('ketv. 6 '!L22&gt;0,"taip",0)</f>
        <v>taip</v>
      </c>
      <c r="X23" s="1579"/>
      <c r="Y23" s="1579">
        <f>IF(YEAR('3 pr-2'!$AK23)=2017,$V23,0)</f>
        <v>0</v>
      </c>
      <c r="Z23" s="1579">
        <f>IF(YEAR('3 pr-2'!$AK23)=2018,$V23,0)</f>
        <v>0</v>
      </c>
      <c r="AA23" s="1579">
        <f>IF(YEAR('3 pr-2'!$AK23)=2019,$V23,0)</f>
        <v>1</v>
      </c>
      <c r="AB23" s="1579">
        <f>IF(YEAR('3 pr-2'!$AK23)=2020,$V23,0)</f>
        <v>0</v>
      </c>
      <c r="AC23" s="1579">
        <f>IF(YEAR('3 pr-2'!$AK23)=2021,$V23,0)</f>
        <v>0</v>
      </c>
      <c r="AD23" s="1579">
        <f>IF(YEAR('3 pr-2'!$AK23)=2022,$V23,0)</f>
        <v>0</v>
      </c>
      <c r="AE23" s="1579">
        <f>IF(YEAR('3 pr-2'!$AK23)=2023,$V23,0)</f>
        <v>0</v>
      </c>
      <c r="AF23" s="350" t="s">
        <v>457</v>
      </c>
      <c r="AG23" s="537" t="s">
        <v>458</v>
      </c>
      <c r="AH23" s="345"/>
      <c r="AI23" s="345"/>
      <c r="AJ23" s="345"/>
      <c r="AK23" s="345"/>
      <c r="AL23" s="345"/>
      <c r="AM23" s="345"/>
      <c r="AN23" s="345"/>
      <c r="AO23" s="895">
        <f t="shared" si="33"/>
        <v>0</v>
      </c>
      <c r="AP23" s="345">
        <v>252</v>
      </c>
      <c r="AQ23" s="1597"/>
      <c r="AR23" s="1579"/>
      <c r="AS23" s="1579">
        <f>IF(YEAR('3 pr-2'!$AK23)=2017,$AP23,0)</f>
        <v>0</v>
      </c>
      <c r="AT23" s="1579">
        <f>IF(YEAR('3 pr-2'!$AK23)=2018,$AP23,0)</f>
        <v>0</v>
      </c>
      <c r="AU23" s="1579">
        <f>IF(YEAR('3 pr-2'!$AK23)=2019,$AP23,0)</f>
        <v>252</v>
      </c>
      <c r="AV23" s="1579">
        <f>IF(YEAR('3 pr-2'!$AK23)=2020,$AP23,0)</f>
        <v>0</v>
      </c>
      <c r="AW23" s="1579">
        <f>IF(YEAR('3 pr-2'!$AK23)=2021,$AP23,0)</f>
        <v>0</v>
      </c>
      <c r="AX23" s="1579">
        <f>IF(YEAR('3 pr-2'!$AK23)=2022,$AP23,0)</f>
        <v>0</v>
      </c>
      <c r="AY23" s="1579">
        <f>IF(YEAR('3 pr-2'!$AK23)=2023,$AP23,0)</f>
        <v>0</v>
      </c>
      <c r="AZ23" s="345" t="s">
        <v>459</v>
      </c>
      <c r="BA23" s="536" t="s">
        <v>460</v>
      </c>
      <c r="BB23" s="345"/>
      <c r="BC23" s="345"/>
      <c r="BD23" s="345"/>
      <c r="BE23" s="345"/>
      <c r="BF23" s="345"/>
      <c r="BG23" s="345"/>
      <c r="BH23" s="345"/>
      <c r="BI23" s="895">
        <f t="shared" si="34"/>
        <v>0</v>
      </c>
      <c r="BJ23" s="345">
        <v>1</v>
      </c>
      <c r="BK23" s="1597"/>
      <c r="BL23" s="1579"/>
      <c r="BM23" s="1579">
        <f>IF(YEAR('3 pr-2'!AK23)=2017,BJ23,0)</f>
        <v>0</v>
      </c>
      <c r="BN23" s="1579">
        <f>IF(YEAR('3 pr-2'!AK23)=2018,BJ23,0)</f>
        <v>0</v>
      </c>
      <c r="BO23" s="1579">
        <f>IF(YEAR('3 pr-2'!AK23)=2019,BJ23,0)</f>
        <v>1</v>
      </c>
      <c r="BP23" s="1579">
        <f>IF(YEAR('3 pr-2'!AK23)=2020,BJ23,0)</f>
        <v>0</v>
      </c>
      <c r="BQ23" s="1579">
        <f>IF(YEAR('3 pr-2'!AK23)=2021,BJ23,0)</f>
        <v>0</v>
      </c>
      <c r="BR23" s="1579">
        <f>IF(YEAR('3 pr-2'!AK23)=2022,BJ23,0)</f>
        <v>0</v>
      </c>
      <c r="BS23" s="1579">
        <f>IF(YEAR('3 pr-2'!AK23)=2023,BJ23,0)</f>
        <v>0</v>
      </c>
      <c r="BT23" s="350"/>
      <c r="BU23" s="537"/>
      <c r="BV23" s="345"/>
      <c r="BW23" s="345"/>
      <c r="BX23" s="345"/>
      <c r="BY23" s="345"/>
      <c r="BZ23" s="345"/>
      <c r="CA23" s="345"/>
      <c r="CB23" s="345"/>
      <c r="CC23" s="895">
        <f t="shared" si="35"/>
        <v>0</v>
      </c>
      <c r="CD23" s="345"/>
      <c r="CE23" s="1579"/>
      <c r="CF23" s="1579"/>
      <c r="CG23" s="1579">
        <f>IF(YEAR('3 pr-2'!$AK23)=2017,$CD23,0)</f>
        <v>0</v>
      </c>
      <c r="CH23" s="1579">
        <f>IF(YEAR('3 pr-2'!$AK23)=2018,$CD23,0)</f>
        <v>0</v>
      </c>
      <c r="CI23" s="1579">
        <f>IF(YEAR('3 pr-2'!$AK23)=2019,$CD23,0)</f>
        <v>0</v>
      </c>
      <c r="CJ23" s="1579">
        <f>IF(YEAR('3 pr-2'!$AK23)=2020,$CD23,0)</f>
        <v>0</v>
      </c>
      <c r="CK23" s="1579">
        <f>IF(YEAR('3 pr-2'!$AK23)=2021,$CD23,0)</f>
        <v>0</v>
      </c>
      <c r="CL23" s="1579">
        <f>IF(YEAR('3 pr-2'!$AK23)=2022,$CD23,0)</f>
        <v>0</v>
      </c>
      <c r="CM23" s="1579">
        <f>IF(YEAR('3 pr-2'!$AK23)=2023,$CD23,0)</f>
        <v>0</v>
      </c>
      <c r="CN23" s="350"/>
      <c r="CO23" s="538"/>
      <c r="CP23" s="351"/>
      <c r="CQ23" s="345"/>
      <c r="CR23" s="345"/>
      <c r="CS23" s="345"/>
      <c r="CT23" s="345"/>
      <c r="CU23" s="345"/>
      <c r="CV23" s="345"/>
      <c r="CW23" s="895">
        <f t="shared" si="36"/>
        <v>0</v>
      </c>
      <c r="CX23" s="351"/>
      <c r="CY23" s="1605"/>
      <c r="CZ23" s="1605"/>
      <c r="DA23" s="1594">
        <f>IF(YEAR('3 pr-2'!AK23)=2017,CX23,0)</f>
        <v>0</v>
      </c>
      <c r="DB23" s="1594">
        <f>IF(YEAR('3 pr-2'!AK23)=2018,CX23,0)</f>
        <v>0</v>
      </c>
      <c r="DC23" s="1594">
        <f>IF(YEAR('3 pr-2'!AK23)=2019,CX23,0)</f>
        <v>0</v>
      </c>
      <c r="DD23" s="1594">
        <f>IF(YEAR('3 pr-2'!AK23)=2020,CX23,0)</f>
        <v>0</v>
      </c>
      <c r="DE23" s="1594">
        <f>IF(YEAR('3 pr-2'!AK23)=2021,CX23,0)</f>
        <v>0</v>
      </c>
      <c r="DF23" s="1594">
        <f>IF(YEAR('3 pr-2'!AK23)=2022,CX23,0)</f>
        <v>0</v>
      </c>
      <c r="DG23" s="1594">
        <f>IF(YEAR('3 pr-2'!AK23=2023),CX23,0)</f>
        <v>0</v>
      </c>
      <c r="DH23" s="350"/>
      <c r="DI23" s="538"/>
      <c r="DJ23" s="351"/>
      <c r="DK23" s="345"/>
      <c r="DL23" s="345"/>
      <c r="DM23" s="345"/>
      <c r="DN23" s="345"/>
      <c r="DO23" s="345"/>
      <c r="DP23" s="345"/>
      <c r="DQ23" s="895">
        <f t="shared" si="37"/>
        <v>0</v>
      </c>
      <c r="DR23" s="351"/>
      <c r="DS23" s="1605"/>
      <c r="DT23" s="1605"/>
      <c r="DU23" s="1594">
        <f>IF(YEAR('3 pr-2'!BF23)=2017,DS23,0)</f>
        <v>0</v>
      </c>
      <c r="DV23" s="1594">
        <f>IF(YEAR('3 pr-2'!BF23)=2018,DS23,0)</f>
        <v>0</v>
      </c>
      <c r="DW23" s="1594">
        <f>IF(YEAR('3 pr-2'!BF23)=2019,DS23,0)</f>
        <v>0</v>
      </c>
      <c r="DX23" s="1594">
        <f>IF(YEAR('3 pr-2'!BF23)=2020,DS23,0)</f>
        <v>0</v>
      </c>
      <c r="DY23" s="1594">
        <f>IF(YEAR('3 pr-2'!BF23)=2021,DS23,0)</f>
        <v>0</v>
      </c>
      <c r="DZ23" s="1594">
        <f>IF(YEAR('3 pr-2'!BF23)=2022,DS23,0)</f>
        <v>0</v>
      </c>
      <c r="EA23" s="1594">
        <f>IF(YEAR('3 pr-2'!BF23=2023),DS23,0)</f>
        <v>0</v>
      </c>
      <c r="EB23" s="350"/>
      <c r="EC23" s="538"/>
      <c r="ED23" s="333"/>
      <c r="EE23" s="1605"/>
      <c r="EF23" s="1605"/>
      <c r="EG23" s="1594">
        <f>IF(YEAR('3 pr-2'!BP23)=2017,ED23,0)</f>
        <v>0</v>
      </c>
      <c r="EH23" s="1594">
        <f>IF(YEAR('3 pr-2'!BP23)=2018,ED23,0)</f>
        <v>0</v>
      </c>
      <c r="EI23" s="1594">
        <f>IF(YEAR('3 pr-2'!BP23)=2019,ED23,0)</f>
        <v>0</v>
      </c>
      <c r="EJ23" s="1594">
        <f>IF(YEAR('3 pr-2'!BP23)=2020,ED23,0)</f>
        <v>0</v>
      </c>
      <c r="EK23" s="1594">
        <f>IF(YEAR('3 pr-2'!BP23)=2021,ED23,0)</f>
        <v>0</v>
      </c>
      <c r="EL23" s="1594">
        <f>IF(YEAR('3 pr-2'!BP23)=2022,ED23,0)</f>
        <v>0</v>
      </c>
      <c r="EM23" s="1594">
        <f>IF(YEAR('3 pr-2'!BP23=2023),ED23,0)</f>
        <v>0</v>
      </c>
    </row>
    <row r="24" spans="1:143" ht="75" thickTop="1" thickBot="1" x14ac:dyDescent="0.3">
      <c r="A24" s="345" t="str">
        <f>CONCATENATE('3 pr-2'!A24)</f>
        <v>1.1.1.1.15</v>
      </c>
      <c r="B24" s="345" t="str">
        <f>CONCATENATE('3 pr-2'!B24)</f>
        <v>R01-ZM72-123200-1115</v>
      </c>
      <c r="C24" s="970" t="str">
        <f>CONCATENATE('ketv. 2'!B23)</f>
        <v>20KI-KA-17-1-02469-PR001</v>
      </c>
      <c r="D24" s="125" t="str">
        <f>CONCATENATE('3 pr-2'!D24)</f>
        <v>Alytaus rajono Vaisodžių kaimo sporto aikštės įrengimas ir gatvių apšvietimo atnaujinimas bei plėtra</v>
      </c>
      <c r="E24" s="312" t="str">
        <f>CONCATENATE('3 pr-2'!E24)</f>
        <v>Alytaus rajono savivaldybės administracija</v>
      </c>
      <c r="F24" s="312" t="str">
        <f>CONCATENATE('3 pr-2'!F24)</f>
        <v>Lietuvos Respublikos žemės ūkio ministerija</v>
      </c>
      <c r="G24" s="312" t="str">
        <f>CONCATENATE('3 pr-2'!G24)</f>
        <v>Alytaus r. sav.</v>
      </c>
      <c r="H24" s="312" t="str">
        <f>CONCATENATE('3 pr-2'!H24)</f>
        <v xml:space="preserve">Pagrindinės paslaugos ir kaimų atnaujinimas kaimo vietovėse </v>
      </c>
      <c r="I24" s="345" t="str">
        <f>CONCATENATE('3 pr-2'!I24)</f>
        <v>R</v>
      </c>
      <c r="J24" s="345" t="str">
        <f>CONCATENATE('3 pr-2'!J24)</f>
        <v>-</v>
      </c>
      <c r="K24" s="345" t="str">
        <f>CONCATENATE('3 pr-2'!K24)</f>
        <v>-</v>
      </c>
      <c r="L24" s="345" t="s">
        <v>455</v>
      </c>
      <c r="M24" s="537" t="s">
        <v>456</v>
      </c>
      <c r="N24" s="345"/>
      <c r="O24" s="345"/>
      <c r="P24" s="345"/>
      <c r="Q24" s="345"/>
      <c r="R24" s="345"/>
      <c r="S24" s="345"/>
      <c r="T24" s="345"/>
      <c r="U24" s="893"/>
      <c r="V24" s="345">
        <v>2</v>
      </c>
      <c r="W24" s="1578">
        <f>IF('ketv. 6 '!L23&gt;0,"taip",0)</f>
        <v>0</v>
      </c>
      <c r="X24" s="1579"/>
      <c r="Y24" s="1579">
        <f>IF(YEAR('3 pr-2'!$AK24)=2017,$V24,0)</f>
        <v>0</v>
      </c>
      <c r="Z24" s="1579">
        <f>IF(YEAR('3 pr-2'!$AK24)=2018,$V24,0)</f>
        <v>2</v>
      </c>
      <c r="AA24" s="1579">
        <f>IF(YEAR('3 pr-2'!$AK24)=2019,$V24,0)</f>
        <v>0</v>
      </c>
      <c r="AB24" s="1579">
        <f>IF(YEAR('3 pr-2'!$AK24)=2020,$V24,0)</f>
        <v>0</v>
      </c>
      <c r="AC24" s="1579">
        <f>IF(YEAR('3 pr-2'!$AK24)=2021,$V24,0)</f>
        <v>0</v>
      </c>
      <c r="AD24" s="1579">
        <f>IF(YEAR('3 pr-2'!$AK24)=2022,$V24,0)</f>
        <v>0</v>
      </c>
      <c r="AE24" s="1579">
        <f>IF(YEAR('3 pr-2'!$AK24)=2023,$V24,0)</f>
        <v>0</v>
      </c>
      <c r="AF24" s="350" t="s">
        <v>457</v>
      </c>
      <c r="AG24" s="537" t="s">
        <v>458</v>
      </c>
      <c r="AH24" s="345"/>
      <c r="AI24" s="345"/>
      <c r="AJ24" s="345"/>
      <c r="AK24" s="345"/>
      <c r="AL24" s="345"/>
      <c r="AM24" s="345"/>
      <c r="AN24" s="345"/>
      <c r="AO24" s="895">
        <f t="shared" si="33"/>
        <v>0</v>
      </c>
      <c r="AP24" s="345">
        <v>309</v>
      </c>
      <c r="AQ24" s="1597"/>
      <c r="AR24" s="1579"/>
      <c r="AS24" s="1579">
        <f>IF(YEAR('3 pr-2'!$AK24)=2017,$AP24,0)</f>
        <v>0</v>
      </c>
      <c r="AT24" s="1579">
        <f>IF(YEAR('3 pr-2'!$AK24)=2018,$AP24,0)</f>
        <v>309</v>
      </c>
      <c r="AU24" s="1579">
        <f>IF(YEAR('3 pr-2'!$AK24)=2019,$AP24,0)</f>
        <v>0</v>
      </c>
      <c r="AV24" s="1579">
        <f>IF(YEAR('3 pr-2'!$AK24)=2020,$AP24,0)</f>
        <v>0</v>
      </c>
      <c r="AW24" s="1579">
        <f>IF(YEAR('3 pr-2'!$AK24)=2021,$AP24,0)</f>
        <v>0</v>
      </c>
      <c r="AX24" s="1579">
        <f>IF(YEAR('3 pr-2'!$AK24)=2022,$AP24,0)</f>
        <v>0</v>
      </c>
      <c r="AY24" s="1579">
        <f>IF(YEAR('3 pr-2'!$AK24)=2023,$AP24,0)</f>
        <v>0</v>
      </c>
      <c r="AZ24" s="345" t="s">
        <v>459</v>
      </c>
      <c r="BA24" s="536" t="s">
        <v>460</v>
      </c>
      <c r="BB24" s="345"/>
      <c r="BC24" s="345"/>
      <c r="BD24" s="345"/>
      <c r="BE24" s="345"/>
      <c r="BF24" s="345"/>
      <c r="BG24" s="345"/>
      <c r="BH24" s="345"/>
      <c r="BI24" s="895">
        <f t="shared" si="34"/>
        <v>0</v>
      </c>
      <c r="BJ24" s="345">
        <v>1</v>
      </c>
      <c r="BK24" s="1597"/>
      <c r="BL24" s="1579"/>
      <c r="BM24" s="1579">
        <f>IF(YEAR('3 pr-2'!AK24)=2017,BJ24,0)</f>
        <v>0</v>
      </c>
      <c r="BN24" s="1579">
        <f>IF(YEAR('3 pr-2'!AK24)=2018,BJ24,0)</f>
        <v>1</v>
      </c>
      <c r="BO24" s="1579">
        <f>IF(YEAR('3 pr-2'!AK24)=2019,BJ24,0)</f>
        <v>0</v>
      </c>
      <c r="BP24" s="1579">
        <f>IF(YEAR('3 pr-2'!AK24)=2020,BJ24,0)</f>
        <v>0</v>
      </c>
      <c r="BQ24" s="1579">
        <f>IF(YEAR('3 pr-2'!AK24)=2021,BJ24,0)</f>
        <v>0</v>
      </c>
      <c r="BR24" s="1579">
        <f>IF(YEAR('3 pr-2'!AK24)=2022,BJ24,0)</f>
        <v>0</v>
      </c>
      <c r="BS24" s="1579">
        <f>IF(YEAR('3 pr-2'!AK24)=2023,BJ24,0)</f>
        <v>0</v>
      </c>
      <c r="BT24" s="350"/>
      <c r="BU24" s="537"/>
      <c r="BV24" s="345"/>
      <c r="BW24" s="345"/>
      <c r="BX24" s="345"/>
      <c r="BY24" s="345"/>
      <c r="BZ24" s="345"/>
      <c r="CA24" s="345"/>
      <c r="CB24" s="345"/>
      <c r="CC24" s="895">
        <f t="shared" si="35"/>
        <v>0</v>
      </c>
      <c r="CD24" s="345"/>
      <c r="CE24" s="1579"/>
      <c r="CF24" s="1579"/>
      <c r="CG24" s="1579">
        <f>IF(YEAR('3 pr-2'!$AK24)=2017,$CD24,0)</f>
        <v>0</v>
      </c>
      <c r="CH24" s="1579">
        <f>IF(YEAR('3 pr-2'!$AK24)=2018,$CD24,0)</f>
        <v>0</v>
      </c>
      <c r="CI24" s="1579">
        <f>IF(YEAR('3 pr-2'!$AK24)=2019,$CD24,0)</f>
        <v>0</v>
      </c>
      <c r="CJ24" s="1579">
        <f>IF(YEAR('3 pr-2'!$AK24)=2020,$CD24,0)</f>
        <v>0</v>
      </c>
      <c r="CK24" s="1579">
        <f>IF(YEAR('3 pr-2'!$AK24)=2021,$CD24,0)</f>
        <v>0</v>
      </c>
      <c r="CL24" s="1579">
        <f>IF(YEAR('3 pr-2'!$AK24)=2022,$CD24,0)</f>
        <v>0</v>
      </c>
      <c r="CM24" s="1579">
        <f>IF(YEAR('3 pr-2'!$AK24)=2023,$CD24,0)</f>
        <v>0</v>
      </c>
      <c r="CN24" s="350"/>
      <c r="CO24" s="538"/>
      <c r="CP24" s="351"/>
      <c r="CQ24" s="345"/>
      <c r="CR24" s="345"/>
      <c r="CS24" s="345"/>
      <c r="CT24" s="345"/>
      <c r="CU24" s="345"/>
      <c r="CV24" s="345"/>
      <c r="CW24" s="895">
        <f t="shared" si="36"/>
        <v>0</v>
      </c>
      <c r="CX24" s="351"/>
      <c r="CY24" s="1605"/>
      <c r="CZ24" s="1605"/>
      <c r="DA24" s="1594">
        <f>IF(YEAR('3 pr-2'!AK24)=2017,CX24,0)</f>
        <v>0</v>
      </c>
      <c r="DB24" s="1594">
        <f>IF(YEAR('3 pr-2'!AK24)=2018,CX24,0)</f>
        <v>0</v>
      </c>
      <c r="DC24" s="1594">
        <f>IF(YEAR('3 pr-2'!AK24)=2019,CX24,0)</f>
        <v>0</v>
      </c>
      <c r="DD24" s="1594">
        <f>IF(YEAR('3 pr-2'!AK24)=2020,CX24,0)</f>
        <v>0</v>
      </c>
      <c r="DE24" s="1594">
        <f>IF(YEAR('3 pr-2'!AK24)=2021,CX24,0)</f>
        <v>0</v>
      </c>
      <c r="DF24" s="1594">
        <f>IF(YEAR('3 pr-2'!AK24)=2022,CX24,0)</f>
        <v>0</v>
      </c>
      <c r="DG24" s="1594">
        <f>IF(YEAR('3 pr-2'!AK24)=2023,CX24,0)</f>
        <v>0</v>
      </c>
      <c r="DH24" s="350"/>
      <c r="DI24" s="538"/>
      <c r="DJ24" s="351"/>
      <c r="DK24" s="345"/>
      <c r="DL24" s="345"/>
      <c r="DM24" s="345"/>
      <c r="DN24" s="345"/>
      <c r="DO24" s="345"/>
      <c r="DP24" s="345"/>
      <c r="DQ24" s="895">
        <f t="shared" si="37"/>
        <v>0</v>
      </c>
      <c r="DR24" s="351"/>
      <c r="DS24" s="1605"/>
      <c r="DT24" s="1605"/>
      <c r="DU24" s="1594">
        <f>IF(YEAR('3 pr-2'!BF24)=2017,DS24,0)</f>
        <v>0</v>
      </c>
      <c r="DV24" s="1594">
        <f>IF(YEAR('3 pr-2'!BF24)=2018,DS24,0)</f>
        <v>0</v>
      </c>
      <c r="DW24" s="1594">
        <f>IF(YEAR('3 pr-2'!BF24)=2019,DS24,0)</f>
        <v>0</v>
      </c>
      <c r="DX24" s="1594">
        <f>IF(YEAR('3 pr-2'!BF24)=2020,DS24,0)</f>
        <v>0</v>
      </c>
      <c r="DY24" s="1594">
        <f>IF(YEAR('3 pr-2'!BF24)=2021,DS24,0)</f>
        <v>0</v>
      </c>
      <c r="DZ24" s="1594">
        <f>IF(YEAR('3 pr-2'!BF24)=2022,DS24,0)</f>
        <v>0</v>
      </c>
      <c r="EA24" s="1594">
        <f>IF(YEAR('3 pr-2'!BF24)=2023,DS24,0)</f>
        <v>0</v>
      </c>
      <c r="EB24" s="350"/>
      <c r="EC24" s="538"/>
      <c r="ED24" s="333"/>
      <c r="EE24" s="1605"/>
      <c r="EF24" s="1605"/>
      <c r="EG24" s="1594">
        <f>IF(YEAR('3 pr-2'!BP24)=2017,ED24,0)</f>
        <v>0</v>
      </c>
      <c r="EH24" s="1594">
        <f>IF(YEAR('3 pr-2'!BP24)=2018,ED24,0)</f>
        <v>0</v>
      </c>
      <c r="EI24" s="1594">
        <f>IF(YEAR('3 pr-2'!BP24)=2019,ED24,0)</f>
        <v>0</v>
      </c>
      <c r="EJ24" s="1594">
        <f>IF(YEAR('3 pr-2'!BP24)=2020,ED24,0)</f>
        <v>0</v>
      </c>
      <c r="EK24" s="1594">
        <f>IF(YEAR('3 pr-2'!BP24)=2021,ED24,0)</f>
        <v>0</v>
      </c>
      <c r="EL24" s="1594">
        <f>IF(YEAR('3 pr-2'!BP24)=2022,ED24,0)</f>
        <v>0</v>
      </c>
      <c r="EM24" s="1594">
        <f>IF(YEAR('3 pr-2'!BP24)=2023,ED24,0)</f>
        <v>0</v>
      </c>
    </row>
    <row r="25" spans="1:143" ht="75" thickTop="1" thickBot="1" x14ac:dyDescent="0.3">
      <c r="A25" s="345" t="str">
        <f>CONCATENATE('3 pr-2'!A25)</f>
        <v>1.1.1.1.16</v>
      </c>
      <c r="B25" s="345" t="str">
        <f>CONCATENATE('3 pr-2'!B25)</f>
        <v>R01-ZM72-123200-1116</v>
      </c>
      <c r="C25" s="970" t="str">
        <f>CONCATENATE('ketv. 2'!B24)</f>
        <v>20KI-KA-17-1-02240-PR001</v>
      </c>
      <c r="D25" s="125" t="str">
        <f>CONCATENATE('3 pr-2'!D25)</f>
        <v>Alytaus rajono Talokių kaimo sporto aikštės įrengimas ir Plytinės gatvės apšvietimas</v>
      </c>
      <c r="E25" s="312" t="str">
        <f>CONCATENATE('3 pr-2'!E25)</f>
        <v>Alytaus rajono savivaldybės administracija</v>
      </c>
      <c r="F25" s="312" t="str">
        <f>CONCATENATE('3 pr-2'!F25)</f>
        <v>Lietuvos Respublikos žemės ūkio ministerija</v>
      </c>
      <c r="G25" s="312" t="str">
        <f>CONCATENATE('3 pr-2'!G25)</f>
        <v>Alytaus r. sav.</v>
      </c>
      <c r="H25" s="312" t="str">
        <f>CONCATENATE('3 pr-2'!H25)</f>
        <v xml:space="preserve">Pagrindinės paslaugos ir kaimų atnaujinimas kaimo vietovėse </v>
      </c>
      <c r="I25" s="345" t="str">
        <f>CONCATENATE('3 pr-2'!I25)</f>
        <v>R</v>
      </c>
      <c r="J25" s="345" t="str">
        <f>CONCATENATE('3 pr-2'!J25)</f>
        <v>-</v>
      </c>
      <c r="K25" s="345" t="str">
        <f>CONCATENATE('3 pr-2'!K25)</f>
        <v>-</v>
      </c>
      <c r="L25" s="345" t="s">
        <v>455</v>
      </c>
      <c r="M25" s="537" t="s">
        <v>456</v>
      </c>
      <c r="N25" s="345"/>
      <c r="O25" s="345"/>
      <c r="P25" s="345"/>
      <c r="Q25" s="345"/>
      <c r="R25" s="345"/>
      <c r="S25" s="345"/>
      <c r="T25" s="345"/>
      <c r="U25" s="893"/>
      <c r="V25" s="345">
        <v>2</v>
      </c>
      <c r="W25" s="1578" t="str">
        <f>IF('ketv. 6 '!L24&gt;0,"taip",0)</f>
        <v>taip</v>
      </c>
      <c r="X25" s="1579"/>
      <c r="Y25" s="1579">
        <f>IF(YEAR('3 pr-2'!$AK25)=2017,$V25,0)</f>
        <v>0</v>
      </c>
      <c r="Z25" s="1579">
        <f>IF(YEAR('3 pr-2'!$AK25)=2018,$V25,0)</f>
        <v>2</v>
      </c>
      <c r="AA25" s="1579">
        <f>IF(YEAR('3 pr-2'!$AK25)=2019,$V25,0)</f>
        <v>0</v>
      </c>
      <c r="AB25" s="1579">
        <f>IF(YEAR('3 pr-2'!$AK25)=2020,$V25,0)</f>
        <v>0</v>
      </c>
      <c r="AC25" s="1579">
        <f>IF(YEAR('3 pr-2'!$AK25)=2021,$V25,0)</f>
        <v>0</v>
      </c>
      <c r="AD25" s="1579">
        <f>IF(YEAR('3 pr-2'!$AK25)=2022,$V25,0)</f>
        <v>0</v>
      </c>
      <c r="AE25" s="1579">
        <f>IF(YEAR('3 pr-2'!$AK25)=2023,$V25,0)</f>
        <v>0</v>
      </c>
      <c r="AF25" s="350" t="s">
        <v>457</v>
      </c>
      <c r="AG25" s="537" t="s">
        <v>458</v>
      </c>
      <c r="AH25" s="345"/>
      <c r="AI25" s="345"/>
      <c r="AJ25" s="345"/>
      <c r="AK25" s="345"/>
      <c r="AL25" s="345"/>
      <c r="AM25" s="345"/>
      <c r="AN25" s="345"/>
      <c r="AO25" s="895">
        <f t="shared" si="33"/>
        <v>0</v>
      </c>
      <c r="AP25" s="345">
        <v>396</v>
      </c>
      <c r="AQ25" s="1597"/>
      <c r="AR25" s="1579"/>
      <c r="AS25" s="1579">
        <f>IF(YEAR('3 pr-2'!$AK25)=2017,$AP25,0)</f>
        <v>0</v>
      </c>
      <c r="AT25" s="1579">
        <f>IF(YEAR('3 pr-2'!$AK25)=2018,$AP25,0)</f>
        <v>396</v>
      </c>
      <c r="AU25" s="1579">
        <f>IF(YEAR('3 pr-2'!$AK25)=2019,$AP25,0)</f>
        <v>0</v>
      </c>
      <c r="AV25" s="1579">
        <f>IF(YEAR('3 pr-2'!$AK25)=2020,$AP25,0)</f>
        <v>0</v>
      </c>
      <c r="AW25" s="1579">
        <f>IF(YEAR('3 pr-2'!$AK25)=2021,$AP25,0)</f>
        <v>0</v>
      </c>
      <c r="AX25" s="1579">
        <f>IF(YEAR('3 pr-2'!$AK25)=2022,$AP25,0)</f>
        <v>0</v>
      </c>
      <c r="AY25" s="1579">
        <f>IF(YEAR('3 pr-2'!$AK25)=2023,$AP25,0)</f>
        <v>0</v>
      </c>
      <c r="AZ25" s="345" t="s">
        <v>459</v>
      </c>
      <c r="BA25" s="536" t="s">
        <v>460</v>
      </c>
      <c r="BB25" s="345"/>
      <c r="BC25" s="345"/>
      <c r="BD25" s="345"/>
      <c r="BE25" s="345"/>
      <c r="BF25" s="345"/>
      <c r="BG25" s="345"/>
      <c r="BH25" s="345"/>
      <c r="BI25" s="895">
        <f t="shared" si="34"/>
        <v>0</v>
      </c>
      <c r="BJ25" s="345">
        <v>1</v>
      </c>
      <c r="BK25" s="1597"/>
      <c r="BL25" s="1579"/>
      <c r="BM25" s="1579">
        <f>IF(YEAR('3 pr-2'!AK25)=2017,BJ25,0)</f>
        <v>0</v>
      </c>
      <c r="BN25" s="1579">
        <f>IF(YEAR('3 pr-2'!AK25)=2018,BJ25,0)</f>
        <v>1</v>
      </c>
      <c r="BO25" s="1579">
        <f>IF(YEAR('3 pr-2'!AK25)=2019,BJ25,0)</f>
        <v>0</v>
      </c>
      <c r="BP25" s="1579">
        <f>IF(YEAR('3 pr-2'!AK25)=2020,BJ25,0)</f>
        <v>0</v>
      </c>
      <c r="BQ25" s="1579">
        <f>IF(YEAR('3 pr-2'!AK25)=2021,BJ25,0)</f>
        <v>0</v>
      </c>
      <c r="BR25" s="1579">
        <f>IF(YEAR('3 pr-2'!AK25)=2022,BJ25,0)</f>
        <v>0</v>
      </c>
      <c r="BS25" s="1579">
        <f>IF(YEAR('3 pr-2'!AK25)=2023,BJ25,0)</f>
        <v>0</v>
      </c>
      <c r="BT25" s="350"/>
      <c r="BU25" s="537"/>
      <c r="BV25" s="345"/>
      <c r="BW25" s="345"/>
      <c r="BX25" s="345"/>
      <c r="BY25" s="345"/>
      <c r="BZ25" s="345"/>
      <c r="CA25" s="345"/>
      <c r="CB25" s="345"/>
      <c r="CC25" s="895">
        <f t="shared" si="35"/>
        <v>0</v>
      </c>
      <c r="CD25" s="345"/>
      <c r="CE25" s="1579"/>
      <c r="CF25" s="1579"/>
      <c r="CG25" s="1579">
        <f>IF(YEAR('3 pr-2'!$AK25)=2017,$CD25,0)</f>
        <v>0</v>
      </c>
      <c r="CH25" s="1579">
        <f>IF(YEAR('3 pr-2'!$AK25)=2018,$CD25,0)</f>
        <v>0</v>
      </c>
      <c r="CI25" s="1579">
        <f>IF(YEAR('3 pr-2'!$AK25)=2019,$CD25,0)</f>
        <v>0</v>
      </c>
      <c r="CJ25" s="1579">
        <f>IF(YEAR('3 pr-2'!$AK25)=2020,$CD25,0)</f>
        <v>0</v>
      </c>
      <c r="CK25" s="1579">
        <f>IF(YEAR('3 pr-2'!$AK25)=2021,$CD25,0)</f>
        <v>0</v>
      </c>
      <c r="CL25" s="1579">
        <f>IF(YEAR('3 pr-2'!$AK25)=2022,$CD25,0)</f>
        <v>0</v>
      </c>
      <c r="CM25" s="1579">
        <f>IF(YEAR('3 pr-2'!$AK25)=2023,$CD25,0)</f>
        <v>0</v>
      </c>
      <c r="CN25" s="350"/>
      <c r="CO25" s="538"/>
      <c r="CP25" s="351"/>
      <c r="CQ25" s="345"/>
      <c r="CR25" s="345"/>
      <c r="CS25" s="345"/>
      <c r="CT25" s="345"/>
      <c r="CU25" s="345"/>
      <c r="CV25" s="345"/>
      <c r="CW25" s="895">
        <f t="shared" si="36"/>
        <v>0</v>
      </c>
      <c r="CX25" s="351"/>
      <c r="CY25" s="1605"/>
      <c r="CZ25" s="1605"/>
      <c r="DA25" s="1594">
        <f>IF(YEAR('3 pr-2'!AK25)=2017,CX25,0)</f>
        <v>0</v>
      </c>
      <c r="DB25" s="1594">
        <f>IF(YEAR('3 pr-2'!AK25)=2018,CX25,0)</f>
        <v>0</v>
      </c>
      <c r="DC25" s="1594">
        <f>IF(YEAR('3 pr-2'!AK25)=2019,CX25,0)</f>
        <v>0</v>
      </c>
      <c r="DD25" s="1594">
        <f>IF(YEAR('3 pr-2'!AK25)=2020,CX25,0)</f>
        <v>0</v>
      </c>
      <c r="DE25" s="1594">
        <f>IF(YEAR('3 pr-2'!AK25)=2021,CX25,0)</f>
        <v>0</v>
      </c>
      <c r="DF25" s="1594">
        <f>IF(YEAR('3 pr-2'!AK25)=2022,CX25,0)</f>
        <v>0</v>
      </c>
      <c r="DG25" s="1594">
        <f>IF(YEAR('3 pr-2'!AK25)=2023,CX25,0)</f>
        <v>0</v>
      </c>
      <c r="DH25" s="350"/>
      <c r="DI25" s="538"/>
      <c r="DJ25" s="351"/>
      <c r="DK25" s="345"/>
      <c r="DL25" s="345"/>
      <c r="DM25" s="345"/>
      <c r="DN25" s="345"/>
      <c r="DO25" s="345"/>
      <c r="DP25" s="345"/>
      <c r="DQ25" s="895">
        <f t="shared" si="37"/>
        <v>0</v>
      </c>
      <c r="DR25" s="351"/>
      <c r="DS25" s="1605"/>
      <c r="DT25" s="1605"/>
      <c r="DU25" s="1594">
        <f>IF(YEAR('3 pr-2'!BF25)=2017,DS25,0)</f>
        <v>0</v>
      </c>
      <c r="DV25" s="1594">
        <f>IF(YEAR('3 pr-2'!BF25)=2018,DS25,0)</f>
        <v>0</v>
      </c>
      <c r="DW25" s="1594">
        <f>IF(YEAR('3 pr-2'!BF25)=2019,DS25,0)</f>
        <v>0</v>
      </c>
      <c r="DX25" s="1594">
        <f>IF(YEAR('3 pr-2'!BF25)=2020,DS25,0)</f>
        <v>0</v>
      </c>
      <c r="DY25" s="1594">
        <f>IF(YEAR('3 pr-2'!BF25)=2021,DS25,0)</f>
        <v>0</v>
      </c>
      <c r="DZ25" s="1594">
        <f>IF(YEAR('3 pr-2'!BF25)=2022,DS25,0)</f>
        <v>0</v>
      </c>
      <c r="EA25" s="1594">
        <f>IF(YEAR('3 pr-2'!BF25)=2023,DS25,0)</f>
        <v>0</v>
      </c>
      <c r="EB25" s="350"/>
      <c r="EC25" s="538"/>
      <c r="ED25" s="333"/>
      <c r="EE25" s="1605"/>
      <c r="EF25" s="1605"/>
      <c r="EG25" s="1594">
        <f>IF(YEAR('3 pr-2'!BP25)=2017,ED25,0)</f>
        <v>0</v>
      </c>
      <c r="EH25" s="1594">
        <f>IF(YEAR('3 pr-2'!BP25)=2018,ED25,0)</f>
        <v>0</v>
      </c>
      <c r="EI25" s="1594">
        <f>IF(YEAR('3 pr-2'!BP25)=2019,ED25,0)</f>
        <v>0</v>
      </c>
      <c r="EJ25" s="1594">
        <f>IF(YEAR('3 pr-2'!BP25)=2020,ED25,0)</f>
        <v>0</v>
      </c>
      <c r="EK25" s="1594">
        <f>IF(YEAR('3 pr-2'!BP25)=2021,ED25,0)</f>
        <v>0</v>
      </c>
      <c r="EL25" s="1594">
        <f>IF(YEAR('3 pr-2'!BP25)=2022,ED25,0)</f>
        <v>0</v>
      </c>
      <c r="EM25" s="1594">
        <f>IF(YEAR('3 pr-2'!BP25)=2023,ED25,0)</f>
        <v>0</v>
      </c>
    </row>
    <row r="26" spans="1:143" ht="75" thickTop="1" thickBot="1" x14ac:dyDescent="0.3">
      <c r="A26" s="345" t="str">
        <f>CONCATENATE('3 pr-2'!A26)</f>
        <v>1.1.1.1.17</v>
      </c>
      <c r="B26" s="345" t="str">
        <f>CONCATENATE('3 pr-2'!B26)</f>
        <v>R01-ZM72-120000-1117</v>
      </c>
      <c r="C26" s="970" t="str">
        <f>CONCATENATE('ketv. 2'!B25)</f>
        <v>20KI-KA-17-1-01639-PR001</v>
      </c>
      <c r="D26" s="125" t="str">
        <f>CONCATENATE('3 pr-2'!D26)</f>
        <v>Varėnos r. Rudnios kaimo Pušyno gatvės įrengimas</v>
      </c>
      <c r="E26" s="312" t="str">
        <f>CONCATENATE('3 pr-2'!E26)</f>
        <v xml:space="preserve">Varėnos rajono savivaldybės administracija </v>
      </c>
      <c r="F26" s="312" t="str">
        <f>CONCATENATE('3 pr-2'!F26)</f>
        <v>Lietuvos Respublikos žemės ūkio ministerija</v>
      </c>
      <c r="G26" s="312" t="str">
        <f>CONCATENATE('3 pr-2'!G26)</f>
        <v>Varėnos r. sav.</v>
      </c>
      <c r="H26" s="312" t="str">
        <f>CONCATENATE('3 pr-2'!H26)</f>
        <v xml:space="preserve">Pagrindinės paslaugos ir kaimų atnaujinimas kaimo vietovėse </v>
      </c>
      <c r="I26" s="345" t="str">
        <f>CONCATENATE('3 pr-2'!I26)</f>
        <v>R</v>
      </c>
      <c r="J26" s="345" t="str">
        <f>CONCATENATE('3 pr-2'!J26)</f>
        <v>-</v>
      </c>
      <c r="K26" s="345" t="str">
        <f>CONCATENATE('3 pr-2'!K26)</f>
        <v>-</v>
      </c>
      <c r="L26" s="345" t="s">
        <v>455</v>
      </c>
      <c r="M26" s="537" t="s">
        <v>456</v>
      </c>
      <c r="N26" s="345"/>
      <c r="O26" s="345"/>
      <c r="P26" s="345"/>
      <c r="Q26" s="345"/>
      <c r="R26" s="345"/>
      <c r="S26" s="345"/>
      <c r="T26" s="345"/>
      <c r="U26" s="893"/>
      <c r="V26" s="345">
        <v>1</v>
      </c>
      <c r="W26" s="1578" t="str">
        <f>IF('ketv. 6 '!L25&gt;0,"taip",0)</f>
        <v>taip</v>
      </c>
      <c r="X26" s="1579"/>
      <c r="Y26" s="1579">
        <f>IF(YEAR('3 pr-2'!$AK26)=2017,$V26,0)</f>
        <v>0</v>
      </c>
      <c r="Z26" s="1579">
        <f>IF(YEAR('3 pr-2'!$AK26)=2018,$V26,0)</f>
        <v>0</v>
      </c>
      <c r="AA26" s="1579">
        <f>IF(YEAR('3 pr-2'!$AK26)=2019,$V26,0)</f>
        <v>1</v>
      </c>
      <c r="AB26" s="1579">
        <f>IF(YEAR('3 pr-2'!$AK26)=2020,$V26,0)</f>
        <v>0</v>
      </c>
      <c r="AC26" s="1579">
        <f>IF(YEAR('3 pr-2'!$AK26)=2021,$V26,0)</f>
        <v>0</v>
      </c>
      <c r="AD26" s="1579">
        <f>IF(YEAR('3 pr-2'!$AK26)=2022,$V26,0)</f>
        <v>0</v>
      </c>
      <c r="AE26" s="1579">
        <f>IF(YEAR('3 pr-2'!$AK26)=2023,$V26,0)</f>
        <v>0</v>
      </c>
      <c r="AF26" s="350" t="s">
        <v>457</v>
      </c>
      <c r="AG26" s="537" t="s">
        <v>458</v>
      </c>
      <c r="AH26" s="345"/>
      <c r="AI26" s="345"/>
      <c r="AJ26" s="345"/>
      <c r="AK26" s="345"/>
      <c r="AL26" s="345"/>
      <c r="AM26" s="345"/>
      <c r="AN26" s="345"/>
      <c r="AO26" s="895">
        <f t="shared" si="33"/>
        <v>0</v>
      </c>
      <c r="AP26" s="345">
        <v>74</v>
      </c>
      <c r="AQ26" s="1597"/>
      <c r="AR26" s="1579"/>
      <c r="AS26" s="1579">
        <f>IF(YEAR('3 pr-2'!$AK26)=2017,$AP26,0)</f>
        <v>0</v>
      </c>
      <c r="AT26" s="1579">
        <f>IF(YEAR('3 pr-2'!$AK26)=2018,$AP26,0)</f>
        <v>0</v>
      </c>
      <c r="AU26" s="1579">
        <f>IF(YEAR('3 pr-2'!$AK26)=2019,$AP26,0)</f>
        <v>74</v>
      </c>
      <c r="AV26" s="1579">
        <f>IF(YEAR('3 pr-2'!$AK26)=2020,$AP26,0)</f>
        <v>0</v>
      </c>
      <c r="AW26" s="1579">
        <f>IF(YEAR('3 pr-2'!$AK26)=2021,$AP26,0)</f>
        <v>0</v>
      </c>
      <c r="AX26" s="1579">
        <f>IF(YEAR('3 pr-2'!$AK26)=2022,$AP26,0)</f>
        <v>0</v>
      </c>
      <c r="AY26" s="1579">
        <f>IF(YEAR('3 pr-2'!$AK26)=2023,$AP26,0)</f>
        <v>0</v>
      </c>
      <c r="AZ26" s="345" t="s">
        <v>459</v>
      </c>
      <c r="BA26" s="536" t="s">
        <v>460</v>
      </c>
      <c r="BB26" s="345"/>
      <c r="BC26" s="345"/>
      <c r="BD26" s="345"/>
      <c r="BE26" s="345"/>
      <c r="BF26" s="345"/>
      <c r="BG26" s="345"/>
      <c r="BH26" s="345"/>
      <c r="BI26" s="895">
        <f t="shared" si="34"/>
        <v>0</v>
      </c>
      <c r="BJ26" s="345">
        <v>1</v>
      </c>
      <c r="BK26" s="1597"/>
      <c r="BL26" s="1579"/>
      <c r="BM26" s="1579">
        <f>IF(YEAR('3 pr-2'!AK26)=2017,BJ26,0)</f>
        <v>0</v>
      </c>
      <c r="BN26" s="1579">
        <f>IF(YEAR('3 pr-2'!AK26)=2018,BJ26,0)</f>
        <v>0</v>
      </c>
      <c r="BO26" s="1579">
        <f>IF(YEAR('3 pr-2'!AK26)=2019,BJ26,0)</f>
        <v>1</v>
      </c>
      <c r="BP26" s="1579">
        <f>IF(YEAR('3 pr-2'!AK26)=2020,BJ26,0)</f>
        <v>0</v>
      </c>
      <c r="BQ26" s="1579">
        <f>IF(YEAR('3 pr-2'!AK26)=2021,BJ26,0)</f>
        <v>0</v>
      </c>
      <c r="BR26" s="1579">
        <f>IF(YEAR('3 pr-2'!AK26)=2022,BJ26,0)</f>
        <v>0</v>
      </c>
      <c r="BS26" s="1579">
        <f>IF(YEAR('3 pr-2'!AK26)=2023,BJ26,0)</f>
        <v>0</v>
      </c>
      <c r="BT26" s="350"/>
      <c r="BU26" s="537"/>
      <c r="BV26" s="345"/>
      <c r="BW26" s="345"/>
      <c r="BX26" s="345"/>
      <c r="BY26" s="345"/>
      <c r="BZ26" s="345"/>
      <c r="CA26" s="345"/>
      <c r="CB26" s="345"/>
      <c r="CC26" s="895">
        <f t="shared" si="35"/>
        <v>0</v>
      </c>
      <c r="CD26" s="345"/>
      <c r="CE26" s="1579"/>
      <c r="CF26" s="1579"/>
      <c r="CG26" s="1579">
        <f>IF(YEAR('3 pr-2'!$AK26)=2017,$CD26,0)</f>
        <v>0</v>
      </c>
      <c r="CH26" s="1579">
        <f>IF(YEAR('3 pr-2'!$AK26)=2018,$CD26,0)</f>
        <v>0</v>
      </c>
      <c r="CI26" s="1579">
        <f>IF(YEAR('3 pr-2'!$AK26)=2019,$CD26,0)</f>
        <v>0</v>
      </c>
      <c r="CJ26" s="1579">
        <f>IF(YEAR('3 pr-2'!$AK26)=2020,$CD26,0)</f>
        <v>0</v>
      </c>
      <c r="CK26" s="1579">
        <f>IF(YEAR('3 pr-2'!$AK26)=2021,$CD26,0)</f>
        <v>0</v>
      </c>
      <c r="CL26" s="1579">
        <f>IF(YEAR('3 pr-2'!$AK26)=2022,$CD26,0)</f>
        <v>0</v>
      </c>
      <c r="CM26" s="1579">
        <f>IF(YEAR('3 pr-2'!$AK26)=2023,$CD26,0)</f>
        <v>0</v>
      </c>
      <c r="CN26" s="350"/>
      <c r="CO26" s="538"/>
      <c r="CP26" s="351"/>
      <c r="CQ26" s="345"/>
      <c r="CR26" s="345"/>
      <c r="CS26" s="345"/>
      <c r="CT26" s="345"/>
      <c r="CU26" s="345"/>
      <c r="CV26" s="345"/>
      <c r="CW26" s="895">
        <f t="shared" si="36"/>
        <v>0</v>
      </c>
      <c r="CX26" s="351"/>
      <c r="CY26" s="1605"/>
      <c r="CZ26" s="1605"/>
      <c r="DA26" s="1594">
        <f>IF(YEAR('3 pr-2'!AK26)=2017,CX26,0)</f>
        <v>0</v>
      </c>
      <c r="DB26" s="1594">
        <f>IF(YEAR('3 pr-2'!AK26)=2018,CX26,0)</f>
        <v>0</v>
      </c>
      <c r="DC26" s="1594">
        <f>IF(YEAR('3 pr-2'!AK26)=2019,CX26,0)</f>
        <v>0</v>
      </c>
      <c r="DD26" s="1594">
        <f>IF(YEAR('3 pr-2'!AK26)=2020,CX26,0)</f>
        <v>0</v>
      </c>
      <c r="DE26" s="1594">
        <f>IF(YEAR('3 pr-2'!AK26)=2021,CX26,0)</f>
        <v>0</v>
      </c>
      <c r="DF26" s="1594">
        <f>IF(YEAR('3 pr-2'!AK26)=2022,CX26,0)</f>
        <v>0</v>
      </c>
      <c r="DG26" s="1594">
        <f>IF(YEAR('3 pr-2'!AK26)=2023,CX26,0)</f>
        <v>0</v>
      </c>
      <c r="DH26" s="350"/>
      <c r="DI26" s="538"/>
      <c r="DJ26" s="351"/>
      <c r="DK26" s="345"/>
      <c r="DL26" s="345"/>
      <c r="DM26" s="345"/>
      <c r="DN26" s="345"/>
      <c r="DO26" s="345"/>
      <c r="DP26" s="345"/>
      <c r="DQ26" s="895">
        <f t="shared" si="37"/>
        <v>0</v>
      </c>
      <c r="DR26" s="351"/>
      <c r="DS26" s="1605"/>
      <c r="DT26" s="1605"/>
      <c r="DU26" s="1594">
        <f>IF(YEAR('3 pr-2'!BF26)=2017,DS26,0)</f>
        <v>0</v>
      </c>
      <c r="DV26" s="1594">
        <f>IF(YEAR('3 pr-2'!BF26)=2018,DS26,0)</f>
        <v>0</v>
      </c>
      <c r="DW26" s="1594">
        <f>IF(YEAR('3 pr-2'!BF26)=2019,DS26,0)</f>
        <v>0</v>
      </c>
      <c r="DX26" s="1594">
        <f>IF(YEAR('3 pr-2'!BF26)=2020,DS26,0)</f>
        <v>0</v>
      </c>
      <c r="DY26" s="1594">
        <f>IF(YEAR('3 pr-2'!BF26)=2021,DS26,0)</f>
        <v>0</v>
      </c>
      <c r="DZ26" s="1594">
        <f>IF(YEAR('3 pr-2'!BF26)=2022,DS26,0)</f>
        <v>0</v>
      </c>
      <c r="EA26" s="1594">
        <f>IF(YEAR('3 pr-2'!BF26)=2023,DS26,0)</f>
        <v>0</v>
      </c>
      <c r="EB26" s="350"/>
      <c r="EC26" s="538"/>
      <c r="ED26" s="333"/>
      <c r="EE26" s="1605"/>
      <c r="EF26" s="1605"/>
      <c r="EG26" s="1594">
        <f>IF(YEAR('3 pr-2'!BP26)=2017,ED26,0)</f>
        <v>0</v>
      </c>
      <c r="EH26" s="1594">
        <f>IF(YEAR('3 pr-2'!BP26)=2018,ED26,0)</f>
        <v>0</v>
      </c>
      <c r="EI26" s="1594">
        <f>IF(YEAR('3 pr-2'!BP26)=2019,ED26,0)</f>
        <v>0</v>
      </c>
      <c r="EJ26" s="1594">
        <f>IF(YEAR('3 pr-2'!BP26)=2020,ED26,0)</f>
        <v>0</v>
      </c>
      <c r="EK26" s="1594">
        <f>IF(YEAR('3 pr-2'!BP26)=2021,ED26,0)</f>
        <v>0</v>
      </c>
      <c r="EL26" s="1594">
        <f>IF(YEAR('3 pr-2'!BP26)=2022,ED26,0)</f>
        <v>0</v>
      </c>
      <c r="EM26" s="1594">
        <f>IF(YEAR('3 pr-2'!BP26)=2023,ED26,0)</f>
        <v>0</v>
      </c>
    </row>
    <row r="27" spans="1:143" ht="75" thickTop="1" thickBot="1" x14ac:dyDescent="0.3">
      <c r="A27" s="345" t="str">
        <f>CONCATENATE('3 pr-2'!A27)</f>
        <v>1.1.1.1.18</v>
      </c>
      <c r="B27" s="345" t="str">
        <f>CONCATENATE('3 pr-2'!B27)</f>
        <v>R01-ZM72-340000-1118</v>
      </c>
      <c r="C27" s="970" t="str">
        <f>CONCATENATE('ketv. 2'!B26)</f>
        <v>20KI-KA-17-1-01666-PR001</v>
      </c>
      <c r="D27" s="125" t="str">
        <f>CONCATENATE('3 pr-2'!D27)</f>
        <v>Varėnos kultūros centro Žilinų filialo pastato atnaujinimas ir pritaikymas bendruomenės poreikiams</v>
      </c>
      <c r="E27" s="312" t="str">
        <f>CONCATENATE('3 pr-2'!E27)</f>
        <v xml:space="preserve">Varėnos rajono savivaldybės administracija </v>
      </c>
      <c r="F27" s="312" t="str">
        <f>CONCATENATE('3 pr-2'!F27)</f>
        <v>Lietuvos Respublikos žemės ūkio ministerija</v>
      </c>
      <c r="G27" s="312" t="str">
        <f>CONCATENATE('3 pr-2'!G27)</f>
        <v>Varėnos r. sav.</v>
      </c>
      <c r="H27" s="312" t="str">
        <f>CONCATENATE('3 pr-2'!H27)</f>
        <v xml:space="preserve">Pagrindinės paslaugos ir kaimų atnaujinimas kaimo vietovėse </v>
      </c>
      <c r="I27" s="345" t="str">
        <f>CONCATENATE('3 pr-2'!I27)</f>
        <v>R</v>
      </c>
      <c r="J27" s="345" t="str">
        <f>CONCATENATE('3 pr-2'!J27)</f>
        <v>-</v>
      </c>
      <c r="K27" s="345" t="str">
        <f>CONCATENATE('3 pr-2'!K27)</f>
        <v>-</v>
      </c>
      <c r="L27" s="345" t="s">
        <v>455</v>
      </c>
      <c r="M27" s="537" t="s">
        <v>456</v>
      </c>
      <c r="N27" s="345"/>
      <c r="O27" s="345"/>
      <c r="P27" s="345"/>
      <c r="Q27" s="345"/>
      <c r="R27" s="345"/>
      <c r="S27" s="345"/>
      <c r="T27" s="345"/>
      <c r="U27" s="893"/>
      <c r="V27" s="345">
        <v>1</v>
      </c>
      <c r="W27" s="1578" t="str">
        <f>IF('ketv. 6 '!L26&gt;0,"taip",0)</f>
        <v>taip</v>
      </c>
      <c r="X27" s="1579"/>
      <c r="Y27" s="1579">
        <f>IF(YEAR('3 pr-2'!$AK27)=2017,$V27,0)</f>
        <v>0</v>
      </c>
      <c r="Z27" s="1579">
        <f>IF(YEAR('3 pr-2'!$AK27)=2018,$V27,0)</f>
        <v>0</v>
      </c>
      <c r="AA27" s="1579">
        <f>IF(YEAR('3 pr-2'!$AK27)=2019,$V27,0)</f>
        <v>1</v>
      </c>
      <c r="AB27" s="1579">
        <f>IF(YEAR('3 pr-2'!$AK27)=2020,$V27,0)</f>
        <v>0</v>
      </c>
      <c r="AC27" s="1579">
        <f>IF(YEAR('3 pr-2'!$AK27)=2021,$V27,0)</f>
        <v>0</v>
      </c>
      <c r="AD27" s="1579">
        <f>IF(YEAR('3 pr-2'!$AK27)=2022,$V27,0)</f>
        <v>0</v>
      </c>
      <c r="AE27" s="1579">
        <f>IF(YEAR('3 pr-2'!$AK27)=2023,$V27,0)</f>
        <v>0</v>
      </c>
      <c r="AF27" s="350" t="s">
        <v>457</v>
      </c>
      <c r="AG27" s="537" t="s">
        <v>458</v>
      </c>
      <c r="AH27" s="345"/>
      <c r="AI27" s="345"/>
      <c r="AJ27" s="345"/>
      <c r="AK27" s="345"/>
      <c r="AL27" s="345"/>
      <c r="AM27" s="345"/>
      <c r="AN27" s="345"/>
      <c r="AO27" s="895">
        <f t="shared" si="33"/>
        <v>0</v>
      </c>
      <c r="AP27" s="345">
        <v>392</v>
      </c>
      <c r="AQ27" s="1597"/>
      <c r="AR27" s="1579"/>
      <c r="AS27" s="1579">
        <f>IF(YEAR('3 pr-2'!$AK27)=2017,$AP27,0)</f>
        <v>0</v>
      </c>
      <c r="AT27" s="1579">
        <f>IF(YEAR('3 pr-2'!$AK27)=2018,$AP27,0)</f>
        <v>0</v>
      </c>
      <c r="AU27" s="1579">
        <f>IF(YEAR('3 pr-2'!$AK27)=2019,$AP27,0)</f>
        <v>392</v>
      </c>
      <c r="AV27" s="1579">
        <f>IF(YEAR('3 pr-2'!$AK27)=2020,$AP27,0)</f>
        <v>0</v>
      </c>
      <c r="AW27" s="1579">
        <f>IF(YEAR('3 pr-2'!$AK27)=2021,$AP27,0)</f>
        <v>0</v>
      </c>
      <c r="AX27" s="1579">
        <f>IF(YEAR('3 pr-2'!$AK27)=2022,$AP27,0)</f>
        <v>0</v>
      </c>
      <c r="AY27" s="1579">
        <f>IF(YEAR('3 pr-2'!$AK27)=2023,$AP27,0)</f>
        <v>0</v>
      </c>
      <c r="AZ27" s="345" t="s">
        <v>459</v>
      </c>
      <c r="BA27" s="536" t="s">
        <v>460</v>
      </c>
      <c r="BB27" s="345"/>
      <c r="BC27" s="345"/>
      <c r="BD27" s="345"/>
      <c r="BE27" s="345"/>
      <c r="BF27" s="345"/>
      <c r="BG27" s="345"/>
      <c r="BH27" s="345"/>
      <c r="BI27" s="895">
        <f t="shared" si="34"/>
        <v>0</v>
      </c>
      <c r="BJ27" s="345">
        <v>1</v>
      </c>
      <c r="BK27" s="1597"/>
      <c r="BL27" s="1579"/>
      <c r="BM27" s="1579">
        <f>IF(YEAR('3 pr-2'!AK27)=2017,BJ27,0)</f>
        <v>0</v>
      </c>
      <c r="BN27" s="1579">
        <f>IF(YEAR('3 pr-2'!AK27)=2018,BJ27,0)</f>
        <v>0</v>
      </c>
      <c r="BO27" s="1579">
        <f>IF(YEAR('3 pr-2'!AK27)=2019,BJ27,0)</f>
        <v>1</v>
      </c>
      <c r="BP27" s="1579">
        <f>IF(YEAR('3 pr-2'!AK27)=2020,BJ27,0)</f>
        <v>0</v>
      </c>
      <c r="BQ27" s="1579">
        <f>IF(YEAR('3 pr-2'!AK27)=2021,BJ27,0)</f>
        <v>0</v>
      </c>
      <c r="BR27" s="1579">
        <f>IF(YEAR('3 pr-2'!AK27)=2022,BJ27,0)</f>
        <v>0</v>
      </c>
      <c r="BS27" s="1579">
        <f>IF(YEAR('3 pr-2'!AK27)=2023,BJ27,0)</f>
        <v>0</v>
      </c>
      <c r="BT27" s="350"/>
      <c r="BU27" s="537"/>
      <c r="BV27" s="345"/>
      <c r="BW27" s="345"/>
      <c r="BX27" s="345"/>
      <c r="BY27" s="345"/>
      <c r="BZ27" s="345"/>
      <c r="CA27" s="345"/>
      <c r="CB27" s="345"/>
      <c r="CC27" s="895">
        <f t="shared" si="35"/>
        <v>0</v>
      </c>
      <c r="CD27" s="345"/>
      <c r="CE27" s="1579"/>
      <c r="CF27" s="1579"/>
      <c r="CG27" s="1579">
        <f>IF(YEAR('3 pr-2'!$AK27)=2017,$CD27,0)</f>
        <v>0</v>
      </c>
      <c r="CH27" s="1579">
        <f>IF(YEAR('3 pr-2'!$AK27)=2018,$CD27,0)</f>
        <v>0</v>
      </c>
      <c r="CI27" s="1579">
        <f>IF(YEAR('3 pr-2'!$AK27)=2019,$CD27,0)</f>
        <v>0</v>
      </c>
      <c r="CJ27" s="1579">
        <f>IF(YEAR('3 pr-2'!$AK27)=2020,$CD27,0)</f>
        <v>0</v>
      </c>
      <c r="CK27" s="1579">
        <f>IF(YEAR('3 pr-2'!$AK27)=2021,$CD27,0)</f>
        <v>0</v>
      </c>
      <c r="CL27" s="1579">
        <f>IF(YEAR('3 pr-2'!$AK27)=2022,$CD27,0)</f>
        <v>0</v>
      </c>
      <c r="CM27" s="1579">
        <f>IF(YEAR('3 pr-2'!$AK27)=2023,$CD27,0)</f>
        <v>0</v>
      </c>
      <c r="CN27" s="350"/>
      <c r="CO27" s="538"/>
      <c r="CP27" s="351"/>
      <c r="CQ27" s="345"/>
      <c r="CR27" s="345"/>
      <c r="CS27" s="345"/>
      <c r="CT27" s="345"/>
      <c r="CU27" s="345"/>
      <c r="CV27" s="345"/>
      <c r="CW27" s="895">
        <f t="shared" si="36"/>
        <v>0</v>
      </c>
      <c r="CX27" s="351"/>
      <c r="CY27" s="1605"/>
      <c r="CZ27" s="1605"/>
      <c r="DA27" s="1594">
        <f>IF(YEAR('3 pr-2'!AK27)=2017,CX27,0)</f>
        <v>0</v>
      </c>
      <c r="DB27" s="1594">
        <f>IF(YEAR('3 pr-2'!AK27)=2018,CX27,0)</f>
        <v>0</v>
      </c>
      <c r="DC27" s="1594">
        <f>IF(YEAR('3 pr-2'!AK27)=2019,CX27,0)</f>
        <v>0</v>
      </c>
      <c r="DD27" s="1594">
        <f>IF(YEAR('3 pr-2'!AK27)=2020,CX27,0)</f>
        <v>0</v>
      </c>
      <c r="DE27" s="1594">
        <f>IF(YEAR('3 pr-2'!AK27)=2021,CX27,0)</f>
        <v>0</v>
      </c>
      <c r="DF27" s="1594">
        <f>IF(YEAR('3 pr-2'!AK27)=2022,CX27,0)</f>
        <v>0</v>
      </c>
      <c r="DG27" s="1594">
        <f>IF(YEAR('3 pr-2'!AK27)=2023,CX27,0)</f>
        <v>0</v>
      </c>
      <c r="DH27" s="350"/>
      <c r="DI27" s="538"/>
      <c r="DJ27" s="351"/>
      <c r="DK27" s="345"/>
      <c r="DL27" s="345"/>
      <c r="DM27" s="345"/>
      <c r="DN27" s="345"/>
      <c r="DO27" s="345"/>
      <c r="DP27" s="345"/>
      <c r="DQ27" s="895">
        <f t="shared" si="37"/>
        <v>0</v>
      </c>
      <c r="DR27" s="351"/>
      <c r="DS27" s="1605"/>
      <c r="DT27" s="1605"/>
      <c r="DU27" s="1594">
        <f>IF(YEAR('3 pr-2'!BF27)=2017,DS27,0)</f>
        <v>0</v>
      </c>
      <c r="DV27" s="1594">
        <f>IF(YEAR('3 pr-2'!BF27)=2018,DS27,0)</f>
        <v>0</v>
      </c>
      <c r="DW27" s="1594">
        <f>IF(YEAR('3 pr-2'!BF27)=2019,DS27,0)</f>
        <v>0</v>
      </c>
      <c r="DX27" s="1594">
        <f>IF(YEAR('3 pr-2'!BF27)=2020,DS27,0)</f>
        <v>0</v>
      </c>
      <c r="DY27" s="1594">
        <f>IF(YEAR('3 pr-2'!BF27)=2021,DS27,0)</f>
        <v>0</v>
      </c>
      <c r="DZ27" s="1594">
        <f>IF(YEAR('3 pr-2'!BF27)=2022,DS27,0)</f>
        <v>0</v>
      </c>
      <c r="EA27" s="1594">
        <f>IF(YEAR('3 pr-2'!BF27)=2023,DS27,0)</f>
        <v>0</v>
      </c>
      <c r="EB27" s="350"/>
      <c r="EC27" s="538"/>
      <c r="ED27" s="333"/>
      <c r="EE27" s="1605"/>
      <c r="EF27" s="1605"/>
      <c r="EG27" s="1594">
        <f>IF(YEAR('3 pr-2'!BP27)=2017,ED27,0)</f>
        <v>0</v>
      </c>
      <c r="EH27" s="1594">
        <f>IF(YEAR('3 pr-2'!BP27)=2018,ED27,0)</f>
        <v>0</v>
      </c>
      <c r="EI27" s="1594">
        <f>IF(YEAR('3 pr-2'!BP27)=2019,ED27,0)</f>
        <v>0</v>
      </c>
      <c r="EJ27" s="1594">
        <f>IF(YEAR('3 pr-2'!BP27)=2020,ED27,0)</f>
        <v>0</v>
      </c>
      <c r="EK27" s="1594">
        <f>IF(YEAR('3 pr-2'!BP27)=2021,ED27,0)</f>
        <v>0</v>
      </c>
      <c r="EL27" s="1594">
        <f>IF(YEAR('3 pr-2'!BP27)=2022,ED27,0)</f>
        <v>0</v>
      </c>
      <c r="EM27" s="1594">
        <f>IF(YEAR('3 pr-2'!BP27)=2023,ED27,0)</f>
        <v>0</v>
      </c>
    </row>
    <row r="28" spans="1:143" ht="75" thickTop="1" thickBot="1" x14ac:dyDescent="0.3">
      <c r="A28" s="345" t="str">
        <f>CONCATENATE('3 pr-2'!A28)</f>
        <v>1.1.1.1.19</v>
      </c>
      <c r="B28" s="345" t="str">
        <f>CONCATENATE('3 pr-2'!B28)</f>
        <v>R01-ZM72-120000-1119</v>
      </c>
      <c r="C28" s="970" t="str">
        <f>CONCATENATE('ketv. 2'!B27)</f>
        <v>20KI-KA-17-1-02648-PR001</v>
      </c>
      <c r="D28" s="125" t="str">
        <f>CONCATENATE('3 pr-2'!D28)</f>
        <v>Alytaus rajono Pivašiūnų kaimo šaligatvių, laiptų kapitalinis remontas ir gyvenvietės apšvietimo įrengimas</v>
      </c>
      <c r="E28" s="312" t="str">
        <f>CONCATENATE('3 pr-2'!E28)</f>
        <v>Alytaus rajono savivaldybės administracija</v>
      </c>
      <c r="F28" s="312" t="str">
        <f>CONCATENATE('3 pr-2'!F28)</f>
        <v>Lietuvos Respublikos žemės ūkio ministerija</v>
      </c>
      <c r="G28" s="312" t="str">
        <f>CONCATENATE('3 pr-2'!G28)</f>
        <v>Alytaus r. sav.</v>
      </c>
      <c r="H28" s="312" t="str">
        <f>CONCATENATE('3 pr-2'!H28)</f>
        <v xml:space="preserve">Pagrindinės paslaugos ir kaimų atnaujinimas kaimo vietovėse </v>
      </c>
      <c r="I28" s="345" t="str">
        <f>CONCATENATE('3 pr-2'!I28)</f>
        <v>R</v>
      </c>
      <c r="J28" s="345" t="str">
        <f>CONCATENATE('3 pr-2'!J28)</f>
        <v>-</v>
      </c>
      <c r="K28" s="345" t="str">
        <f>CONCATENATE('3 pr-2'!K28)</f>
        <v>-</v>
      </c>
      <c r="L28" s="345" t="s">
        <v>455</v>
      </c>
      <c r="M28" s="537" t="s">
        <v>456</v>
      </c>
      <c r="N28" s="345"/>
      <c r="O28" s="345"/>
      <c r="P28" s="345"/>
      <c r="Q28" s="345"/>
      <c r="R28" s="345"/>
      <c r="S28" s="345"/>
      <c r="T28" s="345"/>
      <c r="U28" s="893"/>
      <c r="V28" s="345">
        <v>2</v>
      </c>
      <c r="W28" s="1578" t="str">
        <f>IF('ketv. 6 '!L27&gt;0,"taip",0)</f>
        <v>taip</v>
      </c>
      <c r="X28" s="1579"/>
      <c r="Y28" s="1579">
        <f>IF(YEAR('3 pr-2'!$AK28)=2017,$V28,0)</f>
        <v>0</v>
      </c>
      <c r="Z28" s="1579">
        <f>IF(YEAR('3 pr-2'!$AK28)=2018,$V28,0)</f>
        <v>2</v>
      </c>
      <c r="AA28" s="1579">
        <f>IF(YEAR('3 pr-2'!$AK28)=2019,$V28,0)</f>
        <v>0</v>
      </c>
      <c r="AB28" s="1579">
        <f>IF(YEAR('3 pr-2'!$AK28)=2020,$V28,0)</f>
        <v>0</v>
      </c>
      <c r="AC28" s="1579">
        <f>IF(YEAR('3 pr-2'!$AK28)=2021,$V28,0)</f>
        <v>0</v>
      </c>
      <c r="AD28" s="1579">
        <f>IF(YEAR('3 pr-2'!$AK28)=2022,$V28,0)</f>
        <v>0</v>
      </c>
      <c r="AE28" s="1579">
        <f>IF(YEAR('3 pr-2'!$AK28)=2023,$V28,0)</f>
        <v>0</v>
      </c>
      <c r="AF28" s="350" t="s">
        <v>457</v>
      </c>
      <c r="AG28" s="537" t="s">
        <v>458</v>
      </c>
      <c r="AH28" s="345"/>
      <c r="AI28" s="345"/>
      <c r="AJ28" s="345"/>
      <c r="AK28" s="345"/>
      <c r="AL28" s="345"/>
      <c r="AM28" s="345"/>
      <c r="AN28" s="345"/>
      <c r="AO28" s="895">
        <f t="shared" si="33"/>
        <v>0</v>
      </c>
      <c r="AP28" s="345">
        <v>292</v>
      </c>
      <c r="AQ28" s="1597"/>
      <c r="AR28" s="1579"/>
      <c r="AS28" s="1579">
        <f>IF(YEAR('3 pr-2'!$AK28)=2017,$AP28,0)</f>
        <v>0</v>
      </c>
      <c r="AT28" s="1579">
        <f>IF(YEAR('3 pr-2'!$AK28)=2018,$AP28,0)</f>
        <v>292</v>
      </c>
      <c r="AU28" s="1579">
        <f>IF(YEAR('3 pr-2'!$AK28)=2019,$AP28,0)</f>
        <v>0</v>
      </c>
      <c r="AV28" s="1579">
        <f>IF(YEAR('3 pr-2'!$AK28)=2020,$AP28,0)</f>
        <v>0</v>
      </c>
      <c r="AW28" s="1579">
        <f>IF(YEAR('3 pr-2'!$AK28)=2021,$AP28,0)</f>
        <v>0</v>
      </c>
      <c r="AX28" s="1579">
        <f>IF(YEAR('3 pr-2'!$AK28)=2022,$AP28,0)</f>
        <v>0</v>
      </c>
      <c r="AY28" s="1579">
        <f>IF(YEAR('3 pr-2'!$AK28)=2023,$AP28,0)</f>
        <v>0</v>
      </c>
      <c r="AZ28" s="345" t="s">
        <v>459</v>
      </c>
      <c r="BA28" s="536" t="s">
        <v>460</v>
      </c>
      <c r="BB28" s="345"/>
      <c r="BC28" s="345"/>
      <c r="BD28" s="345"/>
      <c r="BE28" s="345"/>
      <c r="BF28" s="345"/>
      <c r="BG28" s="345"/>
      <c r="BH28" s="345"/>
      <c r="BI28" s="895">
        <f t="shared" si="34"/>
        <v>0</v>
      </c>
      <c r="BJ28" s="345">
        <v>1</v>
      </c>
      <c r="BK28" s="1597"/>
      <c r="BL28" s="1579"/>
      <c r="BM28" s="1579">
        <f>IF(YEAR('3 pr-2'!AK28)=2017,BJ28,0)</f>
        <v>0</v>
      </c>
      <c r="BN28" s="1579">
        <f>IF(YEAR('3 pr-2'!AK28)=2018,BJ28,0)</f>
        <v>1</v>
      </c>
      <c r="BO28" s="1579">
        <f>IF(YEAR('3 pr-2'!AK28)=2019,BJ28,0)</f>
        <v>0</v>
      </c>
      <c r="BP28" s="1579">
        <f>IF(YEAR('3 pr-2'!AK28)=2020,BJ28,0)</f>
        <v>0</v>
      </c>
      <c r="BQ28" s="1579">
        <f>IF(YEAR('3 pr-2'!AK28)=2021,BJ28,0)</f>
        <v>0</v>
      </c>
      <c r="BR28" s="1579">
        <f>IF(YEAR('3 pr-2'!AK28)=2022,BJ28,0)</f>
        <v>0</v>
      </c>
      <c r="BS28" s="1579">
        <f>IF(YEAR('3 pr-2'!AK28)=2023,BJ28,0)</f>
        <v>0</v>
      </c>
      <c r="BT28" s="350"/>
      <c r="BU28" s="537"/>
      <c r="BV28" s="345"/>
      <c r="BW28" s="345"/>
      <c r="BX28" s="345"/>
      <c r="BY28" s="345"/>
      <c r="BZ28" s="345"/>
      <c r="CA28" s="345"/>
      <c r="CB28" s="345"/>
      <c r="CC28" s="895">
        <f t="shared" si="35"/>
        <v>0</v>
      </c>
      <c r="CD28" s="345"/>
      <c r="CE28" s="1579"/>
      <c r="CF28" s="1579"/>
      <c r="CG28" s="1579">
        <f>IF(YEAR('3 pr-2'!$AK28)=2017,$CD28,0)</f>
        <v>0</v>
      </c>
      <c r="CH28" s="1579">
        <f>IF(YEAR('3 pr-2'!$AK28)=2018,$CD28,0)</f>
        <v>0</v>
      </c>
      <c r="CI28" s="1579">
        <f>IF(YEAR('3 pr-2'!$AK28)=2019,$CD28,0)</f>
        <v>0</v>
      </c>
      <c r="CJ28" s="1579">
        <f>IF(YEAR('3 pr-2'!$AK28)=2020,$CD28,0)</f>
        <v>0</v>
      </c>
      <c r="CK28" s="1579">
        <f>IF(YEAR('3 pr-2'!$AK28)=2021,$CD28,0)</f>
        <v>0</v>
      </c>
      <c r="CL28" s="1579">
        <f>IF(YEAR('3 pr-2'!$AK28)=2022,$CD28,0)</f>
        <v>0</v>
      </c>
      <c r="CM28" s="1579">
        <f>IF(YEAR('3 pr-2'!$AK28)=2023,$CD28,0)</f>
        <v>0</v>
      </c>
      <c r="CN28" s="350"/>
      <c r="CO28" s="538"/>
      <c r="CP28" s="351"/>
      <c r="CQ28" s="345"/>
      <c r="CR28" s="345"/>
      <c r="CS28" s="345"/>
      <c r="CT28" s="345"/>
      <c r="CU28" s="345"/>
      <c r="CV28" s="345"/>
      <c r="CW28" s="895">
        <f t="shared" si="36"/>
        <v>0</v>
      </c>
      <c r="CX28" s="351"/>
      <c r="CY28" s="1605"/>
      <c r="CZ28" s="1605"/>
      <c r="DA28" s="1594">
        <f>IF(YEAR('3 pr-2'!AK28)=2017,CX28,0)</f>
        <v>0</v>
      </c>
      <c r="DB28" s="1594">
        <f>IF(YEAR('3 pr-2'!AK28)=2018,CX28,0)</f>
        <v>0</v>
      </c>
      <c r="DC28" s="1594">
        <f>IF(YEAR('3 pr-2'!AK28)=2019,CX28,0)</f>
        <v>0</v>
      </c>
      <c r="DD28" s="1594">
        <f>IF(YEAR('3 pr-2'!AK28)=2020,CX28,0)</f>
        <v>0</v>
      </c>
      <c r="DE28" s="1594">
        <f>IF(YEAR('3 pr-2'!AK28)=2021,CX28,0)</f>
        <v>0</v>
      </c>
      <c r="DF28" s="1594">
        <f>IF(YEAR('3 pr-2'!AK28)=2022,CX28,0)</f>
        <v>0</v>
      </c>
      <c r="DG28" s="1594">
        <f>IF(YEAR('3 pr-2'!AK28)=2023,CX28,0)</f>
        <v>0</v>
      </c>
      <c r="DH28" s="350"/>
      <c r="DI28" s="538"/>
      <c r="DJ28" s="351"/>
      <c r="DK28" s="345"/>
      <c r="DL28" s="345"/>
      <c r="DM28" s="345"/>
      <c r="DN28" s="345"/>
      <c r="DO28" s="345"/>
      <c r="DP28" s="345"/>
      <c r="DQ28" s="895">
        <f t="shared" si="37"/>
        <v>0</v>
      </c>
      <c r="DR28" s="351"/>
      <c r="DS28" s="1605"/>
      <c r="DT28" s="1605"/>
      <c r="DU28" s="1594">
        <f>IF(YEAR('3 pr-2'!BF28)=2017,DS28,0)</f>
        <v>0</v>
      </c>
      <c r="DV28" s="1594">
        <f>IF(YEAR('3 pr-2'!BF28)=2018,DS28,0)</f>
        <v>0</v>
      </c>
      <c r="DW28" s="1594">
        <f>IF(YEAR('3 pr-2'!BF28)=2019,DS28,0)</f>
        <v>0</v>
      </c>
      <c r="DX28" s="1594">
        <f>IF(YEAR('3 pr-2'!BF28)=2020,DS28,0)</f>
        <v>0</v>
      </c>
      <c r="DY28" s="1594">
        <f>IF(YEAR('3 pr-2'!BF28)=2021,DS28,0)</f>
        <v>0</v>
      </c>
      <c r="DZ28" s="1594">
        <f>IF(YEAR('3 pr-2'!BF28)=2022,DS28,0)</f>
        <v>0</v>
      </c>
      <c r="EA28" s="1594">
        <f>IF(YEAR('3 pr-2'!BF28)=2023,DS28,0)</f>
        <v>0</v>
      </c>
      <c r="EB28" s="350"/>
      <c r="EC28" s="538"/>
      <c r="ED28" s="333"/>
      <c r="EE28" s="1605"/>
      <c r="EF28" s="1605"/>
      <c r="EG28" s="1594">
        <f>IF(YEAR('3 pr-2'!BP28)=2017,ED28,0)</f>
        <v>0</v>
      </c>
      <c r="EH28" s="1594">
        <f>IF(YEAR('3 pr-2'!BP28)=2018,ED28,0)</f>
        <v>0</v>
      </c>
      <c r="EI28" s="1594">
        <f>IF(YEAR('3 pr-2'!BP28)=2019,ED28,0)</f>
        <v>0</v>
      </c>
      <c r="EJ28" s="1594">
        <f>IF(YEAR('3 pr-2'!BP28)=2020,ED28,0)</f>
        <v>0</v>
      </c>
      <c r="EK28" s="1594">
        <f>IF(YEAR('3 pr-2'!BP28)=2021,ED28,0)</f>
        <v>0</v>
      </c>
      <c r="EL28" s="1594">
        <f>IF(YEAR('3 pr-2'!BP28)=2022,ED28,0)</f>
        <v>0</v>
      </c>
      <c r="EM28" s="1594">
        <f>IF(YEAR('3 pr-2'!BP28)=2023,ED28,0)</f>
        <v>0</v>
      </c>
    </row>
    <row r="29" spans="1:143" ht="85.5" thickTop="1" thickBot="1" x14ac:dyDescent="0.3">
      <c r="A29" s="345" t="str">
        <f>CONCATENATE('3 pr-2'!A29)</f>
        <v>1.1.1.1.20</v>
      </c>
      <c r="B29" s="345" t="str">
        <f>CONCATENATE('3 pr-2'!B29)</f>
        <v>R01-ZM72-340000-1120</v>
      </c>
      <c r="C29" s="970" t="str">
        <f>CONCATENATE('ketv. 2'!B28)</f>
        <v>20KI-KA-17-1-01736-PR001</v>
      </c>
      <c r="D29" s="125" t="str">
        <f>CONCATENATE('3 pr-2'!D29)</f>
        <v>Pastato, esančio Pušelės g. 11, Naujųjų Valkininkų k., Varėnos r., atnaujinimas ir pritaikymas bendruomenės poreikiams</v>
      </c>
      <c r="E29" s="312" t="str">
        <f>CONCATENATE('3 pr-2'!E29)</f>
        <v xml:space="preserve">Varėnos rajono savivaldybės administracija </v>
      </c>
      <c r="F29" s="312" t="str">
        <f>CONCATENATE('3 pr-2'!F29)</f>
        <v>Lietuvos Respublikos žemės ūkio ministerija</v>
      </c>
      <c r="G29" s="312" t="str">
        <f>CONCATENATE('3 pr-2'!G29)</f>
        <v>Varėnos r. sav.</v>
      </c>
      <c r="H29" s="312" t="str">
        <f>CONCATENATE('3 pr-2'!H29)</f>
        <v xml:space="preserve">Pagrindinės paslaugos ir kaimų atnaujinimas kaimo vietovėse </v>
      </c>
      <c r="I29" s="345" t="str">
        <f>CONCATENATE('3 pr-2'!I29)</f>
        <v>R</v>
      </c>
      <c r="J29" s="345" t="str">
        <f>CONCATENATE('3 pr-2'!J29)</f>
        <v>-</v>
      </c>
      <c r="K29" s="345" t="str">
        <f>CONCATENATE('3 pr-2'!K29)</f>
        <v>-</v>
      </c>
      <c r="L29" s="345" t="s">
        <v>455</v>
      </c>
      <c r="M29" s="537" t="s">
        <v>456</v>
      </c>
      <c r="N29" s="345"/>
      <c r="O29" s="345"/>
      <c r="P29" s="345"/>
      <c r="Q29" s="345"/>
      <c r="R29" s="345"/>
      <c r="S29" s="345"/>
      <c r="T29" s="345"/>
      <c r="U29" s="893"/>
      <c r="V29" s="345">
        <v>1</v>
      </c>
      <c r="W29" s="1578" t="str">
        <f>IF('ketv. 6 '!L28&gt;0,"taip",0)</f>
        <v>taip</v>
      </c>
      <c r="X29" s="1579"/>
      <c r="Y29" s="1579">
        <f>IF(YEAR('3 pr-2'!$AK29)=2017,$V29,0)</f>
        <v>0</v>
      </c>
      <c r="Z29" s="1579">
        <f>IF(YEAR('3 pr-2'!$AK29)=2018,$V29,0)</f>
        <v>0</v>
      </c>
      <c r="AA29" s="1579">
        <f>IF(YEAR('3 pr-2'!$AK29)=2019,$V29,0)</f>
        <v>1</v>
      </c>
      <c r="AB29" s="1579">
        <f>IF(YEAR('3 pr-2'!$AK29)=2020,$V29,0)</f>
        <v>0</v>
      </c>
      <c r="AC29" s="1579">
        <f>IF(YEAR('3 pr-2'!$AK29)=2021,$V29,0)</f>
        <v>0</v>
      </c>
      <c r="AD29" s="1579">
        <f>IF(YEAR('3 pr-2'!$AK29)=2022,$V29,0)</f>
        <v>0</v>
      </c>
      <c r="AE29" s="1579">
        <f>IF(YEAR('3 pr-2'!$AK29)=2023,$V29,0)</f>
        <v>0</v>
      </c>
      <c r="AF29" s="350" t="s">
        <v>457</v>
      </c>
      <c r="AG29" s="537" t="s">
        <v>458</v>
      </c>
      <c r="AH29" s="345"/>
      <c r="AI29" s="345"/>
      <c r="AJ29" s="345"/>
      <c r="AK29" s="345"/>
      <c r="AL29" s="345"/>
      <c r="AM29" s="345"/>
      <c r="AN29" s="345"/>
      <c r="AO29" s="895">
        <f t="shared" si="33"/>
        <v>0</v>
      </c>
      <c r="AP29" s="345">
        <v>370</v>
      </c>
      <c r="AQ29" s="1597"/>
      <c r="AR29" s="1579"/>
      <c r="AS29" s="1579">
        <f>IF(YEAR('3 pr-2'!$AK29)=2017,$AP29,0)</f>
        <v>0</v>
      </c>
      <c r="AT29" s="1579">
        <f>IF(YEAR('3 pr-2'!$AK29)=2018,$AP29,0)</f>
        <v>0</v>
      </c>
      <c r="AU29" s="1579">
        <f>IF(YEAR('3 pr-2'!$AK29)=2019,$AP29,0)</f>
        <v>370</v>
      </c>
      <c r="AV29" s="1579">
        <f>IF(YEAR('3 pr-2'!$AK29)=2020,$AP29,0)</f>
        <v>0</v>
      </c>
      <c r="AW29" s="1579">
        <f>IF(YEAR('3 pr-2'!$AK29)=2021,$AP29,0)</f>
        <v>0</v>
      </c>
      <c r="AX29" s="1579">
        <f>IF(YEAR('3 pr-2'!$AK29)=2022,$AP29,0)</f>
        <v>0</v>
      </c>
      <c r="AY29" s="1579">
        <f>IF(YEAR('3 pr-2'!$AK29)=2023,$AP29,0)</f>
        <v>0</v>
      </c>
      <c r="AZ29" s="345" t="s">
        <v>459</v>
      </c>
      <c r="BA29" s="536" t="s">
        <v>460</v>
      </c>
      <c r="BB29" s="345"/>
      <c r="BC29" s="345"/>
      <c r="BD29" s="345"/>
      <c r="BE29" s="345"/>
      <c r="BF29" s="345"/>
      <c r="BG29" s="345"/>
      <c r="BH29" s="345"/>
      <c r="BI29" s="895">
        <f t="shared" si="34"/>
        <v>0</v>
      </c>
      <c r="BJ29" s="345">
        <v>1</v>
      </c>
      <c r="BK29" s="1597"/>
      <c r="BL29" s="1579"/>
      <c r="BM29" s="1579">
        <f>IF(YEAR('3 pr-2'!AK29)=2017,BJ29,0)</f>
        <v>0</v>
      </c>
      <c r="BN29" s="1579">
        <f>IF(YEAR('3 pr-2'!AK29)=2018,BJ29,0)</f>
        <v>0</v>
      </c>
      <c r="BO29" s="1579">
        <f>IF(YEAR('3 pr-2'!AK29)=2019,BJ29,0)</f>
        <v>1</v>
      </c>
      <c r="BP29" s="1579">
        <f>IF(YEAR('3 pr-2'!AK29)=2020,BJ29,0)</f>
        <v>0</v>
      </c>
      <c r="BQ29" s="1579">
        <f>IF(YEAR('3 pr-2'!AK29)=2021,BJ29,0)</f>
        <v>0</v>
      </c>
      <c r="BR29" s="1579">
        <f>IF(YEAR('3 pr-2'!AK29)=2022,BJ29,0)</f>
        <v>0</v>
      </c>
      <c r="BS29" s="1579">
        <f>IF(YEAR('3 pr-2'!AK29)=2023,BJ29,0)</f>
        <v>0</v>
      </c>
      <c r="BT29" s="350"/>
      <c r="BU29" s="537"/>
      <c r="BV29" s="345"/>
      <c r="BW29" s="345"/>
      <c r="BX29" s="345"/>
      <c r="BY29" s="345"/>
      <c r="BZ29" s="345"/>
      <c r="CA29" s="345"/>
      <c r="CB29" s="345"/>
      <c r="CC29" s="895">
        <f t="shared" si="35"/>
        <v>0</v>
      </c>
      <c r="CD29" s="345"/>
      <c r="CE29" s="1579"/>
      <c r="CF29" s="1579"/>
      <c r="CG29" s="1579">
        <f>IF(YEAR('3 pr-2'!$AK29)=2017,$CD29,0)</f>
        <v>0</v>
      </c>
      <c r="CH29" s="1579">
        <f>IF(YEAR('3 pr-2'!$AK29)=2018,$CD29,0)</f>
        <v>0</v>
      </c>
      <c r="CI29" s="1579">
        <f>IF(YEAR('3 pr-2'!$AK29)=2019,$CD29,0)</f>
        <v>0</v>
      </c>
      <c r="CJ29" s="1579">
        <f>IF(YEAR('3 pr-2'!$AK29)=2020,$CD29,0)</f>
        <v>0</v>
      </c>
      <c r="CK29" s="1579">
        <f>IF(YEAR('3 pr-2'!$AK29)=2021,$CD29,0)</f>
        <v>0</v>
      </c>
      <c r="CL29" s="1579">
        <f>IF(YEAR('3 pr-2'!$AK29)=2022,$CD29,0)</f>
        <v>0</v>
      </c>
      <c r="CM29" s="1579">
        <f>IF(YEAR('3 pr-2'!$AK29)=2023,$CD29,0)</f>
        <v>0</v>
      </c>
      <c r="CN29" s="350"/>
      <c r="CO29" s="538"/>
      <c r="CP29" s="351"/>
      <c r="CQ29" s="345"/>
      <c r="CR29" s="345"/>
      <c r="CS29" s="345"/>
      <c r="CT29" s="345"/>
      <c r="CU29" s="345"/>
      <c r="CV29" s="345"/>
      <c r="CW29" s="895">
        <f t="shared" si="36"/>
        <v>0</v>
      </c>
      <c r="CX29" s="351"/>
      <c r="CY29" s="1605"/>
      <c r="CZ29" s="1605"/>
      <c r="DA29" s="1594">
        <f>IF(YEAR('3 pr-2'!AK29)=2017,CX29,0)</f>
        <v>0</v>
      </c>
      <c r="DB29" s="1594">
        <f>IF(YEAR('3 pr-2'!AK29)=2018,CX29,0)</f>
        <v>0</v>
      </c>
      <c r="DC29" s="1594">
        <f>IF(YEAR('3 pr-2'!AK29)=2019,CX29,0)</f>
        <v>0</v>
      </c>
      <c r="DD29" s="1594">
        <f>IF(YEAR('3 pr-2'!AK29)=2020,CX29,0)</f>
        <v>0</v>
      </c>
      <c r="DE29" s="1594">
        <f>IF(YEAR('3 pr-2'!AK29)=2021,CX29,0)</f>
        <v>0</v>
      </c>
      <c r="DF29" s="1594">
        <f>IF(YEAR('3 pr-2'!AK29)=2022,CX29,0)</f>
        <v>0</v>
      </c>
      <c r="DG29" s="1594">
        <f>IF(YEAR('3 pr-2'!AK29)=2023,CX29,0)</f>
        <v>0</v>
      </c>
      <c r="DH29" s="350"/>
      <c r="DI29" s="538"/>
      <c r="DJ29" s="351"/>
      <c r="DK29" s="345"/>
      <c r="DL29" s="345"/>
      <c r="DM29" s="345"/>
      <c r="DN29" s="345"/>
      <c r="DO29" s="345"/>
      <c r="DP29" s="345"/>
      <c r="DQ29" s="895">
        <f t="shared" si="37"/>
        <v>0</v>
      </c>
      <c r="DR29" s="351"/>
      <c r="DS29" s="1605"/>
      <c r="DT29" s="1605"/>
      <c r="DU29" s="1594">
        <f>IF(YEAR('3 pr-2'!BF29)=2017,DS29,0)</f>
        <v>0</v>
      </c>
      <c r="DV29" s="1594">
        <f>IF(YEAR('3 pr-2'!BF29)=2018,DS29,0)</f>
        <v>0</v>
      </c>
      <c r="DW29" s="1594">
        <f>IF(YEAR('3 pr-2'!BF29)=2019,DS29,0)</f>
        <v>0</v>
      </c>
      <c r="DX29" s="1594">
        <f>IF(YEAR('3 pr-2'!BF29)=2020,DS29,0)</f>
        <v>0</v>
      </c>
      <c r="DY29" s="1594">
        <f>IF(YEAR('3 pr-2'!BF29)=2021,DS29,0)</f>
        <v>0</v>
      </c>
      <c r="DZ29" s="1594">
        <f>IF(YEAR('3 pr-2'!BF29)=2022,DS29,0)</f>
        <v>0</v>
      </c>
      <c r="EA29" s="1594">
        <f>IF(YEAR('3 pr-2'!BF29)=2023,DS29,0)</f>
        <v>0</v>
      </c>
      <c r="EB29" s="350"/>
      <c r="EC29" s="538"/>
      <c r="ED29" s="333"/>
      <c r="EE29" s="1605"/>
      <c r="EF29" s="1605"/>
      <c r="EG29" s="1594">
        <f>IF(YEAR('3 pr-2'!BP29)=2017,ED29,0)</f>
        <v>0</v>
      </c>
      <c r="EH29" s="1594">
        <f>IF(YEAR('3 pr-2'!BP29)=2018,ED29,0)</f>
        <v>0</v>
      </c>
      <c r="EI29" s="1594">
        <f>IF(YEAR('3 pr-2'!BP29)=2019,ED29,0)</f>
        <v>0</v>
      </c>
      <c r="EJ29" s="1594">
        <f>IF(YEAR('3 pr-2'!BP29)=2020,ED29,0)</f>
        <v>0</v>
      </c>
      <c r="EK29" s="1594">
        <f>IF(YEAR('3 pr-2'!BP29)=2021,ED29,0)</f>
        <v>0</v>
      </c>
      <c r="EL29" s="1594">
        <f>IF(YEAR('3 pr-2'!BP29)=2022,ED29,0)</f>
        <v>0</v>
      </c>
      <c r="EM29" s="1594">
        <f>IF(YEAR('3 pr-2'!BP29)=2023,ED29,0)</f>
        <v>0</v>
      </c>
    </row>
    <row r="30" spans="1:143" ht="75" thickTop="1" thickBot="1" x14ac:dyDescent="0.3">
      <c r="A30" s="345" t="str">
        <f>CONCATENATE('3 pr-2'!A30)</f>
        <v>1.1.1.1.21</v>
      </c>
      <c r="B30" s="345" t="str">
        <f>CONCATENATE('3 pr-2'!B30)</f>
        <v>R01-ZM72-120000-1121</v>
      </c>
      <c r="C30" s="970" t="str">
        <f>CONCATENATE('ketv. 2'!B29)</f>
        <v>20KI-KA-17-1-02364-PR001</v>
      </c>
      <c r="D30" s="125" t="str">
        <f>CONCATENATE('3 pr-2'!D30)</f>
        <v>Kaimo gyvenamųjų vietovių Lazdijų rajono savivaldybėje patrauklumo gerinimas</v>
      </c>
      <c r="E30" s="312" t="str">
        <f>CONCATENATE('3 pr-2'!E30)</f>
        <v>Lazdijų rajono savivaldybės administracija</v>
      </c>
      <c r="F30" s="312" t="str">
        <f>CONCATENATE('3 pr-2'!F30)</f>
        <v>Lietuvos Respublikos žemės ūkio ministerija</v>
      </c>
      <c r="G30" s="312" t="str">
        <f>CONCATENATE('3 pr-2'!G30)</f>
        <v>Lazdijų r. sav.</v>
      </c>
      <c r="H30" s="312" t="str">
        <f>CONCATENATE('3 pr-2'!H30)</f>
        <v xml:space="preserve">Pagrindinės paslaugos ir kaimų atnaujinimas kaimo vietovėse </v>
      </c>
      <c r="I30" s="345" t="str">
        <f>CONCATENATE('3 pr-2'!I30)</f>
        <v>R</v>
      </c>
      <c r="J30" s="345" t="str">
        <f>CONCATENATE('3 pr-2'!J30)</f>
        <v>-</v>
      </c>
      <c r="K30" s="345" t="str">
        <f>CONCATENATE('3 pr-2'!K30)</f>
        <v>-</v>
      </c>
      <c r="L30" s="345" t="s">
        <v>455</v>
      </c>
      <c r="M30" s="537" t="s">
        <v>456</v>
      </c>
      <c r="N30" s="345"/>
      <c r="O30" s="345"/>
      <c r="P30" s="345"/>
      <c r="Q30" s="345"/>
      <c r="R30" s="345"/>
      <c r="S30" s="345"/>
      <c r="T30" s="345"/>
      <c r="U30" s="893"/>
      <c r="V30" s="345">
        <v>1</v>
      </c>
      <c r="W30" s="1578" t="str">
        <f>IF('ketv. 6 '!L29&gt;0,"taip",0)</f>
        <v>taip</v>
      </c>
      <c r="X30" s="1579"/>
      <c r="Y30" s="1579">
        <f>IF(YEAR('3 pr-2'!$AK30)=2017,$V30,0)</f>
        <v>0</v>
      </c>
      <c r="Z30" s="1579">
        <f>IF(YEAR('3 pr-2'!$AK30)=2018,$V30,0)</f>
        <v>1</v>
      </c>
      <c r="AA30" s="1579">
        <f>IF(YEAR('3 pr-2'!$AK30)=2019,$V30,0)</f>
        <v>0</v>
      </c>
      <c r="AB30" s="1579">
        <f>IF(YEAR('3 pr-2'!$AK30)=2020,$V30,0)</f>
        <v>0</v>
      </c>
      <c r="AC30" s="1579">
        <f>IF(YEAR('3 pr-2'!$AK30)=2021,$V30,0)</f>
        <v>0</v>
      </c>
      <c r="AD30" s="1579">
        <f>IF(YEAR('3 pr-2'!$AK30)=2022,$V30,0)</f>
        <v>0</v>
      </c>
      <c r="AE30" s="1579">
        <f>IF(YEAR('3 pr-2'!$AK30)=2023,$V30,0)</f>
        <v>0</v>
      </c>
      <c r="AF30" s="350" t="s">
        <v>457</v>
      </c>
      <c r="AG30" s="537" t="s">
        <v>458</v>
      </c>
      <c r="AH30" s="345"/>
      <c r="AI30" s="345"/>
      <c r="AJ30" s="345"/>
      <c r="AK30" s="345"/>
      <c r="AL30" s="345"/>
      <c r="AM30" s="345"/>
      <c r="AN30" s="345"/>
      <c r="AO30" s="895">
        <f t="shared" si="33"/>
        <v>0</v>
      </c>
      <c r="AP30" s="345">
        <v>495</v>
      </c>
      <c r="AQ30" s="1597"/>
      <c r="AR30" s="1579"/>
      <c r="AS30" s="1579">
        <f>IF(YEAR('3 pr-2'!$AK30)=2017,$AP30,0)</f>
        <v>0</v>
      </c>
      <c r="AT30" s="1579">
        <f>IF(YEAR('3 pr-2'!$AK30)=2018,$AP30,0)</f>
        <v>495</v>
      </c>
      <c r="AU30" s="1579">
        <f>IF(YEAR('3 pr-2'!$AK30)=2019,$AP30,0)</f>
        <v>0</v>
      </c>
      <c r="AV30" s="1579">
        <f>IF(YEAR('3 pr-2'!$AK30)=2020,$AP30,0)</f>
        <v>0</v>
      </c>
      <c r="AW30" s="1579">
        <f>IF(YEAR('3 pr-2'!$AK30)=2021,$AP30,0)</f>
        <v>0</v>
      </c>
      <c r="AX30" s="1579">
        <f>IF(YEAR('3 pr-2'!$AK30)=2022,$AP30,0)</f>
        <v>0</v>
      </c>
      <c r="AY30" s="1579">
        <f>IF(YEAR('3 pr-2'!$AK30)=2023,$AP30,0)</f>
        <v>0</v>
      </c>
      <c r="AZ30" s="345" t="s">
        <v>459</v>
      </c>
      <c r="BA30" s="536" t="s">
        <v>460</v>
      </c>
      <c r="BB30" s="345"/>
      <c r="BC30" s="345"/>
      <c r="BD30" s="345"/>
      <c r="BE30" s="345"/>
      <c r="BF30" s="345"/>
      <c r="BG30" s="345"/>
      <c r="BH30" s="345"/>
      <c r="BI30" s="895">
        <f t="shared" si="34"/>
        <v>0</v>
      </c>
      <c r="BJ30" s="345">
        <v>1</v>
      </c>
      <c r="BK30" s="1597"/>
      <c r="BL30" s="1579"/>
      <c r="BM30" s="1579">
        <f>IF(YEAR('3 pr-2'!AK30)=2017,BJ30,0)</f>
        <v>0</v>
      </c>
      <c r="BN30" s="1579">
        <f>IF(YEAR('3 pr-2'!AK30)=2018,BJ30,0)</f>
        <v>1</v>
      </c>
      <c r="BO30" s="1579">
        <f>IF(YEAR('3 pr-2'!AK30)=2019,BJ30,0)</f>
        <v>0</v>
      </c>
      <c r="BP30" s="1579">
        <f>IF(YEAR('3 pr-2'!AK30)=2020,BJ30,0)</f>
        <v>0</v>
      </c>
      <c r="BQ30" s="1579">
        <f>IF(YEAR('3 pr-2'!AK30)=2021,BJ30,0)</f>
        <v>0</v>
      </c>
      <c r="BR30" s="1579">
        <f>IF(YEAR('3 pr-2'!AK30)=2022,BJ30,0)</f>
        <v>0</v>
      </c>
      <c r="BS30" s="1579">
        <f>IF(YEAR('3 pr-2'!AK30)=2023,BJ30,0)</f>
        <v>0</v>
      </c>
      <c r="BT30" s="350"/>
      <c r="BU30" s="537"/>
      <c r="BV30" s="345"/>
      <c r="BW30" s="345"/>
      <c r="BX30" s="345"/>
      <c r="BY30" s="345"/>
      <c r="BZ30" s="345"/>
      <c r="CA30" s="345"/>
      <c r="CB30" s="345"/>
      <c r="CC30" s="895">
        <f t="shared" si="35"/>
        <v>0</v>
      </c>
      <c r="CD30" s="345"/>
      <c r="CE30" s="1579"/>
      <c r="CF30" s="1579"/>
      <c r="CG30" s="1579">
        <f>IF(YEAR('3 pr-2'!$AK30)=2017,$CD30,0)</f>
        <v>0</v>
      </c>
      <c r="CH30" s="1579">
        <f>IF(YEAR('3 pr-2'!$AK30)=2018,$CD30,0)</f>
        <v>0</v>
      </c>
      <c r="CI30" s="1579">
        <f>IF(YEAR('3 pr-2'!$AK30)=2019,$CD30,0)</f>
        <v>0</v>
      </c>
      <c r="CJ30" s="1579">
        <f>IF(YEAR('3 pr-2'!$AK30)=2020,$CD30,0)</f>
        <v>0</v>
      </c>
      <c r="CK30" s="1579">
        <f>IF(YEAR('3 pr-2'!$AK30)=2021,$CD30,0)</f>
        <v>0</v>
      </c>
      <c r="CL30" s="1579">
        <f>IF(YEAR('3 pr-2'!$AK30)=2022,$CD30,0)</f>
        <v>0</v>
      </c>
      <c r="CM30" s="1579">
        <f>IF(YEAR('3 pr-2'!$AK30)=2023,$CD30,0)</f>
        <v>0</v>
      </c>
      <c r="CN30" s="350"/>
      <c r="CO30" s="538"/>
      <c r="CP30" s="351"/>
      <c r="CQ30" s="345"/>
      <c r="CR30" s="345"/>
      <c r="CS30" s="345"/>
      <c r="CT30" s="345"/>
      <c r="CU30" s="345"/>
      <c r="CV30" s="345"/>
      <c r="CW30" s="895">
        <f t="shared" si="36"/>
        <v>0</v>
      </c>
      <c r="CX30" s="351"/>
      <c r="CY30" s="1605"/>
      <c r="CZ30" s="1605"/>
      <c r="DA30" s="1594">
        <f>IF(YEAR('3 pr-2'!AK30)=2017,CX30,0)</f>
        <v>0</v>
      </c>
      <c r="DB30" s="1594">
        <f>IF(YEAR('3 pr-2'!AK30)=2018,CX30,0)</f>
        <v>0</v>
      </c>
      <c r="DC30" s="1594">
        <f>IF(YEAR('3 pr-2'!AK30)=2019,CX30,0)</f>
        <v>0</v>
      </c>
      <c r="DD30" s="1594">
        <f>IF(YEAR('3 pr-2'!AK30)=2020,CX30,0)</f>
        <v>0</v>
      </c>
      <c r="DE30" s="1594">
        <f>IF(YEAR('3 pr-2'!AK30)=2021,CX30,0)</f>
        <v>0</v>
      </c>
      <c r="DF30" s="1594">
        <f>IF(YEAR('3 pr-2'!AK30)=2022,CX30,0)</f>
        <v>0</v>
      </c>
      <c r="DG30" s="1594">
        <f>IF(YEAR('3 pr-2'!AK30)=2023,CX30,0)</f>
        <v>0</v>
      </c>
      <c r="DH30" s="350"/>
      <c r="DI30" s="538"/>
      <c r="DJ30" s="351"/>
      <c r="DK30" s="345"/>
      <c r="DL30" s="345"/>
      <c r="DM30" s="345"/>
      <c r="DN30" s="345"/>
      <c r="DO30" s="345"/>
      <c r="DP30" s="345"/>
      <c r="DQ30" s="895">
        <f t="shared" si="37"/>
        <v>0</v>
      </c>
      <c r="DR30" s="351"/>
      <c r="DS30" s="1605"/>
      <c r="DT30" s="1605"/>
      <c r="DU30" s="1594">
        <f>IF(YEAR('3 pr-2'!BF30)=2017,DS30,0)</f>
        <v>0</v>
      </c>
      <c r="DV30" s="1594">
        <f>IF(YEAR('3 pr-2'!BF30)=2018,DS30,0)</f>
        <v>0</v>
      </c>
      <c r="DW30" s="1594">
        <f>IF(YEAR('3 pr-2'!BF30)=2019,DS30,0)</f>
        <v>0</v>
      </c>
      <c r="DX30" s="1594">
        <f>IF(YEAR('3 pr-2'!BF30)=2020,DS30,0)</f>
        <v>0</v>
      </c>
      <c r="DY30" s="1594">
        <f>IF(YEAR('3 pr-2'!BF30)=2021,DS30,0)</f>
        <v>0</v>
      </c>
      <c r="DZ30" s="1594">
        <f>IF(YEAR('3 pr-2'!BF30)=2022,DS30,0)</f>
        <v>0</v>
      </c>
      <c r="EA30" s="1594">
        <f>IF(YEAR('3 pr-2'!BF30)=2023,DS30,0)</f>
        <v>0</v>
      </c>
      <c r="EB30" s="350"/>
      <c r="EC30" s="538"/>
      <c r="ED30" s="333"/>
      <c r="EE30" s="1605"/>
      <c r="EF30" s="1605"/>
      <c r="EG30" s="1594">
        <f>IF(YEAR('3 pr-2'!BP30)=2017,ED30,0)</f>
        <v>0</v>
      </c>
      <c r="EH30" s="1594">
        <f>IF(YEAR('3 pr-2'!BP30)=2018,ED30,0)</f>
        <v>0</v>
      </c>
      <c r="EI30" s="1594">
        <f>IF(YEAR('3 pr-2'!BP30)=2019,ED30,0)</f>
        <v>0</v>
      </c>
      <c r="EJ30" s="1594">
        <f>IF(YEAR('3 pr-2'!BP30)=2020,ED30,0)</f>
        <v>0</v>
      </c>
      <c r="EK30" s="1594">
        <f>IF(YEAR('3 pr-2'!BP30)=2021,ED30,0)</f>
        <v>0</v>
      </c>
      <c r="EL30" s="1594">
        <f>IF(YEAR('3 pr-2'!BP30)=2022,ED30,0)</f>
        <v>0</v>
      </c>
      <c r="EM30" s="1594">
        <f>IF(YEAR('3 pr-2'!BP30)=2023,ED30,0)</f>
        <v>0</v>
      </c>
    </row>
    <row r="31" spans="1:143" ht="75" thickTop="1" thickBot="1" x14ac:dyDescent="0.3">
      <c r="A31" s="345" t="str">
        <f>CONCATENATE('3 pr-2'!A31)</f>
        <v>1.1.1.1.22</v>
      </c>
      <c r="B31" s="345" t="str">
        <f>CONCATENATE('3 pr-2'!B31)</f>
        <v>R01-ZM72-120000-1122</v>
      </c>
      <c r="C31" s="970" t="str">
        <f>CONCATENATE('ketv. 2'!B30)</f>
        <v>20KI-KA-17-1-02241-PR001</v>
      </c>
      <c r="D31" s="125" t="str">
        <f>CONCATENATE('3 pr-2'!D31)</f>
        <v>Alytaus rajono Makniūnų kaimo šaligatvių atnaujinimas ir plėtra</v>
      </c>
      <c r="E31" s="312" t="str">
        <f>CONCATENATE('3 pr-2'!E31)</f>
        <v>Alytaus rajono savivaldybės administracija</v>
      </c>
      <c r="F31" s="312" t="str">
        <f>CONCATENATE('3 pr-2'!F31)</f>
        <v>Lietuvos Respublikos žemės ūkio ministerija</v>
      </c>
      <c r="G31" s="312" t="str">
        <f>CONCATENATE('3 pr-2'!G31)</f>
        <v>Alytaus r. sav.</v>
      </c>
      <c r="H31" s="312" t="str">
        <f>CONCATENATE('3 pr-2'!H31)</f>
        <v xml:space="preserve">Pagrindinės paslaugos ir kaimų atnaujinimas kaimo vietovėse </v>
      </c>
      <c r="I31" s="345" t="str">
        <f>CONCATENATE('3 pr-2'!I31)</f>
        <v>R</v>
      </c>
      <c r="J31" s="345" t="str">
        <f>CONCATENATE('3 pr-2'!J31)</f>
        <v>-</v>
      </c>
      <c r="K31" s="345" t="str">
        <f>CONCATENATE('3 pr-2'!K31)</f>
        <v>-</v>
      </c>
      <c r="L31" s="345" t="s">
        <v>455</v>
      </c>
      <c r="M31" s="537" t="s">
        <v>456</v>
      </c>
      <c r="N31" s="345"/>
      <c r="O31" s="345"/>
      <c r="P31" s="345"/>
      <c r="Q31" s="345"/>
      <c r="R31" s="345"/>
      <c r="S31" s="345"/>
      <c r="T31" s="345"/>
      <c r="U31" s="893"/>
      <c r="V31" s="345">
        <v>1</v>
      </c>
      <c r="W31" s="1578">
        <f>IF('ketv. 6 '!L30&gt;0,"taip",0)</f>
        <v>0</v>
      </c>
      <c r="X31" s="1579"/>
      <c r="Y31" s="1579">
        <f>IF(YEAR('3 pr-2'!$AK31)=2017,$V31,0)</f>
        <v>0</v>
      </c>
      <c r="Z31" s="1579">
        <f>IF(YEAR('3 pr-2'!$AK31)=2018,$V31,0)</f>
        <v>1</v>
      </c>
      <c r="AA31" s="1579">
        <f>IF(YEAR('3 pr-2'!$AK31)=2019,$V31,0)</f>
        <v>0</v>
      </c>
      <c r="AB31" s="1579">
        <f>IF(YEAR('3 pr-2'!$AK31)=2020,$V31,0)</f>
        <v>0</v>
      </c>
      <c r="AC31" s="1579">
        <f>IF(YEAR('3 pr-2'!$AK31)=2021,$V31,0)</f>
        <v>0</v>
      </c>
      <c r="AD31" s="1579">
        <f>IF(YEAR('3 pr-2'!$AK31)=2022,$V31,0)</f>
        <v>0</v>
      </c>
      <c r="AE31" s="1579">
        <f>IF(YEAR('3 pr-2'!$AK31)=2023,$V31,0)</f>
        <v>0</v>
      </c>
      <c r="AF31" s="350" t="s">
        <v>457</v>
      </c>
      <c r="AG31" s="537" t="s">
        <v>458</v>
      </c>
      <c r="AH31" s="345"/>
      <c r="AI31" s="345"/>
      <c r="AJ31" s="345"/>
      <c r="AK31" s="345"/>
      <c r="AL31" s="345"/>
      <c r="AM31" s="345"/>
      <c r="AN31" s="345"/>
      <c r="AO31" s="895">
        <f t="shared" si="33"/>
        <v>0</v>
      </c>
      <c r="AP31" s="345">
        <v>227</v>
      </c>
      <c r="AQ31" s="1597"/>
      <c r="AR31" s="1579"/>
      <c r="AS31" s="1579">
        <f>IF(YEAR('3 pr-2'!$AK31)=2017,$AP31,0)</f>
        <v>0</v>
      </c>
      <c r="AT31" s="1579">
        <f>IF(YEAR('3 pr-2'!$AK31)=2018,$AP31,0)</f>
        <v>227</v>
      </c>
      <c r="AU31" s="1579">
        <f>IF(YEAR('3 pr-2'!$AK31)=2019,$AP31,0)</f>
        <v>0</v>
      </c>
      <c r="AV31" s="1579">
        <f>IF(YEAR('3 pr-2'!$AK31)=2020,$AP31,0)</f>
        <v>0</v>
      </c>
      <c r="AW31" s="1579">
        <f>IF(YEAR('3 pr-2'!$AK31)=2021,$AP31,0)</f>
        <v>0</v>
      </c>
      <c r="AX31" s="1579">
        <f>IF(YEAR('3 pr-2'!$AK31)=2022,$AP31,0)</f>
        <v>0</v>
      </c>
      <c r="AY31" s="1579">
        <f>IF(YEAR('3 pr-2'!$AK31)=2023,$AP31,0)</f>
        <v>0</v>
      </c>
      <c r="AZ31" s="345" t="s">
        <v>459</v>
      </c>
      <c r="BA31" s="536" t="s">
        <v>460</v>
      </c>
      <c r="BB31" s="345"/>
      <c r="BC31" s="345"/>
      <c r="BD31" s="345"/>
      <c r="BE31" s="345"/>
      <c r="BF31" s="345"/>
      <c r="BG31" s="345"/>
      <c r="BH31" s="345"/>
      <c r="BI31" s="895">
        <f t="shared" si="34"/>
        <v>0</v>
      </c>
      <c r="BJ31" s="345">
        <v>1</v>
      </c>
      <c r="BK31" s="1597"/>
      <c r="BL31" s="1579"/>
      <c r="BM31" s="1579">
        <f>IF(YEAR('3 pr-2'!AK31)=2017,BJ31,0)</f>
        <v>0</v>
      </c>
      <c r="BN31" s="1579">
        <f>IF(YEAR('3 pr-2'!AK31)=2018,BJ31,0)</f>
        <v>1</v>
      </c>
      <c r="BO31" s="1579">
        <f>IF(YEAR('3 pr-2'!AK31)=2019,BJ31,0)</f>
        <v>0</v>
      </c>
      <c r="BP31" s="1579">
        <f>IF(YEAR('3 pr-2'!AK31)=2020,BJ31,0)</f>
        <v>0</v>
      </c>
      <c r="BQ31" s="1579">
        <f>IF(YEAR('3 pr-2'!AK31)=2021,BJ31,0)</f>
        <v>0</v>
      </c>
      <c r="BR31" s="1579">
        <f>IF(YEAR('3 pr-2'!AK31)=2022,BJ31,0)</f>
        <v>0</v>
      </c>
      <c r="BS31" s="1579">
        <f>IF(YEAR('3 pr-2'!AK31)=2023,BJ31,0)</f>
        <v>0</v>
      </c>
      <c r="BT31" s="350"/>
      <c r="BU31" s="537"/>
      <c r="BV31" s="345"/>
      <c r="BW31" s="345"/>
      <c r="BX31" s="345"/>
      <c r="BY31" s="345"/>
      <c r="BZ31" s="345"/>
      <c r="CA31" s="345"/>
      <c r="CB31" s="345"/>
      <c r="CC31" s="895">
        <f t="shared" si="35"/>
        <v>0</v>
      </c>
      <c r="CD31" s="345"/>
      <c r="CE31" s="1579"/>
      <c r="CF31" s="1579"/>
      <c r="CG31" s="1579">
        <f>IF(YEAR('3 pr-2'!$AK31)=2017,$CD31,0)</f>
        <v>0</v>
      </c>
      <c r="CH31" s="1579">
        <f>IF(YEAR('3 pr-2'!$AK31)=2018,$CD31,0)</f>
        <v>0</v>
      </c>
      <c r="CI31" s="1579">
        <f>IF(YEAR('3 pr-2'!$AK31)=2019,$CD31,0)</f>
        <v>0</v>
      </c>
      <c r="CJ31" s="1579">
        <f>IF(YEAR('3 pr-2'!$AK31)=2020,$CD31,0)</f>
        <v>0</v>
      </c>
      <c r="CK31" s="1579">
        <f>IF(YEAR('3 pr-2'!$AK31)=2021,$CD31,0)</f>
        <v>0</v>
      </c>
      <c r="CL31" s="1579">
        <f>IF(YEAR('3 pr-2'!$AK31)=2022,$CD31,0)</f>
        <v>0</v>
      </c>
      <c r="CM31" s="1579">
        <f>IF(YEAR('3 pr-2'!$AK31)=2023,$CD31,0)</f>
        <v>0</v>
      </c>
      <c r="CN31" s="350"/>
      <c r="CO31" s="538"/>
      <c r="CP31" s="351"/>
      <c r="CQ31" s="345"/>
      <c r="CR31" s="345"/>
      <c r="CS31" s="345"/>
      <c r="CT31" s="345"/>
      <c r="CU31" s="345"/>
      <c r="CV31" s="345"/>
      <c r="CW31" s="895">
        <f t="shared" si="36"/>
        <v>0</v>
      </c>
      <c r="CX31" s="351"/>
      <c r="CY31" s="1605"/>
      <c r="CZ31" s="1605"/>
      <c r="DA31" s="1594">
        <f>IF(YEAR('3 pr-2'!AK31)=2017,CX31,0)</f>
        <v>0</v>
      </c>
      <c r="DB31" s="1594">
        <f>IF(YEAR('3 pr-2'!AK31)=2018,CX31,0)</f>
        <v>0</v>
      </c>
      <c r="DC31" s="1594">
        <f>IF(YEAR('3 pr-2'!AK31)=2019,CX31,0)</f>
        <v>0</v>
      </c>
      <c r="DD31" s="1594">
        <f>IF(YEAR('3 pr-2'!AK31)=2020,CX31,0)</f>
        <v>0</v>
      </c>
      <c r="DE31" s="1594">
        <f>IF(YEAR('3 pr-2'!AK31)=2021,CX31,0)</f>
        <v>0</v>
      </c>
      <c r="DF31" s="1594">
        <f>IF(YEAR('3 pr-2'!AK31)=2022,CX31,0)</f>
        <v>0</v>
      </c>
      <c r="DG31" s="1594">
        <f>IF(YEAR('3 pr-2'!AK31)=2023,CX31,0)</f>
        <v>0</v>
      </c>
      <c r="DH31" s="350"/>
      <c r="DI31" s="538"/>
      <c r="DJ31" s="351"/>
      <c r="DK31" s="345"/>
      <c r="DL31" s="345"/>
      <c r="DM31" s="345"/>
      <c r="DN31" s="345"/>
      <c r="DO31" s="345"/>
      <c r="DP31" s="345"/>
      <c r="DQ31" s="895">
        <f t="shared" si="37"/>
        <v>0</v>
      </c>
      <c r="DR31" s="351"/>
      <c r="DS31" s="1605"/>
      <c r="DT31" s="1605"/>
      <c r="DU31" s="1594">
        <f>IF(YEAR('3 pr-2'!BF31)=2017,DS31,0)</f>
        <v>0</v>
      </c>
      <c r="DV31" s="1594">
        <f>IF(YEAR('3 pr-2'!BF31)=2018,DS31,0)</f>
        <v>0</v>
      </c>
      <c r="DW31" s="1594">
        <f>IF(YEAR('3 pr-2'!BF31)=2019,DS31,0)</f>
        <v>0</v>
      </c>
      <c r="DX31" s="1594">
        <f>IF(YEAR('3 pr-2'!BF31)=2020,DS31,0)</f>
        <v>0</v>
      </c>
      <c r="DY31" s="1594">
        <f>IF(YEAR('3 pr-2'!BF31)=2021,DS31,0)</f>
        <v>0</v>
      </c>
      <c r="DZ31" s="1594">
        <f>IF(YEAR('3 pr-2'!BF31)=2022,DS31,0)</f>
        <v>0</v>
      </c>
      <c r="EA31" s="1594">
        <f>IF(YEAR('3 pr-2'!BF31)=2023,DS31,0)</f>
        <v>0</v>
      </c>
      <c r="EB31" s="350"/>
      <c r="EC31" s="538"/>
      <c r="ED31" s="333"/>
      <c r="EE31" s="1605"/>
      <c r="EF31" s="1605"/>
      <c r="EG31" s="1594">
        <f>IF(YEAR('3 pr-2'!BP31)=2017,ED31,0)</f>
        <v>0</v>
      </c>
      <c r="EH31" s="1594">
        <f>IF(YEAR('3 pr-2'!BP31)=2018,ED31,0)</f>
        <v>0</v>
      </c>
      <c r="EI31" s="1594">
        <f>IF(YEAR('3 pr-2'!BP31)=2019,ED31,0)</f>
        <v>0</v>
      </c>
      <c r="EJ31" s="1594">
        <f>IF(YEAR('3 pr-2'!BP31)=2020,ED31,0)</f>
        <v>0</v>
      </c>
      <c r="EK31" s="1594">
        <f>IF(YEAR('3 pr-2'!BP31)=2021,ED31,0)</f>
        <v>0</v>
      </c>
      <c r="EL31" s="1594">
        <f>IF(YEAR('3 pr-2'!BP31)=2022,ED31,0)</f>
        <v>0</v>
      </c>
      <c r="EM31" s="1594">
        <f>IF(YEAR('3 pr-2'!BP31)=2023,ED31,0)</f>
        <v>0</v>
      </c>
    </row>
    <row r="32" spans="1:143" ht="75" thickTop="1" thickBot="1" x14ac:dyDescent="0.3">
      <c r="A32" s="345" t="str">
        <f>CONCATENATE('3 pr-2'!A32)</f>
        <v>1.1.1.1.23</v>
      </c>
      <c r="B32" s="345" t="str">
        <f>CONCATENATE('3 pr-2'!B32)</f>
        <v>R01-ZM72-120000-1123</v>
      </c>
      <c r="C32" s="970" t="str">
        <f>CONCATENATE('ketv. 2'!B31)</f>
        <v/>
      </c>
      <c r="D32" s="125" t="str">
        <f>CONCATENATE('3 pr-2'!D32)</f>
        <v>Varėnos r. Vazgirdonių kaimo Klevų gatvės įrengimas</v>
      </c>
      <c r="E32" s="312" t="str">
        <f>CONCATENATE('3 pr-2'!E32)</f>
        <v xml:space="preserve">Varėnos rajono savivaldybės administracija </v>
      </c>
      <c r="F32" s="312" t="str">
        <f>CONCATENATE('3 pr-2'!F32)</f>
        <v>Lietuvos Respublikos žemės ūkio ministerija</v>
      </c>
      <c r="G32" s="312" t="str">
        <f>CONCATENATE('3 pr-2'!G32)</f>
        <v>Varėnos r. sav.</v>
      </c>
      <c r="H32" s="312" t="str">
        <f>CONCATENATE('3 pr-2'!H32)</f>
        <v xml:space="preserve">Pagrindinės paslaugos ir kaimų atnaujinimas kaimo vietovėse </v>
      </c>
      <c r="I32" s="345" t="str">
        <f>CONCATENATE('3 pr-2'!I32)</f>
        <v>R</v>
      </c>
      <c r="J32" s="345" t="str">
        <f>CONCATENATE('3 pr-2'!J32)</f>
        <v>-</v>
      </c>
      <c r="K32" s="345" t="str">
        <f>CONCATENATE('3 pr-2'!K32)</f>
        <v>rez.***</v>
      </c>
      <c r="L32" s="345" t="s">
        <v>455</v>
      </c>
      <c r="M32" s="537" t="s">
        <v>456</v>
      </c>
      <c r="N32" s="345"/>
      <c r="O32" s="345"/>
      <c r="P32" s="345"/>
      <c r="Q32" s="345"/>
      <c r="R32" s="345"/>
      <c r="S32" s="345"/>
      <c r="T32" s="345"/>
      <c r="U32" s="893"/>
      <c r="V32" s="345">
        <v>1</v>
      </c>
      <c r="W32" s="1578">
        <f>IF('ketv. 6 '!L31&gt;0,"taip",0)</f>
        <v>0</v>
      </c>
      <c r="X32" s="1579"/>
      <c r="Y32" s="1579">
        <f>IF(YEAR('3 pr-2'!$AK32)=2017,$V32,0)</f>
        <v>0</v>
      </c>
      <c r="Z32" s="1579">
        <f>IF(YEAR('3 pr-2'!$AK32)=2018,$V32,0)</f>
        <v>0</v>
      </c>
      <c r="AA32" s="1579">
        <f>IF(YEAR('3 pr-2'!$AK32)=2019,$V32,0)</f>
        <v>1</v>
      </c>
      <c r="AB32" s="1579">
        <f>IF(YEAR('3 pr-2'!$AK32)=2020,$V32,0)</f>
        <v>0</v>
      </c>
      <c r="AC32" s="1579">
        <f>IF(YEAR('3 pr-2'!$AK32)=2021,$V32,0)</f>
        <v>0</v>
      </c>
      <c r="AD32" s="1579">
        <f>IF(YEAR('3 pr-2'!$AK32)=2022,$V32,0)</f>
        <v>0</v>
      </c>
      <c r="AE32" s="1579">
        <f>IF(YEAR('3 pr-2'!$AK32)=2023,$V32,0)</f>
        <v>0</v>
      </c>
      <c r="AF32" s="350" t="s">
        <v>457</v>
      </c>
      <c r="AG32" s="537" t="s">
        <v>458</v>
      </c>
      <c r="AH32" s="345"/>
      <c r="AI32" s="345"/>
      <c r="AJ32" s="345"/>
      <c r="AK32" s="345"/>
      <c r="AL32" s="345"/>
      <c r="AM32" s="345"/>
      <c r="AN32" s="345"/>
      <c r="AO32" s="895">
        <f t="shared" si="33"/>
        <v>0</v>
      </c>
      <c r="AP32" s="345">
        <v>75</v>
      </c>
      <c r="AQ32" s="1597"/>
      <c r="AR32" s="1579"/>
      <c r="AS32" s="1579">
        <f>IF(YEAR('3 pr-2'!$AK32)=2017,$AP32,0)</f>
        <v>0</v>
      </c>
      <c r="AT32" s="1579">
        <f>IF(YEAR('3 pr-2'!$AK32)=2018,$AP32,0)</f>
        <v>0</v>
      </c>
      <c r="AU32" s="1579">
        <f>IF(YEAR('3 pr-2'!$AK32)=2019,$AP32,0)</f>
        <v>75</v>
      </c>
      <c r="AV32" s="1579">
        <f>IF(YEAR('3 pr-2'!$AK32)=2020,$AP32,0)</f>
        <v>0</v>
      </c>
      <c r="AW32" s="1579">
        <f>IF(YEAR('3 pr-2'!$AK32)=2021,$AP32,0)</f>
        <v>0</v>
      </c>
      <c r="AX32" s="1579">
        <f>IF(YEAR('3 pr-2'!$AK32)=2022,$AP32,0)</f>
        <v>0</v>
      </c>
      <c r="AY32" s="1579">
        <f>IF(YEAR('3 pr-2'!$AK32)=2023,$AP32,0)</f>
        <v>0</v>
      </c>
      <c r="AZ32" s="345" t="s">
        <v>459</v>
      </c>
      <c r="BA32" s="536" t="s">
        <v>460</v>
      </c>
      <c r="BB32" s="345"/>
      <c r="BC32" s="345"/>
      <c r="BD32" s="345"/>
      <c r="BE32" s="345"/>
      <c r="BF32" s="345"/>
      <c r="BG32" s="345"/>
      <c r="BH32" s="345"/>
      <c r="BI32" s="895">
        <f t="shared" si="34"/>
        <v>0</v>
      </c>
      <c r="BJ32" s="345">
        <v>1</v>
      </c>
      <c r="BK32" s="1597"/>
      <c r="BL32" s="1579"/>
      <c r="BM32" s="1579">
        <f>IF(YEAR('3 pr-2'!AK32)=2017,BJ32,0)</f>
        <v>0</v>
      </c>
      <c r="BN32" s="1579">
        <f>IF(YEAR('3 pr-2'!AK32)=2018,BJ32,0)</f>
        <v>0</v>
      </c>
      <c r="BO32" s="1579">
        <f>IF(YEAR('3 pr-2'!AK32)=2019,BJ32,0)</f>
        <v>1</v>
      </c>
      <c r="BP32" s="1579">
        <f>IF(YEAR('3 pr-2'!AK32)=2020,BJ32,0)</f>
        <v>0</v>
      </c>
      <c r="BQ32" s="1579">
        <f>IF(YEAR('3 pr-2'!AK32)=2021,BJ32,0)</f>
        <v>0</v>
      </c>
      <c r="BR32" s="1579">
        <f>IF(YEAR('3 pr-2'!AK32)=2022,BJ32,0)</f>
        <v>0</v>
      </c>
      <c r="BS32" s="1579">
        <f>IF(YEAR('3 pr-2'!AK32)=2023,BJ32,0)</f>
        <v>0</v>
      </c>
      <c r="BT32" s="350"/>
      <c r="BU32" s="537"/>
      <c r="BV32" s="345"/>
      <c r="BW32" s="345"/>
      <c r="BX32" s="345"/>
      <c r="BY32" s="345"/>
      <c r="BZ32" s="345"/>
      <c r="CA32" s="345"/>
      <c r="CB32" s="345"/>
      <c r="CC32" s="895">
        <f t="shared" si="35"/>
        <v>0</v>
      </c>
      <c r="CD32" s="345"/>
      <c r="CE32" s="1579"/>
      <c r="CF32" s="1579"/>
      <c r="CG32" s="1579">
        <f>IF(YEAR('3 pr-2'!$AK32)=2017,$CD32,0)</f>
        <v>0</v>
      </c>
      <c r="CH32" s="1579">
        <f>IF(YEAR('3 pr-2'!$AK32)=2018,$CD32,0)</f>
        <v>0</v>
      </c>
      <c r="CI32" s="1579">
        <f>IF(YEAR('3 pr-2'!$AK32)=2019,$CD32,0)</f>
        <v>0</v>
      </c>
      <c r="CJ32" s="1579">
        <f>IF(YEAR('3 pr-2'!$AK32)=2020,$CD32,0)</f>
        <v>0</v>
      </c>
      <c r="CK32" s="1579">
        <f>IF(YEAR('3 pr-2'!$AK32)=2021,$CD32,0)</f>
        <v>0</v>
      </c>
      <c r="CL32" s="1579">
        <f>IF(YEAR('3 pr-2'!$AK32)=2022,$CD32,0)</f>
        <v>0</v>
      </c>
      <c r="CM32" s="1579">
        <f>IF(YEAR('3 pr-2'!$AK32)=2023,$CD32,0)</f>
        <v>0</v>
      </c>
      <c r="CN32" s="350"/>
      <c r="CO32" s="538"/>
      <c r="CP32" s="351"/>
      <c r="CQ32" s="345"/>
      <c r="CR32" s="345"/>
      <c r="CS32" s="345"/>
      <c r="CT32" s="345"/>
      <c r="CU32" s="345"/>
      <c r="CV32" s="345"/>
      <c r="CW32" s="895">
        <f t="shared" si="36"/>
        <v>0</v>
      </c>
      <c r="CX32" s="351"/>
      <c r="CY32" s="1605"/>
      <c r="CZ32" s="1605"/>
      <c r="DA32" s="1594">
        <f>IF(YEAR('3 pr-2'!AK32)=2017,CX32,0)</f>
        <v>0</v>
      </c>
      <c r="DB32" s="1594">
        <f>IF(YEAR('3 pr-2'!AK32)=2018,CX32,0)</f>
        <v>0</v>
      </c>
      <c r="DC32" s="1594">
        <f>IF(YEAR('3 pr-2'!AK32)=2019,CX32,0)</f>
        <v>0</v>
      </c>
      <c r="DD32" s="1594">
        <f>IF(YEAR('3 pr-2'!AK32)=2020,CX32,0)</f>
        <v>0</v>
      </c>
      <c r="DE32" s="1594">
        <f>IF(YEAR('3 pr-2'!AK32)=2021,CX32,0)</f>
        <v>0</v>
      </c>
      <c r="DF32" s="1594">
        <f>IF(YEAR('3 pr-2'!AK32)=2022,CX32,0)</f>
        <v>0</v>
      </c>
      <c r="DG32" s="1594">
        <f>IF(YEAR('3 pr-2'!AK32)=2023,CX32,0)</f>
        <v>0</v>
      </c>
      <c r="DH32" s="350"/>
      <c r="DI32" s="538"/>
      <c r="DJ32" s="351"/>
      <c r="DK32" s="345"/>
      <c r="DL32" s="345"/>
      <c r="DM32" s="345"/>
      <c r="DN32" s="345"/>
      <c r="DO32" s="345"/>
      <c r="DP32" s="345"/>
      <c r="DQ32" s="895">
        <f t="shared" si="37"/>
        <v>0</v>
      </c>
      <c r="DR32" s="351"/>
      <c r="DS32" s="1605"/>
      <c r="DT32" s="1605"/>
      <c r="DU32" s="1594">
        <f>IF(YEAR('3 pr-2'!BF32)=2017,DS32,0)</f>
        <v>0</v>
      </c>
      <c r="DV32" s="1594">
        <f>IF(YEAR('3 pr-2'!BF32)=2018,DS32,0)</f>
        <v>0</v>
      </c>
      <c r="DW32" s="1594">
        <f>IF(YEAR('3 pr-2'!BF32)=2019,DS32,0)</f>
        <v>0</v>
      </c>
      <c r="DX32" s="1594">
        <f>IF(YEAR('3 pr-2'!BF32)=2020,DS32,0)</f>
        <v>0</v>
      </c>
      <c r="DY32" s="1594">
        <f>IF(YEAR('3 pr-2'!BF32)=2021,DS32,0)</f>
        <v>0</v>
      </c>
      <c r="DZ32" s="1594">
        <f>IF(YEAR('3 pr-2'!BF32)=2022,DS32,0)</f>
        <v>0</v>
      </c>
      <c r="EA32" s="1594">
        <f>IF(YEAR('3 pr-2'!BF32)=2023,DS32,0)</f>
        <v>0</v>
      </c>
      <c r="EB32" s="350"/>
      <c r="EC32" s="538"/>
      <c r="ED32" s="333"/>
      <c r="EE32" s="1605"/>
      <c r="EF32" s="1605"/>
      <c r="EG32" s="1594">
        <f>IF(YEAR('3 pr-2'!BP32)=2017,ED32,0)</f>
        <v>0</v>
      </c>
      <c r="EH32" s="1594">
        <f>IF(YEAR('3 pr-2'!BP32)=2018,ED32,0)</f>
        <v>0</v>
      </c>
      <c r="EI32" s="1594">
        <f>IF(YEAR('3 pr-2'!BP32)=2019,ED32,0)</f>
        <v>0</v>
      </c>
      <c r="EJ32" s="1594">
        <f>IF(YEAR('3 pr-2'!BP32)=2020,ED32,0)</f>
        <v>0</v>
      </c>
      <c r="EK32" s="1594">
        <f>IF(YEAR('3 pr-2'!BP32)=2021,ED32,0)</f>
        <v>0</v>
      </c>
      <c r="EL32" s="1594">
        <f>IF(YEAR('3 pr-2'!BP32)=2022,ED32,0)</f>
        <v>0</v>
      </c>
      <c r="EM32" s="1594">
        <f>IF(YEAR('3 pr-2'!BP32)=2023,ED32,0)</f>
        <v>0</v>
      </c>
    </row>
    <row r="33" spans="1:143" ht="30" customHeight="1" thickBot="1" x14ac:dyDescent="0.3">
      <c r="A33" s="824" t="str">
        <f>CONCATENATE('3 pr-2'!A33)</f>
        <v>1.1.1.2</v>
      </c>
      <c r="B33" s="1926" t="str">
        <f>CONCATENATE('3 pr-2'!B33)</f>
        <v>Priemonė:
Kaimo gyvenamųjų vietovių (turinčių 1-6 tūkst. gyventojų) atnaujinimas ir plėtra</v>
      </c>
      <c r="C33" s="1927"/>
      <c r="D33" s="1927"/>
      <c r="E33" s="1927"/>
      <c r="F33" s="1927"/>
      <c r="G33" s="1927"/>
      <c r="H33" s="1927"/>
      <c r="I33" s="1927"/>
      <c r="J33" s="1927"/>
      <c r="K33" s="1928"/>
      <c r="L33" s="1312"/>
      <c r="M33" s="540"/>
      <c r="N33" s="334">
        <f>SUM(N34:N38)</f>
        <v>0</v>
      </c>
      <c r="O33" s="334">
        <f t="shared" ref="O33:T33" si="38">SUM(O34:O38)</f>
        <v>0</v>
      </c>
      <c r="P33" s="334">
        <f t="shared" si="38"/>
        <v>0</v>
      </c>
      <c r="Q33" s="334">
        <f t="shared" si="38"/>
        <v>0</v>
      </c>
      <c r="R33" s="334">
        <f t="shared" si="38"/>
        <v>0</v>
      </c>
      <c r="S33" s="334">
        <f t="shared" si="38"/>
        <v>0</v>
      </c>
      <c r="T33" s="334">
        <f t="shared" si="38"/>
        <v>0</v>
      </c>
      <c r="U33" s="887">
        <f t="shared" ref="U33:U39" si="39">SUM(N33:T33)</f>
        <v>0</v>
      </c>
      <c r="V33" s="1322"/>
      <c r="W33" s="1575"/>
      <c r="X33" s="1576"/>
      <c r="Y33" s="1577">
        <f t="shared" ref="Y33:AE33" si="40">SUM(Y34:Y38)</f>
        <v>0</v>
      </c>
      <c r="Z33" s="1577">
        <f t="shared" si="40"/>
        <v>0</v>
      </c>
      <c r="AA33" s="1577">
        <f t="shared" si="40"/>
        <v>47400</v>
      </c>
      <c r="AB33" s="1577">
        <f t="shared" si="40"/>
        <v>35784.449999999997</v>
      </c>
      <c r="AC33" s="1577">
        <f t="shared" si="40"/>
        <v>7440</v>
      </c>
      <c r="AD33" s="1577">
        <f t="shared" si="40"/>
        <v>0</v>
      </c>
      <c r="AE33" s="1577">
        <f t="shared" si="40"/>
        <v>0</v>
      </c>
      <c r="AF33" s="878"/>
      <c r="AG33" s="889"/>
      <c r="AH33" s="334">
        <f>SUM(AH34:AH38)</f>
        <v>0</v>
      </c>
      <c r="AI33" s="334">
        <f t="shared" ref="AI33" si="41">SUM(AI34:AI38)</f>
        <v>0</v>
      </c>
      <c r="AJ33" s="334">
        <f t="shared" ref="AJ33" si="42">SUM(AJ34:AJ38)</f>
        <v>0</v>
      </c>
      <c r="AK33" s="334">
        <f t="shared" ref="AK33" si="43">SUM(AK34:AK38)</f>
        <v>0</v>
      </c>
      <c r="AL33" s="334">
        <f t="shared" ref="AL33" si="44">SUM(AL34:AL38)</f>
        <v>0</v>
      </c>
      <c r="AM33" s="334">
        <f t="shared" ref="AM33" si="45">SUM(AM34:AM38)</f>
        <v>0</v>
      </c>
      <c r="AN33" s="334">
        <f t="shared" ref="AN33" si="46">SUM(AN34:AN38)</f>
        <v>0</v>
      </c>
      <c r="AO33" s="864">
        <f t="shared" ref="AO33:AO37" si="47">SUM(AH33:AN33)</f>
        <v>0</v>
      </c>
      <c r="AP33" s="864"/>
      <c r="AQ33" s="1577"/>
      <c r="AR33" s="1577"/>
      <c r="AS33" s="1577">
        <f t="shared" ref="AS33:AY33" si="48">SUM(AS34:AS38)</f>
        <v>0</v>
      </c>
      <c r="AT33" s="1577">
        <f t="shared" si="48"/>
        <v>0</v>
      </c>
      <c r="AU33" s="1577">
        <f t="shared" si="48"/>
        <v>0</v>
      </c>
      <c r="AV33" s="1577">
        <f t="shared" si="48"/>
        <v>539.76</v>
      </c>
      <c r="AW33" s="1577">
        <f t="shared" si="48"/>
        <v>0</v>
      </c>
      <c r="AX33" s="1577">
        <f t="shared" si="48"/>
        <v>0</v>
      </c>
      <c r="AY33" s="1577">
        <f t="shared" si="48"/>
        <v>0</v>
      </c>
      <c r="AZ33" s="864" t="s">
        <v>66</v>
      </c>
      <c r="BA33" s="889"/>
      <c r="BB33" s="334">
        <f>SUM(BB34:BB38)</f>
        <v>0</v>
      </c>
      <c r="BC33" s="334">
        <f t="shared" ref="BC33" si="49">SUM(BC34:BC38)</f>
        <v>0</v>
      </c>
      <c r="BD33" s="334">
        <f t="shared" ref="BD33" si="50">SUM(BD34:BD38)</f>
        <v>0</v>
      </c>
      <c r="BE33" s="334">
        <f t="shared" ref="BE33" si="51">SUM(BE34:BE38)</f>
        <v>0</v>
      </c>
      <c r="BF33" s="334">
        <f t="shared" ref="BF33" si="52">SUM(BF34:BF38)</f>
        <v>0</v>
      </c>
      <c r="BG33" s="334">
        <f t="shared" ref="BG33" si="53">SUM(BG34:BG38)</f>
        <v>0</v>
      </c>
      <c r="BH33" s="334">
        <f t="shared" ref="BH33" si="54">SUM(BH34:BH38)</f>
        <v>0</v>
      </c>
      <c r="BI33" s="864">
        <f t="shared" ref="BI33:BI45" si="55">SUM(BB33:BH33)</f>
        <v>0</v>
      </c>
      <c r="BJ33" s="864" t="s">
        <v>66</v>
      </c>
      <c r="BK33" s="1577"/>
      <c r="BL33" s="1577"/>
      <c r="BM33" s="1577"/>
      <c r="BN33" s="1577"/>
      <c r="BO33" s="1577"/>
      <c r="BP33" s="1577"/>
      <c r="BQ33" s="1577"/>
      <c r="BR33" s="1577"/>
      <c r="BS33" s="1577"/>
      <c r="BT33" s="334"/>
      <c r="BU33" s="538"/>
      <c r="BV33" s="334">
        <f>SUM(BV34:BV38)</f>
        <v>0</v>
      </c>
      <c r="BW33" s="334">
        <f t="shared" ref="BW33" si="56">SUM(BW34:BW38)</f>
        <v>0</v>
      </c>
      <c r="BX33" s="334">
        <f t="shared" ref="BX33" si="57">SUM(BX34:BX38)</f>
        <v>0</v>
      </c>
      <c r="BY33" s="334">
        <f t="shared" ref="BY33" si="58">SUM(BY34:BY38)</f>
        <v>0</v>
      </c>
      <c r="BZ33" s="334">
        <f t="shared" ref="BZ33" si="59">SUM(BZ34:BZ38)</f>
        <v>0</v>
      </c>
      <c r="CA33" s="334">
        <f t="shared" ref="CA33" si="60">SUM(CA34:CA38)</f>
        <v>0</v>
      </c>
      <c r="CB33" s="334">
        <f t="shared" ref="CB33" si="61">SUM(CB34:CB38)</f>
        <v>0</v>
      </c>
      <c r="CC33" s="864">
        <f t="shared" si="35"/>
        <v>0</v>
      </c>
      <c r="CD33" s="334"/>
      <c r="CE33" s="1577"/>
      <c r="CF33" s="1577"/>
      <c r="CG33" s="1577"/>
      <c r="CH33" s="1577"/>
      <c r="CI33" s="1577"/>
      <c r="CJ33" s="1577"/>
      <c r="CK33" s="1577"/>
      <c r="CL33" s="1577"/>
      <c r="CM33" s="1577"/>
      <c r="CN33" s="887"/>
      <c r="CO33" s="538"/>
      <c r="CP33" s="852">
        <f>SUM(CP34:CP38)</f>
        <v>0</v>
      </c>
      <c r="CQ33" s="334">
        <f t="shared" ref="CQ33" si="62">SUM(CQ34:CQ38)</f>
        <v>0</v>
      </c>
      <c r="CR33" s="334">
        <f t="shared" ref="CR33" si="63">SUM(CR34:CR38)</f>
        <v>0</v>
      </c>
      <c r="CS33" s="334">
        <f t="shared" ref="CS33" si="64">SUM(CS34:CS38)</f>
        <v>0</v>
      </c>
      <c r="CT33" s="334">
        <f t="shared" ref="CT33" si="65">SUM(CT34:CT38)</f>
        <v>0</v>
      </c>
      <c r="CU33" s="334">
        <f t="shared" ref="CU33" si="66">SUM(CU34:CU38)</f>
        <v>0</v>
      </c>
      <c r="CV33" s="334">
        <f t="shared" ref="CV33" si="67">SUM(CV34:CV38)</f>
        <v>0</v>
      </c>
      <c r="CW33" s="864">
        <f t="shared" si="36"/>
        <v>0</v>
      </c>
      <c r="CX33" s="334"/>
      <c r="CY33" s="1594"/>
      <c r="CZ33" s="1594"/>
      <c r="DA33" s="1594"/>
      <c r="DB33" s="1594"/>
      <c r="DC33" s="1594"/>
      <c r="DD33" s="1594"/>
      <c r="DE33" s="1594"/>
      <c r="DF33" s="1594"/>
      <c r="DG33" s="1594"/>
      <c r="DH33" s="887"/>
      <c r="DI33" s="538"/>
      <c r="DJ33" s="852">
        <f>SUM(DJ34:DJ38)</f>
        <v>0</v>
      </c>
      <c r="DK33" s="334">
        <f t="shared" ref="DK33:DP33" si="68">SUM(DK34:DK38)</f>
        <v>0</v>
      </c>
      <c r="DL33" s="334">
        <f t="shared" si="68"/>
        <v>0</v>
      </c>
      <c r="DM33" s="334">
        <f t="shared" si="68"/>
        <v>0</v>
      </c>
      <c r="DN33" s="334">
        <f t="shared" si="68"/>
        <v>0</v>
      </c>
      <c r="DO33" s="334">
        <f t="shared" si="68"/>
        <v>0</v>
      </c>
      <c r="DP33" s="334">
        <f t="shared" si="68"/>
        <v>0</v>
      </c>
      <c r="DQ33" s="864">
        <f t="shared" si="37"/>
        <v>0</v>
      </c>
      <c r="DR33" s="334"/>
      <c r="DS33" s="1594"/>
      <c r="DT33" s="1594"/>
      <c r="DU33" s="1594"/>
      <c r="DV33" s="1594"/>
      <c r="DW33" s="1594"/>
      <c r="DX33" s="1594"/>
      <c r="DY33" s="1594"/>
      <c r="DZ33" s="1594"/>
      <c r="EA33" s="1594"/>
      <c r="EB33" s="887"/>
      <c r="EC33" s="538"/>
      <c r="ED33" s="890"/>
      <c r="EE33" s="1594"/>
      <c r="EF33" s="1594"/>
      <c r="EG33" s="1594"/>
      <c r="EH33" s="1594"/>
      <c r="EI33" s="1594"/>
      <c r="EJ33" s="1594"/>
      <c r="EK33" s="1594"/>
      <c r="EL33" s="1594"/>
      <c r="EM33" s="1594"/>
    </row>
    <row r="34" spans="1:143" ht="85.5" thickTop="1" thickBot="1" x14ac:dyDescent="0.3">
      <c r="A34" s="345" t="str">
        <f>CONCATENATE('3 pr-2'!A34)</f>
        <v>1.1.1.2.1</v>
      </c>
      <c r="B34" s="345" t="str">
        <f>CONCATENATE('3 pr-2'!B34)</f>
        <v>R01-9908-293400-1121</v>
      </c>
      <c r="C34" s="970" t="str">
        <f>CONCATENATE('ketv. 2'!B33)</f>
        <v>08.2.1-CPVA-R-908-11-0002</v>
      </c>
      <c r="D34" s="125" t="str">
        <f>CONCATENATE('3 pr-2'!D34)</f>
        <v>Matuizų kaimo viešosios infrastruktūros atnaujinimas ir pritaikymas bendruomenės poreikiams</v>
      </c>
      <c r="E34" s="312" t="str">
        <f>CONCATENATE('3 pr-2'!E34)</f>
        <v>Varėnos rajono savivaldybės administracija</v>
      </c>
      <c r="F34" s="312" t="str">
        <f>CONCATENATE('3 pr-2'!F34)</f>
        <v>Lietuvos Respublikos vidaus reikalų ministerija</v>
      </c>
      <c r="G34" s="312" t="str">
        <f>CONCATENATE('3 pr-2'!G34)</f>
        <v>Varėnos r. sav.</v>
      </c>
      <c r="H34" s="345" t="str">
        <f>CONCATENATE('3 pr-2'!H34)</f>
        <v>8.2.1-CPVA-R-908</v>
      </c>
      <c r="I34" s="345" t="str">
        <f>CONCATENATE('3 pr-2'!I34)</f>
        <v>R</v>
      </c>
      <c r="J34" s="345" t="str">
        <f>CONCATENATE('3 pr-2'!J34)</f>
        <v>-</v>
      </c>
      <c r="K34" s="345" t="str">
        <f>CONCATENATE('3 pr-2'!K34)</f>
        <v>-</v>
      </c>
      <c r="L34" s="345" t="s">
        <v>387</v>
      </c>
      <c r="M34" s="537" t="s">
        <v>461</v>
      </c>
      <c r="N34" s="345"/>
      <c r="O34" s="345"/>
      <c r="P34" s="345"/>
      <c r="Q34" s="345"/>
      <c r="R34" s="345"/>
      <c r="S34" s="345"/>
      <c r="T34" s="345"/>
      <c r="U34" s="893">
        <f>SUM(N34:T34)</f>
        <v>0</v>
      </c>
      <c r="V34" s="1240">
        <v>15003.25</v>
      </c>
      <c r="W34" s="1601">
        <v>15003.25</v>
      </c>
      <c r="X34" s="1580">
        <f>SUM(V34-W34)</f>
        <v>0</v>
      </c>
      <c r="Y34" s="1579">
        <f>IF(YEAR('3 pr-2'!$AK34)=2017,$V34,0)</f>
        <v>0</v>
      </c>
      <c r="Z34" s="1579">
        <f>IF(YEAR('3 pr-2'!$AK34)=2018,$V34,0)</f>
        <v>0</v>
      </c>
      <c r="AA34" s="1579">
        <f>IF(YEAR('3 pr-2'!$AK34)=2019,$V34,0)</f>
        <v>0</v>
      </c>
      <c r="AB34" s="1579">
        <f>IF(YEAR('3 pr-2'!$AK34)=2020,$V34,0)</f>
        <v>15003.25</v>
      </c>
      <c r="AC34" s="1579">
        <f>IF(YEAR('3 pr-2'!$AK34)=2021,$V34,0)</f>
        <v>0</v>
      </c>
      <c r="AD34" s="1579">
        <f>IF(YEAR('3 pr-2'!$AK34)=2022,$V34,0)</f>
        <v>0</v>
      </c>
      <c r="AE34" s="1579">
        <f>IF(YEAR('3 pr-2'!$AK34)=2023,$V34,0)</f>
        <v>0</v>
      </c>
      <c r="AF34" s="350" t="s">
        <v>388</v>
      </c>
      <c r="AG34" s="537" t="s">
        <v>462</v>
      </c>
      <c r="AH34" s="345"/>
      <c r="AI34" s="345"/>
      <c r="AJ34" s="345"/>
      <c r="AK34" s="345"/>
      <c r="AL34" s="345"/>
      <c r="AM34" s="345"/>
      <c r="AN34" s="345"/>
      <c r="AO34" s="895">
        <f t="shared" si="47"/>
        <v>0</v>
      </c>
      <c r="AP34" s="345">
        <v>539.76</v>
      </c>
      <c r="AQ34" s="1597">
        <v>539.76</v>
      </c>
      <c r="AR34" s="1580">
        <f>SUM(AP34-AQ34)</f>
        <v>0</v>
      </c>
      <c r="AS34" s="1579">
        <f>IF(YEAR('3 pr-2'!$AK34)=2017,$AP34,0)</f>
        <v>0</v>
      </c>
      <c r="AT34" s="1579">
        <f>IF(YEAR('3 pr-2'!$AK34)=2018,$AP34,0)</f>
        <v>0</v>
      </c>
      <c r="AU34" s="1579">
        <f>IF(YEAR('3 pr-2'!$AK34)=2019,$AP34,0)</f>
        <v>0</v>
      </c>
      <c r="AV34" s="1579">
        <f>IF(YEAR('3 pr-2'!$AK34)=2020,$AP34,0)</f>
        <v>539.76</v>
      </c>
      <c r="AW34" s="1579">
        <f>IF(YEAR('3 pr-2'!$AK34)=2021,$AP34,0)</f>
        <v>0</v>
      </c>
      <c r="AX34" s="1579">
        <f>IF(YEAR('3 pr-2'!$AK34)=2022,$AP34,0)</f>
        <v>0</v>
      </c>
      <c r="AY34" s="1579">
        <f>IF(YEAR('3 pr-2'!$AK34)=2023,$AP34,0)</f>
        <v>0</v>
      </c>
      <c r="AZ34" s="345" t="s">
        <v>66</v>
      </c>
      <c r="BA34" s="536"/>
      <c r="BB34" s="345"/>
      <c r="BC34" s="345"/>
      <c r="BD34" s="345"/>
      <c r="BE34" s="345"/>
      <c r="BF34" s="345"/>
      <c r="BG34" s="345"/>
      <c r="BH34" s="345"/>
      <c r="BI34" s="895">
        <f t="shared" si="55"/>
        <v>0</v>
      </c>
      <c r="BJ34" s="345" t="s">
        <v>66</v>
      </c>
      <c r="BK34" s="1597"/>
      <c r="BL34" s="1579"/>
      <c r="BM34" s="1579">
        <f>IF(YEAR('3 pr-2'!AK34)=2017,BJ34,0)</f>
        <v>0</v>
      </c>
      <c r="BN34" s="1579">
        <f>IF(YEAR('3 pr-2'!AK34)=2018,BJ34,0)</f>
        <v>0</v>
      </c>
      <c r="BO34" s="1579">
        <f>IF(YEAR('3 pr-2'!AK34)=2019,BJ34,0)</f>
        <v>0</v>
      </c>
      <c r="BP34" s="1579" t="str">
        <f>IF(YEAR('3 pr-2'!AK34)=2020,BJ34,0)</f>
        <v>-</v>
      </c>
      <c r="BQ34" s="1579">
        <f>IF(YEAR('3 pr-2'!AK34)=2021,BJ34,0)</f>
        <v>0</v>
      </c>
      <c r="BR34" s="1579">
        <f>IF(YEAR('3 pr-2'!AK34)=2022,BJ34,0)</f>
        <v>0</v>
      </c>
      <c r="BS34" s="1579">
        <f>IF(YEAR('3 pr-2'!AK34)=2023,BJ34,0)</f>
        <v>0</v>
      </c>
      <c r="BT34" s="350"/>
      <c r="BU34" s="537"/>
      <c r="BV34" s="345"/>
      <c r="BW34" s="345"/>
      <c r="BX34" s="345"/>
      <c r="BY34" s="345"/>
      <c r="BZ34" s="345"/>
      <c r="CA34" s="345"/>
      <c r="CB34" s="345"/>
      <c r="CC34" s="895">
        <f t="shared" si="35"/>
        <v>0</v>
      </c>
      <c r="CD34" s="345"/>
      <c r="CE34" s="1579"/>
      <c r="CF34" s="1579"/>
      <c r="CG34" s="1579">
        <f>IF(YEAR('3 pr-2'!$AK34)=2017,$CD34,0)</f>
        <v>0</v>
      </c>
      <c r="CH34" s="1579">
        <f>IF(YEAR('3 pr-2'!$AK34)=2018,$CD34,0)</f>
        <v>0</v>
      </c>
      <c r="CI34" s="1579">
        <f>IF(YEAR('3 pr-2'!$AK34)=2019,$CD34,0)</f>
        <v>0</v>
      </c>
      <c r="CJ34" s="1579">
        <f>IF(YEAR('3 pr-2'!$AK34)=2020,$CD34,0)</f>
        <v>0</v>
      </c>
      <c r="CK34" s="1579">
        <f>IF(YEAR('3 pr-2'!$AK34)=2021,$CD34,0)</f>
        <v>0</v>
      </c>
      <c r="CL34" s="1579">
        <f>IF(YEAR('3 pr-2'!$AK34)=2022,$CD34,0)</f>
        <v>0</v>
      </c>
      <c r="CM34" s="1579">
        <f>IF(YEAR('3 pr-2'!$AK34)=2023,$CD34,0)</f>
        <v>0</v>
      </c>
      <c r="CN34" s="350"/>
      <c r="CO34" s="538"/>
      <c r="CP34" s="351"/>
      <c r="CQ34" s="345"/>
      <c r="CR34" s="345"/>
      <c r="CS34" s="345"/>
      <c r="CT34" s="345"/>
      <c r="CU34" s="345"/>
      <c r="CV34" s="345"/>
      <c r="CW34" s="895">
        <f t="shared" si="36"/>
        <v>0</v>
      </c>
      <c r="CX34" s="351"/>
      <c r="CY34" s="1605"/>
      <c r="CZ34" s="1605"/>
      <c r="DA34" s="1594">
        <f>IF(YEAR('3 pr-2'!AK34)=2017,CX34,0)</f>
        <v>0</v>
      </c>
      <c r="DB34" s="1594">
        <f>IF(YEAR('3 pr-2'!AK34)=2018,CX34,0)</f>
        <v>0</v>
      </c>
      <c r="DC34" s="1594">
        <f>IF(YEAR('3 pr-2'!AK34)=2019,CX34,0)</f>
        <v>0</v>
      </c>
      <c r="DD34" s="1594">
        <f>IF(YEAR('3 pr-2'!AK34)=2020,CX34,0)</f>
        <v>0</v>
      </c>
      <c r="DE34" s="1594">
        <f>IF(YEAR('3 pr-2'!AK34)=2021,CX34,0)</f>
        <v>0</v>
      </c>
      <c r="DF34" s="1594">
        <f>IF(YEAR('3 pr-2'!AK34)=2022,CX34,0)</f>
        <v>0</v>
      </c>
      <c r="DG34" s="1594">
        <f>IF(YEAR('3 pr-2'!AK34)=2023,CX34,0)</f>
        <v>0</v>
      </c>
      <c r="DH34" s="350"/>
      <c r="DI34" s="538"/>
      <c r="DJ34" s="351"/>
      <c r="DK34" s="345"/>
      <c r="DL34" s="345"/>
      <c r="DM34" s="345"/>
      <c r="DN34" s="345"/>
      <c r="DO34" s="345"/>
      <c r="DP34" s="345"/>
      <c r="DQ34" s="895">
        <f t="shared" si="37"/>
        <v>0</v>
      </c>
      <c r="DR34" s="351"/>
      <c r="DS34" s="1605"/>
      <c r="DT34" s="1605"/>
      <c r="DU34" s="1594">
        <f>IF(YEAR('3 pr-2'!BF34)=2017,DS34,0)</f>
        <v>0</v>
      </c>
      <c r="DV34" s="1594">
        <f>IF(YEAR('3 pr-2'!BF34)=2018,DS34,0)</f>
        <v>0</v>
      </c>
      <c r="DW34" s="1594">
        <f>IF(YEAR('3 pr-2'!BF34)=2019,DS34,0)</f>
        <v>0</v>
      </c>
      <c r="DX34" s="1594">
        <f>IF(YEAR('3 pr-2'!BF34)=2020,DS34,0)</f>
        <v>0</v>
      </c>
      <c r="DY34" s="1594">
        <f>IF(YEAR('3 pr-2'!BF34)=2021,DS34,0)</f>
        <v>0</v>
      </c>
      <c r="DZ34" s="1594">
        <f>IF(YEAR('3 pr-2'!BF34)=2022,DS34,0)</f>
        <v>0</v>
      </c>
      <c r="EA34" s="1594">
        <f>IF(YEAR('3 pr-2'!BF34)=2023,DS34,0)</f>
        <v>0</v>
      </c>
      <c r="EB34" s="350"/>
      <c r="EC34" s="538"/>
      <c r="ED34" s="333"/>
      <c r="EE34" s="1605"/>
      <c r="EF34" s="1605"/>
      <c r="EG34" s="1594">
        <f>IF(YEAR('3 pr-2'!BP34)=2017,ED34,0)</f>
        <v>0</v>
      </c>
      <c r="EH34" s="1594">
        <f>IF(YEAR('3 pr-2'!BP34)=2018,ED34,0)</f>
        <v>0</v>
      </c>
      <c r="EI34" s="1594">
        <f>IF(YEAR('3 pr-2'!BP34)=2019,ED34,0)</f>
        <v>0</v>
      </c>
      <c r="EJ34" s="1594">
        <f>IF(YEAR('3 pr-2'!BP34)=2020,ED34,0)</f>
        <v>0</v>
      </c>
      <c r="EK34" s="1594">
        <f>IF(YEAR('3 pr-2'!BP34)=2021,ED34,0)</f>
        <v>0</v>
      </c>
      <c r="EL34" s="1594">
        <f>IF(YEAR('3 pr-2'!BP34)=2022,ED34,0)</f>
        <v>0</v>
      </c>
      <c r="EM34" s="1594">
        <f>IF(YEAR('3 pr-2'!BP34)=2023,ED34,0)</f>
        <v>0</v>
      </c>
    </row>
    <row r="35" spans="1:143" ht="85.5" thickTop="1" thickBot="1" x14ac:dyDescent="0.3">
      <c r="A35" s="345" t="str">
        <f>CONCATENATE('3 pr-2'!A35)</f>
        <v>1.1.1.2.2</v>
      </c>
      <c r="B35" s="345" t="str">
        <f>CONCATENATE('3 pr-2'!B35)</f>
        <v>R01-9908-290000-1122</v>
      </c>
      <c r="C35" s="970" t="str">
        <f>CONCATENATE('ketv. 2'!B34)</f>
        <v>08.2.1-CPVA-R-908-11-0001</v>
      </c>
      <c r="D35" s="125" t="str">
        <f>CONCATENATE('3 pr-2'!D35)</f>
        <v>Senosios Varėnos kaimo viešosios infrastruktūros atnaujinimas ir pritaikymas bendruomenės poreikiams</v>
      </c>
      <c r="E35" s="312" t="str">
        <f>CONCATENATE('3 pr-2'!E35)</f>
        <v>Varėnos rajono savivaldybės administracija</v>
      </c>
      <c r="F35" s="312" t="str">
        <f>CONCATENATE('3 pr-2'!F35)</f>
        <v>Lietuvos Respublikos vidaus reikalų ministerija</v>
      </c>
      <c r="G35" s="312" t="str">
        <f>CONCATENATE('3 pr-2'!G35)</f>
        <v>Varėnos r. sav.</v>
      </c>
      <c r="H35" s="345" t="str">
        <f>CONCATENATE('3 pr-2'!H35)</f>
        <v>8.2.1-CPVA-R-908</v>
      </c>
      <c r="I35" s="345" t="str">
        <f>CONCATENATE('3 pr-2'!I35)</f>
        <v>R</v>
      </c>
      <c r="J35" s="345" t="str">
        <f>CONCATENATE('3 pr-2'!J35)</f>
        <v>-</v>
      </c>
      <c r="K35" s="345" t="str">
        <f>CONCATENATE('3 pr-2'!K35)</f>
        <v>-</v>
      </c>
      <c r="L35" s="345" t="s">
        <v>387</v>
      </c>
      <c r="M35" s="537" t="s">
        <v>461</v>
      </c>
      <c r="N35" s="345"/>
      <c r="O35" s="345"/>
      <c r="P35" s="345"/>
      <c r="Q35" s="345"/>
      <c r="R35" s="345"/>
      <c r="S35" s="345"/>
      <c r="T35" s="345"/>
      <c r="U35" s="893">
        <f t="shared" ref="U35:U38" si="69">SUM(N35:T35)</f>
        <v>0</v>
      </c>
      <c r="V35" s="1240">
        <v>20781.2</v>
      </c>
      <c r="W35" s="1601">
        <v>20781.2</v>
      </c>
      <c r="X35" s="1580">
        <f>SUM(V35-W35)</f>
        <v>0</v>
      </c>
      <c r="Y35" s="1579">
        <f>IF(YEAR('3 pr-2'!$AK35)=2017,$V35,0)</f>
        <v>0</v>
      </c>
      <c r="Z35" s="1579">
        <f>IF(YEAR('3 pr-2'!$AK35)=2018,$V35,0)</f>
        <v>0</v>
      </c>
      <c r="AA35" s="1579">
        <f>IF(YEAR('3 pr-2'!$AK35)=2019,$V35,0)</f>
        <v>0</v>
      </c>
      <c r="AB35" s="1579">
        <f>IF(YEAR('3 pr-2'!$AK35)=2020,$V35,0)</f>
        <v>20781.2</v>
      </c>
      <c r="AC35" s="1579">
        <f>IF(YEAR('3 pr-2'!$AK35)=2021,$V35,0)</f>
        <v>0</v>
      </c>
      <c r="AD35" s="1579">
        <f>IF(YEAR('3 pr-2'!$AK35)=2022,$V35,0)</f>
        <v>0</v>
      </c>
      <c r="AE35" s="1579">
        <f>IF(YEAR('3 pr-2'!$AK35)=2023,$V35,0)</f>
        <v>0</v>
      </c>
      <c r="AF35" s="350"/>
      <c r="AG35" s="537"/>
      <c r="AH35" s="345"/>
      <c r="AI35" s="345"/>
      <c r="AJ35" s="345"/>
      <c r="AK35" s="345"/>
      <c r="AL35" s="345"/>
      <c r="AM35" s="345"/>
      <c r="AN35" s="345"/>
      <c r="AO35" s="895">
        <f t="shared" si="47"/>
        <v>0</v>
      </c>
      <c r="AP35" s="345"/>
      <c r="AQ35" s="1597"/>
      <c r="AR35" s="1579"/>
      <c r="AS35" s="1579">
        <f>IF(YEAR('3 pr-2'!$AK35)=2017,$AP35,0)</f>
        <v>0</v>
      </c>
      <c r="AT35" s="1579">
        <f>IF(YEAR('3 pr-2'!$AK35)=2018,$AP35,0)</f>
        <v>0</v>
      </c>
      <c r="AU35" s="1579">
        <f>IF(YEAR('3 pr-2'!$AK35)=2019,$AP35,0)</f>
        <v>0</v>
      </c>
      <c r="AV35" s="1579">
        <f>IF(YEAR('3 pr-2'!$AK35)=2020,$AP35,0)</f>
        <v>0</v>
      </c>
      <c r="AW35" s="1579">
        <f>IF(YEAR('3 pr-2'!$AK35)=2021,$AP35,0)</f>
        <v>0</v>
      </c>
      <c r="AX35" s="1579">
        <f>IF(YEAR('3 pr-2'!$AK35)=2022,$AP35,0)</f>
        <v>0</v>
      </c>
      <c r="AY35" s="1579">
        <f>IF(YEAR('3 pr-2'!$AK35)=2023,$AP35,0)</f>
        <v>0</v>
      </c>
      <c r="AZ35" s="345"/>
      <c r="BA35" s="536"/>
      <c r="BB35" s="345"/>
      <c r="BC35" s="345"/>
      <c r="BD35" s="345"/>
      <c r="BE35" s="345"/>
      <c r="BF35" s="345"/>
      <c r="BG35" s="345"/>
      <c r="BH35" s="345"/>
      <c r="BI35" s="895">
        <f t="shared" si="55"/>
        <v>0</v>
      </c>
      <c r="BJ35" s="345"/>
      <c r="BK35" s="1597"/>
      <c r="BL35" s="1579"/>
      <c r="BM35" s="1579">
        <f>IF(YEAR('3 pr-2'!AK35)=2017,BJ35,0)</f>
        <v>0</v>
      </c>
      <c r="BN35" s="1579">
        <f>IF(YEAR('3 pr-2'!AK35)=2018,BJ35,0)</f>
        <v>0</v>
      </c>
      <c r="BO35" s="1579">
        <f>IF(YEAR('3 pr-2'!AK35)=2019,BJ35,0)</f>
        <v>0</v>
      </c>
      <c r="BP35" s="1579">
        <f>IF(YEAR('3 pr-2'!AK35)=2020,BJ35,0)</f>
        <v>0</v>
      </c>
      <c r="BQ35" s="1579">
        <f>IF(YEAR('3 pr-2'!AK35)=2021,BJ35,0)</f>
        <v>0</v>
      </c>
      <c r="BR35" s="1579">
        <f>IF(YEAR('3 pr-2'!AK35)=2022,BJ35,0)</f>
        <v>0</v>
      </c>
      <c r="BS35" s="1579">
        <f>IF(YEAR('3 pr-2'!AK35)=2023,BJ35,0)</f>
        <v>0</v>
      </c>
      <c r="BT35" s="350"/>
      <c r="BU35" s="537"/>
      <c r="BV35" s="345"/>
      <c r="BW35" s="345"/>
      <c r="BX35" s="345"/>
      <c r="BY35" s="345"/>
      <c r="BZ35" s="345"/>
      <c r="CA35" s="345"/>
      <c r="CB35" s="345"/>
      <c r="CC35" s="895">
        <f t="shared" si="35"/>
        <v>0</v>
      </c>
      <c r="CD35" s="345"/>
      <c r="CE35" s="1579"/>
      <c r="CF35" s="1579"/>
      <c r="CG35" s="1579">
        <f>IF(YEAR('3 pr-2'!$AK35)=2017,$CD35,0)</f>
        <v>0</v>
      </c>
      <c r="CH35" s="1579">
        <f>IF(YEAR('3 pr-2'!$AK35)=2018,$CD35,0)</f>
        <v>0</v>
      </c>
      <c r="CI35" s="1579">
        <f>IF(YEAR('3 pr-2'!$AK35)=2019,$CD35,0)</f>
        <v>0</v>
      </c>
      <c r="CJ35" s="1579">
        <f>IF(YEAR('3 pr-2'!$AK35)=2020,$CD35,0)</f>
        <v>0</v>
      </c>
      <c r="CK35" s="1579">
        <f>IF(YEAR('3 pr-2'!$AK35)=2021,$CD35,0)</f>
        <v>0</v>
      </c>
      <c r="CL35" s="1579">
        <f>IF(YEAR('3 pr-2'!$AK35)=2022,$CD35,0)</f>
        <v>0</v>
      </c>
      <c r="CM35" s="1579">
        <f>IF(YEAR('3 pr-2'!$AK35)=2023,$CD35,0)</f>
        <v>0</v>
      </c>
      <c r="CN35" s="350"/>
      <c r="CO35" s="538"/>
      <c r="CP35" s="351"/>
      <c r="CQ35" s="345"/>
      <c r="CR35" s="345"/>
      <c r="CS35" s="345"/>
      <c r="CT35" s="345"/>
      <c r="CU35" s="345"/>
      <c r="CV35" s="345"/>
      <c r="CW35" s="895">
        <f t="shared" si="36"/>
        <v>0</v>
      </c>
      <c r="CX35" s="351"/>
      <c r="CY35" s="1605"/>
      <c r="CZ35" s="1605"/>
      <c r="DA35" s="1594">
        <f>IF(YEAR('3 pr-2'!AK35)=2017,CX35,0)</f>
        <v>0</v>
      </c>
      <c r="DB35" s="1594">
        <f>IF(YEAR('3 pr-2'!AK35)=2018,CX35,0)</f>
        <v>0</v>
      </c>
      <c r="DC35" s="1594">
        <f>IF(YEAR('3 pr-2'!AK35)=2019,CX35,0)</f>
        <v>0</v>
      </c>
      <c r="DD35" s="1594">
        <f>IF(YEAR('3 pr-2'!AK35)=2020,CX35,0)</f>
        <v>0</v>
      </c>
      <c r="DE35" s="1594">
        <f>IF(YEAR('3 pr-2'!AK35)=2021,CX35,0)</f>
        <v>0</v>
      </c>
      <c r="DF35" s="1594">
        <f>IF(YEAR('3 pr-2'!AK35)=2022,CX35,0)</f>
        <v>0</v>
      </c>
      <c r="DG35" s="1594">
        <f>IF(YEAR('3 pr-2'!AK35)=2023,CX35,0)</f>
        <v>0</v>
      </c>
      <c r="DH35" s="350"/>
      <c r="DI35" s="538"/>
      <c r="DJ35" s="351"/>
      <c r="DK35" s="345"/>
      <c r="DL35" s="345"/>
      <c r="DM35" s="345"/>
      <c r="DN35" s="345"/>
      <c r="DO35" s="345"/>
      <c r="DP35" s="345"/>
      <c r="DQ35" s="895">
        <f t="shared" si="37"/>
        <v>0</v>
      </c>
      <c r="DR35" s="351"/>
      <c r="DS35" s="1605"/>
      <c r="DT35" s="1605"/>
      <c r="DU35" s="1594">
        <f>IF(YEAR('3 pr-2'!BF35)=2017,DS35,0)</f>
        <v>0</v>
      </c>
      <c r="DV35" s="1594">
        <f>IF(YEAR('3 pr-2'!BF35)=2018,DS35,0)</f>
        <v>0</v>
      </c>
      <c r="DW35" s="1594">
        <f>IF(YEAR('3 pr-2'!BF35)=2019,DS35,0)</f>
        <v>0</v>
      </c>
      <c r="DX35" s="1594">
        <f>IF(YEAR('3 pr-2'!BF35)=2020,DS35,0)</f>
        <v>0</v>
      </c>
      <c r="DY35" s="1594">
        <f>IF(YEAR('3 pr-2'!BF35)=2021,DS35,0)</f>
        <v>0</v>
      </c>
      <c r="DZ35" s="1594">
        <f>IF(YEAR('3 pr-2'!BF35)=2022,DS35,0)</f>
        <v>0</v>
      </c>
      <c r="EA35" s="1594">
        <f>IF(YEAR('3 pr-2'!BF35)=2023,DS35,0)</f>
        <v>0</v>
      </c>
      <c r="EB35" s="350"/>
      <c r="EC35" s="538"/>
      <c r="ED35" s="333"/>
      <c r="EE35" s="1605"/>
      <c r="EF35" s="1605"/>
      <c r="EG35" s="1594">
        <f>IF(YEAR('3 pr-2'!BP35)=2017,ED35,0)</f>
        <v>0</v>
      </c>
      <c r="EH35" s="1594">
        <f>IF(YEAR('3 pr-2'!BP35)=2018,ED35,0)</f>
        <v>0</v>
      </c>
      <c r="EI35" s="1594">
        <f>IF(YEAR('3 pr-2'!BP35)=2019,ED35,0)</f>
        <v>0</v>
      </c>
      <c r="EJ35" s="1594">
        <f>IF(YEAR('3 pr-2'!BP35)=2020,ED35,0)</f>
        <v>0</v>
      </c>
      <c r="EK35" s="1594">
        <f>IF(YEAR('3 pr-2'!BP35)=2021,ED35,0)</f>
        <v>0</v>
      </c>
      <c r="EL35" s="1594">
        <f>IF(YEAR('3 pr-2'!BP35)=2022,ED35,0)</f>
        <v>0</v>
      </c>
      <c r="EM35" s="1594">
        <f>IF(YEAR('3 pr-2'!BP35)=2023,ED35,0)</f>
        <v>0</v>
      </c>
    </row>
    <row r="36" spans="1:143" ht="49.5" thickTop="1" thickBot="1" x14ac:dyDescent="0.3">
      <c r="A36" s="345" t="str">
        <f>CONCATENATE('3 pr-2'!A36)</f>
        <v>1.1.1.2.3</v>
      </c>
      <c r="B36" s="345" t="str">
        <f>CONCATENATE('3 pr-2'!B36)</f>
        <v>R01-9908-290000-1123</v>
      </c>
      <c r="C36" s="970" t="str">
        <f>CONCATENATE('ketv. 2'!B35)</f>
        <v/>
      </c>
      <c r="D36" s="125" t="str">
        <f>CONCATENATE('3 pr-2'!D36)</f>
        <v>Kompleksinė Miklusėnų gyvenvietės plėtra</v>
      </c>
      <c r="E36" s="312" t="str">
        <f>CONCATENATE('3 pr-2'!E36)</f>
        <v>Alytaus rajono savivaldybės administracija</v>
      </c>
      <c r="F36" s="312" t="str">
        <f>CONCATENATE('3 pr-2'!F36)</f>
        <v>Lietuvos Respublikos vidaus reikalų ministerija</v>
      </c>
      <c r="G36" s="312" t="str">
        <f>CONCATENATE('3 pr-2'!G36)</f>
        <v>Alytaus r. sav.</v>
      </c>
      <c r="H36" s="345" t="str">
        <f>CONCATENATE('3 pr-2'!H36)</f>
        <v>8.2.1-CPVA-R-908</v>
      </c>
      <c r="I36" s="345" t="str">
        <f>CONCATENATE('3 pr-2'!I36)</f>
        <v>R</v>
      </c>
      <c r="J36" s="345" t="str">
        <f>CONCATENATE('3 pr-2'!J36)</f>
        <v>-</v>
      </c>
      <c r="K36" s="345" t="str">
        <f>CONCATENATE('3 pr-2'!K36)</f>
        <v>-</v>
      </c>
      <c r="L36" s="345" t="s">
        <v>387</v>
      </c>
      <c r="M36" s="537" t="s">
        <v>463</v>
      </c>
      <c r="N36" s="345"/>
      <c r="O36" s="345"/>
      <c r="P36" s="345"/>
      <c r="Q36" s="345"/>
      <c r="R36" s="345"/>
      <c r="S36" s="345"/>
      <c r="T36" s="345"/>
      <c r="U36" s="893">
        <f t="shared" si="69"/>
        <v>0</v>
      </c>
      <c r="V36" s="1240">
        <v>7440</v>
      </c>
      <c r="W36" s="1601" t="str">
        <f ca="1">IF('ketv. 6 '!L35&gt;0,"taip","nėra")</f>
        <v>nėra</v>
      </c>
      <c r="X36" s="1579"/>
      <c r="Y36" s="1579">
        <f>IF(YEAR('3 pr-2'!$AK36)=2017,$V36,0)</f>
        <v>0</v>
      </c>
      <c r="Z36" s="1579">
        <f>IF(YEAR('3 pr-2'!$AK36)=2018,$V36,0)</f>
        <v>0</v>
      </c>
      <c r="AA36" s="1579">
        <f>IF(YEAR('3 pr-2'!$AK36)=2019,$V36,0)</f>
        <v>0</v>
      </c>
      <c r="AB36" s="1579">
        <f>IF(YEAR('3 pr-2'!$AK36)=2020,$V36,0)</f>
        <v>0</v>
      </c>
      <c r="AC36" s="1579">
        <f>IF(YEAR('3 pr-2'!$AK36)=2021,$V36,0)</f>
        <v>7440</v>
      </c>
      <c r="AD36" s="1579">
        <f>IF(YEAR('3 pr-2'!$AK36)=2022,$V36,0)</f>
        <v>0</v>
      </c>
      <c r="AE36" s="1579">
        <f>IF(YEAR('3 pr-2'!$AK36)=2023,$V36,0)</f>
        <v>0</v>
      </c>
      <c r="AF36" s="350"/>
      <c r="AG36" s="537"/>
      <c r="AH36" s="345"/>
      <c r="AI36" s="345"/>
      <c r="AJ36" s="345"/>
      <c r="AK36" s="345"/>
      <c r="AL36" s="345"/>
      <c r="AM36" s="345"/>
      <c r="AN36" s="345"/>
      <c r="AO36" s="895">
        <f t="shared" si="47"/>
        <v>0</v>
      </c>
      <c r="AP36" s="345"/>
      <c r="AQ36" s="1597"/>
      <c r="AR36" s="1579"/>
      <c r="AS36" s="1579">
        <f>IF(YEAR('3 pr-2'!$AK36)=2017,$AP36,0)</f>
        <v>0</v>
      </c>
      <c r="AT36" s="1579">
        <f>IF(YEAR('3 pr-2'!$AK36)=2018,$AP36,0)</f>
        <v>0</v>
      </c>
      <c r="AU36" s="1579">
        <f>IF(YEAR('3 pr-2'!$AK36)=2019,$AP36,0)</f>
        <v>0</v>
      </c>
      <c r="AV36" s="1579">
        <f>IF(YEAR('3 pr-2'!$AK36)=2020,$AP36,0)</f>
        <v>0</v>
      </c>
      <c r="AW36" s="1579">
        <f>IF(YEAR('3 pr-2'!$AK36)=2021,$AP36,0)</f>
        <v>0</v>
      </c>
      <c r="AX36" s="1579">
        <f>IF(YEAR('3 pr-2'!$AK36)=2022,$AP36,0)</f>
        <v>0</v>
      </c>
      <c r="AY36" s="1579">
        <f>IF(YEAR('3 pr-2'!$AK36)=2023,$AP36,0)</f>
        <v>0</v>
      </c>
      <c r="AZ36" s="345"/>
      <c r="BA36" s="536"/>
      <c r="BB36" s="345"/>
      <c r="BC36" s="345"/>
      <c r="BD36" s="345"/>
      <c r="BE36" s="345"/>
      <c r="BF36" s="345"/>
      <c r="BG36" s="345"/>
      <c r="BH36" s="345"/>
      <c r="BI36" s="895">
        <f t="shared" si="55"/>
        <v>0</v>
      </c>
      <c r="BJ36" s="345"/>
      <c r="BK36" s="1597"/>
      <c r="BL36" s="1579"/>
      <c r="BM36" s="1579">
        <f>IF(YEAR('3 pr-2'!AK36)=2017,BJ36,0)</f>
        <v>0</v>
      </c>
      <c r="BN36" s="1579">
        <f>IF(YEAR('3 pr-2'!AK36)=2018,BJ36,0)</f>
        <v>0</v>
      </c>
      <c r="BO36" s="1579">
        <f>IF(YEAR('3 pr-2'!AK36)=2019,BJ36,0)</f>
        <v>0</v>
      </c>
      <c r="BP36" s="1579">
        <f>IF(YEAR('3 pr-2'!AK36)=2020,BJ36,0)</f>
        <v>0</v>
      </c>
      <c r="BQ36" s="1579">
        <f>IF(YEAR('3 pr-2'!AK36)=2021,BJ36,0)</f>
        <v>0</v>
      </c>
      <c r="BR36" s="1579">
        <f>IF(YEAR('3 pr-2'!AK36)=2022,BJ36,0)</f>
        <v>0</v>
      </c>
      <c r="BS36" s="1579">
        <f>IF(YEAR('3 pr-2'!AK36)=2023,BJ36,0)</f>
        <v>0</v>
      </c>
      <c r="BT36" s="350"/>
      <c r="BU36" s="537"/>
      <c r="BV36" s="345"/>
      <c r="BW36" s="345"/>
      <c r="BX36" s="345"/>
      <c r="BY36" s="345"/>
      <c r="BZ36" s="345"/>
      <c r="CA36" s="345"/>
      <c r="CB36" s="345"/>
      <c r="CC36" s="895">
        <f t="shared" si="35"/>
        <v>0</v>
      </c>
      <c r="CD36" s="345"/>
      <c r="CE36" s="1579"/>
      <c r="CF36" s="1579"/>
      <c r="CG36" s="1579">
        <f>IF(YEAR('3 pr-2'!$AK36)=2017,$CD36,0)</f>
        <v>0</v>
      </c>
      <c r="CH36" s="1579">
        <f>IF(YEAR('3 pr-2'!$AK36)=2018,$CD36,0)</f>
        <v>0</v>
      </c>
      <c r="CI36" s="1579">
        <f>IF(YEAR('3 pr-2'!$AK36)=2019,$CD36,0)</f>
        <v>0</v>
      </c>
      <c r="CJ36" s="1579">
        <f>IF(YEAR('3 pr-2'!$AK36)=2020,$CD36,0)</f>
        <v>0</v>
      </c>
      <c r="CK36" s="1579">
        <f>IF(YEAR('3 pr-2'!$AK36)=2021,$CD36,0)</f>
        <v>0</v>
      </c>
      <c r="CL36" s="1579">
        <f>IF(YEAR('3 pr-2'!$AK36)=2022,$CD36,0)</f>
        <v>0</v>
      </c>
      <c r="CM36" s="1579">
        <f>IF(YEAR('3 pr-2'!$AK36)=2023,$CD36,0)</f>
        <v>0</v>
      </c>
      <c r="CN36" s="350"/>
      <c r="CO36" s="538"/>
      <c r="CP36" s="351"/>
      <c r="CQ36" s="345"/>
      <c r="CR36" s="345"/>
      <c r="CS36" s="345"/>
      <c r="CT36" s="345"/>
      <c r="CU36" s="345"/>
      <c r="CV36" s="345"/>
      <c r="CW36" s="895">
        <f t="shared" si="36"/>
        <v>0</v>
      </c>
      <c r="CX36" s="351"/>
      <c r="CY36" s="1605"/>
      <c r="CZ36" s="1605"/>
      <c r="DA36" s="1594">
        <f>IF(YEAR('3 pr-2'!AK36)=2017,CX36,0)</f>
        <v>0</v>
      </c>
      <c r="DB36" s="1594">
        <f>IF(YEAR('3 pr-2'!AK36)=2018,CX36,0)</f>
        <v>0</v>
      </c>
      <c r="DC36" s="1594">
        <f>IF(YEAR('3 pr-2'!AK36)=2019,CX36,0)</f>
        <v>0</v>
      </c>
      <c r="DD36" s="1594">
        <f>IF(YEAR('3 pr-2'!AK36)=2020,CX36,0)</f>
        <v>0</v>
      </c>
      <c r="DE36" s="1594">
        <f>IF(YEAR('3 pr-2'!AK36)=2021,CX36,0)</f>
        <v>0</v>
      </c>
      <c r="DF36" s="1594">
        <f>IF(YEAR('3 pr-2'!AK36)=2022,CX36,0)</f>
        <v>0</v>
      </c>
      <c r="DG36" s="1594">
        <f>IF(YEAR('3 pr-2'!AK36)=2023,CX36,0)</f>
        <v>0</v>
      </c>
      <c r="DH36" s="350"/>
      <c r="DI36" s="538"/>
      <c r="DJ36" s="351"/>
      <c r="DK36" s="345"/>
      <c r="DL36" s="345"/>
      <c r="DM36" s="345"/>
      <c r="DN36" s="345"/>
      <c r="DO36" s="345"/>
      <c r="DP36" s="345"/>
      <c r="DQ36" s="895">
        <f t="shared" si="37"/>
        <v>0</v>
      </c>
      <c r="DR36" s="351"/>
      <c r="DS36" s="1605"/>
      <c r="DT36" s="1605"/>
      <c r="DU36" s="1594">
        <f>IF(YEAR('3 pr-2'!BF36)=2017,DS36,0)</f>
        <v>0</v>
      </c>
      <c r="DV36" s="1594">
        <f>IF(YEAR('3 pr-2'!BF36)=2018,DS36,0)</f>
        <v>0</v>
      </c>
      <c r="DW36" s="1594">
        <f>IF(YEAR('3 pr-2'!BF36)=2019,DS36,0)</f>
        <v>0</v>
      </c>
      <c r="DX36" s="1594">
        <f>IF(YEAR('3 pr-2'!BF36)=2020,DS36,0)</f>
        <v>0</v>
      </c>
      <c r="DY36" s="1594">
        <f>IF(YEAR('3 pr-2'!BF36)=2021,DS36,0)</f>
        <v>0</v>
      </c>
      <c r="DZ36" s="1594">
        <f>IF(YEAR('3 pr-2'!BF36)=2022,DS36,0)</f>
        <v>0</v>
      </c>
      <c r="EA36" s="1594">
        <f>IF(YEAR('3 pr-2'!BF36)=2023,DS36,0)</f>
        <v>0</v>
      </c>
      <c r="EB36" s="350"/>
      <c r="EC36" s="538"/>
      <c r="ED36" s="333"/>
      <c r="EE36" s="1605"/>
      <c r="EF36" s="1605"/>
      <c r="EG36" s="1594">
        <f>IF(YEAR('3 pr-2'!BP36)=2017,ED36,0)</f>
        <v>0</v>
      </c>
      <c r="EH36" s="1594">
        <f>IF(YEAR('3 pr-2'!BP36)=2018,ED36,0)</f>
        <v>0</v>
      </c>
      <c r="EI36" s="1594">
        <f>IF(YEAR('3 pr-2'!BP36)=2019,ED36,0)</f>
        <v>0</v>
      </c>
      <c r="EJ36" s="1594">
        <f>IF(YEAR('3 pr-2'!BP36)=2020,ED36,0)</f>
        <v>0</v>
      </c>
      <c r="EK36" s="1594">
        <f>IF(YEAR('3 pr-2'!BP36)=2021,ED36,0)</f>
        <v>0</v>
      </c>
      <c r="EL36" s="1594">
        <f>IF(YEAR('3 pr-2'!BP36)=2022,ED36,0)</f>
        <v>0</v>
      </c>
      <c r="EM36" s="1594">
        <f>IF(YEAR('3 pr-2'!BP36)=2023,ED36,0)</f>
        <v>0</v>
      </c>
    </row>
    <row r="37" spans="1:143" ht="49.5" thickTop="1" thickBot="1" x14ac:dyDescent="0.3">
      <c r="A37" s="345" t="str">
        <f>CONCATENATE('3 pr-2'!A37)</f>
        <v>1.1.1.2.4</v>
      </c>
      <c r="B37" s="345" t="str">
        <f>CONCATENATE('3 pr-2'!B37)</f>
        <v>R01-9908-290000-1124</v>
      </c>
      <c r="C37" s="970" t="str">
        <f>CONCATENATE('ketv. 2'!B36)</f>
        <v>08.2.1-CPVA-R-908-11-0003</v>
      </c>
      <c r="D37" s="125" t="str">
        <f>CONCATENATE('3 pr-2'!D37)</f>
        <v>Leipalingio viešosios erdvės pritaikymas bendruomenės poreikiams</v>
      </c>
      <c r="E37" s="312" t="str">
        <f>CONCATENATE('3 pr-2'!E37)</f>
        <v xml:space="preserve">Druskininkų savivaldybės administracija  </v>
      </c>
      <c r="F37" s="312" t="str">
        <f>CONCATENATE('3 pr-2'!F37)</f>
        <v>Lietuvos Respublikos vidaus reikalų ministerija</v>
      </c>
      <c r="G37" s="312" t="str">
        <f>CONCATENATE('3 pr-2'!G37)</f>
        <v>Druskininkų sav.</v>
      </c>
      <c r="H37" s="345" t="str">
        <f>CONCATENATE('3 pr-2'!H37)</f>
        <v>8.2.1-CPVA-R-908</v>
      </c>
      <c r="I37" s="345" t="str">
        <f>CONCATENATE('3 pr-2'!I37)</f>
        <v>R</v>
      </c>
      <c r="J37" s="345" t="str">
        <f>CONCATENATE('3 pr-2'!J37)</f>
        <v>-</v>
      </c>
      <c r="K37" s="345" t="str">
        <f>CONCATENATE('3 pr-2'!K37)</f>
        <v>-</v>
      </c>
      <c r="L37" s="345" t="s">
        <v>387</v>
      </c>
      <c r="M37" s="537" t="s">
        <v>846</v>
      </c>
      <c r="N37" s="345"/>
      <c r="O37" s="345"/>
      <c r="P37" s="345"/>
      <c r="Q37" s="345"/>
      <c r="R37" s="345"/>
      <c r="S37" s="345"/>
      <c r="T37" s="345"/>
      <c r="U37" s="893">
        <f t="shared" si="69"/>
        <v>0</v>
      </c>
      <c r="V37" s="1240">
        <v>24114</v>
      </c>
      <c r="W37" s="1601">
        <v>24114</v>
      </c>
      <c r="X37" s="1580">
        <f>SUM(V37-W37)</f>
        <v>0</v>
      </c>
      <c r="Y37" s="1579">
        <f>IF(YEAR('3 pr-2'!$AK37)=2017,$V37,0)</f>
        <v>0</v>
      </c>
      <c r="Z37" s="1579">
        <f>IF(YEAR('3 pr-2'!$AK37)=2018,$V37,0)</f>
        <v>0</v>
      </c>
      <c r="AA37" s="1579">
        <f>IF(YEAR('3 pr-2'!$AK37)=2019,$V37,0)</f>
        <v>24114</v>
      </c>
      <c r="AB37" s="1579">
        <f>IF(YEAR('3 pr-2'!$AK37)=2020,$V37,0)</f>
        <v>0</v>
      </c>
      <c r="AC37" s="1579">
        <f>IF(YEAR('3 pr-2'!$AK37)=2021,$V37,0)</f>
        <v>0</v>
      </c>
      <c r="AD37" s="1579">
        <f>IF(YEAR('3 pr-2'!$AK37)=2022,$V37,0)</f>
        <v>0</v>
      </c>
      <c r="AE37" s="1579">
        <f>IF(YEAR('3 pr-2'!$AK37)=2023,$V37,0)</f>
        <v>0</v>
      </c>
      <c r="AF37" s="350"/>
      <c r="AG37" s="537"/>
      <c r="AH37" s="345"/>
      <c r="AI37" s="345"/>
      <c r="AJ37" s="345"/>
      <c r="AK37" s="345"/>
      <c r="AL37" s="345"/>
      <c r="AM37" s="345"/>
      <c r="AN37" s="345"/>
      <c r="AO37" s="895">
        <f t="shared" si="47"/>
        <v>0</v>
      </c>
      <c r="AP37" s="345"/>
      <c r="AQ37" s="1597"/>
      <c r="AR37" s="1579"/>
      <c r="AS37" s="1579">
        <f>IF(YEAR('3 pr-2'!$AK37)=2017,$AP37,0)</f>
        <v>0</v>
      </c>
      <c r="AT37" s="1579">
        <f>IF(YEAR('3 pr-2'!$AK37)=2018,$AP37,0)</f>
        <v>0</v>
      </c>
      <c r="AU37" s="1579">
        <f>IF(YEAR('3 pr-2'!$AK37)=2019,$AP37,0)</f>
        <v>0</v>
      </c>
      <c r="AV37" s="1579">
        <f>IF(YEAR('3 pr-2'!$AK37)=2020,$AP37,0)</f>
        <v>0</v>
      </c>
      <c r="AW37" s="1579">
        <f>IF(YEAR('3 pr-2'!$AK37)=2021,$AP37,0)</f>
        <v>0</v>
      </c>
      <c r="AX37" s="1579">
        <f>IF(YEAR('3 pr-2'!$AK37)=2022,$AP37,0)</f>
        <v>0</v>
      </c>
      <c r="AY37" s="1579">
        <f>IF(YEAR('3 pr-2'!$AK37)=2023,$AP37,0)</f>
        <v>0</v>
      </c>
      <c r="AZ37" s="345"/>
      <c r="BA37" s="536"/>
      <c r="BB37" s="345"/>
      <c r="BC37" s="345"/>
      <c r="BD37" s="345"/>
      <c r="BE37" s="345"/>
      <c r="BF37" s="345"/>
      <c r="BG37" s="345"/>
      <c r="BH37" s="345"/>
      <c r="BI37" s="895">
        <f t="shared" si="55"/>
        <v>0</v>
      </c>
      <c r="BJ37" s="345"/>
      <c r="BK37" s="1597"/>
      <c r="BL37" s="1579"/>
      <c r="BM37" s="1579">
        <f>IF(YEAR('3 pr-2'!AK37)=2017,BJ37,0)</f>
        <v>0</v>
      </c>
      <c r="BN37" s="1579">
        <f>IF(YEAR('3 pr-2'!AK37)=2018,BJ37,0)</f>
        <v>0</v>
      </c>
      <c r="BO37" s="1579">
        <f>IF(YEAR('3 pr-2'!AK37)=2019,BJ37,0)</f>
        <v>0</v>
      </c>
      <c r="BP37" s="1579">
        <f>IF(YEAR('3 pr-2'!AK37)=2020,BJ37,0)</f>
        <v>0</v>
      </c>
      <c r="BQ37" s="1579">
        <f>IF(YEAR('3 pr-2'!AK37)=2021,BJ37,0)</f>
        <v>0</v>
      </c>
      <c r="BR37" s="1579">
        <f>IF(YEAR('3 pr-2'!AK37)=2022,BJ37,0)</f>
        <v>0</v>
      </c>
      <c r="BS37" s="1579">
        <f>IF(YEAR('3 pr-2'!AK37)=2023,BJ37,0)</f>
        <v>0</v>
      </c>
      <c r="BT37" s="350"/>
      <c r="BU37" s="537"/>
      <c r="BV37" s="345"/>
      <c r="BW37" s="345"/>
      <c r="BX37" s="345"/>
      <c r="BY37" s="345"/>
      <c r="BZ37" s="345"/>
      <c r="CA37" s="345"/>
      <c r="CB37" s="345"/>
      <c r="CC37" s="895">
        <f t="shared" si="35"/>
        <v>0</v>
      </c>
      <c r="CD37" s="345"/>
      <c r="CE37" s="1579"/>
      <c r="CF37" s="1579"/>
      <c r="CG37" s="1579">
        <f>IF(YEAR('3 pr-2'!$AK37)=2017,$CD37,0)</f>
        <v>0</v>
      </c>
      <c r="CH37" s="1579">
        <f>IF(YEAR('3 pr-2'!$AK37)=2018,$CD37,0)</f>
        <v>0</v>
      </c>
      <c r="CI37" s="1579">
        <f>IF(YEAR('3 pr-2'!$AK37)=2019,$CD37,0)</f>
        <v>0</v>
      </c>
      <c r="CJ37" s="1579">
        <f>IF(YEAR('3 pr-2'!$AK37)=2020,$CD37,0)</f>
        <v>0</v>
      </c>
      <c r="CK37" s="1579">
        <f>IF(YEAR('3 pr-2'!$AK37)=2021,$CD37,0)</f>
        <v>0</v>
      </c>
      <c r="CL37" s="1579">
        <f>IF(YEAR('3 pr-2'!$AK37)=2022,$CD37,0)</f>
        <v>0</v>
      </c>
      <c r="CM37" s="1579">
        <f>IF(YEAR('3 pr-2'!$AK37)=2023,$CD37,0)</f>
        <v>0</v>
      </c>
      <c r="CN37" s="350"/>
      <c r="CO37" s="538"/>
      <c r="CP37" s="351"/>
      <c r="CQ37" s="345"/>
      <c r="CR37" s="345"/>
      <c r="CS37" s="345"/>
      <c r="CT37" s="345"/>
      <c r="CU37" s="345"/>
      <c r="CV37" s="345"/>
      <c r="CW37" s="895">
        <f t="shared" si="36"/>
        <v>0</v>
      </c>
      <c r="CX37" s="351"/>
      <c r="CY37" s="1605"/>
      <c r="CZ37" s="1605"/>
      <c r="DA37" s="1594">
        <f>IF(YEAR('3 pr-2'!AK37)=2017,CX37,0)</f>
        <v>0</v>
      </c>
      <c r="DB37" s="1594">
        <f>IF(YEAR('3 pr-2'!AK37)=2018,CX37,0)</f>
        <v>0</v>
      </c>
      <c r="DC37" s="1594">
        <f>IF(YEAR('3 pr-2'!AK37)=2019,CX37,0)</f>
        <v>0</v>
      </c>
      <c r="DD37" s="1594">
        <f>IF(YEAR('3 pr-2'!AK37)=2020,CX37,0)</f>
        <v>0</v>
      </c>
      <c r="DE37" s="1594">
        <f>IF(YEAR('3 pr-2'!AK37)=2021,CX37,0)</f>
        <v>0</v>
      </c>
      <c r="DF37" s="1594">
        <f>IF(YEAR('3 pr-2'!AK37)=2022,CX37,0)</f>
        <v>0</v>
      </c>
      <c r="DG37" s="1594">
        <f>IF(YEAR('3 pr-2'!AK37)=2023,CX37,0)</f>
        <v>0</v>
      </c>
      <c r="DH37" s="350"/>
      <c r="DI37" s="538"/>
      <c r="DJ37" s="351"/>
      <c r="DK37" s="345"/>
      <c r="DL37" s="345"/>
      <c r="DM37" s="345"/>
      <c r="DN37" s="345"/>
      <c r="DO37" s="345"/>
      <c r="DP37" s="345"/>
      <c r="DQ37" s="895">
        <f t="shared" si="37"/>
        <v>0</v>
      </c>
      <c r="DR37" s="351"/>
      <c r="DS37" s="1605"/>
      <c r="DT37" s="1605"/>
      <c r="DU37" s="1594">
        <f>IF(YEAR('3 pr-2'!BF37)=2017,DS37,0)</f>
        <v>0</v>
      </c>
      <c r="DV37" s="1594">
        <f>IF(YEAR('3 pr-2'!BF37)=2018,DS37,0)</f>
        <v>0</v>
      </c>
      <c r="DW37" s="1594">
        <f>IF(YEAR('3 pr-2'!BF37)=2019,DS37,0)</f>
        <v>0</v>
      </c>
      <c r="DX37" s="1594">
        <f>IF(YEAR('3 pr-2'!BF37)=2020,DS37,0)</f>
        <v>0</v>
      </c>
      <c r="DY37" s="1594">
        <f>IF(YEAR('3 pr-2'!BF37)=2021,DS37,0)</f>
        <v>0</v>
      </c>
      <c r="DZ37" s="1594">
        <f>IF(YEAR('3 pr-2'!BF37)=2022,DS37,0)</f>
        <v>0</v>
      </c>
      <c r="EA37" s="1594">
        <f>IF(YEAR('3 pr-2'!BF37)=2023,DS37,0)</f>
        <v>0</v>
      </c>
      <c r="EB37" s="350"/>
      <c r="EC37" s="538"/>
      <c r="ED37" s="333"/>
      <c r="EE37" s="1605"/>
      <c r="EF37" s="1605"/>
      <c r="EG37" s="1594">
        <f>IF(YEAR('3 pr-2'!BP37)=2017,ED37,0)</f>
        <v>0</v>
      </c>
      <c r="EH37" s="1594">
        <f>IF(YEAR('3 pr-2'!BP37)=2018,ED37,0)</f>
        <v>0</v>
      </c>
      <c r="EI37" s="1594">
        <f>IF(YEAR('3 pr-2'!BP37)=2019,ED37,0)</f>
        <v>0</v>
      </c>
      <c r="EJ37" s="1594">
        <f>IF(YEAR('3 pr-2'!BP37)=2020,ED37,0)</f>
        <v>0</v>
      </c>
      <c r="EK37" s="1594">
        <f>IF(YEAR('3 pr-2'!BP37)=2021,ED37,0)</f>
        <v>0</v>
      </c>
      <c r="EL37" s="1594">
        <f>IF(YEAR('3 pr-2'!BP37)=2022,ED37,0)</f>
        <v>0</v>
      </c>
      <c r="EM37" s="1594">
        <f>IF(YEAR('3 pr-2'!BP37)=2023,ED37,0)</f>
        <v>0</v>
      </c>
    </row>
    <row r="38" spans="1:143" ht="49.5" thickTop="1" thickBot="1" x14ac:dyDescent="0.3">
      <c r="A38" s="345" t="str">
        <f>CONCATENATE('3 pr-2'!A38)</f>
        <v>1.1.1.2.5</v>
      </c>
      <c r="B38" s="345" t="str">
        <f>CONCATENATE('3 pr-2'!B38)</f>
        <v>R01-9908-290000-1125</v>
      </c>
      <c r="C38" s="970" t="str">
        <f>CONCATENATE('ketv. 2'!B37)</f>
        <v>08.2.1-CPVA-R-908-11-0004</v>
      </c>
      <c r="D38" s="125" t="str">
        <f>CONCATENATE('3 pr-2'!D38)</f>
        <v>Viečiūnų viešosios erdvės pritaikymas bendruomenės poreikiams</v>
      </c>
      <c r="E38" s="312" t="str">
        <f>CONCATENATE('3 pr-2'!E38)</f>
        <v xml:space="preserve">Druskininkų savivaldybės administracija  </v>
      </c>
      <c r="F38" s="312" t="str">
        <f>CONCATENATE('3 pr-2'!F38)</f>
        <v>Lietuvos Respublikos vidaus reikalų ministerija</v>
      </c>
      <c r="G38" s="312" t="str">
        <f>CONCATENATE('3 pr-2'!G38)</f>
        <v>Druskininkų sav.</v>
      </c>
      <c r="H38" s="345" t="str">
        <f>CONCATENATE('3 pr-2'!H38)</f>
        <v>8.2.1-CPVA-R-908</v>
      </c>
      <c r="I38" s="345" t="str">
        <f>CONCATENATE('3 pr-2'!I38)</f>
        <v>R</v>
      </c>
      <c r="J38" s="345" t="str">
        <f>CONCATENATE('3 pr-2'!J38)</f>
        <v>-</v>
      </c>
      <c r="K38" s="345" t="str">
        <f>CONCATENATE('3 pr-2'!K38)</f>
        <v>-</v>
      </c>
      <c r="L38" s="345" t="s">
        <v>387</v>
      </c>
      <c r="M38" s="537" t="s">
        <v>846</v>
      </c>
      <c r="N38" s="345"/>
      <c r="O38" s="345"/>
      <c r="P38" s="345"/>
      <c r="Q38" s="345"/>
      <c r="R38" s="345"/>
      <c r="S38" s="345"/>
      <c r="T38" s="345"/>
      <c r="U38" s="893">
        <f t="shared" si="69"/>
        <v>0</v>
      </c>
      <c r="V38" s="1774">
        <v>23286</v>
      </c>
      <c r="W38" s="1775">
        <v>23286</v>
      </c>
      <c r="X38" s="1624">
        <f>SUM(W38-V38)</f>
        <v>0</v>
      </c>
      <c r="Y38" s="1579">
        <f>IF(YEAR('3 pr-2'!$AK38)=2017,$V38,0)</f>
        <v>0</v>
      </c>
      <c r="Z38" s="1579">
        <f>IF(YEAR('3 pr-2'!$AK38)=2018,$V38,0)</f>
        <v>0</v>
      </c>
      <c r="AA38" s="1579">
        <f>IF(YEAR('3 pr-2'!$AK38)=2019,$V38,0)</f>
        <v>23286</v>
      </c>
      <c r="AB38" s="1579">
        <f>IF(YEAR('3 pr-2'!$AK38)=2020,$V38,0)</f>
        <v>0</v>
      </c>
      <c r="AC38" s="1579">
        <f>IF(YEAR('3 pr-2'!$AK38)=2021,$V38,0)</f>
        <v>0</v>
      </c>
      <c r="AD38" s="1579">
        <f>IF(YEAR('3 pr-2'!$AK38)=2022,$V38,0)</f>
        <v>0</v>
      </c>
      <c r="AE38" s="1579">
        <f>IF(YEAR('3 pr-2'!$AK38)=2023,$V38,0)</f>
        <v>0</v>
      </c>
      <c r="AF38" s="350"/>
      <c r="AG38" s="537"/>
      <c r="AH38" s="345"/>
      <c r="AI38" s="345"/>
      <c r="AJ38" s="345"/>
      <c r="AK38" s="345"/>
      <c r="AL38" s="345"/>
      <c r="AM38" s="345"/>
      <c r="AN38" s="345"/>
      <c r="AO38" s="895"/>
      <c r="AP38" s="345"/>
      <c r="AQ38" s="1597"/>
      <c r="AR38" s="1579"/>
      <c r="AS38" s="1579">
        <f>IF(YEAR('3 pr-2'!$AK38)=2017,$AP38,0)</f>
        <v>0</v>
      </c>
      <c r="AT38" s="1579">
        <f>IF(YEAR('3 pr-2'!$AK38)=2018,$AP38,0)</f>
        <v>0</v>
      </c>
      <c r="AU38" s="1579">
        <f>IF(YEAR('3 pr-2'!$AK38)=2019,$AP38,0)</f>
        <v>0</v>
      </c>
      <c r="AV38" s="1579">
        <f>IF(YEAR('3 pr-2'!$AK38)=2020,$AP38,0)</f>
        <v>0</v>
      </c>
      <c r="AW38" s="1579">
        <f>IF(YEAR('3 pr-2'!$AK38)=2021,$AP38,0)</f>
        <v>0</v>
      </c>
      <c r="AX38" s="1579">
        <f>IF(YEAR('3 pr-2'!$AK38)=2022,$AP38,0)</f>
        <v>0</v>
      </c>
      <c r="AY38" s="1579">
        <f>IF(YEAR('3 pr-2'!$AK38)=2023,$AP38,0)</f>
        <v>0</v>
      </c>
      <c r="AZ38" s="345"/>
      <c r="BA38" s="536"/>
      <c r="BB38" s="345"/>
      <c r="BC38" s="345"/>
      <c r="BD38" s="345"/>
      <c r="BE38" s="345"/>
      <c r="BF38" s="345"/>
      <c r="BG38" s="345"/>
      <c r="BH38" s="345"/>
      <c r="BI38" s="895">
        <f t="shared" si="55"/>
        <v>0</v>
      </c>
      <c r="BJ38" s="345"/>
      <c r="BK38" s="1597"/>
      <c r="BL38" s="1579"/>
      <c r="BM38" s="1579">
        <f>IF(YEAR('3 pr-2'!AK38)=2017,BJ38,0)</f>
        <v>0</v>
      </c>
      <c r="BN38" s="1579">
        <f>IF(YEAR('3 pr-2'!AK38)=2018,BJ38,0)</f>
        <v>0</v>
      </c>
      <c r="BO38" s="1579">
        <f>IF(YEAR('3 pr-2'!AK38)=2019,BJ38,0)</f>
        <v>0</v>
      </c>
      <c r="BP38" s="1579">
        <f>IF(YEAR('3 pr-2'!AK38)=2020,BJ38,0)</f>
        <v>0</v>
      </c>
      <c r="BQ38" s="1579">
        <f>IF(YEAR('3 pr-2'!AK38)=2021,BJ38,0)</f>
        <v>0</v>
      </c>
      <c r="BR38" s="1579">
        <f>IF(YEAR('3 pr-2'!AK38)=2022,BJ38,0)</f>
        <v>0</v>
      </c>
      <c r="BS38" s="1579">
        <f>IF(YEAR('3 pr-2'!AK38)=2023,BJ38,0)</f>
        <v>0</v>
      </c>
      <c r="BT38" s="350"/>
      <c r="BU38" s="537"/>
      <c r="BV38" s="345"/>
      <c r="BW38" s="345"/>
      <c r="BX38" s="345"/>
      <c r="BY38" s="345"/>
      <c r="BZ38" s="345"/>
      <c r="CA38" s="345"/>
      <c r="CB38" s="345"/>
      <c r="CC38" s="895">
        <f t="shared" si="35"/>
        <v>0</v>
      </c>
      <c r="CD38" s="345"/>
      <c r="CE38" s="1579"/>
      <c r="CF38" s="1579"/>
      <c r="CG38" s="1579">
        <f>IF(YEAR('3 pr-2'!$AK38)=2017,$CD38,0)</f>
        <v>0</v>
      </c>
      <c r="CH38" s="1579">
        <f>IF(YEAR('3 pr-2'!$AK38)=2018,$CD38,0)</f>
        <v>0</v>
      </c>
      <c r="CI38" s="1579">
        <f>IF(YEAR('3 pr-2'!$AK38)=2019,$CD38,0)</f>
        <v>0</v>
      </c>
      <c r="CJ38" s="1579">
        <f>IF(YEAR('3 pr-2'!$AK38)=2020,$CD38,0)</f>
        <v>0</v>
      </c>
      <c r="CK38" s="1579">
        <f>IF(YEAR('3 pr-2'!$AK38)=2021,$CD38,0)</f>
        <v>0</v>
      </c>
      <c r="CL38" s="1579">
        <f>IF(YEAR('3 pr-2'!$AK38)=2022,$CD38,0)</f>
        <v>0</v>
      </c>
      <c r="CM38" s="1579">
        <f>IF(YEAR('3 pr-2'!$AK38)=2023,$CD38,0)</f>
        <v>0</v>
      </c>
      <c r="CN38" s="350"/>
      <c r="CO38" s="538"/>
      <c r="CP38" s="351"/>
      <c r="CQ38" s="345"/>
      <c r="CR38" s="345"/>
      <c r="CS38" s="345"/>
      <c r="CT38" s="345"/>
      <c r="CU38" s="345"/>
      <c r="CV38" s="345"/>
      <c r="CW38" s="895">
        <f t="shared" si="36"/>
        <v>0</v>
      </c>
      <c r="CX38" s="351"/>
      <c r="CY38" s="1605"/>
      <c r="CZ38" s="1605"/>
      <c r="DA38" s="1594">
        <f>IF(YEAR('3 pr-2'!AK38)=2017,CX38,0)</f>
        <v>0</v>
      </c>
      <c r="DB38" s="1594">
        <f>IF(YEAR('3 pr-2'!AK38)=2018,CX38,0)</f>
        <v>0</v>
      </c>
      <c r="DC38" s="1594">
        <f>IF(YEAR('3 pr-2'!AK38)=2019,CX38,0)</f>
        <v>0</v>
      </c>
      <c r="DD38" s="1594">
        <f>IF(YEAR('3 pr-2'!AK38)=2020,CX38,0)</f>
        <v>0</v>
      </c>
      <c r="DE38" s="1594">
        <f>IF(YEAR('3 pr-2'!AK38)=2021,CX38,0)</f>
        <v>0</v>
      </c>
      <c r="DF38" s="1594">
        <f>IF(YEAR('3 pr-2'!AK38)=2022,CX38,0)</f>
        <v>0</v>
      </c>
      <c r="DG38" s="1594">
        <f>IF(YEAR('3 pr-2'!AK38)=2023,CX38,0)</f>
        <v>0</v>
      </c>
      <c r="DH38" s="350"/>
      <c r="DI38" s="538"/>
      <c r="DJ38" s="351"/>
      <c r="DK38" s="345"/>
      <c r="DL38" s="345"/>
      <c r="DM38" s="345"/>
      <c r="DN38" s="345"/>
      <c r="DO38" s="345"/>
      <c r="DP38" s="345"/>
      <c r="DQ38" s="895">
        <f t="shared" si="37"/>
        <v>0</v>
      </c>
      <c r="DR38" s="351"/>
      <c r="DS38" s="1605"/>
      <c r="DT38" s="1605"/>
      <c r="DU38" s="1594">
        <f>IF(YEAR('3 pr-2'!BF38)=2017,DS38,0)</f>
        <v>0</v>
      </c>
      <c r="DV38" s="1594">
        <f>IF(YEAR('3 pr-2'!BF38)=2018,DS38,0)</f>
        <v>0</v>
      </c>
      <c r="DW38" s="1594">
        <f>IF(YEAR('3 pr-2'!BF38)=2019,DS38,0)</f>
        <v>0</v>
      </c>
      <c r="DX38" s="1594">
        <f>IF(YEAR('3 pr-2'!BF38)=2020,DS38,0)</f>
        <v>0</v>
      </c>
      <c r="DY38" s="1594">
        <f>IF(YEAR('3 pr-2'!BF38)=2021,DS38,0)</f>
        <v>0</v>
      </c>
      <c r="DZ38" s="1594">
        <f>IF(YEAR('3 pr-2'!BF38)=2022,DS38,0)</f>
        <v>0</v>
      </c>
      <c r="EA38" s="1594">
        <f>IF(YEAR('3 pr-2'!BF38)=2023,DS38,0)</f>
        <v>0</v>
      </c>
      <c r="EB38" s="350"/>
      <c r="EC38" s="538"/>
      <c r="ED38" s="333"/>
      <c r="EE38" s="1605"/>
      <c r="EF38" s="1605"/>
      <c r="EG38" s="1594">
        <f>IF(YEAR('3 pr-2'!BP38)=2017,ED38,0)</f>
        <v>0</v>
      </c>
      <c r="EH38" s="1594">
        <f>IF(YEAR('3 pr-2'!BP38)=2018,ED38,0)</f>
        <v>0</v>
      </c>
      <c r="EI38" s="1594">
        <f>IF(YEAR('3 pr-2'!BP38)=2019,ED38,0)</f>
        <v>0</v>
      </c>
      <c r="EJ38" s="1594">
        <f>IF(YEAR('3 pr-2'!BP38)=2020,ED38,0)</f>
        <v>0</v>
      </c>
      <c r="EK38" s="1594">
        <f>IF(YEAR('3 pr-2'!BP38)=2021,ED38,0)</f>
        <v>0</v>
      </c>
      <c r="EL38" s="1594">
        <f>IF(YEAR('3 pr-2'!BP38)=2022,ED38,0)</f>
        <v>0</v>
      </c>
      <c r="EM38" s="1594">
        <f>IF(YEAR('3 pr-2'!BP38)=2023,ED38,0)</f>
        <v>0</v>
      </c>
    </row>
    <row r="39" spans="1:143" ht="29.25" customHeight="1" thickBot="1" x14ac:dyDescent="0.3">
      <c r="A39" s="824" t="str">
        <f>CONCATENATE('3 pr-2'!A39)</f>
        <v>1.1.1.3</v>
      </c>
      <c r="B39" s="1926" t="str">
        <f>CONCATENATE('3 pr-2'!B39)</f>
        <v>Priemonė:
Varėnos miesto kompleksinė plėtra</v>
      </c>
      <c r="C39" s="1927"/>
      <c r="D39" s="1927"/>
      <c r="E39" s="1927"/>
      <c r="F39" s="1927"/>
      <c r="G39" s="1927"/>
      <c r="H39" s="1927"/>
      <c r="I39" s="1927"/>
      <c r="J39" s="1927"/>
      <c r="K39" s="1928"/>
      <c r="L39" s="1312"/>
      <c r="M39" s="540"/>
      <c r="N39" s="334">
        <f>SUM(N40:N44)</f>
        <v>0</v>
      </c>
      <c r="O39" s="334">
        <f t="shared" ref="O39:T39" si="70">SUM(O40:O44)</f>
        <v>0</v>
      </c>
      <c r="P39" s="334">
        <f t="shared" si="70"/>
        <v>0</v>
      </c>
      <c r="Q39" s="334">
        <f t="shared" si="70"/>
        <v>0</v>
      </c>
      <c r="R39" s="334">
        <f t="shared" si="70"/>
        <v>0</v>
      </c>
      <c r="S39" s="334">
        <f t="shared" si="70"/>
        <v>0</v>
      </c>
      <c r="T39" s="334">
        <f t="shared" si="70"/>
        <v>0</v>
      </c>
      <c r="U39" s="887">
        <f t="shared" si="39"/>
        <v>0</v>
      </c>
      <c r="V39" s="1323"/>
      <c r="W39" s="1575"/>
      <c r="X39" s="1576"/>
      <c r="Y39" s="1577">
        <f t="shared" ref="Y39:AE39" si="71">SUM(Y40:Y45)</f>
        <v>0</v>
      </c>
      <c r="Z39" s="1577">
        <f t="shared" si="71"/>
        <v>19605</v>
      </c>
      <c r="AA39" s="1577">
        <f t="shared" si="71"/>
        <v>62250</v>
      </c>
      <c r="AB39" s="1577">
        <f t="shared" si="71"/>
        <v>134270.41</v>
      </c>
      <c r="AC39" s="1577">
        <f t="shared" si="71"/>
        <v>0</v>
      </c>
      <c r="AD39" s="1577">
        <f t="shared" si="71"/>
        <v>0</v>
      </c>
      <c r="AE39" s="1577">
        <f t="shared" si="71"/>
        <v>0</v>
      </c>
      <c r="AF39" s="878"/>
      <c r="AG39" s="889"/>
      <c r="AH39" s="334"/>
      <c r="AI39" s="334"/>
      <c r="AJ39" s="334"/>
      <c r="AK39" s="334"/>
      <c r="AL39" s="334"/>
      <c r="AM39" s="334"/>
      <c r="AN39" s="334"/>
      <c r="AO39" s="864">
        <v>0</v>
      </c>
      <c r="AP39" s="864"/>
      <c r="AQ39" s="1577"/>
      <c r="AR39" s="1577"/>
      <c r="AS39" s="1577">
        <f t="shared" ref="AS39:AY39" si="72">SUM(AS40:AS45)</f>
        <v>0</v>
      </c>
      <c r="AT39" s="1577">
        <f t="shared" si="72"/>
        <v>0</v>
      </c>
      <c r="AU39" s="1577">
        <f t="shared" si="72"/>
        <v>34.56</v>
      </c>
      <c r="AV39" s="1577">
        <f t="shared" si="72"/>
        <v>0</v>
      </c>
      <c r="AW39" s="1577">
        <f t="shared" si="72"/>
        <v>0</v>
      </c>
      <c r="AX39" s="1577">
        <f t="shared" si="72"/>
        <v>0</v>
      </c>
      <c r="AY39" s="1577">
        <f t="shared" si="72"/>
        <v>0</v>
      </c>
      <c r="AZ39" s="864"/>
      <c r="BA39" s="889"/>
      <c r="BB39" s="334">
        <f>SUM(BB40:BB44)</f>
        <v>0</v>
      </c>
      <c r="BC39" s="334">
        <f t="shared" ref="BC39" si="73">SUM(BC40:BC44)</f>
        <v>0</v>
      </c>
      <c r="BD39" s="334">
        <f t="shared" ref="BD39" si="74">SUM(BD40:BD44)</f>
        <v>0</v>
      </c>
      <c r="BE39" s="334">
        <f t="shared" ref="BE39" si="75">SUM(BE40:BE44)</f>
        <v>0</v>
      </c>
      <c r="BF39" s="334">
        <f t="shared" ref="BF39" si="76">SUM(BF40:BF44)</f>
        <v>0</v>
      </c>
      <c r="BG39" s="334">
        <f t="shared" ref="BG39" si="77">SUM(BG40:BG44)</f>
        <v>0</v>
      </c>
      <c r="BH39" s="334">
        <f t="shared" ref="BH39" si="78">SUM(BH40:BH44)</f>
        <v>0</v>
      </c>
      <c r="BI39" s="864">
        <f t="shared" si="55"/>
        <v>0</v>
      </c>
      <c r="BJ39" s="864"/>
      <c r="BK39" s="1577"/>
      <c r="BL39" s="1577"/>
      <c r="BM39" s="1577"/>
      <c r="BN39" s="1577"/>
      <c r="BO39" s="1577"/>
      <c r="BP39" s="1577"/>
      <c r="BQ39" s="1577"/>
      <c r="BR39" s="1577"/>
      <c r="BS39" s="1577"/>
      <c r="BT39" s="334"/>
      <c r="BU39" s="538"/>
      <c r="BV39" s="334">
        <f>SUM(BV40:BV44)</f>
        <v>0</v>
      </c>
      <c r="BW39" s="334">
        <f t="shared" ref="BW39" si="79">SUM(BW40:BW44)</f>
        <v>0</v>
      </c>
      <c r="BX39" s="334">
        <f t="shared" ref="BX39" si="80">SUM(BX40:BX44)</f>
        <v>0</v>
      </c>
      <c r="BY39" s="334">
        <f t="shared" ref="BY39" si="81">SUM(BY40:BY44)</f>
        <v>0</v>
      </c>
      <c r="BZ39" s="334">
        <f t="shared" ref="BZ39" si="82">SUM(BZ40:BZ44)</f>
        <v>0</v>
      </c>
      <c r="CA39" s="334">
        <f t="shared" ref="CA39" si="83">SUM(CA40:CA44)</f>
        <v>0</v>
      </c>
      <c r="CB39" s="334">
        <f t="shared" ref="CB39" si="84">SUM(CB40:CB44)</f>
        <v>0</v>
      </c>
      <c r="CC39" s="864">
        <f t="shared" si="35"/>
        <v>0</v>
      </c>
      <c r="CD39" s="334"/>
      <c r="CE39" s="1577"/>
      <c r="CF39" s="1577"/>
      <c r="CG39" s="1577"/>
      <c r="CH39" s="1577"/>
      <c r="CI39" s="1577"/>
      <c r="CJ39" s="1577"/>
      <c r="CK39" s="1577"/>
      <c r="CL39" s="1577"/>
      <c r="CM39" s="1577"/>
      <c r="CN39" s="887"/>
      <c r="CO39" s="538"/>
      <c r="CP39" s="852">
        <f>SUM(CP40:CP44)</f>
        <v>0</v>
      </c>
      <c r="CQ39" s="334">
        <f t="shared" ref="CQ39" si="85">SUM(CQ40:CQ44)</f>
        <v>0</v>
      </c>
      <c r="CR39" s="334">
        <f t="shared" ref="CR39" si="86">SUM(CR40:CR44)</f>
        <v>0</v>
      </c>
      <c r="CS39" s="334">
        <f t="shared" ref="CS39" si="87">SUM(CS40:CS44)</f>
        <v>0</v>
      </c>
      <c r="CT39" s="334">
        <f t="shared" ref="CT39" si="88">SUM(CT40:CT44)</f>
        <v>0</v>
      </c>
      <c r="CU39" s="334">
        <f t="shared" ref="CU39" si="89">SUM(CU40:CU44)</f>
        <v>0</v>
      </c>
      <c r="CV39" s="334">
        <f t="shared" ref="CV39" si="90">SUM(CV40:CV44)</f>
        <v>0</v>
      </c>
      <c r="CW39" s="864">
        <f t="shared" si="36"/>
        <v>0</v>
      </c>
      <c r="CX39" s="334"/>
      <c r="CY39" s="1594"/>
      <c r="CZ39" s="1594"/>
      <c r="DA39" s="1594"/>
      <c r="DB39" s="1594"/>
      <c r="DC39" s="1594"/>
      <c r="DD39" s="1594"/>
      <c r="DE39" s="1594"/>
      <c r="DF39" s="1594"/>
      <c r="DG39" s="1594"/>
      <c r="DH39" s="887"/>
      <c r="DI39" s="538"/>
      <c r="DJ39" s="852">
        <f>SUM(DJ40:DJ44)</f>
        <v>0</v>
      </c>
      <c r="DK39" s="334">
        <f t="shared" ref="DK39:DP39" si="91">SUM(DK40:DK44)</f>
        <v>0</v>
      </c>
      <c r="DL39" s="334">
        <f t="shared" si="91"/>
        <v>0</v>
      </c>
      <c r="DM39" s="334">
        <f t="shared" si="91"/>
        <v>0</v>
      </c>
      <c r="DN39" s="334">
        <f t="shared" si="91"/>
        <v>0</v>
      </c>
      <c r="DO39" s="334">
        <f t="shared" si="91"/>
        <v>0</v>
      </c>
      <c r="DP39" s="334">
        <f t="shared" si="91"/>
        <v>0</v>
      </c>
      <c r="DQ39" s="864">
        <f t="shared" si="37"/>
        <v>0</v>
      </c>
      <c r="DR39" s="334"/>
      <c r="DS39" s="1594"/>
      <c r="DT39" s="1594"/>
      <c r="DU39" s="1594"/>
      <c r="DV39" s="1594"/>
      <c r="DW39" s="1594"/>
      <c r="DX39" s="1594"/>
      <c r="DY39" s="1594"/>
      <c r="DZ39" s="1594"/>
      <c r="EA39" s="1594"/>
      <c r="EB39" s="887"/>
      <c r="EC39" s="538"/>
      <c r="ED39" s="890"/>
      <c r="EE39" s="1594"/>
      <c r="EF39" s="1594"/>
      <c r="EG39" s="1594"/>
      <c r="EH39" s="1594"/>
      <c r="EI39" s="1594"/>
      <c r="EJ39" s="1594"/>
      <c r="EK39" s="1594"/>
      <c r="EL39" s="1594"/>
      <c r="EM39" s="1594"/>
    </row>
    <row r="40" spans="1:143" ht="61.5" thickTop="1" thickBot="1" x14ac:dyDescent="0.3">
      <c r="A40" s="345" t="str">
        <f>CONCATENATE('3 pr-2'!A40)</f>
        <v>1.1.1.3.1</v>
      </c>
      <c r="B40" s="345" t="str">
        <f>CONCATENATE('3 pr-2'!B40)</f>
        <v>R01-9905-290000-1131</v>
      </c>
      <c r="C40" s="970" t="str">
        <f>CONCATENATE('ketv. 2'!B39)</f>
        <v>07.1.1-CPVA-R-905-11-0001</v>
      </c>
      <c r="D40" s="125" t="str">
        <f>CONCATENATE('3 pr-2'!D40)</f>
        <v>Varėnos miesto centrinės dalies modernizavimas ir pritaikymas visuomenės poreikiams (I etapas)</v>
      </c>
      <c r="E40" s="312" t="str">
        <f>CONCATENATE('3 pr-2'!E40)</f>
        <v>Varėnos rajono savivaldybės administracija</v>
      </c>
      <c r="F40" s="312" t="str">
        <f>CONCATENATE('3 pr-2'!F40)</f>
        <v>Lietuvos Respublikos vidaus reikalų ministerija</v>
      </c>
      <c r="G40" s="312" t="str">
        <f>CONCATENATE('3 pr-2'!G40)</f>
        <v>Varėnos r. sav.</v>
      </c>
      <c r="H40" s="345" t="str">
        <f>CONCATENATE('3 pr-2'!H40)</f>
        <v xml:space="preserve">07.1.1-CPVA-R-905 </v>
      </c>
      <c r="I40" s="345" t="str">
        <f>CONCATENATE('3 pr-2'!I40)</f>
        <v>R</v>
      </c>
      <c r="J40" s="345" t="str">
        <f>CONCATENATE('3 pr-2'!J40)</f>
        <v>ITI</v>
      </c>
      <c r="K40" s="345" t="str">
        <f>CONCATENATE('3 pr-2'!K40)</f>
        <v>-</v>
      </c>
      <c r="L40" s="345" t="s">
        <v>466</v>
      </c>
      <c r="M40" s="537" t="s">
        <v>464</v>
      </c>
      <c r="N40" s="345"/>
      <c r="O40" s="345"/>
      <c r="P40" s="345"/>
      <c r="Q40" s="345"/>
      <c r="R40" s="345"/>
      <c r="S40" s="345"/>
      <c r="T40" s="345"/>
      <c r="U40" s="893"/>
      <c r="V40" s="1240">
        <v>19605</v>
      </c>
      <c r="W40" s="1601">
        <v>19605</v>
      </c>
      <c r="X40" s="1580">
        <f>SUM(W40-V40)</f>
        <v>0</v>
      </c>
      <c r="Y40" s="1579">
        <f>IF(YEAR('3 pr-2'!$AK40)=2017,$V40,0)</f>
        <v>0</v>
      </c>
      <c r="Z40" s="1579">
        <f>IF(YEAR('3 pr-2'!$AK40)=2018,$V40,0)</f>
        <v>19605</v>
      </c>
      <c r="AA40" s="1579">
        <f>IF(YEAR('3 pr-2'!$AK40)=2019,$V40,0)</f>
        <v>0</v>
      </c>
      <c r="AB40" s="1579">
        <f>IF(YEAR('3 pr-2'!$AK40)=2020,$V40,0)</f>
        <v>0</v>
      </c>
      <c r="AC40" s="1579">
        <f>IF(YEAR('3 pr-2'!$AK40)=2021,$V40,0)</f>
        <v>0</v>
      </c>
      <c r="AD40" s="1579">
        <f>IF(YEAR('3 pr-2'!$AK40)=2022,$V40,0)</f>
        <v>0</v>
      </c>
      <c r="AE40" s="1579">
        <f>IF(YEAR('3 pr-2'!$AK40)=2023,$V40,0)</f>
        <v>0</v>
      </c>
      <c r="AF40" s="350"/>
      <c r="AG40" s="537"/>
      <c r="AH40" s="345"/>
      <c r="AI40" s="345"/>
      <c r="AJ40" s="345"/>
      <c r="AK40" s="345"/>
      <c r="AL40" s="345"/>
      <c r="AM40" s="345"/>
      <c r="AN40" s="345"/>
      <c r="AO40" s="895">
        <f t="shared" ref="AO40:AO45" si="92">SUM(AH40:AN40)</f>
        <v>0</v>
      </c>
      <c r="AP40" s="345"/>
      <c r="AQ40" s="1597"/>
      <c r="AR40" s="1579"/>
      <c r="AS40" s="1579">
        <f>IF(YEAR('3 pr-2'!$AK40)=2017,$AP40,0)</f>
        <v>0</v>
      </c>
      <c r="AT40" s="1579">
        <f>IF(YEAR('3 pr-2'!$AK40)=2018,$AP40,0)</f>
        <v>0</v>
      </c>
      <c r="AU40" s="1579">
        <f>IF(YEAR('3 pr-2'!$AK40)=2019,$AP40,0)</f>
        <v>0</v>
      </c>
      <c r="AV40" s="1579">
        <f>IF(YEAR('3 pr-2'!$AK40)=2020,$AP40,0)</f>
        <v>0</v>
      </c>
      <c r="AW40" s="1579">
        <f>IF(YEAR('3 pr-2'!$AK40)=2021,$AP40,0)</f>
        <v>0</v>
      </c>
      <c r="AX40" s="1579">
        <f>IF(YEAR('3 pr-2'!$AK40)=2022,$AP40,0)</f>
        <v>0</v>
      </c>
      <c r="AY40" s="1579">
        <f>IF(YEAR('3 pr-2'!$AK40)=2023,$AP40,0)</f>
        <v>0</v>
      </c>
      <c r="AZ40" s="345"/>
      <c r="BA40" s="536"/>
      <c r="BB40" s="345"/>
      <c r="BC40" s="345"/>
      <c r="BD40" s="345"/>
      <c r="BE40" s="345"/>
      <c r="BF40" s="345"/>
      <c r="BG40" s="345"/>
      <c r="BH40" s="345"/>
      <c r="BI40" s="895">
        <f t="shared" si="55"/>
        <v>0</v>
      </c>
      <c r="BJ40" s="345"/>
      <c r="BK40" s="1597"/>
      <c r="BL40" s="1579"/>
      <c r="BM40" s="1579">
        <f>IF(YEAR('3 pr-2'!AK40)=2017,BJ40,0)</f>
        <v>0</v>
      </c>
      <c r="BN40" s="1579">
        <f>IF(YEAR('3 pr-2'!AK40)=2018,BJ40,0)</f>
        <v>0</v>
      </c>
      <c r="BO40" s="1579">
        <f>IF(YEAR('3 pr-2'!AK40)=2019,BJ40,0)</f>
        <v>0</v>
      </c>
      <c r="BP40" s="1579">
        <f>IF(YEAR('3 pr-2'!AK40)=2020,BJ40,0)</f>
        <v>0</v>
      </c>
      <c r="BQ40" s="1579">
        <f>IF(YEAR('3 pr-2'!AK40)=2021,BJ40,0)</f>
        <v>0</v>
      </c>
      <c r="BR40" s="1579">
        <f>IF(YEAR('3 pr-2'!AK40)=2022,BJ40,0)</f>
        <v>0</v>
      </c>
      <c r="BS40" s="1579">
        <f>IF(YEAR('3 pr-2'!AK40)=2023,BJ40,0)</f>
        <v>0</v>
      </c>
      <c r="BT40" s="350"/>
      <c r="BU40" s="537"/>
      <c r="BV40" s="345"/>
      <c r="BW40" s="345"/>
      <c r="BX40" s="345"/>
      <c r="BY40" s="345"/>
      <c r="BZ40" s="345"/>
      <c r="CA40" s="345"/>
      <c r="CB40" s="345"/>
      <c r="CC40" s="895">
        <f t="shared" si="35"/>
        <v>0</v>
      </c>
      <c r="CD40" s="345"/>
      <c r="CE40" s="1579"/>
      <c r="CF40" s="1579"/>
      <c r="CG40" s="1579">
        <f>IF(YEAR('3 pr-2'!$AK40)=2017,$CD40,0)</f>
        <v>0</v>
      </c>
      <c r="CH40" s="1579">
        <f>IF(YEAR('3 pr-2'!$AK40)=2018,$CD40,0)</f>
        <v>0</v>
      </c>
      <c r="CI40" s="1579">
        <f>IF(YEAR('3 pr-2'!$AK40)=2019,$CD40,0)</f>
        <v>0</v>
      </c>
      <c r="CJ40" s="1579">
        <f>IF(YEAR('3 pr-2'!$AK40)=2020,$CD40,0)</f>
        <v>0</v>
      </c>
      <c r="CK40" s="1579">
        <f>IF(YEAR('3 pr-2'!$AK40)=2021,$CD40,0)</f>
        <v>0</v>
      </c>
      <c r="CL40" s="1579">
        <f>IF(YEAR('3 pr-2'!$AK40)=2022,$CD40,0)</f>
        <v>0</v>
      </c>
      <c r="CM40" s="1579">
        <f>IF(YEAR('3 pr-2'!$AK40)=2023,$CD40,0)</f>
        <v>0</v>
      </c>
      <c r="CN40" s="350"/>
      <c r="CO40" s="538"/>
      <c r="CP40" s="351"/>
      <c r="CQ40" s="345"/>
      <c r="CR40" s="345"/>
      <c r="CS40" s="345"/>
      <c r="CT40" s="345"/>
      <c r="CU40" s="345"/>
      <c r="CV40" s="345"/>
      <c r="CW40" s="895">
        <f t="shared" si="36"/>
        <v>0</v>
      </c>
      <c r="CX40" s="351"/>
      <c r="CY40" s="1605"/>
      <c r="CZ40" s="1605"/>
      <c r="DA40" s="1594">
        <f>IF(YEAR('3 pr-2'!AK40)=2017,CX40,0)</f>
        <v>0</v>
      </c>
      <c r="DB40" s="1594">
        <f>IF(YEAR('3 pr-2'!AK40)=2018,CX40,0)</f>
        <v>0</v>
      </c>
      <c r="DC40" s="1594">
        <f>IF(YEAR('3 pr-2'!AK40)=2019,CX40,0)</f>
        <v>0</v>
      </c>
      <c r="DD40" s="1594">
        <f>IF(YEAR('3 pr-2'!AK40)=2020,CX40,0)</f>
        <v>0</v>
      </c>
      <c r="DE40" s="1594">
        <f>IF(YEAR('3 pr-2'!AK40)=2021,CX40,0)</f>
        <v>0</v>
      </c>
      <c r="DF40" s="1594">
        <f>IF(YEAR('3 pr-2'!AK40)=2022,CX40,0)</f>
        <v>0</v>
      </c>
      <c r="DG40" s="1594">
        <f>IF(YEAR('3 pr-2'!AK40)=2023,CX40,0)</f>
        <v>0</v>
      </c>
      <c r="DH40" s="350"/>
      <c r="DI40" s="538"/>
      <c r="DJ40" s="351"/>
      <c r="DK40" s="345"/>
      <c r="DL40" s="345"/>
      <c r="DM40" s="345"/>
      <c r="DN40" s="345"/>
      <c r="DO40" s="345"/>
      <c r="DP40" s="345"/>
      <c r="DQ40" s="895">
        <f t="shared" si="37"/>
        <v>0</v>
      </c>
      <c r="DR40" s="351"/>
      <c r="DS40" s="1605"/>
      <c r="DT40" s="1605"/>
      <c r="DU40" s="1594">
        <f>IF(YEAR('3 pr-2'!BF40)=2017,DS40,0)</f>
        <v>0</v>
      </c>
      <c r="DV40" s="1594">
        <f>IF(YEAR('3 pr-2'!BF40)=2018,DS40,0)</f>
        <v>0</v>
      </c>
      <c r="DW40" s="1594">
        <f>IF(YEAR('3 pr-2'!BF40)=2019,DS40,0)</f>
        <v>0</v>
      </c>
      <c r="DX40" s="1594">
        <f>IF(YEAR('3 pr-2'!BF40)=2020,DS40,0)</f>
        <v>0</v>
      </c>
      <c r="DY40" s="1594">
        <f>IF(YEAR('3 pr-2'!BF40)=2021,DS40,0)</f>
        <v>0</v>
      </c>
      <c r="DZ40" s="1594">
        <f>IF(YEAR('3 pr-2'!BF40)=2022,DS40,0)</f>
        <v>0</v>
      </c>
      <c r="EA40" s="1594">
        <f>IF(YEAR('3 pr-2'!BF40)=2023,DS40,0)</f>
        <v>0</v>
      </c>
      <c r="EB40" s="350"/>
      <c r="EC40" s="538"/>
      <c r="ED40" s="333"/>
      <c r="EE40" s="1605"/>
      <c r="EF40" s="1605"/>
      <c r="EG40" s="1594">
        <f>IF(YEAR('3 pr-2'!BP40)=2017,ED40,0)</f>
        <v>0</v>
      </c>
      <c r="EH40" s="1594">
        <f>IF(YEAR('3 pr-2'!BP40)=2018,ED40,0)</f>
        <v>0</v>
      </c>
      <c r="EI40" s="1594">
        <f>IF(YEAR('3 pr-2'!BP40)=2019,ED40,0)</f>
        <v>0</v>
      </c>
      <c r="EJ40" s="1594">
        <f>IF(YEAR('3 pr-2'!BP40)=2020,ED40,0)</f>
        <v>0</v>
      </c>
      <c r="EK40" s="1594">
        <f>IF(YEAR('3 pr-2'!BP40)=2021,ED40,0)</f>
        <v>0</v>
      </c>
      <c r="EL40" s="1594">
        <f>IF(YEAR('3 pr-2'!BP40)=2022,ED40,0)</f>
        <v>0</v>
      </c>
      <c r="EM40" s="1594">
        <f>IF(YEAR('3 pr-2'!BP40)=2023,ED40,0)</f>
        <v>0</v>
      </c>
    </row>
    <row r="41" spans="1:143" ht="61.5" thickTop="1" thickBot="1" x14ac:dyDescent="0.3">
      <c r="A41" s="345" t="str">
        <f>CONCATENATE('3 pr-2'!A41)</f>
        <v>1.1.1.3.2</v>
      </c>
      <c r="B41" s="345" t="str">
        <f>CONCATENATE('3 pr-2'!B41)</f>
        <v>R01-9905-282900-1132</v>
      </c>
      <c r="C41" s="970" t="str">
        <f>CONCATENATE('ketv. 2'!B40)</f>
        <v>07.1.1-CPVA-R-905-11-0002</v>
      </c>
      <c r="D41" s="125" t="str">
        <f>CONCATENATE('3 pr-2'!D41)</f>
        <v>Varėnos miesto centrinės dalies modernizavimas ir pritaikymas visuomenės poreikiams (II etapas)</v>
      </c>
      <c r="E41" s="312" t="str">
        <f>CONCATENATE('3 pr-2'!E41)</f>
        <v>Varėnos rajono savivaldybės administracija</v>
      </c>
      <c r="F41" s="312" t="str">
        <f>CONCATENATE('3 pr-2'!F41)</f>
        <v>Lietuvos Respublikos vidaus reikalų ministerija</v>
      </c>
      <c r="G41" s="312" t="str">
        <f>CONCATENATE('3 pr-2'!G41)</f>
        <v>Varėnos r. sav.</v>
      </c>
      <c r="H41" s="345" t="str">
        <f>CONCATENATE('3 pr-2'!H41)</f>
        <v xml:space="preserve">07.1.1-CPVA-R-905 </v>
      </c>
      <c r="I41" s="345" t="str">
        <f>CONCATENATE('3 pr-2'!I41)</f>
        <v>R</v>
      </c>
      <c r="J41" s="345" t="str">
        <f>CONCATENATE('3 pr-2'!J41)</f>
        <v>ITI</v>
      </c>
      <c r="K41" s="345" t="str">
        <f>CONCATENATE('3 pr-2'!K41)</f>
        <v>-</v>
      </c>
      <c r="L41" s="345" t="s">
        <v>466</v>
      </c>
      <c r="M41" s="537" t="s">
        <v>464</v>
      </c>
      <c r="N41" s="345"/>
      <c r="O41" s="345"/>
      <c r="P41" s="345"/>
      <c r="Q41" s="345"/>
      <c r="R41" s="345"/>
      <c r="S41" s="345"/>
      <c r="T41" s="345"/>
      <c r="U41" s="893"/>
      <c r="V41" s="1240">
        <v>62250</v>
      </c>
      <c r="W41" s="1601">
        <v>62250</v>
      </c>
      <c r="X41" s="1580">
        <f>SUM(W41-V41)</f>
        <v>0</v>
      </c>
      <c r="Y41" s="1579">
        <f>IF(YEAR('3 pr-2'!$AK41)=2017,$V41,0)</f>
        <v>0</v>
      </c>
      <c r="Z41" s="1579">
        <f>IF(YEAR('3 pr-2'!$AK41)=2018,$V41,0)</f>
        <v>0</v>
      </c>
      <c r="AA41" s="1579">
        <f>IF(YEAR('3 pr-2'!$AK41)=2019,$V41,0)</f>
        <v>62250</v>
      </c>
      <c r="AB41" s="1579">
        <f>IF(YEAR('3 pr-2'!$AK41)=2020,$V41,0)</f>
        <v>0</v>
      </c>
      <c r="AC41" s="1579">
        <f>IF(YEAR('3 pr-2'!$AK41)=2021,$V41,0)</f>
        <v>0</v>
      </c>
      <c r="AD41" s="1579">
        <f>IF(YEAR('3 pr-2'!$AK41)=2022,$V41,0)</f>
        <v>0</v>
      </c>
      <c r="AE41" s="1579">
        <f>IF(YEAR('3 pr-2'!$AK41)=2023,$V41,0)</f>
        <v>0</v>
      </c>
      <c r="AF41" s="350" t="s">
        <v>468</v>
      </c>
      <c r="AG41" s="537" t="s">
        <v>469</v>
      </c>
      <c r="AH41" s="345"/>
      <c r="AI41" s="345"/>
      <c r="AJ41" s="345"/>
      <c r="AK41" s="345"/>
      <c r="AL41" s="345"/>
      <c r="AM41" s="345"/>
      <c r="AN41" s="345"/>
      <c r="AO41" s="895">
        <f t="shared" si="92"/>
        <v>0</v>
      </c>
      <c r="AP41" s="345">
        <v>34.56</v>
      </c>
      <c r="AQ41" s="1597">
        <v>34.56</v>
      </c>
      <c r="AR41" s="1579">
        <f>SUM(AQ41-AP41)</f>
        <v>0</v>
      </c>
      <c r="AS41" s="1579">
        <f>IF(YEAR('3 pr-2'!$AK41)=2017,$AP41,0)</f>
        <v>0</v>
      </c>
      <c r="AT41" s="1579">
        <f>IF(YEAR('3 pr-2'!$AK41)=2018,$AP41,0)</f>
        <v>0</v>
      </c>
      <c r="AU41" s="1579">
        <f>IF(YEAR('3 pr-2'!$AK41)=2019,$AP41,0)</f>
        <v>34.56</v>
      </c>
      <c r="AV41" s="1579">
        <f>IF(YEAR('3 pr-2'!$AK41)=2020,$AP41,0)</f>
        <v>0</v>
      </c>
      <c r="AW41" s="1579">
        <f>IF(YEAR('3 pr-2'!$AK41)=2021,$AP41,0)</f>
        <v>0</v>
      </c>
      <c r="AX41" s="1579">
        <f>IF(YEAR('3 pr-2'!$AK41)=2022,$AP41,0)</f>
        <v>0</v>
      </c>
      <c r="AY41" s="1579">
        <f>IF(YEAR('3 pr-2'!$AK41)=2023,$AP41,0)</f>
        <v>0</v>
      </c>
      <c r="AZ41" s="345"/>
      <c r="BA41" s="1173"/>
      <c r="BB41" s="345"/>
      <c r="BC41" s="345"/>
      <c r="BD41" s="345"/>
      <c r="BE41" s="345"/>
      <c r="BF41" s="345"/>
      <c r="BG41" s="345"/>
      <c r="BH41" s="345"/>
      <c r="BI41" s="895">
        <f t="shared" si="55"/>
        <v>0</v>
      </c>
      <c r="BJ41" s="345"/>
      <c r="BK41" s="1597"/>
      <c r="BL41" s="1579"/>
      <c r="BM41" s="1579">
        <f>IF(YEAR('3 pr-2'!AK41)=2017,BJ41,0)</f>
        <v>0</v>
      </c>
      <c r="BN41" s="1579">
        <f>IF(YEAR('3 pr-2'!AK41)=2018,BJ41,0)</f>
        <v>0</v>
      </c>
      <c r="BO41" s="1579">
        <f>IF(YEAR('3 pr-2'!AK41)=2019,BJ41,0)</f>
        <v>0</v>
      </c>
      <c r="BP41" s="1579">
        <f>IF(YEAR('3 pr-2'!AK41)=2020,BJ41,0)</f>
        <v>0</v>
      </c>
      <c r="BQ41" s="1579">
        <f>IF(YEAR('3 pr-2'!AK41)=2021,BJ41,0)</f>
        <v>0</v>
      </c>
      <c r="BR41" s="1579">
        <f>IF(YEAR('3 pr-2'!AK41)=2022,BJ41,0)</f>
        <v>0</v>
      </c>
      <c r="BS41" s="1579">
        <f>IF(YEAR('3 pr-2'!AK41)=2023,BJ41,0)</f>
        <v>0</v>
      </c>
      <c r="BT41" s="350"/>
      <c r="BU41" s="537"/>
      <c r="BV41" s="345"/>
      <c r="BW41" s="345"/>
      <c r="BX41" s="345"/>
      <c r="BY41" s="345"/>
      <c r="BZ41" s="345"/>
      <c r="CA41" s="345"/>
      <c r="CB41" s="345"/>
      <c r="CC41" s="895">
        <f t="shared" si="35"/>
        <v>0</v>
      </c>
      <c r="CD41" s="345"/>
      <c r="CE41" s="1579"/>
      <c r="CF41" s="1579"/>
      <c r="CG41" s="1579">
        <f>IF(YEAR('3 pr-2'!$AK41)=2017,$CD41,0)</f>
        <v>0</v>
      </c>
      <c r="CH41" s="1579">
        <f>IF(YEAR('3 pr-2'!$AK41)=2018,$CD41,0)</f>
        <v>0</v>
      </c>
      <c r="CI41" s="1579">
        <f>IF(YEAR('3 pr-2'!$AK41)=2019,$CD41,0)</f>
        <v>0</v>
      </c>
      <c r="CJ41" s="1579">
        <f>IF(YEAR('3 pr-2'!$AK41)=2020,$CD41,0)</f>
        <v>0</v>
      </c>
      <c r="CK41" s="1579">
        <f>IF(YEAR('3 pr-2'!$AK41)=2021,$CD41,0)</f>
        <v>0</v>
      </c>
      <c r="CL41" s="1579">
        <f>IF(YEAR('3 pr-2'!$AK41)=2022,$CD41,0)</f>
        <v>0</v>
      </c>
      <c r="CM41" s="1579">
        <f>IF(YEAR('3 pr-2'!$AK41)=2023,$CD41,0)</f>
        <v>0</v>
      </c>
      <c r="CN41" s="350"/>
      <c r="CO41" s="538"/>
      <c r="CP41" s="351"/>
      <c r="CQ41" s="345"/>
      <c r="CR41" s="345"/>
      <c r="CS41" s="345"/>
      <c r="CT41" s="345"/>
      <c r="CU41" s="345"/>
      <c r="CV41" s="345"/>
      <c r="CW41" s="895">
        <f t="shared" si="36"/>
        <v>0</v>
      </c>
      <c r="CX41" s="351"/>
      <c r="CY41" s="1605"/>
      <c r="CZ41" s="1605"/>
      <c r="DA41" s="1594">
        <f>IF(YEAR('3 pr-2'!AK41)=2017,CX41,0)</f>
        <v>0</v>
      </c>
      <c r="DB41" s="1594">
        <f>IF(YEAR('3 pr-2'!AK41)=2018,CX41,0)</f>
        <v>0</v>
      </c>
      <c r="DC41" s="1594">
        <f>IF(YEAR('3 pr-2'!AK41)=2019,CX41,0)</f>
        <v>0</v>
      </c>
      <c r="DD41" s="1594">
        <f>IF(YEAR('3 pr-2'!AK41)=2020,CX41,0)</f>
        <v>0</v>
      </c>
      <c r="DE41" s="1594">
        <f>IF(YEAR('3 pr-2'!AK41)=2021,CX41,0)</f>
        <v>0</v>
      </c>
      <c r="DF41" s="1594">
        <f>IF(YEAR('3 pr-2'!AK41)=2022,CX41,0)</f>
        <v>0</v>
      </c>
      <c r="DG41" s="1594">
        <f>IF(YEAR('3 pr-2'!AK41)=2023,CX41,0)</f>
        <v>0</v>
      </c>
      <c r="DH41" s="350"/>
      <c r="DI41" s="538"/>
      <c r="DJ41" s="351"/>
      <c r="DK41" s="345"/>
      <c r="DL41" s="345"/>
      <c r="DM41" s="345"/>
      <c r="DN41" s="345"/>
      <c r="DO41" s="345"/>
      <c r="DP41" s="345"/>
      <c r="DQ41" s="895">
        <f t="shared" si="37"/>
        <v>0</v>
      </c>
      <c r="DR41" s="351"/>
      <c r="DS41" s="1605"/>
      <c r="DT41" s="1605"/>
      <c r="DU41" s="1594">
        <f>IF(YEAR('3 pr-2'!BF41)=2017,DS41,0)</f>
        <v>0</v>
      </c>
      <c r="DV41" s="1594">
        <f>IF(YEAR('3 pr-2'!BF41)=2018,DS41,0)</f>
        <v>0</v>
      </c>
      <c r="DW41" s="1594">
        <f>IF(YEAR('3 pr-2'!BF41)=2019,DS41,0)</f>
        <v>0</v>
      </c>
      <c r="DX41" s="1594">
        <f>IF(YEAR('3 pr-2'!BF41)=2020,DS41,0)</f>
        <v>0</v>
      </c>
      <c r="DY41" s="1594">
        <f>IF(YEAR('3 pr-2'!BF41)=2021,DS41,0)</f>
        <v>0</v>
      </c>
      <c r="DZ41" s="1594">
        <f>IF(YEAR('3 pr-2'!BF41)=2022,DS41,0)</f>
        <v>0</v>
      </c>
      <c r="EA41" s="1594">
        <f>IF(YEAR('3 pr-2'!BF41)=2023,DS41,0)</f>
        <v>0</v>
      </c>
      <c r="EB41" s="350"/>
      <c r="EC41" s="538"/>
      <c r="ED41" s="333"/>
      <c r="EE41" s="1605"/>
      <c r="EF41" s="1605"/>
      <c r="EG41" s="1594">
        <f>IF(YEAR('3 pr-2'!BP41)=2017,ED41,0)</f>
        <v>0</v>
      </c>
      <c r="EH41" s="1594">
        <f>IF(YEAR('3 pr-2'!BP41)=2018,ED41,0)</f>
        <v>0</v>
      </c>
      <c r="EI41" s="1594">
        <f>IF(YEAR('3 pr-2'!BP41)=2019,ED41,0)</f>
        <v>0</v>
      </c>
      <c r="EJ41" s="1594">
        <f>IF(YEAR('3 pr-2'!BP41)=2020,ED41,0)</f>
        <v>0</v>
      </c>
      <c r="EK41" s="1594">
        <f>IF(YEAR('3 pr-2'!BP41)=2021,ED41,0)</f>
        <v>0</v>
      </c>
      <c r="EL41" s="1594">
        <f>IF(YEAR('3 pr-2'!BP41)=2022,ED41,0)</f>
        <v>0</v>
      </c>
      <c r="EM41" s="1594">
        <f>IF(YEAR('3 pr-2'!BP41)=2023,ED41,0)</f>
        <v>0</v>
      </c>
    </row>
    <row r="42" spans="1:143" ht="61.5" thickTop="1" thickBot="1" x14ac:dyDescent="0.3">
      <c r="A42" s="345" t="str">
        <f>CONCATENATE('3 pr-2'!A42)</f>
        <v>1.1.1.3.3</v>
      </c>
      <c r="B42" s="345" t="str">
        <f>CONCATENATE('3 pr-2'!B42)</f>
        <v>R01-9905-292800-1133</v>
      </c>
      <c r="C42" s="970" t="str">
        <f>CONCATENATE('ketv. 2'!B41)</f>
        <v>07.1.1-CPVA-R-905-11-0004</v>
      </c>
      <c r="D42" s="125" t="str">
        <f>CONCATENATE('3 pr-2'!D42)</f>
        <v xml:space="preserve">Varėnos miesto Dainų slėnio infrastruktūros atnaujinimas ir pritaikymas visuomenės poreikiams </v>
      </c>
      <c r="E42" s="312" t="str">
        <f>CONCATENATE('3 pr-2'!E42)</f>
        <v>Varėnos rajono savivaldybės administracija</v>
      </c>
      <c r="F42" s="312" t="str">
        <f>CONCATENATE('3 pr-2'!F42)</f>
        <v>Lietuvos Respublikos vidaus reikalų ministerija</v>
      </c>
      <c r="G42" s="312" t="str">
        <f>CONCATENATE('3 pr-2'!G42)</f>
        <v>Varėnos r. sav.</v>
      </c>
      <c r="H42" s="345" t="str">
        <f>CONCATENATE('3 pr-2'!H42)</f>
        <v xml:space="preserve">07.1.1-CPVA-R-905 </v>
      </c>
      <c r="I42" s="345" t="str">
        <f>CONCATENATE('3 pr-2'!I42)</f>
        <v>R</v>
      </c>
      <c r="J42" s="345" t="str">
        <f>CONCATENATE('3 pr-2'!J42)</f>
        <v>ITI</v>
      </c>
      <c r="K42" s="345" t="str">
        <f>CONCATENATE('3 pr-2'!K42)</f>
        <v>-</v>
      </c>
      <c r="L42" s="345" t="s">
        <v>466</v>
      </c>
      <c r="M42" s="537" t="s">
        <v>465</v>
      </c>
      <c r="N42" s="345"/>
      <c r="O42" s="345"/>
      <c r="P42" s="345"/>
      <c r="Q42" s="345"/>
      <c r="R42" s="345"/>
      <c r="S42" s="345"/>
      <c r="T42" s="345"/>
      <c r="U42" s="893"/>
      <c r="V42" s="1240">
        <v>5063</v>
      </c>
      <c r="W42" s="1602">
        <v>12381</v>
      </c>
      <c r="X42" s="1603">
        <f>SUM(W42-V42)</f>
        <v>7318</v>
      </c>
      <c r="Y42" s="1579">
        <f>IF(YEAR('3 pr-2'!$AK42)=2017,$V42,0)</f>
        <v>0</v>
      </c>
      <c r="Z42" s="1579">
        <f>IF(YEAR('3 pr-2'!$AK42)=2018,$V42,0)</f>
        <v>0</v>
      </c>
      <c r="AA42" s="1579">
        <f>IF(YEAR('3 pr-2'!$AK42)=2019,$V42,0)</f>
        <v>0</v>
      </c>
      <c r="AB42" s="1579">
        <f>IF(YEAR('3 pr-2'!$AK42)=2020,$V42,0)</f>
        <v>5063</v>
      </c>
      <c r="AC42" s="1579">
        <f>IF(YEAR('3 pr-2'!$AK42)=2021,$V42,0)</f>
        <v>0</v>
      </c>
      <c r="AD42" s="1579">
        <f>IF(YEAR('3 pr-2'!$AK42)=2022,$V42,0)</f>
        <v>0</v>
      </c>
      <c r="AE42" s="1579">
        <f>IF(YEAR('3 pr-2'!$AK42)=2023,$V42,0)</f>
        <v>0</v>
      </c>
      <c r="AF42" s="350"/>
      <c r="AG42" s="537"/>
      <c r="AH42" s="345"/>
      <c r="AI42" s="345"/>
      <c r="AJ42" s="345"/>
      <c r="AK42" s="345"/>
      <c r="AL42" s="345"/>
      <c r="AM42" s="345"/>
      <c r="AN42" s="345"/>
      <c r="AO42" s="895">
        <f t="shared" si="92"/>
        <v>0</v>
      </c>
      <c r="AP42" s="345"/>
      <c r="AQ42" s="1597"/>
      <c r="AR42" s="1579"/>
      <c r="AS42" s="1579">
        <f>IF(YEAR('3 pr-2'!$AK42)=2017,$AP42,0)</f>
        <v>0</v>
      </c>
      <c r="AT42" s="1579">
        <f>IF(YEAR('3 pr-2'!$AK42)=2018,$AP42,0)</f>
        <v>0</v>
      </c>
      <c r="AU42" s="1579">
        <f>IF(YEAR('3 pr-2'!$AK42)=2019,$AP42,0)</f>
        <v>0</v>
      </c>
      <c r="AV42" s="1579">
        <f>IF(YEAR('3 pr-2'!$AK42)=2020,$AP42,0)</f>
        <v>0</v>
      </c>
      <c r="AW42" s="1579">
        <f>IF(YEAR('3 pr-2'!$AK42)=2021,$AP42,0)</f>
        <v>0</v>
      </c>
      <c r="AX42" s="1579">
        <f>IF(YEAR('3 pr-2'!$AK42)=2022,$AP42,0)</f>
        <v>0</v>
      </c>
      <c r="AY42" s="1579">
        <f>IF(YEAR('3 pr-2'!$AK42)=2023,$AP42,0)</f>
        <v>0</v>
      </c>
      <c r="AZ42" s="345"/>
      <c r="BA42" s="536"/>
      <c r="BB42" s="345"/>
      <c r="BC42" s="345"/>
      <c r="BD42" s="345"/>
      <c r="BE42" s="345"/>
      <c r="BF42" s="345"/>
      <c r="BG42" s="345"/>
      <c r="BH42" s="345"/>
      <c r="BI42" s="895">
        <f t="shared" si="55"/>
        <v>0</v>
      </c>
      <c r="BJ42" s="345"/>
      <c r="BK42" s="1597"/>
      <c r="BL42" s="1579"/>
      <c r="BM42" s="1579">
        <f>IF(YEAR('3 pr-2'!AK42)=2017,BJ42,0)</f>
        <v>0</v>
      </c>
      <c r="BN42" s="1579">
        <f>IF(YEAR('3 pr-2'!AK42)=2018,BJ42,0)</f>
        <v>0</v>
      </c>
      <c r="BO42" s="1579">
        <f>IF(YEAR('3 pr-2'!AK42)=2019,BJ42,0)</f>
        <v>0</v>
      </c>
      <c r="BP42" s="1579">
        <f>IF(YEAR('3 pr-2'!AK42)=2020,BJ42,0)</f>
        <v>0</v>
      </c>
      <c r="BQ42" s="1579">
        <f>IF(YEAR('3 pr-2'!AK42)=2021,BJ42,0)</f>
        <v>0</v>
      </c>
      <c r="BR42" s="1579">
        <f>IF(YEAR('3 pr-2'!AK42)=2022,BJ42,0)</f>
        <v>0</v>
      </c>
      <c r="BS42" s="1579">
        <f>IF(YEAR('3 pr-2'!AK42)=2023,BJ42,0)</f>
        <v>0</v>
      </c>
      <c r="BT42" s="350"/>
      <c r="BU42" s="537"/>
      <c r="BV42" s="345"/>
      <c r="BW42" s="345"/>
      <c r="BX42" s="345"/>
      <c r="BY42" s="345"/>
      <c r="BZ42" s="345"/>
      <c r="CA42" s="345"/>
      <c r="CB42" s="345"/>
      <c r="CC42" s="895">
        <f t="shared" si="35"/>
        <v>0</v>
      </c>
      <c r="CD42" s="345"/>
      <c r="CE42" s="1579"/>
      <c r="CF42" s="1579"/>
      <c r="CG42" s="1579">
        <f>IF(YEAR('3 pr-2'!$AK42)=2017,$CD42,0)</f>
        <v>0</v>
      </c>
      <c r="CH42" s="1579">
        <f>IF(YEAR('3 pr-2'!$AK42)=2018,$CD42,0)</f>
        <v>0</v>
      </c>
      <c r="CI42" s="1579">
        <f>IF(YEAR('3 pr-2'!$AK42)=2019,$CD42,0)</f>
        <v>0</v>
      </c>
      <c r="CJ42" s="1579">
        <f>IF(YEAR('3 pr-2'!$AK42)=2020,$CD42,0)</f>
        <v>0</v>
      </c>
      <c r="CK42" s="1579">
        <f>IF(YEAR('3 pr-2'!$AK42)=2021,$CD42,0)</f>
        <v>0</v>
      </c>
      <c r="CL42" s="1579">
        <f>IF(YEAR('3 pr-2'!$AK42)=2022,$CD42,0)</f>
        <v>0</v>
      </c>
      <c r="CM42" s="1579">
        <f>IF(YEAR('3 pr-2'!$AK42)=2023,$CD42,0)</f>
        <v>0</v>
      </c>
      <c r="CN42" s="350"/>
      <c r="CO42" s="538"/>
      <c r="CP42" s="351"/>
      <c r="CQ42" s="345"/>
      <c r="CR42" s="345"/>
      <c r="CS42" s="345"/>
      <c r="CT42" s="345"/>
      <c r="CU42" s="345"/>
      <c r="CV42" s="345"/>
      <c r="CW42" s="895">
        <f t="shared" si="36"/>
        <v>0</v>
      </c>
      <c r="CX42" s="351"/>
      <c r="CY42" s="1605"/>
      <c r="CZ42" s="1605"/>
      <c r="DA42" s="1594">
        <f>IF(YEAR('3 pr-2'!AK42)=2017,CX42,0)</f>
        <v>0</v>
      </c>
      <c r="DB42" s="1594">
        <f>IF(YEAR('3 pr-2'!AK42)=2018,CX42,0)</f>
        <v>0</v>
      </c>
      <c r="DC42" s="1594">
        <f>IF(YEAR('3 pr-2'!AK42)=2019,CX42,0)</f>
        <v>0</v>
      </c>
      <c r="DD42" s="1594">
        <f>IF(YEAR('3 pr-2'!AK42)=2020,CX42,0)</f>
        <v>0</v>
      </c>
      <c r="DE42" s="1594">
        <f>IF(YEAR('3 pr-2'!AK42)=2021,CX42,0)</f>
        <v>0</v>
      </c>
      <c r="DF42" s="1594">
        <f>IF(YEAR('3 pr-2'!AK42)=2022,CX42,0)</f>
        <v>0</v>
      </c>
      <c r="DG42" s="1594">
        <f>IF(YEAR('3 pr-2'!AK42)=2023,CX42,0)</f>
        <v>0</v>
      </c>
      <c r="DH42" s="350"/>
      <c r="DI42" s="538"/>
      <c r="DJ42" s="351"/>
      <c r="DK42" s="345"/>
      <c r="DL42" s="345"/>
      <c r="DM42" s="345"/>
      <c r="DN42" s="345"/>
      <c r="DO42" s="345"/>
      <c r="DP42" s="345"/>
      <c r="DQ42" s="895">
        <f t="shared" si="37"/>
        <v>0</v>
      </c>
      <c r="DR42" s="351"/>
      <c r="DS42" s="1605"/>
      <c r="DT42" s="1605"/>
      <c r="DU42" s="1594">
        <f>IF(YEAR('3 pr-2'!BF42)=2017,DS42,0)</f>
        <v>0</v>
      </c>
      <c r="DV42" s="1594">
        <f>IF(YEAR('3 pr-2'!BF42)=2018,DS42,0)</f>
        <v>0</v>
      </c>
      <c r="DW42" s="1594">
        <f>IF(YEAR('3 pr-2'!BF42)=2019,DS42,0)</f>
        <v>0</v>
      </c>
      <c r="DX42" s="1594">
        <f>IF(YEAR('3 pr-2'!BF42)=2020,DS42,0)</f>
        <v>0</v>
      </c>
      <c r="DY42" s="1594">
        <f>IF(YEAR('3 pr-2'!BF42)=2021,DS42,0)</f>
        <v>0</v>
      </c>
      <c r="DZ42" s="1594">
        <f>IF(YEAR('3 pr-2'!BF42)=2022,DS42,0)</f>
        <v>0</v>
      </c>
      <c r="EA42" s="1594">
        <f>IF(YEAR('3 pr-2'!BF42)=2023,DS42,0)</f>
        <v>0</v>
      </c>
      <c r="EB42" s="350"/>
      <c r="EC42" s="538"/>
      <c r="ED42" s="333"/>
      <c r="EE42" s="1605"/>
      <c r="EF42" s="1605"/>
      <c r="EG42" s="1594">
        <f>IF(YEAR('3 pr-2'!BP42)=2017,ED42,0)</f>
        <v>0</v>
      </c>
      <c r="EH42" s="1594">
        <f>IF(YEAR('3 pr-2'!BP42)=2018,ED42,0)</f>
        <v>0</v>
      </c>
      <c r="EI42" s="1594">
        <f>IF(YEAR('3 pr-2'!BP42)=2019,ED42,0)</f>
        <v>0</v>
      </c>
      <c r="EJ42" s="1594">
        <f>IF(YEAR('3 pr-2'!BP42)=2020,ED42,0)</f>
        <v>0</v>
      </c>
      <c r="EK42" s="1594">
        <f>IF(YEAR('3 pr-2'!BP42)=2021,ED42,0)</f>
        <v>0</v>
      </c>
      <c r="EL42" s="1594">
        <f>IF(YEAR('3 pr-2'!BP42)=2022,ED42,0)</f>
        <v>0</v>
      </c>
      <c r="EM42" s="1594">
        <f>IF(YEAR('3 pr-2'!BP42)=2023,ED42,0)</f>
        <v>0</v>
      </c>
    </row>
    <row r="43" spans="1:143" ht="49.5" thickTop="1" thickBot="1" x14ac:dyDescent="0.3">
      <c r="A43" s="345" t="str">
        <f>CONCATENATE('3 pr-2'!A43)</f>
        <v>1.1.1.3.4</v>
      </c>
      <c r="B43" s="345" t="str">
        <f>CONCATENATE('3 pr-2'!B43)</f>
        <v>R01-9905-280000-1134</v>
      </c>
      <c r="C43" s="970" t="str">
        <f>CONCATENATE('ketv. 2'!B42)</f>
        <v>07.1.1-CPVA-R-905-11-0003</v>
      </c>
      <c r="D43" s="125" t="str">
        <f>CONCATENATE('3 pr-2'!D43)</f>
        <v>Karloniškės ežero ir jo prieigų sutvarkymas ir pritaikymas aktyviam poilsiui</v>
      </c>
      <c r="E43" s="312" t="str">
        <f>CONCATENATE('3 pr-2'!E43)</f>
        <v>Varėnos rajono savivaldybės administracija</v>
      </c>
      <c r="F43" s="312" t="str">
        <f>CONCATENATE('3 pr-2'!F43)</f>
        <v>Lietuvos Respublikos vidaus reikalų ministerija</v>
      </c>
      <c r="G43" s="312" t="str">
        <f>CONCATENATE('3 pr-2'!G43)</f>
        <v>Varėnos r. sav.</v>
      </c>
      <c r="H43" s="345" t="str">
        <f>CONCATENATE('3 pr-2'!H43)</f>
        <v xml:space="preserve">07.1.1-CPVA-R-905 </v>
      </c>
      <c r="I43" s="345" t="str">
        <f>CONCATENATE('3 pr-2'!I43)</f>
        <v>R</v>
      </c>
      <c r="J43" s="345" t="str">
        <f>CONCATENATE('3 pr-2'!J43)</f>
        <v>ITI</v>
      </c>
      <c r="K43" s="345" t="str">
        <f>CONCATENATE('3 pr-2'!K43)</f>
        <v>-</v>
      </c>
      <c r="L43" s="345" t="s">
        <v>466</v>
      </c>
      <c r="M43" s="537" t="s">
        <v>465</v>
      </c>
      <c r="N43" s="345"/>
      <c r="O43" s="345"/>
      <c r="P43" s="345"/>
      <c r="Q43" s="345"/>
      <c r="R43" s="345"/>
      <c r="S43" s="345"/>
      <c r="T43" s="345"/>
      <c r="U43" s="893"/>
      <c r="V43" s="1240">
        <v>94207.41</v>
      </c>
      <c r="W43" s="1601">
        <v>94207.41</v>
      </c>
      <c r="X43" s="1580">
        <f>SUM(W43-V43)</f>
        <v>0</v>
      </c>
      <c r="Y43" s="1579">
        <f>IF(YEAR('3 pr-2'!$AK43)=2017,$V43,0)</f>
        <v>0</v>
      </c>
      <c r="Z43" s="1579">
        <f>IF(YEAR('3 pr-2'!$AK43)=2018,$V43,0)</f>
        <v>0</v>
      </c>
      <c r="AA43" s="1579">
        <f>IF(YEAR('3 pr-2'!$AK43)=2019,$V43,0)</f>
        <v>0</v>
      </c>
      <c r="AB43" s="1579">
        <f>IF(YEAR('3 pr-2'!$AK43)=2020,$V43,0)</f>
        <v>94207.41</v>
      </c>
      <c r="AC43" s="1579">
        <f>IF(YEAR('3 pr-2'!$AK43)=2021,$V43,0)</f>
        <v>0</v>
      </c>
      <c r="AD43" s="1579">
        <f>IF(YEAR('3 pr-2'!$AK43)=2022,$V43,0)</f>
        <v>0</v>
      </c>
      <c r="AE43" s="1579">
        <f>IF(YEAR('3 pr-2'!$AK43)=2023,$V43,0)</f>
        <v>0</v>
      </c>
      <c r="AF43" s="350"/>
      <c r="AG43" s="537"/>
      <c r="AH43" s="345"/>
      <c r="AI43" s="345"/>
      <c r="AJ43" s="345"/>
      <c r="AK43" s="345"/>
      <c r="AL43" s="345"/>
      <c r="AM43" s="345"/>
      <c r="AN43" s="345"/>
      <c r="AO43" s="895">
        <f t="shared" si="92"/>
        <v>0</v>
      </c>
      <c r="AP43" s="345"/>
      <c r="AQ43" s="1597"/>
      <c r="AR43" s="1579"/>
      <c r="AS43" s="1579">
        <f>IF(YEAR('3 pr-2'!$AK43)=2017,$AP43,0)</f>
        <v>0</v>
      </c>
      <c r="AT43" s="1579">
        <f>IF(YEAR('3 pr-2'!$AK43)=2018,$AP43,0)</f>
        <v>0</v>
      </c>
      <c r="AU43" s="1579">
        <f>IF(YEAR('3 pr-2'!$AK43)=2019,$AP43,0)</f>
        <v>0</v>
      </c>
      <c r="AV43" s="1579">
        <f>IF(YEAR('3 pr-2'!$AK43)=2020,$AP43,0)</f>
        <v>0</v>
      </c>
      <c r="AW43" s="1579">
        <f>IF(YEAR('3 pr-2'!$AK43)=2021,$AP43,0)</f>
        <v>0</v>
      </c>
      <c r="AX43" s="1579">
        <f>IF(YEAR('3 pr-2'!$AK43)=2022,$AP43,0)</f>
        <v>0</v>
      </c>
      <c r="AY43" s="1579">
        <f>IF(YEAR('3 pr-2'!$AK43)=2023,$AP43,0)</f>
        <v>0</v>
      </c>
      <c r="AZ43" s="345"/>
      <c r="BA43" s="536"/>
      <c r="BB43" s="345"/>
      <c r="BC43" s="345"/>
      <c r="BD43" s="345"/>
      <c r="BE43" s="345"/>
      <c r="BF43" s="345"/>
      <c r="BG43" s="345"/>
      <c r="BH43" s="345"/>
      <c r="BI43" s="895">
        <f t="shared" si="55"/>
        <v>0</v>
      </c>
      <c r="BJ43" s="345"/>
      <c r="BK43" s="1597"/>
      <c r="BL43" s="1579"/>
      <c r="BM43" s="1579">
        <f>IF(YEAR('3 pr-2'!AK43)=2017,BJ43,0)</f>
        <v>0</v>
      </c>
      <c r="BN43" s="1579">
        <f>IF(YEAR('3 pr-2'!AK43)=2018,BJ43,0)</f>
        <v>0</v>
      </c>
      <c r="BO43" s="1579">
        <f>IF(YEAR('3 pr-2'!AK43)=2019,BJ43,0)</f>
        <v>0</v>
      </c>
      <c r="BP43" s="1579">
        <f>IF(YEAR('3 pr-2'!AK43)=2020,BJ43,0)</f>
        <v>0</v>
      </c>
      <c r="BQ43" s="1579">
        <f>IF(YEAR('3 pr-2'!AK43)=2021,BJ43,0)</f>
        <v>0</v>
      </c>
      <c r="BR43" s="1579">
        <f>IF(YEAR('3 pr-2'!AK43)=2022,BJ43,0)</f>
        <v>0</v>
      </c>
      <c r="BS43" s="1579">
        <f>IF(YEAR('3 pr-2'!AK43)=2023,BJ43,0)</f>
        <v>0</v>
      </c>
      <c r="BT43" s="350"/>
      <c r="BU43" s="537"/>
      <c r="BV43" s="345"/>
      <c r="BW43" s="345"/>
      <c r="BX43" s="345"/>
      <c r="BY43" s="345"/>
      <c r="BZ43" s="345"/>
      <c r="CA43" s="345"/>
      <c r="CB43" s="345"/>
      <c r="CC43" s="895">
        <f t="shared" si="35"/>
        <v>0</v>
      </c>
      <c r="CD43" s="345"/>
      <c r="CE43" s="1579"/>
      <c r="CF43" s="1579"/>
      <c r="CG43" s="1579">
        <f>IF(YEAR('3 pr-2'!$AK43)=2017,$CD43,0)</f>
        <v>0</v>
      </c>
      <c r="CH43" s="1579">
        <f>IF(YEAR('3 pr-2'!$AK43)=2018,$CD43,0)</f>
        <v>0</v>
      </c>
      <c r="CI43" s="1579">
        <f>IF(YEAR('3 pr-2'!$AK43)=2019,$CD43,0)</f>
        <v>0</v>
      </c>
      <c r="CJ43" s="1579">
        <f>IF(YEAR('3 pr-2'!$AK43)=2020,$CD43,0)</f>
        <v>0</v>
      </c>
      <c r="CK43" s="1579">
        <f>IF(YEAR('3 pr-2'!$AK43)=2021,$CD43,0)</f>
        <v>0</v>
      </c>
      <c r="CL43" s="1579">
        <f>IF(YEAR('3 pr-2'!$AK43)=2022,$CD43,0)</f>
        <v>0</v>
      </c>
      <c r="CM43" s="1579">
        <f>IF(YEAR('3 pr-2'!$AK43)=2023,$CD43,0)</f>
        <v>0</v>
      </c>
      <c r="CN43" s="350"/>
      <c r="CO43" s="538"/>
      <c r="CP43" s="351"/>
      <c r="CQ43" s="345"/>
      <c r="CR43" s="345"/>
      <c r="CS43" s="345"/>
      <c r="CT43" s="345"/>
      <c r="CU43" s="345"/>
      <c r="CV43" s="345"/>
      <c r="CW43" s="895">
        <f t="shared" si="36"/>
        <v>0</v>
      </c>
      <c r="CX43" s="351"/>
      <c r="CY43" s="1605"/>
      <c r="CZ43" s="1605"/>
      <c r="DA43" s="1594">
        <f>IF(YEAR('3 pr-2'!AK43)=2017,CX43,0)</f>
        <v>0</v>
      </c>
      <c r="DB43" s="1594">
        <f>IF(YEAR('3 pr-2'!AK43)=2018,CX43,0)</f>
        <v>0</v>
      </c>
      <c r="DC43" s="1594">
        <f>IF(YEAR('3 pr-2'!AK43)=2019,CX43,0)</f>
        <v>0</v>
      </c>
      <c r="DD43" s="1594">
        <f>IF(YEAR('3 pr-2'!AK43)=2020,CX43,0)</f>
        <v>0</v>
      </c>
      <c r="DE43" s="1594">
        <f>IF(YEAR('3 pr-2'!AK43)=2021,CX43,0)</f>
        <v>0</v>
      </c>
      <c r="DF43" s="1594">
        <f>IF(YEAR('3 pr-2'!AK43)=2022,CX43,0)</f>
        <v>0</v>
      </c>
      <c r="DG43" s="1594">
        <f>IF(YEAR('3 pr-2'!AK43)=2023,CX43,0)</f>
        <v>0</v>
      </c>
      <c r="DH43" s="350"/>
      <c r="DI43" s="538"/>
      <c r="DJ43" s="351"/>
      <c r="DK43" s="345"/>
      <c r="DL43" s="345"/>
      <c r="DM43" s="345"/>
      <c r="DN43" s="345"/>
      <c r="DO43" s="345"/>
      <c r="DP43" s="345"/>
      <c r="DQ43" s="895">
        <f t="shared" si="37"/>
        <v>0</v>
      </c>
      <c r="DR43" s="351"/>
      <c r="DS43" s="1605"/>
      <c r="DT43" s="1605"/>
      <c r="DU43" s="1594">
        <f>IF(YEAR('3 pr-2'!BF43)=2017,DS43,0)</f>
        <v>0</v>
      </c>
      <c r="DV43" s="1594">
        <f>IF(YEAR('3 pr-2'!BF43)=2018,DS43,0)</f>
        <v>0</v>
      </c>
      <c r="DW43" s="1594">
        <f>IF(YEAR('3 pr-2'!BF43)=2019,DS43,0)</f>
        <v>0</v>
      </c>
      <c r="DX43" s="1594">
        <f>IF(YEAR('3 pr-2'!BF43)=2020,DS43,0)</f>
        <v>0</v>
      </c>
      <c r="DY43" s="1594">
        <f>IF(YEAR('3 pr-2'!BF43)=2021,DS43,0)</f>
        <v>0</v>
      </c>
      <c r="DZ43" s="1594">
        <f>IF(YEAR('3 pr-2'!BF43)=2022,DS43,0)</f>
        <v>0</v>
      </c>
      <c r="EA43" s="1594">
        <f>IF(YEAR('3 pr-2'!BF43)=2023,DS43,0)</f>
        <v>0</v>
      </c>
      <c r="EB43" s="350"/>
      <c r="EC43" s="538"/>
      <c r="ED43" s="333"/>
      <c r="EE43" s="1605"/>
      <c r="EF43" s="1605"/>
      <c r="EG43" s="1594">
        <f>IF(YEAR('3 pr-2'!BP43)=2017,ED43,0)</f>
        <v>0</v>
      </c>
      <c r="EH43" s="1594">
        <f>IF(YEAR('3 pr-2'!BP43)=2018,ED43,0)</f>
        <v>0</v>
      </c>
      <c r="EI43" s="1594">
        <f>IF(YEAR('3 pr-2'!BP43)=2019,ED43,0)</f>
        <v>0</v>
      </c>
      <c r="EJ43" s="1594">
        <f>IF(YEAR('3 pr-2'!BP43)=2020,ED43,0)</f>
        <v>0</v>
      </c>
      <c r="EK43" s="1594">
        <f>IF(YEAR('3 pr-2'!BP43)=2021,ED43,0)</f>
        <v>0</v>
      </c>
      <c r="EL43" s="1594">
        <f>IF(YEAR('3 pr-2'!BP43)=2022,ED43,0)</f>
        <v>0</v>
      </c>
      <c r="EM43" s="1594">
        <f>IF(YEAR('3 pr-2'!BP43)=2023,ED43,0)</f>
        <v>0</v>
      </c>
    </row>
    <row r="44" spans="1:143" ht="49.5" thickTop="1" thickBot="1" x14ac:dyDescent="0.3">
      <c r="A44" s="345" t="str">
        <f>CONCATENATE('3 pr-2'!A44)</f>
        <v>1.1.1.3.5</v>
      </c>
      <c r="B44" s="345" t="str">
        <f>CONCATENATE('3 pr-2'!B44)</f>
        <v>R01-9905-362900-1135</v>
      </c>
      <c r="C44" s="970" t="str">
        <f>CONCATENATE('ketv. 2'!B43)</f>
        <v>07.1.1-CPVA-R-905-11-0005</v>
      </c>
      <c r="D44" s="125" t="str">
        <f>CONCATENATE('3 pr-2'!D44)</f>
        <v xml:space="preserve">Nenaudojamų teritorijų Varėnos mieste sutvarkymas ir pritaikymas verslui </v>
      </c>
      <c r="E44" s="312" t="str">
        <f>CONCATENATE('3 pr-2'!E44)</f>
        <v>Varėnos rajono savivaldybės administracija</v>
      </c>
      <c r="F44" s="312" t="str">
        <f>CONCATENATE('3 pr-2'!F44)</f>
        <v>Lietuvos Respublikos vidaus reikalų ministerija</v>
      </c>
      <c r="G44" s="312" t="str">
        <f>CONCATENATE('3 pr-2'!G44)</f>
        <v>Varėnos r. sav.</v>
      </c>
      <c r="H44" s="345" t="str">
        <f>CONCATENATE('3 pr-2'!H44)</f>
        <v xml:space="preserve">07.1.1-CPVA-R-905 </v>
      </c>
      <c r="I44" s="345" t="str">
        <f>CONCATENATE('3 pr-2'!I44)</f>
        <v>R</v>
      </c>
      <c r="J44" s="345" t="str">
        <f>CONCATENATE('3 pr-2'!J44)</f>
        <v>ITI</v>
      </c>
      <c r="K44" s="345" t="str">
        <f>CONCATENATE('3 pr-2'!K44)</f>
        <v>-</v>
      </c>
      <c r="L44" s="345" t="s">
        <v>466</v>
      </c>
      <c r="M44" s="537" t="s">
        <v>465</v>
      </c>
      <c r="N44" s="345"/>
      <c r="O44" s="345"/>
      <c r="P44" s="345"/>
      <c r="Q44" s="345"/>
      <c r="R44" s="345"/>
      <c r="S44" s="345"/>
      <c r="T44" s="345"/>
      <c r="U44" s="893"/>
      <c r="V44" s="1240">
        <v>25000</v>
      </c>
      <c r="W44" s="1601" t="str">
        <f ca="1">IF('ketv. 6 '!L43&gt;0,"taip","nėra")</f>
        <v>nėra</v>
      </c>
      <c r="X44" s="1580"/>
      <c r="Y44" s="1579">
        <f>IF(YEAR('3 pr-2'!$AK44)=2017,$V44,0)</f>
        <v>0</v>
      </c>
      <c r="Z44" s="1579">
        <f>IF(YEAR('3 pr-2'!$AK44)=2018,$V44,0)</f>
        <v>0</v>
      </c>
      <c r="AA44" s="1579">
        <f>IF(YEAR('3 pr-2'!$AK44)=2019,$V44,0)</f>
        <v>0</v>
      </c>
      <c r="AB44" s="1579">
        <f>IF(YEAR('3 pr-2'!$AK44)=2020,$V44,0)</f>
        <v>25000</v>
      </c>
      <c r="AC44" s="1579">
        <f>IF(YEAR('3 pr-2'!$AK44)=2021,$V44,0)</f>
        <v>0</v>
      </c>
      <c r="AD44" s="1579">
        <f>IF(YEAR('3 pr-2'!$AK44)=2022,$V44,0)</f>
        <v>0</v>
      </c>
      <c r="AE44" s="1579">
        <f>IF(YEAR('3 pr-2'!$AK44)=2023,$V44,0)</f>
        <v>0</v>
      </c>
      <c r="AF44" s="350"/>
      <c r="AG44" s="537"/>
      <c r="AH44" s="345"/>
      <c r="AI44" s="345"/>
      <c r="AJ44" s="345"/>
      <c r="AK44" s="345"/>
      <c r="AL44" s="345"/>
      <c r="AM44" s="345"/>
      <c r="AN44" s="345"/>
      <c r="AO44" s="895">
        <f t="shared" si="92"/>
        <v>0</v>
      </c>
      <c r="AP44" s="345"/>
      <c r="AQ44" s="1597"/>
      <c r="AR44" s="1579"/>
      <c r="AS44" s="1579">
        <f>IF(YEAR('3 pr-2'!$AK44)=2017,$AP44,0)</f>
        <v>0</v>
      </c>
      <c r="AT44" s="1579">
        <f>IF(YEAR('3 pr-2'!$AK44)=2018,$AP44,0)</f>
        <v>0</v>
      </c>
      <c r="AU44" s="1579">
        <f>IF(YEAR('3 pr-2'!$AK44)=2019,$AP44,0)</f>
        <v>0</v>
      </c>
      <c r="AV44" s="1579">
        <f>IF(YEAR('3 pr-2'!$AK44)=2020,$AP44,0)</f>
        <v>0</v>
      </c>
      <c r="AW44" s="1579">
        <f>IF(YEAR('3 pr-2'!$AK44)=2021,$AP44,0)</f>
        <v>0</v>
      </c>
      <c r="AX44" s="1579">
        <f>IF(YEAR('3 pr-2'!$AK44)=2022,$AP44,0)</f>
        <v>0</v>
      </c>
      <c r="AY44" s="1579">
        <f>IF(YEAR('3 pr-2'!$AK44)=2023,$AP44,0)</f>
        <v>0</v>
      </c>
      <c r="AZ44" s="345"/>
      <c r="BA44" s="536"/>
      <c r="BB44" s="345"/>
      <c r="BC44" s="345"/>
      <c r="BD44" s="345"/>
      <c r="BE44" s="345"/>
      <c r="BF44" s="345"/>
      <c r="BG44" s="345"/>
      <c r="BH44" s="345"/>
      <c r="BI44" s="895">
        <f t="shared" si="55"/>
        <v>0</v>
      </c>
      <c r="BJ44" s="345"/>
      <c r="BK44" s="1597"/>
      <c r="BL44" s="1579"/>
      <c r="BM44" s="1579">
        <f>IF(YEAR('3 pr-2'!AK44)=2017,BJ44,0)</f>
        <v>0</v>
      </c>
      <c r="BN44" s="1579">
        <f>IF(YEAR('3 pr-2'!AK44)=2018,BJ44,0)</f>
        <v>0</v>
      </c>
      <c r="BO44" s="1579">
        <f>IF(YEAR('3 pr-2'!AK44)=2019,BJ44,0)</f>
        <v>0</v>
      </c>
      <c r="BP44" s="1579">
        <f>IF(YEAR('3 pr-2'!AK44)=2020,BJ44,0)</f>
        <v>0</v>
      </c>
      <c r="BQ44" s="1579">
        <f>IF(YEAR('3 pr-2'!AK44)=2021,BJ44,0)</f>
        <v>0</v>
      </c>
      <c r="BR44" s="1579">
        <f>IF(YEAR('3 pr-2'!AK44)=2022,BJ44,0)</f>
        <v>0</v>
      </c>
      <c r="BS44" s="1579">
        <f>IF(YEAR('3 pr-2'!AK44)=2023,BJ44,0)</f>
        <v>0</v>
      </c>
      <c r="BT44" s="350"/>
      <c r="BU44" s="537"/>
      <c r="BV44" s="345"/>
      <c r="BW44" s="345"/>
      <c r="BX44" s="345"/>
      <c r="BY44" s="345"/>
      <c r="BZ44" s="345"/>
      <c r="CA44" s="345"/>
      <c r="CB44" s="345"/>
      <c r="CC44" s="895">
        <f t="shared" si="35"/>
        <v>0</v>
      </c>
      <c r="CD44" s="345"/>
      <c r="CE44" s="1579"/>
      <c r="CF44" s="1579"/>
      <c r="CG44" s="1579">
        <f>IF(YEAR('3 pr-2'!$AK44)=2017,$CD44,0)</f>
        <v>0</v>
      </c>
      <c r="CH44" s="1579">
        <f>IF(YEAR('3 pr-2'!$AK44)=2018,$CD44,0)</f>
        <v>0</v>
      </c>
      <c r="CI44" s="1579">
        <f>IF(YEAR('3 pr-2'!$AK44)=2019,$CD44,0)</f>
        <v>0</v>
      </c>
      <c r="CJ44" s="1579">
        <f>IF(YEAR('3 pr-2'!$AK44)=2020,$CD44,0)</f>
        <v>0</v>
      </c>
      <c r="CK44" s="1579">
        <f>IF(YEAR('3 pr-2'!$AK44)=2021,$CD44,0)</f>
        <v>0</v>
      </c>
      <c r="CL44" s="1579">
        <f>IF(YEAR('3 pr-2'!$AK44)=2022,$CD44,0)</f>
        <v>0</v>
      </c>
      <c r="CM44" s="1579">
        <f>IF(YEAR('3 pr-2'!$AK44)=2023,$CD44,0)</f>
        <v>0</v>
      </c>
      <c r="CN44" s="350"/>
      <c r="CO44" s="538"/>
      <c r="CP44" s="351"/>
      <c r="CQ44" s="345"/>
      <c r="CR44" s="345"/>
      <c r="CS44" s="345"/>
      <c r="CT44" s="345"/>
      <c r="CU44" s="345"/>
      <c r="CV44" s="345"/>
      <c r="CW44" s="895">
        <f t="shared" si="36"/>
        <v>0</v>
      </c>
      <c r="CX44" s="351"/>
      <c r="CY44" s="1605"/>
      <c r="CZ44" s="1605"/>
      <c r="DA44" s="1594">
        <f>IF(YEAR('3 pr-2'!AK44)=2017,CX44,0)</f>
        <v>0</v>
      </c>
      <c r="DB44" s="1594">
        <f>IF(YEAR('3 pr-2'!AK44)=2018,CX44,0)</f>
        <v>0</v>
      </c>
      <c r="DC44" s="1594">
        <f>IF(YEAR('3 pr-2'!AK44)=2019,CX44,0)</f>
        <v>0</v>
      </c>
      <c r="DD44" s="1594">
        <f>IF(YEAR('3 pr-2'!AK44)=2020,CX44,0)</f>
        <v>0</v>
      </c>
      <c r="DE44" s="1594">
        <f>IF(YEAR('3 pr-2'!AK44)=2021,CX44,0)</f>
        <v>0</v>
      </c>
      <c r="DF44" s="1594">
        <f>IF(YEAR('3 pr-2'!AK44)=2022,CX44,0)</f>
        <v>0</v>
      </c>
      <c r="DG44" s="1594">
        <f>IF(YEAR('3 pr-2'!AK44)=2023,CX44,0)</f>
        <v>0</v>
      </c>
      <c r="DH44" s="350"/>
      <c r="DI44" s="538"/>
      <c r="DJ44" s="351"/>
      <c r="DK44" s="345"/>
      <c r="DL44" s="345"/>
      <c r="DM44" s="345"/>
      <c r="DN44" s="345"/>
      <c r="DO44" s="345"/>
      <c r="DP44" s="345"/>
      <c r="DQ44" s="895">
        <f t="shared" si="37"/>
        <v>0</v>
      </c>
      <c r="DR44" s="351"/>
      <c r="DS44" s="1605"/>
      <c r="DT44" s="1605"/>
      <c r="DU44" s="1594">
        <f>IF(YEAR('3 pr-2'!BF44)=2017,DS44,0)</f>
        <v>0</v>
      </c>
      <c r="DV44" s="1594">
        <f>IF(YEAR('3 pr-2'!BF44)=2018,DS44,0)</f>
        <v>0</v>
      </c>
      <c r="DW44" s="1594">
        <f>IF(YEAR('3 pr-2'!BF44)=2019,DS44,0)</f>
        <v>0</v>
      </c>
      <c r="DX44" s="1594">
        <f>IF(YEAR('3 pr-2'!BF44)=2020,DS44,0)</f>
        <v>0</v>
      </c>
      <c r="DY44" s="1594">
        <f>IF(YEAR('3 pr-2'!BF44)=2021,DS44,0)</f>
        <v>0</v>
      </c>
      <c r="DZ44" s="1594">
        <f>IF(YEAR('3 pr-2'!BF44)=2022,DS44,0)</f>
        <v>0</v>
      </c>
      <c r="EA44" s="1594">
        <f>IF(YEAR('3 pr-2'!BF44)=2023,DS44,0)</f>
        <v>0</v>
      </c>
      <c r="EB44" s="350"/>
      <c r="EC44" s="538"/>
      <c r="ED44" s="333"/>
      <c r="EE44" s="1605"/>
      <c r="EF44" s="1605"/>
      <c r="EG44" s="1594">
        <f>IF(YEAR('3 pr-2'!BP44)=2017,ED44,0)</f>
        <v>0</v>
      </c>
      <c r="EH44" s="1594">
        <f>IF(YEAR('3 pr-2'!BP44)=2018,ED44,0)</f>
        <v>0</v>
      </c>
      <c r="EI44" s="1594">
        <f>IF(YEAR('3 pr-2'!BP44)=2019,ED44,0)</f>
        <v>0</v>
      </c>
      <c r="EJ44" s="1594">
        <f>IF(YEAR('3 pr-2'!BP44)=2020,ED44,0)</f>
        <v>0</v>
      </c>
      <c r="EK44" s="1594">
        <f>IF(YEAR('3 pr-2'!BP44)=2021,ED44,0)</f>
        <v>0</v>
      </c>
      <c r="EL44" s="1594">
        <f>IF(YEAR('3 pr-2'!BP44)=2022,ED44,0)</f>
        <v>0</v>
      </c>
      <c r="EM44" s="1594">
        <f>IF(YEAR('3 pr-2'!BP44)=2023,ED44,0)</f>
        <v>0</v>
      </c>
    </row>
    <row r="45" spans="1:143" ht="73.5" thickTop="1" thickBot="1" x14ac:dyDescent="0.3">
      <c r="A45" s="345" t="str">
        <f>CONCATENATE('3 pr-2'!A45)</f>
        <v>1.1.1.3.6</v>
      </c>
      <c r="B45" s="345" t="str">
        <f>CONCATENATE('3 pr-2'!B45)</f>
        <v>R01-9905-290000-1136</v>
      </c>
      <c r="C45" s="970" t="str">
        <f>CONCATENATE('ketv. 2'!B45)</f>
        <v/>
      </c>
      <c r="D45" s="125" t="str">
        <f>CONCATENATE('3 pr-2'!D45)</f>
        <v xml:space="preserve">Teritorijų prie daugiabučių gyvenamųjų pastatų Varėnos mieste sutvarkymas ir pritaikymas visuomenės poreikiams  </v>
      </c>
      <c r="E45" s="312" t="str">
        <f>CONCATENATE('3 pr-2'!E45)</f>
        <v>Varėnos rajono savivaldybės administracija</v>
      </c>
      <c r="F45" s="312" t="str">
        <f>CONCATENATE('3 pr-2'!F45)</f>
        <v>Lietuvos Respublikos vidaus reikalų ministerija</v>
      </c>
      <c r="G45" s="312" t="str">
        <f>CONCATENATE('3 pr-2'!G45)</f>
        <v>Varėnos r. sav.</v>
      </c>
      <c r="H45" s="345" t="str">
        <f>CONCATENATE('3 pr-2'!H45)</f>
        <v xml:space="preserve">07.1.1-CPVA-R-905 </v>
      </c>
      <c r="I45" s="345" t="str">
        <f>CONCATENATE('3 pr-2'!I45)</f>
        <v>R</v>
      </c>
      <c r="J45" s="345" t="str">
        <f>CONCATENATE('3 pr-2'!J45)</f>
        <v>ITI</v>
      </c>
      <c r="K45" s="345" t="str">
        <f>CONCATENATE('3 pr-2'!K45)</f>
        <v>-</v>
      </c>
      <c r="L45" s="345" t="s">
        <v>466</v>
      </c>
      <c r="M45" s="537" t="s">
        <v>465</v>
      </c>
      <c r="N45" s="345"/>
      <c r="O45" s="345"/>
      <c r="P45" s="345"/>
      <c r="Q45" s="345"/>
      <c r="R45" s="345"/>
      <c r="S45" s="345"/>
      <c r="T45" s="345"/>
      <c r="U45" s="893"/>
      <c r="V45" s="1240">
        <v>10000</v>
      </c>
      <c r="W45" s="1601" t="str">
        <f ca="1">IF('ketv. 6 '!L44&gt;0,"taip","nėra")</f>
        <v>nėra</v>
      </c>
      <c r="X45" s="1580"/>
      <c r="Y45" s="1579">
        <f>IF(YEAR('3 pr-2'!$AK45)=2017,$V45,0)</f>
        <v>0</v>
      </c>
      <c r="Z45" s="1579">
        <f>IF(YEAR('3 pr-2'!$AK45)=2018,$V45,0)</f>
        <v>0</v>
      </c>
      <c r="AA45" s="1579">
        <f>IF(YEAR('3 pr-2'!$AK45)=2019,$V45,0)</f>
        <v>0</v>
      </c>
      <c r="AB45" s="1579">
        <f>IF(YEAR('3 pr-2'!$AK45)=2020,$V45,0)</f>
        <v>10000</v>
      </c>
      <c r="AC45" s="1579">
        <f>IF(YEAR('3 pr-2'!$AK45)=2021,$V45,0)</f>
        <v>0</v>
      </c>
      <c r="AD45" s="1579">
        <f>IF(YEAR('3 pr-2'!$AK45)=2022,$V45,0)</f>
        <v>0</v>
      </c>
      <c r="AE45" s="1579">
        <f>IF(YEAR('3 pr-2'!$AK45)=2023,$V45,0)</f>
        <v>0</v>
      </c>
      <c r="AF45" s="350"/>
      <c r="AG45" s="537"/>
      <c r="AH45" s="345"/>
      <c r="AI45" s="345"/>
      <c r="AJ45" s="345"/>
      <c r="AK45" s="345"/>
      <c r="AL45" s="345"/>
      <c r="AM45" s="345"/>
      <c r="AN45" s="345"/>
      <c r="AO45" s="895">
        <f t="shared" si="92"/>
        <v>0</v>
      </c>
      <c r="AP45" s="345"/>
      <c r="AQ45" s="1597"/>
      <c r="AR45" s="1579"/>
      <c r="AS45" s="1579">
        <f>IF(YEAR('3 pr-2'!$AK45)=2017,$AP45,0)</f>
        <v>0</v>
      </c>
      <c r="AT45" s="1579">
        <f>IF(YEAR('3 pr-2'!$AK45)=2018,$AP45,0)</f>
        <v>0</v>
      </c>
      <c r="AU45" s="1579">
        <f>IF(YEAR('3 pr-2'!$AK45)=2019,$AP45,0)</f>
        <v>0</v>
      </c>
      <c r="AV45" s="1579">
        <f>IF(YEAR('3 pr-2'!$AK45)=2020,$AP45,0)</f>
        <v>0</v>
      </c>
      <c r="AW45" s="1579">
        <f>IF(YEAR('3 pr-2'!$AK45)=2021,$AP45,0)</f>
        <v>0</v>
      </c>
      <c r="AX45" s="1579">
        <f>IF(YEAR('3 pr-2'!$AK45)=2022,$AP45,0)</f>
        <v>0</v>
      </c>
      <c r="AY45" s="1579">
        <f>IF(YEAR('3 pr-2'!$AK45)=2023,$AP45,0)</f>
        <v>0</v>
      </c>
      <c r="AZ45" s="345"/>
      <c r="BA45" s="536"/>
      <c r="BB45" s="345"/>
      <c r="BC45" s="345"/>
      <c r="BD45" s="345"/>
      <c r="BE45" s="345"/>
      <c r="BF45" s="345"/>
      <c r="BG45" s="345"/>
      <c r="BH45" s="345"/>
      <c r="BI45" s="895">
        <f t="shared" si="55"/>
        <v>0</v>
      </c>
      <c r="BJ45" s="345"/>
      <c r="BK45" s="1597"/>
      <c r="BL45" s="1579"/>
      <c r="BM45" s="1579">
        <f>IF(YEAR('3 pr-2'!AK45)=2017,BJ45,0)</f>
        <v>0</v>
      </c>
      <c r="BN45" s="1579">
        <f>IF(YEAR('3 pr-2'!AK45)=2018,BJ45,0)</f>
        <v>0</v>
      </c>
      <c r="BO45" s="1579">
        <f>IF(YEAR('3 pr-2'!AK45)=2019,BJ45,0)</f>
        <v>0</v>
      </c>
      <c r="BP45" s="1579">
        <f>IF(YEAR('3 pr-2'!AK45)=2020,BJ45,0)</f>
        <v>0</v>
      </c>
      <c r="BQ45" s="1579">
        <f>IF(YEAR('3 pr-2'!AK45)=2021,BJ45,0)</f>
        <v>0</v>
      </c>
      <c r="BR45" s="1579">
        <f>IF(YEAR('3 pr-2'!AK45)=2022,BJ45,0)</f>
        <v>0</v>
      </c>
      <c r="BS45" s="1579">
        <f>IF(YEAR('3 pr-2'!AK45)=2023,BJ45,0)</f>
        <v>0</v>
      </c>
      <c r="BT45" s="350"/>
      <c r="BU45" s="537"/>
      <c r="BV45" s="345"/>
      <c r="BW45" s="345"/>
      <c r="BX45" s="345"/>
      <c r="BY45" s="345"/>
      <c r="BZ45" s="345"/>
      <c r="CA45" s="345"/>
      <c r="CB45" s="345"/>
      <c r="CC45" s="895">
        <f t="shared" si="35"/>
        <v>0</v>
      </c>
      <c r="CD45" s="345"/>
      <c r="CE45" s="1579"/>
      <c r="CF45" s="1579"/>
      <c r="CG45" s="1579">
        <f>IF(YEAR('3 pr-2'!$AK45)=2017,$CD45,0)</f>
        <v>0</v>
      </c>
      <c r="CH45" s="1579">
        <f>IF(YEAR('3 pr-2'!$AK45)=2018,$CD45,0)</f>
        <v>0</v>
      </c>
      <c r="CI45" s="1579">
        <f>IF(YEAR('3 pr-2'!$AK45)=2019,$CD45,0)</f>
        <v>0</v>
      </c>
      <c r="CJ45" s="1579">
        <f>IF(YEAR('3 pr-2'!$AK45)=2020,$CD45,0)</f>
        <v>0</v>
      </c>
      <c r="CK45" s="1579">
        <f>IF(YEAR('3 pr-2'!$AK45)=2021,$CD45,0)</f>
        <v>0</v>
      </c>
      <c r="CL45" s="1579">
        <f>IF(YEAR('3 pr-2'!$AK45)=2022,$CD45,0)</f>
        <v>0</v>
      </c>
      <c r="CM45" s="1579">
        <f>IF(YEAR('3 pr-2'!$AK45)=2023,$CD45,0)</f>
        <v>0</v>
      </c>
      <c r="CN45" s="350"/>
      <c r="CO45" s="538"/>
      <c r="CP45" s="351"/>
      <c r="CQ45" s="345"/>
      <c r="CR45" s="345"/>
      <c r="CS45" s="345"/>
      <c r="CT45" s="345"/>
      <c r="CU45" s="345"/>
      <c r="CV45" s="345"/>
      <c r="CW45" s="895">
        <f t="shared" si="36"/>
        <v>0</v>
      </c>
      <c r="CX45" s="351"/>
      <c r="CY45" s="1605"/>
      <c r="CZ45" s="1605"/>
      <c r="DA45" s="1594">
        <f>IF(YEAR('3 pr-2'!AK45)=2017,CX45,0)</f>
        <v>0</v>
      </c>
      <c r="DB45" s="1594">
        <f>IF(YEAR('3 pr-2'!AK45)=2018,CX45,0)</f>
        <v>0</v>
      </c>
      <c r="DC45" s="1594">
        <f>IF(YEAR('3 pr-2'!AK45)=2019,CX45,0)</f>
        <v>0</v>
      </c>
      <c r="DD45" s="1594">
        <f>IF(YEAR('3 pr-2'!AK45)=2020,CX45,0)</f>
        <v>0</v>
      </c>
      <c r="DE45" s="1594">
        <f>IF(YEAR('3 pr-2'!AK45)=2021,CX45,0)</f>
        <v>0</v>
      </c>
      <c r="DF45" s="1594">
        <f>IF(YEAR('3 pr-2'!AK45)=2022,CX45,0)</f>
        <v>0</v>
      </c>
      <c r="DG45" s="1594">
        <f>IF(YEAR('3 pr-2'!AK45)=2023,CX45,0)</f>
        <v>0</v>
      </c>
      <c r="DH45" s="350"/>
      <c r="DI45" s="538"/>
      <c r="DJ45" s="351"/>
      <c r="DK45" s="345"/>
      <c r="DL45" s="345"/>
      <c r="DM45" s="345"/>
      <c r="DN45" s="345"/>
      <c r="DO45" s="345"/>
      <c r="DP45" s="345"/>
      <c r="DQ45" s="895">
        <f t="shared" si="37"/>
        <v>0</v>
      </c>
      <c r="DR45" s="351"/>
      <c r="DS45" s="1605"/>
      <c r="DT45" s="1605"/>
      <c r="DU45" s="1594">
        <f>IF(YEAR('3 pr-2'!BF45)=2017,DS45,0)</f>
        <v>0</v>
      </c>
      <c r="DV45" s="1594">
        <f>IF(YEAR('3 pr-2'!BF45)=2018,DS45,0)</f>
        <v>0</v>
      </c>
      <c r="DW45" s="1594">
        <f>IF(YEAR('3 pr-2'!BF45)=2019,DS45,0)</f>
        <v>0</v>
      </c>
      <c r="DX45" s="1594">
        <f>IF(YEAR('3 pr-2'!BF45)=2020,DS45,0)</f>
        <v>0</v>
      </c>
      <c r="DY45" s="1594">
        <f>IF(YEAR('3 pr-2'!BF45)=2021,DS45,0)</f>
        <v>0</v>
      </c>
      <c r="DZ45" s="1594">
        <f>IF(YEAR('3 pr-2'!BF45)=2022,DS45,0)</f>
        <v>0</v>
      </c>
      <c r="EA45" s="1594">
        <f>IF(YEAR('3 pr-2'!BF45)=2023,DS45,0)</f>
        <v>0</v>
      </c>
      <c r="EB45" s="350"/>
      <c r="EC45" s="538"/>
      <c r="ED45" s="333"/>
      <c r="EE45" s="1605"/>
      <c r="EF45" s="1605"/>
      <c r="EG45" s="1594">
        <f>IF(YEAR('3 pr-2'!BP45)=2017,ED45,0)</f>
        <v>0</v>
      </c>
      <c r="EH45" s="1594">
        <f>IF(YEAR('3 pr-2'!BP45)=2018,ED45,0)</f>
        <v>0</v>
      </c>
      <c r="EI45" s="1594">
        <f>IF(YEAR('3 pr-2'!BP45)=2019,ED45,0)</f>
        <v>0</v>
      </c>
      <c r="EJ45" s="1594">
        <f>IF(YEAR('3 pr-2'!BP45)=2020,ED45,0)</f>
        <v>0</v>
      </c>
      <c r="EK45" s="1594">
        <f>IF(YEAR('3 pr-2'!BP45)=2021,ED45,0)</f>
        <v>0</v>
      </c>
      <c r="EL45" s="1594">
        <f>IF(YEAR('3 pr-2'!BP45)=2022,ED45,0)</f>
        <v>0</v>
      </c>
      <c r="EM45" s="1594">
        <f>IF(YEAR('3 pr-2'!BP45)=2023,ED45,0)</f>
        <v>0</v>
      </c>
    </row>
    <row r="46" spans="1:143" ht="36.75" customHeight="1" thickBot="1" x14ac:dyDescent="0.3">
      <c r="A46" s="824" t="str">
        <f>CONCATENATE('3 pr-2'!A46)</f>
        <v>1.1.1.4</v>
      </c>
      <c r="B46" s="1926" t="str">
        <f>CONCATENATE('3 pr-2'!B46)</f>
        <v xml:space="preserve">Priemonė:
Alytaus, Druskininkų ir Lazdijų miestų kompleksinė plėtra
</v>
      </c>
      <c r="C46" s="1927"/>
      <c r="D46" s="1927"/>
      <c r="E46" s="1927"/>
      <c r="F46" s="1927"/>
      <c r="G46" s="1927"/>
      <c r="H46" s="1927"/>
      <c r="I46" s="1927"/>
      <c r="J46" s="1927"/>
      <c r="K46" s="1928"/>
      <c r="L46" s="1312"/>
      <c r="M46" s="540"/>
      <c r="N46" s="334">
        <f>SUM(N47:N49)</f>
        <v>0</v>
      </c>
      <c r="O46" s="334">
        <f t="shared" ref="O46:T46" si="93">SUM(O47:O49)</f>
        <v>16459.5</v>
      </c>
      <c r="P46" s="334">
        <f t="shared" si="93"/>
        <v>0</v>
      </c>
      <c r="Q46" s="334">
        <f t="shared" si="93"/>
        <v>0</v>
      </c>
      <c r="R46" s="334">
        <f t="shared" si="93"/>
        <v>0</v>
      </c>
      <c r="S46" s="334">
        <f t="shared" si="93"/>
        <v>0</v>
      </c>
      <c r="T46" s="334">
        <f t="shared" si="93"/>
        <v>0</v>
      </c>
      <c r="U46" s="887">
        <f>SUM(U47:U49)</f>
        <v>0</v>
      </c>
      <c r="V46" s="864"/>
      <c r="W46" s="1575">
        <f t="shared" ref="W46:X46" ca="1" si="94">SUM(W47:W49)</f>
        <v>16126.5</v>
      </c>
      <c r="X46" s="1576">
        <f t="shared" ca="1" si="94"/>
        <v>0</v>
      </c>
      <c r="Y46" s="1577">
        <f t="shared" ref="Y46:AE46" si="95">SUM(Y47:Y49)</f>
        <v>0</v>
      </c>
      <c r="Z46" s="1577">
        <f t="shared" si="95"/>
        <v>24239.5</v>
      </c>
      <c r="AA46" s="1577">
        <f t="shared" si="95"/>
        <v>0</v>
      </c>
      <c r="AB46" s="1577">
        <f t="shared" si="95"/>
        <v>0</v>
      </c>
      <c r="AC46" s="1577">
        <f t="shared" si="95"/>
        <v>0</v>
      </c>
      <c r="AD46" s="1577">
        <f t="shared" si="95"/>
        <v>0</v>
      </c>
      <c r="AE46" s="1577">
        <f t="shared" si="95"/>
        <v>0</v>
      </c>
      <c r="AF46" s="878"/>
      <c r="AG46" s="889"/>
      <c r="AH46" s="334">
        <f>SUM(AH47:AH49)</f>
        <v>0</v>
      </c>
      <c r="AI46" s="334">
        <f t="shared" ref="AI46" si="96">SUM(AI47:AI49)</f>
        <v>0</v>
      </c>
      <c r="AJ46" s="334">
        <f t="shared" ref="AJ46" si="97">SUM(AJ47:AJ49)</f>
        <v>0</v>
      </c>
      <c r="AK46" s="334">
        <f t="shared" ref="AK46" si="98">SUM(AK47:AK49)</f>
        <v>0</v>
      </c>
      <c r="AL46" s="334">
        <f t="shared" ref="AL46" si="99">SUM(AL47:AL49)</f>
        <v>0</v>
      </c>
      <c r="AM46" s="334">
        <f t="shared" ref="AM46" si="100">SUM(AM47:AM49)</f>
        <v>0</v>
      </c>
      <c r="AN46" s="334">
        <f t="shared" ref="AN46" si="101">SUM(AN47:AN49)</f>
        <v>0</v>
      </c>
      <c r="AO46" s="864">
        <f>SUM(AO47:AO49)</f>
        <v>0</v>
      </c>
      <c r="AP46" s="864"/>
      <c r="AQ46" s="1577"/>
      <c r="AR46" s="1577"/>
      <c r="AS46" s="1577">
        <f t="shared" ref="AS46" si="102">SUM(AS47:AS49)</f>
        <v>0</v>
      </c>
      <c r="AT46" s="1598">
        <f>SUM(AT47:AT49)</f>
        <v>690.97</v>
      </c>
      <c r="AU46" s="1577">
        <f t="shared" ref="AU46" si="103">SUM(AU47:AU49)</f>
        <v>0</v>
      </c>
      <c r="AV46" s="1577">
        <f t="shared" ref="AV46" si="104">SUM(AV47:AV49)</f>
        <v>0</v>
      </c>
      <c r="AW46" s="1577">
        <f t="shared" ref="AW46" si="105">SUM(AW47:AW49)</f>
        <v>0</v>
      </c>
      <c r="AX46" s="1577">
        <f t="shared" ref="AX46" si="106">SUM(AX47:AX49)</f>
        <v>0</v>
      </c>
      <c r="AY46" s="1577">
        <f t="shared" ref="AY46" si="107">SUM(AY47:AY49)</f>
        <v>0</v>
      </c>
      <c r="AZ46" s="864"/>
      <c r="BA46" s="889"/>
      <c r="BB46" s="334">
        <f>SUM(BB47:BB49)</f>
        <v>0</v>
      </c>
      <c r="BC46" s="334">
        <f t="shared" ref="BC46" si="108">SUM(BC47:BC49)</f>
        <v>0</v>
      </c>
      <c r="BD46" s="334">
        <f t="shared" ref="BD46" si="109">SUM(BD47:BD49)</f>
        <v>0</v>
      </c>
      <c r="BE46" s="334">
        <f t="shared" ref="BE46" si="110">SUM(BE47:BE49)</f>
        <v>0</v>
      </c>
      <c r="BF46" s="334">
        <f t="shared" ref="BF46" si="111">SUM(BF47:BF49)</f>
        <v>0</v>
      </c>
      <c r="BG46" s="334">
        <f t="shared" ref="BG46" si="112">SUM(BG47:BG49)</f>
        <v>0</v>
      </c>
      <c r="BH46" s="334">
        <f t="shared" ref="BH46" si="113">SUM(BH47:BH49)</f>
        <v>0</v>
      </c>
      <c r="BI46" s="864">
        <f>SUM(BI47:BI49)</f>
        <v>0</v>
      </c>
      <c r="BJ46" s="864"/>
      <c r="BK46" s="1577"/>
      <c r="BL46" s="1577"/>
      <c r="BM46" s="1577">
        <f t="shared" ref="BM46" si="114">SUM(BM47:BM49)</f>
        <v>0</v>
      </c>
      <c r="BN46" s="1577">
        <f t="shared" ref="BN46" si="115">SUM(BN47:BN49)</f>
        <v>0</v>
      </c>
      <c r="BO46" s="1577">
        <f t="shared" ref="BO46" si="116">SUM(BO47:BO49)</f>
        <v>0</v>
      </c>
      <c r="BP46" s="1577">
        <f t="shared" ref="BP46" si="117">SUM(BP47:BP49)</f>
        <v>0</v>
      </c>
      <c r="BQ46" s="1577">
        <f t="shared" ref="BQ46" si="118">SUM(BQ47:BQ49)</f>
        <v>0</v>
      </c>
      <c r="BR46" s="1577">
        <f t="shared" ref="BR46" si="119">SUM(BR47:BR49)</f>
        <v>0</v>
      </c>
      <c r="BS46" s="1577">
        <f t="shared" ref="BS46" si="120">SUM(BS47:BS49)</f>
        <v>0</v>
      </c>
      <c r="BT46" s="334"/>
      <c r="BU46" s="538"/>
      <c r="BV46" s="334">
        <f>SUM(BV47:BV49)</f>
        <v>0</v>
      </c>
      <c r="BW46" s="334">
        <f t="shared" ref="BW46" si="121">SUM(BW47:BW49)</f>
        <v>0</v>
      </c>
      <c r="BX46" s="334">
        <f t="shared" ref="BX46" si="122">SUM(BX47:BX49)</f>
        <v>0</v>
      </c>
      <c r="BY46" s="334">
        <f t="shared" ref="BY46" si="123">SUM(BY47:BY49)</f>
        <v>0</v>
      </c>
      <c r="BZ46" s="334">
        <f t="shared" ref="BZ46" si="124">SUM(BZ47:BZ49)</f>
        <v>0</v>
      </c>
      <c r="CA46" s="334">
        <f t="shared" ref="CA46" si="125">SUM(CA47:CA49)</f>
        <v>0</v>
      </c>
      <c r="CB46" s="334">
        <f t="shared" ref="CB46" si="126">SUM(CB47:CB49)</f>
        <v>0</v>
      </c>
      <c r="CC46" s="864">
        <f>SUM(CC47:CC49)</f>
        <v>0</v>
      </c>
      <c r="CD46" s="334"/>
      <c r="CE46" s="1577"/>
      <c r="CF46" s="1577"/>
      <c r="CG46" s="1577"/>
      <c r="CH46" s="1577"/>
      <c r="CI46" s="1577"/>
      <c r="CJ46" s="1577"/>
      <c r="CK46" s="1577"/>
      <c r="CL46" s="1577"/>
      <c r="CM46" s="1577"/>
      <c r="CN46" s="887"/>
      <c r="CO46" s="538"/>
      <c r="CP46" s="852">
        <f>SUM(CP47:CP49)</f>
        <v>0</v>
      </c>
      <c r="CQ46" s="334">
        <f t="shared" ref="CQ46" si="127">SUM(CQ47:CQ49)</f>
        <v>0</v>
      </c>
      <c r="CR46" s="334">
        <f t="shared" ref="CR46" si="128">SUM(CR47:CR49)</f>
        <v>0</v>
      </c>
      <c r="CS46" s="334">
        <f t="shared" ref="CS46" si="129">SUM(CS47:CS49)</f>
        <v>0</v>
      </c>
      <c r="CT46" s="334">
        <f t="shared" ref="CT46" si="130">SUM(CT47:CT49)</f>
        <v>0</v>
      </c>
      <c r="CU46" s="334">
        <f t="shared" ref="CU46" si="131">SUM(CU47:CU49)</f>
        <v>0</v>
      </c>
      <c r="CV46" s="334">
        <f t="shared" ref="CV46" si="132">SUM(CV47:CV49)</f>
        <v>0</v>
      </c>
      <c r="CW46" s="864">
        <f>SUM(CW47:CW49)</f>
        <v>0</v>
      </c>
      <c r="CX46" s="334"/>
      <c r="CY46" s="1594"/>
      <c r="CZ46" s="1594"/>
      <c r="DA46" s="1594"/>
      <c r="DB46" s="1594"/>
      <c r="DC46" s="1594"/>
      <c r="DD46" s="1594"/>
      <c r="DE46" s="1594"/>
      <c r="DF46" s="1594"/>
      <c r="DG46" s="1594"/>
      <c r="DH46" s="887"/>
      <c r="DI46" s="538"/>
      <c r="DJ46" s="852">
        <f>SUM(DJ47:DJ49)</f>
        <v>0</v>
      </c>
      <c r="DK46" s="334">
        <f t="shared" ref="DK46:DP46" si="133">SUM(DK47:DK49)</f>
        <v>0</v>
      </c>
      <c r="DL46" s="334">
        <f t="shared" si="133"/>
        <v>0</v>
      </c>
      <c r="DM46" s="334">
        <f t="shared" si="133"/>
        <v>0</v>
      </c>
      <c r="DN46" s="334">
        <f t="shared" si="133"/>
        <v>0</v>
      </c>
      <c r="DO46" s="334">
        <f t="shared" si="133"/>
        <v>0</v>
      </c>
      <c r="DP46" s="334">
        <f t="shared" si="133"/>
        <v>0</v>
      </c>
      <c r="DQ46" s="864">
        <f>SUM(DQ47:DQ49)</f>
        <v>0</v>
      </c>
      <c r="DR46" s="334"/>
      <c r="DS46" s="1594"/>
      <c r="DT46" s="1594"/>
      <c r="DU46" s="1594"/>
      <c r="DV46" s="1594"/>
      <c r="DW46" s="1594"/>
      <c r="DX46" s="1594"/>
      <c r="DY46" s="1594"/>
      <c r="DZ46" s="1594"/>
      <c r="EA46" s="1594"/>
      <c r="EB46" s="887"/>
      <c r="EC46" s="538"/>
      <c r="ED46" s="890"/>
      <c r="EE46" s="1594"/>
      <c r="EF46" s="1594"/>
      <c r="EG46" s="1594"/>
      <c r="EH46" s="1594"/>
      <c r="EI46" s="1594"/>
      <c r="EJ46" s="1594"/>
      <c r="EK46" s="1594"/>
      <c r="EL46" s="1594"/>
      <c r="EM46" s="1594"/>
    </row>
    <row r="47" spans="1:143" ht="61.5" thickTop="1" thickBot="1" x14ac:dyDescent="0.3">
      <c r="A47" s="345" t="str">
        <f>CONCATENATE('3 pr-2'!A47)</f>
        <v>1.1.1.4.1</v>
      </c>
      <c r="B47" s="345" t="str">
        <f>CONCATENATE('3 pr-2'!B47)</f>
        <v>R01-9902-310000-1141</v>
      </c>
      <c r="C47" s="970" t="str">
        <f>CONCATENATE('ketv. 2'!B46)</f>
        <v>07.1.1-CPVA-V-902-01-0008</v>
      </c>
      <c r="D47" s="125" t="str">
        <f>CONCATENATE('3 pr-2'!D47)</f>
        <v>Buvusios pramoninės teritorijos Pramonės g. 1 Alytuje, pritaikymas verslo vystymui ir plėtrai.</v>
      </c>
      <c r="E47" s="312" t="str">
        <f>CONCATENATE('3 pr-2'!E47)</f>
        <v>Alytaus miesto savivaldybės administracija</v>
      </c>
      <c r="F47" s="312" t="str">
        <f>CONCATENATE('3 pr-2'!F47)</f>
        <v>Lietuvos Respublikos vidaus reikalų ministerija</v>
      </c>
      <c r="G47" s="312" t="str">
        <f>CONCATENATE('3 pr-2'!G47)</f>
        <v>Alytaus m. sav.</v>
      </c>
      <c r="H47" s="345" t="str">
        <f>CONCATENATE('3 pr-2'!H47)</f>
        <v>07.1.1-CPVA-V-902</v>
      </c>
      <c r="I47" s="345" t="str">
        <f>CONCATENATE('3 pr-2'!I47)</f>
        <v>V</v>
      </c>
      <c r="J47" s="345" t="str">
        <f>CONCATENATE('3 pr-2'!J47)</f>
        <v>ITI</v>
      </c>
      <c r="K47" s="345" t="str">
        <f>CONCATENATE('3 pr-2'!K47)</f>
        <v>-</v>
      </c>
      <c r="L47" s="345" t="s">
        <v>466</v>
      </c>
      <c r="M47" s="537" t="s">
        <v>467</v>
      </c>
      <c r="N47" s="345"/>
      <c r="O47" s="345">
        <v>16459.5</v>
      </c>
      <c r="P47" s="345"/>
      <c r="Q47" s="345"/>
      <c r="R47" s="345"/>
      <c r="S47" s="345"/>
      <c r="T47" s="345"/>
      <c r="U47" s="893"/>
      <c r="V47" s="345">
        <v>16126.5</v>
      </c>
      <c r="W47" s="1581">
        <v>16126.5</v>
      </c>
      <c r="X47" s="1579">
        <f>SUM(W47-V47)</f>
        <v>0</v>
      </c>
      <c r="Y47" s="1579">
        <f>IF(YEAR('3 pr-2'!$AK47)=2017,$V47,0)</f>
        <v>0</v>
      </c>
      <c r="Z47" s="1579">
        <f>IF(YEAR('3 pr-2'!$AK47)=2018,$V47,0)</f>
        <v>16126.5</v>
      </c>
      <c r="AA47" s="1579">
        <f>IF(YEAR('3 pr-2'!$AK47)=2019,$V47,0)</f>
        <v>0</v>
      </c>
      <c r="AB47" s="1579">
        <f>IF(YEAR('3 pr-2'!$AK47)=2020,$V47,0)</f>
        <v>0</v>
      </c>
      <c r="AC47" s="1579">
        <f>IF(YEAR('3 pr-2'!$AK47)=2021,$V47,0)</f>
        <v>0</v>
      </c>
      <c r="AD47" s="1579">
        <f>IF(YEAR('3 pr-2'!$AK47)=2022,$V47,0)</f>
        <v>0</v>
      </c>
      <c r="AE47" s="1579">
        <f>IF(YEAR('3 pr-2'!$AK47)=2023,$V47,0)</f>
        <v>0</v>
      </c>
      <c r="AF47" s="350"/>
      <c r="AG47" s="537"/>
      <c r="AH47" s="345"/>
      <c r="AI47" s="345"/>
      <c r="AJ47" s="345"/>
      <c r="AK47" s="345"/>
      <c r="AL47" s="345"/>
      <c r="AM47" s="345"/>
      <c r="AN47" s="345"/>
      <c r="AO47" s="895">
        <f t="shared" ref="AO47:AO71" si="134">SUM(AH47:AN47)</f>
        <v>0</v>
      </c>
      <c r="AP47" s="345"/>
      <c r="AQ47" s="1597"/>
      <c r="AR47" s="1579"/>
      <c r="AS47" s="1579">
        <f>IF(YEAR('3 pr-2'!$AK47)=2017,$AP47,0)</f>
        <v>0</v>
      </c>
      <c r="AT47" s="1579">
        <f>IF(YEAR('3 pr-2'!$AK47)=2018,$AP47,0)</f>
        <v>0</v>
      </c>
      <c r="AU47" s="1579">
        <f>IF(YEAR('3 pr-2'!$AK47)=2019,$AP47,0)</f>
        <v>0</v>
      </c>
      <c r="AV47" s="1579">
        <f>IF(YEAR('3 pr-2'!$AK47)=2020,$AP47,0)</f>
        <v>0</v>
      </c>
      <c r="AW47" s="1579">
        <f>IF(YEAR('3 pr-2'!$AK47)=2021,$AP47,0)</f>
        <v>0</v>
      </c>
      <c r="AX47" s="1579">
        <f>IF(YEAR('3 pr-2'!$AK47)=2022,$AP47,0)</f>
        <v>0</v>
      </c>
      <c r="AY47" s="1579">
        <f>IF(YEAR('3 pr-2'!$AK47)=2023,$AP47,0)</f>
        <v>0</v>
      </c>
      <c r="AZ47" s="345"/>
      <c r="BA47" s="536"/>
      <c r="BB47" s="345"/>
      <c r="BC47" s="345"/>
      <c r="BD47" s="345"/>
      <c r="BE47" s="345"/>
      <c r="BF47" s="345"/>
      <c r="BG47" s="345"/>
      <c r="BH47" s="345"/>
      <c r="BI47" s="895">
        <f t="shared" ref="BI47:BI49" si="135">SUM(BB47:BH47)</f>
        <v>0</v>
      </c>
      <c r="BJ47" s="345"/>
      <c r="BK47" s="1597"/>
      <c r="BL47" s="1579"/>
      <c r="BM47" s="1579">
        <f>IF(YEAR('3 pr-2'!AK47)=2017,BJ47,0)</f>
        <v>0</v>
      </c>
      <c r="BN47" s="1579">
        <f>IF(YEAR('3 pr-2'!AK47)=2018,BJ47,0)</f>
        <v>0</v>
      </c>
      <c r="BO47" s="1579">
        <f>IF(YEAR('3 pr-2'!AK47)=2019,BJ47,0)</f>
        <v>0</v>
      </c>
      <c r="BP47" s="1579">
        <f>IF(YEAR('3 pr-2'!AK47)=2020,BJ47,0)</f>
        <v>0</v>
      </c>
      <c r="BQ47" s="1579">
        <f>IF(YEAR('3 pr-2'!AK47)=2021,BJ47,0)</f>
        <v>0</v>
      </c>
      <c r="BR47" s="1579">
        <f>IF(YEAR('3 pr-2'!AK47)=2022,BJ47,0)</f>
        <v>0</v>
      </c>
      <c r="BS47" s="1579">
        <f>IF(YEAR('3 pr-2'!AK47)=2023,BJ47,0)</f>
        <v>0</v>
      </c>
      <c r="BT47" s="350"/>
      <c r="BU47" s="537"/>
      <c r="BV47" s="345"/>
      <c r="BW47" s="345"/>
      <c r="BX47" s="345"/>
      <c r="BY47" s="345"/>
      <c r="BZ47" s="345"/>
      <c r="CA47" s="345"/>
      <c r="CB47" s="345"/>
      <c r="CC47" s="895">
        <f t="shared" ref="CC47:CC72" si="136">SUM(BV47:CB47)</f>
        <v>0</v>
      </c>
      <c r="CD47" s="345"/>
      <c r="CE47" s="1579"/>
      <c r="CF47" s="1579"/>
      <c r="CG47" s="1579">
        <f>IF(YEAR('3 pr-2'!$AK47)=2017,$CD47,0)</f>
        <v>0</v>
      </c>
      <c r="CH47" s="1579">
        <f>IF(YEAR('3 pr-2'!$AK47)=2018,$CD47,0)</f>
        <v>0</v>
      </c>
      <c r="CI47" s="1579">
        <f>IF(YEAR('3 pr-2'!$AK47)=2019,$CD47,0)</f>
        <v>0</v>
      </c>
      <c r="CJ47" s="1579">
        <f>IF(YEAR('3 pr-2'!$AK47)=2020,$CD47,0)</f>
        <v>0</v>
      </c>
      <c r="CK47" s="1579">
        <f>IF(YEAR('3 pr-2'!$AK47)=2021,$CD47,0)</f>
        <v>0</v>
      </c>
      <c r="CL47" s="1579">
        <f>IF(YEAR('3 pr-2'!$AK47)=2022,$CD47,0)</f>
        <v>0</v>
      </c>
      <c r="CM47" s="1579">
        <f>IF(YEAR('3 pr-2'!$AK47)=2023,$CD47,0)</f>
        <v>0</v>
      </c>
      <c r="CN47" s="350"/>
      <c r="CO47" s="538"/>
      <c r="CP47" s="351"/>
      <c r="CQ47" s="345"/>
      <c r="CR47" s="345"/>
      <c r="CS47" s="345"/>
      <c r="CT47" s="345"/>
      <c r="CU47" s="345"/>
      <c r="CV47" s="345"/>
      <c r="CW47" s="895">
        <f t="shared" ref="CW47:CW72" si="137">SUM(CP47:CV47)</f>
        <v>0</v>
      </c>
      <c r="CX47" s="351"/>
      <c r="CY47" s="1605"/>
      <c r="CZ47" s="1605"/>
      <c r="DA47" s="1594">
        <f>IF(YEAR('3 pr-2'!AK47)=2017,CX47,0)</f>
        <v>0</v>
      </c>
      <c r="DB47" s="1594">
        <f>IF(YEAR('3 pr-2'!AK47)=2018,CX47,0)</f>
        <v>0</v>
      </c>
      <c r="DC47" s="1594">
        <f>IF(YEAR('3 pr-2'!AK47)=2019,CX47,0)</f>
        <v>0</v>
      </c>
      <c r="DD47" s="1594">
        <f>IF(YEAR('3 pr-2'!AK47)=2020,CX47,0)</f>
        <v>0</v>
      </c>
      <c r="DE47" s="1594">
        <f>IF(YEAR('3 pr-2'!AK47)=2021,CX47,0)</f>
        <v>0</v>
      </c>
      <c r="DF47" s="1594">
        <f>IF(YEAR('3 pr-2'!AK47)=2022,CX47,0)</f>
        <v>0</v>
      </c>
      <c r="DG47" s="1594">
        <f>IF(YEAR('3 pr-2'!AK47)=2023,CX47,0)</f>
        <v>0</v>
      </c>
      <c r="DH47" s="350"/>
      <c r="DI47" s="538"/>
      <c r="DJ47" s="351"/>
      <c r="DK47" s="345"/>
      <c r="DL47" s="345"/>
      <c r="DM47" s="345"/>
      <c r="DN47" s="345"/>
      <c r="DO47" s="345"/>
      <c r="DP47" s="345"/>
      <c r="DQ47" s="895">
        <f t="shared" ref="DQ47:DQ56" si="138">SUM(DJ47:DP47)</f>
        <v>0</v>
      </c>
      <c r="DR47" s="351"/>
      <c r="DS47" s="1605"/>
      <c r="DT47" s="1605"/>
      <c r="DU47" s="1594">
        <f>IF(YEAR('3 pr-2'!BF47)=2017,DS47,0)</f>
        <v>0</v>
      </c>
      <c r="DV47" s="1594">
        <f>IF(YEAR('3 pr-2'!BF47)=2018,DS47,0)</f>
        <v>0</v>
      </c>
      <c r="DW47" s="1594">
        <f>IF(YEAR('3 pr-2'!BF47)=2019,DS47,0)</f>
        <v>0</v>
      </c>
      <c r="DX47" s="1594">
        <f>IF(YEAR('3 pr-2'!BF47)=2020,DS47,0)</f>
        <v>0</v>
      </c>
      <c r="DY47" s="1594">
        <f>IF(YEAR('3 pr-2'!BF47)=2021,DS47,0)</f>
        <v>0</v>
      </c>
      <c r="DZ47" s="1594">
        <f>IF(YEAR('3 pr-2'!BF47)=2022,DS47,0)</f>
        <v>0</v>
      </c>
      <c r="EA47" s="1594">
        <f>IF(YEAR('3 pr-2'!BF47)=2023,DS47,0)</f>
        <v>0</v>
      </c>
      <c r="EB47" s="350"/>
      <c r="EC47" s="538"/>
      <c r="ED47" s="333"/>
      <c r="EE47" s="1605"/>
      <c r="EF47" s="1605"/>
      <c r="EG47" s="1594">
        <f>IF(YEAR('3 pr-2'!BP47)=2017,ED47,0)</f>
        <v>0</v>
      </c>
      <c r="EH47" s="1594">
        <f>IF(YEAR('3 pr-2'!BP47)=2018,ED47,0)</f>
        <v>0</v>
      </c>
      <c r="EI47" s="1594">
        <f>IF(YEAR('3 pr-2'!BP47)=2019,ED47,0)</f>
        <v>0</v>
      </c>
      <c r="EJ47" s="1594">
        <f>IF(YEAR('3 pr-2'!BP47)=2020,ED47,0)</f>
        <v>0</v>
      </c>
      <c r="EK47" s="1594">
        <f>IF(YEAR('3 pr-2'!BP47)=2021,ED47,0)</f>
        <v>0</v>
      </c>
      <c r="EL47" s="1594">
        <f>IF(YEAR('3 pr-2'!BP47)=2022,ED47,0)</f>
        <v>0</v>
      </c>
      <c r="EM47" s="1594">
        <f>IF(YEAR('3 pr-2'!BP47)=2023,ED47,0)</f>
        <v>0</v>
      </c>
    </row>
    <row r="48" spans="1:143" ht="49.5" thickTop="1" thickBot="1" x14ac:dyDescent="0.3">
      <c r="A48" s="345" t="str">
        <f>CONCATENATE('3 pr-2'!A48)</f>
        <v>1.1.1.4.2</v>
      </c>
      <c r="B48" s="345" t="str">
        <f>CONCATENATE('3 pr-2'!B48)</f>
        <v>R01-9903-290000-1142</v>
      </c>
      <c r="C48" s="970" t="str">
        <f>CONCATENATE('ketv. 2'!B47)</f>
        <v>07.1.1-CPVA-R-903-11-0001</v>
      </c>
      <c r="D48" s="125" t="str">
        <f>CONCATENATE('3 pr-2'!D48)</f>
        <v>Amatų centro „Menų kalvė“ Druskininkuose įkūrimas</v>
      </c>
      <c r="E48" s="312" t="str">
        <f>CONCATENATE('3 pr-2'!E48)</f>
        <v xml:space="preserve">Druskininkų savivaldybės administracija  </v>
      </c>
      <c r="F48" s="312" t="str">
        <f>CONCATENATE('3 pr-2'!F48)</f>
        <v>Lietuvos Respublikos vidaus reikalų ministerija</v>
      </c>
      <c r="G48" s="312" t="str">
        <f>CONCATENATE('3 pr-2'!G48)</f>
        <v>Druskininkų sav.</v>
      </c>
      <c r="H48" s="345" t="str">
        <f>CONCATENATE('3 pr-2'!H48)</f>
        <v>07.1.1-CPVA-R-903</v>
      </c>
      <c r="I48" s="345" t="str">
        <f>CONCATENATE('3 pr-2'!I48)</f>
        <v>R</v>
      </c>
      <c r="J48" s="345" t="str">
        <f>CONCATENATE('3 pr-2'!J48)</f>
        <v>ITI</v>
      </c>
      <c r="K48" s="345" t="str">
        <f>CONCATENATE('3 pr-2'!K48)</f>
        <v>-</v>
      </c>
      <c r="L48" s="345" t="s">
        <v>466</v>
      </c>
      <c r="M48" s="537" t="s">
        <v>467</v>
      </c>
      <c r="N48" s="345"/>
      <c r="O48" s="345"/>
      <c r="P48" s="345"/>
      <c r="Q48" s="345"/>
      <c r="R48" s="345"/>
      <c r="S48" s="345"/>
      <c r="T48" s="345"/>
      <c r="U48" s="893"/>
      <c r="V48" s="345">
        <v>2113</v>
      </c>
      <c r="W48" s="1581" t="str">
        <f ca="1">IF('ketv. 6 '!$L$47&gt;0,"2113,00",0)</f>
        <v>2113,00</v>
      </c>
      <c r="X48" s="1579">
        <f ca="1">SUM(W48-V48)</f>
        <v>0</v>
      </c>
      <c r="Y48" s="1579">
        <f>IF(YEAR('3 pr-2'!$AK48)=2017,$V48,0)</f>
        <v>0</v>
      </c>
      <c r="Z48" s="1579">
        <f>IF(YEAR('3 pr-2'!$AK48)=2018,$V48,0)</f>
        <v>2113</v>
      </c>
      <c r="AA48" s="1579">
        <f>IF(YEAR('3 pr-2'!$AK48)=2019,$V48,0)</f>
        <v>0</v>
      </c>
      <c r="AB48" s="1579">
        <f>IF(YEAR('3 pr-2'!$AK48)=2020,$V48,0)</f>
        <v>0</v>
      </c>
      <c r="AC48" s="1579">
        <f>IF(YEAR('3 pr-2'!$AK48)=2021,$V48,0)</f>
        <v>0</v>
      </c>
      <c r="AD48" s="1579">
        <f>IF(YEAR('3 pr-2'!$AK48)=2022,$V48,0)</f>
        <v>0</v>
      </c>
      <c r="AE48" s="1579">
        <f>IF(YEAR('3 pr-2'!$AK48)=2023,$V48,0)</f>
        <v>0</v>
      </c>
      <c r="AF48" s="350" t="s">
        <v>468</v>
      </c>
      <c r="AG48" s="537" t="s">
        <v>469</v>
      </c>
      <c r="AH48" s="345"/>
      <c r="AI48" s="345"/>
      <c r="AJ48" s="345"/>
      <c r="AK48" s="345"/>
      <c r="AL48" s="345"/>
      <c r="AM48" s="345"/>
      <c r="AN48" s="345"/>
      <c r="AO48" s="895">
        <f t="shared" si="134"/>
        <v>0</v>
      </c>
      <c r="AP48" s="717">
        <v>690.97</v>
      </c>
      <c r="AQ48" s="1578" t="str">
        <f ca="1">IF('ketv. 6 '!$L$47&gt;0,"690,97",0)</f>
        <v>690,97</v>
      </c>
      <c r="AR48" s="1579">
        <f ca="1">SUM(AQ48-AP48)</f>
        <v>0</v>
      </c>
      <c r="AS48" s="1579">
        <f>IF(YEAR('3 pr-2'!$AK48)=2017,$AP48,0)</f>
        <v>0</v>
      </c>
      <c r="AT48" s="1579">
        <f>IF(YEAR('3 pr-2'!$AK48)=2018,$AP48,0)</f>
        <v>690.97</v>
      </c>
      <c r="AU48" s="1579">
        <f>IF(YEAR('3 pr-2'!$AK48)=2019,$AP48,0)</f>
        <v>0</v>
      </c>
      <c r="AV48" s="1579">
        <f>IF(YEAR('3 pr-2'!$AK48)=2020,$AP48,0)</f>
        <v>0</v>
      </c>
      <c r="AW48" s="1579">
        <f>IF(YEAR('3 pr-2'!$AK48)=2021,$AP48,0)</f>
        <v>0</v>
      </c>
      <c r="AX48" s="1579">
        <f>IF(YEAR('3 pr-2'!$AK48)=2022,$AP48,0)</f>
        <v>0</v>
      </c>
      <c r="AY48" s="1579">
        <f>IF(YEAR('3 pr-2'!$AK48)=2023,$AP48,0)</f>
        <v>0</v>
      </c>
      <c r="AZ48" s="345"/>
      <c r="BA48" s="536"/>
      <c r="BB48" s="345"/>
      <c r="BC48" s="345"/>
      <c r="BD48" s="345"/>
      <c r="BE48" s="345"/>
      <c r="BF48" s="345"/>
      <c r="BG48" s="345"/>
      <c r="BH48" s="345"/>
      <c r="BI48" s="895">
        <f t="shared" si="135"/>
        <v>0</v>
      </c>
      <c r="BJ48" s="345"/>
      <c r="BK48" s="1597"/>
      <c r="BL48" s="1579"/>
      <c r="BM48" s="1579">
        <f>IF(YEAR('3 pr-2'!AK48)=2017,BJ48,0)</f>
        <v>0</v>
      </c>
      <c r="BN48" s="1579">
        <f>IF(YEAR('3 pr-2'!AK48)=2018,BJ48,0)</f>
        <v>0</v>
      </c>
      <c r="BO48" s="1579">
        <f>IF(YEAR('3 pr-2'!AK48)=2019,BJ48,0)</f>
        <v>0</v>
      </c>
      <c r="BP48" s="1579">
        <f>IF(YEAR('3 pr-2'!AK48)=2020,BJ48,0)</f>
        <v>0</v>
      </c>
      <c r="BQ48" s="1579">
        <f>IF(YEAR('3 pr-2'!AK48)=2021,BJ48,0)</f>
        <v>0</v>
      </c>
      <c r="BR48" s="1579">
        <f>IF(YEAR('3 pr-2'!AK48)=2022,BJ48,0)</f>
        <v>0</v>
      </c>
      <c r="BS48" s="1579">
        <f>IF(YEAR('3 pr-2'!AK48)=2023,BJ48,0)</f>
        <v>0</v>
      </c>
      <c r="BT48" s="350"/>
      <c r="BU48" s="537"/>
      <c r="BV48" s="345"/>
      <c r="BW48" s="345"/>
      <c r="BX48" s="345"/>
      <c r="BY48" s="345"/>
      <c r="BZ48" s="345"/>
      <c r="CA48" s="345"/>
      <c r="CB48" s="345"/>
      <c r="CC48" s="895">
        <f t="shared" si="136"/>
        <v>0</v>
      </c>
      <c r="CD48" s="345"/>
      <c r="CE48" s="1579"/>
      <c r="CF48" s="1579"/>
      <c r="CG48" s="1579">
        <f>IF(YEAR('3 pr-2'!$AK48)=2017,$CD48,0)</f>
        <v>0</v>
      </c>
      <c r="CH48" s="1579">
        <f>IF(YEAR('3 pr-2'!$AK48)=2018,$CD48,0)</f>
        <v>0</v>
      </c>
      <c r="CI48" s="1579">
        <f>IF(YEAR('3 pr-2'!$AK48)=2019,$CD48,0)</f>
        <v>0</v>
      </c>
      <c r="CJ48" s="1579">
        <f>IF(YEAR('3 pr-2'!$AK48)=2020,$CD48,0)</f>
        <v>0</v>
      </c>
      <c r="CK48" s="1579">
        <f>IF(YEAR('3 pr-2'!$AK48)=2021,$CD48,0)</f>
        <v>0</v>
      </c>
      <c r="CL48" s="1579">
        <f>IF(YEAR('3 pr-2'!$AK48)=2022,$CD48,0)</f>
        <v>0</v>
      </c>
      <c r="CM48" s="1579">
        <f>IF(YEAR('3 pr-2'!$AK48)=2023,$CD48,0)</f>
        <v>0</v>
      </c>
      <c r="CN48" s="350"/>
      <c r="CO48" s="538"/>
      <c r="CP48" s="351"/>
      <c r="CQ48" s="345"/>
      <c r="CR48" s="345"/>
      <c r="CS48" s="345"/>
      <c r="CT48" s="345"/>
      <c r="CU48" s="345"/>
      <c r="CV48" s="345"/>
      <c r="CW48" s="895">
        <f t="shared" si="137"/>
        <v>0</v>
      </c>
      <c r="CX48" s="351"/>
      <c r="CY48" s="1605"/>
      <c r="CZ48" s="1605"/>
      <c r="DA48" s="1594">
        <f>IF(YEAR('3 pr-2'!AK48)=2017,CX48,0)</f>
        <v>0</v>
      </c>
      <c r="DB48" s="1594">
        <f>IF(YEAR('3 pr-2'!AK48)=2018,CX48,0)</f>
        <v>0</v>
      </c>
      <c r="DC48" s="1594">
        <f>IF(YEAR('3 pr-2'!AK48)=2019,CX48,0)</f>
        <v>0</v>
      </c>
      <c r="DD48" s="1594">
        <f>IF(YEAR('3 pr-2'!AK48)=2020,CX48,0)</f>
        <v>0</v>
      </c>
      <c r="DE48" s="1594">
        <f>IF(YEAR('3 pr-2'!AK48)=2021,CX48,0)</f>
        <v>0</v>
      </c>
      <c r="DF48" s="1594">
        <f>IF(YEAR('3 pr-2'!AK48)=2022,CX48,0)</f>
        <v>0</v>
      </c>
      <c r="DG48" s="1594">
        <f>IF(YEAR('3 pr-2'!AK48)=2023,CX48,0)</f>
        <v>0</v>
      </c>
      <c r="DH48" s="350"/>
      <c r="DI48" s="538"/>
      <c r="DJ48" s="351"/>
      <c r="DK48" s="345"/>
      <c r="DL48" s="345"/>
      <c r="DM48" s="345"/>
      <c r="DN48" s="345"/>
      <c r="DO48" s="345"/>
      <c r="DP48" s="345"/>
      <c r="DQ48" s="895">
        <f t="shared" si="138"/>
        <v>0</v>
      </c>
      <c r="DR48" s="351"/>
      <c r="DS48" s="1605"/>
      <c r="DT48" s="1605"/>
      <c r="DU48" s="1594">
        <f>IF(YEAR('3 pr-2'!BF48)=2017,DS48,0)</f>
        <v>0</v>
      </c>
      <c r="DV48" s="1594">
        <f>IF(YEAR('3 pr-2'!BF48)=2018,DS48,0)</f>
        <v>0</v>
      </c>
      <c r="DW48" s="1594">
        <f>IF(YEAR('3 pr-2'!BF48)=2019,DS48,0)</f>
        <v>0</v>
      </c>
      <c r="DX48" s="1594">
        <f>IF(YEAR('3 pr-2'!BF48)=2020,DS48,0)</f>
        <v>0</v>
      </c>
      <c r="DY48" s="1594">
        <f>IF(YEAR('3 pr-2'!BF48)=2021,DS48,0)</f>
        <v>0</v>
      </c>
      <c r="DZ48" s="1594">
        <f>IF(YEAR('3 pr-2'!BF48)=2022,DS48,0)</f>
        <v>0</v>
      </c>
      <c r="EA48" s="1594">
        <f>IF(YEAR('3 pr-2'!BF48)=2023,DS48,0)</f>
        <v>0</v>
      </c>
      <c r="EB48" s="350"/>
      <c r="EC48" s="538"/>
      <c r="ED48" s="333"/>
      <c r="EE48" s="1605"/>
      <c r="EF48" s="1605"/>
      <c r="EG48" s="1594">
        <f>IF(YEAR('3 pr-2'!BP48)=2017,ED48,0)</f>
        <v>0</v>
      </c>
      <c r="EH48" s="1594">
        <f>IF(YEAR('3 pr-2'!BP48)=2018,ED48,0)</f>
        <v>0</v>
      </c>
      <c r="EI48" s="1594">
        <f>IF(YEAR('3 pr-2'!BP48)=2019,ED48,0)</f>
        <v>0</v>
      </c>
      <c r="EJ48" s="1594">
        <f>IF(YEAR('3 pr-2'!BP48)=2020,ED48,0)</f>
        <v>0</v>
      </c>
      <c r="EK48" s="1594">
        <f>IF(YEAR('3 pr-2'!BP48)=2021,ED48,0)</f>
        <v>0</v>
      </c>
      <c r="EL48" s="1594">
        <f>IF(YEAR('3 pr-2'!BP48)=2022,ED48,0)</f>
        <v>0</v>
      </c>
      <c r="EM48" s="1594">
        <f>IF(YEAR('3 pr-2'!BP48)=2023,ED48,0)</f>
        <v>0</v>
      </c>
    </row>
    <row r="49" spans="1:143" ht="49.5" thickTop="1" thickBot="1" x14ac:dyDescent="0.3">
      <c r="A49" s="345" t="str">
        <f>CONCATENATE('3 pr-2'!A49)</f>
        <v>1.1.1.4.3</v>
      </c>
      <c r="B49" s="345" t="str">
        <f>CONCATENATE('3 pr-2'!B49)</f>
        <v>R01-9903-290000-1143</v>
      </c>
      <c r="C49" s="970" t="str">
        <f>CONCATENATE('ketv. 2'!B48)</f>
        <v>07.1.1-CPVA-R-903-11-0002</v>
      </c>
      <c r="D49" s="125" t="str">
        <f>CONCATENATE('3 pr-2'!D49)</f>
        <v>Lazdijų miesto kompleksinė infrastruktūros plėtra, III etapas</v>
      </c>
      <c r="E49" s="312" t="str">
        <f>CONCATENATE('3 pr-2'!E49)</f>
        <v>Lazdijų rajono savivaldybės administracija</v>
      </c>
      <c r="F49" s="312" t="str">
        <f>CONCATENATE('3 pr-2'!F49)</f>
        <v>Lietuvos Respublikos vidaus reikalų ministerija</v>
      </c>
      <c r="G49" s="312" t="str">
        <f>CONCATENATE('3 pr-2'!G49)</f>
        <v>Lazdijų r. sav.</v>
      </c>
      <c r="H49" s="345" t="str">
        <f>CONCATENATE('3 pr-2'!H49)</f>
        <v>07.1.1-CPVA-R-903</v>
      </c>
      <c r="I49" s="345" t="str">
        <f>CONCATENATE('3 pr-2'!I49)</f>
        <v>R</v>
      </c>
      <c r="J49" s="345" t="str">
        <f>CONCATENATE('3 pr-2'!J49)</f>
        <v>ITI</v>
      </c>
      <c r="K49" s="345" t="str">
        <f>CONCATENATE('3 pr-2'!K49)</f>
        <v>-</v>
      </c>
      <c r="L49" s="345" t="s">
        <v>466</v>
      </c>
      <c r="M49" s="537" t="s">
        <v>470</v>
      </c>
      <c r="N49" s="345"/>
      <c r="O49" s="345"/>
      <c r="P49" s="345"/>
      <c r="Q49" s="345"/>
      <c r="R49" s="345"/>
      <c r="S49" s="345"/>
      <c r="T49" s="345"/>
      <c r="U49" s="893"/>
      <c r="V49" s="345">
        <v>6000</v>
      </c>
      <c r="W49" s="1581" t="str">
        <f ca="1">IF('ketv. 6 '!L48&gt;0,"6000",0)</f>
        <v>6000</v>
      </c>
      <c r="X49" s="1579">
        <f ca="1">SUM(W49-V49)</f>
        <v>0</v>
      </c>
      <c r="Y49" s="1579">
        <f>IF(YEAR('3 pr-2'!$AK49)=2017,$V49,0)</f>
        <v>0</v>
      </c>
      <c r="Z49" s="1579">
        <f>IF(YEAR('3 pr-2'!$AK49)=2018,$V49,0)</f>
        <v>6000</v>
      </c>
      <c r="AA49" s="1579">
        <f>IF(YEAR('3 pr-2'!$AK49)=2019,$V49,0)</f>
        <v>0</v>
      </c>
      <c r="AB49" s="1579">
        <f>IF(YEAR('3 pr-2'!$AK49)=2020,$V49,0)</f>
        <v>0</v>
      </c>
      <c r="AC49" s="1579">
        <f>IF(YEAR('3 pr-2'!$AK49)=2021,$V49,0)</f>
        <v>0</v>
      </c>
      <c r="AD49" s="1579">
        <f>IF(YEAR('3 pr-2'!$AK49)=2022,$V49,0)</f>
        <v>0</v>
      </c>
      <c r="AE49" s="1579">
        <f>IF(YEAR('3 pr-2'!$AK49)=2023,$V49,0)</f>
        <v>0</v>
      </c>
      <c r="AF49" s="350"/>
      <c r="AG49" s="537"/>
      <c r="AH49" s="345"/>
      <c r="AI49" s="345"/>
      <c r="AJ49" s="345"/>
      <c r="AK49" s="345"/>
      <c r="AL49" s="345"/>
      <c r="AM49" s="345"/>
      <c r="AN49" s="345"/>
      <c r="AO49" s="895">
        <f t="shared" si="134"/>
        <v>0</v>
      </c>
      <c r="AP49" s="345"/>
      <c r="AQ49" s="1597"/>
      <c r="AR49" s="1579"/>
      <c r="AS49" s="1579">
        <f>IF(YEAR('3 pr-2'!$AK49)=2017,$AP49,0)</f>
        <v>0</v>
      </c>
      <c r="AT49" s="1579">
        <f>IF(YEAR('3 pr-2'!$AK49)=2018,$AP49,0)</f>
        <v>0</v>
      </c>
      <c r="AU49" s="1579">
        <f>IF(YEAR('3 pr-2'!$AK49)=2019,$AP49,0)</f>
        <v>0</v>
      </c>
      <c r="AV49" s="1579">
        <f>IF(YEAR('3 pr-2'!$AK49)=2020,$AP49,0)</f>
        <v>0</v>
      </c>
      <c r="AW49" s="1579">
        <f>IF(YEAR('3 pr-2'!$AK49)=2021,$AP49,0)</f>
        <v>0</v>
      </c>
      <c r="AX49" s="1579">
        <f>IF(YEAR('3 pr-2'!$AK49)=2022,$AP49,0)</f>
        <v>0</v>
      </c>
      <c r="AY49" s="1579">
        <f>IF(YEAR('3 pr-2'!$AK49)=2023,$AP49,0)</f>
        <v>0</v>
      </c>
      <c r="AZ49" s="345"/>
      <c r="BA49" s="536"/>
      <c r="BB49" s="345"/>
      <c r="BC49" s="345"/>
      <c r="BD49" s="345"/>
      <c r="BE49" s="345"/>
      <c r="BF49" s="345"/>
      <c r="BG49" s="345"/>
      <c r="BH49" s="345"/>
      <c r="BI49" s="895">
        <f t="shared" si="135"/>
        <v>0</v>
      </c>
      <c r="BJ49" s="345"/>
      <c r="BK49" s="1597"/>
      <c r="BL49" s="1579"/>
      <c r="BM49" s="1579">
        <f>IF(YEAR('3 pr-2'!AK49)=2017,BJ49,0)</f>
        <v>0</v>
      </c>
      <c r="BN49" s="1579">
        <f>IF(YEAR('3 pr-2'!AK49)=2018,BJ49,0)</f>
        <v>0</v>
      </c>
      <c r="BO49" s="1579">
        <f>IF(YEAR('3 pr-2'!AK49)=2019,BJ49,0)</f>
        <v>0</v>
      </c>
      <c r="BP49" s="1579">
        <f>IF(YEAR('3 pr-2'!AK49)=2020,BJ49,0)</f>
        <v>0</v>
      </c>
      <c r="BQ49" s="1579">
        <f>IF(YEAR('3 pr-2'!AK49)=2021,BJ49,0)</f>
        <v>0</v>
      </c>
      <c r="BR49" s="1579">
        <f>IF(YEAR('3 pr-2'!AK49)=2022,BJ49,0)</f>
        <v>0</v>
      </c>
      <c r="BS49" s="1579">
        <f>IF(YEAR('3 pr-2'!AK49)=2023,BJ49,0)</f>
        <v>0</v>
      </c>
      <c r="BT49" s="350"/>
      <c r="BU49" s="537"/>
      <c r="BV49" s="345"/>
      <c r="BW49" s="345"/>
      <c r="BX49" s="345"/>
      <c r="BY49" s="345"/>
      <c r="BZ49" s="345"/>
      <c r="CA49" s="345"/>
      <c r="CB49" s="345"/>
      <c r="CC49" s="895">
        <f t="shared" si="136"/>
        <v>0</v>
      </c>
      <c r="CD49" s="345"/>
      <c r="CE49" s="1579"/>
      <c r="CF49" s="1579"/>
      <c r="CG49" s="1579">
        <f>IF(YEAR('3 pr-2'!$AK49)=2017,$CD49,0)</f>
        <v>0</v>
      </c>
      <c r="CH49" s="1579">
        <f>IF(YEAR('3 pr-2'!$AK49)=2018,$CD49,0)</f>
        <v>0</v>
      </c>
      <c r="CI49" s="1579">
        <f>IF(YEAR('3 pr-2'!$AK49)=2019,$CD49,0)</f>
        <v>0</v>
      </c>
      <c r="CJ49" s="1579">
        <f>IF(YEAR('3 pr-2'!$AK49)=2020,$CD49,0)</f>
        <v>0</v>
      </c>
      <c r="CK49" s="1579">
        <f>IF(YEAR('3 pr-2'!$AK49)=2021,$CD49,0)</f>
        <v>0</v>
      </c>
      <c r="CL49" s="1579">
        <f>IF(YEAR('3 pr-2'!$AK49)=2022,$CD49,0)</f>
        <v>0</v>
      </c>
      <c r="CM49" s="1579">
        <f>IF(YEAR('3 pr-2'!$AK49)=2023,$CD49,0)</f>
        <v>0</v>
      </c>
      <c r="CN49" s="350"/>
      <c r="CO49" s="538"/>
      <c r="CP49" s="351"/>
      <c r="CQ49" s="345"/>
      <c r="CR49" s="345"/>
      <c r="CS49" s="345"/>
      <c r="CT49" s="345"/>
      <c r="CU49" s="345"/>
      <c r="CV49" s="345"/>
      <c r="CW49" s="895">
        <f t="shared" si="137"/>
        <v>0</v>
      </c>
      <c r="CX49" s="351"/>
      <c r="CY49" s="1605"/>
      <c r="CZ49" s="1605"/>
      <c r="DA49" s="1594">
        <f>IF(YEAR('3 pr-2'!AK49)=2017,CX49,0)</f>
        <v>0</v>
      </c>
      <c r="DB49" s="1594">
        <f>IF(YEAR('3 pr-2'!AK49)=2018,CX49,0)</f>
        <v>0</v>
      </c>
      <c r="DC49" s="1594">
        <f>IF(YEAR('3 pr-2'!AK49)=2019,CX49,0)</f>
        <v>0</v>
      </c>
      <c r="DD49" s="1594">
        <f>IF(YEAR('3 pr-2'!AK49)=2020,CX49,0)</f>
        <v>0</v>
      </c>
      <c r="DE49" s="1594">
        <f>IF(YEAR('3 pr-2'!AK49)=2021,CX49,0)</f>
        <v>0</v>
      </c>
      <c r="DF49" s="1594">
        <f>IF(YEAR('3 pr-2'!AK49)=2022,CX49,0)</f>
        <v>0</v>
      </c>
      <c r="DG49" s="1594">
        <f>IF(YEAR('3 pr-2'!AK49)=2023,CX49,0)</f>
        <v>0</v>
      </c>
      <c r="DH49" s="350"/>
      <c r="DI49" s="538"/>
      <c r="DJ49" s="351"/>
      <c r="DK49" s="345"/>
      <c r="DL49" s="345"/>
      <c r="DM49" s="345"/>
      <c r="DN49" s="345"/>
      <c r="DO49" s="345"/>
      <c r="DP49" s="345"/>
      <c r="DQ49" s="895">
        <f t="shared" si="138"/>
        <v>0</v>
      </c>
      <c r="DR49" s="351"/>
      <c r="DS49" s="1605"/>
      <c r="DT49" s="1605"/>
      <c r="DU49" s="1594">
        <f>IF(YEAR('3 pr-2'!BF49)=2017,DS49,0)</f>
        <v>0</v>
      </c>
      <c r="DV49" s="1594">
        <f>IF(YEAR('3 pr-2'!BF49)=2018,DS49,0)</f>
        <v>0</v>
      </c>
      <c r="DW49" s="1594">
        <f>IF(YEAR('3 pr-2'!BF49)=2019,DS49,0)</f>
        <v>0</v>
      </c>
      <c r="DX49" s="1594">
        <f>IF(YEAR('3 pr-2'!BF49)=2020,DS49,0)</f>
        <v>0</v>
      </c>
      <c r="DY49" s="1594">
        <f>IF(YEAR('3 pr-2'!BF49)=2021,DS49,0)</f>
        <v>0</v>
      </c>
      <c r="DZ49" s="1594">
        <f>IF(YEAR('3 pr-2'!BF49)=2022,DS49,0)</f>
        <v>0</v>
      </c>
      <c r="EA49" s="1594">
        <f>IF(YEAR('3 pr-2'!BF49)=2023,DS49,0)</f>
        <v>0</v>
      </c>
      <c r="EB49" s="350"/>
      <c r="EC49" s="538"/>
      <c r="ED49" s="333"/>
      <c r="EE49" s="1605"/>
      <c r="EF49" s="1605"/>
      <c r="EG49" s="1594">
        <f>IF(YEAR('3 pr-2'!BP49)=2017,ED49,0)</f>
        <v>0</v>
      </c>
      <c r="EH49" s="1594">
        <f>IF(YEAR('3 pr-2'!BP49)=2018,ED49,0)</f>
        <v>0</v>
      </c>
      <c r="EI49" s="1594">
        <f>IF(YEAR('3 pr-2'!BP49)=2019,ED49,0)</f>
        <v>0</v>
      </c>
      <c r="EJ49" s="1594">
        <f>IF(YEAR('3 pr-2'!BP49)=2020,ED49,0)</f>
        <v>0</v>
      </c>
      <c r="EK49" s="1594">
        <f>IF(YEAR('3 pr-2'!BP49)=2021,ED49,0)</f>
        <v>0</v>
      </c>
      <c r="EL49" s="1594">
        <f>IF(YEAR('3 pr-2'!BP49)=2022,ED49,0)</f>
        <v>0</v>
      </c>
      <c r="EM49" s="1594">
        <f>IF(YEAR('3 pr-2'!BP49)=2023,ED49,0)</f>
        <v>0</v>
      </c>
    </row>
    <row r="50" spans="1:143" ht="28.5" customHeight="1" thickBot="1" x14ac:dyDescent="0.3">
      <c r="A50" s="824" t="str">
        <f>CONCATENATE('3 pr-2'!A50)</f>
        <v>1.1.1.5</v>
      </c>
      <c r="B50" s="1926" t="str">
        <f>CONCATENATE('3 pr-2'!B50)</f>
        <v xml:space="preserve">Priemonė:
Geriamojo vandens tiekimo ir nuotekų tvarkymo sistemų renovavimas ir plėtra, įmonių valdymo tobulinimas </v>
      </c>
      <c r="C50" s="1927"/>
      <c r="D50" s="1927"/>
      <c r="E50" s="1927"/>
      <c r="F50" s="1927"/>
      <c r="G50" s="1927"/>
      <c r="H50" s="1927"/>
      <c r="I50" s="1927"/>
      <c r="J50" s="1927"/>
      <c r="K50" s="1928"/>
      <c r="L50" s="1312"/>
      <c r="M50" s="540"/>
      <c r="N50" s="864">
        <f>SUM(N51:N55)</f>
        <v>0</v>
      </c>
      <c r="O50" s="864">
        <f t="shared" ref="O50:T50" si="139">SUM(O51:O55)</f>
        <v>0</v>
      </c>
      <c r="P50" s="864">
        <f t="shared" si="139"/>
        <v>0</v>
      </c>
      <c r="Q50" s="864">
        <f t="shared" si="139"/>
        <v>0</v>
      </c>
      <c r="R50" s="864">
        <f t="shared" si="139"/>
        <v>0</v>
      </c>
      <c r="S50" s="864">
        <f t="shared" si="139"/>
        <v>0</v>
      </c>
      <c r="T50" s="864">
        <f t="shared" si="139"/>
        <v>0</v>
      </c>
      <c r="U50" s="1312">
        <f t="shared" ref="U50" si="140">SUM(N50:T50)</f>
        <v>0</v>
      </c>
      <c r="V50" s="864"/>
      <c r="W50" s="1575"/>
      <c r="X50" s="1576"/>
      <c r="Y50" s="1582">
        <f t="shared" ref="Y50:AE50" si="141">SUM(Y51:Y55)</f>
        <v>0</v>
      </c>
      <c r="Z50" s="1582">
        <f t="shared" si="141"/>
        <v>0</v>
      </c>
      <c r="AA50" s="1582">
        <f t="shared" si="141"/>
        <v>240</v>
      </c>
      <c r="AB50" s="1582">
        <f t="shared" si="141"/>
        <v>238</v>
      </c>
      <c r="AC50" s="1582">
        <f t="shared" si="141"/>
        <v>422</v>
      </c>
      <c r="AD50" s="1582">
        <f t="shared" si="141"/>
        <v>0</v>
      </c>
      <c r="AE50" s="1582">
        <f t="shared" si="141"/>
        <v>0</v>
      </c>
      <c r="AF50" s="878"/>
      <c r="AG50" s="889"/>
      <c r="AH50" s="864">
        <f>SUM(AH51:AH55)</f>
        <v>0</v>
      </c>
      <c r="AI50" s="864">
        <f t="shared" ref="AI50" si="142">SUM(AI51:AI55)</f>
        <v>0</v>
      </c>
      <c r="AJ50" s="864">
        <f t="shared" ref="AJ50" si="143">SUM(AJ51:AJ55)</f>
        <v>0</v>
      </c>
      <c r="AK50" s="864">
        <f t="shared" ref="AK50" si="144">SUM(AK51:AK55)</f>
        <v>0</v>
      </c>
      <c r="AL50" s="864">
        <f t="shared" ref="AL50" si="145">SUM(AL51:AL55)</f>
        <v>0</v>
      </c>
      <c r="AM50" s="864">
        <f t="shared" ref="AM50" si="146">SUM(AM51:AM55)</f>
        <v>0</v>
      </c>
      <c r="AN50" s="864">
        <f t="shared" ref="AN50" si="147">SUM(AN51:AN55)</f>
        <v>0</v>
      </c>
      <c r="AO50" s="864">
        <f t="shared" si="134"/>
        <v>0</v>
      </c>
      <c r="AP50" s="864"/>
      <c r="AQ50" s="1582"/>
      <c r="AR50" s="1582"/>
      <c r="AS50" s="1582">
        <f t="shared" ref="AS50" si="148">SUM(AS51:AS55)</f>
        <v>0</v>
      </c>
      <c r="AT50" s="1582">
        <f t="shared" ref="AT50" si="149">SUM(AT51:AT55)</f>
        <v>0</v>
      </c>
      <c r="AU50" s="1582">
        <f t="shared" ref="AU50" si="150">SUM(AU51:AU55)</f>
        <v>0</v>
      </c>
      <c r="AV50" s="1582">
        <f t="shared" ref="AV50" si="151">SUM(AV51:AV55)</f>
        <v>25450</v>
      </c>
      <c r="AW50" s="1582">
        <f t="shared" ref="AW50" si="152">SUM(AW51:AW55)</f>
        <v>15887</v>
      </c>
      <c r="AX50" s="1582">
        <f t="shared" ref="AX50" si="153">SUM(AX51:AX55)</f>
        <v>0</v>
      </c>
      <c r="AY50" s="1582">
        <f t="shared" ref="AY50" si="154">SUM(AY51:AY55)</f>
        <v>0</v>
      </c>
      <c r="AZ50" s="864"/>
      <c r="BA50" s="889"/>
      <c r="BB50" s="864">
        <f>SUM(BB51:BB55)</f>
        <v>0</v>
      </c>
      <c r="BC50" s="864">
        <f t="shared" ref="BC50" si="155">SUM(BC51:BC55)</f>
        <v>0</v>
      </c>
      <c r="BD50" s="864">
        <f t="shared" ref="BD50" si="156">SUM(BD51:BD55)</f>
        <v>0</v>
      </c>
      <c r="BE50" s="864">
        <f t="shared" ref="BE50" si="157">SUM(BE51:BE55)</f>
        <v>0</v>
      </c>
      <c r="BF50" s="864">
        <f t="shared" ref="BF50" si="158">SUM(BF51:BF55)</f>
        <v>0</v>
      </c>
      <c r="BG50" s="864">
        <f t="shared" ref="BG50" si="159">SUM(BG51:BG55)</f>
        <v>0</v>
      </c>
      <c r="BH50" s="864">
        <f t="shared" ref="BH50" si="160">SUM(BH51:BH55)</f>
        <v>0</v>
      </c>
      <c r="BI50" s="864">
        <f t="shared" ref="BI50:BI72" si="161">SUM(BB50:BH50)</f>
        <v>0</v>
      </c>
      <c r="BJ50" s="864"/>
      <c r="BK50" s="1582"/>
      <c r="BL50" s="1582"/>
      <c r="BM50" s="1582">
        <f t="shared" ref="BM50" si="162">SUM(BM51:BM55)</f>
        <v>0</v>
      </c>
      <c r="BN50" s="1582">
        <f t="shared" ref="BN50" si="163">SUM(BN51:BN55)</f>
        <v>0</v>
      </c>
      <c r="BO50" s="1582">
        <f t="shared" ref="BO50" si="164">SUM(BO51:BO55)</f>
        <v>210</v>
      </c>
      <c r="BP50" s="1582">
        <f t="shared" ref="BP50" si="165">SUM(BP51:BP55)</f>
        <v>798</v>
      </c>
      <c r="BQ50" s="1582">
        <f t="shared" ref="BQ50" si="166">SUM(BQ51:BQ55)</f>
        <v>431</v>
      </c>
      <c r="BR50" s="1582">
        <f t="shared" ref="BR50" si="167">SUM(BR51:BR55)</f>
        <v>0</v>
      </c>
      <c r="BS50" s="1582">
        <f t="shared" ref="BS50" si="168">SUM(BS51:BS55)</f>
        <v>0</v>
      </c>
      <c r="BT50" s="864"/>
      <c r="BU50" s="540"/>
      <c r="BV50" s="864">
        <f>SUM(BV51:BV55)</f>
        <v>0</v>
      </c>
      <c r="BW50" s="864">
        <f t="shared" ref="BW50" si="169">SUM(BW51:BW55)</f>
        <v>0</v>
      </c>
      <c r="BX50" s="864">
        <f t="shared" ref="BX50" si="170">SUM(BX51:BX55)</f>
        <v>0</v>
      </c>
      <c r="BY50" s="864">
        <f t="shared" ref="BY50" si="171">SUM(BY51:BY55)</f>
        <v>0</v>
      </c>
      <c r="BZ50" s="864">
        <f t="shared" ref="BZ50" si="172">SUM(BZ51:BZ55)</f>
        <v>0</v>
      </c>
      <c r="CA50" s="864">
        <f t="shared" ref="CA50" si="173">SUM(CA51:CA55)</f>
        <v>0</v>
      </c>
      <c r="CB50" s="864">
        <f t="shared" ref="CB50" si="174">SUM(CB51:CB55)</f>
        <v>0</v>
      </c>
      <c r="CC50" s="864">
        <f t="shared" si="136"/>
        <v>0</v>
      </c>
      <c r="CD50" s="864"/>
      <c r="CE50" s="1582"/>
      <c r="CF50" s="1582"/>
      <c r="CG50" s="1582">
        <f t="shared" ref="CG50" si="175">SUM(CG51:CG55)</f>
        <v>0</v>
      </c>
      <c r="CH50" s="1582">
        <f t="shared" ref="CH50" si="176">SUM(CH51:CH55)</f>
        <v>0</v>
      </c>
      <c r="CI50" s="1582">
        <f t="shared" ref="CI50" si="177">SUM(CI51:CI55)</f>
        <v>210</v>
      </c>
      <c r="CJ50" s="1582">
        <f t="shared" ref="CJ50" si="178">SUM(CJ51:CJ55)</f>
        <v>1239</v>
      </c>
      <c r="CK50" s="1582">
        <f t="shared" ref="CK50" si="179">SUM(CK51:CK55)</f>
        <v>0</v>
      </c>
      <c r="CL50" s="1582">
        <f t="shared" ref="CL50" si="180">SUM(CL51:CL55)</f>
        <v>0</v>
      </c>
      <c r="CM50" s="1582">
        <f t="shared" ref="CM50" si="181">SUM(CM51:CM55)</f>
        <v>0</v>
      </c>
      <c r="CN50" s="1312"/>
      <c r="CO50" s="540"/>
      <c r="CP50" s="896">
        <f>SUM(CP51:CP55)</f>
        <v>0</v>
      </c>
      <c r="CQ50" s="864">
        <f t="shared" ref="CQ50" si="182">SUM(CQ51:CQ55)</f>
        <v>0</v>
      </c>
      <c r="CR50" s="864">
        <f t="shared" ref="CR50" si="183">SUM(CR51:CR55)</f>
        <v>0</v>
      </c>
      <c r="CS50" s="864">
        <f t="shared" ref="CS50" si="184">SUM(CS51:CS55)</f>
        <v>0</v>
      </c>
      <c r="CT50" s="864">
        <f t="shared" ref="CT50" si="185">SUM(CT51:CT55)</f>
        <v>0</v>
      </c>
      <c r="CU50" s="864">
        <f t="shared" ref="CU50" si="186">SUM(CU51:CU55)</f>
        <v>0</v>
      </c>
      <c r="CV50" s="864">
        <f t="shared" ref="CV50" si="187">SUM(CV51:CV55)</f>
        <v>0</v>
      </c>
      <c r="CW50" s="864">
        <f t="shared" si="137"/>
        <v>0</v>
      </c>
      <c r="CX50" s="864"/>
      <c r="CY50" s="1594"/>
      <c r="CZ50" s="1594"/>
      <c r="DA50" s="1594">
        <f t="shared" ref="DA50" si="188">SUM(DA51:DA55)</f>
        <v>0</v>
      </c>
      <c r="DB50" s="1594">
        <f t="shared" ref="DB50" si="189">SUM(DB51:DB55)</f>
        <v>0</v>
      </c>
      <c r="DC50" s="1594">
        <f t="shared" ref="DC50" si="190">SUM(DC51:DC55)</f>
        <v>0</v>
      </c>
      <c r="DD50" s="1594">
        <f t="shared" ref="DD50" si="191">SUM(DD51:DD55)</f>
        <v>19.32</v>
      </c>
      <c r="DE50" s="1594">
        <f t="shared" ref="DE50" si="192">SUM(DE51:DE55)</f>
        <v>3.2</v>
      </c>
      <c r="DF50" s="1594">
        <f t="shared" ref="DF50" si="193">SUM(DF51:DF55)</f>
        <v>0</v>
      </c>
      <c r="DG50" s="1594">
        <f t="shared" ref="DG50" si="194">SUM(DG51:DG55)</f>
        <v>0</v>
      </c>
      <c r="DH50" s="1566"/>
      <c r="DI50" s="540"/>
      <c r="DJ50" s="896">
        <f>SUM(DJ51:DJ55)</f>
        <v>0</v>
      </c>
      <c r="DK50" s="864">
        <f t="shared" ref="DK50:DP50" si="195">SUM(DK51:DK55)</f>
        <v>0</v>
      </c>
      <c r="DL50" s="864">
        <f t="shared" si="195"/>
        <v>0</v>
      </c>
      <c r="DM50" s="864">
        <f t="shared" si="195"/>
        <v>0</v>
      </c>
      <c r="DN50" s="864">
        <f t="shared" si="195"/>
        <v>0</v>
      </c>
      <c r="DO50" s="864">
        <f t="shared" si="195"/>
        <v>0</v>
      </c>
      <c r="DP50" s="864">
        <f t="shared" si="195"/>
        <v>0</v>
      </c>
      <c r="DQ50" s="864">
        <f t="shared" si="138"/>
        <v>0</v>
      </c>
      <c r="DR50" s="864"/>
      <c r="DS50" s="1594"/>
      <c r="DT50" s="1594"/>
      <c r="DU50" s="1594">
        <f t="shared" ref="DU50:EA50" si="196">SUM(DU51:DU55)</f>
        <v>0</v>
      </c>
      <c r="DV50" s="1594">
        <f t="shared" si="196"/>
        <v>0</v>
      </c>
      <c r="DW50" s="1594">
        <f t="shared" si="196"/>
        <v>0</v>
      </c>
      <c r="DX50" s="1594">
        <f t="shared" si="196"/>
        <v>26260</v>
      </c>
      <c r="DY50" s="1594">
        <f t="shared" si="196"/>
        <v>0</v>
      </c>
      <c r="DZ50" s="1594">
        <f t="shared" si="196"/>
        <v>0</v>
      </c>
      <c r="EA50" s="1594">
        <f t="shared" si="196"/>
        <v>0</v>
      </c>
      <c r="EB50" s="1566"/>
      <c r="EC50" s="540"/>
      <c r="ED50" s="890"/>
      <c r="EE50" s="1594"/>
      <c r="EF50" s="1594"/>
      <c r="EG50" s="1594">
        <f t="shared" ref="EG50:EM50" si="197">SUM(EG51:EG55)</f>
        <v>0</v>
      </c>
      <c r="EH50" s="1594">
        <f t="shared" si="197"/>
        <v>0</v>
      </c>
      <c r="EI50" s="1594">
        <f t="shared" si="197"/>
        <v>0</v>
      </c>
      <c r="EJ50" s="1594">
        <f t="shared" si="197"/>
        <v>0</v>
      </c>
      <c r="EK50" s="1594">
        <f t="shared" si="197"/>
        <v>0</v>
      </c>
      <c r="EL50" s="1594">
        <f t="shared" si="197"/>
        <v>0</v>
      </c>
      <c r="EM50" s="1594">
        <f t="shared" si="197"/>
        <v>0</v>
      </c>
    </row>
    <row r="51" spans="1:143" ht="64.5" thickTop="1" thickBot="1" x14ac:dyDescent="0.3">
      <c r="A51" s="345" t="str">
        <f>CONCATENATE('3 pr-2'!A51)</f>
        <v>1.1.1.5.1</v>
      </c>
      <c r="B51" s="345" t="str">
        <f>CONCATENATE('3 pr-2'!B51)</f>
        <v>R01-0014-060700-1151</v>
      </c>
      <c r="C51" s="970" t="str">
        <f>CONCATENATE('ketv. 2'!B50)</f>
        <v>05.3.2-APVA-R-014-11-0001</v>
      </c>
      <c r="D51" s="125" t="str">
        <f>CONCATENATE('3 pr-2'!D51)</f>
        <v>Geriamojo vandens tiekimo ir nuotekų tvarkymo sistemų renovavimas ir plėtra Varėnos rajone</v>
      </c>
      <c r="E51" s="312" t="str">
        <f>CONCATENATE('3 pr-2'!E51)</f>
        <v>UAB „Varėnos vandenys“</v>
      </c>
      <c r="F51" s="312" t="str">
        <f>CONCATENATE('3 pr-2'!F51)</f>
        <v>Lietuvos Respublikos aplinkos ministerija</v>
      </c>
      <c r="G51" s="312" t="str">
        <f>CONCATENATE('3 pr-2'!G51)</f>
        <v>Varėnos r. sav.</v>
      </c>
      <c r="H51" s="345" t="str">
        <f>CONCATENATE('3 pr-2'!H51)</f>
        <v>05.3.2-APVA-R-014</v>
      </c>
      <c r="I51" s="345" t="str">
        <f>CONCATENATE('3 pr-2'!I51)</f>
        <v>R</v>
      </c>
      <c r="J51" s="345" t="str">
        <f>CONCATENATE('3 pr-2'!J51)</f>
        <v>ITI</v>
      </c>
      <c r="K51" s="345" t="str">
        <f>CONCATENATE('3 pr-2'!K51)</f>
        <v>-</v>
      </c>
      <c r="L51" s="345" t="s">
        <v>471</v>
      </c>
      <c r="M51" s="537" t="s">
        <v>472</v>
      </c>
      <c r="N51" s="345"/>
      <c r="O51" s="345"/>
      <c r="P51" s="345"/>
      <c r="Q51" s="345"/>
      <c r="R51" s="345"/>
      <c r="S51" s="345"/>
      <c r="T51" s="345"/>
      <c r="U51" s="893"/>
      <c r="V51" s="345">
        <v>148</v>
      </c>
      <c r="W51" s="1578" t="str">
        <f ca="1">IF('ketv. 6 '!L50&gt;0,"148",0)</f>
        <v>148</v>
      </c>
      <c r="X51" s="1579">
        <f ca="1">SUM(W51-V51)</f>
        <v>0</v>
      </c>
      <c r="Y51" s="1579">
        <f>IF(YEAR('3 pr-2'!$AK51)=2017,$V51,0)</f>
        <v>0</v>
      </c>
      <c r="Z51" s="1579">
        <f>IF(YEAR('3 pr-2'!$AK51)=2018,$V51,0)</f>
        <v>0</v>
      </c>
      <c r="AA51" s="1579">
        <f>IF(YEAR('3 pr-2'!$AK51)=2019,$V51,0)</f>
        <v>0</v>
      </c>
      <c r="AB51" s="1579">
        <f>IF(YEAR('3 pr-2'!$AK51)=2020,$V51,0)</f>
        <v>148</v>
      </c>
      <c r="AC51" s="1579">
        <f>IF(YEAR('3 pr-2'!$AK51)=2021,$V51,0)</f>
        <v>0</v>
      </c>
      <c r="AD51" s="1579">
        <f>IF(YEAR('3 pr-2'!$AK51)=2022,$V51,0)</f>
        <v>0</v>
      </c>
      <c r="AE51" s="1579">
        <f>IF(YEAR('3 pr-2'!$AK51)=2023,$V51,0)</f>
        <v>0</v>
      </c>
      <c r="AF51" s="350"/>
      <c r="AG51" s="537"/>
      <c r="AH51" s="345"/>
      <c r="AI51" s="345"/>
      <c r="AJ51" s="345"/>
      <c r="AK51" s="345"/>
      <c r="AL51" s="345"/>
      <c r="AM51" s="345"/>
      <c r="AN51" s="345"/>
      <c r="AO51" s="895">
        <f t="shared" si="134"/>
        <v>0</v>
      </c>
      <c r="AP51" s="345"/>
      <c r="AQ51" s="1597"/>
      <c r="AR51" s="1579"/>
      <c r="AS51" s="1579">
        <f>IF(YEAR('3 pr-2'!$AK51)=2017,$AP51,0)</f>
        <v>0</v>
      </c>
      <c r="AT51" s="1579">
        <f>IF(YEAR('3 pr-2'!$AK51)=2018,$AP51,0)</f>
        <v>0</v>
      </c>
      <c r="AU51" s="1579">
        <f>IF(YEAR('3 pr-2'!$AK51)=2019,$AP51,0)</f>
        <v>0</v>
      </c>
      <c r="AV51" s="1579">
        <f>IF(YEAR('3 pr-2'!$AK51)=2020,$AP51,0)</f>
        <v>0</v>
      </c>
      <c r="AW51" s="1579">
        <f>IF(YEAR('3 pr-2'!$AK51)=2021,$AP51,0)</f>
        <v>0</v>
      </c>
      <c r="AX51" s="1579">
        <f>IF(YEAR('3 pr-2'!$AK51)=2022,$AP51,0)</f>
        <v>0</v>
      </c>
      <c r="AY51" s="1579">
        <f>IF(YEAR('3 pr-2'!$AK51)=2023,$AP51,0)</f>
        <v>0</v>
      </c>
      <c r="AZ51" s="345" t="s">
        <v>473</v>
      </c>
      <c r="BA51" s="536" t="s">
        <v>474</v>
      </c>
      <c r="BB51" s="345"/>
      <c r="BC51" s="345"/>
      <c r="BD51" s="345"/>
      <c r="BE51" s="345"/>
      <c r="BF51" s="345"/>
      <c r="BG51" s="345"/>
      <c r="BH51" s="345"/>
      <c r="BI51" s="895">
        <f t="shared" si="161"/>
        <v>0</v>
      </c>
      <c r="BJ51" s="345">
        <v>387</v>
      </c>
      <c r="BK51" s="1597">
        <v>387</v>
      </c>
      <c r="BL51" s="1579">
        <f>SUM(BK51-BJ51)</f>
        <v>0</v>
      </c>
      <c r="BM51" s="1579">
        <f>IF(YEAR('3 pr-2'!AK51)=2017,BJ51,0)</f>
        <v>0</v>
      </c>
      <c r="BN51" s="1579">
        <f>IF(YEAR('3 pr-2'!AK51)=2018,BJ51,0)</f>
        <v>0</v>
      </c>
      <c r="BO51" s="1579">
        <f>IF(YEAR('3 pr-2'!AK51)=2019,BJ51,0)</f>
        <v>0</v>
      </c>
      <c r="BP51" s="1579">
        <f>IF(YEAR('3 pr-2'!AK51)=2020,BJ51,0)</f>
        <v>387</v>
      </c>
      <c r="BQ51" s="1579">
        <f>IF(YEAR('3 pr-2'!AK51)=2021,BJ51,0)</f>
        <v>0</v>
      </c>
      <c r="BR51" s="1579">
        <f>IF(YEAR('3 pr-2'!AK51)=2022,BJ51,0)</f>
        <v>0</v>
      </c>
      <c r="BS51" s="1579">
        <f>IF(YEAR('3 pr-2'!AK51)=2023,BJ51,0)</f>
        <v>0</v>
      </c>
      <c r="BT51" s="350" t="s">
        <v>475</v>
      </c>
      <c r="BU51" s="537" t="s">
        <v>476</v>
      </c>
      <c r="BV51" s="345"/>
      <c r="BW51" s="345"/>
      <c r="BX51" s="345"/>
      <c r="BY51" s="345"/>
      <c r="BZ51" s="345"/>
      <c r="CA51" s="345"/>
      <c r="CB51" s="345"/>
      <c r="CC51" s="895">
        <f t="shared" si="136"/>
        <v>0</v>
      </c>
      <c r="CD51" s="345">
        <v>828</v>
      </c>
      <c r="CE51" s="1579">
        <v>828</v>
      </c>
      <c r="CF51" s="1579">
        <f>SUM(CE51-CD51)</f>
        <v>0</v>
      </c>
      <c r="CG51" s="1579">
        <f>IF(YEAR('3 pr-2'!$AK51)=2017,$CD51,0)</f>
        <v>0</v>
      </c>
      <c r="CH51" s="1579">
        <f>IF(YEAR('3 pr-2'!$AK51)=2018,$CD51,0)</f>
        <v>0</v>
      </c>
      <c r="CI51" s="1579">
        <f>IF(YEAR('3 pr-2'!$AK51)=2019,$CD51,0)</f>
        <v>0</v>
      </c>
      <c r="CJ51" s="1579">
        <f>IF(YEAR('3 pr-2'!$AK51)=2020,$CD51,0)</f>
        <v>828</v>
      </c>
      <c r="CK51" s="1579">
        <f>IF(YEAR('3 pr-2'!$AK51)=2021,$CD51,0)</f>
        <v>0</v>
      </c>
      <c r="CL51" s="1579">
        <f>IF(YEAR('3 pr-2'!$AK51)=2022,$CD51,0)</f>
        <v>0</v>
      </c>
      <c r="CM51" s="1579">
        <f>IF(YEAR('3 pr-2'!$AK51)=2023,$CD51,0)</f>
        <v>0</v>
      </c>
      <c r="CN51" s="350" t="s">
        <v>477</v>
      </c>
      <c r="CO51" s="538" t="s">
        <v>478</v>
      </c>
      <c r="CP51" s="351"/>
      <c r="CQ51" s="345"/>
      <c r="CR51" s="345"/>
      <c r="CS51" s="345"/>
      <c r="CT51" s="345"/>
      <c r="CU51" s="345"/>
      <c r="CV51" s="345"/>
      <c r="CW51" s="895">
        <f t="shared" si="137"/>
        <v>0</v>
      </c>
      <c r="CX51" s="351">
        <v>2.9</v>
      </c>
      <c r="CY51" s="1605">
        <v>2.9</v>
      </c>
      <c r="CZ51" s="1605">
        <f>SUM(CY51-CX51)</f>
        <v>0</v>
      </c>
      <c r="DA51" s="1594">
        <f>IF(YEAR('3 pr-2'!$AK$51)=2017,CX51,0)</f>
        <v>0</v>
      </c>
      <c r="DB51" s="1594">
        <f>IF(YEAR('3 pr-2'!$AK$51)=2018,CX51,0)</f>
        <v>0</v>
      </c>
      <c r="DC51" s="1594">
        <f>IF(YEAR('3 pr-2'!$AK$51)=2019,CX51,0)</f>
        <v>0</v>
      </c>
      <c r="DD51" s="1594">
        <f>IF(YEAR('3 pr-2'!$AK$51)=2020,CX51,0)</f>
        <v>2.9</v>
      </c>
      <c r="DE51" s="1594">
        <f>IF(YEAR('3 pr-2'!$AK$51)=2021,CX51,0)</f>
        <v>0</v>
      </c>
      <c r="DF51" s="1594">
        <f>IF(YEAR('3 pr-2'!$AK$51)=2022,CX51,0)</f>
        <v>0</v>
      </c>
      <c r="DG51" s="1594">
        <f>IF(YEAR('3 pr-2'!$AK$51)=2023,CX51,0)</f>
        <v>0</v>
      </c>
      <c r="DH51" s="1611" t="s">
        <v>1835</v>
      </c>
      <c r="DI51" s="1612" t="s">
        <v>1836</v>
      </c>
      <c r="DJ51" s="351"/>
      <c r="DK51" s="345"/>
      <c r="DL51" s="345"/>
      <c r="DM51" s="345"/>
      <c r="DN51" s="345"/>
      <c r="DO51" s="345"/>
      <c r="DP51" s="345"/>
      <c r="DQ51" s="895"/>
      <c r="DR51" s="1613">
        <v>0</v>
      </c>
      <c r="DS51" s="1616">
        <v>148</v>
      </c>
      <c r="DT51" s="1616">
        <f>SUM(DS51-DR51)</f>
        <v>148</v>
      </c>
      <c r="DU51" s="1594">
        <f>IF(YEAR('3 pr-2'!$AK$51)=2017,DS51,0)</f>
        <v>0</v>
      </c>
      <c r="DV51" s="1594">
        <f>IF(YEAR('3 pr-2'!$AK$51)=2018,DS51,0)</f>
        <v>0</v>
      </c>
      <c r="DW51" s="1594">
        <f>IF(YEAR('3 pr-2'!$AK$51)=2019,DS51,0)</f>
        <v>0</v>
      </c>
      <c r="DX51" s="1594">
        <f>IF(YEAR('3 pr-2'!$AK$51)=2020,DS51,0)</f>
        <v>148</v>
      </c>
      <c r="DY51" s="1594">
        <f>IF(YEAR('3 pr-2'!$AK$51)=2021,DS51,0)</f>
        <v>0</v>
      </c>
      <c r="DZ51" s="1594">
        <f>IF(YEAR('3 pr-2'!$AK$51)=2022,DS51,0)</f>
        <v>0</v>
      </c>
      <c r="EA51" s="1594">
        <f>IF(YEAR('3 pr-2'!$AK$51)=2023,DS51,0)</f>
        <v>0</v>
      </c>
      <c r="EB51" s="1611" t="s">
        <v>1837</v>
      </c>
      <c r="EC51" s="1612" t="s">
        <v>1838</v>
      </c>
      <c r="ED51" s="1619">
        <v>0</v>
      </c>
      <c r="EE51" s="1618">
        <v>1139</v>
      </c>
      <c r="EF51" s="1618">
        <f>SUM(EE51-ED51)</f>
        <v>1139</v>
      </c>
      <c r="EG51" s="1594">
        <f>IF(YEAR('3 pr-2'!$AK$51)=2017,ED51,0)</f>
        <v>0</v>
      </c>
      <c r="EH51" s="1594">
        <f>IF(YEAR('3 pr-2'!$AK$51)=2018,ED51,0)</f>
        <v>0</v>
      </c>
      <c r="EI51" s="1594">
        <f>IF(YEAR('3 pr-2'!$AK$51)=2019,ED51,0)</f>
        <v>0</v>
      </c>
      <c r="EJ51" s="1594">
        <f>IF(YEAR('3 pr-2'!$AK$51)=2020,ED51,0)</f>
        <v>0</v>
      </c>
      <c r="EK51" s="1594">
        <f>IF(YEAR('3 pr-2'!$AK$51)=2021,ED51,0)</f>
        <v>0</v>
      </c>
      <c r="EL51" s="1594">
        <f>IF(YEAR('3 pr-2'!$AK$51)=2022,ED51,0)</f>
        <v>0</v>
      </c>
      <c r="EM51" s="1594">
        <f>IF(YEAR('3 pr-2'!$AK$51)=2023,ED51,0)</f>
        <v>0</v>
      </c>
    </row>
    <row r="52" spans="1:143" ht="64.5" thickTop="1" thickBot="1" x14ac:dyDescent="0.3">
      <c r="A52" s="345" t="str">
        <f>CONCATENATE('3 pr-2'!A52)</f>
        <v>1.1.1.5.2.</v>
      </c>
      <c r="B52" s="345" t="str">
        <f>CONCATENATE('3 pr-2'!B52)</f>
        <v>R01-0014-060750-1152</v>
      </c>
      <c r="C52" s="970" t="str">
        <f>CONCATENATE('ketv. 2'!B51)</f>
        <v>05.3.2-APVA-R-014-11-0002</v>
      </c>
      <c r="D52" s="125" t="str">
        <f>CONCATENATE('3 pr-2'!D52)</f>
        <v>Geriamojo vandens ir nuotekų tvarkymo sistemų renovavimas Alytaus mieste</v>
      </c>
      <c r="E52" s="312" t="str">
        <f>CONCATENATE('3 pr-2'!E52)</f>
        <v>UAB “Dzūkijos vandenys“</v>
      </c>
      <c r="F52" s="312" t="str">
        <f>CONCATENATE('3 pr-2'!F52)</f>
        <v>Lietuvos Respublikos aplinkos ministerija</v>
      </c>
      <c r="G52" s="312" t="str">
        <f>CONCATENATE('3 pr-2'!G52)</f>
        <v>Alytaus m. sav.</v>
      </c>
      <c r="H52" s="345" t="str">
        <f>CONCATENATE('3 pr-2'!H52)</f>
        <v>05.3.2-APVA-R-014</v>
      </c>
      <c r="I52" s="345" t="str">
        <f>CONCATENATE('3 pr-2'!I52)</f>
        <v>R</v>
      </c>
      <c r="J52" s="345" t="str">
        <f>CONCATENATE('3 pr-2'!J52)</f>
        <v>ITI</v>
      </c>
      <c r="K52" s="345" t="str">
        <f>CONCATENATE('3 pr-2'!K52)</f>
        <v>-</v>
      </c>
      <c r="L52" s="345"/>
      <c r="M52" s="537"/>
      <c r="N52" s="345"/>
      <c r="O52" s="345"/>
      <c r="P52" s="345"/>
      <c r="Q52" s="345"/>
      <c r="R52" s="345"/>
      <c r="S52" s="345"/>
      <c r="T52" s="345"/>
      <c r="U52" s="893"/>
      <c r="V52" s="345"/>
      <c r="W52" s="1578" t="str">
        <f ca="1">IF('ketv. 6 '!L51&gt;0,"taip",0)</f>
        <v>taip</v>
      </c>
      <c r="X52" s="1579"/>
      <c r="Y52" s="1579">
        <f>IF(YEAR('3 pr-2'!$AK52)=2017,$V52,0)</f>
        <v>0</v>
      </c>
      <c r="Z52" s="1579">
        <f>IF(YEAR('3 pr-2'!$AK52)=2018,$V52,0)</f>
        <v>0</v>
      </c>
      <c r="AA52" s="1579">
        <f>IF(YEAR('3 pr-2'!$AK52)=2019,$V52,0)</f>
        <v>0</v>
      </c>
      <c r="AB52" s="1579">
        <f>IF(YEAR('3 pr-2'!$AK52)=2020,$V52,0)</f>
        <v>0</v>
      </c>
      <c r="AC52" s="1579">
        <f>IF(YEAR('3 pr-2'!$AK52)=2021,$V52,0)</f>
        <v>0</v>
      </c>
      <c r="AD52" s="1579">
        <f>IF(YEAR('3 pr-2'!$AK52)=2022,$V52,0)</f>
        <v>0</v>
      </c>
      <c r="AE52" s="1579">
        <f>IF(YEAR('3 pr-2'!$AK52)=2023,$V52,0)</f>
        <v>0</v>
      </c>
      <c r="AF52" s="350" t="s">
        <v>479</v>
      </c>
      <c r="AG52" s="537" t="s">
        <v>480</v>
      </c>
      <c r="AH52" s="345"/>
      <c r="AI52" s="345"/>
      <c r="AJ52" s="345"/>
      <c r="AK52" s="345"/>
      <c r="AL52" s="345"/>
      <c r="AM52" s="345"/>
      <c r="AN52" s="345"/>
      <c r="AO52" s="895">
        <f t="shared" si="134"/>
        <v>0</v>
      </c>
      <c r="AP52" s="345">
        <v>25000</v>
      </c>
      <c r="AQ52" s="1597">
        <v>25000</v>
      </c>
      <c r="AR52" s="1579">
        <f>SUM(AQ52-AP52)</f>
        <v>0</v>
      </c>
      <c r="AS52" s="1579">
        <f>IF(YEAR('3 pr-2'!$AK52)=2017,$AP52,0)</f>
        <v>0</v>
      </c>
      <c r="AT52" s="1579">
        <f>IF(YEAR('3 pr-2'!$AK52)=2018,$AP52,0)</f>
        <v>0</v>
      </c>
      <c r="AU52" s="1579">
        <f>IF(YEAR('3 pr-2'!$AK52)=2019,$AP52,0)</f>
        <v>0</v>
      </c>
      <c r="AV52" s="1579">
        <f>IF(YEAR('3 pr-2'!$AK52)=2020,$AP52,0)</f>
        <v>25000</v>
      </c>
      <c r="AW52" s="1579">
        <f>IF(YEAR('3 pr-2'!$AK52)=2021,$AP52,0)</f>
        <v>0</v>
      </c>
      <c r="AX52" s="1579">
        <f>IF(YEAR('3 pr-2'!$AK52)=2022,$AP52,0)</f>
        <v>0</v>
      </c>
      <c r="AY52" s="1579">
        <f>IF(YEAR('3 pr-2'!$AK52)=2023,$AP52,0)</f>
        <v>0</v>
      </c>
      <c r="AZ52" s="345"/>
      <c r="BA52" s="536"/>
      <c r="BB52" s="345"/>
      <c r="BC52" s="345"/>
      <c r="BD52" s="345"/>
      <c r="BE52" s="345"/>
      <c r="BF52" s="345"/>
      <c r="BG52" s="345"/>
      <c r="BH52" s="345"/>
      <c r="BI52" s="895">
        <f t="shared" si="161"/>
        <v>0</v>
      </c>
      <c r="BJ52" s="345"/>
      <c r="BK52" s="1597"/>
      <c r="BL52" s="1579"/>
      <c r="BM52" s="1579">
        <f>IF(YEAR('3 pr-2'!AK52)=2017,BJ52,0)</f>
        <v>0</v>
      </c>
      <c r="BN52" s="1579">
        <f>IF(YEAR('3 pr-2'!AK52)=2018,BJ52,0)</f>
        <v>0</v>
      </c>
      <c r="BO52" s="1579">
        <f>IF(YEAR('3 pr-2'!AK52)=2019,BJ52,0)</f>
        <v>0</v>
      </c>
      <c r="BP52" s="1579">
        <f>IF(YEAR('3 pr-2'!AK52)=2020,BJ52,0)</f>
        <v>0</v>
      </c>
      <c r="BQ52" s="1579">
        <f>IF(YEAR('3 pr-2'!AK52)=2021,BJ52,0)</f>
        <v>0</v>
      </c>
      <c r="BR52" s="1579">
        <f>IF(YEAR('3 pr-2'!AK52)=2022,BJ52,0)</f>
        <v>0</v>
      </c>
      <c r="BS52" s="1579">
        <f>IF(YEAR('3 pr-2'!AK52)=2023,BJ52,0)</f>
        <v>0</v>
      </c>
      <c r="BT52" s="350"/>
      <c r="BU52" s="537"/>
      <c r="BV52" s="345"/>
      <c r="BW52" s="345"/>
      <c r="BX52" s="345"/>
      <c r="BY52" s="345"/>
      <c r="BZ52" s="345"/>
      <c r="CA52" s="345"/>
      <c r="CB52" s="345"/>
      <c r="CC52" s="895">
        <f t="shared" si="136"/>
        <v>0</v>
      </c>
      <c r="CD52" s="345"/>
      <c r="CE52" s="1579"/>
      <c r="CF52" s="1579"/>
      <c r="CG52" s="1579">
        <f>IF(YEAR('3 pr-2'!$AK52)=2017,$CD52,0)</f>
        <v>0</v>
      </c>
      <c r="CH52" s="1579">
        <f>IF(YEAR('3 pr-2'!$AK52)=2018,$CD52,0)</f>
        <v>0</v>
      </c>
      <c r="CI52" s="1579">
        <f>IF(YEAR('3 pr-2'!$AK52)=2019,$CD52,0)</f>
        <v>0</v>
      </c>
      <c r="CJ52" s="1579">
        <f>IF(YEAR('3 pr-2'!$AK52)=2020,$CD52,0)</f>
        <v>0</v>
      </c>
      <c r="CK52" s="1579">
        <f>IF(YEAR('3 pr-2'!$AK52)=2021,$CD52,0)</f>
        <v>0</v>
      </c>
      <c r="CL52" s="1579">
        <f>IF(YEAR('3 pr-2'!$AK52)=2022,$CD52,0)</f>
        <v>0</v>
      </c>
      <c r="CM52" s="1579">
        <f>IF(YEAR('3 pr-2'!$AK52)=2023,$CD52,0)</f>
        <v>0</v>
      </c>
      <c r="CN52" s="350" t="s">
        <v>477</v>
      </c>
      <c r="CO52" s="538" t="s">
        <v>478</v>
      </c>
      <c r="CP52" s="351"/>
      <c r="CQ52" s="345"/>
      <c r="CR52" s="345"/>
      <c r="CS52" s="345"/>
      <c r="CT52" s="345"/>
      <c r="CU52" s="345"/>
      <c r="CV52" s="345"/>
      <c r="CW52" s="895">
        <f t="shared" si="137"/>
        <v>0</v>
      </c>
      <c r="CX52" s="351">
        <v>16.420000000000002</v>
      </c>
      <c r="CY52" s="1605">
        <v>16.420000000000002</v>
      </c>
      <c r="CZ52" s="1605">
        <f>SUM(CY52-CX52)</f>
        <v>0</v>
      </c>
      <c r="DA52" s="1594">
        <f>IF(YEAR('3 pr-2'!AK52)=2017,CX52,0)</f>
        <v>0</v>
      </c>
      <c r="DB52" s="1594">
        <f>IF(YEAR('3 pr-2'!AK52)=2018,CX52,0)</f>
        <v>0</v>
      </c>
      <c r="DC52" s="1594">
        <f>IF(YEAR('3 pr-2'!AK52)=2019,CX52,0)</f>
        <v>0</v>
      </c>
      <c r="DD52" s="1594">
        <f>IF(YEAR('3 pr-2'!AK52)=2020,CX52,0)</f>
        <v>16.420000000000002</v>
      </c>
      <c r="DE52" s="1594">
        <f>IF(YEAR('3 pr-2'!AK52)=2021,CX52,0)</f>
        <v>0</v>
      </c>
      <c r="DF52" s="1594">
        <f>IF(YEAR('3 pr-2'!AK52)=2022,CX52,0)</f>
        <v>0</v>
      </c>
      <c r="DG52" s="1594">
        <f>IF(YEAR('3 pr-2'!AK52)=2023,CX52,0)</f>
        <v>0</v>
      </c>
      <c r="DH52" s="1611" t="s">
        <v>1835</v>
      </c>
      <c r="DI52" s="1612" t="s">
        <v>1836</v>
      </c>
      <c r="DJ52" s="351"/>
      <c r="DK52" s="345"/>
      <c r="DL52" s="345"/>
      <c r="DM52" s="345"/>
      <c r="DN52" s="345"/>
      <c r="DO52" s="345"/>
      <c r="DP52" s="345"/>
      <c r="DQ52" s="895"/>
      <c r="DR52" s="1613">
        <v>0</v>
      </c>
      <c r="DS52" s="1618">
        <v>25000</v>
      </c>
      <c r="DT52" s="1618">
        <f t="shared" ref="DT52:DT55" si="198">SUM(DS52-DR52)</f>
        <v>25000</v>
      </c>
      <c r="DU52" s="1594">
        <f>IF(YEAR('3 pr-2'!$AK$51)=2017,DS52,0)</f>
        <v>0</v>
      </c>
      <c r="DV52" s="1594">
        <f>IF(YEAR('3 pr-2'!$AK$51)=2018,DS52,0)</f>
        <v>0</v>
      </c>
      <c r="DW52" s="1594">
        <f>IF(YEAR('3 pr-2'!$AK$51)=2019,DS52,0)</f>
        <v>0</v>
      </c>
      <c r="DX52" s="1594">
        <f>IF(YEAR('3 pr-2'!$AK$51)=2020,DS52,0)</f>
        <v>25000</v>
      </c>
      <c r="DY52" s="1594">
        <f>IF(YEAR('3 pr-2'!$AK$51)=2021,DS52,0)</f>
        <v>0</v>
      </c>
      <c r="DZ52" s="1594">
        <f>IF(YEAR('3 pr-2'!$AK$51)=2022,DS52,0)</f>
        <v>0</v>
      </c>
      <c r="EA52" s="1594">
        <f>IF(YEAR('3 pr-2'!$AK$51)=2023,DS52,0)</f>
        <v>0</v>
      </c>
      <c r="EB52" s="350"/>
      <c r="EC52" s="538"/>
      <c r="ED52" s="333"/>
      <c r="EE52" s="1605"/>
      <c r="EF52" s="1605">
        <f t="shared" ref="EF52:EF55" si="199">SUM(EE52-ED52)</f>
        <v>0</v>
      </c>
      <c r="EG52" s="1594">
        <f>IF(YEAR('3 pr-2'!$AK$51)=2017,ED52,0)</f>
        <v>0</v>
      </c>
      <c r="EH52" s="1594">
        <f>IF(YEAR('3 pr-2'!$AK$51)=2018,ED52,0)</f>
        <v>0</v>
      </c>
      <c r="EI52" s="1594">
        <f>IF(YEAR('3 pr-2'!$AK$51)=2019,ED52,0)</f>
        <v>0</v>
      </c>
      <c r="EJ52" s="1594">
        <f>IF(YEAR('3 pr-2'!$AK$51)=2020,ED52,0)</f>
        <v>0</v>
      </c>
      <c r="EK52" s="1594">
        <f>IF(YEAR('3 pr-2'!$AK$51)=2021,ED52,0)</f>
        <v>0</v>
      </c>
      <c r="EL52" s="1594">
        <f>IF(YEAR('3 pr-2'!$AK$51)=2022,ED52,0)</f>
        <v>0</v>
      </c>
      <c r="EM52" s="1594">
        <f>IF(YEAR('3 pr-2'!$AK$51)=2023,ED52,0)</f>
        <v>0</v>
      </c>
    </row>
    <row r="53" spans="1:143" ht="73.5" thickTop="1" thickBot="1" x14ac:dyDescent="0.3">
      <c r="A53" s="345" t="str">
        <f>CONCATENATE('3 pr-2'!A53)</f>
        <v>1.1.1.5.3</v>
      </c>
      <c r="B53" s="345" t="str">
        <f>CONCATENATE('3 pr-2'!B53)</f>
        <v>R01-0014-070650-1153</v>
      </c>
      <c r="C53" s="970" t="str">
        <f>CONCATENATE('ketv. 2'!B52)</f>
        <v>05.3.2-APVA-R-014-11-0004</v>
      </c>
      <c r="D53" s="125" t="str">
        <f>CONCATENATE('3 pr-2'!D53)</f>
        <v>Geriamojo vandens tiekimo ir nuotekų tvarkymo sistemų renovavimas ir plėtra Lazdijų rajono savivaldybėje</v>
      </c>
      <c r="E53" s="312" t="str">
        <f>CONCATENATE('3 pr-2'!E53)</f>
        <v>UAB „Lazdijų vanduo“</v>
      </c>
      <c r="F53" s="312" t="str">
        <f>CONCATENATE('3 pr-2'!F53)</f>
        <v>Lietuvos Respublikos aplinkos ministerija</v>
      </c>
      <c r="G53" s="312" t="str">
        <f>CONCATENATE('3 pr-2'!G53)</f>
        <v>Lazdijų r. sav.</v>
      </c>
      <c r="H53" s="345" t="str">
        <f>CONCATENATE('3 pr-2'!H53)</f>
        <v>05.3.2-APVA-R-014</v>
      </c>
      <c r="I53" s="345" t="str">
        <f>CONCATENATE('3 pr-2'!I53)</f>
        <v>R</v>
      </c>
      <c r="J53" s="345" t="str">
        <f>CONCATENATE('3 pr-2'!J53)</f>
        <v>-</v>
      </c>
      <c r="K53" s="345" t="str">
        <f>CONCATENATE('3 pr-2'!K53)</f>
        <v>-</v>
      </c>
      <c r="L53" s="345" t="s">
        <v>471</v>
      </c>
      <c r="M53" s="537" t="s">
        <v>481</v>
      </c>
      <c r="N53" s="345"/>
      <c r="O53" s="345"/>
      <c r="P53" s="345"/>
      <c r="Q53" s="345"/>
      <c r="R53" s="345"/>
      <c r="S53" s="345"/>
      <c r="T53" s="345"/>
      <c r="U53" s="893"/>
      <c r="V53" s="345">
        <v>240</v>
      </c>
      <c r="W53" s="1578" t="str">
        <f ca="1">IF('ketv. 6 '!L52&gt;0,"240",0)</f>
        <v>240</v>
      </c>
      <c r="X53" s="1579">
        <f ca="1">SUM(W53-V53)</f>
        <v>0</v>
      </c>
      <c r="Y53" s="1579">
        <f>IF(YEAR('3 pr-2'!$AK53)=2017,$V53,0)</f>
        <v>0</v>
      </c>
      <c r="Z53" s="1579">
        <f>IF(YEAR('3 pr-2'!$AK53)=2018,$V53,0)</f>
        <v>0</v>
      </c>
      <c r="AA53" s="1579">
        <f>IF(YEAR('3 pr-2'!$AK53)=2019,$V53,0)</f>
        <v>240</v>
      </c>
      <c r="AB53" s="1579">
        <f>IF(YEAR('3 pr-2'!$AK53)=2020,$V53,0)</f>
        <v>0</v>
      </c>
      <c r="AC53" s="1579">
        <f>IF(YEAR('3 pr-2'!$AK53)=2021,$V53,0)</f>
        <v>0</v>
      </c>
      <c r="AD53" s="1579">
        <f>IF(YEAR('3 pr-2'!$AK53)=2022,$V53,0)</f>
        <v>0</v>
      </c>
      <c r="AE53" s="1579">
        <f>IF(YEAR('3 pr-2'!$AK53)=2023,$V53,0)</f>
        <v>0</v>
      </c>
      <c r="AF53" s="350"/>
      <c r="AG53" s="537"/>
      <c r="AH53" s="345"/>
      <c r="AI53" s="345"/>
      <c r="AJ53" s="345"/>
      <c r="AK53" s="345"/>
      <c r="AL53" s="345"/>
      <c r="AM53" s="345"/>
      <c r="AN53" s="345"/>
      <c r="AO53" s="895">
        <f t="shared" si="134"/>
        <v>0</v>
      </c>
      <c r="AP53" s="345"/>
      <c r="AQ53" s="1597"/>
      <c r="AR53" s="1579"/>
      <c r="AS53" s="1579">
        <f>IF(YEAR('3 pr-2'!$AK53)=2017,$AP53,0)</f>
        <v>0</v>
      </c>
      <c r="AT53" s="1579">
        <f>IF(YEAR('3 pr-2'!$AK53)=2018,$AP53,0)</f>
        <v>0</v>
      </c>
      <c r="AU53" s="1579">
        <f>IF(YEAR('3 pr-2'!$AK53)=2019,$AP53,0)</f>
        <v>0</v>
      </c>
      <c r="AV53" s="1579">
        <f>IF(YEAR('3 pr-2'!$AK53)=2020,$AP53,0)</f>
        <v>0</v>
      </c>
      <c r="AW53" s="1579">
        <f>IF(YEAR('3 pr-2'!$AK53)=2021,$AP53,0)</f>
        <v>0</v>
      </c>
      <c r="AX53" s="1579">
        <f>IF(YEAR('3 pr-2'!$AK53)=2022,$AP53,0)</f>
        <v>0</v>
      </c>
      <c r="AY53" s="1579">
        <f>IF(YEAR('3 pr-2'!$AK53)=2023,$AP53,0)</f>
        <v>0</v>
      </c>
      <c r="AZ53" s="345" t="s">
        <v>473</v>
      </c>
      <c r="BA53" s="536" t="s">
        <v>482</v>
      </c>
      <c r="BB53" s="345"/>
      <c r="BC53" s="345"/>
      <c r="BD53" s="345"/>
      <c r="BE53" s="345"/>
      <c r="BF53" s="345"/>
      <c r="BG53" s="345"/>
      <c r="BH53" s="345"/>
      <c r="BI53" s="895">
        <f t="shared" si="161"/>
        <v>0</v>
      </c>
      <c r="BJ53" s="345">
        <v>210</v>
      </c>
      <c r="BK53" s="1597">
        <v>210</v>
      </c>
      <c r="BL53" s="1579">
        <f>SUM(BK53-BJ53)</f>
        <v>0</v>
      </c>
      <c r="BM53" s="1579">
        <f>IF(YEAR('3 pr-2'!AK53)=2017,BJ53,0)</f>
        <v>0</v>
      </c>
      <c r="BN53" s="1579">
        <f>IF(YEAR('3 pr-2'!AK53)=2018,BJ53,0)</f>
        <v>0</v>
      </c>
      <c r="BO53" s="1579">
        <f>IF(YEAR('3 pr-2'!AK53)=2019,BJ53,0)</f>
        <v>210</v>
      </c>
      <c r="BP53" s="1579">
        <f>IF(YEAR('3 pr-2'!AK53)=2020,BJ53,0)</f>
        <v>0</v>
      </c>
      <c r="BQ53" s="1579">
        <f>IF(YEAR('3 pr-2'!AK53)=2021,BJ53,0)</f>
        <v>0</v>
      </c>
      <c r="BR53" s="1579">
        <f>IF(YEAR('3 pr-2'!AK53)=2022,BJ53,0)</f>
        <v>0</v>
      </c>
      <c r="BS53" s="1579">
        <f>IF(YEAR('3 pr-2'!AK53)=2023,BJ53,0)</f>
        <v>0</v>
      </c>
      <c r="BT53" s="350" t="s">
        <v>475</v>
      </c>
      <c r="BU53" s="537" t="s">
        <v>483</v>
      </c>
      <c r="BV53" s="345"/>
      <c r="BW53" s="345"/>
      <c r="BX53" s="345"/>
      <c r="BY53" s="345"/>
      <c r="BZ53" s="345"/>
      <c r="CA53" s="345"/>
      <c r="CB53" s="345"/>
      <c r="CC53" s="895">
        <f t="shared" si="136"/>
        <v>0</v>
      </c>
      <c r="CD53" s="345">
        <v>210</v>
      </c>
      <c r="CE53" s="1579">
        <v>210</v>
      </c>
      <c r="CF53" s="1579">
        <f>SUM(CE53-CD53)</f>
        <v>0</v>
      </c>
      <c r="CG53" s="1579">
        <f>IF(YEAR('3 pr-2'!$AK53)=2017,$CD53,0)</f>
        <v>0</v>
      </c>
      <c r="CH53" s="1579">
        <f>IF(YEAR('3 pr-2'!$AK53)=2018,$CD53,0)</f>
        <v>0</v>
      </c>
      <c r="CI53" s="1579">
        <f>IF(YEAR('3 pr-2'!$AK53)=2019,$CD53,0)</f>
        <v>210</v>
      </c>
      <c r="CJ53" s="1579">
        <f>IF(YEAR('3 pr-2'!$AK53)=2020,$CD53,0)</f>
        <v>0</v>
      </c>
      <c r="CK53" s="1579">
        <f>IF(YEAR('3 pr-2'!$AK53)=2021,$CD53,0)</f>
        <v>0</v>
      </c>
      <c r="CL53" s="1579">
        <f>IF(YEAR('3 pr-2'!$AK53)=2022,$CD53,0)</f>
        <v>0</v>
      </c>
      <c r="CM53" s="1579">
        <f>IF(YEAR('3 pr-2'!$AK53)=2023,$CD53,0)</f>
        <v>0</v>
      </c>
      <c r="CN53" s="350"/>
      <c r="CO53" s="538"/>
      <c r="CP53" s="351"/>
      <c r="CQ53" s="345"/>
      <c r="CR53" s="345"/>
      <c r="CS53" s="345"/>
      <c r="CT53" s="345"/>
      <c r="CU53" s="345"/>
      <c r="CV53" s="345"/>
      <c r="CW53" s="895">
        <f t="shared" si="137"/>
        <v>0</v>
      </c>
      <c r="CX53" s="351"/>
      <c r="CY53" s="1605"/>
      <c r="CZ53" s="1605"/>
      <c r="DA53" s="1594">
        <f>IF(YEAR('3 pr-2'!AK53)=2017,CX53,0)</f>
        <v>0</v>
      </c>
      <c r="DB53" s="1594">
        <f>IF(YEAR('3 pr-2'!AK53)=2018,CX53,0)</f>
        <v>0</v>
      </c>
      <c r="DC53" s="1594">
        <f>IF(YEAR('3 pr-2'!AK53)=2019,CX53,0)</f>
        <v>0</v>
      </c>
      <c r="DD53" s="1594">
        <f>IF(YEAR('3 pr-2'!AK53)=2020,CX53,0)</f>
        <v>0</v>
      </c>
      <c r="DE53" s="1594">
        <f>IF(YEAR('3 pr-2'!AK53)=2021,CX53,0)</f>
        <v>0</v>
      </c>
      <c r="DF53" s="1594">
        <f>IF(YEAR('3 pr-2'!AK53)=2022,CX53,0)</f>
        <v>0</v>
      </c>
      <c r="DG53" s="1594">
        <f>IF(YEAR('3 pr-2'!AK53)=2023,CX53,0)</f>
        <v>0</v>
      </c>
      <c r="DH53" s="1611" t="s">
        <v>1835</v>
      </c>
      <c r="DI53" s="1612" t="s">
        <v>1836</v>
      </c>
      <c r="DJ53" s="1613"/>
      <c r="DK53" s="1614"/>
      <c r="DL53" s="1614"/>
      <c r="DM53" s="1614"/>
      <c r="DN53" s="1614"/>
      <c r="DO53" s="1614"/>
      <c r="DP53" s="1614"/>
      <c r="DQ53" s="1615"/>
      <c r="DR53" s="1613">
        <v>0</v>
      </c>
      <c r="DS53" s="1616">
        <v>240</v>
      </c>
      <c r="DT53" s="1616">
        <f t="shared" si="198"/>
        <v>240</v>
      </c>
      <c r="DU53" s="1594">
        <f>IF(YEAR('3 pr-2'!$AK$51)=2017,DS53,0)</f>
        <v>0</v>
      </c>
      <c r="DV53" s="1594">
        <f>IF(YEAR('3 pr-2'!$AK$51)=2018,DS53,0)</f>
        <v>0</v>
      </c>
      <c r="DW53" s="1594">
        <f>IF(YEAR('3 pr-2'!$AK$51)=2019,DS53,0)</f>
        <v>0</v>
      </c>
      <c r="DX53" s="1594">
        <f>IF(YEAR('3 pr-2'!$AK$51)=2020,DS53,0)</f>
        <v>240</v>
      </c>
      <c r="DY53" s="1594">
        <f>IF(YEAR('3 pr-2'!$AK$51)=2021,DS53,0)</f>
        <v>0</v>
      </c>
      <c r="DZ53" s="1594">
        <f>IF(YEAR('3 pr-2'!$AK$51)=2022,DS53,0)</f>
        <v>0</v>
      </c>
      <c r="EA53" s="1594">
        <f>IF(YEAR('3 pr-2'!$AK$51)=2023,DS53,0)</f>
        <v>0</v>
      </c>
      <c r="EB53" s="1611" t="s">
        <v>1837</v>
      </c>
      <c r="EC53" s="1612" t="s">
        <v>1838</v>
      </c>
      <c r="ED53" s="1619">
        <v>0</v>
      </c>
      <c r="EE53" s="1618">
        <v>210</v>
      </c>
      <c r="EF53" s="1618">
        <f t="shared" si="199"/>
        <v>210</v>
      </c>
      <c r="EG53" s="1594">
        <f>IF(YEAR('3 pr-2'!$AK$51)=2017,ED53,0)</f>
        <v>0</v>
      </c>
      <c r="EH53" s="1594">
        <f>IF(YEAR('3 pr-2'!$AK$51)=2018,ED53,0)</f>
        <v>0</v>
      </c>
      <c r="EI53" s="1594">
        <f>IF(YEAR('3 pr-2'!$AK$51)=2019,ED53,0)</f>
        <v>0</v>
      </c>
      <c r="EJ53" s="1594">
        <f>IF(YEAR('3 pr-2'!$AK$51)=2020,ED53,0)</f>
        <v>0</v>
      </c>
      <c r="EK53" s="1594">
        <f>IF(YEAR('3 pr-2'!$AK$51)=2021,ED53,0)</f>
        <v>0</v>
      </c>
      <c r="EL53" s="1594">
        <f>IF(YEAR('3 pr-2'!$AK$51)=2022,ED53,0)</f>
        <v>0</v>
      </c>
      <c r="EM53" s="1594">
        <f>IF(YEAR('3 pr-2'!$AK$51)=2023,ED53,0)</f>
        <v>0</v>
      </c>
    </row>
    <row r="54" spans="1:143" ht="73.5" thickTop="1" thickBot="1" x14ac:dyDescent="0.3">
      <c r="A54" s="345" t="str">
        <f>CONCATENATE('3 pr-2'!A54)</f>
        <v>1.1.1.5.4.</v>
      </c>
      <c r="B54" s="345" t="str">
        <f>CONCATENATE('3 pr-2'!B54)</f>
        <v>R01-0014-060700-1154</v>
      </c>
      <c r="C54" s="970" t="str">
        <f>CONCATENATE('ketv. 2'!B53)</f>
        <v>05.3.2-APVA-R-014-11-0003</v>
      </c>
      <c r="D54" s="125" t="str">
        <f>CONCATENATE('3 pr-2'!D54)</f>
        <v>Vandens tiekimo ir nuotekų šalinimo infrastruktūros renovavimas ir plėtra Druskininkų savivaldybėje</v>
      </c>
      <c r="E54" s="312" t="str">
        <f>CONCATENATE('3 pr-2'!E54)</f>
        <v>UAB "Druskininkų vandenys"</v>
      </c>
      <c r="F54" s="312" t="str">
        <f>CONCATENATE('3 pr-2'!F54)</f>
        <v>Lietuvos Respublikos aplinkos ministerija</v>
      </c>
      <c r="G54" s="312" t="str">
        <f>CONCATENATE('3 pr-2'!G54)</f>
        <v>Druskininkų sav.</v>
      </c>
      <c r="H54" s="345" t="str">
        <f>CONCATENATE('3 pr-2'!H54)</f>
        <v>05.3.2-APVA-R-014</v>
      </c>
      <c r="I54" s="345" t="str">
        <f>CONCATENATE('3 pr-2'!I54)</f>
        <v>R</v>
      </c>
      <c r="J54" s="345" t="str">
        <f>CONCATENATE('3 pr-2'!J54)</f>
        <v>-</v>
      </c>
      <c r="K54" s="345" t="str">
        <f>CONCATENATE('3 pr-2'!K54)</f>
        <v>-</v>
      </c>
      <c r="L54" s="345" t="s">
        <v>471</v>
      </c>
      <c r="M54" s="537" t="s">
        <v>472</v>
      </c>
      <c r="N54" s="345"/>
      <c r="O54" s="345"/>
      <c r="P54" s="345"/>
      <c r="Q54" s="345"/>
      <c r="R54" s="345"/>
      <c r="S54" s="345"/>
      <c r="T54" s="345"/>
      <c r="U54" s="893"/>
      <c r="V54" s="345">
        <v>422</v>
      </c>
      <c r="W54" s="1578" t="str">
        <f ca="1">IF('ketv. 6 '!L53&gt;0,"422",0)</f>
        <v>422</v>
      </c>
      <c r="X54" s="1579">
        <f ca="1">SUM(W54-V54)</f>
        <v>0</v>
      </c>
      <c r="Y54" s="1579">
        <f>IF(YEAR('3 pr-2'!$AK54)=2017,$V54,0)</f>
        <v>0</v>
      </c>
      <c r="Z54" s="1579">
        <f>IF(YEAR('3 pr-2'!$AK54)=2018,$V54,0)</f>
        <v>0</v>
      </c>
      <c r="AA54" s="1579">
        <f>IF(YEAR('3 pr-2'!$AK54)=2019,$V54,0)</f>
        <v>0</v>
      </c>
      <c r="AB54" s="1579">
        <f>IF(YEAR('3 pr-2'!$AK54)=2020,$V54,0)</f>
        <v>0</v>
      </c>
      <c r="AC54" s="1579">
        <f>IF(YEAR('3 pr-2'!$AK54)=2021,$V54,0)</f>
        <v>422</v>
      </c>
      <c r="AD54" s="1579">
        <f>IF(YEAR('3 pr-2'!$AK54)=2022,$V54,0)</f>
        <v>0</v>
      </c>
      <c r="AE54" s="1579">
        <f>IF(YEAR('3 pr-2'!$AK54)=2023,$V54,0)</f>
        <v>0</v>
      </c>
      <c r="AF54" s="350" t="s">
        <v>479</v>
      </c>
      <c r="AG54" s="778" t="s">
        <v>480</v>
      </c>
      <c r="AH54" s="345"/>
      <c r="AI54" s="345"/>
      <c r="AJ54" s="345"/>
      <c r="AK54" s="345"/>
      <c r="AL54" s="345"/>
      <c r="AM54" s="345"/>
      <c r="AN54" s="345"/>
      <c r="AO54" s="895">
        <f t="shared" si="134"/>
        <v>0</v>
      </c>
      <c r="AP54" s="345">
        <v>15887</v>
      </c>
      <c r="AQ54" s="1620" t="s">
        <v>1840</v>
      </c>
      <c r="AR54" s="1579"/>
      <c r="AS54" s="1579">
        <f>IF(YEAR('3 pr-2'!$AK54)=2017,$AP54,0)</f>
        <v>0</v>
      </c>
      <c r="AT54" s="1579">
        <f>IF(YEAR('3 pr-2'!$AK54)=2018,$AP54,0)</f>
        <v>0</v>
      </c>
      <c r="AU54" s="1579">
        <f>IF(YEAR('3 pr-2'!$AK54)=2019,$AP54,0)</f>
        <v>0</v>
      </c>
      <c r="AV54" s="1579">
        <f>IF(YEAR('3 pr-2'!$AK54)=2020,$AP54,0)</f>
        <v>0</v>
      </c>
      <c r="AW54" s="1579">
        <f>IF(YEAR('3 pr-2'!$AK54)=2021,$AP54,0)</f>
        <v>15887</v>
      </c>
      <c r="AX54" s="1579">
        <f>IF(YEAR('3 pr-2'!$AK54)=2022,$AP54,0)</f>
        <v>0</v>
      </c>
      <c r="AY54" s="1579">
        <f>IF(YEAR('3 pr-2'!$AK54)=2023,$AP54,0)</f>
        <v>0</v>
      </c>
      <c r="AZ54" s="345" t="s">
        <v>473</v>
      </c>
      <c r="BA54" s="547" t="s">
        <v>474</v>
      </c>
      <c r="BB54" s="345"/>
      <c r="BC54" s="345"/>
      <c r="BD54" s="345"/>
      <c r="BE54" s="345"/>
      <c r="BF54" s="345"/>
      <c r="BG54" s="345"/>
      <c r="BH54" s="345"/>
      <c r="BI54" s="895">
        <f t="shared" si="161"/>
        <v>0</v>
      </c>
      <c r="BJ54" s="345">
        <v>431</v>
      </c>
      <c r="BK54" s="1597">
        <v>419</v>
      </c>
      <c r="BL54" s="1579">
        <f>SUM(BK54-BJ54)</f>
        <v>-12</v>
      </c>
      <c r="BM54" s="1579">
        <f>IF(YEAR('3 pr-2'!AK54)=2017,BJ54,0)</f>
        <v>0</v>
      </c>
      <c r="BN54" s="1579">
        <f>IF(YEAR('3 pr-2'!AK54)=2018,BJ54,0)</f>
        <v>0</v>
      </c>
      <c r="BO54" s="1579">
        <f>IF(YEAR('3 pr-2'!AK54)=2019,BJ54,0)</f>
        <v>0</v>
      </c>
      <c r="BP54" s="1579">
        <f>IF(YEAR('3 pr-2'!AK54)=2020,BJ54,0)</f>
        <v>0</v>
      </c>
      <c r="BQ54" s="1579">
        <f>IF(YEAR('3 pr-2'!AK54)=2021,BJ54,0)</f>
        <v>431</v>
      </c>
      <c r="BR54" s="1579">
        <f>IF(YEAR('3 pr-2'!AK54)=2022,BJ54,0)</f>
        <v>0</v>
      </c>
      <c r="BS54" s="1579">
        <f>IF(YEAR('3 pr-2'!AK54)=2023,BJ54,0)</f>
        <v>0</v>
      </c>
      <c r="BT54" s="350"/>
      <c r="BU54" s="778"/>
      <c r="BV54" s="345"/>
      <c r="BW54" s="345"/>
      <c r="BX54" s="345"/>
      <c r="BY54" s="345"/>
      <c r="BZ54" s="345"/>
      <c r="CA54" s="345"/>
      <c r="CB54" s="345"/>
      <c r="CC54" s="895">
        <f t="shared" si="136"/>
        <v>0</v>
      </c>
      <c r="CD54" s="345"/>
      <c r="CE54" s="1579"/>
      <c r="CF54" s="1579"/>
      <c r="CG54" s="1579">
        <f>IF(YEAR('3 pr-2'!$AK54)=2017,$CD54,0)</f>
        <v>0</v>
      </c>
      <c r="CH54" s="1579">
        <f>IF(YEAR('3 pr-2'!$AK54)=2018,$CD54,0)</f>
        <v>0</v>
      </c>
      <c r="CI54" s="1579">
        <f>IF(YEAR('3 pr-2'!$AK54)=2019,$CD54,0)</f>
        <v>0</v>
      </c>
      <c r="CJ54" s="1579">
        <f>IF(YEAR('3 pr-2'!$AK54)=2020,$CD54,0)</f>
        <v>0</v>
      </c>
      <c r="CK54" s="1579">
        <f>IF(YEAR('3 pr-2'!$AK54)=2021,$CD54,0)</f>
        <v>0</v>
      </c>
      <c r="CL54" s="1579">
        <f>IF(YEAR('3 pr-2'!$AK54)=2022,$CD54,0)</f>
        <v>0</v>
      </c>
      <c r="CM54" s="1579">
        <f>IF(YEAR('3 pr-2'!$AK54)=2023,$CD54,0)</f>
        <v>0</v>
      </c>
      <c r="CN54" s="350" t="s">
        <v>477</v>
      </c>
      <c r="CO54" s="538" t="s">
        <v>478</v>
      </c>
      <c r="CP54" s="351"/>
      <c r="CQ54" s="345"/>
      <c r="CR54" s="345"/>
      <c r="CS54" s="345"/>
      <c r="CT54" s="345"/>
      <c r="CU54" s="345"/>
      <c r="CV54" s="345"/>
      <c r="CW54" s="895">
        <f t="shared" si="137"/>
        <v>0</v>
      </c>
      <c r="CX54" s="351">
        <v>3.2</v>
      </c>
      <c r="CY54" s="1605">
        <v>3.2</v>
      </c>
      <c r="CZ54" s="1605">
        <f>SUM(CY54-CX54)</f>
        <v>0</v>
      </c>
      <c r="DA54" s="1594">
        <f>IF(YEAR('3 pr-2'!AK54)=2017,CX54,0)</f>
        <v>0</v>
      </c>
      <c r="DB54" s="1594">
        <f>IF(YEAR('3 pr-2'!AK54)=2018,CX54,0)</f>
        <v>0</v>
      </c>
      <c r="DC54" s="1594">
        <f>IF(YEAR('3 pr-2'!AK54)=2019,CX54,0)</f>
        <v>0</v>
      </c>
      <c r="DD54" s="1594">
        <f>IF(YEAR('3 pr-2'!AK54)=2020,CX54,0)</f>
        <v>0</v>
      </c>
      <c r="DE54" s="1594">
        <f>IF(YEAR('3 pr-2'!AK54)=2021,CX54,0)</f>
        <v>3.2</v>
      </c>
      <c r="DF54" s="1594">
        <f>IF(YEAR('3 pr-2'!AK54)=2022,CX54,0)</f>
        <v>0</v>
      </c>
      <c r="DG54" s="1594">
        <f>IF(YEAR('3 pr-2'!AK54)=2023,CX54,0)</f>
        <v>0</v>
      </c>
      <c r="DH54" s="1611" t="s">
        <v>1835</v>
      </c>
      <c r="DI54" s="1612" t="s">
        <v>1836</v>
      </c>
      <c r="DJ54" s="1613"/>
      <c r="DK54" s="1614"/>
      <c r="DL54" s="1614"/>
      <c r="DM54" s="1614"/>
      <c r="DN54" s="1614"/>
      <c r="DO54" s="1614"/>
      <c r="DP54" s="1614"/>
      <c r="DQ54" s="1615">
        <f t="shared" ref="DQ54" si="200">SUM(DJ54:DP54)</f>
        <v>0</v>
      </c>
      <c r="DR54" s="1613">
        <v>0</v>
      </c>
      <c r="DS54" s="1618">
        <v>422</v>
      </c>
      <c r="DT54" s="1618">
        <f t="shared" si="198"/>
        <v>422</v>
      </c>
      <c r="DU54" s="1594">
        <f>IF(YEAR('3 pr-2'!$AK$51)=2017,DS54,0)</f>
        <v>0</v>
      </c>
      <c r="DV54" s="1594">
        <f>IF(YEAR('3 pr-2'!$AK$51)=2018,DS54,0)</f>
        <v>0</v>
      </c>
      <c r="DW54" s="1594">
        <f>IF(YEAR('3 pr-2'!$AK$51)=2019,DS54,0)</f>
        <v>0</v>
      </c>
      <c r="DX54" s="1594">
        <f>IF(YEAR('3 pr-2'!$AK$51)=2020,DS54,0)</f>
        <v>422</v>
      </c>
      <c r="DY54" s="1594">
        <f>IF(YEAR('3 pr-2'!$AK$51)=2021,DS54,0)</f>
        <v>0</v>
      </c>
      <c r="DZ54" s="1594">
        <f>IF(YEAR('3 pr-2'!$AK$51)=2022,DS54,0)</f>
        <v>0</v>
      </c>
      <c r="EA54" s="1594">
        <f>IF(YEAR('3 pr-2'!$AK$51)=2023,DS54,0)</f>
        <v>0</v>
      </c>
      <c r="EB54" s="1611" t="s">
        <v>1837</v>
      </c>
      <c r="EC54" s="1612" t="s">
        <v>1838</v>
      </c>
      <c r="ED54" s="1617">
        <v>0</v>
      </c>
      <c r="EE54" s="1618">
        <v>419</v>
      </c>
      <c r="EF54" s="1618">
        <f t="shared" si="199"/>
        <v>419</v>
      </c>
      <c r="EG54" s="1594">
        <f>IF(YEAR('3 pr-2'!$AK$51)=2017,ED54,0)</f>
        <v>0</v>
      </c>
      <c r="EH54" s="1594">
        <f>IF(YEAR('3 pr-2'!$AK$51)=2018,ED54,0)</f>
        <v>0</v>
      </c>
      <c r="EI54" s="1594">
        <f>IF(YEAR('3 pr-2'!$AK$51)=2019,ED54,0)</f>
        <v>0</v>
      </c>
      <c r="EJ54" s="1594">
        <f>IF(YEAR('3 pr-2'!$AK$51)=2020,ED54,0)</f>
        <v>0</v>
      </c>
      <c r="EK54" s="1594">
        <f>IF(YEAR('3 pr-2'!$AK$51)=2021,ED54,0)</f>
        <v>0</v>
      </c>
      <c r="EL54" s="1594">
        <f>IF(YEAR('3 pr-2'!$AK$51)=2022,ED54,0)</f>
        <v>0</v>
      </c>
      <c r="EM54" s="1594">
        <f>IF(YEAR('3 pr-2'!$AK$51)=2023,ED54,0)</f>
        <v>0</v>
      </c>
    </row>
    <row r="55" spans="1:143" ht="64.5" thickTop="1" thickBot="1" x14ac:dyDescent="0.3">
      <c r="A55" s="345" t="str">
        <f>CONCATENATE('3 pr-2'!A55)</f>
        <v>1.1.1.5.5.</v>
      </c>
      <c r="B55" s="345" t="str">
        <f>CONCATENATE('3 pr-2'!B55)</f>
        <v>R01-0014-060750-1155</v>
      </c>
      <c r="C55" s="970" t="str">
        <f>CONCATENATE('ketv. 2'!B54)</f>
        <v>05.3.2-APVA-R-014-11-0005</v>
      </c>
      <c r="D55" s="125" t="str">
        <f>CONCATENATE('3 pr-2'!D55)</f>
        <v>Vandens tiekimo ir nuotekų tvarkymo infrastruktūros plėtra Alytaus rajone (Krokialaukyje)</v>
      </c>
      <c r="E55" s="312" t="str">
        <f>CONCATENATE('3 pr-2'!E55)</f>
        <v>SĮ „Simno komunalininkas“</v>
      </c>
      <c r="F55" s="312" t="str">
        <f>CONCATENATE('3 pr-2'!F55)</f>
        <v>Lietuvos Respublikos aplinkos ministerija</v>
      </c>
      <c r="G55" s="312" t="str">
        <f>CONCATENATE('3 pr-2'!G55)</f>
        <v>Alytaus r. sav.</v>
      </c>
      <c r="H55" s="345" t="str">
        <f>CONCATENATE('3 pr-2'!H55)</f>
        <v>05.3.2-APVA-R-014</v>
      </c>
      <c r="I55" s="345" t="str">
        <f>CONCATENATE('3 pr-2'!I55)</f>
        <v>R</v>
      </c>
      <c r="J55" s="345" t="str">
        <f>CONCATENATE('3 pr-2'!J55)</f>
        <v>-</v>
      </c>
      <c r="K55" s="345" t="str">
        <f>CONCATENATE('3 pr-2'!K55)</f>
        <v>-</v>
      </c>
      <c r="L55" s="345" t="s">
        <v>471</v>
      </c>
      <c r="M55" s="537" t="s">
        <v>472</v>
      </c>
      <c r="N55" s="345"/>
      <c r="O55" s="345"/>
      <c r="P55" s="345"/>
      <c r="Q55" s="345"/>
      <c r="R55" s="345"/>
      <c r="S55" s="345"/>
      <c r="T55" s="345"/>
      <c r="U55" s="893"/>
      <c r="V55" s="345">
        <v>90</v>
      </c>
      <c r="W55" s="1578">
        <v>90</v>
      </c>
      <c r="X55" s="1579">
        <f>SUM(W55-V55)</f>
        <v>0</v>
      </c>
      <c r="Y55" s="1579">
        <f>IF(YEAR('3 pr-2'!$AK55)=2017,$V55,0)</f>
        <v>0</v>
      </c>
      <c r="Z55" s="1579">
        <f>IF(YEAR('3 pr-2'!$AK55)=2018,$V55,0)</f>
        <v>0</v>
      </c>
      <c r="AA55" s="1579">
        <f>IF(YEAR('3 pr-2'!$AK55)=2019,$V55,0)</f>
        <v>0</v>
      </c>
      <c r="AB55" s="1579">
        <f>IF(YEAR('3 pr-2'!$AK55)=2020,$V55,0)</f>
        <v>90</v>
      </c>
      <c r="AC55" s="1579">
        <f>IF(YEAR('3 pr-2'!$AK55)=2021,$V55,0)</f>
        <v>0</v>
      </c>
      <c r="AD55" s="1579">
        <f>IF(YEAR('3 pr-2'!$AK55)=2022,$V55,0)</f>
        <v>0</v>
      </c>
      <c r="AE55" s="1579">
        <f>IF(YEAR('3 pr-2'!$AK55)=2023,$V55,0)</f>
        <v>0</v>
      </c>
      <c r="AF55" s="350" t="s">
        <v>479</v>
      </c>
      <c r="AG55" s="537" t="s">
        <v>480</v>
      </c>
      <c r="AH55" s="345"/>
      <c r="AI55" s="345"/>
      <c r="AJ55" s="345"/>
      <c r="AK55" s="345"/>
      <c r="AL55" s="345"/>
      <c r="AM55" s="345"/>
      <c r="AN55" s="345"/>
      <c r="AO55" s="895">
        <f t="shared" si="134"/>
        <v>0</v>
      </c>
      <c r="AP55" s="345">
        <v>450</v>
      </c>
      <c r="AQ55" s="1597">
        <v>450</v>
      </c>
      <c r="AR55" s="1579">
        <f>SUM(AQ55-AP55)</f>
        <v>0</v>
      </c>
      <c r="AS55" s="1579">
        <f>IF(YEAR('3 pr-2'!$AK55)=2017,$AP55,0)</f>
        <v>0</v>
      </c>
      <c r="AT55" s="1579">
        <f>IF(YEAR('3 pr-2'!$AK55)=2018,$AP55,0)</f>
        <v>0</v>
      </c>
      <c r="AU55" s="1579">
        <f>IF(YEAR('3 pr-2'!$AK55)=2019,$AP55,0)</f>
        <v>0</v>
      </c>
      <c r="AV55" s="1579">
        <f>IF(YEAR('3 pr-2'!$AK55)=2020,$AP55,0)</f>
        <v>450</v>
      </c>
      <c r="AW55" s="1579">
        <f>IF(YEAR('3 pr-2'!$AK55)=2021,$AP55,0)</f>
        <v>0</v>
      </c>
      <c r="AX55" s="1579">
        <f>IF(YEAR('3 pr-2'!$AK55)=2022,$AP55,0)</f>
        <v>0</v>
      </c>
      <c r="AY55" s="1579">
        <f>IF(YEAR('3 pr-2'!$AK55)=2023,$AP55,0)</f>
        <v>0</v>
      </c>
      <c r="AZ55" s="345" t="s">
        <v>473</v>
      </c>
      <c r="BA55" s="536" t="s">
        <v>474</v>
      </c>
      <c r="BB55" s="345"/>
      <c r="BC55" s="345"/>
      <c r="BD55" s="345"/>
      <c r="BE55" s="345"/>
      <c r="BF55" s="345"/>
      <c r="BG55" s="345"/>
      <c r="BH55" s="345"/>
      <c r="BI55" s="895">
        <f t="shared" si="161"/>
        <v>0</v>
      </c>
      <c r="BJ55" s="345">
        <v>411</v>
      </c>
      <c r="BK55" s="1597">
        <v>411</v>
      </c>
      <c r="BL55" s="1579">
        <f>SUM(BK55-BJ55)</f>
        <v>0</v>
      </c>
      <c r="BM55" s="1579">
        <f>IF(YEAR('3 pr-2'!AK55)=2017,BJ55,0)</f>
        <v>0</v>
      </c>
      <c r="BN55" s="1579">
        <f>IF(YEAR('3 pr-2'!AK55)=2018,BJ55,0)</f>
        <v>0</v>
      </c>
      <c r="BO55" s="1579">
        <f>IF(YEAR('3 pr-2'!AK55)=2019,BJ55,0)</f>
        <v>0</v>
      </c>
      <c r="BP55" s="1579">
        <f>IF(YEAR('3 pr-2'!AK55)=2020,BJ55,0)</f>
        <v>411</v>
      </c>
      <c r="BQ55" s="1579">
        <f>IF(YEAR('3 pr-2'!AK55)=2021,BJ55,0)</f>
        <v>0</v>
      </c>
      <c r="BR55" s="1579">
        <f>IF(YEAR('3 pr-2'!AK55)=2022,BJ55,0)</f>
        <v>0</v>
      </c>
      <c r="BS55" s="1579">
        <f>IF(YEAR('3 pr-2'!AK55)=2023,BJ55,0)</f>
        <v>0</v>
      </c>
      <c r="BT55" s="350" t="s">
        <v>475</v>
      </c>
      <c r="BU55" s="537" t="s">
        <v>476</v>
      </c>
      <c r="BV55" s="345"/>
      <c r="BW55" s="345"/>
      <c r="BX55" s="345"/>
      <c r="BY55" s="345"/>
      <c r="BZ55" s="345"/>
      <c r="CA55" s="345"/>
      <c r="CB55" s="345"/>
      <c r="CC55" s="895">
        <f t="shared" si="136"/>
        <v>0</v>
      </c>
      <c r="CD55" s="345">
        <v>411</v>
      </c>
      <c r="CE55" s="1579">
        <v>411</v>
      </c>
      <c r="CF55" s="1579">
        <f>SUM(CE55-CD55)</f>
        <v>0</v>
      </c>
      <c r="CG55" s="1579">
        <f>IF(YEAR('3 pr-2'!$AK55)=2017,$CD55,0)</f>
        <v>0</v>
      </c>
      <c r="CH55" s="1579">
        <f>IF(YEAR('3 pr-2'!$AK55)=2018,$CD55,0)</f>
        <v>0</v>
      </c>
      <c r="CI55" s="1579">
        <f>IF(YEAR('3 pr-2'!$AK55)=2019,$CD55,0)</f>
        <v>0</v>
      </c>
      <c r="CJ55" s="1579">
        <f>IF(YEAR('3 pr-2'!$AK55)=2020,$CD55,0)</f>
        <v>411</v>
      </c>
      <c r="CK55" s="1579">
        <f>IF(YEAR('3 pr-2'!$AK55)=2021,$CD55,0)</f>
        <v>0</v>
      </c>
      <c r="CL55" s="1579">
        <f>IF(YEAR('3 pr-2'!$AK55)=2022,$CD55,0)</f>
        <v>0</v>
      </c>
      <c r="CM55" s="1579">
        <f>IF(YEAR('3 pr-2'!$AK55)=2023,$CD55,0)</f>
        <v>0</v>
      </c>
      <c r="CN55" s="350"/>
      <c r="CO55" s="538"/>
      <c r="CP55" s="351"/>
      <c r="CQ55" s="345"/>
      <c r="CR55" s="345"/>
      <c r="CS55" s="345"/>
      <c r="CT55" s="345"/>
      <c r="CU55" s="345"/>
      <c r="CV55" s="345"/>
      <c r="CW55" s="895">
        <f t="shared" si="137"/>
        <v>0</v>
      </c>
      <c r="CX55" s="351"/>
      <c r="CY55" s="1605"/>
      <c r="CZ55" s="1605"/>
      <c r="DA55" s="1594">
        <f>IF(YEAR('3 pr-2'!AK55)=2017,CX55,0)</f>
        <v>0</v>
      </c>
      <c r="DB55" s="1594">
        <f>IF(YEAR('3 pr-2'!AK55)=2018,CX55,0)</f>
        <v>0</v>
      </c>
      <c r="DC55" s="1594">
        <f>IF(YEAR('3 pr-2'!AK55)=2019,CX55,0)</f>
        <v>0</v>
      </c>
      <c r="DD55" s="1594">
        <f>IF(YEAR('3 pr-2'!AK55)=2020,CX55,0)</f>
        <v>0</v>
      </c>
      <c r="DE55" s="1594">
        <f>IF(YEAR('3 pr-2'!AK55)=2021,CX55,0)</f>
        <v>0</v>
      </c>
      <c r="DF55" s="1594">
        <f>IF(YEAR('3 pr-2'!AK55)=2022,CX55,0)</f>
        <v>0</v>
      </c>
      <c r="DG55" s="1594">
        <f>IF(YEAR('3 pr-2'!AK55)=2023,CX55,0)</f>
        <v>0</v>
      </c>
      <c r="DH55" s="1611" t="s">
        <v>1835</v>
      </c>
      <c r="DI55" s="1612" t="s">
        <v>1836</v>
      </c>
      <c r="DJ55" s="1613"/>
      <c r="DK55" s="1614"/>
      <c r="DL55" s="1614"/>
      <c r="DM55" s="1614"/>
      <c r="DN55" s="1614"/>
      <c r="DO55" s="1614"/>
      <c r="DP55" s="1614"/>
      <c r="DQ55" s="1615">
        <f t="shared" si="138"/>
        <v>0</v>
      </c>
      <c r="DR55" s="1613">
        <v>0</v>
      </c>
      <c r="DS55" s="1616">
        <v>450</v>
      </c>
      <c r="DT55" s="1616">
        <f t="shared" si="198"/>
        <v>450</v>
      </c>
      <c r="DU55" s="1594">
        <f>IF(YEAR('3 pr-2'!$AK$51)=2017,DS55,0)</f>
        <v>0</v>
      </c>
      <c r="DV55" s="1594">
        <f>IF(YEAR('3 pr-2'!$AK$51)=2018,DS55,0)</f>
        <v>0</v>
      </c>
      <c r="DW55" s="1594">
        <f>IF(YEAR('3 pr-2'!$AK$51)=2019,DS55,0)</f>
        <v>0</v>
      </c>
      <c r="DX55" s="1594">
        <f>IF(YEAR('3 pr-2'!$AK$51)=2020,DS55,0)</f>
        <v>450</v>
      </c>
      <c r="DY55" s="1594">
        <f>IF(YEAR('3 pr-2'!$AK$51)=2021,DS55,0)</f>
        <v>0</v>
      </c>
      <c r="DZ55" s="1594">
        <f>IF(YEAR('3 pr-2'!$AK$51)=2022,DS55,0)</f>
        <v>0</v>
      </c>
      <c r="EA55" s="1594">
        <f>IF(YEAR('3 pr-2'!$AK$51)=2023,DS55,0)</f>
        <v>0</v>
      </c>
      <c r="EB55" s="1611" t="s">
        <v>1837</v>
      </c>
      <c r="EC55" s="1612" t="s">
        <v>1838</v>
      </c>
      <c r="ED55" s="1617">
        <v>0</v>
      </c>
      <c r="EE55" s="1616">
        <v>411</v>
      </c>
      <c r="EF55" s="1616">
        <f t="shared" si="199"/>
        <v>411</v>
      </c>
      <c r="EG55" s="1594">
        <f>IF(YEAR('3 pr-2'!$AK$51)=2017,ED55,0)</f>
        <v>0</v>
      </c>
      <c r="EH55" s="1594">
        <f>IF(YEAR('3 pr-2'!$AK$51)=2018,ED55,0)</f>
        <v>0</v>
      </c>
      <c r="EI55" s="1594">
        <f>IF(YEAR('3 pr-2'!$AK$51)=2019,ED55,0)</f>
        <v>0</v>
      </c>
      <c r="EJ55" s="1594">
        <f>IF(YEAR('3 pr-2'!$AK$51)=2020,ED55,0)</f>
        <v>0</v>
      </c>
      <c r="EK55" s="1594">
        <f>IF(YEAR('3 pr-2'!$AK$51)=2021,ED55,0)</f>
        <v>0</v>
      </c>
      <c r="EL55" s="1594">
        <f>IF(YEAR('3 pr-2'!$AK$51)=2022,ED55,0)</f>
        <v>0</v>
      </c>
      <c r="EM55" s="1594">
        <f>IF(YEAR('3 pr-2'!$AK$51)=2023,ED55,0)</f>
        <v>0</v>
      </c>
    </row>
    <row r="56" spans="1:143" ht="30" customHeight="1" thickBot="1" x14ac:dyDescent="0.3">
      <c r="A56" s="824" t="str">
        <f>CONCATENATE('3 pr-2'!A56)</f>
        <v>1.1.1.6</v>
      </c>
      <c r="B56" s="1926" t="str">
        <f>CONCATENATE('3 pr-2'!B56)</f>
        <v>Priemonė:
Paviršinių nuotekų sistemų tvarkymas</v>
      </c>
      <c r="C56" s="1927"/>
      <c r="D56" s="1927"/>
      <c r="E56" s="1927"/>
      <c r="F56" s="1927"/>
      <c r="G56" s="1927"/>
      <c r="H56" s="1927"/>
      <c r="I56" s="1927"/>
      <c r="J56" s="1927"/>
      <c r="K56" s="1928"/>
      <c r="L56" s="1312"/>
      <c r="M56" s="540"/>
      <c r="N56" s="334">
        <f>SUM(N57)</f>
        <v>0</v>
      </c>
      <c r="O56" s="334">
        <f t="shared" ref="O56:T56" si="201">SUM(O57)</f>
        <v>0</v>
      </c>
      <c r="P56" s="334">
        <f t="shared" si="201"/>
        <v>0</v>
      </c>
      <c r="Q56" s="334">
        <f t="shared" si="201"/>
        <v>0</v>
      </c>
      <c r="R56" s="334">
        <f t="shared" si="201"/>
        <v>0</v>
      </c>
      <c r="S56" s="334">
        <f t="shared" si="201"/>
        <v>0</v>
      </c>
      <c r="T56" s="334">
        <f t="shared" si="201"/>
        <v>0</v>
      </c>
      <c r="U56" s="887">
        <f t="shared" ref="U56:U57" si="202">SUM(N56:T56)</f>
        <v>0</v>
      </c>
      <c r="V56" s="864"/>
      <c r="W56" s="1575"/>
      <c r="X56" s="1576"/>
      <c r="Y56" s="1577">
        <f t="shared" ref="Y56:AE56" si="203">SUM(Y57)</f>
        <v>0</v>
      </c>
      <c r="Z56" s="1577">
        <f t="shared" si="203"/>
        <v>0</v>
      </c>
      <c r="AA56" s="1577">
        <f t="shared" si="203"/>
        <v>0</v>
      </c>
      <c r="AB56" s="1577">
        <f t="shared" si="203"/>
        <v>262.58999999999997</v>
      </c>
      <c r="AC56" s="1577">
        <f t="shared" si="203"/>
        <v>0</v>
      </c>
      <c r="AD56" s="1577">
        <f t="shared" si="203"/>
        <v>0</v>
      </c>
      <c r="AE56" s="1577">
        <f t="shared" si="203"/>
        <v>0</v>
      </c>
      <c r="AF56" s="878"/>
      <c r="AG56" s="889"/>
      <c r="AH56" s="334">
        <f>SUM(AH57)</f>
        <v>0</v>
      </c>
      <c r="AI56" s="334">
        <f t="shared" ref="AI56" si="204">SUM(AI57)</f>
        <v>0</v>
      </c>
      <c r="AJ56" s="334">
        <f t="shared" ref="AJ56" si="205">SUM(AJ57)</f>
        <v>0</v>
      </c>
      <c r="AK56" s="334">
        <f t="shared" ref="AK56" si="206">SUM(AK57)</f>
        <v>0</v>
      </c>
      <c r="AL56" s="334">
        <f t="shared" ref="AL56" si="207">SUM(AL57)</f>
        <v>0</v>
      </c>
      <c r="AM56" s="334">
        <f t="shared" ref="AM56" si="208">SUM(AM57)</f>
        <v>0</v>
      </c>
      <c r="AN56" s="334">
        <f t="shared" ref="AN56" si="209">SUM(AN57)</f>
        <v>0</v>
      </c>
      <c r="AO56" s="864">
        <f t="shared" si="134"/>
        <v>0</v>
      </c>
      <c r="AP56" s="864"/>
      <c r="AQ56" s="1577"/>
      <c r="AR56" s="1577"/>
      <c r="AS56" s="1577">
        <f t="shared" ref="AS56" si="210">SUM(AS57)</f>
        <v>0</v>
      </c>
      <c r="AT56" s="1577">
        <f t="shared" ref="AT56" si="211">SUM(AT57)</f>
        <v>0</v>
      </c>
      <c r="AU56" s="1577">
        <f t="shared" ref="AU56" si="212">SUM(AU57)</f>
        <v>0</v>
      </c>
      <c r="AV56" s="1577">
        <f t="shared" ref="AV56" si="213">SUM(AV57)</f>
        <v>26</v>
      </c>
      <c r="AW56" s="1577">
        <f t="shared" ref="AW56" si="214">SUM(AW57)</f>
        <v>0</v>
      </c>
      <c r="AX56" s="1577">
        <f t="shared" ref="AX56" si="215">SUM(AX57)</f>
        <v>0</v>
      </c>
      <c r="AY56" s="1577">
        <f t="shared" ref="AY56" si="216">SUM(AY57)</f>
        <v>0</v>
      </c>
      <c r="AZ56" s="864"/>
      <c r="BA56" s="889"/>
      <c r="BB56" s="334">
        <f>SUM(BB57)</f>
        <v>0</v>
      </c>
      <c r="BC56" s="334">
        <f t="shared" ref="BC56" si="217">SUM(BC57)</f>
        <v>0</v>
      </c>
      <c r="BD56" s="334">
        <f t="shared" ref="BD56" si="218">SUM(BD57)</f>
        <v>0</v>
      </c>
      <c r="BE56" s="334">
        <f t="shared" ref="BE56" si="219">SUM(BE57)</f>
        <v>0</v>
      </c>
      <c r="BF56" s="334">
        <f t="shared" ref="BF56" si="220">SUM(BF57)</f>
        <v>0</v>
      </c>
      <c r="BG56" s="334">
        <f t="shared" ref="BG56" si="221">SUM(BG57)</f>
        <v>0</v>
      </c>
      <c r="BH56" s="334">
        <f t="shared" ref="BH56" si="222">SUM(BH57)</f>
        <v>0</v>
      </c>
      <c r="BI56" s="864">
        <f t="shared" si="161"/>
        <v>0</v>
      </c>
      <c r="BJ56" s="864"/>
      <c r="BK56" s="1577"/>
      <c r="BL56" s="1577"/>
      <c r="BM56" s="1577"/>
      <c r="BN56" s="1577"/>
      <c r="BO56" s="1577"/>
      <c r="BP56" s="1577"/>
      <c r="BQ56" s="1577"/>
      <c r="BR56" s="1577"/>
      <c r="BS56" s="1577"/>
      <c r="BT56" s="334"/>
      <c r="BU56" s="538"/>
      <c r="BV56" s="334">
        <f>SUM(BV57)</f>
        <v>0</v>
      </c>
      <c r="BW56" s="334">
        <f t="shared" ref="BW56" si="223">SUM(BW57)</f>
        <v>0</v>
      </c>
      <c r="BX56" s="334">
        <f t="shared" ref="BX56" si="224">SUM(BX57)</f>
        <v>0</v>
      </c>
      <c r="BY56" s="334">
        <f t="shared" ref="BY56" si="225">SUM(BY57)</f>
        <v>0</v>
      </c>
      <c r="BZ56" s="334">
        <f t="shared" ref="BZ56" si="226">SUM(BZ57)</f>
        <v>0</v>
      </c>
      <c r="CA56" s="334">
        <f t="shared" ref="CA56" si="227">SUM(CA57)</f>
        <v>0</v>
      </c>
      <c r="CB56" s="334">
        <f t="shared" ref="CB56" si="228">SUM(CB57)</f>
        <v>0</v>
      </c>
      <c r="CC56" s="864">
        <f t="shared" si="136"/>
        <v>0</v>
      </c>
      <c r="CD56" s="334"/>
      <c r="CE56" s="1577"/>
      <c r="CF56" s="1577"/>
      <c r="CG56" s="1577"/>
      <c r="CH56" s="1577"/>
      <c r="CI56" s="1577"/>
      <c r="CJ56" s="1577"/>
      <c r="CK56" s="1577"/>
      <c r="CL56" s="1577"/>
      <c r="CM56" s="1577"/>
      <c r="CN56" s="887"/>
      <c r="CO56" s="538"/>
      <c r="CP56" s="852">
        <f>SUM(CP57)</f>
        <v>0</v>
      </c>
      <c r="CQ56" s="334">
        <f t="shared" ref="CQ56" si="229">SUM(CQ57)</f>
        <v>0</v>
      </c>
      <c r="CR56" s="334">
        <f t="shared" ref="CR56" si="230">SUM(CR57)</f>
        <v>0</v>
      </c>
      <c r="CS56" s="334">
        <f t="shared" ref="CS56" si="231">SUM(CS57)</f>
        <v>0</v>
      </c>
      <c r="CT56" s="334">
        <f t="shared" ref="CT56" si="232">SUM(CT57)</f>
        <v>0</v>
      </c>
      <c r="CU56" s="334">
        <f t="shared" ref="CU56" si="233">SUM(CU57)</f>
        <v>0</v>
      </c>
      <c r="CV56" s="334">
        <f t="shared" ref="CV56" si="234">SUM(CV57)</f>
        <v>0</v>
      </c>
      <c r="CW56" s="864">
        <f t="shared" si="137"/>
        <v>0</v>
      </c>
      <c r="CX56" s="334"/>
      <c r="CY56" s="1594"/>
      <c r="CZ56" s="1594"/>
      <c r="DA56" s="1594">
        <f>IF(YEAR('3 pr-2'!AK56)=2017,CX56,0)</f>
        <v>0</v>
      </c>
      <c r="DB56" s="1594">
        <f>IF(YEAR('3 pr-2'!AK56)=2018,CX56,0)</f>
        <v>0</v>
      </c>
      <c r="DC56" s="1594">
        <f>IF(YEAR('3 pr-2'!AK56)=2019,CX56,0)</f>
        <v>0</v>
      </c>
      <c r="DD56" s="1594">
        <f>IF(YEAR('3 pr-2'!AK56)=2020,CX56,0)</f>
        <v>0</v>
      </c>
      <c r="DE56" s="1594">
        <f>IF(YEAR('3 pr-2'!AK56)=2021,CX56,0)</f>
        <v>0</v>
      </c>
      <c r="DF56" s="1594">
        <f>IF(YEAR('3 pr-2'!AK56)=2022,CX56,0)</f>
        <v>0</v>
      </c>
      <c r="DG56" s="1594">
        <f>IF(YEAR('3 pr-2'!AK56)=2023,CX56,0)</f>
        <v>0</v>
      </c>
      <c r="DH56" s="887"/>
      <c r="DI56" s="538"/>
      <c r="DJ56" s="852">
        <f>SUM(DJ57)</f>
        <v>0</v>
      </c>
      <c r="DK56" s="334">
        <f t="shared" ref="DK56:DP56" si="235">SUM(DK57)</f>
        <v>0</v>
      </c>
      <c r="DL56" s="334">
        <f t="shared" si="235"/>
        <v>0</v>
      </c>
      <c r="DM56" s="334">
        <f t="shared" si="235"/>
        <v>0</v>
      </c>
      <c r="DN56" s="334">
        <f t="shared" si="235"/>
        <v>0</v>
      </c>
      <c r="DO56" s="334">
        <f t="shared" si="235"/>
        <v>0</v>
      </c>
      <c r="DP56" s="334">
        <f t="shared" si="235"/>
        <v>0</v>
      </c>
      <c r="DQ56" s="864">
        <f t="shared" si="138"/>
        <v>0</v>
      </c>
      <c r="DR56" s="334"/>
      <c r="DS56" s="1594"/>
      <c r="DT56" s="1594"/>
      <c r="DU56" s="1594">
        <f>IF(YEAR('3 pr-2'!BF56)=2017,DS56,0)</f>
        <v>0</v>
      </c>
      <c r="DV56" s="1594">
        <f>IF(YEAR('3 pr-2'!BF56)=2018,DS56,0)</f>
        <v>0</v>
      </c>
      <c r="DW56" s="1594">
        <f>IF(YEAR('3 pr-2'!BF56)=2019,DS56,0)</f>
        <v>0</v>
      </c>
      <c r="DX56" s="1594">
        <f>IF(YEAR('3 pr-2'!BF56)=2020,DS56,0)</f>
        <v>0</v>
      </c>
      <c r="DY56" s="1594">
        <f>IF(YEAR('3 pr-2'!BF56)=2021,DS56,0)</f>
        <v>0</v>
      </c>
      <c r="DZ56" s="1594">
        <f>IF(YEAR('3 pr-2'!BF56)=2022,DS56,0)</f>
        <v>0</v>
      </c>
      <c r="EA56" s="1594">
        <f>IF(YEAR('3 pr-2'!BF56)=2023,DS56,0)</f>
        <v>0</v>
      </c>
      <c r="EB56" s="887"/>
      <c r="EC56" s="538"/>
      <c r="ED56" s="890"/>
      <c r="EE56" s="1594"/>
      <c r="EF56" s="1594"/>
      <c r="EG56" s="1594">
        <f>IF(YEAR('3 pr-2'!BP56)=2017,ED56,0)</f>
        <v>0</v>
      </c>
      <c r="EH56" s="1594">
        <f>IF(YEAR('3 pr-2'!BP56)=2018,ED56,0)</f>
        <v>0</v>
      </c>
      <c r="EI56" s="1594">
        <f>IF(YEAR('3 pr-2'!BP56)=2019,ED56,0)</f>
        <v>0</v>
      </c>
      <c r="EJ56" s="1594">
        <f>IF(YEAR('3 pr-2'!BP56)=2020,ED56,0)</f>
        <v>0</v>
      </c>
      <c r="EK56" s="1594">
        <f>IF(YEAR('3 pr-2'!BP56)=2021,ED56,0)</f>
        <v>0</v>
      </c>
      <c r="EL56" s="1594">
        <f>IF(YEAR('3 pr-2'!BP56)=2022,ED56,0)</f>
        <v>0</v>
      </c>
      <c r="EM56" s="1594">
        <f>IF(YEAR('3 pr-2'!BP56)=2023,ED56,0)</f>
        <v>0</v>
      </c>
    </row>
    <row r="57" spans="1:143" ht="64.5" thickTop="1" thickBot="1" x14ac:dyDescent="0.3">
      <c r="A57" s="312" t="str">
        <f>CONCATENATE('3 pr-2'!A57)</f>
        <v>1.1.1.6.1</v>
      </c>
      <c r="B57" s="312" t="str">
        <f>CONCATENATE('3 pr-2'!B57)</f>
        <v>R01-0007-080000-1161</v>
      </c>
      <c r="C57" s="1627" t="str">
        <f>CONCATENATE('ketv. 2'!B56)</f>
        <v>05.1.1-APVA-R-007-11-0001</v>
      </c>
      <c r="D57" s="125" t="str">
        <f>CONCATENATE('3 pr-2'!D57)</f>
        <v>Paviršinių nuotekų sistemų tvarkymas Alytaus mieste</v>
      </c>
      <c r="E57" s="312" t="str">
        <f>CONCATENATE('3 pr-2'!E57)</f>
        <v>UAB “Dzūkijos vandenys“</v>
      </c>
      <c r="F57" s="312" t="str">
        <f>CONCATENATE('3 pr-2'!F57)</f>
        <v>Lietuvos Respublikos aplinkos ministerija</v>
      </c>
      <c r="G57" s="312" t="str">
        <f>CONCATENATE('3 pr-2'!G57)</f>
        <v>Alytaus m. sav.</v>
      </c>
      <c r="H57" s="312" t="str">
        <f>CONCATENATE('3 pr-2'!H57)</f>
        <v>05.1.1-APVA-R-007</v>
      </c>
      <c r="I57" s="312" t="str">
        <f>CONCATENATE('3 pr-2'!I57)</f>
        <v>R</v>
      </c>
      <c r="J57" s="312" t="str">
        <f>CONCATENATE('3 pr-2'!J57)</f>
        <v>-</v>
      </c>
      <c r="K57" s="312" t="str">
        <f>CONCATENATE('3 pr-2'!K57)</f>
        <v xml:space="preserve"> -</v>
      </c>
      <c r="L57" s="331" t="s">
        <v>484</v>
      </c>
      <c r="M57" s="537" t="s">
        <v>485</v>
      </c>
      <c r="N57" s="334"/>
      <c r="O57" s="334"/>
      <c r="P57" s="334"/>
      <c r="Q57" s="334"/>
      <c r="R57" s="334"/>
      <c r="S57" s="334"/>
      <c r="T57" s="334"/>
      <c r="U57" s="1312">
        <f t="shared" si="202"/>
        <v>0</v>
      </c>
      <c r="V57" s="1622">
        <v>262.58999999999997</v>
      </c>
      <c r="W57" s="1623">
        <v>238.59</v>
      </c>
      <c r="X57" s="1624">
        <f>SUM(W57-V57)</f>
        <v>-23.999999999999972</v>
      </c>
      <c r="Y57" s="1579">
        <f>IF(YEAR('3 pr-2'!$AK57)=2017,$V57,0)</f>
        <v>0</v>
      </c>
      <c r="Z57" s="1579">
        <f>IF(YEAR('3 pr-2'!$AK57)=2018,$V57,0)</f>
        <v>0</v>
      </c>
      <c r="AA57" s="1579">
        <f>IF(YEAR('3 pr-2'!$AK57)=2019,$V57,0)</f>
        <v>0</v>
      </c>
      <c r="AB57" s="1579">
        <f>IF(YEAR('3 pr-2'!$AK57)=2020,$V57,0)</f>
        <v>262.58999999999997</v>
      </c>
      <c r="AC57" s="1579">
        <f>IF(YEAR('3 pr-2'!$AK57)=2021,$V57,0)</f>
        <v>0</v>
      </c>
      <c r="AD57" s="1579">
        <f>IF(YEAR('3 pr-2'!$AK57)=2022,$V57,0)</f>
        <v>0</v>
      </c>
      <c r="AE57" s="1579">
        <f>IF(YEAR('3 pr-2'!$AK57)=2023,$V57,0)</f>
        <v>0</v>
      </c>
      <c r="AF57" s="332" t="s">
        <v>486</v>
      </c>
      <c r="AG57" s="537" t="s">
        <v>487</v>
      </c>
      <c r="AH57" s="334">
        <v>0</v>
      </c>
      <c r="AI57" s="334"/>
      <c r="AJ57" s="334"/>
      <c r="AK57" s="334"/>
      <c r="AL57" s="334"/>
      <c r="AM57" s="334"/>
      <c r="AN57" s="334"/>
      <c r="AO57" s="864">
        <f t="shared" si="134"/>
        <v>0</v>
      </c>
      <c r="AP57" s="331">
        <v>26</v>
      </c>
      <c r="AQ57" s="1599">
        <v>20</v>
      </c>
      <c r="AR57" s="1625">
        <f>SUM(AQ57-AP57)</f>
        <v>-6</v>
      </c>
      <c r="AS57" s="1579">
        <f>IF(YEAR('3 pr-2'!$AK57)=2017,$AP57,0)</f>
        <v>0</v>
      </c>
      <c r="AT57" s="1579">
        <f>IF(YEAR('3 pr-2'!$AK57)=2018,$AP57,0)</f>
        <v>0</v>
      </c>
      <c r="AU57" s="1579">
        <f>IF(YEAR('3 pr-2'!$AK57)=2019,$AP57,0)</f>
        <v>0</v>
      </c>
      <c r="AV57" s="1579">
        <f>IF(YEAR('3 pr-2'!$AK57)=2020,$AP57,0)</f>
        <v>26</v>
      </c>
      <c r="AW57" s="1579">
        <f>IF(YEAR('3 pr-2'!$AK57)=2021,$AP57,0)</f>
        <v>0</v>
      </c>
      <c r="AX57" s="1579">
        <f>IF(YEAR('3 pr-2'!$AK57)=2022,$AP57,0)</f>
        <v>0</v>
      </c>
      <c r="AY57" s="1579">
        <f>IF(YEAR('3 pr-2'!$AK57)=2023,$AP57,0)</f>
        <v>0</v>
      </c>
      <c r="AZ57" s="331"/>
      <c r="BA57" s="536"/>
      <c r="BB57" s="334"/>
      <c r="BC57" s="334"/>
      <c r="BD57" s="334"/>
      <c r="BE57" s="334"/>
      <c r="BF57" s="334"/>
      <c r="BG57" s="334"/>
      <c r="BH57" s="334"/>
      <c r="BI57" s="864">
        <f>SUM(BB57:BH57)</f>
        <v>0</v>
      </c>
      <c r="BJ57" s="331"/>
      <c r="BK57" s="1621" t="s">
        <v>1840</v>
      </c>
      <c r="BL57" s="1583"/>
      <c r="BM57" s="1579">
        <f>IF(YEAR('3 pr-2'!AK57)=2017,BJ57,0)</f>
        <v>0</v>
      </c>
      <c r="BN57" s="1579">
        <f>IF(YEAR('3 pr-2'!AK57)=2018,BJ57,0)</f>
        <v>0</v>
      </c>
      <c r="BO57" s="1579">
        <f>IF(YEAR('3 pr-2'!AK57)=2019,BJ57,0)</f>
        <v>0</v>
      </c>
      <c r="BP57" s="1579">
        <f>IF(YEAR('3 pr-2'!AK57)=2020,BJ57,0)</f>
        <v>0</v>
      </c>
      <c r="BQ57" s="1579">
        <f>IF(YEAR('3 pr-2'!AK57)=2021,BJ57,0)</f>
        <v>0</v>
      </c>
      <c r="BR57" s="1579">
        <f>IF(YEAR('3 pr-2'!AK57)=2022,BJ57,0)</f>
        <v>0</v>
      </c>
      <c r="BS57" s="1579">
        <f>IF(YEAR('3 pr-2'!AK57)=2023,BJ57,0)</f>
        <v>0</v>
      </c>
      <c r="BT57" s="332"/>
      <c r="BU57" s="537"/>
      <c r="BV57" s="334"/>
      <c r="BW57" s="334"/>
      <c r="BX57" s="334"/>
      <c r="BY57" s="334"/>
      <c r="BZ57" s="334"/>
      <c r="CA57" s="334"/>
      <c r="CB57" s="334"/>
      <c r="CC57" s="864">
        <f t="shared" si="136"/>
        <v>0</v>
      </c>
      <c r="CD57" s="331"/>
      <c r="CE57" s="1583"/>
      <c r="CF57" s="1583"/>
      <c r="CG57" s="1579">
        <f>IF(YEAR('3 pr-2'!$AK57)=2017,$CD57,0)</f>
        <v>0</v>
      </c>
      <c r="CH57" s="1579">
        <f>IF(YEAR('3 pr-2'!$AK57)=2018,$CD57,0)</f>
        <v>0</v>
      </c>
      <c r="CI57" s="1579">
        <f>IF(YEAR('3 pr-2'!$AK57)=2019,$CD57,0)</f>
        <v>0</v>
      </c>
      <c r="CJ57" s="1579">
        <f>IF(YEAR('3 pr-2'!$AK57)=2020,$CD57,0)</f>
        <v>0</v>
      </c>
      <c r="CK57" s="1579">
        <f>IF(YEAR('3 pr-2'!$AK57)=2021,$CD57,0)</f>
        <v>0</v>
      </c>
      <c r="CL57" s="1579">
        <f>IF(YEAR('3 pr-2'!$AK57)=2022,$CD57,0)</f>
        <v>0</v>
      </c>
      <c r="CM57" s="1579">
        <f>IF(YEAR('3 pr-2'!$AK57)=2023,$CD57,0)</f>
        <v>0</v>
      </c>
      <c r="CN57" s="332"/>
      <c r="CO57" s="538"/>
      <c r="CP57" s="852"/>
      <c r="CQ57" s="334"/>
      <c r="CR57" s="334"/>
      <c r="CS57" s="334"/>
      <c r="CT57" s="334"/>
      <c r="CU57" s="334"/>
      <c r="CV57" s="334"/>
      <c r="CW57" s="864">
        <f t="shared" si="137"/>
        <v>0</v>
      </c>
      <c r="CX57" s="333"/>
      <c r="CY57" s="1605"/>
      <c r="CZ57" s="1605"/>
      <c r="DA57" s="1594">
        <f>IF(YEAR('3 pr-2'!AK57)=2017,CX57,0)</f>
        <v>0</v>
      </c>
      <c r="DB57" s="1594">
        <f>IF(YEAR('3 pr-2'!AK57)=2018,CX57,0)</f>
        <v>0</v>
      </c>
      <c r="DC57" s="1594">
        <f>IF(YEAR('3 pr-2'!AK57)=2019,CX57,0)</f>
        <v>0</v>
      </c>
      <c r="DD57" s="1594">
        <f>IF(YEAR('3 pr-2'!AK57)=2020,CX57,0)</f>
        <v>0</v>
      </c>
      <c r="DE57" s="1594">
        <f>IF(YEAR('3 pr-2'!AK57)=2021,CX57,0)</f>
        <v>0</v>
      </c>
      <c r="DF57" s="1594">
        <f>IF(YEAR('3 pr-2'!AK57)=2022,CX57,0)</f>
        <v>0</v>
      </c>
      <c r="DG57" s="1594">
        <f>IF(YEAR('3 pr-2'!AK57)=2023,CX57,0)</f>
        <v>0</v>
      </c>
      <c r="DH57" s="332"/>
      <c r="DI57" s="538"/>
      <c r="DJ57" s="852"/>
      <c r="DK57" s="334"/>
      <c r="DL57" s="334"/>
      <c r="DM57" s="334"/>
      <c r="DN57" s="334"/>
      <c r="DO57" s="334"/>
      <c r="DP57" s="334"/>
      <c r="DQ57" s="864"/>
      <c r="DR57" s="333"/>
      <c r="DS57" s="1605"/>
      <c r="DT57" s="1605"/>
      <c r="DU57" s="1594"/>
      <c r="DV57" s="1594"/>
      <c r="DW57" s="1594"/>
      <c r="DX57" s="1594"/>
      <c r="DY57" s="1594"/>
      <c r="DZ57" s="1594"/>
      <c r="EA57" s="1594"/>
      <c r="EB57" s="332"/>
      <c r="EC57" s="538"/>
      <c r="ED57" s="333"/>
      <c r="EE57" s="1605"/>
      <c r="EF57" s="1605"/>
      <c r="EG57" s="1594">
        <f>IF(YEAR('3 pr-2'!BP57)=2017,ED57,0)</f>
        <v>0</v>
      </c>
      <c r="EH57" s="1594">
        <f>IF(YEAR('3 pr-2'!BP57)=2018,ED57,0)</f>
        <v>0</v>
      </c>
      <c r="EI57" s="1594">
        <f>IF(YEAR('3 pr-2'!BP57)=2019,ED57,0)</f>
        <v>0</v>
      </c>
      <c r="EJ57" s="1594">
        <f>IF(YEAR('3 pr-2'!BP57)=2020,ED57,0)</f>
        <v>0</v>
      </c>
      <c r="EK57" s="1594">
        <f>IF(YEAR('3 pr-2'!BP57)=2021,ED57,0)</f>
        <v>0</v>
      </c>
      <c r="EL57" s="1594">
        <f>IF(YEAR('3 pr-2'!BP57)=2022,ED57,0)</f>
        <v>0</v>
      </c>
      <c r="EM57" s="1594">
        <f>IF(YEAR('3 pr-2'!BP57)=2023,ED57,0)</f>
        <v>0</v>
      </c>
    </row>
    <row r="58" spans="1:143" ht="37.5" customHeight="1" thickBot="1" x14ac:dyDescent="0.3">
      <c r="A58" s="824" t="str">
        <f>CONCATENATE('3 pr-2'!A58)</f>
        <v>1.1.1.7</v>
      </c>
      <c r="B58" s="1926" t="str">
        <f>CONCATENATE('3 pr-2'!B58)</f>
        <v>Priemonė:
Savivaldybes jungiančių turizmo trasų ir turizmo maršrutų informacinės infrastruktūros plėtra</v>
      </c>
      <c r="C58" s="1927"/>
      <c r="D58" s="1927"/>
      <c r="E58" s="1927"/>
      <c r="F58" s="1927"/>
      <c r="G58" s="1927"/>
      <c r="H58" s="1927"/>
      <c r="I58" s="1927"/>
      <c r="J58" s="1927"/>
      <c r="K58" s="1928"/>
      <c r="L58" s="1312"/>
      <c r="M58" s="540"/>
      <c r="N58" s="334">
        <f>SUM(N59:N61)</f>
        <v>0</v>
      </c>
      <c r="O58" s="334">
        <f t="shared" ref="O58:T58" si="236">SUM(O59:O61)</f>
        <v>0</v>
      </c>
      <c r="P58" s="334">
        <f t="shared" si="236"/>
        <v>0</v>
      </c>
      <c r="Q58" s="334">
        <f t="shared" si="236"/>
        <v>0</v>
      </c>
      <c r="R58" s="334">
        <f t="shared" si="236"/>
        <v>0</v>
      </c>
      <c r="S58" s="334">
        <f t="shared" si="236"/>
        <v>0</v>
      </c>
      <c r="T58" s="334">
        <f t="shared" si="236"/>
        <v>0</v>
      </c>
      <c r="U58" s="887">
        <f t="shared" ref="U58:U61" si="237">SUM(N58:T58)</f>
        <v>0</v>
      </c>
      <c r="V58" s="864"/>
      <c r="W58" s="1575"/>
      <c r="X58" s="1576"/>
      <c r="Y58" s="1577">
        <f t="shared" ref="Y58:AE58" si="238">SUM(Y59:Y61)</f>
        <v>0</v>
      </c>
      <c r="Z58" s="1577">
        <f t="shared" si="238"/>
        <v>294</v>
      </c>
      <c r="AA58" s="1577">
        <f t="shared" si="238"/>
        <v>301</v>
      </c>
      <c r="AB58" s="1577">
        <f t="shared" si="238"/>
        <v>0</v>
      </c>
      <c r="AC58" s="1577">
        <f t="shared" si="238"/>
        <v>38</v>
      </c>
      <c r="AD58" s="1577">
        <f t="shared" si="238"/>
        <v>0</v>
      </c>
      <c r="AE58" s="1577">
        <f t="shared" si="238"/>
        <v>0</v>
      </c>
      <c r="AF58" s="878"/>
      <c r="AG58" s="889"/>
      <c r="AH58" s="334">
        <f>SUM(AH59:AH61)</f>
        <v>0</v>
      </c>
      <c r="AI58" s="334">
        <f t="shared" ref="AI58" si="239">SUM(AI59:AI61)</f>
        <v>0</v>
      </c>
      <c r="AJ58" s="334">
        <f t="shared" ref="AJ58" si="240">SUM(AJ59:AJ61)</f>
        <v>0</v>
      </c>
      <c r="AK58" s="334">
        <f t="shared" ref="AK58" si="241">SUM(AK59:AK61)</f>
        <v>0</v>
      </c>
      <c r="AL58" s="334">
        <f t="shared" ref="AL58" si="242">SUM(AL59:AL61)</f>
        <v>0</v>
      </c>
      <c r="AM58" s="334">
        <f t="shared" ref="AM58" si="243">SUM(AM59:AM61)</f>
        <v>0</v>
      </c>
      <c r="AN58" s="334">
        <f t="shared" ref="AN58" si="244">SUM(AN59:AN61)</f>
        <v>0</v>
      </c>
      <c r="AO58" s="864">
        <f t="shared" si="134"/>
        <v>0</v>
      </c>
      <c r="AP58" s="864"/>
      <c r="AQ58" s="1577"/>
      <c r="AR58" s="1577"/>
      <c r="AS58" s="1577"/>
      <c r="AT58" s="1577"/>
      <c r="AU58" s="1577"/>
      <c r="AV58" s="1577"/>
      <c r="AW58" s="1577"/>
      <c r="AX58" s="1577"/>
      <c r="AY58" s="1577"/>
      <c r="AZ58" s="864"/>
      <c r="BA58" s="889"/>
      <c r="BB58" s="334">
        <f>SUM(BB59:BB61)</f>
        <v>0</v>
      </c>
      <c r="BC58" s="334">
        <f t="shared" ref="BC58" si="245">SUM(BC59:BC61)</f>
        <v>0</v>
      </c>
      <c r="BD58" s="334">
        <f t="shared" ref="BD58" si="246">SUM(BD59:BD61)</f>
        <v>0</v>
      </c>
      <c r="BE58" s="334">
        <f t="shared" ref="BE58" si="247">SUM(BE59:BE61)</f>
        <v>0</v>
      </c>
      <c r="BF58" s="334">
        <f t="shared" ref="BF58" si="248">SUM(BF59:BF61)</f>
        <v>0</v>
      </c>
      <c r="BG58" s="334">
        <f t="shared" ref="BG58" si="249">SUM(BG59:BG61)</f>
        <v>0</v>
      </c>
      <c r="BH58" s="334">
        <f t="shared" ref="BH58" si="250">SUM(BH59:BH61)</f>
        <v>0</v>
      </c>
      <c r="BI58" s="864">
        <f t="shared" si="161"/>
        <v>0</v>
      </c>
      <c r="BJ58" s="864"/>
      <c r="BK58" s="1577"/>
      <c r="BL58" s="1577"/>
      <c r="BM58" s="1577"/>
      <c r="BN58" s="1577"/>
      <c r="BO58" s="1577"/>
      <c r="BP58" s="1577"/>
      <c r="BQ58" s="1577"/>
      <c r="BR58" s="1577"/>
      <c r="BS58" s="1577"/>
      <c r="BT58" s="334"/>
      <c r="BU58" s="538"/>
      <c r="BV58" s="334">
        <f>SUM(BV59:BV61)</f>
        <v>0</v>
      </c>
      <c r="BW58" s="334">
        <f t="shared" ref="BW58" si="251">SUM(BW59:BW61)</f>
        <v>0</v>
      </c>
      <c r="BX58" s="334">
        <f t="shared" ref="BX58" si="252">SUM(BX59:BX61)</f>
        <v>0</v>
      </c>
      <c r="BY58" s="334">
        <f t="shared" ref="BY58" si="253">SUM(BY59:BY61)</f>
        <v>0</v>
      </c>
      <c r="BZ58" s="334">
        <f t="shared" ref="BZ58" si="254">SUM(BZ59:BZ61)</f>
        <v>0</v>
      </c>
      <c r="CA58" s="334">
        <f t="shared" ref="CA58" si="255">SUM(CA59:CA61)</f>
        <v>0</v>
      </c>
      <c r="CB58" s="334">
        <f t="shared" ref="CB58" si="256">SUM(CB59:CB61)</f>
        <v>0</v>
      </c>
      <c r="CC58" s="864">
        <f t="shared" si="136"/>
        <v>0</v>
      </c>
      <c r="CD58" s="334"/>
      <c r="CE58" s="1577"/>
      <c r="CF58" s="1577"/>
      <c r="CG58" s="1577"/>
      <c r="CH58" s="1577"/>
      <c r="CI58" s="1577"/>
      <c r="CJ58" s="1577"/>
      <c r="CK58" s="1577"/>
      <c r="CL58" s="1577"/>
      <c r="CM58" s="1577"/>
      <c r="CN58" s="887"/>
      <c r="CO58" s="538"/>
      <c r="CP58" s="852">
        <f>SUM(CP59:CP61)</f>
        <v>0</v>
      </c>
      <c r="CQ58" s="334">
        <f t="shared" ref="CQ58" si="257">SUM(CQ59:CQ61)</f>
        <v>0</v>
      </c>
      <c r="CR58" s="334">
        <f t="shared" ref="CR58" si="258">SUM(CR59:CR61)</f>
        <v>0</v>
      </c>
      <c r="CS58" s="334">
        <f t="shared" ref="CS58" si="259">SUM(CS59:CS61)</f>
        <v>0</v>
      </c>
      <c r="CT58" s="334">
        <f t="shared" ref="CT58" si="260">SUM(CT59:CT61)</f>
        <v>0</v>
      </c>
      <c r="CU58" s="334">
        <f t="shared" ref="CU58" si="261">SUM(CU59:CU61)</f>
        <v>0</v>
      </c>
      <c r="CV58" s="334">
        <f t="shared" ref="CV58" si="262">SUM(CV59:CV61)</f>
        <v>0</v>
      </c>
      <c r="CW58" s="864">
        <f t="shared" si="137"/>
        <v>0</v>
      </c>
      <c r="CX58" s="334"/>
      <c r="CY58" s="1594"/>
      <c r="CZ58" s="1594"/>
      <c r="DA58" s="1594"/>
      <c r="DB58" s="1594"/>
      <c r="DC58" s="1594"/>
      <c r="DD58" s="1594"/>
      <c r="DE58" s="1594"/>
      <c r="DF58" s="1594"/>
      <c r="DG58" s="1594"/>
      <c r="DH58" s="887"/>
      <c r="DI58" s="538"/>
      <c r="DJ58" s="852"/>
      <c r="DK58" s="334"/>
      <c r="DL58" s="334"/>
      <c r="DM58" s="334"/>
      <c r="DN58" s="334"/>
      <c r="DO58" s="334"/>
      <c r="DP58" s="334"/>
      <c r="DQ58" s="864"/>
      <c r="DR58" s="334"/>
      <c r="DS58" s="1594"/>
      <c r="DT58" s="1594"/>
      <c r="DU58" s="1594"/>
      <c r="DV58" s="1594"/>
      <c r="DW58" s="1594"/>
      <c r="DX58" s="1594"/>
      <c r="DY58" s="1594"/>
      <c r="DZ58" s="1594"/>
      <c r="EA58" s="1594"/>
      <c r="EB58" s="887"/>
      <c r="EC58" s="538"/>
      <c r="ED58" s="890"/>
      <c r="EE58" s="1594"/>
      <c r="EF58" s="1594"/>
      <c r="EG58" s="1594"/>
      <c r="EH58" s="1594"/>
      <c r="EI58" s="1594"/>
      <c r="EJ58" s="1594"/>
      <c r="EK58" s="1594"/>
      <c r="EL58" s="1594"/>
      <c r="EM58" s="1594"/>
    </row>
    <row r="59" spans="1:143" ht="37.5" thickTop="1" thickBot="1" x14ac:dyDescent="0.3">
      <c r="A59" s="345" t="str">
        <f>CONCATENATE('3 pr-2'!A59)</f>
        <v>1.1.1.7.1</v>
      </c>
      <c r="B59" s="345" t="str">
        <f>CONCATENATE('3 pr-2'!B59)</f>
        <v>R01-8821-420000-1171</v>
      </c>
      <c r="C59" s="970" t="str">
        <f>CONCATENATE('ketv. 2'!B58)</f>
        <v>05.4.1-LVPA-R-821-11-0002</v>
      </c>
      <c r="D59" s="125" t="str">
        <f>CONCATENATE('3 pr-2'!D59)</f>
        <v>Alytaus regiono turizmo informacinės infrastruktūros plėtra</v>
      </c>
      <c r="E59" s="312" t="str">
        <f>CONCATENATE('3 pr-2'!E59)</f>
        <v>Alytaus miesto savivaldybės administracija</v>
      </c>
      <c r="F59" s="312" t="str">
        <f>CONCATENATE('3 pr-2'!F59)</f>
        <v>Lietuvos Respublikos ūkio ministerija</v>
      </c>
      <c r="G59" s="312" t="str">
        <f>CONCATENATE('3 pr-2'!G59)</f>
        <v>Alytaus m. sav.</v>
      </c>
      <c r="H59" s="345" t="str">
        <f>CONCATENATE('3 pr-2'!H59)</f>
        <v>05.4.1-LVPA-R-821</v>
      </c>
      <c r="I59" s="345" t="str">
        <f>CONCATENATE('3 pr-2'!I59)</f>
        <v>R</v>
      </c>
      <c r="J59" s="345" t="str">
        <f>CONCATENATE('3 pr-2'!J59)</f>
        <v>-</v>
      </c>
      <c r="K59" s="345" t="str">
        <f>CONCATENATE('3 pr-2'!K59)</f>
        <v>-</v>
      </c>
      <c r="L59" s="345" t="s">
        <v>488</v>
      </c>
      <c r="M59" s="537" t="s">
        <v>489</v>
      </c>
      <c r="N59" s="345"/>
      <c r="O59" s="345"/>
      <c r="P59" s="345"/>
      <c r="Q59" s="345"/>
      <c r="R59" s="345"/>
      <c r="S59" s="345"/>
      <c r="T59" s="345"/>
      <c r="U59" s="893">
        <f t="shared" si="237"/>
        <v>0</v>
      </c>
      <c r="V59" s="345">
        <v>294</v>
      </c>
      <c r="W59" s="1578" t="str">
        <f ca="1">IF('ketv. 6 '!L58&gt;0,"294",0)</f>
        <v>294</v>
      </c>
      <c r="X59" s="1579">
        <f ca="1">SUM(W59-V59)</f>
        <v>0</v>
      </c>
      <c r="Y59" s="1579">
        <f>IF(YEAR('3 pr-2'!$AK59)=2017,$V59,0)</f>
        <v>0</v>
      </c>
      <c r="Z59" s="1579">
        <f>IF(YEAR('3 pr-2'!$AK59)=2018,$V59,0)</f>
        <v>294</v>
      </c>
      <c r="AA59" s="1579">
        <f>IF(YEAR('3 pr-2'!$AK59)=2019,$V59,0)</f>
        <v>0</v>
      </c>
      <c r="AB59" s="1579">
        <f>IF(YEAR('3 pr-2'!$AK59)=2020,$V59,0)</f>
        <v>0</v>
      </c>
      <c r="AC59" s="1579">
        <f>IF(YEAR('3 pr-2'!$AK59)=2021,$V59,0)</f>
        <v>0</v>
      </c>
      <c r="AD59" s="1579">
        <f>IF(YEAR('3 pr-2'!$AK59)=2022,$V59,0)</f>
        <v>0</v>
      </c>
      <c r="AE59" s="1579">
        <f>IF(YEAR('3 pr-2'!$AK59)=2023,$V59,0)</f>
        <v>0</v>
      </c>
      <c r="AF59" s="350"/>
      <c r="AG59" s="537"/>
      <c r="AH59" s="345"/>
      <c r="AI59" s="345"/>
      <c r="AJ59" s="345"/>
      <c r="AK59" s="345"/>
      <c r="AL59" s="345"/>
      <c r="AM59" s="345"/>
      <c r="AN59" s="345"/>
      <c r="AO59" s="895">
        <f t="shared" si="134"/>
        <v>0</v>
      </c>
      <c r="AP59" s="345"/>
      <c r="AQ59" s="1597"/>
      <c r="AR59" s="1579"/>
      <c r="AS59" s="1579">
        <f>IF(YEAR('3 pr-2'!$AK59)=2017,$AP59,0)</f>
        <v>0</v>
      </c>
      <c r="AT59" s="1579">
        <f>IF(YEAR('3 pr-2'!$AK59)=2018,$AP59,0)</f>
        <v>0</v>
      </c>
      <c r="AU59" s="1579">
        <f>IF(YEAR('3 pr-2'!$AK59)=2019,$AP59,0)</f>
        <v>0</v>
      </c>
      <c r="AV59" s="1579">
        <f>IF(YEAR('3 pr-2'!$AK59)=2020,$AP59,0)</f>
        <v>0</v>
      </c>
      <c r="AW59" s="1579">
        <f>IF(YEAR('3 pr-2'!$AK59)=2021,$AP59,0)</f>
        <v>0</v>
      </c>
      <c r="AX59" s="1579">
        <f>IF(YEAR('3 pr-2'!$AK59)=2022,$AP59,0)</f>
        <v>0</v>
      </c>
      <c r="AY59" s="1579">
        <f>IF(YEAR('3 pr-2'!$AK59)=2023,$AP59,0)</f>
        <v>0</v>
      </c>
      <c r="AZ59" s="345"/>
      <c r="BA59" s="536"/>
      <c r="BB59" s="345"/>
      <c r="BC59" s="345"/>
      <c r="BD59" s="345"/>
      <c r="BE59" s="345"/>
      <c r="BF59" s="345"/>
      <c r="BG59" s="345"/>
      <c r="BH59" s="345"/>
      <c r="BI59" s="895">
        <f t="shared" si="161"/>
        <v>0</v>
      </c>
      <c r="BJ59" s="345"/>
      <c r="BK59" s="1597"/>
      <c r="BL59" s="1579"/>
      <c r="BM59" s="1579">
        <f>IF(YEAR('3 pr-2'!AK59)=2017,BJ59,0)</f>
        <v>0</v>
      </c>
      <c r="BN59" s="1579">
        <f>IF(YEAR('3 pr-2'!AK59)=2018,BJ59,0)</f>
        <v>0</v>
      </c>
      <c r="BO59" s="1579">
        <f>IF(YEAR('3 pr-2'!AK59)=2019,BJ59,0)</f>
        <v>0</v>
      </c>
      <c r="BP59" s="1579">
        <f>IF(YEAR('3 pr-2'!AK59)=2020,BJ59,0)</f>
        <v>0</v>
      </c>
      <c r="BQ59" s="1579">
        <f>IF(YEAR('3 pr-2'!AK59)=2021,BJ59,0)</f>
        <v>0</v>
      </c>
      <c r="BR59" s="1579">
        <f>IF(YEAR('3 pr-2'!AK59)=2022,BJ59,0)</f>
        <v>0</v>
      </c>
      <c r="BS59" s="1579">
        <f>IF(YEAR('3 pr-2'!AK59)=2023,BJ59,0)</f>
        <v>0</v>
      </c>
      <c r="BT59" s="350"/>
      <c r="BU59" s="537"/>
      <c r="BV59" s="345"/>
      <c r="BW59" s="345"/>
      <c r="BX59" s="345"/>
      <c r="BY59" s="345"/>
      <c r="BZ59" s="345"/>
      <c r="CA59" s="345"/>
      <c r="CB59" s="345"/>
      <c r="CC59" s="895">
        <f t="shared" si="136"/>
        <v>0</v>
      </c>
      <c r="CD59" s="345"/>
      <c r="CE59" s="1579"/>
      <c r="CF59" s="1579"/>
      <c r="CG59" s="1579">
        <f>IF(YEAR('3 pr-2'!$AK59)=2017,$CD59,0)</f>
        <v>0</v>
      </c>
      <c r="CH59" s="1579">
        <f>IF(YEAR('3 pr-2'!$AK59)=2018,$CD59,0)</f>
        <v>0</v>
      </c>
      <c r="CI59" s="1579">
        <f>IF(YEAR('3 pr-2'!$AK59)=2019,$CD59,0)</f>
        <v>0</v>
      </c>
      <c r="CJ59" s="1579">
        <f>IF(YEAR('3 pr-2'!$AK59)=2020,$CD59,0)</f>
        <v>0</v>
      </c>
      <c r="CK59" s="1579">
        <f>IF(YEAR('3 pr-2'!$AK59)=2021,$CD59,0)</f>
        <v>0</v>
      </c>
      <c r="CL59" s="1579">
        <f>IF(YEAR('3 pr-2'!$AK59)=2022,$CD59,0)</f>
        <v>0</v>
      </c>
      <c r="CM59" s="1579">
        <f>IF(YEAR('3 pr-2'!$AK59)=2023,$CD59,0)</f>
        <v>0</v>
      </c>
      <c r="CN59" s="350"/>
      <c r="CO59" s="538"/>
      <c r="CP59" s="351"/>
      <c r="CQ59" s="345"/>
      <c r="CR59" s="345"/>
      <c r="CS59" s="345"/>
      <c r="CT59" s="345"/>
      <c r="CU59" s="345"/>
      <c r="CV59" s="345"/>
      <c r="CW59" s="895">
        <f t="shared" si="137"/>
        <v>0</v>
      </c>
      <c r="CX59" s="351"/>
      <c r="CY59" s="1605"/>
      <c r="CZ59" s="1605"/>
      <c r="DA59" s="1594">
        <f>IF(YEAR('3 pr-2'!AK59)=2017,CX59,0)</f>
        <v>0</v>
      </c>
      <c r="DB59" s="1594">
        <f>IF(YEAR('3 pr-2'!AK59)=2018,CX59,0)</f>
        <v>0</v>
      </c>
      <c r="DC59" s="1594">
        <f>IF(YEAR('3 pr-2'!AK59)=2019,CX59,0)</f>
        <v>0</v>
      </c>
      <c r="DD59" s="1594">
        <f>IF(YEAR('3 pr-2'!AK59)=2020,CX59,0)</f>
        <v>0</v>
      </c>
      <c r="DE59" s="1594">
        <f>IF(YEAR('3 pr-2'!AK59)=2021,CX59,0)</f>
        <v>0</v>
      </c>
      <c r="DF59" s="1594">
        <f>IF(YEAR('3 pr-2'!AK59)=2022,CX59,0)</f>
        <v>0</v>
      </c>
      <c r="DG59" s="1594">
        <f>IF(YEAR('3 pr-2'!AK59)=2023,CX59,0)</f>
        <v>0</v>
      </c>
      <c r="DH59" s="350"/>
      <c r="DI59" s="538"/>
      <c r="DJ59" s="351"/>
      <c r="DK59" s="345"/>
      <c r="DL59" s="345"/>
      <c r="DM59" s="345"/>
      <c r="DN59" s="345"/>
      <c r="DO59" s="345"/>
      <c r="DP59" s="345"/>
      <c r="DQ59" s="895"/>
      <c r="DR59" s="351"/>
      <c r="DS59" s="1605"/>
      <c r="DT59" s="1605"/>
      <c r="DU59" s="1594"/>
      <c r="DV59" s="1594"/>
      <c r="DW59" s="1594"/>
      <c r="DX59" s="1594"/>
      <c r="DY59" s="1594"/>
      <c r="DZ59" s="1594"/>
      <c r="EA59" s="1594"/>
      <c r="EB59" s="350"/>
      <c r="EC59" s="538"/>
      <c r="ED59" s="333"/>
      <c r="EE59" s="1605"/>
      <c r="EF59" s="1605"/>
      <c r="EG59" s="1594">
        <f>IF(YEAR('3 pr-2'!BP59)=2017,ED59,0)</f>
        <v>0</v>
      </c>
      <c r="EH59" s="1594">
        <f>IF(YEAR('3 pr-2'!BP59)=2018,ED59,0)</f>
        <v>0</v>
      </c>
      <c r="EI59" s="1594">
        <f>IF(YEAR('3 pr-2'!BP59)=2019,ED59,0)</f>
        <v>0</v>
      </c>
      <c r="EJ59" s="1594">
        <f>IF(YEAR('3 pr-2'!BP59)=2020,ED59,0)</f>
        <v>0</v>
      </c>
      <c r="EK59" s="1594">
        <f>IF(YEAR('3 pr-2'!BP59)=2021,ED59,0)</f>
        <v>0</v>
      </c>
      <c r="EL59" s="1594">
        <f>IF(YEAR('3 pr-2'!BP59)=2022,ED59,0)</f>
        <v>0</v>
      </c>
      <c r="EM59" s="1594">
        <f>IF(YEAR('3 pr-2'!BP59)=2023,ED59,0)</f>
        <v>0</v>
      </c>
    </row>
    <row r="60" spans="1:143" ht="73.5" thickTop="1" thickBot="1" x14ac:dyDescent="0.3">
      <c r="A60" s="345" t="str">
        <f>CONCATENATE('3 pr-2'!A60)</f>
        <v>1.1.1.7.2</v>
      </c>
      <c r="B60" s="345" t="str">
        <f>CONCATENATE('3 pr-2'!B60)</f>
        <v>R01-8821-420000-1172</v>
      </c>
      <c r="C60" s="970" t="str">
        <f>CONCATENATE('ketv. 2'!B59)</f>
        <v>05.4.1-LVPA-R-821-11-0001</v>
      </c>
      <c r="D60" s="125" t="str">
        <f>CONCATENATE('3 pr-2'!D60)</f>
        <v>„Turizmo trasų ir maršrutų informacinės infrastruktūros plėtra  Lazdijų, Varėnos rajonų ir Druskininkų savivaldybėse“</v>
      </c>
      <c r="E60" s="312" t="str">
        <f>CONCATENATE('3 pr-2'!E60)</f>
        <v>Lazdijų rajono savivaldybės administracija</v>
      </c>
      <c r="F60" s="312" t="str">
        <f>CONCATENATE('3 pr-2'!F60)</f>
        <v>Lietuvos Respublikos ūkio ministerija</v>
      </c>
      <c r="G60" s="312" t="str">
        <f>CONCATENATE('3 pr-2'!G60)</f>
        <v xml:space="preserve">Lazdijų, Varėnos rajonų ir Druskininkų savivaldybės </v>
      </c>
      <c r="H60" s="345" t="str">
        <f>CONCATENATE('3 pr-2'!H60)</f>
        <v>05.4.1-LVPA-R-821</v>
      </c>
      <c r="I60" s="345" t="str">
        <f>CONCATENATE('3 pr-2'!I60)</f>
        <v>R</v>
      </c>
      <c r="J60" s="345" t="str">
        <f>CONCATENATE('3 pr-2'!J60)</f>
        <v>-</v>
      </c>
      <c r="K60" s="345" t="str">
        <f>CONCATENATE('3 pr-2'!K60)</f>
        <v>-</v>
      </c>
      <c r="L60" s="345" t="s">
        <v>488</v>
      </c>
      <c r="M60" s="537" t="s">
        <v>489</v>
      </c>
      <c r="N60" s="345"/>
      <c r="O60" s="345"/>
      <c r="P60" s="345"/>
      <c r="Q60" s="345"/>
      <c r="R60" s="345"/>
      <c r="S60" s="345"/>
      <c r="T60" s="345"/>
      <c r="U60" s="893">
        <f t="shared" si="237"/>
        <v>0</v>
      </c>
      <c r="V60" s="345">
        <v>301</v>
      </c>
      <c r="W60" s="1578" t="str">
        <f ca="1">IF('ketv. 6 '!L59&gt;0,"301",0)</f>
        <v>301</v>
      </c>
      <c r="X60" s="1579">
        <f ca="1">SUM(W60-V60)</f>
        <v>0</v>
      </c>
      <c r="Y60" s="1579">
        <f>IF(YEAR('3 pr-2'!$AK60)=2017,$V60,0)</f>
        <v>0</v>
      </c>
      <c r="Z60" s="1579">
        <f>IF(YEAR('3 pr-2'!$AK60)=2018,$V60,0)</f>
        <v>0</v>
      </c>
      <c r="AA60" s="1579">
        <f>IF(YEAR('3 pr-2'!$AK60)=2019,$V60,0)</f>
        <v>301</v>
      </c>
      <c r="AB60" s="1579">
        <f>IF(YEAR('3 pr-2'!$AK60)=2020,$V60,0)</f>
        <v>0</v>
      </c>
      <c r="AC60" s="1579">
        <f>IF(YEAR('3 pr-2'!$AK60)=2021,$V60,0)</f>
        <v>0</v>
      </c>
      <c r="AD60" s="1579">
        <f>IF(YEAR('3 pr-2'!$AK60)=2022,$V60,0)</f>
        <v>0</v>
      </c>
      <c r="AE60" s="1579">
        <f>IF(YEAR('3 pr-2'!$AK60)=2023,$V60,0)</f>
        <v>0</v>
      </c>
      <c r="AF60" s="350"/>
      <c r="AG60" s="537"/>
      <c r="AH60" s="345"/>
      <c r="AI60" s="345"/>
      <c r="AJ60" s="345"/>
      <c r="AK60" s="345"/>
      <c r="AL60" s="345"/>
      <c r="AM60" s="345"/>
      <c r="AN60" s="345"/>
      <c r="AO60" s="895">
        <f t="shared" si="134"/>
        <v>0</v>
      </c>
      <c r="AP60" s="345"/>
      <c r="AQ60" s="1597"/>
      <c r="AR60" s="1579"/>
      <c r="AS60" s="1579">
        <f>IF(YEAR('3 pr-2'!$AK60)=2017,$AP60,0)</f>
        <v>0</v>
      </c>
      <c r="AT60" s="1579">
        <f>IF(YEAR('3 pr-2'!$AK60)=2018,$AP60,0)</f>
        <v>0</v>
      </c>
      <c r="AU60" s="1579">
        <f>IF(YEAR('3 pr-2'!$AK60)=2019,$AP60,0)</f>
        <v>0</v>
      </c>
      <c r="AV60" s="1579">
        <f>IF(YEAR('3 pr-2'!$AK60)=2020,$AP60,0)</f>
        <v>0</v>
      </c>
      <c r="AW60" s="1579">
        <f>IF(YEAR('3 pr-2'!$AK60)=2021,$AP60,0)</f>
        <v>0</v>
      </c>
      <c r="AX60" s="1579">
        <f>IF(YEAR('3 pr-2'!$AK60)=2022,$AP60,0)</f>
        <v>0</v>
      </c>
      <c r="AY60" s="1579">
        <f>IF(YEAR('3 pr-2'!$AK60)=2023,$AP60,0)</f>
        <v>0</v>
      </c>
      <c r="AZ60" s="345"/>
      <c r="BA60" s="536"/>
      <c r="BB60" s="345"/>
      <c r="BC60" s="345"/>
      <c r="BD60" s="345"/>
      <c r="BE60" s="345"/>
      <c r="BF60" s="345"/>
      <c r="BG60" s="345"/>
      <c r="BH60" s="345"/>
      <c r="BI60" s="895">
        <f t="shared" si="161"/>
        <v>0</v>
      </c>
      <c r="BJ60" s="345"/>
      <c r="BK60" s="1597"/>
      <c r="BL60" s="1579"/>
      <c r="BM60" s="1579">
        <f>IF(YEAR('3 pr-2'!AK60)=2017,BJ60,0)</f>
        <v>0</v>
      </c>
      <c r="BN60" s="1579">
        <f>IF(YEAR('3 pr-2'!AK60)=2018,BJ60,0)</f>
        <v>0</v>
      </c>
      <c r="BO60" s="1579">
        <f>IF(YEAR('3 pr-2'!AK60)=2019,BJ60,0)</f>
        <v>0</v>
      </c>
      <c r="BP60" s="1579">
        <f>IF(YEAR('3 pr-2'!AK60)=2020,BJ60,0)</f>
        <v>0</v>
      </c>
      <c r="BQ60" s="1579">
        <f>IF(YEAR('3 pr-2'!AK60)=2021,BJ60,0)</f>
        <v>0</v>
      </c>
      <c r="BR60" s="1579">
        <f>IF(YEAR('3 pr-2'!AK60)=2022,BJ60,0)</f>
        <v>0</v>
      </c>
      <c r="BS60" s="1579">
        <f>IF(YEAR('3 pr-2'!AK60)=2023,BJ60,0)</f>
        <v>0</v>
      </c>
      <c r="BT60" s="350"/>
      <c r="BU60" s="537"/>
      <c r="BV60" s="345"/>
      <c r="BW60" s="345"/>
      <c r="BX60" s="345"/>
      <c r="BY60" s="345"/>
      <c r="BZ60" s="345"/>
      <c r="CA60" s="345"/>
      <c r="CB60" s="345"/>
      <c r="CC60" s="895">
        <f t="shared" si="136"/>
        <v>0</v>
      </c>
      <c r="CD60" s="345"/>
      <c r="CE60" s="1579"/>
      <c r="CF60" s="1579"/>
      <c r="CG60" s="1579">
        <f>IF(YEAR('3 pr-2'!$AK60)=2017,$CD60,0)</f>
        <v>0</v>
      </c>
      <c r="CH60" s="1579">
        <f>IF(YEAR('3 pr-2'!$AK60)=2018,$CD60,0)</f>
        <v>0</v>
      </c>
      <c r="CI60" s="1579">
        <f>IF(YEAR('3 pr-2'!$AK60)=2019,$CD60,0)</f>
        <v>0</v>
      </c>
      <c r="CJ60" s="1579">
        <f>IF(YEAR('3 pr-2'!$AK60)=2020,$CD60,0)</f>
        <v>0</v>
      </c>
      <c r="CK60" s="1579">
        <f>IF(YEAR('3 pr-2'!$AK60)=2021,$CD60,0)</f>
        <v>0</v>
      </c>
      <c r="CL60" s="1579">
        <f>IF(YEAR('3 pr-2'!$AK60)=2022,$CD60,0)</f>
        <v>0</v>
      </c>
      <c r="CM60" s="1579">
        <f>IF(YEAR('3 pr-2'!$AK60)=2023,$CD60,0)</f>
        <v>0</v>
      </c>
      <c r="CN60" s="350"/>
      <c r="CO60" s="538"/>
      <c r="CP60" s="351"/>
      <c r="CQ60" s="345"/>
      <c r="CR60" s="345"/>
      <c r="CS60" s="345"/>
      <c r="CT60" s="345"/>
      <c r="CU60" s="345"/>
      <c r="CV60" s="345"/>
      <c r="CW60" s="895">
        <f t="shared" si="137"/>
        <v>0</v>
      </c>
      <c r="CX60" s="351"/>
      <c r="CY60" s="1605"/>
      <c r="CZ60" s="1605"/>
      <c r="DA60" s="1594">
        <f>IF(YEAR('3 pr-2'!AK60)=2017,CX60,0)</f>
        <v>0</v>
      </c>
      <c r="DB60" s="1594">
        <f>IF(YEAR('3 pr-2'!AK60)=2018,CX60,0)</f>
        <v>0</v>
      </c>
      <c r="DC60" s="1594">
        <f>IF(YEAR('3 pr-2'!AK60)=2019,CX60,0)</f>
        <v>0</v>
      </c>
      <c r="DD60" s="1594">
        <f>IF(YEAR('3 pr-2'!AK60)=2020,CX60,0)</f>
        <v>0</v>
      </c>
      <c r="DE60" s="1594">
        <f>IF(YEAR('3 pr-2'!AK60)=2021,CX60,0)</f>
        <v>0</v>
      </c>
      <c r="DF60" s="1594">
        <f>IF(YEAR('3 pr-2'!AK60)=2022,CX60,0)</f>
        <v>0</v>
      </c>
      <c r="DG60" s="1594">
        <f>IF(YEAR('3 pr-2'!AK60)=2023,CX60,0)</f>
        <v>0</v>
      </c>
      <c r="DH60" s="350"/>
      <c r="DI60" s="538"/>
      <c r="DJ60" s="351"/>
      <c r="DK60" s="345"/>
      <c r="DL60" s="345"/>
      <c r="DM60" s="345"/>
      <c r="DN60" s="345"/>
      <c r="DO60" s="345"/>
      <c r="DP60" s="345"/>
      <c r="DQ60" s="895"/>
      <c r="DR60" s="351"/>
      <c r="DS60" s="1605"/>
      <c r="DT60" s="1605"/>
      <c r="DU60" s="1594"/>
      <c r="DV60" s="1594"/>
      <c r="DW60" s="1594"/>
      <c r="DX60" s="1594"/>
      <c r="DY60" s="1594"/>
      <c r="DZ60" s="1594"/>
      <c r="EA60" s="1594"/>
      <c r="EB60" s="350"/>
      <c r="EC60" s="538"/>
      <c r="ED60" s="333"/>
      <c r="EE60" s="1605"/>
      <c r="EF60" s="1605"/>
      <c r="EG60" s="1594">
        <f>IF(YEAR('3 pr-2'!BP60)=2017,ED60,0)</f>
        <v>0</v>
      </c>
      <c r="EH60" s="1594">
        <f>IF(YEAR('3 pr-2'!BP60)=2018,ED60,0)</f>
        <v>0</v>
      </c>
      <c r="EI60" s="1594">
        <f>IF(YEAR('3 pr-2'!BP60)=2019,ED60,0)</f>
        <v>0</v>
      </c>
      <c r="EJ60" s="1594">
        <f>IF(YEAR('3 pr-2'!BP60)=2020,ED60,0)</f>
        <v>0</v>
      </c>
      <c r="EK60" s="1594">
        <f>IF(YEAR('3 pr-2'!BP60)=2021,ED60,0)</f>
        <v>0</v>
      </c>
      <c r="EL60" s="1594">
        <f>IF(YEAR('3 pr-2'!BP60)=2022,ED60,0)</f>
        <v>0</v>
      </c>
      <c r="EM60" s="1594">
        <f>IF(YEAR('3 pr-2'!BP60)=2023,ED60,0)</f>
        <v>0</v>
      </c>
    </row>
    <row r="61" spans="1:143" ht="73.5" thickTop="1" thickBot="1" x14ac:dyDescent="0.3">
      <c r="A61" s="345" t="str">
        <f>CONCATENATE('3 pr-2'!A61)</f>
        <v>1.1.1.7.3</v>
      </c>
      <c r="B61" s="345" t="str">
        <f>CONCATENATE('3 pr-2'!B61)</f>
        <v>R01-8821-420000-1173</v>
      </c>
      <c r="C61" s="970" t="str">
        <f>CONCATENATE('ketv. 2'!B60)</f>
        <v/>
      </c>
      <c r="D61" s="125" t="str">
        <f>CONCATENATE('3 pr-2'!D61)</f>
        <v>„Turizmo trasų ir maršrutų informacinės infrastruktūros plėtra  Lazdijų, Varėnos rajonų ir Druskininkų savivaldybėse II etapas“</v>
      </c>
      <c r="E61" s="312" t="str">
        <f>CONCATENATE('3 pr-2'!E61)</f>
        <v>Lazdijų rajono savivaldybės administracija</v>
      </c>
      <c r="F61" s="312" t="str">
        <f>CONCATENATE('3 pr-2'!F61)</f>
        <v>Lietuvos Respublikos ūkio ministerija</v>
      </c>
      <c r="G61" s="312" t="str">
        <f>CONCATENATE('3 pr-2'!G61)</f>
        <v xml:space="preserve">Lazdijų, Varėnos rajonų ir Druskininkų savivaldybės </v>
      </c>
      <c r="H61" s="345" t="str">
        <f>CONCATENATE('3 pr-2'!H61)</f>
        <v>05.4.1-LVPA-R-821</v>
      </c>
      <c r="I61" s="345" t="str">
        <f>CONCATENATE('3 pr-2'!I61)</f>
        <v>R</v>
      </c>
      <c r="J61" s="345" t="str">
        <f>CONCATENATE('3 pr-2'!J61)</f>
        <v>-</v>
      </c>
      <c r="K61" s="345" t="str">
        <f>CONCATENATE('3 pr-2'!K61)</f>
        <v>-</v>
      </c>
      <c r="L61" s="345" t="s">
        <v>488</v>
      </c>
      <c r="M61" s="537" t="s">
        <v>489</v>
      </c>
      <c r="N61" s="345"/>
      <c r="O61" s="345"/>
      <c r="P61" s="345"/>
      <c r="Q61" s="345"/>
      <c r="R61" s="345"/>
      <c r="S61" s="345"/>
      <c r="T61" s="345"/>
      <c r="U61" s="893">
        <f t="shared" si="237"/>
        <v>0</v>
      </c>
      <c r="V61" s="345">
        <v>38</v>
      </c>
      <c r="W61" s="1578" t="str">
        <f ca="1">IF('ketv. 6 '!L60&gt;0,"taip","nėra")</f>
        <v>nėra</v>
      </c>
      <c r="X61" s="1579"/>
      <c r="Y61" s="1579">
        <f>IF(YEAR('3 pr-2'!$AK61)=2017,$V61,0)</f>
        <v>0</v>
      </c>
      <c r="Z61" s="1579">
        <f>IF(YEAR('3 pr-2'!$AK61)=2018,$V61,0)</f>
        <v>0</v>
      </c>
      <c r="AA61" s="1579">
        <f>IF(YEAR('3 pr-2'!$AK61)=2019,$V61,0)</f>
        <v>0</v>
      </c>
      <c r="AB61" s="1579">
        <f>IF(YEAR('3 pr-2'!$AK61)=2020,$V61,0)</f>
        <v>0</v>
      </c>
      <c r="AC61" s="1579">
        <f>IF(YEAR('3 pr-2'!$AK61)=2021,$V61,0)</f>
        <v>38</v>
      </c>
      <c r="AD61" s="1579">
        <f>IF(YEAR('3 pr-2'!$AK61)=2022,$V61,0)</f>
        <v>0</v>
      </c>
      <c r="AE61" s="1579">
        <f>IF(YEAR('3 pr-2'!$AK61)=2023,$V61,0)</f>
        <v>0</v>
      </c>
      <c r="AF61" s="350"/>
      <c r="AG61" s="537"/>
      <c r="AH61" s="345"/>
      <c r="AI61" s="345"/>
      <c r="AJ61" s="345"/>
      <c r="AK61" s="345"/>
      <c r="AL61" s="345"/>
      <c r="AM61" s="345"/>
      <c r="AN61" s="345"/>
      <c r="AO61" s="895">
        <f t="shared" si="134"/>
        <v>0</v>
      </c>
      <c r="AP61" s="345"/>
      <c r="AQ61" s="1597"/>
      <c r="AR61" s="1579"/>
      <c r="AS61" s="1579">
        <f>IF(YEAR('3 pr-2'!$AK61)=2017,$AP61,0)</f>
        <v>0</v>
      </c>
      <c r="AT61" s="1579">
        <f>IF(YEAR('3 pr-2'!$AK61)=2018,$AP61,0)</f>
        <v>0</v>
      </c>
      <c r="AU61" s="1579">
        <f>IF(YEAR('3 pr-2'!$AK61)=2019,$AP61,0)</f>
        <v>0</v>
      </c>
      <c r="AV61" s="1579">
        <f>IF(YEAR('3 pr-2'!$AK61)=2020,$AP61,0)</f>
        <v>0</v>
      </c>
      <c r="AW61" s="1579">
        <f>IF(YEAR('3 pr-2'!$AK61)=2021,$AP61,0)</f>
        <v>0</v>
      </c>
      <c r="AX61" s="1579">
        <f>IF(YEAR('3 pr-2'!$AK61)=2022,$AP61,0)</f>
        <v>0</v>
      </c>
      <c r="AY61" s="1579">
        <f>IF(YEAR('3 pr-2'!$AK61)=2023,$AP61,0)</f>
        <v>0</v>
      </c>
      <c r="AZ61" s="345"/>
      <c r="BA61" s="536"/>
      <c r="BB61" s="345"/>
      <c r="BC61" s="345"/>
      <c r="BD61" s="345"/>
      <c r="BE61" s="345"/>
      <c r="BF61" s="345"/>
      <c r="BG61" s="345"/>
      <c r="BH61" s="345"/>
      <c r="BI61" s="895">
        <f t="shared" si="161"/>
        <v>0</v>
      </c>
      <c r="BJ61" s="345"/>
      <c r="BK61" s="1597"/>
      <c r="BL61" s="1579"/>
      <c r="BM61" s="1579">
        <f>IF(YEAR('3 pr-2'!AK61)=2017,BJ61,0)</f>
        <v>0</v>
      </c>
      <c r="BN61" s="1579">
        <f>IF(YEAR('3 pr-2'!AK61)=2018,BJ61,0)</f>
        <v>0</v>
      </c>
      <c r="BO61" s="1579">
        <f>IF(YEAR('3 pr-2'!AK61)=2019,BJ61,0)</f>
        <v>0</v>
      </c>
      <c r="BP61" s="1579">
        <f>IF(YEAR('3 pr-2'!AK61)=2020,BJ61,0)</f>
        <v>0</v>
      </c>
      <c r="BQ61" s="1579">
        <f>IF(YEAR('3 pr-2'!AK61)=2021,BJ61,0)</f>
        <v>0</v>
      </c>
      <c r="BR61" s="1579">
        <f>IF(YEAR('3 pr-2'!AK61)=2022,BJ61,0)</f>
        <v>0</v>
      </c>
      <c r="BS61" s="1579">
        <f>IF(YEAR('3 pr-2'!AK61)=2023,BJ61,0)</f>
        <v>0</v>
      </c>
      <c r="BT61" s="350"/>
      <c r="BU61" s="537"/>
      <c r="BV61" s="345"/>
      <c r="BW61" s="345"/>
      <c r="BX61" s="345"/>
      <c r="BY61" s="345"/>
      <c r="BZ61" s="345"/>
      <c r="CA61" s="345"/>
      <c r="CB61" s="345"/>
      <c r="CC61" s="895">
        <f t="shared" si="136"/>
        <v>0</v>
      </c>
      <c r="CD61" s="345"/>
      <c r="CE61" s="1579"/>
      <c r="CF61" s="1579"/>
      <c r="CG61" s="1579">
        <f>IF(YEAR('3 pr-2'!$AK61)=2017,$CD61,0)</f>
        <v>0</v>
      </c>
      <c r="CH61" s="1579">
        <f>IF(YEAR('3 pr-2'!$AK61)=2018,$CD61,0)</f>
        <v>0</v>
      </c>
      <c r="CI61" s="1579">
        <f>IF(YEAR('3 pr-2'!$AK61)=2019,$CD61,0)</f>
        <v>0</v>
      </c>
      <c r="CJ61" s="1579">
        <f>IF(YEAR('3 pr-2'!$AK61)=2020,$CD61,0)</f>
        <v>0</v>
      </c>
      <c r="CK61" s="1579">
        <f>IF(YEAR('3 pr-2'!$AK61)=2021,$CD61,0)</f>
        <v>0</v>
      </c>
      <c r="CL61" s="1579">
        <f>IF(YEAR('3 pr-2'!$AK61)=2022,$CD61,0)</f>
        <v>0</v>
      </c>
      <c r="CM61" s="1579">
        <f>IF(YEAR('3 pr-2'!$AK61)=2023,$CD61,0)</f>
        <v>0</v>
      </c>
      <c r="CN61" s="350"/>
      <c r="CO61" s="538"/>
      <c r="CP61" s="351"/>
      <c r="CQ61" s="345"/>
      <c r="CR61" s="345"/>
      <c r="CS61" s="345"/>
      <c r="CT61" s="345"/>
      <c r="CU61" s="345"/>
      <c r="CV61" s="345"/>
      <c r="CW61" s="895">
        <f t="shared" si="137"/>
        <v>0</v>
      </c>
      <c r="CX61" s="351"/>
      <c r="CY61" s="1605"/>
      <c r="CZ61" s="1605"/>
      <c r="DA61" s="1594">
        <f>IF(YEAR('3 pr-2'!AK61)=2017,CX61,0)</f>
        <v>0</v>
      </c>
      <c r="DB61" s="1594">
        <f>IF(YEAR('3 pr-2'!AK61)=2018,CX61,0)</f>
        <v>0</v>
      </c>
      <c r="DC61" s="1594">
        <f>IF(YEAR('3 pr-2'!AK61)=2019,CX61,0)</f>
        <v>0</v>
      </c>
      <c r="DD61" s="1594">
        <f>IF(YEAR('3 pr-2'!AK61)=2020,CX61,0)</f>
        <v>0</v>
      </c>
      <c r="DE61" s="1594">
        <f>IF(YEAR('3 pr-2'!AK61)=2021,CX61,0)</f>
        <v>0</v>
      </c>
      <c r="DF61" s="1594">
        <f>IF(YEAR('3 pr-2'!AK61)=2022,CX61,0)</f>
        <v>0</v>
      </c>
      <c r="DG61" s="1594">
        <f>IF(YEAR('3 pr-2'!AK61)=2023,CX61,0)</f>
        <v>0</v>
      </c>
      <c r="DH61" s="350"/>
      <c r="DI61" s="538"/>
      <c r="DJ61" s="351"/>
      <c r="DK61" s="345"/>
      <c r="DL61" s="345"/>
      <c r="DM61" s="345"/>
      <c r="DN61" s="345"/>
      <c r="DO61" s="345"/>
      <c r="DP61" s="345"/>
      <c r="DQ61" s="895"/>
      <c r="DR61" s="351"/>
      <c r="DS61" s="1605"/>
      <c r="DT61" s="1605"/>
      <c r="DU61" s="1594"/>
      <c r="DV61" s="1594"/>
      <c r="DW61" s="1594"/>
      <c r="DX61" s="1594"/>
      <c r="DY61" s="1594"/>
      <c r="DZ61" s="1594"/>
      <c r="EA61" s="1594"/>
      <c r="EB61" s="350"/>
      <c r="EC61" s="538"/>
      <c r="ED61" s="333"/>
      <c r="EE61" s="1605"/>
      <c r="EF61" s="1605"/>
      <c r="EG61" s="1594">
        <f>IF(YEAR('3 pr-2'!BP61)=2017,ED61,0)</f>
        <v>0</v>
      </c>
      <c r="EH61" s="1594">
        <f>IF(YEAR('3 pr-2'!BP61)=2018,ED61,0)</f>
        <v>0</v>
      </c>
      <c r="EI61" s="1594">
        <f>IF(YEAR('3 pr-2'!BP61)=2019,ED61,0)</f>
        <v>0</v>
      </c>
      <c r="EJ61" s="1594">
        <f>IF(YEAR('3 pr-2'!BP61)=2020,ED61,0)</f>
        <v>0</v>
      </c>
      <c r="EK61" s="1594">
        <f>IF(YEAR('3 pr-2'!BP61)=2021,ED61,0)</f>
        <v>0</v>
      </c>
      <c r="EL61" s="1594">
        <f>IF(YEAR('3 pr-2'!BP61)=2022,ED61,0)</f>
        <v>0</v>
      </c>
      <c r="EM61" s="1594">
        <f>IF(YEAR('3 pr-2'!BP61)=2023,ED61,0)</f>
        <v>0</v>
      </c>
    </row>
    <row r="62" spans="1:143" ht="33" customHeight="1" thickBot="1" x14ac:dyDescent="0.3">
      <c r="A62" s="824" t="str">
        <f>CONCATENATE('3 pr-2'!A62)</f>
        <v>1.1.1.8</v>
      </c>
      <c r="B62" s="1926" t="str">
        <f>CONCATENATE('3 pr-2'!B62)</f>
        <v>Priemonė:
Modernizuoti savivaldybių kultūros infrastruktūrą</v>
      </c>
      <c r="C62" s="1927"/>
      <c r="D62" s="1927"/>
      <c r="E62" s="1927"/>
      <c r="F62" s="1927"/>
      <c r="G62" s="1927"/>
      <c r="H62" s="1927"/>
      <c r="I62" s="1927"/>
      <c r="J62" s="1927"/>
      <c r="K62" s="1928"/>
      <c r="L62" s="1312"/>
      <c r="M62" s="540"/>
      <c r="N62" s="334">
        <f>SUM(N63:N66)</f>
        <v>0</v>
      </c>
      <c r="O62" s="334">
        <f t="shared" ref="O62:T62" si="263">SUM(O63:O66)</f>
        <v>0</v>
      </c>
      <c r="P62" s="334">
        <f t="shared" si="263"/>
        <v>0</v>
      </c>
      <c r="Q62" s="334">
        <f t="shared" si="263"/>
        <v>0</v>
      </c>
      <c r="R62" s="334">
        <f t="shared" si="263"/>
        <v>0</v>
      </c>
      <c r="S62" s="334">
        <f t="shared" si="263"/>
        <v>0</v>
      </c>
      <c r="T62" s="334">
        <f t="shared" si="263"/>
        <v>0</v>
      </c>
      <c r="U62" s="887">
        <f t="shared" ref="U62:U66" si="264">SUM(N62:T62)</f>
        <v>0</v>
      </c>
      <c r="V62" s="864"/>
      <c r="W62" s="1575"/>
      <c r="X62" s="1576"/>
      <c r="Y62" s="1577">
        <f t="shared" ref="Y62:AE62" si="265">SUM(Y63:Y66)</f>
        <v>0</v>
      </c>
      <c r="Z62" s="1577">
        <f t="shared" si="265"/>
        <v>1</v>
      </c>
      <c r="AA62" s="1577">
        <f t="shared" si="265"/>
        <v>4</v>
      </c>
      <c r="AB62" s="1577">
        <f t="shared" si="265"/>
        <v>0</v>
      </c>
      <c r="AC62" s="1577">
        <f t="shared" si="265"/>
        <v>0</v>
      </c>
      <c r="AD62" s="1577">
        <f t="shared" si="265"/>
        <v>0</v>
      </c>
      <c r="AE62" s="1577">
        <f t="shared" si="265"/>
        <v>0</v>
      </c>
      <c r="AF62" s="878"/>
      <c r="AG62" s="889"/>
      <c r="AH62" s="334">
        <f>SUM(AH63:AH66)</f>
        <v>0</v>
      </c>
      <c r="AI62" s="334">
        <f t="shared" ref="AI62" si="266">SUM(AI63:AI66)</f>
        <v>0</v>
      </c>
      <c r="AJ62" s="334">
        <f t="shared" ref="AJ62" si="267">SUM(AJ63:AJ66)</f>
        <v>0</v>
      </c>
      <c r="AK62" s="334">
        <f t="shared" ref="AK62" si="268">SUM(AK63:AK66)</f>
        <v>0</v>
      </c>
      <c r="AL62" s="334">
        <f t="shared" ref="AL62" si="269">SUM(AL63:AL66)</f>
        <v>0</v>
      </c>
      <c r="AM62" s="334">
        <f t="shared" ref="AM62" si="270">SUM(AM63:AM66)</f>
        <v>0</v>
      </c>
      <c r="AN62" s="334">
        <f t="shared" ref="AN62" si="271">SUM(AN63:AN66)</f>
        <v>0</v>
      </c>
      <c r="AO62" s="864">
        <f t="shared" si="134"/>
        <v>0</v>
      </c>
      <c r="AP62" s="864"/>
      <c r="AQ62" s="1577"/>
      <c r="AR62" s="1577"/>
      <c r="AS62" s="1577">
        <f t="shared" ref="AS62" si="272">SUM(AS63:AS66)</f>
        <v>0</v>
      </c>
      <c r="AT62" s="1577">
        <f t="shared" ref="AT62" si="273">SUM(AT63:AT66)</f>
        <v>0</v>
      </c>
      <c r="AU62" s="1577">
        <f t="shared" ref="AU62" si="274">SUM(AU63:AU66)</f>
        <v>0</v>
      </c>
      <c r="AV62" s="1577">
        <f t="shared" ref="AV62" si="275">SUM(AV63:AV66)</f>
        <v>0</v>
      </c>
      <c r="AW62" s="1577">
        <f t="shared" ref="AW62" si="276">SUM(AW63:AW66)</f>
        <v>0</v>
      </c>
      <c r="AX62" s="1577">
        <f t="shared" ref="AX62" si="277">SUM(AX63:AX66)</f>
        <v>0</v>
      </c>
      <c r="AY62" s="1577">
        <f t="shared" ref="AY62" si="278">SUM(AY63:AY66)</f>
        <v>0</v>
      </c>
      <c r="AZ62" s="864"/>
      <c r="BA62" s="889"/>
      <c r="BB62" s="334">
        <f>SUM(BB63:BB66)</f>
        <v>0</v>
      </c>
      <c r="BC62" s="334">
        <f t="shared" ref="BC62" si="279">SUM(BC63:BC66)</f>
        <v>0</v>
      </c>
      <c r="BD62" s="334">
        <f t="shared" ref="BD62" si="280">SUM(BD63:BD66)</f>
        <v>0</v>
      </c>
      <c r="BE62" s="334">
        <f t="shared" ref="BE62" si="281">SUM(BE63:BE66)</f>
        <v>0</v>
      </c>
      <c r="BF62" s="334">
        <f t="shared" ref="BF62" si="282">SUM(BF63:BF66)</f>
        <v>0</v>
      </c>
      <c r="BG62" s="334">
        <f t="shared" ref="BG62" si="283">SUM(BG63:BG66)</f>
        <v>0</v>
      </c>
      <c r="BH62" s="334">
        <f t="shared" ref="BH62" si="284">SUM(BH63:BH66)</f>
        <v>0</v>
      </c>
      <c r="BI62" s="864">
        <f t="shared" si="161"/>
        <v>0</v>
      </c>
      <c r="BJ62" s="864"/>
      <c r="BK62" s="1577"/>
      <c r="BL62" s="1577"/>
      <c r="BM62" s="1577"/>
      <c r="BN62" s="1577"/>
      <c r="BO62" s="1577"/>
      <c r="BP62" s="1577"/>
      <c r="BQ62" s="1577"/>
      <c r="BR62" s="1577"/>
      <c r="BS62" s="1577"/>
      <c r="BT62" s="334"/>
      <c r="BU62" s="538"/>
      <c r="BV62" s="334">
        <f>SUM(BV63:BV66)</f>
        <v>0</v>
      </c>
      <c r="BW62" s="334">
        <f t="shared" ref="BW62" si="285">SUM(BW63:BW66)</f>
        <v>0</v>
      </c>
      <c r="BX62" s="334">
        <f t="shared" ref="BX62" si="286">SUM(BX63:BX66)</f>
        <v>0</v>
      </c>
      <c r="BY62" s="334">
        <f t="shared" ref="BY62" si="287">SUM(BY63:BY66)</f>
        <v>0</v>
      </c>
      <c r="BZ62" s="334">
        <f t="shared" ref="BZ62" si="288">SUM(BZ63:BZ66)</f>
        <v>0</v>
      </c>
      <c r="CA62" s="334">
        <f t="shared" ref="CA62" si="289">SUM(CA63:CA66)</f>
        <v>0</v>
      </c>
      <c r="CB62" s="334">
        <f t="shared" ref="CB62" si="290">SUM(CB63:CB66)</f>
        <v>0</v>
      </c>
      <c r="CC62" s="864">
        <f t="shared" si="136"/>
        <v>0</v>
      </c>
      <c r="CD62" s="334"/>
      <c r="CE62" s="1577"/>
      <c r="CF62" s="1577"/>
      <c r="CG62" s="1577"/>
      <c r="CH62" s="1577"/>
      <c r="CI62" s="1577"/>
      <c r="CJ62" s="1577"/>
      <c r="CK62" s="1577"/>
      <c r="CL62" s="1577"/>
      <c r="CM62" s="1577"/>
      <c r="CN62" s="887"/>
      <c r="CO62" s="538"/>
      <c r="CP62" s="852">
        <f>SUM(CP63:CP66)</f>
        <v>0</v>
      </c>
      <c r="CQ62" s="334">
        <f t="shared" ref="CQ62" si="291">SUM(CQ63:CQ66)</f>
        <v>0</v>
      </c>
      <c r="CR62" s="334">
        <f t="shared" ref="CR62" si="292">SUM(CR63:CR66)</f>
        <v>0</v>
      </c>
      <c r="CS62" s="334">
        <f t="shared" ref="CS62" si="293">SUM(CS63:CS66)</f>
        <v>0</v>
      </c>
      <c r="CT62" s="334">
        <f t="shared" ref="CT62" si="294">SUM(CT63:CT66)</f>
        <v>0</v>
      </c>
      <c r="CU62" s="334">
        <f t="shared" ref="CU62" si="295">SUM(CU63:CU66)</f>
        <v>0</v>
      </c>
      <c r="CV62" s="334">
        <f t="shared" ref="CV62" si="296">SUM(CV63:CV66)</f>
        <v>0</v>
      </c>
      <c r="CW62" s="864">
        <f t="shared" si="137"/>
        <v>0</v>
      </c>
      <c r="CX62" s="334"/>
      <c r="CY62" s="1594"/>
      <c r="CZ62" s="1594"/>
      <c r="DA62" s="1594"/>
      <c r="DB62" s="1594"/>
      <c r="DC62" s="1594"/>
      <c r="DD62" s="1594"/>
      <c r="DE62" s="1594"/>
      <c r="DF62" s="1594"/>
      <c r="DG62" s="1594"/>
      <c r="DH62" s="887"/>
      <c r="DI62" s="538"/>
      <c r="DJ62" s="852"/>
      <c r="DK62" s="334"/>
      <c r="DL62" s="334"/>
      <c r="DM62" s="334"/>
      <c r="DN62" s="334"/>
      <c r="DO62" s="334"/>
      <c r="DP62" s="334"/>
      <c r="DQ62" s="864"/>
      <c r="DR62" s="334"/>
      <c r="DS62" s="1594"/>
      <c r="DT62" s="1594"/>
      <c r="DU62" s="1594"/>
      <c r="DV62" s="1594"/>
      <c r="DW62" s="1594"/>
      <c r="DX62" s="1594"/>
      <c r="DY62" s="1594"/>
      <c r="DZ62" s="1594"/>
      <c r="EA62" s="1594"/>
      <c r="EB62" s="887"/>
      <c r="EC62" s="538"/>
      <c r="ED62" s="890"/>
      <c r="EE62" s="1594"/>
      <c r="EF62" s="1594"/>
      <c r="EG62" s="1594"/>
      <c r="EH62" s="1594"/>
      <c r="EI62" s="1594"/>
      <c r="EJ62" s="1594"/>
      <c r="EK62" s="1594"/>
      <c r="EL62" s="1594"/>
      <c r="EM62" s="1594"/>
    </row>
    <row r="63" spans="1:143" ht="49.5" thickTop="1" thickBot="1" x14ac:dyDescent="0.3">
      <c r="A63" s="345" t="str">
        <f>CONCATENATE('3 pr-2'!A63)</f>
        <v>1.1.1.8.1</v>
      </c>
      <c r="B63" s="345" t="str">
        <f>CONCATENATE('3 pr-2'!B63)</f>
        <v>R01-3305-330000-1181</v>
      </c>
      <c r="C63" s="970" t="str">
        <f>CONCATENATE('ketv. 2'!B62)</f>
        <v>07.1.1-CPVA-R-305-11-0001</v>
      </c>
      <c r="D63" s="125" t="str">
        <f>CONCATENATE('3 pr-2'!D63)</f>
        <v>Kultūros įstaigų infrastruktūros modernizavimas Varėnos mieste</v>
      </c>
      <c r="E63" s="312" t="str">
        <f>CONCATENATE('3 pr-2'!E63)</f>
        <v>Varėnos rajono savivaldybės administracija</v>
      </c>
      <c r="F63" s="312" t="str">
        <f>CONCATENATE('3 pr-2'!F63)</f>
        <v>Lietuvos Respublikos kultūros ministerija</v>
      </c>
      <c r="G63" s="312" t="str">
        <f>CONCATENATE('3 pr-2'!G63)</f>
        <v>Varėnos r. sav.</v>
      </c>
      <c r="H63" s="345" t="str">
        <f>CONCATENATE('3 pr-2'!H63)</f>
        <v>07.1.1-CPVA-R-305</v>
      </c>
      <c r="I63" s="345" t="str">
        <f>CONCATENATE('3 pr-2'!I63)</f>
        <v>R</v>
      </c>
      <c r="J63" s="345" t="str">
        <f>CONCATENATE('3 pr-2'!J63)</f>
        <v>ITI</v>
      </c>
      <c r="K63" s="345" t="str">
        <f>CONCATENATE('3 pr-2'!K63)</f>
        <v>-</v>
      </c>
      <c r="L63" s="345" t="s">
        <v>490</v>
      </c>
      <c r="M63" s="537" t="s">
        <v>491</v>
      </c>
      <c r="N63" s="345"/>
      <c r="O63" s="345"/>
      <c r="P63" s="345"/>
      <c r="Q63" s="345"/>
      <c r="R63" s="345"/>
      <c r="S63" s="345"/>
      <c r="T63" s="345"/>
      <c r="U63" s="893">
        <f t="shared" si="264"/>
        <v>0</v>
      </c>
      <c r="V63" s="345">
        <v>2</v>
      </c>
      <c r="W63" s="1578" t="str">
        <f ca="1">IF('ketv. 6 '!L62&gt;0,"2",0)</f>
        <v>2</v>
      </c>
      <c r="X63" s="1579">
        <f ca="1">SUM(W63-V63)</f>
        <v>0</v>
      </c>
      <c r="Y63" s="1579">
        <f>IF(YEAR('3 pr-2'!$AK63)=2017,$V63,0)</f>
        <v>0</v>
      </c>
      <c r="Z63" s="1579">
        <f>IF(YEAR('3 pr-2'!$AK63)=2018,$V63,0)</f>
        <v>0</v>
      </c>
      <c r="AA63" s="1579">
        <f>IF(YEAR('3 pr-2'!$AK63)=2019,$V63,0)</f>
        <v>2</v>
      </c>
      <c r="AB63" s="1579">
        <f>IF(YEAR('3 pr-2'!$AK63)=2020,$V63,0)</f>
        <v>0</v>
      </c>
      <c r="AC63" s="1579">
        <f>IF(YEAR('3 pr-2'!$AK63)=2021,$V63,0)</f>
        <v>0</v>
      </c>
      <c r="AD63" s="1579">
        <f>IF(YEAR('3 pr-2'!$AK63)=2022,$V63,0)</f>
        <v>0</v>
      </c>
      <c r="AE63" s="1579">
        <f>IF(YEAR('3 pr-2'!$AK63)=2023,$V63,0)</f>
        <v>0</v>
      </c>
      <c r="AF63" s="350"/>
      <c r="AG63" s="537"/>
      <c r="AH63" s="345"/>
      <c r="AI63" s="345"/>
      <c r="AJ63" s="345"/>
      <c r="AK63" s="345"/>
      <c r="AL63" s="345"/>
      <c r="AM63" s="345"/>
      <c r="AN63" s="345"/>
      <c r="AO63" s="895">
        <f t="shared" si="134"/>
        <v>0</v>
      </c>
      <c r="AP63" s="345"/>
      <c r="AQ63" s="1597"/>
      <c r="AR63" s="1579"/>
      <c r="AS63" s="1579">
        <f>IF(YEAR('3 pr-2'!$AK63)=2017,$AP63,0)</f>
        <v>0</v>
      </c>
      <c r="AT63" s="1579">
        <f>IF(YEAR('3 pr-2'!$AK63)=2018,$AP63,0)</f>
        <v>0</v>
      </c>
      <c r="AU63" s="1579">
        <f>IF(YEAR('3 pr-2'!$AK63)=2019,$AP63,0)</f>
        <v>0</v>
      </c>
      <c r="AV63" s="1579">
        <f>IF(YEAR('3 pr-2'!$AK63)=2020,$AP63,0)</f>
        <v>0</v>
      </c>
      <c r="AW63" s="1579">
        <f>IF(YEAR('3 pr-2'!$AK63)=2021,$AP63,0)</f>
        <v>0</v>
      </c>
      <c r="AX63" s="1579">
        <f>IF(YEAR('3 pr-2'!$AK63)=2022,$AP63,0)</f>
        <v>0</v>
      </c>
      <c r="AY63" s="1579">
        <f>IF(YEAR('3 pr-2'!$AK63)=2023,$AP63,0)</f>
        <v>0</v>
      </c>
      <c r="AZ63" s="345"/>
      <c r="BA63" s="536"/>
      <c r="BB63" s="345"/>
      <c r="BC63" s="345"/>
      <c r="BD63" s="345"/>
      <c r="BE63" s="345"/>
      <c r="BF63" s="345"/>
      <c r="BG63" s="345"/>
      <c r="BH63" s="345"/>
      <c r="BI63" s="895">
        <f t="shared" si="161"/>
        <v>0</v>
      </c>
      <c r="BJ63" s="345"/>
      <c r="BK63" s="1597"/>
      <c r="BL63" s="1579"/>
      <c r="BM63" s="1579">
        <f>IF(YEAR('3 pr-2'!AK63)=2017,BJ63,0)</f>
        <v>0</v>
      </c>
      <c r="BN63" s="1579">
        <f>IF(YEAR('3 pr-2'!AK63)=2018,BJ63,0)</f>
        <v>0</v>
      </c>
      <c r="BO63" s="1579">
        <f>IF(YEAR('3 pr-2'!AK63)=2019,BJ63,0)</f>
        <v>0</v>
      </c>
      <c r="BP63" s="1579">
        <f>IF(YEAR('3 pr-2'!AK63)=2020,BJ63,0)</f>
        <v>0</v>
      </c>
      <c r="BQ63" s="1579">
        <f>IF(YEAR('3 pr-2'!AK63)=2021,BJ63,0)</f>
        <v>0</v>
      </c>
      <c r="BR63" s="1579">
        <f>IF(YEAR('3 pr-2'!AK63)=2022,BJ63,0)</f>
        <v>0</v>
      </c>
      <c r="BS63" s="1579">
        <f>IF(YEAR('3 pr-2'!AK63)=2023,BJ63,0)</f>
        <v>0</v>
      </c>
      <c r="BT63" s="350"/>
      <c r="BU63" s="537"/>
      <c r="BV63" s="345"/>
      <c r="BW63" s="345"/>
      <c r="BX63" s="345"/>
      <c r="BY63" s="345"/>
      <c r="BZ63" s="345"/>
      <c r="CA63" s="345"/>
      <c r="CB63" s="345"/>
      <c r="CC63" s="895">
        <f t="shared" si="136"/>
        <v>0</v>
      </c>
      <c r="CD63" s="345"/>
      <c r="CE63" s="1579"/>
      <c r="CF63" s="1579"/>
      <c r="CG63" s="1579">
        <f>IF(YEAR('3 pr-2'!$AK63)=2017,$CD63,0)</f>
        <v>0</v>
      </c>
      <c r="CH63" s="1579">
        <f>IF(YEAR('3 pr-2'!$AK63)=2018,$CD63,0)</f>
        <v>0</v>
      </c>
      <c r="CI63" s="1579">
        <f>IF(YEAR('3 pr-2'!$AK63)=2019,$CD63,0)</f>
        <v>0</v>
      </c>
      <c r="CJ63" s="1579">
        <f>IF(YEAR('3 pr-2'!$AK63)=2020,$CD63,0)</f>
        <v>0</v>
      </c>
      <c r="CK63" s="1579">
        <f>IF(YEAR('3 pr-2'!$AK63)=2021,$CD63,0)</f>
        <v>0</v>
      </c>
      <c r="CL63" s="1579">
        <f>IF(YEAR('3 pr-2'!$AK63)=2022,$CD63,0)</f>
        <v>0</v>
      </c>
      <c r="CM63" s="1579">
        <f>IF(YEAR('3 pr-2'!$AK63)=2023,$CD63,0)</f>
        <v>0</v>
      </c>
      <c r="CN63" s="350"/>
      <c r="CO63" s="538"/>
      <c r="CP63" s="351"/>
      <c r="CQ63" s="345"/>
      <c r="CR63" s="345"/>
      <c r="CS63" s="345"/>
      <c r="CT63" s="345"/>
      <c r="CU63" s="345"/>
      <c r="CV63" s="345"/>
      <c r="CW63" s="895">
        <f t="shared" si="137"/>
        <v>0</v>
      </c>
      <c r="CX63" s="351"/>
      <c r="CY63" s="1605"/>
      <c r="CZ63" s="1605"/>
      <c r="DA63" s="1594">
        <f>IF(YEAR('3 pr-2'!AK63)=2017,CX63,0)</f>
        <v>0</v>
      </c>
      <c r="DB63" s="1594">
        <f>IF(YEAR('3 pr-2'!AK63)=2018,CX63,0)</f>
        <v>0</v>
      </c>
      <c r="DC63" s="1594">
        <f>IF(YEAR('3 pr-2'!AK63)=2019,CX63,0)</f>
        <v>0</v>
      </c>
      <c r="DD63" s="1594">
        <f>IF(YEAR('3 pr-2'!AK63)=2020,CX63,0)</f>
        <v>0</v>
      </c>
      <c r="DE63" s="1594">
        <f>IF(YEAR('3 pr-2'!AK63)=2021,CX63,0)</f>
        <v>0</v>
      </c>
      <c r="DF63" s="1594">
        <f>IF(YEAR('3 pr-2'!AK63)=2022,CX63,0)</f>
        <v>0</v>
      </c>
      <c r="DG63" s="1594">
        <f>IF(YEAR('3 pr-2'!AK63)=2023,CX63,0)</f>
        <v>0</v>
      </c>
      <c r="DH63" s="350"/>
      <c r="DI63" s="538"/>
      <c r="DJ63" s="351"/>
      <c r="DK63" s="345"/>
      <c r="DL63" s="345"/>
      <c r="DM63" s="345"/>
      <c r="DN63" s="345"/>
      <c r="DO63" s="345"/>
      <c r="DP63" s="345"/>
      <c r="DQ63" s="895"/>
      <c r="DR63" s="351"/>
      <c r="DS63" s="1605"/>
      <c r="DT63" s="1605"/>
      <c r="DU63" s="1594"/>
      <c r="DV63" s="1594"/>
      <c r="DW63" s="1594"/>
      <c r="DX63" s="1594"/>
      <c r="DY63" s="1594"/>
      <c r="DZ63" s="1594"/>
      <c r="EA63" s="1594"/>
      <c r="EB63" s="350"/>
      <c r="EC63" s="538"/>
      <c r="ED63" s="333"/>
      <c r="EE63" s="1605"/>
      <c r="EF63" s="1605"/>
      <c r="EG63" s="1594">
        <f>IF(YEAR('3 pr-2'!BP63)=2017,ED63,0)</f>
        <v>0</v>
      </c>
      <c r="EH63" s="1594">
        <f>IF(YEAR('3 pr-2'!BP63)=2018,ED63,0)</f>
        <v>0</v>
      </c>
      <c r="EI63" s="1594">
        <f>IF(YEAR('3 pr-2'!BP63)=2019,ED63,0)</f>
        <v>0</v>
      </c>
      <c r="EJ63" s="1594">
        <f>IF(YEAR('3 pr-2'!BP63)=2020,ED63,0)</f>
        <v>0</v>
      </c>
      <c r="EK63" s="1594">
        <f>IF(YEAR('3 pr-2'!BP63)=2021,ED63,0)</f>
        <v>0</v>
      </c>
      <c r="EL63" s="1594">
        <f>IF(YEAR('3 pr-2'!BP63)=2022,ED63,0)</f>
        <v>0</v>
      </c>
      <c r="EM63" s="1594">
        <f>IF(YEAR('3 pr-2'!BP63)=2023,ED63,0)</f>
        <v>0</v>
      </c>
    </row>
    <row r="64" spans="1:143" ht="61.5" thickTop="1" thickBot="1" x14ac:dyDescent="0.3">
      <c r="A64" s="345" t="str">
        <f>CONCATENATE('3 pr-2'!A64)</f>
        <v>1.1.1.8.2</v>
      </c>
      <c r="B64" s="345" t="str">
        <f>CONCATENATE('3 pr-2'!B64)</f>
        <v>R01-3305-330000-1182</v>
      </c>
      <c r="C64" s="970" t="str">
        <f>CONCATENATE('ketv. 2'!B63)</f>
        <v>07.1.1-CPVA-R-305-11-0002</v>
      </c>
      <c r="D64" s="125" t="str">
        <f>CONCATENATE('3 pr-2'!D64)</f>
        <v>VšĮ Alytaus kultūros ir komunikacijos centro pastato Alytuje, Pramonės g. 1B, rekonstravimas</v>
      </c>
      <c r="E64" s="312" t="str">
        <f>CONCATENATE('3 pr-2'!E64)</f>
        <v>Alytaus miesto savivaldybės administracija</v>
      </c>
      <c r="F64" s="312" t="str">
        <f>CONCATENATE('3 pr-2'!F64)</f>
        <v>Lietuvos Respublikos kultūros ministerija</v>
      </c>
      <c r="G64" s="312" t="str">
        <f>CONCATENATE('3 pr-2'!G64)</f>
        <v>Alytaus m. sav.</v>
      </c>
      <c r="H64" s="345" t="str">
        <f>CONCATENATE('3 pr-2'!H64)</f>
        <v>07.1.1-CPVA-R-305</v>
      </c>
      <c r="I64" s="345" t="str">
        <f>CONCATENATE('3 pr-2'!I64)</f>
        <v>R</v>
      </c>
      <c r="J64" s="345" t="str">
        <f>CONCATENATE('3 pr-2'!J64)</f>
        <v>ITI</v>
      </c>
      <c r="K64" s="345" t="str">
        <f>CONCATENATE('3 pr-2'!K64)</f>
        <v>-</v>
      </c>
      <c r="L64" s="345" t="s">
        <v>490</v>
      </c>
      <c r="M64" s="537" t="s">
        <v>491</v>
      </c>
      <c r="N64" s="345"/>
      <c r="O64" s="345"/>
      <c r="P64" s="345"/>
      <c r="Q64" s="345"/>
      <c r="R64" s="345"/>
      <c r="S64" s="345"/>
      <c r="T64" s="345"/>
      <c r="U64" s="893">
        <f t="shared" si="264"/>
        <v>0</v>
      </c>
      <c r="V64" s="345">
        <v>1</v>
      </c>
      <c r="W64" s="1578" t="str">
        <f ca="1">IF('ketv. 6 '!L63&gt;0,"1",0)</f>
        <v>1</v>
      </c>
      <c r="X64" s="1579">
        <f t="shared" ref="X64:X66" ca="1" si="297">SUM(W64-V64)</f>
        <v>0</v>
      </c>
      <c r="Y64" s="1579">
        <f>IF(YEAR('3 pr-2'!$AK64)=2017,$V64,0)</f>
        <v>0</v>
      </c>
      <c r="Z64" s="1579">
        <f>IF(YEAR('3 pr-2'!$AK64)=2018,$V64,0)</f>
        <v>1</v>
      </c>
      <c r="AA64" s="1579">
        <f>IF(YEAR('3 pr-2'!$AK64)=2019,$V64,0)</f>
        <v>0</v>
      </c>
      <c r="AB64" s="1579">
        <f>IF(YEAR('3 pr-2'!$AK64)=2020,$V64,0)</f>
        <v>0</v>
      </c>
      <c r="AC64" s="1579">
        <f>IF(YEAR('3 pr-2'!$AK64)=2021,$V64,0)</f>
        <v>0</v>
      </c>
      <c r="AD64" s="1579">
        <f>IF(YEAR('3 pr-2'!$AK64)=2022,$V64,0)</f>
        <v>0</v>
      </c>
      <c r="AE64" s="1579">
        <f>IF(YEAR('3 pr-2'!$AK64)=2023,$V64,0)</f>
        <v>0</v>
      </c>
      <c r="AF64" s="350"/>
      <c r="AG64" s="537"/>
      <c r="AH64" s="345"/>
      <c r="AI64" s="345"/>
      <c r="AJ64" s="345"/>
      <c r="AK64" s="345"/>
      <c r="AL64" s="345"/>
      <c r="AM64" s="345"/>
      <c r="AN64" s="345"/>
      <c r="AO64" s="895">
        <f t="shared" si="134"/>
        <v>0</v>
      </c>
      <c r="AP64" s="345"/>
      <c r="AQ64" s="1597"/>
      <c r="AR64" s="1579"/>
      <c r="AS64" s="1579">
        <f>IF(YEAR('3 pr-2'!$AK64)=2017,$AP64,0)</f>
        <v>0</v>
      </c>
      <c r="AT64" s="1579">
        <f>IF(YEAR('3 pr-2'!$AK64)=2018,$AP64,0)</f>
        <v>0</v>
      </c>
      <c r="AU64" s="1579">
        <f>IF(YEAR('3 pr-2'!$AK64)=2019,$AP64,0)</f>
        <v>0</v>
      </c>
      <c r="AV64" s="1579">
        <f>IF(YEAR('3 pr-2'!$AK64)=2020,$AP64,0)</f>
        <v>0</v>
      </c>
      <c r="AW64" s="1579">
        <f>IF(YEAR('3 pr-2'!$AK64)=2021,$AP64,0)</f>
        <v>0</v>
      </c>
      <c r="AX64" s="1579">
        <f>IF(YEAR('3 pr-2'!$AK64)=2022,$AP64,0)</f>
        <v>0</v>
      </c>
      <c r="AY64" s="1579">
        <f>IF(YEAR('3 pr-2'!$AK64)=2023,$AP64,0)</f>
        <v>0</v>
      </c>
      <c r="AZ64" s="345"/>
      <c r="BA64" s="536"/>
      <c r="BB64" s="345"/>
      <c r="BC64" s="345"/>
      <c r="BD64" s="345"/>
      <c r="BE64" s="345"/>
      <c r="BF64" s="345"/>
      <c r="BG64" s="345"/>
      <c r="BH64" s="345"/>
      <c r="BI64" s="895">
        <f t="shared" si="161"/>
        <v>0</v>
      </c>
      <c r="BJ64" s="345"/>
      <c r="BK64" s="1597"/>
      <c r="BL64" s="1579"/>
      <c r="BM64" s="1579">
        <f>IF(YEAR('3 pr-2'!AK64)=2017,BJ64,0)</f>
        <v>0</v>
      </c>
      <c r="BN64" s="1579">
        <f>IF(YEAR('3 pr-2'!AK64)=2018,BJ64,0)</f>
        <v>0</v>
      </c>
      <c r="BO64" s="1579">
        <f>IF(YEAR('3 pr-2'!AK64)=2019,BJ64,0)</f>
        <v>0</v>
      </c>
      <c r="BP64" s="1579">
        <f>IF(YEAR('3 pr-2'!AK64)=2020,BJ64,0)</f>
        <v>0</v>
      </c>
      <c r="BQ64" s="1579">
        <f>IF(YEAR('3 pr-2'!AK64)=2021,BJ64,0)</f>
        <v>0</v>
      </c>
      <c r="BR64" s="1579">
        <f>IF(YEAR('3 pr-2'!AK64)=2022,BJ64,0)</f>
        <v>0</v>
      </c>
      <c r="BS64" s="1579">
        <f>IF(YEAR('3 pr-2'!AK64)=2023,BJ64,0)</f>
        <v>0</v>
      </c>
      <c r="BT64" s="350"/>
      <c r="BU64" s="537"/>
      <c r="BV64" s="345"/>
      <c r="BW64" s="345"/>
      <c r="BX64" s="345"/>
      <c r="BY64" s="345"/>
      <c r="BZ64" s="345"/>
      <c r="CA64" s="345"/>
      <c r="CB64" s="345"/>
      <c r="CC64" s="895">
        <f t="shared" si="136"/>
        <v>0</v>
      </c>
      <c r="CD64" s="345"/>
      <c r="CE64" s="1579"/>
      <c r="CF64" s="1579"/>
      <c r="CG64" s="1579">
        <f>IF(YEAR('3 pr-2'!AK64)=2017,CD64,0)</f>
        <v>0</v>
      </c>
      <c r="CH64" s="1579">
        <f>IF(YEAR('3 pr-2'!AK64)=2018,CD64,0)</f>
        <v>0</v>
      </c>
      <c r="CI64" s="1579">
        <f>IF(YEAR('3 pr-2'!AK64)=2019,CD64,0)</f>
        <v>0</v>
      </c>
      <c r="CJ64" s="1579">
        <f>IF(YEAR('3 pr-2'!AK64)=2020,CD64,0)</f>
        <v>0</v>
      </c>
      <c r="CK64" s="1579">
        <f>IF(YEAR('3 pr-2'!AK64)=2021,CD64,0)</f>
        <v>0</v>
      </c>
      <c r="CL64" s="1579">
        <f>IF(YEAR('3 pr-2'!AK64)=2022,CD64,0)</f>
        <v>0</v>
      </c>
      <c r="CM64" s="1579">
        <f>IF(YEAR('3 pr-2'!AK64)=2023,CD64,0)</f>
        <v>0</v>
      </c>
      <c r="CN64" s="350"/>
      <c r="CO64" s="538"/>
      <c r="CP64" s="351"/>
      <c r="CQ64" s="345"/>
      <c r="CR64" s="345"/>
      <c r="CS64" s="345"/>
      <c r="CT64" s="345"/>
      <c r="CU64" s="345"/>
      <c r="CV64" s="345"/>
      <c r="CW64" s="895">
        <f t="shared" si="137"/>
        <v>0</v>
      </c>
      <c r="CX64" s="351"/>
      <c r="CY64" s="1605"/>
      <c r="CZ64" s="1605"/>
      <c r="DA64" s="1594">
        <f>IF(YEAR('3 pr-2'!AK64)=2017,CX64,0)</f>
        <v>0</v>
      </c>
      <c r="DB64" s="1594">
        <f>IF(YEAR('3 pr-2'!AK64)=2018,CX64,0)</f>
        <v>0</v>
      </c>
      <c r="DC64" s="1594">
        <f>IF(YEAR('3 pr-2'!AK64)=2019,CX64,0)</f>
        <v>0</v>
      </c>
      <c r="DD64" s="1594">
        <f>IF(YEAR('3 pr-2'!AK64)=2020,CX64,0)</f>
        <v>0</v>
      </c>
      <c r="DE64" s="1594">
        <f>IF(YEAR('3 pr-2'!AK64)=2021,CX64,0)</f>
        <v>0</v>
      </c>
      <c r="DF64" s="1594">
        <f>IF(YEAR('3 pr-2'!AK64)=2022,CX64,0)</f>
        <v>0</v>
      </c>
      <c r="DG64" s="1594">
        <f>IF(YEAR('3 pr-2'!AK64)=2023,CX64,0)</f>
        <v>0</v>
      </c>
      <c r="DH64" s="350"/>
      <c r="DI64" s="538"/>
      <c r="DJ64" s="351"/>
      <c r="DK64" s="345"/>
      <c r="DL64" s="345"/>
      <c r="DM64" s="345"/>
      <c r="DN64" s="345"/>
      <c r="DO64" s="345"/>
      <c r="DP64" s="345"/>
      <c r="DQ64" s="895"/>
      <c r="DR64" s="351"/>
      <c r="DS64" s="1605"/>
      <c r="DT64" s="1605"/>
      <c r="DU64" s="1594"/>
      <c r="DV64" s="1594"/>
      <c r="DW64" s="1594"/>
      <c r="DX64" s="1594"/>
      <c r="DY64" s="1594"/>
      <c r="DZ64" s="1594"/>
      <c r="EA64" s="1594"/>
      <c r="EB64" s="350"/>
      <c r="EC64" s="538"/>
      <c r="ED64" s="333"/>
      <c r="EE64" s="1605"/>
      <c r="EF64" s="1605"/>
      <c r="EG64" s="1594">
        <f>IF(YEAR('3 pr-2'!BP64)=2017,ED64,0)</f>
        <v>0</v>
      </c>
      <c r="EH64" s="1594">
        <f>IF(YEAR('3 pr-2'!BP64)=2018,ED64,0)</f>
        <v>0</v>
      </c>
      <c r="EI64" s="1594">
        <f>IF(YEAR('3 pr-2'!BP64)=2019,ED64,0)</f>
        <v>0</v>
      </c>
      <c r="EJ64" s="1594">
        <f>IF(YEAR('3 pr-2'!BP64)=2020,ED64,0)</f>
        <v>0</v>
      </c>
      <c r="EK64" s="1594">
        <f>IF(YEAR('3 pr-2'!BP64)=2021,ED64,0)</f>
        <v>0</v>
      </c>
      <c r="EL64" s="1594">
        <f>IF(YEAR('3 pr-2'!BP64)=2022,ED64,0)</f>
        <v>0</v>
      </c>
      <c r="EM64" s="1594">
        <f>IF(YEAR('3 pr-2'!BP64)=2023,ED64,0)</f>
        <v>0</v>
      </c>
    </row>
    <row r="65" spans="1:143" ht="85.5" thickTop="1" thickBot="1" x14ac:dyDescent="0.3">
      <c r="A65" s="345" t="str">
        <f>CONCATENATE('3 pr-2'!A65)</f>
        <v>1.1.1.8.3</v>
      </c>
      <c r="B65" s="345" t="str">
        <f>CONCATENATE('3 pr-2'!B65)</f>
        <v>R01-3305-330000-1183</v>
      </c>
      <c r="C65" s="970" t="str">
        <f>CONCATENATE('ketv. 2'!B64)</f>
        <v>07.1.1-CPVA-R-305-11-0003</v>
      </c>
      <c r="D65" s="125" t="str">
        <f>CONCATENATE('3 pr-2'!D65)</f>
        <v>Druskininkų kultūros centro lauko scenos, Vilniaus al. 24, Druskininkai, modernizavimas ir pritaikymas kultūros  poreikiams</v>
      </c>
      <c r="E65" s="312" t="str">
        <f>CONCATENATE('3 pr-2'!E65)</f>
        <v xml:space="preserve">Druskininkų savivaldybės administracija  </v>
      </c>
      <c r="F65" s="312" t="str">
        <f>CONCATENATE('3 pr-2'!F65)</f>
        <v>Lietuvos Respublikos kultūros ministerija</v>
      </c>
      <c r="G65" s="312" t="str">
        <f>CONCATENATE('3 pr-2'!G65)</f>
        <v>Druskininkų sav.</v>
      </c>
      <c r="H65" s="345" t="str">
        <f>CONCATENATE('3 pr-2'!H65)</f>
        <v>07.1.1-CPVA-R-305</v>
      </c>
      <c r="I65" s="345" t="str">
        <f>CONCATENATE('3 pr-2'!I65)</f>
        <v>R</v>
      </c>
      <c r="J65" s="345" t="str">
        <f>CONCATENATE('3 pr-2'!J65)</f>
        <v>ITI</v>
      </c>
      <c r="K65" s="345" t="str">
        <f>CONCATENATE('3 pr-2'!K65)</f>
        <v>-</v>
      </c>
      <c r="L65" s="345" t="s">
        <v>490</v>
      </c>
      <c r="M65" s="537" t="s">
        <v>491</v>
      </c>
      <c r="N65" s="345"/>
      <c r="O65" s="345"/>
      <c r="P65" s="345"/>
      <c r="Q65" s="345"/>
      <c r="R65" s="345"/>
      <c r="S65" s="345"/>
      <c r="T65" s="345"/>
      <c r="U65" s="893">
        <f t="shared" si="264"/>
        <v>0</v>
      </c>
      <c r="V65" s="345">
        <v>1</v>
      </c>
      <c r="W65" s="1578" t="str">
        <f ca="1">IF('ketv. 6 '!L64&gt;0,"1",0)</f>
        <v>1</v>
      </c>
      <c r="X65" s="1579">
        <f t="shared" ca="1" si="297"/>
        <v>0</v>
      </c>
      <c r="Y65" s="1579">
        <f>IF(YEAR('3 pr-2'!$AK65)=2017,$V65,0)</f>
        <v>0</v>
      </c>
      <c r="Z65" s="1579">
        <f>IF(YEAR('3 pr-2'!$AK65)=2018,$V65,0)</f>
        <v>0</v>
      </c>
      <c r="AA65" s="1579">
        <f>IF(YEAR('3 pr-2'!$AK65)=2019,$V65,0)</f>
        <v>1</v>
      </c>
      <c r="AB65" s="1579">
        <f>IF(YEAR('3 pr-2'!$AK65)=2020,$V65,0)</f>
        <v>0</v>
      </c>
      <c r="AC65" s="1579">
        <f>IF(YEAR('3 pr-2'!$AK65)=2021,$V65,0)</f>
        <v>0</v>
      </c>
      <c r="AD65" s="1579">
        <f>IF(YEAR('3 pr-2'!$AK65)=2022,$V65,0)</f>
        <v>0</v>
      </c>
      <c r="AE65" s="1579">
        <f>IF(YEAR('3 pr-2'!$AK65)=2023,$V65,0)</f>
        <v>0</v>
      </c>
      <c r="AF65" s="350"/>
      <c r="AG65" s="537"/>
      <c r="AH65" s="345"/>
      <c r="AI65" s="345"/>
      <c r="AJ65" s="345"/>
      <c r="AK65" s="345"/>
      <c r="AL65" s="345"/>
      <c r="AM65" s="345"/>
      <c r="AN65" s="345"/>
      <c r="AO65" s="895">
        <f t="shared" si="134"/>
        <v>0</v>
      </c>
      <c r="AP65" s="345"/>
      <c r="AQ65" s="1597"/>
      <c r="AR65" s="1579"/>
      <c r="AS65" s="1579">
        <f>IF(YEAR('3 pr-2'!$AK65)=2017,$AP65,0)</f>
        <v>0</v>
      </c>
      <c r="AT65" s="1579">
        <f>IF(YEAR('3 pr-2'!$AK65)=2018,$AP65,0)</f>
        <v>0</v>
      </c>
      <c r="AU65" s="1579">
        <f>IF(YEAR('3 pr-2'!$AK65)=2019,$AP65,0)</f>
        <v>0</v>
      </c>
      <c r="AV65" s="1579">
        <f>IF(YEAR('3 pr-2'!$AK65)=2020,$AP65,0)</f>
        <v>0</v>
      </c>
      <c r="AW65" s="1579">
        <f>IF(YEAR('3 pr-2'!$AK65)=2021,$AP65,0)</f>
        <v>0</v>
      </c>
      <c r="AX65" s="1579">
        <f>IF(YEAR('3 pr-2'!$AK65)=2022,$AP65,0)</f>
        <v>0</v>
      </c>
      <c r="AY65" s="1579">
        <f>IF(YEAR('3 pr-2'!$AK65)=2023,$AP65,0)</f>
        <v>0</v>
      </c>
      <c r="AZ65" s="345"/>
      <c r="BA65" s="536"/>
      <c r="BB65" s="345"/>
      <c r="BC65" s="345"/>
      <c r="BD65" s="345"/>
      <c r="BE65" s="345"/>
      <c r="BF65" s="345"/>
      <c r="BG65" s="345"/>
      <c r="BH65" s="345"/>
      <c r="BI65" s="895">
        <f t="shared" si="161"/>
        <v>0</v>
      </c>
      <c r="BJ65" s="345"/>
      <c r="BK65" s="1597"/>
      <c r="BL65" s="1579"/>
      <c r="BM65" s="1579">
        <f>IF(YEAR('3 pr-2'!AK65)=2017,BJ65,0)</f>
        <v>0</v>
      </c>
      <c r="BN65" s="1579">
        <f>IF(YEAR('3 pr-2'!AK65)=2018,BJ65,0)</f>
        <v>0</v>
      </c>
      <c r="BO65" s="1579">
        <f>IF(YEAR('3 pr-2'!AK65)=2019,BJ65,0)</f>
        <v>0</v>
      </c>
      <c r="BP65" s="1579">
        <f>IF(YEAR('3 pr-2'!AK65)=2020,BJ65,0)</f>
        <v>0</v>
      </c>
      <c r="BQ65" s="1579">
        <f>IF(YEAR('3 pr-2'!AK65)=2021,BJ65,0)</f>
        <v>0</v>
      </c>
      <c r="BR65" s="1579">
        <f>IF(YEAR('3 pr-2'!AK65)=2022,BJ65,0)</f>
        <v>0</v>
      </c>
      <c r="BS65" s="1579">
        <f>IF(YEAR('3 pr-2'!AK65)=2023,BJ65,0)</f>
        <v>0</v>
      </c>
      <c r="BT65" s="350"/>
      <c r="BU65" s="537"/>
      <c r="BV65" s="345"/>
      <c r="BW65" s="345"/>
      <c r="BX65" s="345"/>
      <c r="BY65" s="345"/>
      <c r="BZ65" s="345"/>
      <c r="CA65" s="345"/>
      <c r="CB65" s="345"/>
      <c r="CC65" s="895">
        <f t="shared" si="136"/>
        <v>0</v>
      </c>
      <c r="CD65" s="345"/>
      <c r="CE65" s="1579"/>
      <c r="CF65" s="1579"/>
      <c r="CG65" s="1579">
        <f>IF(YEAR('3 pr-2'!$AK65)=2017,$CD65,0)</f>
        <v>0</v>
      </c>
      <c r="CH65" s="1579">
        <f>IF(YEAR('3 pr-2'!$AK65)=2018,$CD65,0)</f>
        <v>0</v>
      </c>
      <c r="CI65" s="1579">
        <f>IF(YEAR('3 pr-2'!$AK65)=2019,$CD65,0)</f>
        <v>0</v>
      </c>
      <c r="CJ65" s="1579">
        <f>IF(YEAR('3 pr-2'!$AK65)=2020,$CD65,0)</f>
        <v>0</v>
      </c>
      <c r="CK65" s="1579">
        <f>IF(YEAR('3 pr-2'!$AK65)=2021,$CD65,0)</f>
        <v>0</v>
      </c>
      <c r="CL65" s="1579">
        <f>IF(YEAR('3 pr-2'!$AK65)=2022,$CD65,0)</f>
        <v>0</v>
      </c>
      <c r="CM65" s="1579">
        <f>IF(YEAR('3 pr-2'!$AK65)=2023,$CD65,0)</f>
        <v>0</v>
      </c>
      <c r="CN65" s="350"/>
      <c r="CO65" s="538"/>
      <c r="CP65" s="351"/>
      <c r="CQ65" s="345"/>
      <c r="CR65" s="345"/>
      <c r="CS65" s="345"/>
      <c r="CT65" s="345"/>
      <c r="CU65" s="345"/>
      <c r="CV65" s="345"/>
      <c r="CW65" s="895">
        <f t="shared" si="137"/>
        <v>0</v>
      </c>
      <c r="CX65" s="351"/>
      <c r="CY65" s="1605"/>
      <c r="CZ65" s="1605"/>
      <c r="DA65" s="1594">
        <f>IF(YEAR('3 pr-2'!AK65)=2017,CX65,0)</f>
        <v>0</v>
      </c>
      <c r="DB65" s="1594">
        <f>IF(YEAR('3 pr-2'!AK65)=2018,CX65,0)</f>
        <v>0</v>
      </c>
      <c r="DC65" s="1594">
        <f>IF(YEAR('3 pr-2'!AK65)=2019,CX65,0)</f>
        <v>0</v>
      </c>
      <c r="DD65" s="1594">
        <f>IF(YEAR('3 pr-2'!AK65)=2020,CX65,0)</f>
        <v>0</v>
      </c>
      <c r="DE65" s="1594">
        <f>IF(YEAR('3 pr-2'!AK65)=2021,CX65,0)</f>
        <v>0</v>
      </c>
      <c r="DF65" s="1594">
        <f>IF(YEAR('3 pr-2'!AK65)=2022,CX65,0)</f>
        <v>0</v>
      </c>
      <c r="DG65" s="1594">
        <f>IF(YEAR('3 pr-2'!AK65)=2023,CX65,0)</f>
        <v>0</v>
      </c>
      <c r="DH65" s="350"/>
      <c r="DI65" s="538"/>
      <c r="DJ65" s="351"/>
      <c r="DK65" s="345"/>
      <c r="DL65" s="345"/>
      <c r="DM65" s="345"/>
      <c r="DN65" s="345"/>
      <c r="DO65" s="345"/>
      <c r="DP65" s="345"/>
      <c r="DQ65" s="895"/>
      <c r="DR65" s="351"/>
      <c r="DS65" s="1605"/>
      <c r="DT65" s="1605"/>
      <c r="DU65" s="1594"/>
      <c r="DV65" s="1594"/>
      <c r="DW65" s="1594"/>
      <c r="DX65" s="1594"/>
      <c r="DY65" s="1594"/>
      <c r="DZ65" s="1594"/>
      <c r="EA65" s="1594"/>
      <c r="EB65" s="350"/>
      <c r="EC65" s="538"/>
      <c r="ED65" s="333"/>
      <c r="EE65" s="1605"/>
      <c r="EF65" s="1605"/>
      <c r="EG65" s="1594">
        <f>IF(YEAR('3 pr-2'!BP65)=2017,ED65,0)</f>
        <v>0</v>
      </c>
      <c r="EH65" s="1594">
        <f>IF(YEAR('3 pr-2'!BP65)=2018,ED65,0)</f>
        <v>0</v>
      </c>
      <c r="EI65" s="1594">
        <f>IF(YEAR('3 pr-2'!BP65)=2019,ED65,0)</f>
        <v>0</v>
      </c>
      <c r="EJ65" s="1594">
        <f>IF(YEAR('3 pr-2'!BP65)=2020,ED65,0)</f>
        <v>0</v>
      </c>
      <c r="EK65" s="1594">
        <f>IF(YEAR('3 pr-2'!BP65)=2021,ED65,0)</f>
        <v>0</v>
      </c>
      <c r="EL65" s="1594">
        <f>IF(YEAR('3 pr-2'!BP65)=2022,ED65,0)</f>
        <v>0</v>
      </c>
      <c r="EM65" s="1594">
        <f>IF(YEAR('3 pr-2'!BP65)=2023,ED65,0)</f>
        <v>0</v>
      </c>
    </row>
    <row r="66" spans="1:143" ht="61.5" thickTop="1" thickBot="1" x14ac:dyDescent="0.3">
      <c r="A66" s="345" t="str">
        <f>CONCATENATE('3 pr-2'!A66)</f>
        <v>1.1.1.8.4</v>
      </c>
      <c r="B66" s="345" t="str">
        <f>CONCATENATE('3 pr-2'!B66)</f>
        <v>R01-3305-330200-1184</v>
      </c>
      <c r="C66" s="970" t="str">
        <f>CONCATENATE('ketv. 2'!B65)</f>
        <v>07.1.1-CPVA-R-305-11-0004</v>
      </c>
      <c r="D66" s="125" t="str">
        <f>CONCATENATE('3 pr-2'!D66)</f>
        <v>Pastato rekonstrukcija ir pritaikymas kultūrinėms, muziejinėms ir edukacinėms reikmėms</v>
      </c>
      <c r="E66" s="312" t="str">
        <f>CONCATENATE('3 pr-2'!E66)</f>
        <v>Lazdijų rajono savivaldybės administracija</v>
      </c>
      <c r="F66" s="312" t="str">
        <f>CONCATENATE('3 pr-2'!F66)</f>
        <v>Lietuvos Respublikos kultūros ministerija</v>
      </c>
      <c r="G66" s="312" t="str">
        <f>CONCATENATE('3 pr-2'!G66)</f>
        <v>Lazdijų r. sav.</v>
      </c>
      <c r="H66" s="345" t="str">
        <f>CONCATENATE('3 pr-2'!H66)</f>
        <v>07.1.1-CPVA-R-305</v>
      </c>
      <c r="I66" s="345" t="str">
        <f>CONCATENATE('3 pr-2'!I66)</f>
        <v>R</v>
      </c>
      <c r="J66" s="345" t="str">
        <f>CONCATENATE('3 pr-2'!J66)</f>
        <v>ITI</v>
      </c>
      <c r="K66" s="345" t="str">
        <f>CONCATENATE('3 pr-2'!K66)</f>
        <v>-</v>
      </c>
      <c r="L66" s="345" t="s">
        <v>490</v>
      </c>
      <c r="M66" s="537" t="s">
        <v>491</v>
      </c>
      <c r="N66" s="345"/>
      <c r="O66" s="345"/>
      <c r="P66" s="345"/>
      <c r="Q66" s="345"/>
      <c r="R66" s="345"/>
      <c r="S66" s="345"/>
      <c r="T66" s="345"/>
      <c r="U66" s="893">
        <f t="shared" si="264"/>
        <v>0</v>
      </c>
      <c r="V66" s="345">
        <v>1</v>
      </c>
      <c r="W66" s="1578">
        <v>1</v>
      </c>
      <c r="X66" s="1579">
        <f t="shared" si="297"/>
        <v>0</v>
      </c>
      <c r="Y66" s="1579">
        <f>IF(YEAR('3 pr-2'!$AK66)=2017,$V66,0)</f>
        <v>0</v>
      </c>
      <c r="Z66" s="1579">
        <f>IF(YEAR('3 pr-2'!$AK66)=2018,$V66,0)</f>
        <v>0</v>
      </c>
      <c r="AA66" s="1579">
        <f>IF(YEAR('3 pr-2'!$AK66)=2019,$V66,0)</f>
        <v>1</v>
      </c>
      <c r="AB66" s="1579">
        <f>IF(YEAR('3 pr-2'!$AK66)=2020,$V66,0)</f>
        <v>0</v>
      </c>
      <c r="AC66" s="1579">
        <f>IF(YEAR('3 pr-2'!$AK66)=2021,$V66,0)</f>
        <v>0</v>
      </c>
      <c r="AD66" s="1579">
        <f>IF(YEAR('3 pr-2'!$AK66)=2022,$V66,0)</f>
        <v>0</v>
      </c>
      <c r="AE66" s="1579">
        <f>IF(YEAR('3 pr-2'!$AK66)=2023,$V66,0)</f>
        <v>0</v>
      </c>
      <c r="AF66" s="350"/>
      <c r="AG66" s="537"/>
      <c r="AH66" s="345"/>
      <c r="AI66" s="345"/>
      <c r="AJ66" s="345"/>
      <c r="AK66" s="345"/>
      <c r="AL66" s="345"/>
      <c r="AM66" s="345"/>
      <c r="AN66" s="345"/>
      <c r="AO66" s="895">
        <f t="shared" si="134"/>
        <v>0</v>
      </c>
      <c r="AP66" s="345"/>
      <c r="AQ66" s="1597"/>
      <c r="AR66" s="1579"/>
      <c r="AS66" s="1579">
        <f>IF(YEAR('3 pr-2'!$AK66)=2017,$AP66,0)</f>
        <v>0</v>
      </c>
      <c r="AT66" s="1579">
        <f>IF(YEAR('3 pr-2'!$AK66)=2018,$AP66,0)</f>
        <v>0</v>
      </c>
      <c r="AU66" s="1579">
        <f>IF(YEAR('3 pr-2'!$AK66)=2019,$AP66,0)</f>
        <v>0</v>
      </c>
      <c r="AV66" s="1579">
        <f>IF(YEAR('3 pr-2'!$AK66)=2020,$AP66,0)</f>
        <v>0</v>
      </c>
      <c r="AW66" s="1579">
        <f>IF(YEAR('3 pr-2'!$AK66)=2021,$AP66,0)</f>
        <v>0</v>
      </c>
      <c r="AX66" s="1579">
        <f>IF(YEAR('3 pr-2'!$AK66)=2022,$AP66,0)</f>
        <v>0</v>
      </c>
      <c r="AY66" s="1579">
        <f>IF(YEAR('3 pr-2'!$AK66)=2023,$AP66,0)</f>
        <v>0</v>
      </c>
      <c r="AZ66" s="345"/>
      <c r="BA66" s="536"/>
      <c r="BB66" s="345"/>
      <c r="BC66" s="345"/>
      <c r="BD66" s="345"/>
      <c r="BE66" s="345"/>
      <c r="BF66" s="345"/>
      <c r="BG66" s="345"/>
      <c r="BH66" s="345"/>
      <c r="BI66" s="895">
        <f t="shared" si="161"/>
        <v>0</v>
      </c>
      <c r="BJ66" s="345"/>
      <c r="BK66" s="1597"/>
      <c r="BL66" s="1579"/>
      <c r="BM66" s="1579">
        <f>IF(YEAR('3 pr-2'!AK66)=2017,BJ66,0)</f>
        <v>0</v>
      </c>
      <c r="BN66" s="1579">
        <f>IF(YEAR('3 pr-2'!AK66)=2018,BJ66,0)</f>
        <v>0</v>
      </c>
      <c r="BO66" s="1579">
        <f>IF(YEAR('3 pr-2'!AK66)=2019,BJ66,0)</f>
        <v>0</v>
      </c>
      <c r="BP66" s="1579">
        <f>IF(YEAR('3 pr-2'!AK66)=2020,BJ66,0)</f>
        <v>0</v>
      </c>
      <c r="BQ66" s="1579">
        <f>IF(YEAR('3 pr-2'!AK66)=2021,BJ66,0)</f>
        <v>0</v>
      </c>
      <c r="BR66" s="1579">
        <f>IF(YEAR('3 pr-2'!AK66)=2022,BJ66,0)</f>
        <v>0</v>
      </c>
      <c r="BS66" s="1579">
        <f>IF(YEAR('3 pr-2'!AK66)=2023,BJ66,0)</f>
        <v>0</v>
      </c>
      <c r="BT66" s="350"/>
      <c r="BU66" s="537"/>
      <c r="BV66" s="345"/>
      <c r="BW66" s="345"/>
      <c r="BX66" s="345"/>
      <c r="BY66" s="345"/>
      <c r="BZ66" s="345"/>
      <c r="CA66" s="345"/>
      <c r="CB66" s="345"/>
      <c r="CC66" s="895">
        <f t="shared" si="136"/>
        <v>0</v>
      </c>
      <c r="CD66" s="345"/>
      <c r="CE66" s="1579"/>
      <c r="CF66" s="1579"/>
      <c r="CG66" s="1579">
        <f>IF(YEAR('3 pr-2'!$AK66)=2017,$CD66,0)</f>
        <v>0</v>
      </c>
      <c r="CH66" s="1579">
        <f>IF(YEAR('3 pr-2'!$AK66)=2018,$CD66,0)</f>
        <v>0</v>
      </c>
      <c r="CI66" s="1579">
        <f>IF(YEAR('3 pr-2'!$AK66)=2019,$CD66,0)</f>
        <v>0</v>
      </c>
      <c r="CJ66" s="1579">
        <f>IF(YEAR('3 pr-2'!$AK66)=2020,$CD66,0)</f>
        <v>0</v>
      </c>
      <c r="CK66" s="1579">
        <f>IF(YEAR('3 pr-2'!$AK66)=2021,$CD66,0)</f>
        <v>0</v>
      </c>
      <c r="CL66" s="1579">
        <f>IF(YEAR('3 pr-2'!$AK66)=2022,$CD66,0)</f>
        <v>0</v>
      </c>
      <c r="CM66" s="1579">
        <f>IF(YEAR('3 pr-2'!$AK66)=2023,$CD66,0)</f>
        <v>0</v>
      </c>
      <c r="CN66" s="350"/>
      <c r="CO66" s="538"/>
      <c r="CP66" s="351"/>
      <c r="CQ66" s="345"/>
      <c r="CR66" s="345"/>
      <c r="CS66" s="345"/>
      <c r="CT66" s="345"/>
      <c r="CU66" s="345"/>
      <c r="CV66" s="345"/>
      <c r="CW66" s="895">
        <f t="shared" si="137"/>
        <v>0</v>
      </c>
      <c r="CX66" s="351"/>
      <c r="CY66" s="1605"/>
      <c r="CZ66" s="1605"/>
      <c r="DA66" s="1594">
        <f>IF(YEAR('3 pr-2'!AK66)=2017,CX66,0)</f>
        <v>0</v>
      </c>
      <c r="DB66" s="1594">
        <f>IF(YEAR('3 pr-2'!AK66)=2018,CX66,0)</f>
        <v>0</v>
      </c>
      <c r="DC66" s="1594">
        <f>IF(YEAR('3 pr-2'!AK66)=2019,CX66,0)</f>
        <v>0</v>
      </c>
      <c r="DD66" s="1594">
        <f>IF(YEAR('3 pr-2'!AK66)=2020,CX66,0)</f>
        <v>0</v>
      </c>
      <c r="DE66" s="1594">
        <f>IF(YEAR('3 pr-2'!AK66)=2021,CX66,0)</f>
        <v>0</v>
      </c>
      <c r="DF66" s="1594">
        <f>IF(YEAR('3 pr-2'!AK66)=2022,CX66,0)</f>
        <v>0</v>
      </c>
      <c r="DG66" s="1594">
        <f>IF(YEAR('3 pr-2'!AK66)=2023,CX66,0)</f>
        <v>0</v>
      </c>
      <c r="DH66" s="350"/>
      <c r="DI66" s="538"/>
      <c r="DJ66" s="351"/>
      <c r="DK66" s="345"/>
      <c r="DL66" s="345"/>
      <c r="DM66" s="345"/>
      <c r="DN66" s="345"/>
      <c r="DO66" s="345"/>
      <c r="DP66" s="345"/>
      <c r="DQ66" s="895"/>
      <c r="DR66" s="351"/>
      <c r="DS66" s="1605"/>
      <c r="DT66" s="1605"/>
      <c r="DU66" s="1594"/>
      <c r="DV66" s="1594"/>
      <c r="DW66" s="1594"/>
      <c r="DX66" s="1594"/>
      <c r="DY66" s="1594"/>
      <c r="DZ66" s="1594"/>
      <c r="EA66" s="1594"/>
      <c r="EB66" s="350"/>
      <c r="EC66" s="538"/>
      <c r="ED66" s="333"/>
      <c r="EE66" s="1605"/>
      <c r="EF66" s="1605"/>
      <c r="EG66" s="1594">
        <f>IF(YEAR('3 pr-2'!BP66)=2017,ED66,0)</f>
        <v>0</v>
      </c>
      <c r="EH66" s="1594">
        <f>IF(YEAR('3 pr-2'!BP66)=2018,ED66,0)</f>
        <v>0</v>
      </c>
      <c r="EI66" s="1594">
        <f>IF(YEAR('3 pr-2'!BP66)=2019,ED66,0)</f>
        <v>0</v>
      </c>
      <c r="EJ66" s="1594">
        <f>IF(YEAR('3 pr-2'!BP66)=2020,ED66,0)</f>
        <v>0</v>
      </c>
      <c r="EK66" s="1594">
        <f>IF(YEAR('3 pr-2'!BP66)=2021,ED66,0)</f>
        <v>0</v>
      </c>
      <c r="EL66" s="1594">
        <f>IF(YEAR('3 pr-2'!BP66)=2022,ED66,0)</f>
        <v>0</v>
      </c>
      <c r="EM66" s="1594">
        <f>IF(YEAR('3 pr-2'!BP66)=2023,ED66,0)</f>
        <v>0</v>
      </c>
    </row>
    <row r="67" spans="1:143" ht="30" customHeight="1" thickBot="1" x14ac:dyDescent="0.3">
      <c r="A67" s="824" t="str">
        <f>CONCATENATE('3 pr-2'!A67)</f>
        <v>1.1.1.9</v>
      </c>
      <c r="B67" s="1926" t="str">
        <f>CONCATENATE('3 pr-2'!B67)</f>
        <v>Priemonė:
Aktualizuoti savivaldybių kultūros paveldo objektus</v>
      </c>
      <c r="C67" s="1927"/>
      <c r="D67" s="1927"/>
      <c r="E67" s="1927"/>
      <c r="F67" s="1927"/>
      <c r="G67" s="1927"/>
      <c r="H67" s="1927"/>
      <c r="I67" s="1927"/>
      <c r="J67" s="1927"/>
      <c r="K67" s="1928"/>
      <c r="L67" s="1312"/>
      <c r="M67" s="540"/>
      <c r="N67" s="334">
        <f>SUM(N68:N72)</f>
        <v>0</v>
      </c>
      <c r="O67" s="334">
        <f t="shared" ref="O67:T67" si="298">SUM(O68:O72)</f>
        <v>0</v>
      </c>
      <c r="P67" s="334">
        <f t="shared" si="298"/>
        <v>0</v>
      </c>
      <c r="Q67" s="334">
        <f t="shared" si="298"/>
        <v>0</v>
      </c>
      <c r="R67" s="334">
        <f t="shared" si="298"/>
        <v>0</v>
      </c>
      <c r="S67" s="334">
        <f t="shared" si="298"/>
        <v>0</v>
      </c>
      <c r="T67" s="334">
        <f t="shared" si="298"/>
        <v>0</v>
      </c>
      <c r="U67" s="887">
        <f t="shared" ref="U67:U72" si="299">SUM(N67:T67)</f>
        <v>0</v>
      </c>
      <c r="V67" s="864"/>
      <c r="W67" s="1575"/>
      <c r="X67" s="1576"/>
      <c r="Y67" s="1577">
        <f t="shared" ref="Y67:AE67" si="300">SUM(Y68:Y72)</f>
        <v>0</v>
      </c>
      <c r="Z67" s="1577">
        <f t="shared" si="300"/>
        <v>0</v>
      </c>
      <c r="AA67" s="1577">
        <f t="shared" si="300"/>
        <v>2</v>
      </c>
      <c r="AB67" s="1577">
        <f t="shared" si="300"/>
        <v>3</v>
      </c>
      <c r="AC67" s="1577">
        <f t="shared" si="300"/>
        <v>0</v>
      </c>
      <c r="AD67" s="1577">
        <f t="shared" si="300"/>
        <v>0</v>
      </c>
      <c r="AE67" s="1577">
        <f t="shared" si="300"/>
        <v>0</v>
      </c>
      <c r="AF67" s="864"/>
      <c r="AG67" s="902"/>
      <c r="AH67" s="334">
        <f>SUM(AH68:AH72)</f>
        <v>0</v>
      </c>
      <c r="AI67" s="334">
        <f t="shared" ref="AI67" si="301">SUM(AI68:AI72)</f>
        <v>0</v>
      </c>
      <c r="AJ67" s="334">
        <f t="shared" ref="AJ67" si="302">SUM(AJ68:AJ72)</f>
        <v>0</v>
      </c>
      <c r="AK67" s="334">
        <f t="shared" ref="AK67" si="303">SUM(AK68:AK72)</f>
        <v>0</v>
      </c>
      <c r="AL67" s="334">
        <f t="shared" ref="AL67" si="304">SUM(AL68:AL72)</f>
        <v>0</v>
      </c>
      <c r="AM67" s="334">
        <f t="shared" ref="AM67" si="305">SUM(AM68:AM72)</f>
        <v>0</v>
      </c>
      <c r="AN67" s="334">
        <f t="shared" ref="AN67" si="306">SUM(AN68:AN72)</f>
        <v>0</v>
      </c>
      <c r="AO67" s="864">
        <f t="shared" si="134"/>
        <v>0</v>
      </c>
      <c r="AP67" s="864"/>
      <c r="AQ67" s="1577"/>
      <c r="AR67" s="1577"/>
      <c r="AS67" s="1577">
        <f t="shared" ref="AS67:AY67" si="307">SUM(AS68:AS72)</f>
        <v>0</v>
      </c>
      <c r="AT67" s="1577">
        <f t="shared" si="307"/>
        <v>0</v>
      </c>
      <c r="AU67" s="1577">
        <f t="shared" si="307"/>
        <v>6000</v>
      </c>
      <c r="AV67" s="1577">
        <f t="shared" si="307"/>
        <v>3788</v>
      </c>
      <c r="AW67" s="1577">
        <f t="shared" si="307"/>
        <v>0</v>
      </c>
      <c r="AX67" s="1577">
        <f t="shared" si="307"/>
        <v>0</v>
      </c>
      <c r="AY67" s="1577">
        <f t="shared" si="307"/>
        <v>0</v>
      </c>
      <c r="AZ67" s="864"/>
      <c r="BA67" s="889"/>
      <c r="BB67" s="334">
        <f>SUM(BB68:BB72)</f>
        <v>0</v>
      </c>
      <c r="BC67" s="334">
        <f t="shared" ref="BC67" si="308">SUM(BC68:BC72)</f>
        <v>0</v>
      </c>
      <c r="BD67" s="334">
        <f t="shared" ref="BD67" si="309">SUM(BD68:BD72)</f>
        <v>0</v>
      </c>
      <c r="BE67" s="334">
        <f t="shared" ref="BE67" si="310">SUM(BE68:BE72)</f>
        <v>0</v>
      </c>
      <c r="BF67" s="334">
        <f t="shared" ref="BF67" si="311">SUM(BF68:BF72)</f>
        <v>0</v>
      </c>
      <c r="BG67" s="334">
        <f t="shared" ref="BG67" si="312">SUM(BG68:BG72)</f>
        <v>0</v>
      </c>
      <c r="BH67" s="334">
        <f t="shared" ref="BH67" si="313">SUM(BH68:BH72)</f>
        <v>0</v>
      </c>
      <c r="BI67" s="864">
        <f t="shared" si="161"/>
        <v>0</v>
      </c>
      <c r="BJ67" s="864"/>
      <c r="BK67" s="1577"/>
      <c r="BL67" s="1577"/>
      <c r="BM67" s="1577"/>
      <c r="BN67" s="1577"/>
      <c r="BO67" s="1577"/>
      <c r="BP67" s="1577"/>
      <c r="BQ67" s="1577"/>
      <c r="BR67" s="1577"/>
      <c r="BS67" s="1577"/>
      <c r="BT67" s="334"/>
      <c r="BU67" s="538"/>
      <c r="BV67" s="334">
        <f>SUM(BV68:BV72)</f>
        <v>0</v>
      </c>
      <c r="BW67" s="334">
        <f t="shared" ref="BW67" si="314">SUM(BW68:BW72)</f>
        <v>0</v>
      </c>
      <c r="BX67" s="334">
        <f t="shared" ref="BX67" si="315">SUM(BX68:BX72)</f>
        <v>0</v>
      </c>
      <c r="BY67" s="334">
        <f t="shared" ref="BY67" si="316">SUM(BY68:BY72)</f>
        <v>0</v>
      </c>
      <c r="BZ67" s="334">
        <f t="shared" ref="BZ67" si="317">SUM(BZ68:BZ72)</f>
        <v>0</v>
      </c>
      <c r="CA67" s="334">
        <f t="shared" ref="CA67" si="318">SUM(CA68:CA72)</f>
        <v>0</v>
      </c>
      <c r="CB67" s="334">
        <f t="shared" ref="CB67" si="319">SUM(CB68:CB72)</f>
        <v>0</v>
      </c>
      <c r="CC67" s="864">
        <f t="shared" si="136"/>
        <v>0</v>
      </c>
      <c r="CD67" s="334"/>
      <c r="CE67" s="1577"/>
      <c r="CF67" s="1577"/>
      <c r="CG67" s="1577"/>
      <c r="CH67" s="1577"/>
      <c r="CI67" s="1577"/>
      <c r="CJ67" s="1577"/>
      <c r="CK67" s="1577"/>
      <c r="CL67" s="1577"/>
      <c r="CM67" s="1577"/>
      <c r="CN67" s="887"/>
      <c r="CO67" s="538"/>
      <c r="CP67" s="852">
        <f>SUM(CP68:CP72)</f>
        <v>0</v>
      </c>
      <c r="CQ67" s="334">
        <f t="shared" ref="CQ67" si="320">SUM(CQ68:CQ72)</f>
        <v>0</v>
      </c>
      <c r="CR67" s="334">
        <f t="shared" ref="CR67" si="321">SUM(CR68:CR72)</f>
        <v>0</v>
      </c>
      <c r="CS67" s="334">
        <f t="shared" ref="CS67" si="322">SUM(CS68:CS72)</f>
        <v>0</v>
      </c>
      <c r="CT67" s="334">
        <f t="shared" ref="CT67" si="323">SUM(CT68:CT72)</f>
        <v>0</v>
      </c>
      <c r="CU67" s="334">
        <f t="shared" ref="CU67" si="324">SUM(CU68:CU72)</f>
        <v>0</v>
      </c>
      <c r="CV67" s="334">
        <f t="shared" ref="CV67" si="325">SUM(CV68:CV72)</f>
        <v>0</v>
      </c>
      <c r="CW67" s="864">
        <f t="shared" si="137"/>
        <v>0</v>
      </c>
      <c r="CX67" s="334"/>
      <c r="CY67" s="1594"/>
      <c r="CZ67" s="1594"/>
      <c r="DA67" s="1594"/>
      <c r="DB67" s="1594"/>
      <c r="DC67" s="1594"/>
      <c r="DD67" s="1594"/>
      <c r="DE67" s="1594"/>
      <c r="DF67" s="1594"/>
      <c r="DG67" s="1594"/>
      <c r="DH67" s="887"/>
      <c r="DI67" s="538"/>
      <c r="DJ67" s="852"/>
      <c r="DK67" s="334"/>
      <c r="DL67" s="334"/>
      <c r="DM67" s="334"/>
      <c r="DN67" s="334"/>
      <c r="DO67" s="334"/>
      <c r="DP67" s="334"/>
      <c r="DQ67" s="864"/>
      <c r="DR67" s="334"/>
      <c r="DS67" s="1594"/>
      <c r="DT67" s="1594"/>
      <c r="DU67" s="1594"/>
      <c r="DV67" s="1594"/>
      <c r="DW67" s="1594"/>
      <c r="DX67" s="1594"/>
      <c r="DY67" s="1594"/>
      <c r="DZ67" s="1594"/>
      <c r="EA67" s="1594"/>
      <c r="EB67" s="887"/>
      <c r="EC67" s="538"/>
      <c r="ED67" s="890"/>
      <c r="EE67" s="1594"/>
      <c r="EF67" s="1594"/>
      <c r="EG67" s="1594"/>
      <c r="EH67" s="1594"/>
      <c r="EI67" s="1594"/>
      <c r="EJ67" s="1594"/>
      <c r="EK67" s="1594"/>
      <c r="EL67" s="1594"/>
      <c r="EM67" s="1594"/>
    </row>
    <row r="68" spans="1:143" ht="64.5" thickTop="1" thickBot="1" x14ac:dyDescent="0.3">
      <c r="A68" s="345" t="str">
        <f>CONCATENATE('3 pr-2'!A68)</f>
        <v>1.1.1.9.1</v>
      </c>
      <c r="B68" s="345" t="str">
        <f>CONCATENATE('3 pr-2'!B68)</f>
        <v>R01-3302-440000-1191</v>
      </c>
      <c r="C68" s="970" t="str">
        <f>CONCATENATE('ketv. 2'!B67)</f>
        <v>05.4.1-CPVA-R-302-11-0003</v>
      </c>
      <c r="D68" s="125" t="str">
        <f>CONCATENATE('3 pr-2'!D68)</f>
        <v>Buvusios sinagogos pastato Kauno g. 9A Alytuje rekonstravimas ir aplinkinės teritorijos sutvarkymas</v>
      </c>
      <c r="E68" s="312" t="str">
        <f>CONCATENATE('3 pr-2'!E68)</f>
        <v>Alytaus miesto savivaldybės administracija</v>
      </c>
      <c r="F68" s="312" t="str">
        <f>CONCATENATE('3 pr-2'!F68)</f>
        <v>Lietuvos Respublikos kultūros ministerija</v>
      </c>
      <c r="G68" s="312" t="str">
        <f>CONCATENATE('3 pr-2'!G68)</f>
        <v>Alytaus m. sav.</v>
      </c>
      <c r="H68" s="345" t="str">
        <f>CONCATENATE('3 pr-2'!H68)</f>
        <v>05.4.1-CPVA-R-302</v>
      </c>
      <c r="I68" s="345" t="str">
        <f>CONCATENATE('3 pr-2'!I68)</f>
        <v>R</v>
      </c>
      <c r="J68" s="345" t="str">
        <f>CONCATENATE('3 pr-2'!J68)</f>
        <v>ITI</v>
      </c>
      <c r="K68" s="345" t="str">
        <f>CONCATENATE('3 pr-2'!K68)</f>
        <v xml:space="preserve"> -</v>
      </c>
      <c r="L68" s="345" t="s">
        <v>492</v>
      </c>
      <c r="M68" s="537" t="s">
        <v>493</v>
      </c>
      <c r="N68" s="345"/>
      <c r="O68" s="345"/>
      <c r="P68" s="345"/>
      <c r="Q68" s="345"/>
      <c r="R68" s="345"/>
      <c r="S68" s="345"/>
      <c r="T68" s="345"/>
      <c r="U68" s="893">
        <f t="shared" si="299"/>
        <v>0</v>
      </c>
      <c r="V68" s="345">
        <v>1</v>
      </c>
      <c r="W68" s="1578">
        <v>1</v>
      </c>
      <c r="X68" s="1579">
        <f t="shared" ref="X68:X72" si="326">SUM(W68-V68)</f>
        <v>0</v>
      </c>
      <c r="Y68" s="1579">
        <f>IF(YEAR('3 pr-2'!$AK68)=2017,$V68,0)</f>
        <v>0</v>
      </c>
      <c r="Z68" s="1579">
        <f>IF(YEAR('3 pr-2'!$AK68)=2018,$V68,0)</f>
        <v>0</v>
      </c>
      <c r="AA68" s="1579">
        <f>IF(YEAR('3 pr-2'!$AK68)=2019,$V68,0)</f>
        <v>0</v>
      </c>
      <c r="AB68" s="1579">
        <f>IF(YEAR('3 pr-2'!$AK68)=2020,$V68,0)</f>
        <v>1</v>
      </c>
      <c r="AC68" s="1579">
        <f>IF(YEAR('3 pr-2'!$AK68)=2021,$V68,0)</f>
        <v>0</v>
      </c>
      <c r="AD68" s="1579">
        <f>IF(YEAR('3 pr-2'!$AK68)=2022,$V68,0)</f>
        <v>0</v>
      </c>
      <c r="AE68" s="1579">
        <f>IF(YEAR('3 pr-2'!$AK68)=2023,$V68,0)</f>
        <v>0</v>
      </c>
      <c r="AF68" s="350" t="s">
        <v>1402</v>
      </c>
      <c r="AG68" s="778" t="s">
        <v>1403</v>
      </c>
      <c r="AH68" s="345"/>
      <c r="AI68" s="345"/>
      <c r="AJ68" s="345"/>
      <c r="AK68" s="345"/>
      <c r="AL68" s="345"/>
      <c r="AM68" s="345"/>
      <c r="AN68" s="345"/>
      <c r="AO68" s="895"/>
      <c r="AP68" s="345">
        <v>2966</v>
      </c>
      <c r="AQ68" s="1597">
        <v>2966</v>
      </c>
      <c r="AR68" s="1579">
        <f t="shared" ref="AR68:AR72" si="327">SUM(AQ68-AP68)</f>
        <v>0</v>
      </c>
      <c r="AS68" s="1579">
        <f>IF(YEAR('3 pr-2'!$AK68)=2017,$AP68,0)</f>
        <v>0</v>
      </c>
      <c r="AT68" s="1579">
        <f>IF(YEAR('3 pr-2'!$AK68)=2018,$AP68,0)</f>
        <v>0</v>
      </c>
      <c r="AU68" s="1579">
        <f>IF(YEAR('3 pr-2'!$AK68)=2019,$AP68,0)</f>
        <v>0</v>
      </c>
      <c r="AV68" s="1579">
        <f>IF(YEAR('3 pr-2'!$AK68)=2020,$AP68,0)</f>
        <v>2966</v>
      </c>
      <c r="AW68" s="1579">
        <f>IF(YEAR('3 pr-2'!$AK68)=2021,$AP68,0)</f>
        <v>0</v>
      </c>
      <c r="AX68" s="1579">
        <f>IF(YEAR('3 pr-2'!$AK68)=2022,$AP68,0)</f>
        <v>0</v>
      </c>
      <c r="AY68" s="1579">
        <f>IF(YEAR('3 pr-2'!$AK68)=2023,$AP68,0)</f>
        <v>0</v>
      </c>
      <c r="AZ68" s="345"/>
      <c r="BA68" s="536"/>
      <c r="BB68" s="345"/>
      <c r="BC68" s="345"/>
      <c r="BD68" s="345"/>
      <c r="BE68" s="345"/>
      <c r="BF68" s="345"/>
      <c r="BG68" s="345"/>
      <c r="BH68" s="345"/>
      <c r="BI68" s="895">
        <f t="shared" si="161"/>
        <v>0</v>
      </c>
      <c r="BJ68" s="345"/>
      <c r="BK68" s="1597"/>
      <c r="BL68" s="1579"/>
      <c r="BM68" s="1579">
        <f>IF(YEAR('3 pr-2'!AK68)=2017,BJ68,0)</f>
        <v>0</v>
      </c>
      <c r="BN68" s="1579">
        <f>IF(YEAR('3 pr-2'!AK68)=2018,BJ68,0)</f>
        <v>0</v>
      </c>
      <c r="BO68" s="1579">
        <f>IF(YEAR('3 pr-2'!AK68)=2019,BJ68,0)</f>
        <v>0</v>
      </c>
      <c r="BP68" s="1579">
        <f>IF(YEAR('3 pr-2'!AK68)=2020,BJ68,0)</f>
        <v>0</v>
      </c>
      <c r="BQ68" s="1579">
        <f>IF(YEAR('3 pr-2'!AK68)=2021,BJ68,0)</f>
        <v>0</v>
      </c>
      <c r="BR68" s="1579">
        <f>IF(YEAR('3 pr-2'!AK68)=2022,BJ68,0)</f>
        <v>0</v>
      </c>
      <c r="BS68" s="1579">
        <f>IF(YEAR('3 pr-2'!AK68)=2023,BJ68,0)</f>
        <v>0</v>
      </c>
      <c r="BT68" s="350"/>
      <c r="BU68" s="537"/>
      <c r="BV68" s="345"/>
      <c r="BW68" s="345"/>
      <c r="BX68" s="345"/>
      <c r="BY68" s="345"/>
      <c r="BZ68" s="345"/>
      <c r="CA68" s="345"/>
      <c r="CB68" s="345"/>
      <c r="CC68" s="895">
        <f t="shared" si="136"/>
        <v>0</v>
      </c>
      <c r="CD68" s="345"/>
      <c r="CE68" s="1579"/>
      <c r="CF68" s="1579"/>
      <c r="CG68" s="1579">
        <f>IF(YEAR('3 pr-2'!$AK68)=2017,$CD68,0)</f>
        <v>0</v>
      </c>
      <c r="CH68" s="1579">
        <f>IF(YEAR('3 pr-2'!$AK68)=2018,$CD68,0)</f>
        <v>0</v>
      </c>
      <c r="CI68" s="1579">
        <f>IF(YEAR('3 pr-2'!$AK68)=2019,$CD68,0)</f>
        <v>0</v>
      </c>
      <c r="CJ68" s="1579">
        <f>IF(YEAR('3 pr-2'!$AK68)=2020,$CD68,0)</f>
        <v>0</v>
      </c>
      <c r="CK68" s="1579">
        <f>IF(YEAR('3 pr-2'!$AK68)=2021,$CD68,0)</f>
        <v>0</v>
      </c>
      <c r="CL68" s="1579">
        <f>IF(YEAR('3 pr-2'!$AK68)=2022,$CD68,0)</f>
        <v>0</v>
      </c>
      <c r="CM68" s="1579">
        <f>IF(YEAR('3 pr-2'!$AK68)=2023,$CD68,0)</f>
        <v>0</v>
      </c>
      <c r="CN68" s="350"/>
      <c r="CO68" s="538"/>
      <c r="CP68" s="351"/>
      <c r="CQ68" s="345"/>
      <c r="CR68" s="345"/>
      <c r="CS68" s="345"/>
      <c r="CT68" s="345"/>
      <c r="CU68" s="345"/>
      <c r="CV68" s="345"/>
      <c r="CW68" s="895">
        <f t="shared" si="137"/>
        <v>0</v>
      </c>
      <c r="CX68" s="351"/>
      <c r="CY68" s="1605"/>
      <c r="CZ68" s="1605"/>
      <c r="DA68" s="1594">
        <f>IF(YEAR('3 pr-2'!AK68)=2017,CX68,0)</f>
        <v>0</v>
      </c>
      <c r="DB68" s="1594">
        <f>IF(YEAR('3 pr-2'!AK68)=2018,CX68,0)</f>
        <v>0</v>
      </c>
      <c r="DC68" s="1594">
        <f>IF(YEAR('3 pr-2'!AK68)=2019,CX68,0)</f>
        <v>0</v>
      </c>
      <c r="DD68" s="1594">
        <f>IF(YEAR('3 pr-2'!AK68)=2020,CX68,0)</f>
        <v>0</v>
      </c>
      <c r="DE68" s="1594">
        <f>IF(YEAR('3 pr-2'!AK68)=2021,CX68,0)</f>
        <v>0</v>
      </c>
      <c r="DF68" s="1594">
        <f>IF(YEAR('3 pr-2'!AK68)=2022,CX68,0)</f>
        <v>0</v>
      </c>
      <c r="DG68" s="1594">
        <f>IF(YEAR('3 pr-2'!AK68)=2023,CX68,0)</f>
        <v>0</v>
      </c>
      <c r="DH68" s="350"/>
      <c r="DI68" s="538"/>
      <c r="DJ68" s="351"/>
      <c r="DK68" s="345"/>
      <c r="DL68" s="345"/>
      <c r="DM68" s="345"/>
      <c r="DN68" s="345"/>
      <c r="DO68" s="345"/>
      <c r="DP68" s="345"/>
      <c r="DQ68" s="895"/>
      <c r="DR68" s="351"/>
      <c r="DS68" s="1605"/>
      <c r="DT68" s="1605"/>
      <c r="DU68" s="1594"/>
      <c r="DV68" s="1594"/>
      <c r="DW68" s="1594"/>
      <c r="DX68" s="1594"/>
      <c r="DY68" s="1594"/>
      <c r="DZ68" s="1594"/>
      <c r="EA68" s="1594"/>
      <c r="EB68" s="350"/>
      <c r="EC68" s="538"/>
      <c r="ED68" s="333"/>
      <c r="EE68" s="1605"/>
      <c r="EF68" s="1605"/>
      <c r="EG68" s="1594">
        <f>IF(YEAR('3 pr-2'!BP68)=2017,ED68,0)</f>
        <v>0</v>
      </c>
      <c r="EH68" s="1594">
        <f>IF(YEAR('3 pr-2'!BP68)=2018,ED68,0)</f>
        <v>0</v>
      </c>
      <c r="EI68" s="1594">
        <f>IF(YEAR('3 pr-2'!BP68)=2019,ED68,0)</f>
        <v>0</v>
      </c>
      <c r="EJ68" s="1594">
        <f>IF(YEAR('3 pr-2'!BP68)=2020,ED68,0)</f>
        <v>0</v>
      </c>
      <c r="EK68" s="1594">
        <f>IF(YEAR('3 pr-2'!BP68)=2021,ED68,0)</f>
        <v>0</v>
      </c>
      <c r="EL68" s="1594">
        <f>IF(YEAR('3 pr-2'!BP68)=2022,ED68,0)</f>
        <v>0</v>
      </c>
      <c r="EM68" s="1594">
        <f>IF(YEAR('3 pr-2'!BP68)=2023,ED68,0)</f>
        <v>0</v>
      </c>
    </row>
    <row r="69" spans="1:143" ht="85.5" thickTop="1" thickBot="1" x14ac:dyDescent="0.3">
      <c r="A69" s="345" t="str">
        <f>CONCATENATE('3 pr-2'!A69)</f>
        <v>1.1.1.9.2</v>
      </c>
      <c r="B69" s="345" t="str">
        <f>CONCATENATE('3 pr-2'!B69)</f>
        <v>R01-3302-440000-1192</v>
      </c>
      <c r="C69" s="970" t="str">
        <f>CONCATENATE('ketv. 2'!B68)</f>
        <v>05.4.1-CPVA-R-302-11-0002</v>
      </c>
      <c r="D69" s="125" t="str">
        <f>CONCATENATE('3 pr-2'!D69)</f>
        <v>Mažosios dailės galerijos, M.K.Čiurlionio g. 37, Druskininkai, modernizavimas ir pritaikymas kultūros poreikiams</v>
      </c>
      <c r="E69" s="312" t="str">
        <f>CONCATENATE('3 pr-2'!E69)</f>
        <v xml:space="preserve">Druskininkų savivaldybės administracija  </v>
      </c>
      <c r="F69" s="312" t="str">
        <f>CONCATENATE('3 pr-2'!F69)</f>
        <v>Lietuvos Respublikos kultūros ministerija</v>
      </c>
      <c r="G69" s="312" t="str">
        <f>CONCATENATE('3 pr-2'!G69)</f>
        <v>Druskininkų sav.</v>
      </c>
      <c r="H69" s="345" t="str">
        <f>CONCATENATE('3 pr-2'!H69)</f>
        <v>05.4.1-CPVA-R-302</v>
      </c>
      <c r="I69" s="345" t="str">
        <f>CONCATENATE('3 pr-2'!I69)</f>
        <v>R</v>
      </c>
      <c r="J69" s="345" t="str">
        <f>CONCATENATE('3 pr-2'!J69)</f>
        <v>-</v>
      </c>
      <c r="K69" s="345" t="str">
        <f>CONCATENATE('3 pr-2'!K69)</f>
        <v/>
      </c>
      <c r="L69" s="345" t="s">
        <v>492</v>
      </c>
      <c r="M69" s="537" t="s">
        <v>494</v>
      </c>
      <c r="N69" s="345"/>
      <c r="O69" s="345"/>
      <c r="P69" s="345"/>
      <c r="Q69" s="345"/>
      <c r="R69" s="345"/>
      <c r="S69" s="345"/>
      <c r="T69" s="345"/>
      <c r="U69" s="893">
        <f t="shared" si="299"/>
        <v>0</v>
      </c>
      <c r="V69" s="345">
        <v>1</v>
      </c>
      <c r="W69" s="1578">
        <v>1</v>
      </c>
      <c r="X69" s="1579">
        <f t="shared" si="326"/>
        <v>0</v>
      </c>
      <c r="Y69" s="1579">
        <f>IF(YEAR('3 pr-2'!$AK69)=2017,$V69,0)</f>
        <v>0</v>
      </c>
      <c r="Z69" s="1579">
        <f>IF(YEAR('3 pr-2'!$AK69)=2018,$V69,0)</f>
        <v>0</v>
      </c>
      <c r="AA69" s="1579">
        <f>IF(YEAR('3 pr-2'!$AK69)=2019,$V69,0)</f>
        <v>1</v>
      </c>
      <c r="AB69" s="1579">
        <f>IF(YEAR('3 pr-2'!$AK69)=2020,$V69,0)</f>
        <v>0</v>
      </c>
      <c r="AC69" s="1579">
        <f>IF(YEAR('3 pr-2'!$AK69)=2021,$V69,0)</f>
        <v>0</v>
      </c>
      <c r="AD69" s="1579">
        <f>IF(YEAR('3 pr-2'!$AK69)=2022,$V69,0)</f>
        <v>0</v>
      </c>
      <c r="AE69" s="1579">
        <f>IF(YEAR('3 pr-2'!$AK69)=2023,$V69,0)</f>
        <v>0</v>
      </c>
      <c r="AF69" s="350" t="s">
        <v>1402</v>
      </c>
      <c r="AG69" s="778" t="s">
        <v>1403</v>
      </c>
      <c r="AH69" s="345"/>
      <c r="AI69" s="345"/>
      <c r="AJ69" s="345"/>
      <c r="AK69" s="345"/>
      <c r="AL69" s="345"/>
      <c r="AM69" s="345"/>
      <c r="AN69" s="345"/>
      <c r="AO69" s="895">
        <f t="shared" ref="AO69" si="328">SUM(AH69:AN69)</f>
        <v>0</v>
      </c>
      <c r="AP69" s="345">
        <v>3500</v>
      </c>
      <c r="AQ69" s="1597">
        <v>3500</v>
      </c>
      <c r="AR69" s="1579">
        <f t="shared" si="327"/>
        <v>0</v>
      </c>
      <c r="AS69" s="1579">
        <f>IF(YEAR('3 pr-2'!$AK69)=2017,$AP69,0)</f>
        <v>0</v>
      </c>
      <c r="AT69" s="1579">
        <f>IF(YEAR('3 pr-2'!$AK69)=2018,$AP69,0)</f>
        <v>0</v>
      </c>
      <c r="AU69" s="1579">
        <f>IF(YEAR('3 pr-2'!$AK69)=2019,$AP69,0)</f>
        <v>3500</v>
      </c>
      <c r="AV69" s="1579">
        <f>IF(YEAR('3 pr-2'!$AK69)=2020,$AP69,0)</f>
        <v>0</v>
      </c>
      <c r="AW69" s="1579">
        <f>IF(YEAR('3 pr-2'!$AK69)=2021,$AP69,0)</f>
        <v>0</v>
      </c>
      <c r="AX69" s="1579">
        <f>IF(YEAR('3 pr-2'!$AK69)=2022,$AP69,0)</f>
        <v>0</v>
      </c>
      <c r="AY69" s="1579">
        <f>IF(YEAR('3 pr-2'!$AK69)=2023,$AP69,0)</f>
        <v>0</v>
      </c>
      <c r="AZ69" s="345"/>
      <c r="BA69" s="536"/>
      <c r="BB69" s="345"/>
      <c r="BC69" s="345"/>
      <c r="BD69" s="345"/>
      <c r="BE69" s="345"/>
      <c r="BF69" s="345"/>
      <c r="BG69" s="345"/>
      <c r="BH69" s="345"/>
      <c r="BI69" s="895">
        <f t="shared" si="161"/>
        <v>0</v>
      </c>
      <c r="BJ69" s="345"/>
      <c r="BK69" s="1597"/>
      <c r="BL69" s="1579"/>
      <c r="BM69" s="1579">
        <f>IF(YEAR('3 pr-2'!AK69)=2017,BJ69,0)</f>
        <v>0</v>
      </c>
      <c r="BN69" s="1579">
        <f>IF(YEAR('3 pr-2'!AK69)=2018,BJ69,0)</f>
        <v>0</v>
      </c>
      <c r="BO69" s="1579">
        <f>IF(YEAR('3 pr-2'!AK69)=2019,BJ69,0)</f>
        <v>0</v>
      </c>
      <c r="BP69" s="1579">
        <f>IF(YEAR('3 pr-2'!AK69)=2020,BJ69,0)</f>
        <v>0</v>
      </c>
      <c r="BQ69" s="1579">
        <f>IF(YEAR('3 pr-2'!AK69)=2021,BJ69,0)</f>
        <v>0</v>
      </c>
      <c r="BR69" s="1579">
        <f>IF(YEAR('3 pr-2'!AK69)=2022,BJ69,0)</f>
        <v>0</v>
      </c>
      <c r="BS69" s="1579">
        <f>IF(YEAR('3 pr-2'!AK69)=2023,BJ69,0)</f>
        <v>0</v>
      </c>
      <c r="BT69" s="350"/>
      <c r="BU69" s="537"/>
      <c r="BV69" s="345"/>
      <c r="BW69" s="345"/>
      <c r="BX69" s="345"/>
      <c r="BY69" s="345"/>
      <c r="BZ69" s="345"/>
      <c r="CA69" s="345"/>
      <c r="CB69" s="345"/>
      <c r="CC69" s="895">
        <f t="shared" si="136"/>
        <v>0</v>
      </c>
      <c r="CD69" s="345"/>
      <c r="CE69" s="1579"/>
      <c r="CF69" s="1579"/>
      <c r="CG69" s="1579">
        <f>IF(YEAR('3 pr-2'!$AK69)=2017,$CD69,0)</f>
        <v>0</v>
      </c>
      <c r="CH69" s="1579">
        <f>IF(YEAR('3 pr-2'!$AK69)=2018,$CD69,0)</f>
        <v>0</v>
      </c>
      <c r="CI69" s="1579">
        <f>IF(YEAR('3 pr-2'!$AK69)=2019,$CD69,0)</f>
        <v>0</v>
      </c>
      <c r="CJ69" s="1579">
        <f>IF(YEAR('3 pr-2'!$AK69)=2020,$CD69,0)</f>
        <v>0</v>
      </c>
      <c r="CK69" s="1579">
        <f>IF(YEAR('3 pr-2'!$AK69)=2021,$CD69,0)</f>
        <v>0</v>
      </c>
      <c r="CL69" s="1579">
        <f>IF(YEAR('3 pr-2'!$AK69)=2022,$CD69,0)</f>
        <v>0</v>
      </c>
      <c r="CM69" s="1579">
        <f>IF(YEAR('3 pr-2'!$AK69)=2023,$CD69,0)</f>
        <v>0</v>
      </c>
      <c r="CN69" s="350"/>
      <c r="CO69" s="538"/>
      <c r="CP69" s="351"/>
      <c r="CQ69" s="345"/>
      <c r="CR69" s="345"/>
      <c r="CS69" s="345"/>
      <c r="CT69" s="345"/>
      <c r="CU69" s="345"/>
      <c r="CV69" s="345"/>
      <c r="CW69" s="895">
        <f t="shared" si="137"/>
        <v>0</v>
      </c>
      <c r="CX69" s="351"/>
      <c r="CY69" s="1605"/>
      <c r="CZ69" s="1605"/>
      <c r="DA69" s="1594">
        <f>IF(YEAR('3 pr-2'!AK69)=2017,CX69,0)</f>
        <v>0</v>
      </c>
      <c r="DB69" s="1594">
        <f>IF(YEAR('3 pr-2'!AK69)=2018,CX69,0)</f>
        <v>0</v>
      </c>
      <c r="DC69" s="1594">
        <f>IF(YEAR('3 pr-2'!AK69)=2019,CX69,0)</f>
        <v>0</v>
      </c>
      <c r="DD69" s="1594">
        <f>IF(YEAR('3 pr-2'!AK69)=2020,CX69,0)</f>
        <v>0</v>
      </c>
      <c r="DE69" s="1594">
        <f>IF(YEAR('3 pr-2'!AK69)=2021,CX69,0)</f>
        <v>0</v>
      </c>
      <c r="DF69" s="1594">
        <f>IF(YEAR('3 pr-2'!AK69)=2022,CX69,0)</f>
        <v>0</v>
      </c>
      <c r="DG69" s="1594">
        <f>IF(YEAR('3 pr-2'!AK69)=2023,CX69,0)</f>
        <v>0</v>
      </c>
      <c r="DH69" s="350"/>
      <c r="DI69" s="538"/>
      <c r="DJ69" s="351"/>
      <c r="DK69" s="345"/>
      <c r="DL69" s="345"/>
      <c r="DM69" s="345"/>
      <c r="DN69" s="345"/>
      <c r="DO69" s="345"/>
      <c r="DP69" s="345"/>
      <c r="DQ69" s="895"/>
      <c r="DR69" s="351"/>
      <c r="DS69" s="1605"/>
      <c r="DT69" s="1605"/>
      <c r="DU69" s="1594"/>
      <c r="DV69" s="1594"/>
      <c r="DW69" s="1594"/>
      <c r="DX69" s="1594"/>
      <c r="DY69" s="1594"/>
      <c r="DZ69" s="1594"/>
      <c r="EA69" s="1594"/>
      <c r="EB69" s="350"/>
      <c r="EC69" s="538"/>
      <c r="ED69" s="333"/>
      <c r="EE69" s="1605"/>
      <c r="EF69" s="1605"/>
      <c r="EG69" s="1594">
        <f>IF(YEAR('3 pr-2'!BP69)=2017,ED69,0)</f>
        <v>0</v>
      </c>
      <c r="EH69" s="1594">
        <f>IF(YEAR('3 pr-2'!BP69)=2018,ED69,0)</f>
        <v>0</v>
      </c>
      <c r="EI69" s="1594">
        <f>IF(YEAR('3 pr-2'!BP69)=2019,ED69,0)</f>
        <v>0</v>
      </c>
      <c r="EJ69" s="1594">
        <f>IF(YEAR('3 pr-2'!BP69)=2020,ED69,0)</f>
        <v>0</v>
      </c>
      <c r="EK69" s="1594">
        <f>IF(YEAR('3 pr-2'!BP69)=2021,ED69,0)</f>
        <v>0</v>
      </c>
      <c r="EL69" s="1594">
        <f>IF(YEAR('3 pr-2'!BP69)=2022,ED69,0)</f>
        <v>0</v>
      </c>
      <c r="EM69" s="1594">
        <f>IF(YEAR('3 pr-2'!BP69)=2023,ED69,0)</f>
        <v>0</v>
      </c>
    </row>
    <row r="70" spans="1:143" ht="64.5" thickTop="1" thickBot="1" x14ac:dyDescent="0.3">
      <c r="A70" s="345" t="str">
        <f>CONCATENATE('3 pr-2'!A70)</f>
        <v>1.1.1.9.3</v>
      </c>
      <c r="B70" s="345" t="str">
        <f>CONCATENATE('3 pr-2'!B70)</f>
        <v>R01-3302-440200-1193</v>
      </c>
      <c r="C70" s="970" t="str">
        <f>CONCATENATE('ketv. 2'!B69)</f>
        <v>05.4.1-CPVA-R-302-11-0001</v>
      </c>
      <c r="D70" s="125" t="str">
        <f>CONCATENATE('3 pr-2'!D70)</f>
        <v>Motiejaus  Gustaičio  memorialinio  namo  kompleksinis sutvarkymas</v>
      </c>
      <c r="E70" s="312" t="str">
        <f>CONCATENATE('3 pr-2'!E70)</f>
        <v>Lazdijų rajono savivaldybės administracija</v>
      </c>
      <c r="F70" s="312" t="str">
        <f>CONCATENATE('3 pr-2'!F70)</f>
        <v>Lietuvos Respublikos kultūros ministerija</v>
      </c>
      <c r="G70" s="312" t="str">
        <f>CONCATENATE('3 pr-2'!G70)</f>
        <v>Lazdijų r. sav.</v>
      </c>
      <c r="H70" s="345" t="str">
        <f>CONCATENATE('3 pr-2'!H70)</f>
        <v>05.4.1-CPVA-R-302</v>
      </c>
      <c r="I70" s="345" t="str">
        <f>CONCATENATE('3 pr-2'!I70)</f>
        <v>R</v>
      </c>
      <c r="J70" s="345" t="str">
        <f>CONCATENATE('3 pr-2'!J70)</f>
        <v>ITI</v>
      </c>
      <c r="K70" s="345" t="str">
        <f>CONCATENATE('3 pr-2'!K70)</f>
        <v>-</v>
      </c>
      <c r="L70" s="345" t="s">
        <v>492</v>
      </c>
      <c r="M70" s="537" t="s">
        <v>494</v>
      </c>
      <c r="N70" s="345"/>
      <c r="O70" s="345"/>
      <c r="P70" s="345"/>
      <c r="Q70" s="345"/>
      <c r="R70" s="345"/>
      <c r="S70" s="345"/>
      <c r="T70" s="345"/>
      <c r="U70" s="893">
        <f t="shared" si="299"/>
        <v>0</v>
      </c>
      <c r="V70" s="345">
        <v>1</v>
      </c>
      <c r="W70" s="1578">
        <v>1</v>
      </c>
      <c r="X70" s="1579">
        <f t="shared" si="326"/>
        <v>0</v>
      </c>
      <c r="Y70" s="1579">
        <f>IF(YEAR('3 pr-2'!$AK70)=2017,$V70,0)</f>
        <v>0</v>
      </c>
      <c r="Z70" s="1579">
        <f>IF(YEAR('3 pr-2'!$AK70)=2018,$V70,0)</f>
        <v>0</v>
      </c>
      <c r="AA70" s="1579">
        <f>IF(YEAR('3 pr-2'!$AK70)=2019,$V70,0)</f>
        <v>1</v>
      </c>
      <c r="AB70" s="1579">
        <f>IF(YEAR('3 pr-2'!$AK70)=2020,$V70,0)</f>
        <v>0</v>
      </c>
      <c r="AC70" s="1579">
        <f>IF(YEAR('3 pr-2'!$AK70)=2021,$V70,0)</f>
        <v>0</v>
      </c>
      <c r="AD70" s="1579">
        <f>IF(YEAR('3 pr-2'!$AK70)=2022,$V70,0)</f>
        <v>0</v>
      </c>
      <c r="AE70" s="1579">
        <f>IF(YEAR('3 pr-2'!$AK70)=2023,$V70,0)</f>
        <v>0</v>
      </c>
      <c r="AF70" s="350" t="s">
        <v>1402</v>
      </c>
      <c r="AG70" s="778" t="s">
        <v>1403</v>
      </c>
      <c r="AH70" s="345"/>
      <c r="AI70" s="345"/>
      <c r="AJ70" s="345"/>
      <c r="AK70" s="345"/>
      <c r="AL70" s="345"/>
      <c r="AM70" s="345"/>
      <c r="AN70" s="345"/>
      <c r="AO70" s="895"/>
      <c r="AP70" s="345">
        <v>2500</v>
      </c>
      <c r="AQ70" s="1597">
        <v>2500</v>
      </c>
      <c r="AR70" s="1579">
        <f t="shared" si="327"/>
        <v>0</v>
      </c>
      <c r="AS70" s="1579">
        <f>IF(YEAR('3 pr-2'!$AK70)=2017,$AP70,0)</f>
        <v>0</v>
      </c>
      <c r="AT70" s="1579">
        <f>IF(YEAR('3 pr-2'!$AK70)=2018,$AP70,0)</f>
        <v>0</v>
      </c>
      <c r="AU70" s="1579">
        <f>IF(YEAR('3 pr-2'!$AK70)=2019,$AP70,0)</f>
        <v>2500</v>
      </c>
      <c r="AV70" s="1579">
        <f>IF(YEAR('3 pr-2'!$AK70)=2020,$AP70,0)</f>
        <v>0</v>
      </c>
      <c r="AW70" s="1579">
        <f>IF(YEAR('3 pr-2'!$AK70)=2021,$AP70,0)</f>
        <v>0</v>
      </c>
      <c r="AX70" s="1579">
        <f>IF(YEAR('3 pr-2'!$AK70)=2022,$AP70,0)</f>
        <v>0</v>
      </c>
      <c r="AY70" s="1579">
        <f>IF(YEAR('3 pr-2'!$AK70)=2023,$AP70,0)</f>
        <v>0</v>
      </c>
      <c r="AZ70" s="345"/>
      <c r="BA70" s="536"/>
      <c r="BB70" s="345"/>
      <c r="BC70" s="345"/>
      <c r="BD70" s="345"/>
      <c r="BE70" s="345"/>
      <c r="BF70" s="345"/>
      <c r="BG70" s="345"/>
      <c r="BH70" s="345"/>
      <c r="BI70" s="895">
        <f t="shared" si="161"/>
        <v>0</v>
      </c>
      <c r="BJ70" s="345"/>
      <c r="BK70" s="1597"/>
      <c r="BL70" s="1579"/>
      <c r="BM70" s="1579">
        <f>IF(YEAR('3 pr-2'!AK70)=2017,BJ70,0)</f>
        <v>0</v>
      </c>
      <c r="BN70" s="1579">
        <f>IF(YEAR('3 pr-2'!AK70)=2018,BJ70,0)</f>
        <v>0</v>
      </c>
      <c r="BO70" s="1579">
        <f>IF(YEAR('3 pr-2'!AK70)=2019,BJ70,0)</f>
        <v>0</v>
      </c>
      <c r="BP70" s="1579">
        <f>IF(YEAR('3 pr-2'!AK70)=2020,BJ70,0)</f>
        <v>0</v>
      </c>
      <c r="BQ70" s="1579">
        <f>IF(YEAR('3 pr-2'!AK70)=2021,BJ70,0)</f>
        <v>0</v>
      </c>
      <c r="BR70" s="1579">
        <f>IF(YEAR('3 pr-2'!AK70)=2022,BJ70,0)</f>
        <v>0</v>
      </c>
      <c r="BS70" s="1579">
        <f>IF(YEAR('3 pr-2'!AK70)=2023,BJ70,0)</f>
        <v>0</v>
      </c>
      <c r="BT70" s="350"/>
      <c r="BU70" s="537"/>
      <c r="BV70" s="345"/>
      <c r="BW70" s="345"/>
      <c r="BX70" s="345"/>
      <c r="BY70" s="345"/>
      <c r="BZ70" s="345"/>
      <c r="CA70" s="345"/>
      <c r="CB70" s="345"/>
      <c r="CC70" s="895">
        <f t="shared" si="136"/>
        <v>0</v>
      </c>
      <c r="CD70" s="345"/>
      <c r="CE70" s="1579"/>
      <c r="CF70" s="1579"/>
      <c r="CG70" s="1579">
        <f>IF(YEAR('3 pr-2'!$AK70)=2017,$CD70,0)</f>
        <v>0</v>
      </c>
      <c r="CH70" s="1579">
        <f>IF(YEAR('3 pr-2'!$AK70)=2018,$CD70,0)</f>
        <v>0</v>
      </c>
      <c r="CI70" s="1579">
        <f>IF(YEAR('3 pr-2'!$AK70)=2019,$CD70,0)</f>
        <v>0</v>
      </c>
      <c r="CJ70" s="1579">
        <f>IF(YEAR('3 pr-2'!$AK70)=2020,$CD70,0)</f>
        <v>0</v>
      </c>
      <c r="CK70" s="1579">
        <f>IF(YEAR('3 pr-2'!$AK70)=2021,$CD70,0)</f>
        <v>0</v>
      </c>
      <c r="CL70" s="1579">
        <f>IF(YEAR('3 pr-2'!$AK70)=2022,$CD70,0)</f>
        <v>0</v>
      </c>
      <c r="CM70" s="1579">
        <f>IF(YEAR('3 pr-2'!$AK70)=2023,$CD70,0)</f>
        <v>0</v>
      </c>
      <c r="CN70" s="350"/>
      <c r="CO70" s="538"/>
      <c r="CP70" s="351"/>
      <c r="CQ70" s="345"/>
      <c r="CR70" s="345"/>
      <c r="CS70" s="345"/>
      <c r="CT70" s="345"/>
      <c r="CU70" s="345"/>
      <c r="CV70" s="345"/>
      <c r="CW70" s="895">
        <f t="shared" si="137"/>
        <v>0</v>
      </c>
      <c r="CX70" s="351"/>
      <c r="CY70" s="1605"/>
      <c r="CZ70" s="1605"/>
      <c r="DA70" s="1594">
        <f>IF(YEAR('3 pr-2'!AK70)=2017,CX70,0)</f>
        <v>0</v>
      </c>
      <c r="DB70" s="1594">
        <f>IF(YEAR('3 pr-2'!AK70)=2018,CX70,0)</f>
        <v>0</v>
      </c>
      <c r="DC70" s="1594">
        <f>IF(YEAR('3 pr-2'!AK70)=2019,CX70,0)</f>
        <v>0</v>
      </c>
      <c r="DD70" s="1594">
        <f>IF(YEAR('3 pr-2'!AK70)=2020,CX70,0)</f>
        <v>0</v>
      </c>
      <c r="DE70" s="1594">
        <f>IF(YEAR('3 pr-2'!AK70)=2021,CX70,0)</f>
        <v>0</v>
      </c>
      <c r="DF70" s="1594">
        <f>IF(YEAR('3 pr-2'!AK70)=2022,CX70,0)</f>
        <v>0</v>
      </c>
      <c r="DG70" s="1594">
        <f>IF(YEAR('3 pr-2'!AK70)=2023,CX70,0)</f>
        <v>0</v>
      </c>
      <c r="DH70" s="350"/>
      <c r="DI70" s="538"/>
      <c r="DJ70" s="351"/>
      <c r="DK70" s="345"/>
      <c r="DL70" s="345"/>
      <c r="DM70" s="345"/>
      <c r="DN70" s="345"/>
      <c r="DO70" s="345"/>
      <c r="DP70" s="345"/>
      <c r="DQ70" s="895"/>
      <c r="DR70" s="351"/>
      <c r="DS70" s="1605"/>
      <c r="DT70" s="1605"/>
      <c r="DU70" s="1594"/>
      <c r="DV70" s="1594"/>
      <c r="DW70" s="1594"/>
      <c r="DX70" s="1594"/>
      <c r="DY70" s="1594"/>
      <c r="DZ70" s="1594"/>
      <c r="EA70" s="1594"/>
      <c r="EB70" s="350"/>
      <c r="EC70" s="538"/>
      <c r="ED70" s="333"/>
      <c r="EE70" s="1605"/>
      <c r="EF70" s="1605"/>
      <c r="EG70" s="1594">
        <f>IF(YEAR('3 pr-2'!BP70)=2017,ED70,0)</f>
        <v>0</v>
      </c>
      <c r="EH70" s="1594">
        <f>IF(YEAR('3 pr-2'!BP70)=2018,ED70,0)</f>
        <v>0</v>
      </c>
      <c r="EI70" s="1594">
        <f>IF(YEAR('3 pr-2'!BP70)=2019,ED70,0)</f>
        <v>0</v>
      </c>
      <c r="EJ70" s="1594">
        <f>IF(YEAR('3 pr-2'!BP70)=2020,ED70,0)</f>
        <v>0</v>
      </c>
      <c r="EK70" s="1594">
        <f>IF(YEAR('3 pr-2'!BP70)=2021,ED70,0)</f>
        <v>0</v>
      </c>
      <c r="EL70" s="1594">
        <f>IF(YEAR('3 pr-2'!BP70)=2022,ED70,0)</f>
        <v>0</v>
      </c>
      <c r="EM70" s="1594">
        <f>IF(YEAR('3 pr-2'!BP70)=2023,ED70,0)</f>
        <v>0</v>
      </c>
    </row>
    <row r="71" spans="1:143" ht="49.5" thickTop="1" thickBot="1" x14ac:dyDescent="0.3">
      <c r="A71" s="345" t="str">
        <f>CONCATENATE('3 pr-2'!A71)</f>
        <v>1.1.1.9.4</v>
      </c>
      <c r="B71" s="345" t="str">
        <f>CONCATENATE('3 pr-2'!B71)</f>
        <v>R01-3302-440000-1194</v>
      </c>
      <c r="C71" s="970" t="str">
        <f>CONCATENATE('ketv. 2'!B70)</f>
        <v>05.4.1-CPVA-R-302-11-0004</v>
      </c>
      <c r="D71" s="125" t="str">
        <f>CONCATENATE('3 pr-2'!D71)</f>
        <v>Kurnėnų Lauryno Radziukyno mokyklos pritaikymas kultūrinėms ir turistinėms reikmėms</v>
      </c>
      <c r="E71" s="312" t="str">
        <f>CONCATENATE('3 pr-2'!E71)</f>
        <v>Alytaus rajono savivaldybės administracija</v>
      </c>
      <c r="F71" s="312" t="str">
        <f>CONCATENATE('3 pr-2'!F71)</f>
        <v>Lietuvos Respublikos kultūros ministerija</v>
      </c>
      <c r="G71" s="312" t="str">
        <f>CONCATENATE('3 pr-2'!G71)</f>
        <v>Alytaus r. sav.</v>
      </c>
      <c r="H71" s="345" t="str">
        <f>CONCATENATE('3 pr-2'!H71)</f>
        <v>05.4.1-CPVA-R-302</v>
      </c>
      <c r="I71" s="345" t="str">
        <f>CONCATENATE('3 pr-2'!I71)</f>
        <v>R</v>
      </c>
      <c r="J71" s="345" t="str">
        <f>CONCATENATE('3 pr-2'!J71)</f>
        <v>-</v>
      </c>
      <c r="K71" s="345" t="str">
        <f>CONCATENATE('3 pr-2'!K71)</f>
        <v>-</v>
      </c>
      <c r="L71" s="345" t="s">
        <v>492</v>
      </c>
      <c r="M71" s="537" t="s">
        <v>494</v>
      </c>
      <c r="N71" s="345"/>
      <c r="O71" s="345"/>
      <c r="P71" s="345"/>
      <c r="Q71" s="345"/>
      <c r="R71" s="345"/>
      <c r="S71" s="345"/>
      <c r="T71" s="345"/>
      <c r="U71" s="893">
        <f t="shared" si="299"/>
        <v>0</v>
      </c>
      <c r="V71" s="345">
        <v>1</v>
      </c>
      <c r="W71" s="1578" t="str">
        <f ca="1">IF('ketv. 6 '!L70&gt;0,"taip","nėra")</f>
        <v>nėra</v>
      </c>
      <c r="X71" s="1579"/>
      <c r="Y71" s="1579">
        <f>IF(YEAR('3 pr-2'!$AK71)=2017,$V71,0)</f>
        <v>0</v>
      </c>
      <c r="Z71" s="1579">
        <f>IF(YEAR('3 pr-2'!$AK71)=2018,$V71,0)</f>
        <v>0</v>
      </c>
      <c r="AA71" s="1579">
        <f>IF(YEAR('3 pr-2'!$AK71)=2019,$V71,0)</f>
        <v>0</v>
      </c>
      <c r="AB71" s="1579">
        <f>IF(YEAR('3 pr-2'!$AK71)=2020,$V71,0)</f>
        <v>1</v>
      </c>
      <c r="AC71" s="1579">
        <f>IF(YEAR('3 pr-2'!$AK71)=2021,$V71,0)</f>
        <v>0</v>
      </c>
      <c r="AD71" s="1579">
        <f>IF(YEAR('3 pr-2'!$AK71)=2022,$V71,0)</f>
        <v>0</v>
      </c>
      <c r="AE71" s="1579">
        <f>IF(YEAR('3 pr-2'!$AK71)=2023,$V71,0)</f>
        <v>0</v>
      </c>
      <c r="AF71" s="350"/>
      <c r="AG71" s="537"/>
      <c r="AH71" s="345"/>
      <c r="AI71" s="345"/>
      <c r="AJ71" s="345"/>
      <c r="AK71" s="345"/>
      <c r="AL71" s="345"/>
      <c r="AM71" s="345"/>
      <c r="AN71" s="345"/>
      <c r="AO71" s="895">
        <f t="shared" si="134"/>
        <v>0</v>
      </c>
      <c r="AP71" s="345"/>
      <c r="AQ71" s="1597"/>
      <c r="AR71" s="1579"/>
      <c r="AS71" s="1579">
        <f>IF(YEAR('3 pr-2'!$AK71)=2017,$AP71,0)</f>
        <v>0</v>
      </c>
      <c r="AT71" s="1579">
        <f>IF(YEAR('3 pr-2'!$AK71)=2018,$AP71,0)</f>
        <v>0</v>
      </c>
      <c r="AU71" s="1579">
        <f>IF(YEAR('3 pr-2'!$AK71)=2019,$AP71,0)</f>
        <v>0</v>
      </c>
      <c r="AV71" s="1579">
        <f>IF(YEAR('3 pr-2'!$AK71)=2020,$AP71,0)</f>
        <v>0</v>
      </c>
      <c r="AW71" s="1579">
        <f>IF(YEAR('3 pr-2'!$AK71)=2021,$AP71,0)</f>
        <v>0</v>
      </c>
      <c r="AX71" s="1579">
        <f>IF(YEAR('3 pr-2'!$AK71)=2022,$AP71,0)</f>
        <v>0</v>
      </c>
      <c r="AY71" s="1579">
        <f>IF(YEAR('3 pr-2'!$AK71)=2023,$AP71,0)</f>
        <v>0</v>
      </c>
      <c r="AZ71" s="345"/>
      <c r="BA71" s="536"/>
      <c r="BB71" s="345"/>
      <c r="BC71" s="345"/>
      <c r="BD71" s="345"/>
      <c r="BE71" s="345"/>
      <c r="BF71" s="345"/>
      <c r="BG71" s="345"/>
      <c r="BH71" s="345"/>
      <c r="BI71" s="895">
        <f t="shared" si="161"/>
        <v>0</v>
      </c>
      <c r="BJ71" s="345"/>
      <c r="BK71" s="1597"/>
      <c r="BL71" s="1579"/>
      <c r="BM71" s="1579">
        <f>IF(YEAR('3 pr-2'!AK71)=2017,BJ71,0)</f>
        <v>0</v>
      </c>
      <c r="BN71" s="1579">
        <f>IF(YEAR('3 pr-2'!AK71)=2018,BJ71,0)</f>
        <v>0</v>
      </c>
      <c r="BO71" s="1579">
        <f>IF(YEAR('3 pr-2'!AK71)=2019,BJ71,0)</f>
        <v>0</v>
      </c>
      <c r="BP71" s="1579">
        <f>IF(YEAR('3 pr-2'!AK71)=2020,BJ71,0)</f>
        <v>0</v>
      </c>
      <c r="BQ71" s="1579">
        <f>IF(YEAR('3 pr-2'!AK71)=2021,BJ71,0)</f>
        <v>0</v>
      </c>
      <c r="BR71" s="1579">
        <f>IF(YEAR('3 pr-2'!AK71)=2022,BJ71,0)</f>
        <v>0</v>
      </c>
      <c r="BS71" s="1579">
        <f>IF(YEAR('3 pr-2'!AK71)=2023,BJ71,0)</f>
        <v>0</v>
      </c>
      <c r="BT71" s="350"/>
      <c r="BU71" s="537"/>
      <c r="BV71" s="345"/>
      <c r="BW71" s="345"/>
      <c r="BX71" s="345"/>
      <c r="BY71" s="345"/>
      <c r="BZ71" s="345"/>
      <c r="CA71" s="345"/>
      <c r="CB71" s="345"/>
      <c r="CC71" s="895">
        <f t="shared" si="136"/>
        <v>0</v>
      </c>
      <c r="CD71" s="345"/>
      <c r="CE71" s="1579"/>
      <c r="CF71" s="1579"/>
      <c r="CG71" s="1579">
        <f>IF(YEAR('3 pr-2'!$AK71)=2017,$CD71,0)</f>
        <v>0</v>
      </c>
      <c r="CH71" s="1579">
        <f>IF(YEAR('3 pr-2'!$AK71)=2018,$CD71,0)</f>
        <v>0</v>
      </c>
      <c r="CI71" s="1579">
        <f>IF(YEAR('3 pr-2'!$AK71)=2019,$CD71,0)</f>
        <v>0</v>
      </c>
      <c r="CJ71" s="1579">
        <f>IF(YEAR('3 pr-2'!$AK71)=2020,$CD71,0)</f>
        <v>0</v>
      </c>
      <c r="CK71" s="1579">
        <f>IF(YEAR('3 pr-2'!$AK71)=2021,$CD71,0)</f>
        <v>0</v>
      </c>
      <c r="CL71" s="1579">
        <f>IF(YEAR('3 pr-2'!$AK71)=2022,$CD71,0)</f>
        <v>0</v>
      </c>
      <c r="CM71" s="1579">
        <f>IF(YEAR('3 pr-2'!$AK71)=2023,$CD71,0)</f>
        <v>0</v>
      </c>
      <c r="CN71" s="350"/>
      <c r="CO71" s="538"/>
      <c r="CP71" s="351"/>
      <c r="CQ71" s="345"/>
      <c r="CR71" s="345"/>
      <c r="CS71" s="345"/>
      <c r="CT71" s="345"/>
      <c r="CU71" s="345"/>
      <c r="CV71" s="345"/>
      <c r="CW71" s="895">
        <f t="shared" si="137"/>
        <v>0</v>
      </c>
      <c r="CX71" s="351"/>
      <c r="CY71" s="1605"/>
      <c r="CZ71" s="1605"/>
      <c r="DA71" s="1594">
        <f>IF(YEAR('3 pr-2'!AK71)=2017,CX71,0)</f>
        <v>0</v>
      </c>
      <c r="DB71" s="1594">
        <f>IF(YEAR('3 pr-2'!AK71)=2018,CX71,0)</f>
        <v>0</v>
      </c>
      <c r="DC71" s="1594">
        <f>IF(YEAR('3 pr-2'!AK71)=2019,CX71,0)</f>
        <v>0</v>
      </c>
      <c r="DD71" s="1594">
        <f>IF(YEAR('3 pr-2'!AK71)=2020,CX71,0)</f>
        <v>0</v>
      </c>
      <c r="DE71" s="1594">
        <f>IF(YEAR('3 pr-2'!AK71)=2021,CX71,0)</f>
        <v>0</v>
      </c>
      <c r="DF71" s="1594">
        <f>IF(YEAR('3 pr-2'!AK71)=2022,CX71,0)</f>
        <v>0</v>
      </c>
      <c r="DG71" s="1594">
        <f>IF(YEAR('3 pr-2'!AK71)=2023,CX71,0)</f>
        <v>0</v>
      </c>
      <c r="DH71" s="350"/>
      <c r="DI71" s="538"/>
      <c r="DJ71" s="351"/>
      <c r="DK71" s="345"/>
      <c r="DL71" s="345"/>
      <c r="DM71" s="345"/>
      <c r="DN71" s="345"/>
      <c r="DO71" s="345"/>
      <c r="DP71" s="345"/>
      <c r="DQ71" s="895"/>
      <c r="DR71" s="351"/>
      <c r="DS71" s="1605"/>
      <c r="DT71" s="1605"/>
      <c r="DU71" s="1594"/>
      <c r="DV71" s="1594"/>
      <c r="DW71" s="1594"/>
      <c r="DX71" s="1594"/>
      <c r="DY71" s="1594"/>
      <c r="DZ71" s="1594"/>
      <c r="EA71" s="1594"/>
      <c r="EB71" s="350"/>
      <c r="EC71" s="538"/>
      <c r="ED71" s="333"/>
      <c r="EE71" s="1605"/>
      <c r="EF71" s="1605"/>
      <c r="EG71" s="1594">
        <f>IF(YEAR('3 pr-2'!BP71)=2017,ED71,0)</f>
        <v>0</v>
      </c>
      <c r="EH71" s="1594">
        <f>IF(YEAR('3 pr-2'!BP71)=2018,ED71,0)</f>
        <v>0</v>
      </c>
      <c r="EI71" s="1594">
        <f>IF(YEAR('3 pr-2'!BP71)=2019,ED71,0)</f>
        <v>0</v>
      </c>
      <c r="EJ71" s="1594">
        <f>IF(YEAR('3 pr-2'!BP71)=2020,ED71,0)</f>
        <v>0</v>
      </c>
      <c r="EK71" s="1594">
        <f>IF(YEAR('3 pr-2'!BP71)=2021,ED71,0)</f>
        <v>0</v>
      </c>
      <c r="EL71" s="1594">
        <f>IF(YEAR('3 pr-2'!BP71)=2022,ED71,0)</f>
        <v>0</v>
      </c>
      <c r="EM71" s="1594">
        <f>IF(YEAR('3 pr-2'!BP71)=2023,ED71,0)</f>
        <v>0</v>
      </c>
    </row>
    <row r="72" spans="1:143" ht="64.5" thickTop="1" thickBot="1" x14ac:dyDescent="0.3">
      <c r="A72" s="345" t="str">
        <f>CONCATENATE('3 pr-2'!A72)</f>
        <v>1.1.1.9.5</v>
      </c>
      <c r="B72" s="345" t="str">
        <f>CONCATENATE('3 pr-2'!B72)</f>
        <v>R01-3302-440000-1195</v>
      </c>
      <c r="C72" s="970" t="str">
        <f>CONCATENATE('ketv. 2'!B71)</f>
        <v>05.4.1-CPVA-R-302-11-0005</v>
      </c>
      <c r="D72" s="125" t="str">
        <f>CONCATENATE('3 pr-2'!D72)</f>
        <v>Vinco Krėvės-Mickevičiaus memorialinio muziejaus atnaujinimas</v>
      </c>
      <c r="E72" s="312" t="str">
        <f>CONCATENATE('3 pr-2'!E72)</f>
        <v>Varėnos rajono savivaldybės administracija</v>
      </c>
      <c r="F72" s="312" t="str">
        <f>CONCATENATE('3 pr-2'!F72)</f>
        <v>Lietuvos Respublikos kultūros ministerija</v>
      </c>
      <c r="G72" s="312" t="str">
        <f>CONCATENATE('3 pr-2'!G72)</f>
        <v>Varėnos r. sav.</v>
      </c>
      <c r="H72" s="345" t="str">
        <f>CONCATENATE('3 pr-2'!H72)</f>
        <v>05.4.1-CPVA-R-302</v>
      </c>
      <c r="I72" s="345" t="str">
        <f>CONCATENATE('3 pr-2'!I72)</f>
        <v>R</v>
      </c>
      <c r="J72" s="345" t="str">
        <f>CONCATENATE('3 pr-2'!J72)</f>
        <v>-</v>
      </c>
      <c r="K72" s="345" t="str">
        <f>CONCATENATE('3 pr-2'!K72)</f>
        <v>-</v>
      </c>
      <c r="L72" s="345" t="s">
        <v>492</v>
      </c>
      <c r="M72" s="537" t="s">
        <v>494</v>
      </c>
      <c r="N72" s="345"/>
      <c r="O72" s="345"/>
      <c r="P72" s="345"/>
      <c r="Q72" s="345"/>
      <c r="R72" s="345"/>
      <c r="S72" s="345"/>
      <c r="T72" s="345"/>
      <c r="U72" s="893">
        <f t="shared" si="299"/>
        <v>0</v>
      </c>
      <c r="V72" s="345">
        <v>1</v>
      </c>
      <c r="W72" s="1578">
        <v>1</v>
      </c>
      <c r="X72" s="1579">
        <f t="shared" si="326"/>
        <v>0</v>
      </c>
      <c r="Y72" s="1579">
        <f>IF(YEAR('3 pr-2'!$AK72)=2017,$V72,0)</f>
        <v>0</v>
      </c>
      <c r="Z72" s="1579">
        <f>IF(YEAR('3 pr-2'!$AK72)=2018,$V72,0)</f>
        <v>0</v>
      </c>
      <c r="AA72" s="1579">
        <f>IF(YEAR('3 pr-2'!$AK72)=2019,$V72,0)</f>
        <v>0</v>
      </c>
      <c r="AB72" s="1579">
        <f>IF(YEAR('3 pr-2'!$AK72)=2020,$V72,0)</f>
        <v>1</v>
      </c>
      <c r="AC72" s="1579">
        <f>IF(YEAR('3 pr-2'!$AK72)=2021,$V72,0)</f>
        <v>0</v>
      </c>
      <c r="AD72" s="1579">
        <f>IF(YEAR('3 pr-2'!$AK72)=2022,$V72,0)</f>
        <v>0</v>
      </c>
      <c r="AE72" s="1579">
        <f>IF(YEAR('3 pr-2'!$AK72)=2023,$V72,0)</f>
        <v>0</v>
      </c>
      <c r="AF72" s="350" t="s">
        <v>1402</v>
      </c>
      <c r="AG72" s="778" t="s">
        <v>1403</v>
      </c>
      <c r="AH72" s="345"/>
      <c r="AI72" s="345"/>
      <c r="AJ72" s="345"/>
      <c r="AK72" s="345"/>
      <c r="AL72" s="345"/>
      <c r="AM72" s="345"/>
      <c r="AN72" s="345"/>
      <c r="AO72" s="895"/>
      <c r="AP72" s="345">
        <v>822</v>
      </c>
      <c r="AQ72" s="1597">
        <v>822</v>
      </c>
      <c r="AR72" s="1579">
        <f t="shared" si="327"/>
        <v>0</v>
      </c>
      <c r="AS72" s="1579">
        <f>IF(YEAR('3 pr-2'!$AK72)=2017,$AP72,0)</f>
        <v>0</v>
      </c>
      <c r="AT72" s="1579">
        <f>IF(YEAR('3 pr-2'!$AK72)=2018,$AP72,0)</f>
        <v>0</v>
      </c>
      <c r="AU72" s="1579">
        <f>IF(YEAR('3 pr-2'!$AK72)=2019,$AP72,0)</f>
        <v>0</v>
      </c>
      <c r="AV72" s="1579">
        <f>IF(YEAR('3 pr-2'!$AK72)=2020,$AP72,0)</f>
        <v>822</v>
      </c>
      <c r="AW72" s="1579">
        <f>IF(YEAR('3 pr-2'!$AK72)=2021,$AP72,0)</f>
        <v>0</v>
      </c>
      <c r="AX72" s="1579">
        <f>IF(YEAR('3 pr-2'!$AK72)=2022,$AP72,0)</f>
        <v>0</v>
      </c>
      <c r="AY72" s="1579">
        <f>IF(YEAR('3 pr-2'!$AK72)=2023,$AP72,0)</f>
        <v>0</v>
      </c>
      <c r="AZ72" s="345"/>
      <c r="BA72" s="536"/>
      <c r="BB72" s="345"/>
      <c r="BC72" s="345"/>
      <c r="BD72" s="345"/>
      <c r="BE72" s="345"/>
      <c r="BF72" s="345"/>
      <c r="BG72" s="345"/>
      <c r="BH72" s="345"/>
      <c r="BI72" s="895">
        <f t="shared" si="161"/>
        <v>0</v>
      </c>
      <c r="BJ72" s="345"/>
      <c r="BK72" s="1597"/>
      <c r="BL72" s="1579"/>
      <c r="BM72" s="1579">
        <f>IF(YEAR('3 pr-2'!AK72)=2017,BJ72,0)</f>
        <v>0</v>
      </c>
      <c r="BN72" s="1579">
        <f>IF(YEAR('3 pr-2'!AK72)=2018,BJ72,0)</f>
        <v>0</v>
      </c>
      <c r="BO72" s="1579">
        <f>IF(YEAR('3 pr-2'!AK72)=2019,BJ72,0)</f>
        <v>0</v>
      </c>
      <c r="BP72" s="1579">
        <f>IF(YEAR('3 pr-2'!AK72)=2020,BJ72,0)</f>
        <v>0</v>
      </c>
      <c r="BQ72" s="1579">
        <f>IF(YEAR('3 pr-2'!AK72)=2021,BJ72,0)</f>
        <v>0</v>
      </c>
      <c r="BR72" s="1579">
        <f>IF(YEAR('3 pr-2'!AK72)=2022,BJ72,0)</f>
        <v>0</v>
      </c>
      <c r="BS72" s="1579">
        <f>IF(YEAR('3 pr-2'!AK72)=2023,BJ72,0)</f>
        <v>0</v>
      </c>
      <c r="BT72" s="350"/>
      <c r="BU72" s="537"/>
      <c r="BV72" s="345"/>
      <c r="BW72" s="345"/>
      <c r="BX72" s="345"/>
      <c r="BY72" s="345"/>
      <c r="BZ72" s="345"/>
      <c r="CA72" s="345"/>
      <c r="CB72" s="345"/>
      <c r="CC72" s="895">
        <f t="shared" si="136"/>
        <v>0</v>
      </c>
      <c r="CD72" s="345"/>
      <c r="CE72" s="1579"/>
      <c r="CF72" s="1579"/>
      <c r="CG72" s="1579">
        <f>IF(YEAR('3 pr-2'!$AK72)=2017,$CD72,0)</f>
        <v>0</v>
      </c>
      <c r="CH72" s="1579">
        <f>IF(YEAR('3 pr-2'!$AK72)=2018,$CD72,0)</f>
        <v>0</v>
      </c>
      <c r="CI72" s="1579">
        <f>IF(YEAR('3 pr-2'!$AK72)=2019,$CD72,0)</f>
        <v>0</v>
      </c>
      <c r="CJ72" s="1579">
        <f>IF(YEAR('3 pr-2'!$AK72)=2020,$CD72,0)</f>
        <v>0</v>
      </c>
      <c r="CK72" s="1579">
        <f>IF(YEAR('3 pr-2'!$AK72)=2021,$CD72,0)</f>
        <v>0</v>
      </c>
      <c r="CL72" s="1579">
        <f>IF(YEAR('3 pr-2'!$AK72)=2022,$CD72,0)</f>
        <v>0</v>
      </c>
      <c r="CM72" s="1579">
        <f>IF(YEAR('3 pr-2'!$AK72)=2023,$CD72,0)</f>
        <v>0</v>
      </c>
      <c r="CN72" s="350"/>
      <c r="CO72" s="538"/>
      <c r="CP72" s="351"/>
      <c r="CQ72" s="345"/>
      <c r="CR72" s="345"/>
      <c r="CS72" s="345"/>
      <c r="CT72" s="345"/>
      <c r="CU72" s="345"/>
      <c r="CV72" s="345"/>
      <c r="CW72" s="895">
        <f t="shared" si="137"/>
        <v>0</v>
      </c>
      <c r="CX72" s="351"/>
      <c r="CY72" s="1605"/>
      <c r="CZ72" s="1605"/>
      <c r="DA72" s="1594">
        <f>IF(YEAR('3 pr-2'!AK72)=2017,CX72,0)</f>
        <v>0</v>
      </c>
      <c r="DB72" s="1594">
        <f>IF(YEAR('3 pr-2'!AK72)=2018,CX72,0)</f>
        <v>0</v>
      </c>
      <c r="DC72" s="1594">
        <f>IF(YEAR('3 pr-2'!AK72)=2019,CX72,0)</f>
        <v>0</v>
      </c>
      <c r="DD72" s="1594">
        <f>IF(YEAR('3 pr-2'!AK72)=2020,CX72,0)</f>
        <v>0</v>
      </c>
      <c r="DE72" s="1594">
        <f>IF(YEAR('3 pr-2'!AK72)=2021,CX72,0)</f>
        <v>0</v>
      </c>
      <c r="DF72" s="1594">
        <f>IF(YEAR('3 pr-2'!AK72)=2022,CX72,0)</f>
        <v>0</v>
      </c>
      <c r="DG72" s="1594">
        <f>IF(YEAR('3 pr-2'!AK72)=2023,CX72,0)</f>
        <v>0</v>
      </c>
      <c r="DH72" s="350"/>
      <c r="DI72" s="538"/>
      <c r="DJ72" s="351"/>
      <c r="DK72" s="345"/>
      <c r="DL72" s="345"/>
      <c r="DM72" s="345"/>
      <c r="DN72" s="345"/>
      <c r="DO72" s="345"/>
      <c r="DP72" s="345"/>
      <c r="DQ72" s="895"/>
      <c r="DR72" s="351"/>
      <c r="DS72" s="1605"/>
      <c r="DT72" s="1605"/>
      <c r="DU72" s="1594"/>
      <c r="DV72" s="1594"/>
      <c r="DW72" s="1594"/>
      <c r="DX72" s="1594"/>
      <c r="DY72" s="1594"/>
      <c r="DZ72" s="1594"/>
      <c r="EA72" s="1594"/>
      <c r="EB72" s="350"/>
      <c r="EC72" s="538"/>
      <c r="ED72" s="333"/>
      <c r="EE72" s="1605"/>
      <c r="EF72" s="1605"/>
      <c r="EG72" s="1594">
        <f>IF(YEAR('3 pr-2'!BP72)=2017,ED72,0)</f>
        <v>0</v>
      </c>
      <c r="EH72" s="1594">
        <f>IF(YEAR('3 pr-2'!BP72)=2018,ED72,0)</f>
        <v>0</v>
      </c>
      <c r="EI72" s="1594">
        <f>IF(YEAR('3 pr-2'!BP72)=2019,ED72,0)</f>
        <v>0</v>
      </c>
      <c r="EJ72" s="1594">
        <f>IF(YEAR('3 pr-2'!BP72)=2020,ED72,0)</f>
        <v>0</v>
      </c>
      <c r="EK72" s="1594">
        <f>IF(YEAR('3 pr-2'!BP72)=2021,ED72,0)</f>
        <v>0</v>
      </c>
      <c r="EL72" s="1594">
        <f>IF(YEAR('3 pr-2'!BP72)=2022,ED72,0)</f>
        <v>0</v>
      </c>
      <c r="EM72" s="1594">
        <f>IF(YEAR('3 pr-2'!BP72)=2023,ED72,0)</f>
        <v>0</v>
      </c>
    </row>
    <row r="73" spans="1:143" ht="33" customHeight="1" thickBot="1" x14ac:dyDescent="0.3">
      <c r="A73" s="867" t="str">
        <f>CONCATENATE('3 pr-2'!A73)</f>
        <v>1.1.2.</v>
      </c>
      <c r="B73" s="1926" t="str">
        <f>CONCATENATE('3 pr-2'!B73)</f>
        <v>Uždavinys:
Pagerinti darbo jėgos judėjimo galimybes gerinant susisiekimo sistemas</v>
      </c>
      <c r="C73" s="1927"/>
      <c r="D73" s="1927"/>
      <c r="E73" s="1927"/>
      <c r="F73" s="1927"/>
      <c r="G73" s="1927"/>
      <c r="H73" s="1927"/>
      <c r="I73" s="1927"/>
      <c r="J73" s="1927"/>
      <c r="K73" s="1928"/>
      <c r="L73" s="897"/>
      <c r="M73" s="898"/>
      <c r="N73" s="897"/>
      <c r="O73" s="897"/>
      <c r="P73" s="897"/>
      <c r="Q73" s="897"/>
      <c r="R73" s="897"/>
      <c r="S73" s="897"/>
      <c r="T73" s="897"/>
      <c r="U73" s="899"/>
      <c r="V73" s="334"/>
      <c r="W73" s="1584"/>
      <c r="X73" s="1585"/>
      <c r="Y73" s="1585"/>
      <c r="Z73" s="1585"/>
      <c r="AA73" s="1585"/>
      <c r="AB73" s="1585"/>
      <c r="AC73" s="1585"/>
      <c r="AD73" s="1585"/>
      <c r="AE73" s="1585"/>
      <c r="AF73" s="897"/>
      <c r="AG73" s="898"/>
      <c r="AH73" s="897"/>
      <c r="AI73" s="897"/>
      <c r="AJ73" s="897"/>
      <c r="AK73" s="897"/>
      <c r="AL73" s="897"/>
      <c r="AM73" s="897"/>
      <c r="AN73" s="897"/>
      <c r="AO73" s="897"/>
      <c r="AP73" s="897"/>
      <c r="AQ73" s="1585"/>
      <c r="AR73" s="1585"/>
      <c r="AS73" s="1585"/>
      <c r="AT73" s="1585"/>
      <c r="AU73" s="1585"/>
      <c r="AV73" s="1585"/>
      <c r="AW73" s="1585"/>
      <c r="AX73" s="1585"/>
      <c r="AY73" s="1585"/>
      <c r="AZ73" s="897"/>
      <c r="BA73" s="898"/>
      <c r="BB73" s="897"/>
      <c r="BC73" s="897"/>
      <c r="BD73" s="897"/>
      <c r="BE73" s="897"/>
      <c r="BF73" s="897"/>
      <c r="BG73" s="897"/>
      <c r="BH73" s="897"/>
      <c r="BI73" s="897"/>
      <c r="BJ73" s="897"/>
      <c r="BK73" s="1585"/>
      <c r="BL73" s="1585"/>
      <c r="BM73" s="1585"/>
      <c r="BN73" s="1585"/>
      <c r="BO73" s="1585"/>
      <c r="BP73" s="1585"/>
      <c r="BQ73" s="1585"/>
      <c r="BR73" s="1585"/>
      <c r="BS73" s="1585"/>
      <c r="BT73" s="897"/>
      <c r="BU73" s="898"/>
      <c r="BV73" s="897"/>
      <c r="BW73" s="897"/>
      <c r="BX73" s="897"/>
      <c r="BY73" s="897"/>
      <c r="BZ73" s="897"/>
      <c r="CA73" s="897"/>
      <c r="CB73" s="897"/>
      <c r="CC73" s="897"/>
      <c r="CD73" s="897"/>
      <c r="CE73" s="1585"/>
      <c r="CF73" s="1585"/>
      <c r="CG73" s="1585"/>
      <c r="CH73" s="1585"/>
      <c r="CI73" s="1585"/>
      <c r="CJ73" s="1585"/>
      <c r="CK73" s="1585"/>
      <c r="CL73" s="1585"/>
      <c r="CM73" s="1585"/>
      <c r="CN73" s="899"/>
      <c r="CO73" s="538"/>
      <c r="CP73" s="900"/>
      <c r="CQ73" s="897"/>
      <c r="CR73" s="897"/>
      <c r="CS73" s="897"/>
      <c r="CT73" s="897"/>
      <c r="CU73" s="897"/>
      <c r="CV73" s="897"/>
      <c r="CW73" s="897"/>
      <c r="CX73" s="901"/>
      <c r="CY73" s="1606"/>
      <c r="CZ73" s="1606"/>
      <c r="DA73" s="1606"/>
      <c r="DB73" s="1604"/>
      <c r="DC73" s="1604"/>
      <c r="DD73" s="1604"/>
      <c r="DE73" s="1604"/>
      <c r="DF73" s="1604"/>
      <c r="DG73" s="1604"/>
      <c r="DH73" s="899"/>
      <c r="DI73" s="538"/>
      <c r="DJ73" s="900"/>
      <c r="DK73" s="897"/>
      <c r="DL73" s="897"/>
      <c r="DM73" s="897"/>
      <c r="DN73" s="897"/>
      <c r="DO73" s="897"/>
      <c r="DP73" s="897"/>
      <c r="DQ73" s="897"/>
      <c r="DR73" s="901"/>
      <c r="DS73" s="1606"/>
      <c r="DT73" s="1606"/>
      <c r="DU73" s="1606"/>
      <c r="DV73" s="1604"/>
      <c r="DW73" s="1604"/>
      <c r="DX73" s="1604"/>
      <c r="DY73" s="1604"/>
      <c r="DZ73" s="1604"/>
      <c r="EA73" s="1604"/>
      <c r="EB73" s="899"/>
      <c r="EC73" s="538"/>
      <c r="ED73" s="310"/>
      <c r="EE73" s="1606"/>
      <c r="EF73" s="1606"/>
      <c r="EG73" s="1606"/>
      <c r="EH73" s="1604"/>
      <c r="EI73" s="1604"/>
      <c r="EJ73" s="1604"/>
      <c r="EK73" s="1604"/>
      <c r="EL73" s="1604"/>
      <c r="EM73" s="1604"/>
    </row>
    <row r="74" spans="1:143" ht="33" customHeight="1" thickBot="1" x14ac:dyDescent="0.3">
      <c r="A74" s="824" t="str">
        <f>CONCATENATE('3 pr-2'!A74)</f>
        <v>1.1.2.1</v>
      </c>
      <c r="B74" s="1926" t="str">
        <f>CONCATENATE('3 pr-2'!B74)</f>
        <v>Priemonė:
Vietinio susisiekimo viešojo transporto priemonių parko atnaujinimas</v>
      </c>
      <c r="C74" s="1927"/>
      <c r="D74" s="1927"/>
      <c r="E74" s="1927"/>
      <c r="F74" s="1927"/>
      <c r="G74" s="1927"/>
      <c r="H74" s="1927"/>
      <c r="I74" s="1927"/>
      <c r="J74" s="1927"/>
      <c r="K74" s="1928"/>
      <c r="L74" s="1312"/>
      <c r="M74" s="540"/>
      <c r="N74" s="334">
        <f t="shared" ref="N74:T74" si="329">SUM(N75:N78)</f>
        <v>0</v>
      </c>
      <c r="O74" s="334">
        <f t="shared" si="329"/>
        <v>0</v>
      </c>
      <c r="P74" s="334">
        <f t="shared" si="329"/>
        <v>0</v>
      </c>
      <c r="Q74" s="334">
        <f t="shared" si="329"/>
        <v>0</v>
      </c>
      <c r="R74" s="334">
        <f t="shared" si="329"/>
        <v>0</v>
      </c>
      <c r="S74" s="334">
        <f t="shared" si="329"/>
        <v>0</v>
      </c>
      <c r="T74" s="334">
        <f t="shared" si="329"/>
        <v>0</v>
      </c>
      <c r="U74" s="887">
        <f t="shared" ref="U74:U79" si="330">SUM(N74:T74)</f>
        <v>0</v>
      </c>
      <c r="V74" s="864"/>
      <c r="W74" s="1575"/>
      <c r="X74" s="1576"/>
      <c r="Y74" s="1577">
        <f t="shared" ref="Y74:AE74" si="331">SUM(Y75:Y78)</f>
        <v>0</v>
      </c>
      <c r="Z74" s="1577">
        <f t="shared" si="331"/>
        <v>0</v>
      </c>
      <c r="AA74" s="1577">
        <f t="shared" si="331"/>
        <v>2</v>
      </c>
      <c r="AB74" s="1577">
        <f t="shared" si="331"/>
        <v>3</v>
      </c>
      <c r="AC74" s="1577">
        <f t="shared" si="331"/>
        <v>2</v>
      </c>
      <c r="AD74" s="1577">
        <f t="shared" si="331"/>
        <v>0</v>
      </c>
      <c r="AE74" s="1577">
        <f t="shared" si="331"/>
        <v>0</v>
      </c>
      <c r="AF74" s="878"/>
      <c r="AG74" s="889"/>
      <c r="AH74" s="334">
        <f t="shared" ref="AH74:AN74" si="332">SUM(AH75:AH78)</f>
        <v>0</v>
      </c>
      <c r="AI74" s="334">
        <f t="shared" si="332"/>
        <v>0</v>
      </c>
      <c r="AJ74" s="334">
        <f t="shared" si="332"/>
        <v>0</v>
      </c>
      <c r="AK74" s="334">
        <f t="shared" si="332"/>
        <v>0</v>
      </c>
      <c r="AL74" s="334">
        <f t="shared" si="332"/>
        <v>0</v>
      </c>
      <c r="AM74" s="334">
        <f t="shared" si="332"/>
        <v>0</v>
      </c>
      <c r="AN74" s="334">
        <f t="shared" si="332"/>
        <v>0</v>
      </c>
      <c r="AO74" s="864">
        <f t="shared" ref="AO74:AO98" si="333">SUM(AH74:AN74)</f>
        <v>0</v>
      </c>
      <c r="AP74" s="864"/>
      <c r="AQ74" s="1577"/>
      <c r="AR74" s="1577"/>
      <c r="AS74" s="1577"/>
      <c r="AT74" s="1577"/>
      <c r="AU74" s="1577"/>
      <c r="AV74" s="1577"/>
      <c r="AW74" s="1577"/>
      <c r="AX74" s="1577"/>
      <c r="AY74" s="1577"/>
      <c r="AZ74" s="864"/>
      <c r="BA74" s="889"/>
      <c r="BB74" s="334">
        <f t="shared" ref="BB74:BH74" si="334">SUM(BB75:BB78)</f>
        <v>0</v>
      </c>
      <c r="BC74" s="334">
        <f t="shared" si="334"/>
        <v>0</v>
      </c>
      <c r="BD74" s="334">
        <f t="shared" si="334"/>
        <v>0</v>
      </c>
      <c r="BE74" s="334">
        <f t="shared" si="334"/>
        <v>0</v>
      </c>
      <c r="BF74" s="334">
        <f t="shared" si="334"/>
        <v>0</v>
      </c>
      <c r="BG74" s="334">
        <f t="shared" si="334"/>
        <v>0</v>
      </c>
      <c r="BH74" s="334">
        <f t="shared" si="334"/>
        <v>0</v>
      </c>
      <c r="BI74" s="864">
        <f t="shared" ref="BI74:BI98" si="335">SUM(BB74:BH74)</f>
        <v>0</v>
      </c>
      <c r="BJ74" s="864"/>
      <c r="BK74" s="1577"/>
      <c r="BL74" s="1577"/>
      <c r="BM74" s="1577"/>
      <c r="BN74" s="1577"/>
      <c r="BO74" s="1577"/>
      <c r="BP74" s="1577"/>
      <c r="BQ74" s="1577"/>
      <c r="BR74" s="1577"/>
      <c r="BS74" s="1577"/>
      <c r="BT74" s="334"/>
      <c r="BU74" s="538"/>
      <c r="BV74" s="334">
        <f t="shared" ref="BV74:CB74" si="336">SUM(BV75:BV78)</f>
        <v>0</v>
      </c>
      <c r="BW74" s="334">
        <f t="shared" si="336"/>
        <v>0</v>
      </c>
      <c r="BX74" s="334">
        <f t="shared" si="336"/>
        <v>0</v>
      </c>
      <c r="BY74" s="334">
        <f t="shared" si="336"/>
        <v>0</v>
      </c>
      <c r="BZ74" s="334">
        <f t="shared" si="336"/>
        <v>0</v>
      </c>
      <c r="CA74" s="334">
        <f t="shared" si="336"/>
        <v>0</v>
      </c>
      <c r="CB74" s="334">
        <f t="shared" si="336"/>
        <v>0</v>
      </c>
      <c r="CC74" s="864">
        <f t="shared" ref="CC74:CC98" si="337">SUM(BV74:CB74)</f>
        <v>0</v>
      </c>
      <c r="CD74" s="334"/>
      <c r="CE74" s="1577"/>
      <c r="CF74" s="1577"/>
      <c r="CG74" s="1577"/>
      <c r="CH74" s="1577"/>
      <c r="CI74" s="1577"/>
      <c r="CJ74" s="1577"/>
      <c r="CK74" s="1577"/>
      <c r="CL74" s="1577"/>
      <c r="CM74" s="1577"/>
      <c r="CN74" s="887"/>
      <c r="CO74" s="538"/>
      <c r="CP74" s="852">
        <f t="shared" ref="CP74:CV74" si="338">SUM(CP75:CP78)</f>
        <v>0</v>
      </c>
      <c r="CQ74" s="334">
        <f t="shared" si="338"/>
        <v>0</v>
      </c>
      <c r="CR74" s="334">
        <f t="shared" si="338"/>
        <v>0</v>
      </c>
      <c r="CS74" s="334">
        <f t="shared" si="338"/>
        <v>0</v>
      </c>
      <c r="CT74" s="334">
        <f t="shared" si="338"/>
        <v>0</v>
      </c>
      <c r="CU74" s="334">
        <f t="shared" si="338"/>
        <v>0</v>
      </c>
      <c r="CV74" s="334">
        <f t="shared" si="338"/>
        <v>0</v>
      </c>
      <c r="CW74" s="864">
        <f t="shared" ref="CW74:CW98" si="339">SUM(CP74:CV74)</f>
        <v>0</v>
      </c>
      <c r="CX74" s="334"/>
      <c r="CY74" s="1594"/>
      <c r="CZ74" s="1594"/>
      <c r="DA74" s="1594"/>
      <c r="DB74" s="1594"/>
      <c r="DC74" s="1594"/>
      <c r="DD74" s="1594"/>
      <c r="DE74" s="1594"/>
      <c r="DF74" s="1594"/>
      <c r="DG74" s="1594"/>
      <c r="DH74" s="887"/>
      <c r="DI74" s="538"/>
      <c r="DJ74" s="852"/>
      <c r="DK74" s="334"/>
      <c r="DL74" s="334"/>
      <c r="DM74" s="334"/>
      <c r="DN74" s="334"/>
      <c r="DO74" s="334"/>
      <c r="DP74" s="334"/>
      <c r="DQ74" s="864"/>
      <c r="DR74" s="334"/>
      <c r="DS74" s="1594"/>
      <c r="DT74" s="1594"/>
      <c r="DU74" s="1594"/>
      <c r="DV74" s="1594"/>
      <c r="DW74" s="1594"/>
      <c r="DX74" s="1594"/>
      <c r="DY74" s="1594"/>
      <c r="DZ74" s="1594"/>
      <c r="EA74" s="1594"/>
      <c r="EB74" s="887"/>
      <c r="EC74" s="538"/>
      <c r="ED74" s="890"/>
      <c r="EE74" s="1594"/>
      <c r="EF74" s="1594"/>
      <c r="EG74" s="1594"/>
      <c r="EH74" s="1594"/>
      <c r="EI74" s="1594"/>
      <c r="EJ74" s="1594"/>
      <c r="EK74" s="1594"/>
      <c r="EL74" s="1594"/>
      <c r="EM74" s="1594"/>
    </row>
    <row r="75" spans="1:143" ht="49.5" thickTop="1" thickBot="1" x14ac:dyDescent="0.3">
      <c r="A75" s="345" t="str">
        <f>CONCATENATE('3 pr-2'!A75)</f>
        <v>1.1.2.1.1</v>
      </c>
      <c r="B75" s="345" t="str">
        <f>CONCATENATE('3 pr-2'!B75)</f>
        <v>R01-5518-100000-1211</v>
      </c>
      <c r="C75" s="970" t="str">
        <f>CONCATENATE('ketv. 2'!B74)</f>
        <v/>
      </c>
      <c r="D75" s="125" t="str">
        <f>CONCATENATE('3 pr-2'!D75)</f>
        <v xml:space="preserve">Nekenksmingų aplinkai viešojo transporto priemonių įsigijimas Alytaus mieste </v>
      </c>
      <c r="E75" s="312" t="str">
        <f>CONCATENATE('3 pr-2'!E75)</f>
        <v>Alytaus miesto savivaldybės administracija</v>
      </c>
      <c r="F75" s="312" t="str">
        <f>CONCATENATE('3 pr-2'!F75)</f>
        <v>Lietuvos Respublikos susisiekimo ministerija</v>
      </c>
      <c r="G75" s="312" t="str">
        <f>CONCATENATE('3 pr-2'!G75)</f>
        <v>Alytaus m. sav.</v>
      </c>
      <c r="H75" s="345" t="str">
        <f>CONCATENATE('3 pr-2'!H75)</f>
        <v>04.5.1-TID-R-518</v>
      </c>
      <c r="I75" s="345" t="str">
        <f>CONCATENATE('3 pr-2'!I75)</f>
        <v>R</v>
      </c>
      <c r="J75" s="345" t="str">
        <f>CONCATENATE('3 pr-2'!J75)</f>
        <v>ITI</v>
      </c>
      <c r="K75" s="345" t="str">
        <f>CONCATENATE('3 pr-2'!K75)</f>
        <v>-</v>
      </c>
      <c r="L75" s="345" t="s">
        <v>495</v>
      </c>
      <c r="M75" s="537" t="s">
        <v>497</v>
      </c>
      <c r="N75" s="345"/>
      <c r="O75" s="345"/>
      <c r="P75" s="345"/>
      <c r="Q75" s="345"/>
      <c r="R75" s="345"/>
      <c r="S75" s="345"/>
      <c r="T75" s="345"/>
      <c r="U75" s="893">
        <f t="shared" si="330"/>
        <v>0</v>
      </c>
      <c r="V75" s="345">
        <v>2</v>
      </c>
      <c r="W75" s="1578">
        <f ca="1">IF('ketv. 6 '!L74&gt;0,"taip",0)</f>
        <v>0</v>
      </c>
      <c r="X75" s="1579"/>
      <c r="Y75" s="1579">
        <f>IF(YEAR('3 pr-2'!$AK75)=2017,$V75,0)</f>
        <v>0</v>
      </c>
      <c r="Z75" s="1579">
        <f>IF(YEAR('3 pr-2'!$AK75)=2018,$V75,0)</f>
        <v>0</v>
      </c>
      <c r="AA75" s="1579">
        <f>IF(YEAR('3 pr-2'!$AK75)=2019,$V75,0)</f>
        <v>0</v>
      </c>
      <c r="AB75" s="1579">
        <f>IF(YEAR('3 pr-2'!$AK75)=2020,$V75,0)</f>
        <v>0</v>
      </c>
      <c r="AC75" s="1579">
        <f>IF(YEAR('3 pr-2'!$AK75)=2021,$V75,0)</f>
        <v>2</v>
      </c>
      <c r="AD75" s="1579">
        <f>IF(YEAR('3 pr-2'!$AK75)=2022,$V75,0)</f>
        <v>0</v>
      </c>
      <c r="AE75" s="1579">
        <f>IF(YEAR('3 pr-2'!$AK75)=2023,$V75,0)</f>
        <v>0</v>
      </c>
      <c r="AF75" s="350"/>
      <c r="AG75" s="537"/>
      <c r="AH75" s="345"/>
      <c r="AI75" s="345"/>
      <c r="AJ75" s="345"/>
      <c r="AK75" s="345"/>
      <c r="AL75" s="345"/>
      <c r="AM75" s="345"/>
      <c r="AN75" s="345"/>
      <c r="AO75" s="895">
        <f t="shared" si="333"/>
        <v>0</v>
      </c>
      <c r="AP75" s="345"/>
      <c r="AQ75" s="1597"/>
      <c r="AR75" s="1579"/>
      <c r="AS75" s="1579">
        <f>IF(YEAR('3 pr-2'!$AK75)=2017,$AP75,0)</f>
        <v>0</v>
      </c>
      <c r="AT75" s="1579">
        <f>IF(YEAR('3 pr-2'!$AK75)=2018,$AP75,0)</f>
        <v>0</v>
      </c>
      <c r="AU75" s="1579">
        <f>IF(YEAR('3 pr-2'!$AK75)=2019,$AP75,0)</f>
        <v>0</v>
      </c>
      <c r="AV75" s="1579">
        <f>IF(YEAR('3 pr-2'!$AK75)=2020,$AP75,0)</f>
        <v>0</v>
      </c>
      <c r="AW75" s="1579">
        <f>IF(YEAR('3 pr-2'!$AK75)=2021,$AP75,0)</f>
        <v>0</v>
      </c>
      <c r="AX75" s="1579">
        <f>IF(YEAR('3 pr-2'!$AK75)=2022,$AP75,0)</f>
        <v>0</v>
      </c>
      <c r="AY75" s="1579">
        <f>IF(YEAR('3 pr-2'!$AK75)=2023,$AP75,0)</f>
        <v>0</v>
      </c>
      <c r="AZ75" s="345"/>
      <c r="BA75" s="536"/>
      <c r="BB75" s="345"/>
      <c r="BC75" s="345"/>
      <c r="BD75" s="345"/>
      <c r="BE75" s="345"/>
      <c r="BF75" s="345"/>
      <c r="BG75" s="345"/>
      <c r="BH75" s="345"/>
      <c r="BI75" s="895">
        <f t="shared" si="335"/>
        <v>0</v>
      </c>
      <c r="BJ75" s="345"/>
      <c r="BK75" s="1597"/>
      <c r="BL75" s="1579"/>
      <c r="BM75" s="1579">
        <f>IF(YEAR('3 pr-2'!AK75)=2017,BJ75,0)</f>
        <v>0</v>
      </c>
      <c r="BN75" s="1579">
        <f>IF(YEAR('3 pr-2'!AK75)=2018,BJ75,0)</f>
        <v>0</v>
      </c>
      <c r="BO75" s="1579">
        <f>IF(YEAR('3 pr-2'!AK75)=2019,BJ75,0)</f>
        <v>0</v>
      </c>
      <c r="BP75" s="1579">
        <f>IF(YEAR('3 pr-2'!AK75)=2020,BJ75,0)</f>
        <v>0</v>
      </c>
      <c r="BQ75" s="1579">
        <f>IF(YEAR('3 pr-2'!AK75)=2021,BJ75,0)</f>
        <v>0</v>
      </c>
      <c r="BR75" s="1579">
        <f>IF(YEAR('3 pr-2'!AK75)=2022,BJ75,0)</f>
        <v>0</v>
      </c>
      <c r="BS75" s="1579">
        <f>IF(YEAR('3 pr-2'!AK75)=2023,BJ75,0)</f>
        <v>0</v>
      </c>
      <c r="BT75" s="350"/>
      <c r="BU75" s="537"/>
      <c r="BV75" s="345"/>
      <c r="BW75" s="345"/>
      <c r="BX75" s="345"/>
      <c r="BY75" s="345"/>
      <c r="BZ75" s="345"/>
      <c r="CA75" s="345"/>
      <c r="CB75" s="345"/>
      <c r="CC75" s="895">
        <f t="shared" si="337"/>
        <v>0</v>
      </c>
      <c r="CD75" s="345"/>
      <c r="CE75" s="1579"/>
      <c r="CF75" s="1579"/>
      <c r="CG75" s="1579">
        <f>IF(YEAR('3 pr-2'!$AK75)=2017,$CD75,0)</f>
        <v>0</v>
      </c>
      <c r="CH75" s="1579">
        <f>IF(YEAR('3 pr-2'!$AK75)=2018,$CD75,0)</f>
        <v>0</v>
      </c>
      <c r="CI75" s="1579">
        <f>IF(YEAR('3 pr-2'!$AK75)=2019,$CD75,0)</f>
        <v>0</v>
      </c>
      <c r="CJ75" s="1579">
        <f>IF(YEAR('3 pr-2'!$AK75)=2020,$CD75,0)</f>
        <v>0</v>
      </c>
      <c r="CK75" s="1579">
        <f>IF(YEAR('3 pr-2'!$AK75)=2021,$CD75,0)</f>
        <v>0</v>
      </c>
      <c r="CL75" s="1579">
        <f>IF(YEAR('3 pr-2'!$AK75)=2022,$CD75,0)</f>
        <v>0</v>
      </c>
      <c r="CM75" s="1579">
        <f>IF(YEAR('3 pr-2'!$AK75)=2023,$CD75,0)</f>
        <v>0</v>
      </c>
      <c r="CN75" s="350"/>
      <c r="CO75" s="538"/>
      <c r="CP75" s="351"/>
      <c r="CQ75" s="345"/>
      <c r="CR75" s="345"/>
      <c r="CS75" s="345"/>
      <c r="CT75" s="345"/>
      <c r="CU75" s="345"/>
      <c r="CV75" s="345"/>
      <c r="CW75" s="895">
        <f t="shared" si="339"/>
        <v>0</v>
      </c>
      <c r="CX75" s="351"/>
      <c r="CY75" s="1605"/>
      <c r="CZ75" s="1605"/>
      <c r="DA75" s="1594">
        <f>IF(YEAR('3 pr-2'!AK75)=2017,CX75,0)</f>
        <v>0</v>
      </c>
      <c r="DB75" s="1594">
        <f>IF(YEAR('3 pr-2'!AK75)=2018,CX75,0)</f>
        <v>0</v>
      </c>
      <c r="DC75" s="1594">
        <f>IF(YEAR('3 pr-2'!AK75)=2019,CX75,0)</f>
        <v>0</v>
      </c>
      <c r="DD75" s="1594">
        <f>IF(YEAR('3 pr-2'!AK75)=2020,CX75,0)</f>
        <v>0</v>
      </c>
      <c r="DE75" s="1594">
        <f>IF(YEAR('3 pr-2'!AK75)=2021,CX75,0)</f>
        <v>0</v>
      </c>
      <c r="DF75" s="1594">
        <f>IF(YEAR('3 pr-2'!AK75)=2022,CX75,0)</f>
        <v>0</v>
      </c>
      <c r="DG75" s="1594">
        <f>IF(YEAR('3 pr-2'!AK75)=2023,CX75,0)</f>
        <v>0</v>
      </c>
      <c r="DH75" s="350"/>
      <c r="DI75" s="538"/>
      <c r="DJ75" s="351"/>
      <c r="DK75" s="345"/>
      <c r="DL75" s="345"/>
      <c r="DM75" s="345"/>
      <c r="DN75" s="345"/>
      <c r="DO75" s="345"/>
      <c r="DP75" s="345"/>
      <c r="DQ75" s="895"/>
      <c r="DR75" s="351"/>
      <c r="DS75" s="1605"/>
      <c r="DT75" s="1605"/>
      <c r="DU75" s="1594"/>
      <c r="DV75" s="1594"/>
      <c r="DW75" s="1594"/>
      <c r="DX75" s="1594"/>
      <c r="DY75" s="1594"/>
      <c r="DZ75" s="1594"/>
      <c r="EA75" s="1594"/>
      <c r="EB75" s="350"/>
      <c r="EC75" s="538"/>
      <c r="ED75" s="333"/>
      <c r="EE75" s="1605"/>
      <c r="EF75" s="1605"/>
      <c r="EG75" s="1594">
        <f>IF(YEAR('3 pr-2'!BP75)=2017,ED75,0)</f>
        <v>0</v>
      </c>
      <c r="EH75" s="1594">
        <f>IF(YEAR('3 pr-2'!BP75)=2018,ED75,0)</f>
        <v>0</v>
      </c>
      <c r="EI75" s="1594">
        <f>IF(YEAR('3 pr-2'!BP75)=2019,ED75,0)</f>
        <v>0</v>
      </c>
      <c r="EJ75" s="1594">
        <f>IF(YEAR('3 pr-2'!BP75)=2020,ED75,0)</f>
        <v>0</v>
      </c>
      <c r="EK75" s="1594">
        <f>IF(YEAR('3 pr-2'!BP75)=2021,ED75,0)</f>
        <v>0</v>
      </c>
      <c r="EL75" s="1594">
        <f>IF(YEAR('3 pr-2'!BP75)=2022,ED75,0)</f>
        <v>0</v>
      </c>
      <c r="EM75" s="1594">
        <f>IF(YEAR('3 pr-2'!BP75)=2023,ED75,0)</f>
        <v>0</v>
      </c>
    </row>
    <row r="76" spans="1:143" ht="49.5" thickTop="1" thickBot="1" x14ac:dyDescent="0.3">
      <c r="A76" s="345" t="str">
        <f>CONCATENATE('3 pr-2'!A76)</f>
        <v>1.1.2.1.2</v>
      </c>
      <c r="B76" s="345" t="str">
        <f>CONCATENATE('3 pr-2'!B76)</f>
        <v>R01-5518-100000-1212</v>
      </c>
      <c r="C76" s="970" t="str">
        <f>CONCATENATE('ketv. 2'!B75)</f>
        <v/>
      </c>
      <c r="D76" s="125" t="str">
        <f>CONCATENATE('3 pr-2'!D76)</f>
        <v>Vietinio susisiekimo transporto priemonių įsigijimas</v>
      </c>
      <c r="E76" s="312" t="str">
        <f>CONCATENATE('3 pr-2'!E76)</f>
        <v>Alytaus rajono savivaldybės administracija</v>
      </c>
      <c r="F76" s="312" t="str">
        <f>CONCATENATE('3 pr-2'!F76)</f>
        <v>Lietuvos Respublikos susisiekimo ministerija</v>
      </c>
      <c r="G76" s="312" t="str">
        <f>CONCATENATE('3 pr-2'!G76)</f>
        <v>Alytaus r. sav.</v>
      </c>
      <c r="H76" s="345" t="str">
        <f>CONCATENATE('3 pr-2'!H76)</f>
        <v>04.5.1-TID-R-518</v>
      </c>
      <c r="I76" s="345" t="str">
        <f>CONCATENATE('3 pr-2'!I76)</f>
        <v>R</v>
      </c>
      <c r="J76" s="345" t="str">
        <f>CONCATENATE('3 pr-2'!J76)</f>
        <v>-</v>
      </c>
      <c r="K76" s="345" t="str">
        <f>CONCATENATE('3 pr-2'!K76)</f>
        <v>-</v>
      </c>
      <c r="L76" s="345" t="s">
        <v>495</v>
      </c>
      <c r="M76" s="778" t="s">
        <v>496</v>
      </c>
      <c r="N76" s="345"/>
      <c r="O76" s="345"/>
      <c r="P76" s="345"/>
      <c r="Q76" s="345"/>
      <c r="R76" s="345"/>
      <c r="S76" s="345"/>
      <c r="T76" s="345"/>
      <c r="U76" s="893">
        <f t="shared" si="330"/>
        <v>0</v>
      </c>
      <c r="V76" s="345">
        <v>2</v>
      </c>
      <c r="W76" s="1578">
        <f ca="1">IF('ketv. 6 '!L75&gt;0,"taip",0)</f>
        <v>0</v>
      </c>
      <c r="X76" s="1579"/>
      <c r="Y76" s="1579">
        <f>IF(YEAR('3 pr-2'!$AK76)=2017,$V76,0)</f>
        <v>0</v>
      </c>
      <c r="Z76" s="1579">
        <f>IF(YEAR('3 pr-2'!$AK76)=2018,$V76,0)</f>
        <v>0</v>
      </c>
      <c r="AA76" s="1579">
        <f>IF(YEAR('3 pr-2'!$AK76)=2019,$V76,0)</f>
        <v>0</v>
      </c>
      <c r="AB76" s="1579">
        <f>IF(YEAR('3 pr-2'!$AK76)=2020,$V76,0)</f>
        <v>2</v>
      </c>
      <c r="AC76" s="1579">
        <f>IF(YEAR('3 pr-2'!$AK76)=2021,$V76,0)</f>
        <v>0</v>
      </c>
      <c r="AD76" s="1579">
        <f>IF(YEAR('3 pr-2'!$AK76)=2022,$V76,0)</f>
        <v>0</v>
      </c>
      <c r="AE76" s="1579">
        <f>IF(YEAR('3 pr-2'!$AK76)=2023,$V76,0)</f>
        <v>0</v>
      </c>
      <c r="AF76" s="350"/>
      <c r="AG76" s="537"/>
      <c r="AH76" s="345"/>
      <c r="AI76" s="345"/>
      <c r="AJ76" s="345"/>
      <c r="AK76" s="345"/>
      <c r="AL76" s="345"/>
      <c r="AM76" s="345"/>
      <c r="AN76" s="345"/>
      <c r="AO76" s="895">
        <f t="shared" si="333"/>
        <v>0</v>
      </c>
      <c r="AP76" s="345"/>
      <c r="AQ76" s="1597"/>
      <c r="AR76" s="1579"/>
      <c r="AS76" s="1579">
        <f>IF(YEAR('3 pr-2'!$AK76)=2017,$AP76,0)</f>
        <v>0</v>
      </c>
      <c r="AT76" s="1579">
        <f>IF(YEAR('3 pr-2'!$AK76)=2018,$AP76,0)</f>
        <v>0</v>
      </c>
      <c r="AU76" s="1579">
        <f>IF(YEAR('3 pr-2'!$AK76)=2019,$AP76,0)</f>
        <v>0</v>
      </c>
      <c r="AV76" s="1579">
        <f>IF(YEAR('3 pr-2'!$AK76)=2020,$AP76,0)</f>
        <v>0</v>
      </c>
      <c r="AW76" s="1579">
        <f>IF(YEAR('3 pr-2'!$AK76)=2021,$AP76,0)</f>
        <v>0</v>
      </c>
      <c r="AX76" s="1579">
        <f>IF(YEAR('3 pr-2'!$AK76)=2022,$AP76,0)</f>
        <v>0</v>
      </c>
      <c r="AY76" s="1579">
        <f>IF(YEAR('3 pr-2'!$AK76)=2023,$AP76,0)</f>
        <v>0</v>
      </c>
      <c r="AZ76" s="345"/>
      <c r="BA76" s="536"/>
      <c r="BB76" s="345"/>
      <c r="BC76" s="345"/>
      <c r="BD76" s="345"/>
      <c r="BE76" s="345"/>
      <c r="BF76" s="345"/>
      <c r="BG76" s="345"/>
      <c r="BH76" s="345"/>
      <c r="BI76" s="895">
        <f t="shared" si="335"/>
        <v>0</v>
      </c>
      <c r="BJ76" s="345"/>
      <c r="BK76" s="1597"/>
      <c r="BL76" s="1579"/>
      <c r="BM76" s="1579">
        <f>IF(YEAR('3 pr-2'!AK76)=2017,BJ76,0)</f>
        <v>0</v>
      </c>
      <c r="BN76" s="1579">
        <f>IF(YEAR('3 pr-2'!AK76)=2018,BJ76,0)</f>
        <v>0</v>
      </c>
      <c r="BO76" s="1579">
        <f>IF(YEAR('3 pr-2'!AK76)=2019,BJ76,0)</f>
        <v>0</v>
      </c>
      <c r="BP76" s="1579">
        <f>IF(YEAR('3 pr-2'!AK76)=2020,BJ76,0)</f>
        <v>0</v>
      </c>
      <c r="BQ76" s="1579">
        <f>IF(YEAR('3 pr-2'!AK76)=2021,BJ76,0)</f>
        <v>0</v>
      </c>
      <c r="BR76" s="1579">
        <f>IF(YEAR('3 pr-2'!AK76)=2022,BJ76,0)</f>
        <v>0</v>
      </c>
      <c r="BS76" s="1579">
        <f>IF(YEAR('3 pr-2'!AK76)=2023,BJ76,0)</f>
        <v>0</v>
      </c>
      <c r="BT76" s="350"/>
      <c r="BU76" s="537"/>
      <c r="BV76" s="345"/>
      <c r="BW76" s="345"/>
      <c r="BX76" s="345"/>
      <c r="BY76" s="345"/>
      <c r="BZ76" s="345"/>
      <c r="CA76" s="345"/>
      <c r="CB76" s="345"/>
      <c r="CC76" s="895">
        <f t="shared" si="337"/>
        <v>0</v>
      </c>
      <c r="CD76" s="345"/>
      <c r="CE76" s="1579"/>
      <c r="CF76" s="1579"/>
      <c r="CG76" s="1579">
        <f>IF(YEAR('3 pr-2'!$AK76)=2017,$CD76,0)</f>
        <v>0</v>
      </c>
      <c r="CH76" s="1579">
        <f>IF(YEAR('3 pr-2'!$AK76)=2018,$CD76,0)</f>
        <v>0</v>
      </c>
      <c r="CI76" s="1579">
        <f>IF(YEAR('3 pr-2'!$AK76)=2019,$CD76,0)</f>
        <v>0</v>
      </c>
      <c r="CJ76" s="1579">
        <f>IF(YEAR('3 pr-2'!$AK76)=2020,$CD76,0)</f>
        <v>0</v>
      </c>
      <c r="CK76" s="1579">
        <f>IF(YEAR('3 pr-2'!$AK76)=2021,$CD76,0)</f>
        <v>0</v>
      </c>
      <c r="CL76" s="1579">
        <f>IF(YEAR('3 pr-2'!$AK76)=2022,$CD76,0)</f>
        <v>0</v>
      </c>
      <c r="CM76" s="1579">
        <f>IF(YEAR('3 pr-2'!$AK76)=2023,$CD76,0)</f>
        <v>0</v>
      </c>
      <c r="CN76" s="350"/>
      <c r="CO76" s="538"/>
      <c r="CP76" s="351"/>
      <c r="CQ76" s="345"/>
      <c r="CR76" s="345"/>
      <c r="CS76" s="345"/>
      <c r="CT76" s="345"/>
      <c r="CU76" s="345"/>
      <c r="CV76" s="345"/>
      <c r="CW76" s="895">
        <f t="shared" si="339"/>
        <v>0</v>
      </c>
      <c r="CX76" s="351"/>
      <c r="CY76" s="1605"/>
      <c r="CZ76" s="1605"/>
      <c r="DA76" s="1594">
        <f>IF(YEAR('3 pr-2'!AK76)=2017,CX76,0)</f>
        <v>0</v>
      </c>
      <c r="DB76" s="1594">
        <f>IF(YEAR('3 pr-2'!AK76)=2018,CX76,0)</f>
        <v>0</v>
      </c>
      <c r="DC76" s="1594">
        <f>IF(YEAR('3 pr-2'!AK76)=2019,CX76,0)</f>
        <v>0</v>
      </c>
      <c r="DD76" s="1594">
        <f>IF(YEAR('3 pr-2'!AK76)=2020,CX76,0)</f>
        <v>0</v>
      </c>
      <c r="DE76" s="1594">
        <f>IF(YEAR('3 pr-2'!AK76)=2021,CX76,0)</f>
        <v>0</v>
      </c>
      <c r="DF76" s="1594">
        <f>IF(YEAR('3 pr-2'!AK76)=2022,CX76,0)</f>
        <v>0</v>
      </c>
      <c r="DG76" s="1594">
        <f>IF(YEAR('3 pr-2'!AK76)=2023,CX76,0)</f>
        <v>0</v>
      </c>
      <c r="DH76" s="350"/>
      <c r="DI76" s="538"/>
      <c r="DJ76" s="351"/>
      <c r="DK76" s="345"/>
      <c r="DL76" s="345"/>
      <c r="DM76" s="345"/>
      <c r="DN76" s="345"/>
      <c r="DO76" s="345"/>
      <c r="DP76" s="345"/>
      <c r="DQ76" s="895"/>
      <c r="DR76" s="351"/>
      <c r="DS76" s="1605"/>
      <c r="DT76" s="1605"/>
      <c r="DU76" s="1594"/>
      <c r="DV76" s="1594"/>
      <c r="DW76" s="1594"/>
      <c r="DX76" s="1594"/>
      <c r="DY76" s="1594"/>
      <c r="DZ76" s="1594"/>
      <c r="EA76" s="1594"/>
      <c r="EB76" s="350"/>
      <c r="EC76" s="538"/>
      <c r="ED76" s="333"/>
      <c r="EE76" s="1605"/>
      <c r="EF76" s="1605"/>
      <c r="EG76" s="1594">
        <f>IF(YEAR('3 pr-2'!BP76)=2017,ED76,0)</f>
        <v>0</v>
      </c>
      <c r="EH76" s="1594">
        <f>IF(YEAR('3 pr-2'!BP76)=2018,ED76,0)</f>
        <v>0</v>
      </c>
      <c r="EI76" s="1594">
        <f>IF(YEAR('3 pr-2'!BP76)=2019,ED76,0)</f>
        <v>0</v>
      </c>
      <c r="EJ76" s="1594">
        <f>IF(YEAR('3 pr-2'!BP76)=2020,ED76,0)</f>
        <v>0</v>
      </c>
      <c r="EK76" s="1594">
        <f>IF(YEAR('3 pr-2'!BP76)=2021,ED76,0)</f>
        <v>0</v>
      </c>
      <c r="EL76" s="1594">
        <f>IF(YEAR('3 pr-2'!BP76)=2022,ED76,0)</f>
        <v>0</v>
      </c>
      <c r="EM76" s="1594">
        <f>IF(YEAR('3 pr-2'!BP76)=2023,ED76,0)</f>
        <v>0</v>
      </c>
    </row>
    <row r="77" spans="1:143" ht="49.5" thickTop="1" thickBot="1" x14ac:dyDescent="0.3">
      <c r="A77" s="345" t="str">
        <f>CONCATENATE('3 pr-2'!A77)</f>
        <v>1.1.2.1.3</v>
      </c>
      <c r="B77" s="345" t="str">
        <f>CONCATENATE('3 pr-2'!B77)</f>
        <v>R01-5518-100000-1213</v>
      </c>
      <c r="C77" s="970" t="str">
        <f>CONCATENATE('ketv. 2'!B76)</f>
        <v>04.5.1-TID-R-518-11-0002</v>
      </c>
      <c r="D77" s="125" t="str">
        <f>CONCATENATE('3 pr-2'!D77)</f>
        <v>Ekologiškų transporto priemonių įsigijimas Druskininkų savivaldybėje</v>
      </c>
      <c r="E77" s="312" t="str">
        <f>CONCATENATE('3 pr-2'!E77)</f>
        <v xml:space="preserve">Druskininkų savivaldybės administracija  </v>
      </c>
      <c r="F77" s="312" t="str">
        <f>CONCATENATE('3 pr-2'!F77)</f>
        <v>Lietuvos Respublikos susisiekimo ministerija</v>
      </c>
      <c r="G77" s="312" t="str">
        <f>CONCATENATE('3 pr-2'!G77)</f>
        <v>Druskininkų sav.</v>
      </c>
      <c r="H77" s="345" t="str">
        <f>CONCATENATE('3 pr-2'!H77)</f>
        <v>04.5.1-TID-R-518</v>
      </c>
      <c r="I77" s="345" t="str">
        <f>CONCATENATE('3 pr-2'!I77)</f>
        <v>R</v>
      </c>
      <c r="J77" s="345" t="str">
        <f>CONCATENATE('3 pr-2'!J77)</f>
        <v>-</v>
      </c>
      <c r="K77" s="345" t="str">
        <f>CONCATENATE('3 pr-2'!K77)</f>
        <v>-</v>
      </c>
      <c r="L77" s="345" t="s">
        <v>495</v>
      </c>
      <c r="M77" s="537" t="s">
        <v>496</v>
      </c>
      <c r="N77" s="345"/>
      <c r="O77" s="345"/>
      <c r="P77" s="345"/>
      <c r="Q77" s="345"/>
      <c r="R77" s="345"/>
      <c r="S77" s="345"/>
      <c r="T77" s="345"/>
      <c r="U77" s="893">
        <f t="shared" si="330"/>
        <v>0</v>
      </c>
      <c r="V77" s="345">
        <v>2</v>
      </c>
      <c r="W77" s="1578">
        <f ca="1">IF('ketv. 6 '!L76&gt;0,"taip",0)</f>
        <v>0</v>
      </c>
      <c r="X77" s="1579"/>
      <c r="Y77" s="1579">
        <f>IF(YEAR('3 pr-2'!$AK77)=2017,$V77,0)</f>
        <v>0</v>
      </c>
      <c r="Z77" s="1579">
        <f>IF(YEAR('3 pr-2'!$AK77)=2018,$V77,0)</f>
        <v>0</v>
      </c>
      <c r="AA77" s="1579">
        <f>IF(YEAR('3 pr-2'!$AK77)=2019,$V77,0)</f>
        <v>2</v>
      </c>
      <c r="AB77" s="1579">
        <f>IF(YEAR('3 pr-2'!$AK77)=2020,$V77,0)</f>
        <v>0</v>
      </c>
      <c r="AC77" s="1579">
        <f>IF(YEAR('3 pr-2'!$AK77)=2021,$V77,0)</f>
        <v>0</v>
      </c>
      <c r="AD77" s="1579">
        <f>IF(YEAR('3 pr-2'!$AK77)=2022,$V77,0)</f>
        <v>0</v>
      </c>
      <c r="AE77" s="1579">
        <f>IF(YEAR('3 pr-2'!$AK77)=2023,$V77,0)</f>
        <v>0</v>
      </c>
      <c r="AF77" s="350"/>
      <c r="AG77" s="537"/>
      <c r="AH77" s="345"/>
      <c r="AI77" s="345"/>
      <c r="AJ77" s="345"/>
      <c r="AK77" s="345"/>
      <c r="AL77" s="345"/>
      <c r="AM77" s="345"/>
      <c r="AN77" s="345"/>
      <c r="AO77" s="895">
        <f t="shared" si="333"/>
        <v>0</v>
      </c>
      <c r="AP77" s="345"/>
      <c r="AQ77" s="1597"/>
      <c r="AR77" s="1579"/>
      <c r="AS77" s="1579">
        <f>IF(YEAR('3 pr-2'!$AK77)=2017,$AP77,0)</f>
        <v>0</v>
      </c>
      <c r="AT77" s="1579">
        <f>IF(YEAR('3 pr-2'!$AK77)=2018,$AP77,0)</f>
        <v>0</v>
      </c>
      <c r="AU77" s="1579">
        <f>IF(YEAR('3 pr-2'!$AK77)=2019,$AP77,0)</f>
        <v>0</v>
      </c>
      <c r="AV77" s="1579">
        <f>IF(YEAR('3 pr-2'!$AK77)=2020,$AP77,0)</f>
        <v>0</v>
      </c>
      <c r="AW77" s="1579">
        <f>IF(YEAR('3 pr-2'!$AK77)=2021,$AP77,0)</f>
        <v>0</v>
      </c>
      <c r="AX77" s="1579">
        <f>IF(YEAR('3 pr-2'!$AK77)=2022,$AP77,0)</f>
        <v>0</v>
      </c>
      <c r="AY77" s="1579">
        <f>IF(YEAR('3 pr-2'!$AK77)=2023,$AP77,0)</f>
        <v>0</v>
      </c>
      <c r="AZ77" s="345"/>
      <c r="BA77" s="536"/>
      <c r="BB77" s="345"/>
      <c r="BC77" s="345"/>
      <c r="BD77" s="345"/>
      <c r="BE77" s="345"/>
      <c r="BF77" s="345"/>
      <c r="BG77" s="345"/>
      <c r="BH77" s="345"/>
      <c r="BI77" s="895">
        <f t="shared" si="335"/>
        <v>0</v>
      </c>
      <c r="BJ77" s="345"/>
      <c r="BK77" s="1597"/>
      <c r="BL77" s="1579"/>
      <c r="BM77" s="1579">
        <f>IF(YEAR('3 pr-2'!AK77)=2017,BJ77,0)</f>
        <v>0</v>
      </c>
      <c r="BN77" s="1579">
        <f>IF(YEAR('3 pr-2'!AK77)=2018,BJ77,0)</f>
        <v>0</v>
      </c>
      <c r="BO77" s="1579">
        <f>IF(YEAR('3 pr-2'!AK77)=2019,BJ77,0)</f>
        <v>0</v>
      </c>
      <c r="BP77" s="1579">
        <f>IF(YEAR('3 pr-2'!AK77)=2020,BJ77,0)</f>
        <v>0</v>
      </c>
      <c r="BQ77" s="1579">
        <f>IF(YEAR('3 pr-2'!AK77)=2021,BJ77,0)</f>
        <v>0</v>
      </c>
      <c r="BR77" s="1579">
        <f>IF(YEAR('3 pr-2'!AK77)=2022,BJ77,0)</f>
        <v>0</v>
      </c>
      <c r="BS77" s="1579">
        <f>IF(YEAR('3 pr-2'!AK77)=2023,BJ77,0)</f>
        <v>0</v>
      </c>
      <c r="BT77" s="350"/>
      <c r="BU77" s="537"/>
      <c r="BV77" s="345"/>
      <c r="BW77" s="345"/>
      <c r="BX77" s="345"/>
      <c r="BY77" s="345"/>
      <c r="BZ77" s="345"/>
      <c r="CA77" s="345"/>
      <c r="CB77" s="345"/>
      <c r="CC77" s="895">
        <f t="shared" si="337"/>
        <v>0</v>
      </c>
      <c r="CD77" s="345"/>
      <c r="CE77" s="1579"/>
      <c r="CF77" s="1579"/>
      <c r="CG77" s="1579">
        <f>IF(YEAR('3 pr-2'!$AK77)=2017,$CD77,0)</f>
        <v>0</v>
      </c>
      <c r="CH77" s="1579">
        <f>IF(YEAR('3 pr-2'!$AK77)=2018,$CD77,0)</f>
        <v>0</v>
      </c>
      <c r="CI77" s="1579">
        <f>IF(YEAR('3 pr-2'!$AK77)=2019,$CD77,0)</f>
        <v>0</v>
      </c>
      <c r="CJ77" s="1579">
        <f>IF(YEAR('3 pr-2'!$AK77)=2020,$CD77,0)</f>
        <v>0</v>
      </c>
      <c r="CK77" s="1579">
        <f>IF(YEAR('3 pr-2'!$AK77)=2021,$CD77,0)</f>
        <v>0</v>
      </c>
      <c r="CL77" s="1579">
        <f>IF(YEAR('3 pr-2'!$AK77)=2022,$CD77,0)</f>
        <v>0</v>
      </c>
      <c r="CM77" s="1579">
        <f>IF(YEAR('3 pr-2'!$AK77)=2023,$CD77,0)</f>
        <v>0</v>
      </c>
      <c r="CN77" s="350"/>
      <c r="CO77" s="538"/>
      <c r="CP77" s="351"/>
      <c r="CQ77" s="345"/>
      <c r="CR77" s="345"/>
      <c r="CS77" s="345"/>
      <c r="CT77" s="345"/>
      <c r="CU77" s="345"/>
      <c r="CV77" s="345"/>
      <c r="CW77" s="895">
        <f t="shared" si="339"/>
        <v>0</v>
      </c>
      <c r="CX77" s="351"/>
      <c r="CY77" s="1605"/>
      <c r="CZ77" s="1605"/>
      <c r="DA77" s="1594">
        <f>IF(YEAR('3 pr-2'!AK77)=2017,CX77,0)</f>
        <v>0</v>
      </c>
      <c r="DB77" s="1594">
        <f>IF(YEAR('3 pr-2'!AK77)=2018,CX77,0)</f>
        <v>0</v>
      </c>
      <c r="DC77" s="1594">
        <f>IF(YEAR('3 pr-2'!AK77)=2019,CX77,0)</f>
        <v>0</v>
      </c>
      <c r="DD77" s="1594">
        <f>IF(YEAR('3 pr-2'!AK77)=2020,CX77,0)</f>
        <v>0</v>
      </c>
      <c r="DE77" s="1594">
        <f>IF(YEAR('3 pr-2'!AK77)=2021,CX77,0)</f>
        <v>0</v>
      </c>
      <c r="DF77" s="1594">
        <f>IF(YEAR('3 pr-2'!AK77)=2022,CX77,0)</f>
        <v>0</v>
      </c>
      <c r="DG77" s="1594">
        <f>IF(YEAR('3 pr-2'!AK77)=2023,CX77,0)</f>
        <v>0</v>
      </c>
      <c r="DH77" s="350"/>
      <c r="DI77" s="538"/>
      <c r="DJ77" s="351"/>
      <c r="DK77" s="345"/>
      <c r="DL77" s="345"/>
      <c r="DM77" s="345"/>
      <c r="DN77" s="345"/>
      <c r="DO77" s="345"/>
      <c r="DP77" s="345"/>
      <c r="DQ77" s="895"/>
      <c r="DR77" s="351"/>
      <c r="DS77" s="1605"/>
      <c r="DT77" s="1605"/>
      <c r="DU77" s="1594"/>
      <c r="DV77" s="1594"/>
      <c r="DW77" s="1594"/>
      <c r="DX77" s="1594"/>
      <c r="DY77" s="1594"/>
      <c r="DZ77" s="1594"/>
      <c r="EA77" s="1594"/>
      <c r="EB77" s="350"/>
      <c r="EC77" s="538"/>
      <c r="ED77" s="333"/>
      <c r="EE77" s="1605"/>
      <c r="EF77" s="1605"/>
      <c r="EG77" s="1594">
        <f>IF(YEAR('3 pr-2'!BP77)=2017,ED77,0)</f>
        <v>0</v>
      </c>
      <c r="EH77" s="1594">
        <f>IF(YEAR('3 pr-2'!BP77)=2018,ED77,0)</f>
        <v>0</v>
      </c>
      <c r="EI77" s="1594">
        <f>IF(YEAR('3 pr-2'!BP77)=2019,ED77,0)</f>
        <v>0</v>
      </c>
      <c r="EJ77" s="1594">
        <f>IF(YEAR('3 pr-2'!BP77)=2020,ED77,0)</f>
        <v>0</v>
      </c>
      <c r="EK77" s="1594">
        <f>IF(YEAR('3 pr-2'!BP77)=2021,ED77,0)</f>
        <v>0</v>
      </c>
      <c r="EL77" s="1594">
        <f>IF(YEAR('3 pr-2'!BP77)=2022,ED77,0)</f>
        <v>0</v>
      </c>
      <c r="EM77" s="1594">
        <f>IF(YEAR('3 pr-2'!BP77)=2023,ED77,0)</f>
        <v>0</v>
      </c>
    </row>
    <row r="78" spans="1:143" ht="49.5" thickTop="1" thickBot="1" x14ac:dyDescent="0.3">
      <c r="A78" s="345" t="str">
        <f>CONCATENATE('3 pr-2'!A78)</f>
        <v>1.1.2.1.4</v>
      </c>
      <c r="B78" s="345" t="str">
        <f>CONCATENATE('3 pr-2'!B78)</f>
        <v>R01-5518-100000-1214</v>
      </c>
      <c r="C78" s="970" t="str">
        <f>CONCATENATE('ketv. 2'!B77)</f>
        <v>04.5.1-TID-R-518-11-0001</v>
      </c>
      <c r="D78" s="125" t="str">
        <f>CONCATENATE('3 pr-2'!D78)</f>
        <v>Ekologiškų transporto priemonių įsigijimas  Lazdijų rajono savivaldybėje</v>
      </c>
      <c r="E78" s="312" t="str">
        <f>CONCATENATE('3 pr-2'!E78)</f>
        <v>Lazdijų rajono savivaldybės administracija</v>
      </c>
      <c r="F78" s="312" t="str">
        <f>CONCATENATE('3 pr-2'!F78)</f>
        <v>Lietuvos Respublikos susisiekimo ministerija</v>
      </c>
      <c r="G78" s="312" t="str">
        <f>CONCATENATE('3 pr-2'!G78)</f>
        <v>Lazdijų r. sav.</v>
      </c>
      <c r="H78" s="345" t="str">
        <f>CONCATENATE('3 pr-2'!H78)</f>
        <v>04.5.1-TID-R-518</v>
      </c>
      <c r="I78" s="345" t="str">
        <f>CONCATENATE('3 pr-2'!I78)</f>
        <v>R</v>
      </c>
      <c r="J78" s="345" t="str">
        <f>CONCATENATE('3 pr-2'!J78)</f>
        <v>-</v>
      </c>
      <c r="K78" s="345" t="str">
        <f>CONCATENATE('3 pr-2'!K78)</f>
        <v>-</v>
      </c>
      <c r="L78" s="345" t="s">
        <v>495</v>
      </c>
      <c r="M78" s="537" t="s">
        <v>496</v>
      </c>
      <c r="N78" s="345"/>
      <c r="O78" s="345"/>
      <c r="P78" s="345"/>
      <c r="Q78" s="345"/>
      <c r="R78" s="345"/>
      <c r="S78" s="345"/>
      <c r="T78" s="345"/>
      <c r="U78" s="893">
        <f t="shared" si="330"/>
        <v>0</v>
      </c>
      <c r="V78" s="345">
        <v>1</v>
      </c>
      <c r="W78" s="1578">
        <f ca="1">IF('ketv. 6 '!L77&gt;0,"taip",0)</f>
        <v>0</v>
      </c>
      <c r="X78" s="1579"/>
      <c r="Y78" s="1579">
        <f>IF(YEAR('3 pr-2'!$AK78)=2017,$V78,0)</f>
        <v>0</v>
      </c>
      <c r="Z78" s="1579">
        <f>IF(YEAR('3 pr-2'!$AK78)=2018,$V78,0)</f>
        <v>0</v>
      </c>
      <c r="AA78" s="1579">
        <f>IF(YEAR('3 pr-2'!$AK78)=2019,$V78,0)</f>
        <v>0</v>
      </c>
      <c r="AB78" s="1579">
        <f>IF(YEAR('3 pr-2'!$AK78)=2020,$V78,0)</f>
        <v>1</v>
      </c>
      <c r="AC78" s="1579">
        <f>IF(YEAR('3 pr-2'!$AK78)=2021,$V78,0)</f>
        <v>0</v>
      </c>
      <c r="AD78" s="1579">
        <f>IF(YEAR('3 pr-2'!$AK78)=2022,$V78,0)</f>
        <v>0</v>
      </c>
      <c r="AE78" s="1579">
        <f>IF(YEAR('3 pr-2'!$AK78)=2023,$V78,0)</f>
        <v>0</v>
      </c>
      <c r="AF78" s="350"/>
      <c r="AG78" s="537"/>
      <c r="AH78" s="345"/>
      <c r="AI78" s="345"/>
      <c r="AJ78" s="345"/>
      <c r="AK78" s="345"/>
      <c r="AL78" s="345"/>
      <c r="AM78" s="345"/>
      <c r="AN78" s="345"/>
      <c r="AO78" s="895">
        <f t="shared" si="333"/>
        <v>0</v>
      </c>
      <c r="AP78" s="345"/>
      <c r="AQ78" s="1597"/>
      <c r="AR78" s="1579"/>
      <c r="AS78" s="1579">
        <f>IF(YEAR('3 pr-2'!$AK78)=2017,$AP78,0)</f>
        <v>0</v>
      </c>
      <c r="AT78" s="1579">
        <f>IF(YEAR('3 pr-2'!$AK78)=2018,$AP78,0)</f>
        <v>0</v>
      </c>
      <c r="AU78" s="1579">
        <f>IF(YEAR('3 pr-2'!$AK78)=2019,$AP78,0)</f>
        <v>0</v>
      </c>
      <c r="AV78" s="1579">
        <f>IF(YEAR('3 pr-2'!$AK78)=2020,$AP78,0)</f>
        <v>0</v>
      </c>
      <c r="AW78" s="1579">
        <f>IF(YEAR('3 pr-2'!$AK78)=2021,$AP78,0)</f>
        <v>0</v>
      </c>
      <c r="AX78" s="1579">
        <f>IF(YEAR('3 pr-2'!$AK78)=2022,$AP78,0)</f>
        <v>0</v>
      </c>
      <c r="AY78" s="1579">
        <f>IF(YEAR('3 pr-2'!$AK78)=2023,$AP78,0)</f>
        <v>0</v>
      </c>
      <c r="AZ78" s="345"/>
      <c r="BA78" s="536"/>
      <c r="BB78" s="345"/>
      <c r="BC78" s="345"/>
      <c r="BD78" s="345"/>
      <c r="BE78" s="345"/>
      <c r="BF78" s="345"/>
      <c r="BG78" s="345"/>
      <c r="BH78" s="345"/>
      <c r="BI78" s="895">
        <f t="shared" si="335"/>
        <v>0</v>
      </c>
      <c r="BJ78" s="345"/>
      <c r="BK78" s="1597"/>
      <c r="BL78" s="1579"/>
      <c r="BM78" s="1579">
        <f>IF(YEAR('3 pr-2'!AK78)=2017,BJ78,0)</f>
        <v>0</v>
      </c>
      <c r="BN78" s="1579">
        <f>IF(YEAR('3 pr-2'!AK78)=2018,BJ78,0)</f>
        <v>0</v>
      </c>
      <c r="BO78" s="1579">
        <f>IF(YEAR('3 pr-2'!AK78)=2019,BJ78,0)</f>
        <v>0</v>
      </c>
      <c r="BP78" s="1579">
        <f>IF(YEAR('3 pr-2'!AK78)=2020,BJ78,0)</f>
        <v>0</v>
      </c>
      <c r="BQ78" s="1579">
        <f>IF(YEAR('3 pr-2'!AK78)=2021,BJ78,0)</f>
        <v>0</v>
      </c>
      <c r="BR78" s="1579">
        <f>IF(YEAR('3 pr-2'!AK78)=2022,BJ78,0)</f>
        <v>0</v>
      </c>
      <c r="BS78" s="1579">
        <f>IF(YEAR('3 pr-2'!AK78)=2023,BJ78,0)</f>
        <v>0</v>
      </c>
      <c r="BT78" s="350"/>
      <c r="BU78" s="537"/>
      <c r="BV78" s="345"/>
      <c r="BW78" s="345"/>
      <c r="BX78" s="345"/>
      <c r="BY78" s="345"/>
      <c r="BZ78" s="345"/>
      <c r="CA78" s="345"/>
      <c r="CB78" s="345"/>
      <c r="CC78" s="895">
        <f t="shared" si="337"/>
        <v>0</v>
      </c>
      <c r="CD78" s="345"/>
      <c r="CE78" s="1579"/>
      <c r="CF78" s="1579"/>
      <c r="CG78" s="1579">
        <f>IF(YEAR('3 pr-2'!$AK78)=2017,$CD78,0)</f>
        <v>0</v>
      </c>
      <c r="CH78" s="1579">
        <f>IF(YEAR('3 pr-2'!$AK78)=2018,$CD78,0)</f>
        <v>0</v>
      </c>
      <c r="CI78" s="1579">
        <f>IF(YEAR('3 pr-2'!$AK78)=2019,$CD78,0)</f>
        <v>0</v>
      </c>
      <c r="CJ78" s="1579">
        <f>IF(YEAR('3 pr-2'!$AK78)=2020,$CD78,0)</f>
        <v>0</v>
      </c>
      <c r="CK78" s="1579">
        <f>IF(YEAR('3 pr-2'!$AK78)=2021,$CD78,0)</f>
        <v>0</v>
      </c>
      <c r="CL78" s="1579">
        <f>IF(YEAR('3 pr-2'!$AK78)=2022,$CD78,0)</f>
        <v>0</v>
      </c>
      <c r="CM78" s="1579">
        <f>IF(YEAR('3 pr-2'!$AK78)=2023,$CD78,0)</f>
        <v>0</v>
      </c>
      <c r="CN78" s="350"/>
      <c r="CO78" s="538"/>
      <c r="CP78" s="351"/>
      <c r="CQ78" s="345"/>
      <c r="CR78" s="345"/>
      <c r="CS78" s="345"/>
      <c r="CT78" s="345"/>
      <c r="CU78" s="345"/>
      <c r="CV78" s="345"/>
      <c r="CW78" s="895">
        <f t="shared" si="339"/>
        <v>0</v>
      </c>
      <c r="CX78" s="351"/>
      <c r="CY78" s="1605"/>
      <c r="CZ78" s="1605"/>
      <c r="DA78" s="1594">
        <f>IF(YEAR('3 pr-2'!AK78)=2017,CX78,0)</f>
        <v>0</v>
      </c>
      <c r="DB78" s="1594">
        <f>IF(YEAR('3 pr-2'!AK78)=2018,CX78,0)</f>
        <v>0</v>
      </c>
      <c r="DC78" s="1594">
        <f>IF(YEAR('3 pr-2'!AK78)=2019,CX78,0)</f>
        <v>0</v>
      </c>
      <c r="DD78" s="1594">
        <f>IF(YEAR('3 pr-2'!AK78)=2020,CX78,0)</f>
        <v>0</v>
      </c>
      <c r="DE78" s="1594">
        <f>IF(YEAR('3 pr-2'!AK78)=2021,CX78,0)</f>
        <v>0</v>
      </c>
      <c r="DF78" s="1594">
        <f>IF(YEAR('3 pr-2'!AK78)=2022,CX78,0)</f>
        <v>0</v>
      </c>
      <c r="DG78" s="1594">
        <f>IF(YEAR('3 pr-2'!AK78)=2023,CX78,0)</f>
        <v>0</v>
      </c>
      <c r="DH78" s="350"/>
      <c r="DI78" s="538"/>
      <c r="DJ78" s="351"/>
      <c r="DK78" s="345"/>
      <c r="DL78" s="345"/>
      <c r="DM78" s="345"/>
      <c r="DN78" s="345"/>
      <c r="DO78" s="345"/>
      <c r="DP78" s="345"/>
      <c r="DQ78" s="895"/>
      <c r="DR78" s="351"/>
      <c r="DS78" s="1605"/>
      <c r="DT78" s="1605"/>
      <c r="DU78" s="1594"/>
      <c r="DV78" s="1594"/>
      <c r="DW78" s="1594"/>
      <c r="DX78" s="1594"/>
      <c r="DY78" s="1594"/>
      <c r="DZ78" s="1594"/>
      <c r="EA78" s="1594"/>
      <c r="EB78" s="350"/>
      <c r="EC78" s="538"/>
      <c r="ED78" s="333"/>
      <c r="EE78" s="1605"/>
      <c r="EF78" s="1605"/>
      <c r="EG78" s="1594">
        <f>IF(YEAR('3 pr-2'!BP78)=2017,ED78,0)</f>
        <v>0</v>
      </c>
      <c r="EH78" s="1594">
        <f>IF(YEAR('3 pr-2'!BP78)=2018,ED78,0)</f>
        <v>0</v>
      </c>
      <c r="EI78" s="1594">
        <f>IF(YEAR('3 pr-2'!BP78)=2019,ED78,0)</f>
        <v>0</v>
      </c>
      <c r="EJ78" s="1594">
        <f>IF(YEAR('3 pr-2'!BP78)=2020,ED78,0)</f>
        <v>0</v>
      </c>
      <c r="EK78" s="1594">
        <f>IF(YEAR('3 pr-2'!BP78)=2021,ED78,0)</f>
        <v>0</v>
      </c>
      <c r="EL78" s="1594">
        <f>IF(YEAR('3 pr-2'!BP78)=2022,ED78,0)</f>
        <v>0</v>
      </c>
      <c r="EM78" s="1594">
        <f>IF(YEAR('3 pr-2'!BP78)=2023,ED78,0)</f>
        <v>0</v>
      </c>
    </row>
    <row r="79" spans="1:143" ht="29.25" customHeight="1" thickBot="1" x14ac:dyDescent="0.3">
      <c r="A79" s="824" t="str">
        <f>CONCATENATE('3 pr-2'!A79)</f>
        <v>1.1.2.2</v>
      </c>
      <c r="B79" s="1926" t="str">
        <f>CONCATENATE('3 pr-2'!B79)</f>
        <v>Priemonė:
Darnaus judumo priemonių diegimas</v>
      </c>
      <c r="C79" s="1927"/>
      <c r="D79" s="1927"/>
      <c r="E79" s="1927"/>
      <c r="F79" s="1927"/>
      <c r="G79" s="1927"/>
      <c r="H79" s="1927"/>
      <c r="I79" s="1927"/>
      <c r="J79" s="1927"/>
      <c r="K79" s="1928"/>
      <c r="L79" s="1312"/>
      <c r="M79" s="540"/>
      <c r="N79" s="334">
        <f>SUM(N80:N83)</f>
        <v>0</v>
      </c>
      <c r="O79" s="334">
        <f t="shared" ref="O79:T79" si="340">SUM(O80:O83)</f>
        <v>0</v>
      </c>
      <c r="P79" s="334">
        <f t="shared" si="340"/>
        <v>0</v>
      </c>
      <c r="Q79" s="334">
        <f t="shared" si="340"/>
        <v>0</v>
      </c>
      <c r="R79" s="334">
        <f t="shared" si="340"/>
        <v>0</v>
      </c>
      <c r="S79" s="334">
        <f t="shared" si="340"/>
        <v>0</v>
      </c>
      <c r="T79" s="334">
        <f t="shared" si="340"/>
        <v>0</v>
      </c>
      <c r="U79" s="887">
        <f t="shared" si="330"/>
        <v>0</v>
      </c>
      <c r="V79" s="864"/>
      <c r="W79" s="1575"/>
      <c r="X79" s="1576"/>
      <c r="Y79" s="1582">
        <f t="shared" ref="Y79:AE79" si="341">SUM(Y80:Y85)</f>
        <v>0</v>
      </c>
      <c r="Z79" s="1582">
        <f t="shared" si="341"/>
        <v>0</v>
      </c>
      <c r="AA79" s="1582">
        <f t="shared" si="341"/>
        <v>1</v>
      </c>
      <c r="AB79" s="1582">
        <f t="shared" si="341"/>
        <v>1</v>
      </c>
      <c r="AC79" s="1582">
        <f t="shared" si="341"/>
        <v>3</v>
      </c>
      <c r="AD79" s="1582">
        <f t="shared" si="341"/>
        <v>0</v>
      </c>
      <c r="AE79" s="1582">
        <f t="shared" si="341"/>
        <v>0</v>
      </c>
      <c r="AF79" s="878"/>
      <c r="AG79" s="889"/>
      <c r="AH79" s="334">
        <f t="shared" ref="AH79:AN79" si="342">SUM(AH80:AH83)</f>
        <v>1</v>
      </c>
      <c r="AI79" s="334">
        <f t="shared" si="342"/>
        <v>0</v>
      </c>
      <c r="AJ79" s="334">
        <f t="shared" si="342"/>
        <v>0</v>
      </c>
      <c r="AK79" s="334">
        <f t="shared" si="342"/>
        <v>0</v>
      </c>
      <c r="AL79" s="334">
        <f t="shared" si="342"/>
        <v>0</v>
      </c>
      <c r="AM79" s="334">
        <f t="shared" si="342"/>
        <v>0</v>
      </c>
      <c r="AN79" s="334">
        <f t="shared" si="342"/>
        <v>0</v>
      </c>
      <c r="AO79" s="864">
        <f t="shared" si="333"/>
        <v>1</v>
      </c>
      <c r="AP79" s="864"/>
      <c r="AQ79" s="1577"/>
      <c r="AR79" s="1577"/>
      <c r="AS79" s="1577">
        <f t="shared" ref="AS79:AY79" si="343">SUM(AS80:AS83)</f>
        <v>1</v>
      </c>
      <c r="AT79" s="1577">
        <f t="shared" si="343"/>
        <v>1</v>
      </c>
      <c r="AU79" s="1577">
        <f t="shared" si="343"/>
        <v>0</v>
      </c>
      <c r="AV79" s="1577">
        <f t="shared" si="343"/>
        <v>0</v>
      </c>
      <c r="AW79" s="1577">
        <f t="shared" si="343"/>
        <v>0</v>
      </c>
      <c r="AX79" s="1577">
        <f t="shared" si="343"/>
        <v>0</v>
      </c>
      <c r="AY79" s="1577">
        <f t="shared" si="343"/>
        <v>0</v>
      </c>
      <c r="AZ79" s="864"/>
      <c r="BA79" s="889"/>
      <c r="BB79" s="334">
        <f>SUM(BB80:BB83)</f>
        <v>0</v>
      </c>
      <c r="BC79" s="334">
        <f t="shared" ref="BC79" si="344">SUM(BC80:BC83)</f>
        <v>0</v>
      </c>
      <c r="BD79" s="334">
        <f t="shared" ref="BD79" si="345">SUM(BD80:BD83)</f>
        <v>0</v>
      </c>
      <c r="BE79" s="334">
        <f t="shared" ref="BE79" si="346">SUM(BE80:BE83)</f>
        <v>0</v>
      </c>
      <c r="BF79" s="334">
        <f t="shared" ref="BF79" si="347">SUM(BF80:BF83)</f>
        <v>0</v>
      </c>
      <c r="BG79" s="334">
        <f t="shared" ref="BG79" si="348">SUM(BG80:BG83)</f>
        <v>0</v>
      </c>
      <c r="BH79" s="334">
        <f t="shared" ref="BH79" si="349">SUM(BH80:BH83)</f>
        <v>0</v>
      </c>
      <c r="BI79" s="864">
        <f t="shared" si="335"/>
        <v>0</v>
      </c>
      <c r="BJ79" s="864"/>
      <c r="BK79" s="1577"/>
      <c r="BL79" s="1577"/>
      <c r="BM79" s="1577">
        <f t="shared" ref="BM79:BS79" si="350">SUM(BM80:BM83)</f>
        <v>0</v>
      </c>
      <c r="BN79" s="1577">
        <f t="shared" si="350"/>
        <v>0</v>
      </c>
      <c r="BO79" s="1577">
        <f t="shared" si="350"/>
        <v>0</v>
      </c>
      <c r="BP79" s="1577">
        <f t="shared" si="350"/>
        <v>1</v>
      </c>
      <c r="BQ79" s="1577">
        <f t="shared" si="350"/>
        <v>0</v>
      </c>
      <c r="BR79" s="1577">
        <f t="shared" si="350"/>
        <v>0</v>
      </c>
      <c r="BS79" s="1577">
        <f t="shared" si="350"/>
        <v>0</v>
      </c>
      <c r="BT79" s="334"/>
      <c r="BU79" s="538"/>
      <c r="BV79" s="334">
        <f>SUM(BV80:BV83)</f>
        <v>0</v>
      </c>
      <c r="BW79" s="334">
        <f t="shared" ref="BW79" si="351">SUM(BW80:BW83)</f>
        <v>0</v>
      </c>
      <c r="BX79" s="334">
        <f t="shared" ref="BX79" si="352">SUM(BX80:BX83)</f>
        <v>0</v>
      </c>
      <c r="BY79" s="334">
        <f t="shared" ref="BY79" si="353">SUM(BY80:BY83)</f>
        <v>0</v>
      </c>
      <c r="BZ79" s="334">
        <f t="shared" ref="BZ79" si="354">SUM(BZ80:BZ83)</f>
        <v>0</v>
      </c>
      <c r="CA79" s="334">
        <f t="shared" ref="CA79" si="355">SUM(CA80:CA83)</f>
        <v>0</v>
      </c>
      <c r="CB79" s="334">
        <f t="shared" ref="CB79" si="356">SUM(CB80:CB83)</f>
        <v>0</v>
      </c>
      <c r="CC79" s="864">
        <f t="shared" si="337"/>
        <v>0</v>
      </c>
      <c r="CD79" s="334"/>
      <c r="CE79" s="1577"/>
      <c r="CF79" s="1577"/>
      <c r="CG79" s="1577"/>
      <c r="CH79" s="1577"/>
      <c r="CI79" s="1577"/>
      <c r="CJ79" s="1577"/>
      <c r="CK79" s="1577"/>
      <c r="CL79" s="1577"/>
      <c r="CM79" s="1577"/>
      <c r="CN79" s="887"/>
      <c r="CO79" s="538"/>
      <c r="CP79" s="852">
        <f>SUM(CP80:CP83)</f>
        <v>0</v>
      </c>
      <c r="CQ79" s="334">
        <f t="shared" ref="CQ79" si="357">SUM(CQ80:CQ83)</f>
        <v>0</v>
      </c>
      <c r="CR79" s="334">
        <f t="shared" ref="CR79" si="358">SUM(CR80:CR83)</f>
        <v>0</v>
      </c>
      <c r="CS79" s="334">
        <f t="shared" ref="CS79" si="359">SUM(CS80:CS83)</f>
        <v>0</v>
      </c>
      <c r="CT79" s="334">
        <f t="shared" ref="CT79" si="360">SUM(CT80:CT83)</f>
        <v>0</v>
      </c>
      <c r="CU79" s="334">
        <f t="shared" ref="CU79" si="361">SUM(CU80:CU83)</f>
        <v>0</v>
      </c>
      <c r="CV79" s="334">
        <f t="shared" ref="CV79" si="362">SUM(CV80:CV83)</f>
        <v>0</v>
      </c>
      <c r="CW79" s="864">
        <f t="shared" si="339"/>
        <v>0</v>
      </c>
      <c r="CX79" s="334"/>
      <c r="CY79" s="1577"/>
      <c r="CZ79" s="1577"/>
      <c r="DA79" s="1577"/>
      <c r="DB79" s="1577"/>
      <c r="DC79" s="1577"/>
      <c r="DD79" s="1577"/>
      <c r="DE79" s="1577"/>
      <c r="DF79" s="1577"/>
      <c r="DG79" s="1594">
        <f>IF(YEAR('3 pr-2'!AK79)=2023,CX79,0)</f>
        <v>0</v>
      </c>
      <c r="DH79" s="887"/>
      <c r="DI79" s="538"/>
      <c r="DJ79" s="852"/>
      <c r="DK79" s="334"/>
      <c r="DL79" s="334"/>
      <c r="DM79" s="334"/>
      <c r="DN79" s="334"/>
      <c r="DO79" s="334"/>
      <c r="DP79" s="334"/>
      <c r="DQ79" s="864"/>
      <c r="DR79" s="334"/>
      <c r="DS79" s="1577"/>
      <c r="DT79" s="1577"/>
      <c r="DU79" s="1577"/>
      <c r="DV79" s="1577"/>
      <c r="DW79" s="1577"/>
      <c r="DX79" s="1577"/>
      <c r="DY79" s="1577"/>
      <c r="DZ79" s="1577"/>
      <c r="EA79" s="1594"/>
      <c r="EB79" s="887"/>
      <c r="EC79" s="538"/>
      <c r="ED79" s="334"/>
      <c r="EE79" s="1577"/>
      <c r="EF79" s="1577"/>
      <c r="EG79" s="1577"/>
      <c r="EH79" s="1577"/>
      <c r="EI79" s="1577"/>
      <c r="EJ79" s="1577"/>
      <c r="EK79" s="1577"/>
      <c r="EL79" s="1577"/>
      <c r="EM79" s="1594">
        <f>IF(YEAR('3 pr-2'!BP79)=2023,ED79,0)</f>
        <v>0</v>
      </c>
    </row>
    <row r="80" spans="1:143" ht="49.5" thickTop="1" thickBot="1" x14ac:dyDescent="0.3">
      <c r="A80" s="345" t="str">
        <f>CONCATENATE('3 pr-2'!A80)</f>
        <v>1.1.2.2.1</v>
      </c>
      <c r="B80" s="345" t="str">
        <f>CONCATENATE('3 pr-2'!B80)</f>
        <v>R01-5514-190000-1221</v>
      </c>
      <c r="C80" s="1321" t="str">
        <f>CONCATENATE('ketv. 2'!B79)</f>
        <v/>
      </c>
      <c r="D80" s="125" t="str">
        <f>CONCATENATE('3 pr-2'!D80)</f>
        <v>Darnaus judumo priemonių diegimas Alytaus mieste</v>
      </c>
      <c r="E80" s="312" t="str">
        <f>CONCATENATE('3 pr-2'!E80)</f>
        <v>Alytaus miesto savivaldybės administracija</v>
      </c>
      <c r="F80" s="312" t="str">
        <f>CONCATENATE('3 pr-2'!F80)</f>
        <v>Lietuvos Respublikos susisiekimo ministerija</v>
      </c>
      <c r="G80" s="312" t="str">
        <f>CONCATENATE('3 pr-2'!G80)</f>
        <v>Alytaus m. sav.</v>
      </c>
      <c r="H80" s="345" t="str">
        <f>CONCATENATE('3 pr-2'!H80)</f>
        <v>04.5.1.-TID-R-514</v>
      </c>
      <c r="I80" s="345" t="str">
        <f>CONCATENATE('3 pr-2'!I80)</f>
        <v>R</v>
      </c>
      <c r="J80" s="345" t="str">
        <f>CONCATENATE('3 pr-2'!J80)</f>
        <v>ITI</v>
      </c>
      <c r="K80" s="345" t="str">
        <f>CONCATENATE('3 pr-2'!K80)</f>
        <v>-</v>
      </c>
      <c r="L80" s="345" t="s">
        <v>498</v>
      </c>
      <c r="M80" s="537" t="s">
        <v>499</v>
      </c>
      <c r="N80" s="345"/>
      <c r="O80" s="345"/>
      <c r="P80" s="345"/>
      <c r="Q80" s="345"/>
      <c r="R80" s="345"/>
      <c r="S80" s="345"/>
      <c r="T80" s="345"/>
      <c r="U80" s="893">
        <f t="shared" ref="U80:U82" si="363">SUM(N80:T80)</f>
        <v>0</v>
      </c>
      <c r="V80" s="345">
        <v>2</v>
      </c>
      <c r="W80" s="1578">
        <f ca="1">IF('ketv. 6 '!L79&gt;0,"taip",0)</f>
        <v>0</v>
      </c>
      <c r="X80" s="1579"/>
      <c r="Y80" s="1579">
        <f>IF(YEAR('3 pr-2'!$AK80)=2017,$V80,0)</f>
        <v>0</v>
      </c>
      <c r="Z80" s="1579">
        <f>IF(YEAR('3 pr-2'!$AK80)=2018,$V80,0)</f>
        <v>0</v>
      </c>
      <c r="AA80" s="1579">
        <f>IF(YEAR('3 pr-2'!$AK80)=2019,$V80,0)</f>
        <v>0</v>
      </c>
      <c r="AB80" s="1579">
        <f>IF(YEAR('3 pr-2'!$AK80)=2020,$V80,0)</f>
        <v>0</v>
      </c>
      <c r="AC80" s="1579">
        <f>IF(YEAR('3 pr-2'!$AK80)=2021,$V80,0)</f>
        <v>2</v>
      </c>
      <c r="AD80" s="1579">
        <f>IF(YEAR('3 pr-2'!$AK80)=2022,$V80,0)</f>
        <v>0</v>
      </c>
      <c r="AE80" s="1579">
        <f>IF(YEAR('3 pr-2'!$AK80)=2023,$V80,0)</f>
        <v>0</v>
      </c>
      <c r="AF80" s="350"/>
      <c r="AG80" s="537"/>
      <c r="AH80" s="345"/>
      <c r="AI80" s="345"/>
      <c r="AJ80" s="345"/>
      <c r="AK80" s="345"/>
      <c r="AL80" s="345"/>
      <c r="AM80" s="345"/>
      <c r="AN80" s="345"/>
      <c r="AO80" s="895">
        <f t="shared" si="333"/>
        <v>0</v>
      </c>
      <c r="AP80" s="345"/>
      <c r="AQ80" s="1597"/>
      <c r="AR80" s="1579"/>
      <c r="AS80" s="1579">
        <f>IF(YEAR('3 pr-2'!$AK80)=2017,$AP80,0)</f>
        <v>0</v>
      </c>
      <c r="AT80" s="1579">
        <f>IF(YEAR('3 pr-2'!$AK80)=2018,$AP80,0)</f>
        <v>0</v>
      </c>
      <c r="AU80" s="1579">
        <f>IF(YEAR('3 pr-2'!$AK80)=2019,$AP80,0)</f>
        <v>0</v>
      </c>
      <c r="AV80" s="1579">
        <f>IF(YEAR('3 pr-2'!$AK80)=2020,$AP80,0)</f>
        <v>0</v>
      </c>
      <c r="AW80" s="1579">
        <f>IF(YEAR('3 pr-2'!$AK80)=2021,$AP80,0)</f>
        <v>0</v>
      </c>
      <c r="AX80" s="1579">
        <f>IF(YEAR('3 pr-2'!$AK80)=2022,$AP80,0)</f>
        <v>0</v>
      </c>
      <c r="AY80" s="1579">
        <f>IF(YEAR('3 pr-2'!$AK80)=2023,$AP80,0)</f>
        <v>0</v>
      </c>
      <c r="AZ80" s="345"/>
      <c r="BA80" s="536"/>
      <c r="BB80" s="345"/>
      <c r="BC80" s="345"/>
      <c r="BD80" s="345"/>
      <c r="BE80" s="345"/>
      <c r="BF80" s="345"/>
      <c r="BG80" s="345"/>
      <c r="BH80" s="345"/>
      <c r="BI80" s="895">
        <f t="shared" si="335"/>
        <v>0</v>
      </c>
      <c r="BJ80" s="345"/>
      <c r="BK80" s="1597"/>
      <c r="BL80" s="1579"/>
      <c r="BM80" s="1579">
        <f>IF(YEAR('3 pr-2'!AK80)=2017,BJ80,0)</f>
        <v>0</v>
      </c>
      <c r="BN80" s="1579">
        <f>IF(YEAR('3 pr-2'!AK80)=2018,BJ80,0)</f>
        <v>0</v>
      </c>
      <c r="BO80" s="1579">
        <f>IF(YEAR('3 pr-2'!AK80)=2019,BJ80,0)</f>
        <v>0</v>
      </c>
      <c r="BP80" s="1579">
        <f>IF(YEAR('3 pr-2'!AK80)=2020,BJ80,0)</f>
        <v>0</v>
      </c>
      <c r="BQ80" s="1579">
        <f>IF(YEAR('3 pr-2'!AK80)=2021,BJ80,0)</f>
        <v>0</v>
      </c>
      <c r="BR80" s="1579">
        <f>IF(YEAR('3 pr-2'!AK80)=2022,BJ80,0)</f>
        <v>0</v>
      </c>
      <c r="BS80" s="1579">
        <f>IF(YEAR('3 pr-2'!AK80)=2023,BJ80,0)</f>
        <v>0</v>
      </c>
      <c r="BT80" s="350"/>
      <c r="BU80" s="537"/>
      <c r="BV80" s="345"/>
      <c r="BW80" s="345"/>
      <c r="BX80" s="345"/>
      <c r="BY80" s="345"/>
      <c r="BZ80" s="345"/>
      <c r="CA80" s="345"/>
      <c r="CB80" s="345"/>
      <c r="CC80" s="895">
        <f t="shared" si="337"/>
        <v>0</v>
      </c>
      <c r="CD80" s="345"/>
      <c r="CE80" s="1579"/>
      <c r="CF80" s="1579"/>
      <c r="CG80" s="1579">
        <f>IF(YEAR('3 pr-2'!$AK80)=2017,$CD80,0)</f>
        <v>0</v>
      </c>
      <c r="CH80" s="1579">
        <f>IF(YEAR('3 pr-2'!$AK80)=2018,$CD80,0)</f>
        <v>0</v>
      </c>
      <c r="CI80" s="1579">
        <f>IF(YEAR('3 pr-2'!$AK80)=2019,$CD80,0)</f>
        <v>0</v>
      </c>
      <c r="CJ80" s="1579">
        <f>IF(YEAR('3 pr-2'!$AK80)=2020,$CD80,0)</f>
        <v>0</v>
      </c>
      <c r="CK80" s="1579">
        <f>IF(YEAR('3 pr-2'!$AK80)=2021,$CD80,0)</f>
        <v>0</v>
      </c>
      <c r="CL80" s="1579">
        <f>IF(YEAR('3 pr-2'!$AK80)=2022,$CD80,0)</f>
        <v>0</v>
      </c>
      <c r="CM80" s="1579">
        <f>IF(YEAR('3 pr-2'!$AK80)=2023,$CD80,0)</f>
        <v>0</v>
      </c>
      <c r="CN80" s="350"/>
      <c r="CO80" s="538"/>
      <c r="CP80" s="351"/>
      <c r="CQ80" s="345"/>
      <c r="CR80" s="345"/>
      <c r="CS80" s="345"/>
      <c r="CT80" s="345"/>
      <c r="CU80" s="345"/>
      <c r="CV80" s="345"/>
      <c r="CW80" s="895">
        <f t="shared" si="339"/>
        <v>0</v>
      </c>
      <c r="CX80" s="351"/>
      <c r="CY80" s="1605"/>
      <c r="CZ80" s="1605"/>
      <c r="DA80" s="1594">
        <f>IF(YEAR('3 pr-2'!AK80)=2017,CX80,0)</f>
        <v>0</v>
      </c>
      <c r="DB80" s="1594">
        <f>IF(YEAR('3 pr-2'!AK80)=2018,CX80,0)</f>
        <v>0</v>
      </c>
      <c r="DC80" s="1594">
        <f>IF(YEAR('3 pr-2'!AK80)=2019,CX80,0)</f>
        <v>0</v>
      </c>
      <c r="DD80" s="1594">
        <f>IF(YEAR('3 pr-2'!AK80)=2020,CX80,0)</f>
        <v>0</v>
      </c>
      <c r="DE80" s="1594">
        <f>IF(YEAR('3 pr-2'!AK80)=2021,CX80,0)</f>
        <v>0</v>
      </c>
      <c r="DF80" s="1594">
        <f>IF(YEAR('3 pr-2'!AK80)=2022,CX80,0)</f>
        <v>0</v>
      </c>
      <c r="DG80" s="1594">
        <f>IF(YEAR('3 pr-2'!AK80)=2023,CX80,0)</f>
        <v>0</v>
      </c>
      <c r="DH80" s="350"/>
      <c r="DI80" s="538"/>
      <c r="DJ80" s="351"/>
      <c r="DK80" s="345"/>
      <c r="DL80" s="345"/>
      <c r="DM80" s="345"/>
      <c r="DN80" s="345"/>
      <c r="DO80" s="345"/>
      <c r="DP80" s="345"/>
      <c r="DQ80" s="895"/>
      <c r="DR80" s="351"/>
      <c r="DS80" s="1605"/>
      <c r="DT80" s="1605"/>
      <c r="DU80" s="1594"/>
      <c r="DV80" s="1594"/>
      <c r="DW80" s="1594"/>
      <c r="DX80" s="1594"/>
      <c r="DY80" s="1594"/>
      <c r="DZ80" s="1594"/>
      <c r="EA80" s="1594"/>
      <c r="EB80" s="350"/>
      <c r="EC80" s="538"/>
      <c r="ED80" s="333"/>
      <c r="EE80" s="1605"/>
      <c r="EF80" s="1605"/>
      <c r="EG80" s="1594">
        <f>IF(YEAR('3 pr-2'!BP80)=2017,ED80,0)</f>
        <v>0</v>
      </c>
      <c r="EH80" s="1594">
        <f>IF(YEAR('3 pr-2'!BP80)=2018,ED80,0)</f>
        <v>0</v>
      </c>
      <c r="EI80" s="1594">
        <f>IF(YEAR('3 pr-2'!BP80)=2019,ED80,0)</f>
        <v>0</v>
      </c>
      <c r="EJ80" s="1594">
        <f>IF(YEAR('3 pr-2'!BP80)=2020,ED80,0)</f>
        <v>0</v>
      </c>
      <c r="EK80" s="1594">
        <f>IF(YEAR('3 pr-2'!BP80)=2021,ED80,0)</f>
        <v>0</v>
      </c>
      <c r="EL80" s="1594">
        <f>IF(YEAR('3 pr-2'!BP80)=2022,ED80,0)</f>
        <v>0</v>
      </c>
      <c r="EM80" s="1594">
        <f>IF(YEAR('3 pr-2'!BP80)=2023,ED80,0)</f>
        <v>0</v>
      </c>
    </row>
    <row r="81" spans="1:143" ht="49.5" thickTop="1" thickBot="1" x14ac:dyDescent="0.3">
      <c r="A81" s="345" t="str">
        <f>CONCATENATE('3 pr-2'!A81)</f>
        <v>1.1.2.2.2</v>
      </c>
      <c r="B81" s="345" t="str">
        <f>CONCATENATE('3 pr-2'!B81)</f>
        <v>R01-5514-190000-1222</v>
      </c>
      <c r="C81" s="1321" t="str">
        <f>CONCATENATE('ketv. 2'!B80)</f>
        <v>04.5.1-TID-V-513-01-0015</v>
      </c>
      <c r="D81" s="125" t="str">
        <f>CONCATENATE('3 pr-2'!D81)</f>
        <v>Alytaus miesto darnaus judumo plano parengimas</v>
      </c>
      <c r="E81" s="312" t="str">
        <f>CONCATENATE('3 pr-2'!E81)</f>
        <v>Alytaus miesto savivaldybės administracija</v>
      </c>
      <c r="F81" s="312" t="str">
        <f>CONCATENATE('3 pr-2'!F81)</f>
        <v>Lietuvos Respublikos susisiekimo ministerija</v>
      </c>
      <c r="G81" s="312" t="str">
        <f>CONCATENATE('3 pr-2'!G81)</f>
        <v>Alytaus m. sav.</v>
      </c>
      <c r="H81" s="345" t="str">
        <f>CONCATENATE('3 pr-2'!H81)</f>
        <v>04.5.1-TID-V-513</v>
      </c>
      <c r="I81" s="345" t="str">
        <f>CONCATENATE('3 pr-2'!I81)</f>
        <v>V</v>
      </c>
      <c r="J81" s="345" t="str">
        <f>CONCATENATE('3 pr-2'!J81)</f>
        <v>ITI</v>
      </c>
      <c r="K81" s="345" t="str">
        <f>CONCATENATE('3 pr-2'!K81)</f>
        <v>-</v>
      </c>
      <c r="L81" s="345"/>
      <c r="M81" s="537"/>
      <c r="N81" s="345"/>
      <c r="O81" s="345"/>
      <c r="P81" s="345"/>
      <c r="Q81" s="345"/>
      <c r="R81" s="345"/>
      <c r="S81" s="345"/>
      <c r="T81" s="345"/>
      <c r="U81" s="893"/>
      <c r="V81" s="345"/>
      <c r="W81" s="1578" t="str">
        <f>IF('ketv. 6 '!L80&gt;0,"nėra",0)</f>
        <v>nėra</v>
      </c>
      <c r="X81" s="1579"/>
      <c r="Y81" s="1579">
        <f>IF(YEAR('3 pr-2'!$AK81)=2017,$V81,0)</f>
        <v>0</v>
      </c>
      <c r="Z81" s="1579">
        <f>IF(YEAR('3 pr-2'!$AK81)=2018,$V81,0)</f>
        <v>0</v>
      </c>
      <c r="AA81" s="1579">
        <f>IF(YEAR('3 pr-2'!$AK81)=2019,$V81,0)</f>
        <v>0</v>
      </c>
      <c r="AB81" s="1579">
        <f>IF(YEAR('3 pr-2'!$AK81)=2020,$V81,0)</f>
        <v>0</v>
      </c>
      <c r="AC81" s="1579">
        <f>IF(YEAR('3 pr-2'!$AK81)=2021,$V81,0)</f>
        <v>0</v>
      </c>
      <c r="AD81" s="1579">
        <f>IF(YEAR('3 pr-2'!$AK81)=2022,$V81,0)</f>
        <v>0</v>
      </c>
      <c r="AE81" s="1579">
        <f>IF(YEAR('3 pr-2'!$AK81)=2023,$V81,0)</f>
        <v>0</v>
      </c>
      <c r="AF81" s="350" t="s">
        <v>806</v>
      </c>
      <c r="AG81" s="537" t="s">
        <v>807</v>
      </c>
      <c r="AH81" s="345"/>
      <c r="AI81" s="345"/>
      <c r="AJ81" s="345"/>
      <c r="AK81" s="345"/>
      <c r="AL81" s="345"/>
      <c r="AM81" s="345"/>
      <c r="AN81" s="345"/>
      <c r="AO81" s="895">
        <f t="shared" ref="AO81" si="364">SUM(AH81:AN81)</f>
        <v>0</v>
      </c>
      <c r="AP81" s="345">
        <v>1</v>
      </c>
      <c r="AQ81" s="1597">
        <v>1</v>
      </c>
      <c r="AR81" s="1579">
        <f>SUM(AQ81-AP81)</f>
        <v>0</v>
      </c>
      <c r="AS81" s="1579">
        <f>IF(YEAR('3 pr-2'!$AK81)=2017,$AP81,0)</f>
        <v>0</v>
      </c>
      <c r="AT81" s="1579">
        <f>IF(YEAR('3 pr-2'!$AK81)=2018,$AP81,0)</f>
        <v>1</v>
      </c>
      <c r="AU81" s="1579">
        <f>IF(YEAR('3 pr-2'!$AK81)=2019,$AP81,0)</f>
        <v>0</v>
      </c>
      <c r="AV81" s="1579">
        <f>IF(YEAR('3 pr-2'!$AK81)=2020,$AP81,0)</f>
        <v>0</v>
      </c>
      <c r="AW81" s="1579">
        <f>IF(YEAR('3 pr-2'!$AK81)=2021,$AP81,0)</f>
        <v>0</v>
      </c>
      <c r="AX81" s="1579">
        <f>IF(YEAR('3 pr-2'!$AK81)=2022,$AP81,0)</f>
        <v>0</v>
      </c>
      <c r="AY81" s="1579">
        <f>IF(YEAR('3 pr-2'!$AK81)=2023,$AP81,0)</f>
        <v>0</v>
      </c>
      <c r="AZ81" s="345"/>
      <c r="BA81" s="536"/>
      <c r="BB81" s="345"/>
      <c r="BC81" s="345"/>
      <c r="BD81" s="345"/>
      <c r="BE81" s="345"/>
      <c r="BF81" s="345"/>
      <c r="BG81" s="345"/>
      <c r="BH81" s="345"/>
      <c r="BI81" s="895">
        <f t="shared" si="335"/>
        <v>0</v>
      </c>
      <c r="BJ81" s="345"/>
      <c r="BK81" s="1597"/>
      <c r="BL81" s="1579"/>
      <c r="BM81" s="1579">
        <f>IF(YEAR('3 pr-2'!AK81)=2017,BJ81,0)</f>
        <v>0</v>
      </c>
      <c r="BN81" s="1579">
        <f>IF(YEAR('3 pr-2'!AK81)=2018,BJ81,0)</f>
        <v>0</v>
      </c>
      <c r="BO81" s="1579">
        <f>IF(YEAR('3 pr-2'!AK81)=2019,BJ81,0)</f>
        <v>0</v>
      </c>
      <c r="BP81" s="1579">
        <f>IF(YEAR('3 pr-2'!AK81)=2020,BJ81,0)</f>
        <v>0</v>
      </c>
      <c r="BQ81" s="1579">
        <f>IF(YEAR('3 pr-2'!AK81)=2021,BJ81,0)</f>
        <v>0</v>
      </c>
      <c r="BR81" s="1579">
        <f>IF(YEAR('3 pr-2'!AK81)=2022,BJ81,0)</f>
        <v>0</v>
      </c>
      <c r="BS81" s="1579">
        <f>IF(YEAR('3 pr-2'!AK81)=2023,BJ81,0)</f>
        <v>0</v>
      </c>
      <c r="BT81" s="350"/>
      <c r="BU81" s="537"/>
      <c r="BV81" s="345"/>
      <c r="BW81" s="345"/>
      <c r="BX81" s="345"/>
      <c r="BY81" s="345"/>
      <c r="BZ81" s="345"/>
      <c r="CA81" s="345"/>
      <c r="CB81" s="345"/>
      <c r="CC81" s="895">
        <f t="shared" si="337"/>
        <v>0</v>
      </c>
      <c r="CD81" s="345"/>
      <c r="CE81" s="1579"/>
      <c r="CF81" s="1579"/>
      <c r="CG81" s="1579">
        <f>IF(YEAR('3 pr-2'!$AK81)=2017,$CD81,0)</f>
        <v>0</v>
      </c>
      <c r="CH81" s="1579">
        <f>IF(YEAR('3 pr-2'!$AK81)=2018,$CD81,0)</f>
        <v>0</v>
      </c>
      <c r="CI81" s="1579">
        <f>IF(YEAR('3 pr-2'!$AK81)=2019,$CD81,0)</f>
        <v>0</v>
      </c>
      <c r="CJ81" s="1579">
        <f>IF(YEAR('3 pr-2'!$AK81)=2020,$CD81,0)</f>
        <v>0</v>
      </c>
      <c r="CK81" s="1579">
        <f>IF(YEAR('3 pr-2'!$AK81)=2021,$CD81,0)</f>
        <v>0</v>
      </c>
      <c r="CL81" s="1579">
        <f>IF(YEAR('3 pr-2'!$AK81)=2022,$CD81,0)</f>
        <v>0</v>
      </c>
      <c r="CM81" s="1579">
        <f>IF(YEAR('3 pr-2'!$AK81)=2023,$CD81,0)</f>
        <v>0</v>
      </c>
      <c r="CN81" s="350"/>
      <c r="CO81" s="538"/>
      <c r="CP81" s="351"/>
      <c r="CQ81" s="345"/>
      <c r="CR81" s="345"/>
      <c r="CS81" s="345"/>
      <c r="CT81" s="345"/>
      <c r="CU81" s="345"/>
      <c r="CV81" s="345"/>
      <c r="CW81" s="895">
        <f t="shared" si="339"/>
        <v>0</v>
      </c>
      <c r="CX81" s="351"/>
      <c r="CY81" s="1605"/>
      <c r="CZ81" s="1605"/>
      <c r="DA81" s="1594">
        <f>IF(YEAR('3 pr-2'!AK81)=2017,CX81,0)</f>
        <v>0</v>
      </c>
      <c r="DB81" s="1594">
        <f>IF(YEAR('3 pr-2'!AK81)=2018,CX81,0)</f>
        <v>0</v>
      </c>
      <c r="DC81" s="1594">
        <f>IF(YEAR('3 pr-2'!AK81)=2019,CX81,0)</f>
        <v>0</v>
      </c>
      <c r="DD81" s="1594">
        <f>IF(YEAR('3 pr-2'!AK81)=2020,CX81,0)</f>
        <v>0</v>
      </c>
      <c r="DE81" s="1594">
        <f>IF(YEAR('3 pr-2'!AK81)=2021,CX81,0)</f>
        <v>0</v>
      </c>
      <c r="DF81" s="1594">
        <f>IF(YEAR('3 pr-2'!AK81)=2022,CX81,0)</f>
        <v>0</v>
      </c>
      <c r="DG81" s="1594">
        <f>IF(YEAR('3 pr-2'!AK81)=2023,CX81,0)</f>
        <v>0</v>
      </c>
      <c r="DH81" s="350"/>
      <c r="DI81" s="538"/>
      <c r="DJ81" s="351"/>
      <c r="DK81" s="345"/>
      <c r="DL81" s="345"/>
      <c r="DM81" s="345"/>
      <c r="DN81" s="345"/>
      <c r="DO81" s="345"/>
      <c r="DP81" s="345"/>
      <c r="DQ81" s="895"/>
      <c r="DR81" s="351"/>
      <c r="DS81" s="1605"/>
      <c r="DT81" s="1605"/>
      <c r="DU81" s="1594"/>
      <c r="DV81" s="1594"/>
      <c r="DW81" s="1594"/>
      <c r="DX81" s="1594"/>
      <c r="DY81" s="1594"/>
      <c r="DZ81" s="1594"/>
      <c r="EA81" s="1594"/>
      <c r="EB81" s="350"/>
      <c r="EC81" s="538"/>
      <c r="ED81" s="333"/>
      <c r="EE81" s="1605"/>
      <c r="EF81" s="1605"/>
      <c r="EG81" s="1594">
        <f>IF(YEAR('3 pr-2'!BP81)=2017,ED81,0)</f>
        <v>0</v>
      </c>
      <c r="EH81" s="1594">
        <f>IF(YEAR('3 pr-2'!BP81)=2018,ED81,0)</f>
        <v>0</v>
      </c>
      <c r="EI81" s="1594">
        <f>IF(YEAR('3 pr-2'!BP81)=2019,ED81,0)</f>
        <v>0</v>
      </c>
      <c r="EJ81" s="1594">
        <f>IF(YEAR('3 pr-2'!BP81)=2020,ED81,0)</f>
        <v>0</v>
      </c>
      <c r="EK81" s="1594">
        <f>IF(YEAR('3 pr-2'!BP81)=2021,ED81,0)</f>
        <v>0</v>
      </c>
      <c r="EL81" s="1594">
        <f>IF(YEAR('3 pr-2'!BP81)=2022,ED81,0)</f>
        <v>0</v>
      </c>
      <c r="EM81" s="1594">
        <f>IF(YEAR('3 pr-2'!BP81)=2023,ED81,0)</f>
        <v>0</v>
      </c>
    </row>
    <row r="82" spans="1:143" ht="49.5" thickTop="1" thickBot="1" x14ac:dyDescent="0.3">
      <c r="A82" s="345" t="str">
        <f>CONCATENATE('3 pr-2'!A82)</f>
        <v>1.1.2.2.3</v>
      </c>
      <c r="B82" s="345" t="str">
        <f>CONCATENATE('3 pr-2'!B82)</f>
        <v>R01-5514-191800-1223</v>
      </c>
      <c r="C82" s="1321" t="str">
        <f>CONCATENATE('ketv. 2'!B81)</f>
        <v/>
      </c>
      <c r="D82" s="125" t="str">
        <f>CONCATENATE('3 pr-2'!D82)</f>
        <v>Intelektinių transporto sistemų diegimas Druskininkuose</v>
      </c>
      <c r="E82" s="312" t="str">
        <f>CONCATENATE('3 pr-2'!E82)</f>
        <v>Druskininkų savivaldybės administracija</v>
      </c>
      <c r="F82" s="312" t="str">
        <f>CONCATENATE('3 pr-2'!F82)</f>
        <v>Lietuvos Respublikos susisiekimo ministerija</v>
      </c>
      <c r="G82" s="312" t="str">
        <f>CONCATENATE('3 pr-2'!G82)</f>
        <v>Druskininkų sav.</v>
      </c>
      <c r="H82" s="345" t="str">
        <f>CONCATENATE('3 pr-2'!H82)</f>
        <v>04.5.1.-TID-R-514</v>
      </c>
      <c r="I82" s="345" t="str">
        <f>CONCATENATE('3 pr-2'!I82)</f>
        <v>R</v>
      </c>
      <c r="J82" s="345" t="str">
        <f>CONCATENATE('3 pr-2'!J82)</f>
        <v>-</v>
      </c>
      <c r="K82" s="345" t="str">
        <f>CONCATENATE('3 pr-2'!K82)</f>
        <v>-</v>
      </c>
      <c r="L82" s="345" t="s">
        <v>498</v>
      </c>
      <c r="M82" s="537" t="s">
        <v>499</v>
      </c>
      <c r="N82" s="345"/>
      <c r="O82" s="345"/>
      <c r="P82" s="345"/>
      <c r="Q82" s="345"/>
      <c r="R82" s="345"/>
      <c r="S82" s="345"/>
      <c r="T82" s="345"/>
      <c r="U82" s="893">
        <f t="shared" si="363"/>
        <v>0</v>
      </c>
      <c r="V82" s="345">
        <v>1</v>
      </c>
      <c r="W82" s="1578">
        <f ca="1">IF('ketv. 6 '!L81&gt;0,"taip",0)</f>
        <v>0</v>
      </c>
      <c r="X82" s="1579"/>
      <c r="Y82" s="1579">
        <f>IF(YEAR('3 pr-2'!$AK82)=2017,$V82,0)</f>
        <v>0</v>
      </c>
      <c r="Z82" s="1579">
        <f>IF(YEAR('3 pr-2'!$AK82)=2018,$V82,0)</f>
        <v>0</v>
      </c>
      <c r="AA82" s="1579">
        <f>IF(YEAR('3 pr-2'!$AK82)=2019,$V82,0)</f>
        <v>0</v>
      </c>
      <c r="AB82" s="1579">
        <f>IF(YEAR('3 pr-2'!$AK82)=2020,$V82,0)</f>
        <v>1</v>
      </c>
      <c r="AC82" s="1579">
        <f>IF(YEAR('3 pr-2'!$AK82)=2021,$V82,0)</f>
        <v>0</v>
      </c>
      <c r="AD82" s="1579">
        <f>IF(YEAR('3 pr-2'!$AK82)=2022,$V82,0)</f>
        <v>0</v>
      </c>
      <c r="AE82" s="1579">
        <f>IF(YEAR('3 pr-2'!$AK82)=2023,$V82,0)</f>
        <v>0</v>
      </c>
      <c r="AF82" s="350"/>
      <c r="AG82" s="537"/>
      <c r="AH82" s="345"/>
      <c r="AI82" s="345"/>
      <c r="AJ82" s="345"/>
      <c r="AK82" s="345"/>
      <c r="AL82" s="345"/>
      <c r="AM82" s="345"/>
      <c r="AN82" s="345"/>
      <c r="AO82" s="895">
        <f t="shared" si="333"/>
        <v>0</v>
      </c>
      <c r="AP82" s="345"/>
      <c r="AQ82" s="1597"/>
      <c r="AR82" s="1579"/>
      <c r="AS82" s="1579">
        <f>IF(YEAR('3 pr-2'!$AK82)=2017,$AP82,0)</f>
        <v>0</v>
      </c>
      <c r="AT82" s="1579">
        <f>IF(YEAR('3 pr-2'!$AK82)=2018,$AP82,0)</f>
        <v>0</v>
      </c>
      <c r="AU82" s="1579">
        <f>IF(YEAR('3 pr-2'!$AK82)=2019,$AP82,0)</f>
        <v>0</v>
      </c>
      <c r="AV82" s="1579">
        <f>IF(YEAR('3 pr-2'!$AK82)=2020,$AP82,0)</f>
        <v>0</v>
      </c>
      <c r="AW82" s="1579">
        <f>IF(YEAR('3 pr-2'!$AK82)=2021,$AP82,0)</f>
        <v>0</v>
      </c>
      <c r="AX82" s="1579">
        <f>IF(YEAR('3 pr-2'!$AK82)=2022,$AP82,0)</f>
        <v>0</v>
      </c>
      <c r="AY82" s="1579">
        <f>IF(YEAR('3 pr-2'!$AK82)=2023,$AP82,0)</f>
        <v>0</v>
      </c>
      <c r="AZ82" s="345" t="s">
        <v>1431</v>
      </c>
      <c r="BA82" s="547" t="s">
        <v>1432</v>
      </c>
      <c r="BB82" s="345"/>
      <c r="BC82" s="345"/>
      <c r="BD82" s="345"/>
      <c r="BE82" s="345"/>
      <c r="BF82" s="345"/>
      <c r="BG82" s="345"/>
      <c r="BH82" s="345"/>
      <c r="BI82" s="895">
        <f t="shared" si="335"/>
        <v>0</v>
      </c>
      <c r="BJ82" s="345">
        <v>1</v>
      </c>
      <c r="BK82" s="1597"/>
      <c r="BL82" s="1579"/>
      <c r="BM82" s="1579">
        <f>IF(YEAR('3 pr-2'!AK82)=2017,BJ82,0)</f>
        <v>0</v>
      </c>
      <c r="BN82" s="1579">
        <f>IF(YEAR('3 pr-2'!AK82)=2018,BJ82,0)</f>
        <v>0</v>
      </c>
      <c r="BO82" s="1579">
        <f>IF(YEAR('3 pr-2'!AK82)=2019,BJ82,0)</f>
        <v>0</v>
      </c>
      <c r="BP82" s="1579">
        <f>IF(YEAR('3 pr-2'!AK82)=2020,BJ82,0)</f>
        <v>1</v>
      </c>
      <c r="BQ82" s="1579">
        <f>IF(YEAR('3 pr-2'!AK82)=2021,BJ82,0)</f>
        <v>0</v>
      </c>
      <c r="BR82" s="1579">
        <f>IF(YEAR('3 pr-2'!AK82)=2022,BJ82,0)</f>
        <v>0</v>
      </c>
      <c r="BS82" s="1579">
        <f>IF(YEAR('3 pr-2'!AK82)=2023,BJ82,0)</f>
        <v>0</v>
      </c>
      <c r="BT82" s="350"/>
      <c r="BU82" s="537"/>
      <c r="BV82" s="345"/>
      <c r="BW82" s="345"/>
      <c r="BX82" s="345"/>
      <c r="BY82" s="345"/>
      <c r="BZ82" s="345"/>
      <c r="CA82" s="345"/>
      <c r="CB82" s="345"/>
      <c r="CC82" s="895">
        <f t="shared" si="337"/>
        <v>0</v>
      </c>
      <c r="CD82" s="345"/>
      <c r="CE82" s="1579"/>
      <c r="CF82" s="1579"/>
      <c r="CG82" s="1579">
        <f>IF(YEAR('3 pr-2'!$AK82)=2017,$CD82,0)</f>
        <v>0</v>
      </c>
      <c r="CH82" s="1579">
        <f>IF(YEAR('3 pr-2'!$AK82)=2018,$CD82,0)</f>
        <v>0</v>
      </c>
      <c r="CI82" s="1579">
        <f>IF(YEAR('3 pr-2'!$AK82)=2019,$CD82,0)</f>
        <v>0</v>
      </c>
      <c r="CJ82" s="1579">
        <f>IF(YEAR('3 pr-2'!$AK82)=2020,$CD82,0)</f>
        <v>0</v>
      </c>
      <c r="CK82" s="1579">
        <f>IF(YEAR('3 pr-2'!$AK82)=2021,$CD82,0)</f>
        <v>0</v>
      </c>
      <c r="CL82" s="1579">
        <f>IF(YEAR('3 pr-2'!$AK82)=2022,$CD82,0)</f>
        <v>0</v>
      </c>
      <c r="CM82" s="1579">
        <f>IF(YEAR('3 pr-2'!$AK82)=2023,$CD82,0)</f>
        <v>0</v>
      </c>
      <c r="CN82" s="350"/>
      <c r="CO82" s="538"/>
      <c r="CP82" s="351"/>
      <c r="CQ82" s="345"/>
      <c r="CR82" s="345"/>
      <c r="CS82" s="345"/>
      <c r="CT82" s="345"/>
      <c r="CU82" s="345"/>
      <c r="CV82" s="345"/>
      <c r="CW82" s="895">
        <f t="shared" si="339"/>
        <v>0</v>
      </c>
      <c r="CX82" s="351"/>
      <c r="CY82" s="1605"/>
      <c r="CZ82" s="1605"/>
      <c r="DA82" s="1594">
        <f>IF(YEAR('3 pr-2'!AK82)=2017,CX82,0)</f>
        <v>0</v>
      </c>
      <c r="DB82" s="1594">
        <f>IF(YEAR('3 pr-2'!AK82)=2018,CX82,0)</f>
        <v>0</v>
      </c>
      <c r="DC82" s="1594">
        <f>IF(YEAR('3 pr-2'!AK82)=2019,CX82,0)</f>
        <v>0</v>
      </c>
      <c r="DD82" s="1594">
        <f>IF(YEAR('3 pr-2'!AK82)=2020,CX82,0)</f>
        <v>0</v>
      </c>
      <c r="DE82" s="1594">
        <f>IF(YEAR('3 pr-2'!AK82)=2021,CX82,0)</f>
        <v>0</v>
      </c>
      <c r="DF82" s="1594">
        <f>IF(YEAR('3 pr-2'!AK82)=2022,CX82,0)</f>
        <v>0</v>
      </c>
      <c r="DG82" s="1594">
        <f>IF(YEAR('3 pr-2'!AK82)=2023,CX82,0)</f>
        <v>0</v>
      </c>
      <c r="DH82" s="350"/>
      <c r="DI82" s="538"/>
      <c r="DJ82" s="351"/>
      <c r="DK82" s="345"/>
      <c r="DL82" s="345"/>
      <c r="DM82" s="345"/>
      <c r="DN82" s="345"/>
      <c r="DO82" s="345"/>
      <c r="DP82" s="345"/>
      <c r="DQ82" s="895"/>
      <c r="DR82" s="351"/>
      <c r="DS82" s="1605"/>
      <c r="DT82" s="1605"/>
      <c r="DU82" s="1594"/>
      <c r="DV82" s="1594"/>
      <c r="DW82" s="1594"/>
      <c r="DX82" s="1594"/>
      <c r="DY82" s="1594"/>
      <c r="DZ82" s="1594"/>
      <c r="EA82" s="1594"/>
      <c r="EB82" s="350"/>
      <c r="EC82" s="538"/>
      <c r="ED82" s="333"/>
      <c r="EE82" s="1605"/>
      <c r="EF82" s="1605"/>
      <c r="EG82" s="1594">
        <f>IF(YEAR('3 pr-2'!BP82)=2017,ED82,0)</f>
        <v>0</v>
      </c>
      <c r="EH82" s="1594">
        <f>IF(YEAR('3 pr-2'!BP82)=2018,ED82,0)</f>
        <v>0</v>
      </c>
      <c r="EI82" s="1594">
        <f>IF(YEAR('3 pr-2'!BP82)=2019,ED82,0)</f>
        <v>0</v>
      </c>
      <c r="EJ82" s="1594">
        <f>IF(YEAR('3 pr-2'!BP82)=2020,ED82,0)</f>
        <v>0</v>
      </c>
      <c r="EK82" s="1594">
        <f>IF(YEAR('3 pr-2'!BP82)=2021,ED82,0)</f>
        <v>0</v>
      </c>
      <c r="EL82" s="1594">
        <f>IF(YEAR('3 pr-2'!BP82)=2022,ED82,0)</f>
        <v>0</v>
      </c>
      <c r="EM82" s="1594">
        <f>IF(YEAR('3 pr-2'!BP82)=2023,ED82,0)</f>
        <v>0</v>
      </c>
    </row>
    <row r="83" spans="1:143" ht="49.5" thickTop="1" thickBot="1" x14ac:dyDescent="0.3">
      <c r="A83" s="345" t="str">
        <f>CONCATENATE('3 pr-2'!A83)</f>
        <v>1.1.2.2.4</v>
      </c>
      <c r="B83" s="345" t="str">
        <f>CONCATENATE('3 pr-2'!B83)</f>
        <v>R01-5514-190000-1224</v>
      </c>
      <c r="C83" s="1321" t="str">
        <f>CONCATENATE('ketv. 2'!B82)</f>
        <v>04.5.1-TID-V-513-01-0006</v>
      </c>
      <c r="D83" s="125" t="str">
        <f>CONCATENATE('3 pr-2'!D83)</f>
        <v>Darnaus judumo plano Druskininkuose parengimas</v>
      </c>
      <c r="E83" s="312" t="str">
        <f>CONCATENATE('3 pr-2'!E83)</f>
        <v>Druskininkų savivaldybės administracija</v>
      </c>
      <c r="F83" s="312" t="str">
        <f>CONCATENATE('3 pr-2'!F83)</f>
        <v>Lietuvos Respublikos susisiekimo ministerija</v>
      </c>
      <c r="G83" s="312" t="str">
        <f>CONCATENATE('3 pr-2'!G83)</f>
        <v>Druskininkų sav.</v>
      </c>
      <c r="H83" s="345" t="str">
        <f>CONCATENATE('3 pr-2'!H83)</f>
        <v>04.5.1-TID-V-513</v>
      </c>
      <c r="I83" s="345" t="str">
        <f>CONCATENATE('3 pr-2'!I83)</f>
        <v>V</v>
      </c>
      <c r="J83" s="345" t="str">
        <f>CONCATENATE('3 pr-2'!J83)</f>
        <v>ITI</v>
      </c>
      <c r="K83" s="345" t="str">
        <f>CONCATENATE('3 pr-2'!K83)</f>
        <v>-</v>
      </c>
      <c r="L83" s="345"/>
      <c r="M83" s="537"/>
      <c r="N83" s="345"/>
      <c r="O83" s="345"/>
      <c r="P83" s="345"/>
      <c r="Q83" s="345"/>
      <c r="R83" s="345"/>
      <c r="S83" s="345"/>
      <c r="T83" s="345"/>
      <c r="U83" s="893"/>
      <c r="V83" s="345"/>
      <c r="W83" s="1578" t="str">
        <f>IF('ketv. 6 '!L82&gt;0,"taip",0)</f>
        <v>taip</v>
      </c>
      <c r="X83" s="1579"/>
      <c r="Y83" s="1579">
        <f>IF(YEAR('3 pr-2'!$AK83)=2017,$V83,0)</f>
        <v>0</v>
      </c>
      <c r="Z83" s="1579">
        <f>IF(YEAR('3 pr-2'!$AK83)=2018,$V83,0)</f>
        <v>0</v>
      </c>
      <c r="AA83" s="1579">
        <f>IF(YEAR('3 pr-2'!$AK83)=2019,$V83,0)</f>
        <v>0</v>
      </c>
      <c r="AB83" s="1579">
        <f>IF(YEAR('3 pr-2'!$AK83)=2020,$V83,0)</f>
        <v>0</v>
      </c>
      <c r="AC83" s="1579">
        <f>IF(YEAR('3 pr-2'!$AK83)=2021,$V83,0)</f>
        <v>0</v>
      </c>
      <c r="AD83" s="1579">
        <f>IF(YEAR('3 pr-2'!$AK83)=2022,$V83,0)</f>
        <v>0</v>
      </c>
      <c r="AE83" s="1579">
        <f>IF(YEAR('3 pr-2'!$AK83)=2023,$V83,0)</f>
        <v>0</v>
      </c>
      <c r="AF83" s="350" t="s">
        <v>806</v>
      </c>
      <c r="AG83" s="537" t="s">
        <v>807</v>
      </c>
      <c r="AH83" s="345">
        <v>1</v>
      </c>
      <c r="AI83" s="345"/>
      <c r="AJ83" s="345"/>
      <c r="AK83" s="345"/>
      <c r="AL83" s="345"/>
      <c r="AM83" s="345"/>
      <c r="AN83" s="345"/>
      <c r="AO83" s="895">
        <f t="shared" ref="AO83" si="365">SUM(AH83:AN83)</f>
        <v>1</v>
      </c>
      <c r="AP83" s="345">
        <v>1</v>
      </c>
      <c r="AQ83" s="1597">
        <v>1</v>
      </c>
      <c r="AR83" s="1579">
        <f>SUM(AQ83-AP83)</f>
        <v>0</v>
      </c>
      <c r="AS83" s="1579">
        <f>IF(YEAR('3 pr-2'!$AK83)=2017,$AP83,0)</f>
        <v>1</v>
      </c>
      <c r="AT83" s="1579">
        <f>IF(YEAR('3 pr-2'!$AK83)=2018,$AP83,0)</f>
        <v>0</v>
      </c>
      <c r="AU83" s="1579">
        <f>IF(YEAR('3 pr-2'!$AK83)=2019,$AP83,0)</f>
        <v>0</v>
      </c>
      <c r="AV83" s="1579">
        <f>IF(YEAR('3 pr-2'!$AK83)=2020,$AP83,0)</f>
        <v>0</v>
      </c>
      <c r="AW83" s="1579">
        <f>IF(YEAR('3 pr-2'!$AK83)=2021,$AP83,0)</f>
        <v>0</v>
      </c>
      <c r="AX83" s="1579">
        <f>IF(YEAR('3 pr-2'!$AK83)=2022,$AP83,0)</f>
        <v>0</v>
      </c>
      <c r="AY83" s="1579">
        <f>IF(YEAR('3 pr-2'!$AK83)=2023,$AP83,0)</f>
        <v>0</v>
      </c>
      <c r="AZ83" s="345"/>
      <c r="BA83" s="536"/>
      <c r="BB83" s="345"/>
      <c r="BC83" s="345"/>
      <c r="BD83" s="345"/>
      <c r="BE83" s="345"/>
      <c r="BF83" s="345"/>
      <c r="BG83" s="345"/>
      <c r="BH83" s="345"/>
      <c r="BI83" s="895">
        <f t="shared" si="335"/>
        <v>0</v>
      </c>
      <c r="BJ83" s="345"/>
      <c r="BK83" s="1597"/>
      <c r="BL83" s="1579"/>
      <c r="BM83" s="1579">
        <f>IF(YEAR('3 pr-2'!AK83)=2017,BJ83,0)</f>
        <v>0</v>
      </c>
      <c r="BN83" s="1579">
        <f>IF(YEAR('3 pr-2'!AK83)=2018,BJ83,0)</f>
        <v>0</v>
      </c>
      <c r="BO83" s="1579">
        <f>IF(YEAR('3 pr-2'!AK83)=2019,BJ83,0)</f>
        <v>0</v>
      </c>
      <c r="BP83" s="1579">
        <f>IF(YEAR('3 pr-2'!AK83)=2020,BJ83,0)</f>
        <v>0</v>
      </c>
      <c r="BQ83" s="1579">
        <f>IF(YEAR('3 pr-2'!AK83)=2021,BJ83,0)</f>
        <v>0</v>
      </c>
      <c r="BR83" s="1579">
        <f>IF(YEAR('3 pr-2'!AK83)=2022,BJ83,0)</f>
        <v>0</v>
      </c>
      <c r="BS83" s="1579">
        <f>IF(YEAR('3 pr-2'!AK83)=2023,BJ83,0)</f>
        <v>0</v>
      </c>
      <c r="BT83" s="350"/>
      <c r="BU83" s="537"/>
      <c r="BV83" s="345"/>
      <c r="BW83" s="345"/>
      <c r="BX83" s="345"/>
      <c r="BY83" s="345"/>
      <c r="BZ83" s="345"/>
      <c r="CA83" s="345"/>
      <c r="CB83" s="345"/>
      <c r="CC83" s="895">
        <f t="shared" si="337"/>
        <v>0</v>
      </c>
      <c r="CD83" s="345"/>
      <c r="CE83" s="1579"/>
      <c r="CF83" s="1579"/>
      <c r="CG83" s="1579">
        <f>IF(YEAR('3 pr-2'!$AK83)=2017,$CD83,0)</f>
        <v>0</v>
      </c>
      <c r="CH83" s="1579">
        <f>IF(YEAR('3 pr-2'!$AK83)=2018,$CD83,0)</f>
        <v>0</v>
      </c>
      <c r="CI83" s="1579">
        <f>IF(YEAR('3 pr-2'!$AK83)=2019,$CD83,0)</f>
        <v>0</v>
      </c>
      <c r="CJ83" s="1579">
        <f>IF(YEAR('3 pr-2'!$AK83)=2020,$CD83,0)</f>
        <v>0</v>
      </c>
      <c r="CK83" s="1579">
        <f>IF(YEAR('3 pr-2'!$AK83)=2021,$CD83,0)</f>
        <v>0</v>
      </c>
      <c r="CL83" s="1579">
        <f>IF(YEAR('3 pr-2'!$AK83)=2022,$CD83,0)</f>
        <v>0</v>
      </c>
      <c r="CM83" s="1579">
        <f>IF(YEAR('3 pr-2'!$AK83)=2023,$CD83,0)</f>
        <v>0</v>
      </c>
      <c r="CN83" s="350"/>
      <c r="CO83" s="538"/>
      <c r="CP83" s="351"/>
      <c r="CQ83" s="345"/>
      <c r="CR83" s="345"/>
      <c r="CS83" s="345"/>
      <c r="CT83" s="345"/>
      <c r="CU83" s="345"/>
      <c r="CV83" s="345"/>
      <c r="CW83" s="895">
        <f t="shared" si="339"/>
        <v>0</v>
      </c>
      <c r="CX83" s="351"/>
      <c r="CY83" s="1605"/>
      <c r="CZ83" s="1605"/>
      <c r="DA83" s="1594">
        <f>IF(YEAR('3 pr-2'!AK83)=2017,CX83,0)</f>
        <v>0</v>
      </c>
      <c r="DB83" s="1594">
        <f>IF(YEAR('3 pr-2'!AK83)=2018,CX83,0)</f>
        <v>0</v>
      </c>
      <c r="DC83" s="1594">
        <f>IF(YEAR('3 pr-2'!AK83)=2019,CX83,0)</f>
        <v>0</v>
      </c>
      <c r="DD83" s="1594">
        <f>IF(YEAR('3 pr-2'!AK83)=2020,CX83,0)</f>
        <v>0</v>
      </c>
      <c r="DE83" s="1594">
        <f>IF(YEAR('3 pr-2'!AK83)=2021,CX83,0)</f>
        <v>0</v>
      </c>
      <c r="DF83" s="1594">
        <f>IF(YEAR('3 pr-2'!AK83)=2022,CX83,0)</f>
        <v>0</v>
      </c>
      <c r="DG83" s="1594">
        <f>IF(YEAR('3 pr-2'!AK83)=2023,CX83,0)</f>
        <v>0</v>
      </c>
      <c r="DH83" s="350"/>
      <c r="DI83" s="538"/>
      <c r="DJ83" s="351"/>
      <c r="DK83" s="345"/>
      <c r="DL83" s="345"/>
      <c r="DM83" s="345"/>
      <c r="DN83" s="345"/>
      <c r="DO83" s="345"/>
      <c r="DP83" s="345"/>
      <c r="DQ83" s="895"/>
      <c r="DR83" s="351"/>
      <c r="DS83" s="1605"/>
      <c r="DT83" s="1605"/>
      <c r="DU83" s="1594"/>
      <c r="DV83" s="1594"/>
      <c r="DW83" s="1594"/>
      <c r="DX83" s="1594"/>
      <c r="DY83" s="1594"/>
      <c r="DZ83" s="1594"/>
      <c r="EA83" s="1594"/>
      <c r="EB83" s="350"/>
      <c r="EC83" s="538"/>
      <c r="ED83" s="333"/>
      <c r="EE83" s="1605"/>
      <c r="EF83" s="1605"/>
      <c r="EG83" s="1594">
        <f>IF(YEAR('3 pr-2'!BP83)=2017,ED83,0)</f>
        <v>0</v>
      </c>
      <c r="EH83" s="1594">
        <f>IF(YEAR('3 pr-2'!BP83)=2018,ED83,0)</f>
        <v>0</v>
      </c>
      <c r="EI83" s="1594">
        <f>IF(YEAR('3 pr-2'!BP83)=2019,ED83,0)</f>
        <v>0</v>
      </c>
      <c r="EJ83" s="1594">
        <f>IF(YEAR('3 pr-2'!BP83)=2020,ED83,0)</f>
        <v>0</v>
      </c>
      <c r="EK83" s="1594">
        <f>IF(YEAR('3 pr-2'!BP83)=2021,ED83,0)</f>
        <v>0</v>
      </c>
      <c r="EL83" s="1594">
        <f>IF(YEAR('3 pr-2'!BP83)=2022,ED83,0)</f>
        <v>0</v>
      </c>
      <c r="EM83" s="1594">
        <f>IF(YEAR('3 pr-2'!BP83)=2023,ED83,0)</f>
        <v>0</v>
      </c>
    </row>
    <row r="84" spans="1:143" ht="73.5" thickTop="1" thickBot="1" x14ac:dyDescent="0.3">
      <c r="A84" s="345" t="str">
        <f>CONCATENATE('3 pr-2'!A84)</f>
        <v>1.1.2.2.5</v>
      </c>
      <c r="B84" s="345" t="str">
        <f>CONCATENATE('3 pr-2'!B84)</f>
        <v>R01-5514-190000-1225</v>
      </c>
      <c r="C84" s="1321" t="str">
        <f>CONCATENATE('ketv. 2'!B85)</f>
        <v/>
      </c>
      <c r="D84" s="125" t="str">
        <f>CONCATENATE('3 pr-2'!D84)</f>
        <v>Viešojo transporto organizavimo tobulinimas rekonstruojant Druskininkų miesto gatvių infrastruktūrą</v>
      </c>
      <c r="E84" s="312" t="str">
        <f>CONCATENATE('3 pr-2'!E84)</f>
        <v>Druskininkų savivaldybės administracija</v>
      </c>
      <c r="F84" s="312" t="str">
        <f>CONCATENATE('3 pr-2'!F84)</f>
        <v>Lietuvos Respublikos susisiekimo ministerija</v>
      </c>
      <c r="G84" s="312" t="str">
        <f>CONCATENATE('3 pr-2'!G84)</f>
        <v>Druskininkų sav.</v>
      </c>
      <c r="H84" s="345" t="str">
        <f>CONCATENATE('3 pr-2'!H84)</f>
        <v>04.5.1.-TID-R-514</v>
      </c>
      <c r="I84" s="345" t="str">
        <f>CONCATENATE('3 pr-2'!I84)</f>
        <v>R</v>
      </c>
      <c r="J84" s="345" t="str">
        <f>CONCATENATE('3 pr-2'!J84)</f>
        <v>-</v>
      </c>
      <c r="K84" s="345" t="str">
        <f>CONCATENATE('3 pr-2'!K84)</f>
        <v>-</v>
      </c>
      <c r="L84" s="345" t="s">
        <v>498</v>
      </c>
      <c r="M84" s="778" t="s">
        <v>499</v>
      </c>
      <c r="N84" s="345"/>
      <c r="O84" s="345"/>
      <c r="P84" s="345"/>
      <c r="Q84" s="345"/>
      <c r="R84" s="345"/>
      <c r="S84" s="345"/>
      <c r="T84" s="345"/>
      <c r="U84" s="893"/>
      <c r="V84" s="345">
        <v>1</v>
      </c>
      <c r="W84" s="1578" t="str">
        <f ca="1">IF('ketv. 6 '!L83&gt;0,"taip","nėra")</f>
        <v>nėra</v>
      </c>
      <c r="X84" s="1579"/>
      <c r="Y84" s="1579">
        <f>IF(YEAR('3 pr-2'!$AK84)=2017,$V84,0)</f>
        <v>0</v>
      </c>
      <c r="Z84" s="1579">
        <f>IF(YEAR('3 pr-2'!$AK84)=2018,$V84,0)</f>
        <v>0</v>
      </c>
      <c r="AA84" s="1579">
        <f>IF(YEAR('3 pr-2'!$AK84)=2019,$V84,0)</f>
        <v>1</v>
      </c>
      <c r="AB84" s="1579">
        <f>IF(YEAR('3 pr-2'!$AK84)=2020,$V84,0)</f>
        <v>0</v>
      </c>
      <c r="AC84" s="1579">
        <f>IF(YEAR('3 pr-2'!$AK84)=2021,$V84,0)</f>
        <v>0</v>
      </c>
      <c r="AD84" s="1579">
        <f>IF(YEAR('3 pr-2'!$AK84)=2022,$V84,0)</f>
        <v>0</v>
      </c>
      <c r="AE84" s="1579">
        <f>IF(YEAR('3 pr-2'!$AK84)=2023,$V84,0)</f>
        <v>0</v>
      </c>
      <c r="AF84" s="350"/>
      <c r="AG84" s="537"/>
      <c r="AH84" s="345"/>
      <c r="AI84" s="345"/>
      <c r="AJ84" s="345"/>
      <c r="AK84" s="345"/>
      <c r="AL84" s="345"/>
      <c r="AM84" s="345"/>
      <c r="AN84" s="345"/>
      <c r="AO84" s="895"/>
      <c r="AP84" s="345"/>
      <c r="AQ84" s="1597"/>
      <c r="AR84" s="1579"/>
      <c r="AS84" s="1579"/>
      <c r="AT84" s="1579"/>
      <c r="AU84" s="1579"/>
      <c r="AV84" s="1579"/>
      <c r="AW84" s="1579"/>
      <c r="AX84" s="1579"/>
      <c r="AY84" s="1579"/>
      <c r="AZ84" s="345"/>
      <c r="BA84" s="536"/>
      <c r="BB84" s="345"/>
      <c r="BC84" s="345"/>
      <c r="BD84" s="345"/>
      <c r="BE84" s="345"/>
      <c r="BF84" s="345"/>
      <c r="BG84" s="345"/>
      <c r="BH84" s="345"/>
      <c r="BI84" s="895"/>
      <c r="BJ84" s="345"/>
      <c r="BK84" s="1597"/>
      <c r="BL84" s="1579"/>
      <c r="BM84" s="1579"/>
      <c r="BN84" s="1579"/>
      <c r="BO84" s="1579"/>
      <c r="BP84" s="1579"/>
      <c r="BQ84" s="1579"/>
      <c r="BR84" s="1579"/>
      <c r="BS84" s="1579"/>
      <c r="BT84" s="350"/>
      <c r="BU84" s="537"/>
      <c r="BV84" s="345"/>
      <c r="BW84" s="345"/>
      <c r="BX84" s="345"/>
      <c r="BY84" s="345"/>
      <c r="BZ84" s="345"/>
      <c r="CA84" s="345"/>
      <c r="CB84" s="345"/>
      <c r="CC84" s="895"/>
      <c r="CD84" s="345"/>
      <c r="CE84" s="1579"/>
      <c r="CF84" s="1579"/>
      <c r="CG84" s="1579"/>
      <c r="CH84" s="1579"/>
      <c r="CI84" s="1579"/>
      <c r="CJ84" s="1579"/>
      <c r="CK84" s="1579"/>
      <c r="CL84" s="1579"/>
      <c r="CM84" s="1579"/>
      <c r="CN84" s="350"/>
      <c r="CO84" s="538"/>
      <c r="CP84" s="351"/>
      <c r="CQ84" s="345"/>
      <c r="CR84" s="345"/>
      <c r="CS84" s="345"/>
      <c r="CT84" s="345"/>
      <c r="CU84" s="345"/>
      <c r="CV84" s="345"/>
      <c r="CW84" s="895"/>
      <c r="CX84" s="351"/>
      <c r="CY84" s="1605"/>
      <c r="CZ84" s="1605"/>
      <c r="DA84" s="1594"/>
      <c r="DB84" s="1594"/>
      <c r="DC84" s="1594"/>
      <c r="DD84" s="1594"/>
      <c r="DE84" s="1594"/>
      <c r="DF84" s="1594"/>
      <c r="DG84" s="1594"/>
      <c r="DH84" s="350"/>
      <c r="DI84" s="538"/>
      <c r="DJ84" s="351"/>
      <c r="DK84" s="345"/>
      <c r="DL84" s="345"/>
      <c r="DM84" s="345"/>
      <c r="DN84" s="345"/>
      <c r="DO84" s="345"/>
      <c r="DP84" s="345"/>
      <c r="DQ84" s="895"/>
      <c r="DR84" s="351"/>
      <c r="DS84" s="1605"/>
      <c r="DT84" s="1605"/>
      <c r="DU84" s="1594"/>
      <c r="DV84" s="1594"/>
      <c r="DW84" s="1594"/>
      <c r="DX84" s="1594"/>
      <c r="DY84" s="1594"/>
      <c r="DZ84" s="1594"/>
      <c r="EA84" s="1594"/>
      <c r="EB84" s="350"/>
      <c r="EC84" s="538"/>
      <c r="ED84" s="333"/>
      <c r="EE84" s="1605"/>
      <c r="EF84" s="1605"/>
      <c r="EG84" s="1594"/>
      <c r="EH84" s="1594"/>
      <c r="EI84" s="1594"/>
      <c r="EJ84" s="1594"/>
      <c r="EK84" s="1594"/>
      <c r="EL84" s="1594"/>
      <c r="EM84" s="1594"/>
    </row>
    <row r="85" spans="1:143" ht="49.5" thickTop="1" thickBot="1" x14ac:dyDescent="0.3">
      <c r="A85" s="345" t="str">
        <f>CONCATENATE('3 pr-2'!A85)</f>
        <v>1.1.2.2.6</v>
      </c>
      <c r="B85" s="345" t="str">
        <f>CONCATENATE('3 pr-2'!B85)</f>
        <v>R01-5514-190000-1226</v>
      </c>
      <c r="C85" s="1321" t="str">
        <f>CONCATENATE('ketv. 2'!B86)</f>
        <v>04.5.1-TID-R-516-11-0004</v>
      </c>
      <c r="D85" s="125" t="str">
        <f>CONCATENATE('3 pr-2'!D85)</f>
        <v>Vandens transporto infrastruktūros įrengimas skatinant kitų rūšių transportą</v>
      </c>
      <c r="E85" s="312" t="str">
        <f>CONCATENATE('3 pr-2'!E85)</f>
        <v>Druskininkų savivaldybės administracija</v>
      </c>
      <c r="F85" s="312" t="str">
        <f>CONCATENATE('3 pr-2'!F85)</f>
        <v>Lietuvos Respublikos susisiekimo ministerija</v>
      </c>
      <c r="G85" s="312" t="str">
        <f>CONCATENATE('3 pr-2'!G85)</f>
        <v>Druskininkų sav.</v>
      </c>
      <c r="H85" s="345" t="str">
        <f>CONCATENATE('3 pr-2'!H85)</f>
        <v>04.5.1.-TID-R-514</v>
      </c>
      <c r="I85" s="345" t="str">
        <f>CONCATENATE('3 pr-2'!I85)</f>
        <v>R</v>
      </c>
      <c r="J85" s="345" t="str">
        <f>CONCATENATE('3 pr-2'!J85)</f>
        <v>-</v>
      </c>
      <c r="K85" s="345" t="str">
        <f>CONCATENATE('3 pr-2'!K85)</f>
        <v>-</v>
      </c>
      <c r="L85" s="345" t="s">
        <v>498</v>
      </c>
      <c r="M85" s="778" t="s">
        <v>499</v>
      </c>
      <c r="N85" s="345"/>
      <c r="O85" s="345"/>
      <c r="P85" s="345"/>
      <c r="Q85" s="345"/>
      <c r="R85" s="345"/>
      <c r="S85" s="345"/>
      <c r="T85" s="345"/>
      <c r="U85" s="893"/>
      <c r="V85" s="345">
        <v>1</v>
      </c>
      <c r="W85" s="1578" t="str">
        <f ca="1">IF('ketv. 6 '!L84&gt;0,"taip","nėra")</f>
        <v>nėra</v>
      </c>
      <c r="X85" s="1579"/>
      <c r="Y85" s="1579">
        <f>IF(YEAR('3 pr-2'!$AK85)=2017,$V85,0)</f>
        <v>0</v>
      </c>
      <c r="Z85" s="1579">
        <f>IF(YEAR('3 pr-2'!$AK85)=2018,$V85,0)</f>
        <v>0</v>
      </c>
      <c r="AA85" s="1579">
        <f>IF(YEAR('3 pr-2'!$AK85)=2019,$V85,0)</f>
        <v>0</v>
      </c>
      <c r="AB85" s="1579">
        <f>IF(YEAR('3 pr-2'!$AK85)=2020,$V85,0)</f>
        <v>0</v>
      </c>
      <c r="AC85" s="1579">
        <f>IF(YEAR('3 pr-2'!$AK85)=2021,$V85,0)</f>
        <v>1</v>
      </c>
      <c r="AD85" s="1579">
        <f>IF(YEAR('3 pr-2'!$AK85)=2022,$V85,0)</f>
        <v>0</v>
      </c>
      <c r="AE85" s="1579">
        <f>IF(YEAR('3 pr-2'!$AK85)=2023,$V85,0)</f>
        <v>0</v>
      </c>
      <c r="AF85" s="350"/>
      <c r="AG85" s="537"/>
      <c r="AH85" s="345"/>
      <c r="AI85" s="345"/>
      <c r="AJ85" s="345"/>
      <c r="AK85" s="345"/>
      <c r="AL85" s="345"/>
      <c r="AM85" s="345"/>
      <c r="AN85" s="345"/>
      <c r="AO85" s="895"/>
      <c r="AP85" s="345"/>
      <c r="AQ85" s="1597"/>
      <c r="AR85" s="1579"/>
      <c r="AS85" s="1579"/>
      <c r="AT85" s="1579"/>
      <c r="AU85" s="1579"/>
      <c r="AV85" s="1579"/>
      <c r="AW85" s="1579"/>
      <c r="AX85" s="1579"/>
      <c r="AY85" s="1579"/>
      <c r="AZ85" s="345"/>
      <c r="BA85" s="536"/>
      <c r="BB85" s="345"/>
      <c r="BC85" s="345"/>
      <c r="BD85" s="345"/>
      <c r="BE85" s="345"/>
      <c r="BF85" s="345"/>
      <c r="BG85" s="345"/>
      <c r="BH85" s="345"/>
      <c r="BI85" s="895"/>
      <c r="BJ85" s="345"/>
      <c r="BK85" s="1597"/>
      <c r="BL85" s="1579"/>
      <c r="BM85" s="1579"/>
      <c r="BN85" s="1579"/>
      <c r="BO85" s="1579"/>
      <c r="BP85" s="1579"/>
      <c r="BQ85" s="1579"/>
      <c r="BR85" s="1579"/>
      <c r="BS85" s="1579"/>
      <c r="BT85" s="350"/>
      <c r="BU85" s="537"/>
      <c r="BV85" s="345"/>
      <c r="BW85" s="345"/>
      <c r="BX85" s="345"/>
      <c r="BY85" s="345"/>
      <c r="BZ85" s="345"/>
      <c r="CA85" s="345"/>
      <c r="CB85" s="345"/>
      <c r="CC85" s="895"/>
      <c r="CD85" s="345"/>
      <c r="CE85" s="1579"/>
      <c r="CF85" s="1579"/>
      <c r="CG85" s="1579"/>
      <c r="CH85" s="1579"/>
      <c r="CI85" s="1579"/>
      <c r="CJ85" s="1579"/>
      <c r="CK85" s="1579"/>
      <c r="CL85" s="1579"/>
      <c r="CM85" s="1579"/>
      <c r="CN85" s="350"/>
      <c r="CO85" s="538"/>
      <c r="CP85" s="351"/>
      <c r="CQ85" s="345"/>
      <c r="CR85" s="345"/>
      <c r="CS85" s="345"/>
      <c r="CT85" s="345"/>
      <c r="CU85" s="345"/>
      <c r="CV85" s="345"/>
      <c r="CW85" s="895"/>
      <c r="CX85" s="351"/>
      <c r="CY85" s="1605"/>
      <c r="CZ85" s="1605"/>
      <c r="DA85" s="1594"/>
      <c r="DB85" s="1594"/>
      <c r="DC85" s="1594"/>
      <c r="DD85" s="1594"/>
      <c r="DE85" s="1594"/>
      <c r="DF85" s="1594"/>
      <c r="DG85" s="1594"/>
      <c r="DH85" s="350"/>
      <c r="DI85" s="538"/>
      <c r="DJ85" s="351"/>
      <c r="DK85" s="345"/>
      <c r="DL85" s="345"/>
      <c r="DM85" s="345"/>
      <c r="DN85" s="345"/>
      <c r="DO85" s="345"/>
      <c r="DP85" s="345"/>
      <c r="DQ85" s="895"/>
      <c r="DR85" s="351"/>
      <c r="DS85" s="1605"/>
      <c r="DT85" s="1605"/>
      <c r="DU85" s="1594"/>
      <c r="DV85" s="1594"/>
      <c r="DW85" s="1594"/>
      <c r="DX85" s="1594"/>
      <c r="DY85" s="1594"/>
      <c r="DZ85" s="1594"/>
      <c r="EA85" s="1594"/>
      <c r="EB85" s="350"/>
      <c r="EC85" s="538"/>
      <c r="ED85" s="333"/>
      <c r="EE85" s="1605"/>
      <c r="EF85" s="1605"/>
      <c r="EG85" s="1594"/>
      <c r="EH85" s="1594"/>
      <c r="EI85" s="1594"/>
      <c r="EJ85" s="1594"/>
      <c r="EK85" s="1594"/>
      <c r="EL85" s="1594"/>
      <c r="EM85" s="1594"/>
    </row>
    <row r="86" spans="1:143" ht="33" customHeight="1" thickBot="1" x14ac:dyDescent="0.3">
      <c r="A86" s="824" t="str">
        <f>CONCATENATE('3 pr-2'!A86)</f>
        <v>1.1.2.3</v>
      </c>
      <c r="B86" s="1926" t="str">
        <f>CONCATENATE('3 pr-2'!B86)</f>
        <v>Priemonė:
Pėsčiųjų ir dviračių takų rekonstrukcija ir plėtra</v>
      </c>
      <c r="C86" s="1927"/>
      <c r="D86" s="1927"/>
      <c r="E86" s="1927"/>
      <c r="F86" s="1927"/>
      <c r="G86" s="1927"/>
      <c r="H86" s="1927"/>
      <c r="I86" s="1927"/>
      <c r="J86" s="1927"/>
      <c r="K86" s="1928"/>
      <c r="L86" s="1312"/>
      <c r="M86" s="540"/>
      <c r="N86" s="334">
        <f>SUM(N87:N91)</f>
        <v>0</v>
      </c>
      <c r="O86" s="334">
        <f t="shared" ref="O86:T86" si="366">SUM(O87:O91)</f>
        <v>0</v>
      </c>
      <c r="P86" s="334">
        <f t="shared" si="366"/>
        <v>0</v>
      </c>
      <c r="Q86" s="334">
        <f t="shared" si="366"/>
        <v>0</v>
      </c>
      <c r="R86" s="334">
        <f t="shared" si="366"/>
        <v>0</v>
      </c>
      <c r="S86" s="334">
        <f t="shared" si="366"/>
        <v>0</v>
      </c>
      <c r="T86" s="334">
        <f t="shared" si="366"/>
        <v>0</v>
      </c>
      <c r="U86" s="887">
        <f t="shared" ref="U86:U91" si="367">SUM(N86:T86)</f>
        <v>0</v>
      </c>
      <c r="V86" s="864"/>
      <c r="W86" s="1575"/>
      <c r="X86" s="1576"/>
      <c r="Y86" s="1577">
        <f t="shared" ref="Y86:AE86" si="368">SUM(Y87:Y91)</f>
        <v>0</v>
      </c>
      <c r="Z86" s="1577">
        <f t="shared" si="368"/>
        <v>1.75</v>
      </c>
      <c r="AA86" s="1577">
        <f t="shared" si="368"/>
        <v>1.96</v>
      </c>
      <c r="AB86" s="1577">
        <f t="shared" si="368"/>
        <v>0</v>
      </c>
      <c r="AC86" s="1577">
        <f t="shared" si="368"/>
        <v>0</v>
      </c>
      <c r="AD86" s="1577">
        <f t="shared" si="368"/>
        <v>0</v>
      </c>
      <c r="AE86" s="1577">
        <f t="shared" si="368"/>
        <v>0</v>
      </c>
      <c r="AF86" s="878"/>
      <c r="AG86" s="889"/>
      <c r="AH86" s="334">
        <f>SUM(AH87:AH91)</f>
        <v>0</v>
      </c>
      <c r="AI86" s="334">
        <f t="shared" ref="AI86" si="369">SUM(AI87:AI91)</f>
        <v>0</v>
      </c>
      <c r="AJ86" s="334">
        <f t="shared" ref="AJ86" si="370">SUM(AJ87:AJ91)</f>
        <v>0</v>
      </c>
      <c r="AK86" s="334">
        <f t="shared" ref="AK86" si="371">SUM(AK87:AK91)</f>
        <v>0</v>
      </c>
      <c r="AL86" s="334">
        <f t="shared" ref="AL86" si="372">SUM(AL87:AL91)</f>
        <v>0</v>
      </c>
      <c r="AM86" s="334">
        <f t="shared" ref="AM86" si="373">SUM(AM87:AM91)</f>
        <v>0</v>
      </c>
      <c r="AN86" s="334">
        <f t="shared" ref="AN86" si="374">SUM(AN87:AN91)</f>
        <v>0</v>
      </c>
      <c r="AO86" s="864">
        <f t="shared" si="333"/>
        <v>0</v>
      </c>
      <c r="AP86" s="864"/>
      <c r="AQ86" s="1577"/>
      <c r="AR86" s="1577"/>
      <c r="AS86" s="1577">
        <f t="shared" ref="AS86" si="375">SUM(AS87:AS91)</f>
        <v>0</v>
      </c>
      <c r="AT86" s="1577">
        <f t="shared" ref="AT86" si="376">SUM(AT87:AT91)</f>
        <v>0</v>
      </c>
      <c r="AU86" s="1577">
        <f t="shared" ref="AU86" si="377">SUM(AU87:AU91)</f>
        <v>0</v>
      </c>
      <c r="AV86" s="1577">
        <f t="shared" ref="AV86" si="378">SUM(AV87:AV91)</f>
        <v>0.69</v>
      </c>
      <c r="AW86" s="1577">
        <f t="shared" ref="AW86" si="379">SUM(AW87:AW91)</f>
        <v>0</v>
      </c>
      <c r="AX86" s="1577">
        <f t="shared" ref="AX86" si="380">SUM(AX87:AX91)</f>
        <v>0</v>
      </c>
      <c r="AY86" s="1577">
        <f t="shared" ref="AY86" si="381">SUM(AY87:AY91)</f>
        <v>0</v>
      </c>
      <c r="AZ86" s="864"/>
      <c r="BA86" s="889"/>
      <c r="BB86" s="334">
        <f>SUM(BB87:BB91)</f>
        <v>0</v>
      </c>
      <c r="BC86" s="334">
        <f t="shared" ref="BC86" si="382">SUM(BC87:BC91)</f>
        <v>0</v>
      </c>
      <c r="BD86" s="334">
        <f t="shared" ref="BD86" si="383">SUM(BD87:BD91)</f>
        <v>0</v>
      </c>
      <c r="BE86" s="334">
        <f t="shared" ref="BE86" si="384">SUM(BE87:BE91)</f>
        <v>0</v>
      </c>
      <c r="BF86" s="334">
        <f t="shared" ref="BF86" si="385">SUM(BF87:BF91)</f>
        <v>0</v>
      </c>
      <c r="BG86" s="334">
        <f t="shared" ref="BG86" si="386">SUM(BG87:BG91)</f>
        <v>0</v>
      </c>
      <c r="BH86" s="334">
        <f t="shared" ref="BH86" si="387">SUM(BH87:BH91)</f>
        <v>0</v>
      </c>
      <c r="BI86" s="864">
        <f t="shared" si="335"/>
        <v>0</v>
      </c>
      <c r="BJ86" s="864"/>
      <c r="BK86" s="1577"/>
      <c r="BL86" s="1577"/>
      <c r="BM86" s="1577"/>
      <c r="BN86" s="1577"/>
      <c r="BO86" s="1577"/>
      <c r="BP86" s="1577"/>
      <c r="BQ86" s="1577"/>
      <c r="BR86" s="1577"/>
      <c r="BS86" s="1577"/>
      <c r="BT86" s="334"/>
      <c r="BU86" s="538"/>
      <c r="BV86" s="334">
        <f>SUM(BV87:BV91)</f>
        <v>0</v>
      </c>
      <c r="BW86" s="334">
        <f t="shared" ref="BW86" si="388">SUM(BW87:BW91)</f>
        <v>0</v>
      </c>
      <c r="BX86" s="334">
        <f t="shared" ref="BX86" si="389">SUM(BX87:BX91)</f>
        <v>0</v>
      </c>
      <c r="BY86" s="334">
        <f t="shared" ref="BY86" si="390">SUM(BY87:BY91)</f>
        <v>0</v>
      </c>
      <c r="BZ86" s="334">
        <f t="shared" ref="BZ86" si="391">SUM(BZ87:BZ91)</f>
        <v>0</v>
      </c>
      <c r="CA86" s="334">
        <f t="shared" ref="CA86" si="392">SUM(CA87:CA91)</f>
        <v>0</v>
      </c>
      <c r="CB86" s="334">
        <f t="shared" ref="CB86" si="393">SUM(CB87:CB91)</f>
        <v>0</v>
      </c>
      <c r="CC86" s="864">
        <f t="shared" si="337"/>
        <v>0</v>
      </c>
      <c r="CD86" s="334"/>
      <c r="CE86" s="1577"/>
      <c r="CF86" s="1577"/>
      <c r="CG86" s="1577"/>
      <c r="CH86" s="1577"/>
      <c r="CI86" s="1577"/>
      <c r="CJ86" s="1577"/>
      <c r="CK86" s="1577"/>
      <c r="CL86" s="1577"/>
      <c r="CM86" s="1577"/>
      <c r="CN86" s="887"/>
      <c r="CO86" s="538"/>
      <c r="CP86" s="852">
        <f>SUM(CP87:CP91)</f>
        <v>0</v>
      </c>
      <c r="CQ86" s="334">
        <f t="shared" ref="CQ86" si="394">SUM(CQ87:CQ91)</f>
        <v>0</v>
      </c>
      <c r="CR86" s="334">
        <f t="shared" ref="CR86" si="395">SUM(CR87:CR91)</f>
        <v>0</v>
      </c>
      <c r="CS86" s="334">
        <f t="shared" ref="CS86" si="396">SUM(CS87:CS91)</f>
        <v>0</v>
      </c>
      <c r="CT86" s="334">
        <f t="shared" ref="CT86" si="397">SUM(CT87:CT91)</f>
        <v>0</v>
      </c>
      <c r="CU86" s="334">
        <f t="shared" ref="CU86" si="398">SUM(CU87:CU91)</f>
        <v>0</v>
      </c>
      <c r="CV86" s="334">
        <f t="shared" ref="CV86" si="399">SUM(CV87:CV91)</f>
        <v>0</v>
      </c>
      <c r="CW86" s="864">
        <f t="shared" si="339"/>
        <v>0</v>
      </c>
      <c r="CX86" s="334"/>
      <c r="CY86" s="1594"/>
      <c r="CZ86" s="1594"/>
      <c r="DA86" s="1594"/>
      <c r="DB86" s="1594"/>
      <c r="DC86" s="1594"/>
      <c r="DD86" s="1594"/>
      <c r="DE86" s="1594"/>
      <c r="DF86" s="1594"/>
      <c r="DG86" s="1594"/>
      <c r="DH86" s="887"/>
      <c r="DI86" s="538"/>
      <c r="DJ86" s="852"/>
      <c r="DK86" s="334"/>
      <c r="DL86" s="334"/>
      <c r="DM86" s="334"/>
      <c r="DN86" s="334"/>
      <c r="DO86" s="334"/>
      <c r="DP86" s="334"/>
      <c r="DQ86" s="864"/>
      <c r="DR86" s="334"/>
      <c r="DS86" s="1594"/>
      <c r="DT86" s="1594"/>
      <c r="DU86" s="1594"/>
      <c r="DV86" s="1594"/>
      <c r="DW86" s="1594"/>
      <c r="DX86" s="1594"/>
      <c r="DY86" s="1594"/>
      <c r="DZ86" s="1594"/>
      <c r="EA86" s="1594"/>
      <c r="EB86" s="887"/>
      <c r="EC86" s="538"/>
      <c r="ED86" s="890"/>
      <c r="EE86" s="1594"/>
      <c r="EF86" s="1594"/>
      <c r="EG86" s="1594"/>
      <c r="EH86" s="1594"/>
      <c r="EI86" s="1594"/>
      <c r="EJ86" s="1594"/>
      <c r="EK86" s="1594"/>
      <c r="EL86" s="1594"/>
      <c r="EM86" s="1594"/>
    </row>
    <row r="87" spans="1:143" ht="49.5" thickTop="1" thickBot="1" x14ac:dyDescent="0.3">
      <c r="A87" s="345" t="str">
        <f>CONCATENATE('3 pr-2'!A87)</f>
        <v>1.1.2.3.1</v>
      </c>
      <c r="B87" s="345" t="str">
        <f>CONCATENATE('3 pr-2'!B87)</f>
        <v>R01-5516-190000-1231</v>
      </c>
      <c r="C87" s="1321" t="str">
        <f>CONCATENATE('ketv. 2'!B86)</f>
        <v>04.5.1-TID-R-516-11-0004</v>
      </c>
      <c r="D87" s="125" t="str">
        <f>CONCATENATE('3 pr-2'!D87)</f>
        <v>Dviračių ir pėsčiųjų takų įrengimas Varėnos miesto J. Basanavičiaus ir Žiedo gatvėse</v>
      </c>
      <c r="E87" s="312" t="str">
        <f>CONCATENATE('3 pr-2'!E87)</f>
        <v>Varėnos rajono savivaldybės administracija</v>
      </c>
      <c r="F87" s="312" t="str">
        <f>CONCATENATE('3 pr-2'!F87)</f>
        <v>Lietuvos Respublikos susisiekimo ministerija</v>
      </c>
      <c r="G87" s="312" t="str">
        <f>CONCATENATE('3 pr-2'!G87)</f>
        <v>Varėnos r. sav.</v>
      </c>
      <c r="H87" s="345" t="str">
        <f>CONCATENATE('3 pr-2'!H87)</f>
        <v>04.5.1-TID-R-516</v>
      </c>
      <c r="I87" s="345" t="str">
        <f>CONCATENATE('3 pr-2'!I87)</f>
        <v>R</v>
      </c>
      <c r="J87" s="345" t="str">
        <f>CONCATENATE('3 pr-2'!J87)</f>
        <v>ITI</v>
      </c>
      <c r="K87" s="345" t="str">
        <f>CONCATENATE('3 pr-2'!K87)</f>
        <v>-</v>
      </c>
      <c r="L87" s="345" t="s">
        <v>500</v>
      </c>
      <c r="M87" s="537" t="s">
        <v>501</v>
      </c>
      <c r="N87" s="345"/>
      <c r="O87" s="345"/>
      <c r="P87" s="345"/>
      <c r="Q87" s="345"/>
      <c r="R87" s="345"/>
      <c r="S87" s="345"/>
      <c r="T87" s="345"/>
      <c r="U87" s="893">
        <f t="shared" si="367"/>
        <v>0</v>
      </c>
      <c r="V87" s="1240">
        <v>1</v>
      </c>
      <c r="W87" s="1601">
        <v>1</v>
      </c>
      <c r="X87" s="1580">
        <f>SUM(W87-V87)</f>
        <v>0</v>
      </c>
      <c r="Y87" s="1579">
        <f>IF(YEAR('3 pr-2'!$AK87)=2017,$V87,0)</f>
        <v>0</v>
      </c>
      <c r="Z87" s="1579">
        <f>IF(YEAR('3 pr-2'!$AK87)=2018,$V87,0)</f>
        <v>1</v>
      </c>
      <c r="AA87" s="1579">
        <f>IF(YEAR('3 pr-2'!$AK87)=2019,$V87,0)</f>
        <v>0</v>
      </c>
      <c r="AB87" s="1579">
        <f>IF(YEAR('3 pr-2'!$AK87)=2020,$V87,0)</f>
        <v>0</v>
      </c>
      <c r="AC87" s="1579">
        <f>IF(YEAR('3 pr-2'!$AK87)=2021,$V87,0)</f>
        <v>0</v>
      </c>
      <c r="AD87" s="1579">
        <f>IF(YEAR('3 pr-2'!$AK87)=2022,$V87,0)</f>
        <v>0</v>
      </c>
      <c r="AE87" s="1579">
        <f>IF(YEAR('3 pr-2'!$AK87)=2023,$V87,0)</f>
        <v>0</v>
      </c>
      <c r="AF87" s="350"/>
      <c r="AG87" s="537"/>
      <c r="AH87" s="345"/>
      <c r="AI87" s="345"/>
      <c r="AJ87" s="345"/>
      <c r="AK87" s="345"/>
      <c r="AL87" s="345"/>
      <c r="AM87" s="345"/>
      <c r="AN87" s="345"/>
      <c r="AO87" s="895">
        <f t="shared" si="333"/>
        <v>0</v>
      </c>
      <c r="AP87" s="345"/>
      <c r="AQ87" s="1597"/>
      <c r="AR87" s="1579"/>
      <c r="AS87" s="1579">
        <f>IF(YEAR('3 pr-2'!$AK87)=2017,$AP87,0)</f>
        <v>0</v>
      </c>
      <c r="AT87" s="1579">
        <f>IF(YEAR('3 pr-2'!$AK87)=2018,$AP87,0)</f>
        <v>0</v>
      </c>
      <c r="AU87" s="1579">
        <f>IF(YEAR('3 pr-2'!$AK87)=2019,$AP87,0)</f>
        <v>0</v>
      </c>
      <c r="AV87" s="1579">
        <f>IF(YEAR('3 pr-2'!$AK87)=2020,$AP87,0)</f>
        <v>0</v>
      </c>
      <c r="AW87" s="1579">
        <f>IF(YEAR('3 pr-2'!$AK87)=2021,$AP87,0)</f>
        <v>0</v>
      </c>
      <c r="AX87" s="1579">
        <f>IF(YEAR('3 pr-2'!$AK87)=2022,$AP87,0)</f>
        <v>0</v>
      </c>
      <c r="AY87" s="1579">
        <f>IF(YEAR('3 pr-2'!$AK87)=2023,$AP87,0)</f>
        <v>0</v>
      </c>
      <c r="AZ87" s="345"/>
      <c r="BA87" s="536"/>
      <c r="BB87" s="345"/>
      <c r="BC87" s="345"/>
      <c r="BD87" s="345"/>
      <c r="BE87" s="345"/>
      <c r="BF87" s="345"/>
      <c r="BG87" s="345"/>
      <c r="BH87" s="345"/>
      <c r="BI87" s="895">
        <f t="shared" si="335"/>
        <v>0</v>
      </c>
      <c r="BJ87" s="345"/>
      <c r="BK87" s="1597"/>
      <c r="BL87" s="1579"/>
      <c r="BM87" s="1579">
        <f>IF(YEAR('3 pr-2'!AK87)=2017,BJ87,0)</f>
        <v>0</v>
      </c>
      <c r="BN87" s="1579">
        <f>IF(YEAR('3 pr-2'!AK87)=2018,BJ87,0)</f>
        <v>0</v>
      </c>
      <c r="BO87" s="1579">
        <f>IF(YEAR('3 pr-2'!AK87)=2019,BJ87,0)</f>
        <v>0</v>
      </c>
      <c r="BP87" s="1579">
        <f>IF(YEAR('3 pr-2'!AK87)=2020,BJ87,0)</f>
        <v>0</v>
      </c>
      <c r="BQ87" s="1579">
        <f>IF(YEAR('3 pr-2'!AK87)=2021,BJ87,0)</f>
        <v>0</v>
      </c>
      <c r="BR87" s="1579">
        <f>IF(YEAR('3 pr-2'!AK87)=2022,BJ87,0)</f>
        <v>0</v>
      </c>
      <c r="BS87" s="1579">
        <f>IF(YEAR('3 pr-2'!AK87)=2023,BJ87,0)</f>
        <v>0</v>
      </c>
      <c r="BT87" s="350"/>
      <c r="BU87" s="537"/>
      <c r="BV87" s="345"/>
      <c r="BW87" s="345"/>
      <c r="BX87" s="345"/>
      <c r="BY87" s="345"/>
      <c r="BZ87" s="345"/>
      <c r="CA87" s="345"/>
      <c r="CB87" s="345"/>
      <c r="CC87" s="895">
        <f t="shared" si="337"/>
        <v>0</v>
      </c>
      <c r="CD87" s="345"/>
      <c r="CE87" s="1579"/>
      <c r="CF87" s="1579"/>
      <c r="CG87" s="1579">
        <f>IF(YEAR('3 pr-2'!$AK87)=2017,$CD87,0)</f>
        <v>0</v>
      </c>
      <c r="CH87" s="1579">
        <f>IF(YEAR('3 pr-2'!$AK87)=2018,$CD87,0)</f>
        <v>0</v>
      </c>
      <c r="CI87" s="1579">
        <f>IF(YEAR('3 pr-2'!$AK87)=2019,$CD87,0)</f>
        <v>0</v>
      </c>
      <c r="CJ87" s="1579">
        <f>IF(YEAR('3 pr-2'!$AK87)=2020,$CD87,0)</f>
        <v>0</v>
      </c>
      <c r="CK87" s="1579">
        <f>IF(YEAR('3 pr-2'!$AK87)=2021,$CD87,0)</f>
        <v>0</v>
      </c>
      <c r="CL87" s="1579">
        <f>IF(YEAR('3 pr-2'!$AK87)=2022,$CD87,0)</f>
        <v>0</v>
      </c>
      <c r="CM87" s="1579">
        <f>IF(YEAR('3 pr-2'!$AK87)=2023,$CD87,0)</f>
        <v>0</v>
      </c>
      <c r="CN87" s="350"/>
      <c r="CO87" s="538"/>
      <c r="CP87" s="351"/>
      <c r="CQ87" s="345"/>
      <c r="CR87" s="345"/>
      <c r="CS87" s="345"/>
      <c r="CT87" s="345"/>
      <c r="CU87" s="345"/>
      <c r="CV87" s="345"/>
      <c r="CW87" s="895">
        <f t="shared" si="339"/>
        <v>0</v>
      </c>
      <c r="CX87" s="351"/>
      <c r="CY87" s="1605"/>
      <c r="CZ87" s="1605"/>
      <c r="DA87" s="1594">
        <f>IF(YEAR('3 pr-2'!AK87)=2017,CX87,0)</f>
        <v>0</v>
      </c>
      <c r="DB87" s="1594">
        <f>IF(YEAR('3 pr-2'!AK87)=2018,CX87,0)</f>
        <v>0</v>
      </c>
      <c r="DC87" s="1594">
        <f>IF(YEAR('3 pr-2'!AK87)=2019,CX87,0)</f>
        <v>0</v>
      </c>
      <c r="DD87" s="1594">
        <f>IF(YEAR('3 pr-2'!AK87)=2020,CX87,0)</f>
        <v>0</v>
      </c>
      <c r="DE87" s="1594">
        <f>IF(YEAR('3 pr-2'!AK87)=2021,CX87,0)</f>
        <v>0</v>
      </c>
      <c r="DF87" s="1594">
        <f>IF(YEAR('3 pr-2'!AK87)=2022,CX87,0)</f>
        <v>0</v>
      </c>
      <c r="DG87" s="1594">
        <f>IF(YEAR('3 pr-2'!AK87)=2023,CX87,0)</f>
        <v>0</v>
      </c>
      <c r="DH87" s="350"/>
      <c r="DI87" s="538"/>
      <c r="DJ87" s="351"/>
      <c r="DK87" s="345"/>
      <c r="DL87" s="345"/>
      <c r="DM87" s="345"/>
      <c r="DN87" s="345"/>
      <c r="DO87" s="345"/>
      <c r="DP87" s="345"/>
      <c r="DQ87" s="895"/>
      <c r="DR87" s="351"/>
      <c r="DS87" s="1605"/>
      <c r="DT87" s="1605"/>
      <c r="DU87" s="1594"/>
      <c r="DV87" s="1594"/>
      <c r="DW87" s="1594"/>
      <c r="DX87" s="1594"/>
      <c r="DY87" s="1594"/>
      <c r="DZ87" s="1594"/>
      <c r="EA87" s="1594"/>
      <c r="EB87" s="350"/>
      <c r="EC87" s="538"/>
      <c r="ED87" s="333"/>
      <c r="EE87" s="1605"/>
      <c r="EF87" s="1605"/>
      <c r="EG87" s="1594">
        <f>IF(YEAR('3 pr-2'!BP87)=2017,ED87,0)</f>
        <v>0</v>
      </c>
      <c r="EH87" s="1594">
        <f>IF(YEAR('3 pr-2'!BP87)=2018,ED87,0)</f>
        <v>0</v>
      </c>
      <c r="EI87" s="1594">
        <f>IF(YEAR('3 pr-2'!BP87)=2019,ED87,0)</f>
        <v>0</v>
      </c>
      <c r="EJ87" s="1594">
        <f>IF(YEAR('3 pr-2'!BP87)=2020,ED87,0)</f>
        <v>0</v>
      </c>
      <c r="EK87" s="1594">
        <f>IF(YEAR('3 pr-2'!BP87)=2021,ED87,0)</f>
        <v>0</v>
      </c>
      <c r="EL87" s="1594">
        <f>IF(YEAR('3 pr-2'!BP87)=2022,ED87,0)</f>
        <v>0</v>
      </c>
      <c r="EM87" s="1594">
        <f>IF(YEAR('3 pr-2'!BP87)=2023,ED87,0)</f>
        <v>0</v>
      </c>
    </row>
    <row r="88" spans="1:143" ht="61.5" thickTop="1" thickBot="1" x14ac:dyDescent="0.3">
      <c r="A88" s="345" t="str">
        <f>CONCATENATE('3 pr-2'!A88)</f>
        <v>1.1.2.3.2</v>
      </c>
      <c r="B88" s="345" t="str">
        <f>CONCATENATE('3 pr-2'!B88)</f>
        <v>R01-5516-190000-1232</v>
      </c>
      <c r="C88" s="1321" t="str">
        <f>CONCATENATE('ketv. 2'!B87)</f>
        <v>04.5.1-TID-R-516-11-0001</v>
      </c>
      <c r="D88" s="125" t="str">
        <f>CONCATENATE('3 pr-2'!D88)</f>
        <v>Dviračių trasų infrastruktūros įrengimas nuo Putinų g. žiedo Pramonės gatvėje, Alytaus mieste</v>
      </c>
      <c r="E88" s="312" t="str">
        <f>CONCATENATE('3 pr-2'!E88)</f>
        <v>Alytaus miesto savivaldybės administracija</v>
      </c>
      <c r="F88" s="312" t="str">
        <f>CONCATENATE('3 pr-2'!F88)</f>
        <v>Lietuvos Respublikos susisiekimo ministerija</v>
      </c>
      <c r="G88" s="312" t="str">
        <f>CONCATENATE('3 pr-2'!G88)</f>
        <v>Alytaus m. sav.</v>
      </c>
      <c r="H88" s="345" t="str">
        <f>CONCATENATE('3 pr-2'!H88)</f>
        <v>04.5.1-TID-R-516</v>
      </c>
      <c r="I88" s="345" t="str">
        <f>CONCATENATE('3 pr-2'!I88)</f>
        <v>R</v>
      </c>
      <c r="J88" s="345" t="str">
        <f>CONCATENATE('3 pr-2'!J88)</f>
        <v>ITI</v>
      </c>
      <c r="K88" s="345" t="str">
        <f>CONCATENATE('3 pr-2'!K88)</f>
        <v>-</v>
      </c>
      <c r="L88" s="345" t="s">
        <v>500</v>
      </c>
      <c r="M88" s="537" t="s">
        <v>502</v>
      </c>
      <c r="N88" s="345"/>
      <c r="O88" s="345"/>
      <c r="P88" s="345"/>
      <c r="Q88" s="345"/>
      <c r="R88" s="345"/>
      <c r="S88" s="345"/>
      <c r="T88" s="345"/>
      <c r="U88" s="893">
        <f t="shared" si="367"/>
        <v>0</v>
      </c>
      <c r="V88" s="1240">
        <v>0.75</v>
      </c>
      <c r="W88" s="1601" t="str">
        <f ca="1">IF('ketv. 6 '!L87&gt;0,"0,75",0)</f>
        <v>0,75</v>
      </c>
      <c r="X88" s="1580">
        <f ca="1">SUM(W88-V88)</f>
        <v>0</v>
      </c>
      <c r="Y88" s="1579">
        <f>IF(YEAR('3 pr-2'!$AK88)=2017,$V88,0)</f>
        <v>0</v>
      </c>
      <c r="Z88" s="1579">
        <f>IF(YEAR('3 pr-2'!$AK88)=2018,$V88,0)</f>
        <v>0.75</v>
      </c>
      <c r="AA88" s="1579">
        <f>IF(YEAR('3 pr-2'!$AK88)=2019,$V88,0)</f>
        <v>0</v>
      </c>
      <c r="AB88" s="1579">
        <f>IF(YEAR('3 pr-2'!$AK88)=2020,$V88,0)</f>
        <v>0</v>
      </c>
      <c r="AC88" s="1579">
        <f>IF(YEAR('3 pr-2'!$AK88)=2021,$V88,0)</f>
        <v>0</v>
      </c>
      <c r="AD88" s="1579">
        <f>IF(YEAR('3 pr-2'!$AK88)=2022,$V88,0)</f>
        <v>0</v>
      </c>
      <c r="AE88" s="1579">
        <f>IF(YEAR('3 pr-2'!$AK88)=2023,$V88,0)</f>
        <v>0</v>
      </c>
      <c r="AF88" s="350"/>
      <c r="AG88" s="537"/>
      <c r="AH88" s="345"/>
      <c r="AI88" s="345"/>
      <c r="AJ88" s="345"/>
      <c r="AK88" s="345"/>
      <c r="AL88" s="345"/>
      <c r="AM88" s="345"/>
      <c r="AN88" s="345"/>
      <c r="AO88" s="895">
        <f t="shared" si="333"/>
        <v>0</v>
      </c>
      <c r="AP88" s="345"/>
      <c r="AQ88" s="1597"/>
      <c r="AR88" s="1579"/>
      <c r="AS88" s="1579">
        <f>IF(YEAR('3 pr-2'!$AK88)=2017,$AP88,0)</f>
        <v>0</v>
      </c>
      <c r="AT88" s="1579">
        <f>IF(YEAR('3 pr-2'!$AK88)=2018,$AP88,0)</f>
        <v>0</v>
      </c>
      <c r="AU88" s="1579">
        <f>IF(YEAR('3 pr-2'!$AK88)=2019,$AP88,0)</f>
        <v>0</v>
      </c>
      <c r="AV88" s="1579">
        <f>IF(YEAR('3 pr-2'!$AK88)=2020,$AP88,0)</f>
        <v>0</v>
      </c>
      <c r="AW88" s="1579">
        <f>IF(YEAR('3 pr-2'!$AK88)=2021,$AP88,0)</f>
        <v>0</v>
      </c>
      <c r="AX88" s="1579">
        <f>IF(YEAR('3 pr-2'!$AK88)=2022,$AP88,0)</f>
        <v>0</v>
      </c>
      <c r="AY88" s="1579">
        <f>IF(YEAR('3 pr-2'!$AK88)=2023,$AP88,0)</f>
        <v>0</v>
      </c>
      <c r="AZ88" s="345"/>
      <c r="BA88" s="536"/>
      <c r="BB88" s="345"/>
      <c r="BC88" s="345"/>
      <c r="BD88" s="345"/>
      <c r="BE88" s="345"/>
      <c r="BF88" s="345"/>
      <c r="BG88" s="345"/>
      <c r="BH88" s="345"/>
      <c r="BI88" s="895">
        <f t="shared" si="335"/>
        <v>0</v>
      </c>
      <c r="BJ88" s="345"/>
      <c r="BK88" s="1597"/>
      <c r="BL88" s="1579"/>
      <c r="BM88" s="1579">
        <f>IF(YEAR('3 pr-2'!AK88)=2017,BJ88,0)</f>
        <v>0</v>
      </c>
      <c r="BN88" s="1579">
        <f>IF(YEAR('3 pr-2'!AK88)=2018,BJ88,0)</f>
        <v>0</v>
      </c>
      <c r="BO88" s="1579">
        <f>IF(YEAR('3 pr-2'!AK88)=2019,BJ88,0)</f>
        <v>0</v>
      </c>
      <c r="BP88" s="1579">
        <f>IF(YEAR('3 pr-2'!AK88)=2020,BJ88,0)</f>
        <v>0</v>
      </c>
      <c r="BQ88" s="1579">
        <f>IF(YEAR('3 pr-2'!AK88)=2021,BJ88,0)</f>
        <v>0</v>
      </c>
      <c r="BR88" s="1579">
        <f>IF(YEAR('3 pr-2'!AK88)=2022,BJ88,0)</f>
        <v>0</v>
      </c>
      <c r="BS88" s="1579">
        <f>IF(YEAR('3 pr-2'!AK88)=2023,BJ88,0)</f>
        <v>0</v>
      </c>
      <c r="BT88" s="350"/>
      <c r="BU88" s="537"/>
      <c r="BV88" s="345"/>
      <c r="BW88" s="345"/>
      <c r="BX88" s="345"/>
      <c r="BY88" s="345"/>
      <c r="BZ88" s="345"/>
      <c r="CA88" s="345"/>
      <c r="CB88" s="345"/>
      <c r="CC88" s="895">
        <f t="shared" si="337"/>
        <v>0</v>
      </c>
      <c r="CD88" s="345"/>
      <c r="CE88" s="1579"/>
      <c r="CF88" s="1579"/>
      <c r="CG88" s="1579">
        <f>IF(YEAR('3 pr-2'!$AK88)=2017,$CD88,0)</f>
        <v>0</v>
      </c>
      <c r="CH88" s="1579">
        <f>IF(YEAR('3 pr-2'!$AK88)=2018,$CD88,0)</f>
        <v>0</v>
      </c>
      <c r="CI88" s="1579">
        <f>IF(YEAR('3 pr-2'!$AK88)=2019,$CD88,0)</f>
        <v>0</v>
      </c>
      <c r="CJ88" s="1579">
        <f>IF(YEAR('3 pr-2'!$AK88)=2020,$CD88,0)</f>
        <v>0</v>
      </c>
      <c r="CK88" s="1579">
        <f>IF(YEAR('3 pr-2'!$AK88)=2021,$CD88,0)</f>
        <v>0</v>
      </c>
      <c r="CL88" s="1579">
        <f>IF(YEAR('3 pr-2'!$AK88)=2022,$CD88,0)</f>
        <v>0</v>
      </c>
      <c r="CM88" s="1579">
        <f>IF(YEAR('3 pr-2'!$AK88)=2023,$CD88,0)</f>
        <v>0</v>
      </c>
      <c r="CN88" s="350"/>
      <c r="CO88" s="538"/>
      <c r="CP88" s="351"/>
      <c r="CQ88" s="345"/>
      <c r="CR88" s="345"/>
      <c r="CS88" s="345"/>
      <c r="CT88" s="345"/>
      <c r="CU88" s="345"/>
      <c r="CV88" s="345"/>
      <c r="CW88" s="895">
        <f t="shared" si="339"/>
        <v>0</v>
      </c>
      <c r="CX88" s="351"/>
      <c r="CY88" s="1605"/>
      <c r="CZ88" s="1605"/>
      <c r="DA88" s="1594">
        <f>IF(YEAR('3 pr-2'!AK88)=2017,CX88,0)</f>
        <v>0</v>
      </c>
      <c r="DB88" s="1594">
        <f>IF(YEAR('3 pr-2'!AK88)=2018,CX88,0)</f>
        <v>0</v>
      </c>
      <c r="DC88" s="1594">
        <f>IF(YEAR('3 pr-2'!AK88)=2019,CX88,0)</f>
        <v>0</v>
      </c>
      <c r="DD88" s="1594">
        <f>IF(YEAR('3 pr-2'!AK88)=2020,CX88,0)</f>
        <v>0</v>
      </c>
      <c r="DE88" s="1594">
        <f>IF(YEAR('3 pr-2'!AK88)=2021,CX88,0)</f>
        <v>0</v>
      </c>
      <c r="DF88" s="1594">
        <f>IF(YEAR('3 pr-2'!AK88)=2022,CX88,0)</f>
        <v>0</v>
      </c>
      <c r="DG88" s="1594">
        <f>IF(YEAR('3 pr-2'!AK88)=2023,CX88,0)</f>
        <v>0</v>
      </c>
      <c r="DH88" s="350"/>
      <c r="DI88" s="538"/>
      <c r="DJ88" s="351"/>
      <c r="DK88" s="345"/>
      <c r="DL88" s="345"/>
      <c r="DM88" s="345"/>
      <c r="DN88" s="345"/>
      <c r="DO88" s="345"/>
      <c r="DP88" s="345"/>
      <c r="DQ88" s="895"/>
      <c r="DR88" s="351"/>
      <c r="DS88" s="1605"/>
      <c r="DT88" s="1605"/>
      <c r="DU88" s="1594"/>
      <c r="DV88" s="1594"/>
      <c r="DW88" s="1594"/>
      <c r="DX88" s="1594"/>
      <c r="DY88" s="1594"/>
      <c r="DZ88" s="1594"/>
      <c r="EA88" s="1594"/>
      <c r="EB88" s="350"/>
      <c r="EC88" s="538"/>
      <c r="ED88" s="333"/>
      <c r="EE88" s="1605"/>
      <c r="EF88" s="1605"/>
      <c r="EG88" s="1594">
        <f>IF(YEAR('3 pr-2'!BP88)=2017,ED88,0)</f>
        <v>0</v>
      </c>
      <c r="EH88" s="1594">
        <f>IF(YEAR('3 pr-2'!BP88)=2018,ED88,0)</f>
        <v>0</v>
      </c>
      <c r="EI88" s="1594">
        <f>IF(YEAR('3 pr-2'!BP88)=2019,ED88,0)</f>
        <v>0</v>
      </c>
      <c r="EJ88" s="1594">
        <f>IF(YEAR('3 pr-2'!BP88)=2020,ED88,0)</f>
        <v>0</v>
      </c>
      <c r="EK88" s="1594">
        <f>IF(YEAR('3 pr-2'!BP88)=2021,ED88,0)</f>
        <v>0</v>
      </c>
      <c r="EL88" s="1594">
        <f>IF(YEAR('3 pr-2'!BP88)=2022,ED88,0)</f>
        <v>0</v>
      </c>
      <c r="EM88" s="1594">
        <f>IF(YEAR('3 pr-2'!BP88)=2023,ED88,0)</f>
        <v>0</v>
      </c>
    </row>
    <row r="89" spans="1:143" ht="61.5" thickTop="1" thickBot="1" x14ac:dyDescent="0.3">
      <c r="A89" s="345" t="str">
        <f>CONCATENATE('3 pr-2'!A89)</f>
        <v>1.1.2.3.3</v>
      </c>
      <c r="B89" s="345" t="str">
        <f>CONCATENATE('3 pr-2'!B89)</f>
        <v>R01-5516-190000-1233</v>
      </c>
      <c r="C89" s="1321" t="str">
        <f>CONCATENATE('ketv. 2'!B88)</f>
        <v>04.5.1-TID-R-516-11-0002</v>
      </c>
      <c r="D89" s="125" t="str">
        <f>CONCATENATE('3 pr-2'!D89)</f>
        <v>Dviračių ir pėsčiųjų takų plėtra Lazdijų miesto Turistų gatvėje iki sodų bendrijos „Baltasis“ Lazdijų seniūnijoje</v>
      </c>
      <c r="E89" s="312" t="str">
        <f>CONCATENATE('3 pr-2'!E89)</f>
        <v>Lazdijų rajono savivaldybės administracija</v>
      </c>
      <c r="F89" s="312" t="str">
        <f>CONCATENATE('3 pr-2'!F89)</f>
        <v>Lietuvos Respublikos susisiekimo ministerija</v>
      </c>
      <c r="G89" s="312" t="str">
        <f>CONCATENATE('3 pr-2'!G89)</f>
        <v>Lazdijų r. sav.</v>
      </c>
      <c r="H89" s="345" t="str">
        <f>CONCATENATE('3 pr-2'!H89)</f>
        <v>04.5.1-TID-R-516</v>
      </c>
      <c r="I89" s="345" t="str">
        <f>CONCATENATE('3 pr-2'!I89)</f>
        <v>R</v>
      </c>
      <c r="J89" s="345" t="str">
        <f>CONCATENATE('3 pr-2'!J89)</f>
        <v>ITI</v>
      </c>
      <c r="K89" s="345" t="str">
        <f>CONCATENATE('3 pr-2'!K89)</f>
        <v>-</v>
      </c>
      <c r="L89" s="345" t="s">
        <v>500</v>
      </c>
      <c r="M89" s="537" t="s">
        <v>501</v>
      </c>
      <c r="N89" s="345"/>
      <c r="O89" s="345"/>
      <c r="P89" s="345"/>
      <c r="Q89" s="345"/>
      <c r="R89" s="345"/>
      <c r="S89" s="345"/>
      <c r="T89" s="345"/>
      <c r="U89" s="893">
        <f t="shared" si="367"/>
        <v>0</v>
      </c>
      <c r="V89" s="1240">
        <v>1.1599999999999999</v>
      </c>
      <c r="W89" s="1601">
        <v>1.1599999999999999</v>
      </c>
      <c r="X89" s="1580">
        <v>0</v>
      </c>
      <c r="Y89" s="1579">
        <f>IF(YEAR('3 pr-2'!$AK89)=2017,$V89,0)</f>
        <v>0</v>
      </c>
      <c r="Z89" s="1579">
        <f>IF(YEAR('3 pr-2'!$AK89)=2018,$V89,0)</f>
        <v>0</v>
      </c>
      <c r="AA89" s="1579">
        <f>IF(YEAR('3 pr-2'!$AK89)=2019,$V89,0)</f>
        <v>1.1599999999999999</v>
      </c>
      <c r="AB89" s="1579">
        <f>IF(YEAR('3 pr-2'!$AK89)=2020,$V89,0)</f>
        <v>0</v>
      </c>
      <c r="AC89" s="1579">
        <f>IF(YEAR('3 pr-2'!$AK89)=2021,$V89,0)</f>
        <v>0</v>
      </c>
      <c r="AD89" s="1579">
        <f>IF(YEAR('3 pr-2'!$AK89)=2022,$V89,0)</f>
        <v>0</v>
      </c>
      <c r="AE89" s="1579">
        <f>IF(YEAR('3 pr-2'!$AK89)=2023,$V89,0)</f>
        <v>0</v>
      </c>
      <c r="AF89" s="350"/>
      <c r="AG89" s="537"/>
      <c r="AH89" s="345"/>
      <c r="AI89" s="345"/>
      <c r="AJ89" s="345"/>
      <c r="AK89" s="345"/>
      <c r="AL89" s="345"/>
      <c r="AM89" s="345"/>
      <c r="AN89" s="345"/>
      <c r="AO89" s="895">
        <f t="shared" si="333"/>
        <v>0</v>
      </c>
      <c r="AP89" s="345"/>
      <c r="AQ89" s="1597"/>
      <c r="AR89" s="1579"/>
      <c r="AS89" s="1579">
        <f>IF(YEAR('3 pr-2'!$AK89)=2017,$AP89,0)</f>
        <v>0</v>
      </c>
      <c r="AT89" s="1579">
        <f>IF(YEAR('3 pr-2'!$AK89)=2018,$AP89,0)</f>
        <v>0</v>
      </c>
      <c r="AU89" s="1579">
        <f>IF(YEAR('3 pr-2'!$AK89)=2019,$AP89,0)</f>
        <v>0</v>
      </c>
      <c r="AV89" s="1579">
        <f>IF(YEAR('3 pr-2'!$AK89)=2020,$AP89,0)</f>
        <v>0</v>
      </c>
      <c r="AW89" s="1579">
        <f>IF(YEAR('3 pr-2'!$AK89)=2021,$AP89,0)</f>
        <v>0</v>
      </c>
      <c r="AX89" s="1579">
        <f>IF(YEAR('3 pr-2'!$AK89)=2022,$AP89,0)</f>
        <v>0</v>
      </c>
      <c r="AY89" s="1579">
        <f>IF(YEAR('3 pr-2'!$AK89)=2023,$AP89,0)</f>
        <v>0</v>
      </c>
      <c r="AZ89" s="345"/>
      <c r="BA89" s="536"/>
      <c r="BB89" s="345"/>
      <c r="BC89" s="345"/>
      <c r="BD89" s="345"/>
      <c r="BE89" s="345"/>
      <c r="BF89" s="345"/>
      <c r="BG89" s="345"/>
      <c r="BH89" s="345"/>
      <c r="BI89" s="895">
        <f t="shared" si="335"/>
        <v>0</v>
      </c>
      <c r="BJ89" s="345"/>
      <c r="BK89" s="1597"/>
      <c r="BL89" s="1579"/>
      <c r="BM89" s="1579">
        <f>IF(YEAR('3 pr-2'!AK89)=2017,BJ89,0)</f>
        <v>0</v>
      </c>
      <c r="BN89" s="1579">
        <f>IF(YEAR('3 pr-2'!AK89)=2018,BJ89,0)</f>
        <v>0</v>
      </c>
      <c r="BO89" s="1579">
        <f>IF(YEAR('3 pr-2'!AK89)=2019,BJ89,0)</f>
        <v>0</v>
      </c>
      <c r="BP89" s="1579">
        <f>IF(YEAR('3 pr-2'!AK89)=2020,BJ89,0)</f>
        <v>0</v>
      </c>
      <c r="BQ89" s="1579">
        <f>IF(YEAR('3 pr-2'!AK89)=2021,BJ89,0)</f>
        <v>0</v>
      </c>
      <c r="BR89" s="1579">
        <f>IF(YEAR('3 pr-2'!AK89)=2022,BJ89,0)</f>
        <v>0</v>
      </c>
      <c r="BS89" s="1579">
        <f>IF(YEAR('3 pr-2'!AK89)=2023,BJ89,0)</f>
        <v>0</v>
      </c>
      <c r="BT89" s="350"/>
      <c r="BU89" s="537"/>
      <c r="BV89" s="345"/>
      <c r="BW89" s="345"/>
      <c r="BX89" s="345"/>
      <c r="BY89" s="345"/>
      <c r="BZ89" s="345"/>
      <c r="CA89" s="345"/>
      <c r="CB89" s="345"/>
      <c r="CC89" s="895">
        <f t="shared" si="337"/>
        <v>0</v>
      </c>
      <c r="CD89" s="345"/>
      <c r="CE89" s="1579"/>
      <c r="CF89" s="1579"/>
      <c r="CG89" s="1579">
        <f>IF(YEAR('3 pr-2'!$AK89)=2017,$CD89,0)</f>
        <v>0</v>
      </c>
      <c r="CH89" s="1579">
        <f>IF(YEAR('3 pr-2'!$AK89)=2018,$CD89,0)</f>
        <v>0</v>
      </c>
      <c r="CI89" s="1579">
        <f>IF(YEAR('3 pr-2'!$AK89)=2019,$CD89,0)</f>
        <v>0</v>
      </c>
      <c r="CJ89" s="1579">
        <f>IF(YEAR('3 pr-2'!$AK89)=2020,$CD89,0)</f>
        <v>0</v>
      </c>
      <c r="CK89" s="1579">
        <f>IF(YEAR('3 pr-2'!$AK89)=2021,$CD89,0)</f>
        <v>0</v>
      </c>
      <c r="CL89" s="1579">
        <f>IF(YEAR('3 pr-2'!$AK89)=2022,$CD89,0)</f>
        <v>0</v>
      </c>
      <c r="CM89" s="1579">
        <f>IF(YEAR('3 pr-2'!$AK89)=2023,$CD89,0)</f>
        <v>0</v>
      </c>
      <c r="CN89" s="350"/>
      <c r="CO89" s="538"/>
      <c r="CP89" s="351"/>
      <c r="CQ89" s="345"/>
      <c r="CR89" s="345"/>
      <c r="CS89" s="345"/>
      <c r="CT89" s="345"/>
      <c r="CU89" s="345"/>
      <c r="CV89" s="345"/>
      <c r="CW89" s="895">
        <f t="shared" si="339"/>
        <v>0</v>
      </c>
      <c r="CX89" s="351"/>
      <c r="CY89" s="1605"/>
      <c r="CZ89" s="1605"/>
      <c r="DA89" s="1594">
        <f>IF(YEAR('3 pr-2'!AK89)=2017,CX89,0)</f>
        <v>0</v>
      </c>
      <c r="DB89" s="1594">
        <f>IF(YEAR('3 pr-2'!AK89)=2018,CX89,0)</f>
        <v>0</v>
      </c>
      <c r="DC89" s="1594">
        <f>IF(YEAR('3 pr-2'!AK89)=2019,CX89,0)</f>
        <v>0</v>
      </c>
      <c r="DD89" s="1594">
        <f>IF(YEAR('3 pr-2'!AK89)=2020,CX89,0)</f>
        <v>0</v>
      </c>
      <c r="DE89" s="1594">
        <f>IF(YEAR('3 pr-2'!AK89)=2021,CX89,0)</f>
        <v>0</v>
      </c>
      <c r="DF89" s="1594">
        <f>IF(YEAR('3 pr-2'!AK89)=2022,CX89,0)</f>
        <v>0</v>
      </c>
      <c r="DG89" s="1594">
        <f>IF(YEAR('3 pr-2'!AK89)=2023,CX89,0)</f>
        <v>0</v>
      </c>
      <c r="DH89" s="350"/>
      <c r="DI89" s="538"/>
      <c r="DJ89" s="351"/>
      <c r="DK89" s="345"/>
      <c r="DL89" s="345"/>
      <c r="DM89" s="345"/>
      <c r="DN89" s="345"/>
      <c r="DO89" s="345"/>
      <c r="DP89" s="345"/>
      <c r="DQ89" s="895"/>
      <c r="DR89" s="351"/>
      <c r="DS89" s="1605"/>
      <c r="DT89" s="1605"/>
      <c r="DU89" s="1594"/>
      <c r="DV89" s="1594"/>
      <c r="DW89" s="1594"/>
      <c r="DX89" s="1594"/>
      <c r="DY89" s="1594"/>
      <c r="DZ89" s="1594"/>
      <c r="EA89" s="1594"/>
      <c r="EB89" s="350"/>
      <c r="EC89" s="538"/>
      <c r="ED89" s="333"/>
      <c r="EE89" s="1605"/>
      <c r="EF89" s="1605"/>
      <c r="EG89" s="1594">
        <f>IF(YEAR('3 pr-2'!BP89)=2017,ED89,0)</f>
        <v>0</v>
      </c>
      <c r="EH89" s="1594">
        <f>IF(YEAR('3 pr-2'!BP89)=2018,ED89,0)</f>
        <v>0</v>
      </c>
      <c r="EI89" s="1594">
        <f>IF(YEAR('3 pr-2'!BP89)=2019,ED89,0)</f>
        <v>0</v>
      </c>
      <c r="EJ89" s="1594">
        <f>IF(YEAR('3 pr-2'!BP89)=2020,ED89,0)</f>
        <v>0</v>
      </c>
      <c r="EK89" s="1594">
        <f>IF(YEAR('3 pr-2'!BP89)=2021,ED89,0)</f>
        <v>0</v>
      </c>
      <c r="EL89" s="1594">
        <f>IF(YEAR('3 pr-2'!BP89)=2022,ED89,0)</f>
        <v>0</v>
      </c>
      <c r="EM89" s="1594">
        <f>IF(YEAR('3 pr-2'!BP89)=2023,ED89,0)</f>
        <v>0</v>
      </c>
    </row>
    <row r="90" spans="1:143" ht="49.5" thickTop="1" thickBot="1" x14ac:dyDescent="0.3">
      <c r="A90" s="345" t="str">
        <f>CONCATENATE('3 pr-2'!A90)</f>
        <v>1.1.2.3.4</v>
      </c>
      <c r="B90" s="345" t="str">
        <f>CONCATENATE('3 pr-2'!B90)</f>
        <v>R01-5516-190000-1234</v>
      </c>
      <c r="C90" s="1321" t="str">
        <f>CONCATENATE('ketv. 2'!B89)</f>
        <v>04.5.1-TID-R-516-11-0005</v>
      </c>
      <c r="D90" s="125" t="str">
        <f>CONCATENATE('3 pr-2'!D90)</f>
        <v>Pėsčiųjų ir dviračių takų plėtra Simno seniūnijoje</v>
      </c>
      <c r="E90" s="312" t="str">
        <f>CONCATENATE('3 pr-2'!E90)</f>
        <v>Alytaus rajono savivaldybės administracija</v>
      </c>
      <c r="F90" s="312" t="str">
        <f>CONCATENATE('3 pr-2'!F90)</f>
        <v>Lietuvos Respublikos susisiekimo ministerija</v>
      </c>
      <c r="G90" s="312" t="str">
        <f>CONCATENATE('3 pr-2'!G90)</f>
        <v>Alytaus r. sav.</v>
      </c>
      <c r="H90" s="345" t="str">
        <f>CONCATENATE('3 pr-2'!H90)</f>
        <v>04.5.1-TID-R-516</v>
      </c>
      <c r="I90" s="345" t="str">
        <f>CONCATENATE('3 pr-2'!I90)</f>
        <v>R</v>
      </c>
      <c r="J90" s="345" t="str">
        <f>CONCATENATE('3 pr-2'!J90)</f>
        <v>-</v>
      </c>
      <c r="K90" s="345" t="str">
        <f>CONCATENATE('3 pr-2'!K90)</f>
        <v>-</v>
      </c>
      <c r="L90" s="345" t="s">
        <v>500</v>
      </c>
      <c r="M90" s="537" t="s">
        <v>502</v>
      </c>
      <c r="N90" s="345"/>
      <c r="O90" s="345"/>
      <c r="P90" s="345"/>
      <c r="Q90" s="345"/>
      <c r="R90" s="345"/>
      <c r="S90" s="345"/>
      <c r="T90" s="345"/>
      <c r="U90" s="893">
        <f t="shared" si="367"/>
        <v>0</v>
      </c>
      <c r="V90" s="1240">
        <v>0.8</v>
      </c>
      <c r="W90" s="1601">
        <v>0.8</v>
      </c>
      <c r="X90" s="1580">
        <v>0</v>
      </c>
      <c r="Y90" s="1579">
        <f>IF(YEAR('3 pr-2'!$AK90)=2017,$V90,0)</f>
        <v>0</v>
      </c>
      <c r="Z90" s="1579">
        <f>IF(YEAR('3 pr-2'!$AK90)=2018,$V90,0)</f>
        <v>0</v>
      </c>
      <c r="AA90" s="1579">
        <f>IF(YEAR('3 pr-2'!$AK90)=2019,$V90,0)</f>
        <v>0.8</v>
      </c>
      <c r="AB90" s="1579">
        <f>IF(YEAR('3 pr-2'!$AK90)=2020,$V90,0)</f>
        <v>0</v>
      </c>
      <c r="AC90" s="1579">
        <f>IF(YEAR('3 pr-2'!$AK90)=2021,$V90,0)</f>
        <v>0</v>
      </c>
      <c r="AD90" s="1579">
        <f>IF(YEAR('3 pr-2'!$AK90)=2022,$V90,0)</f>
        <v>0</v>
      </c>
      <c r="AE90" s="1579">
        <f>IF(YEAR('3 pr-2'!$AK90)=2023,$V90,0)</f>
        <v>0</v>
      </c>
      <c r="AF90" s="350"/>
      <c r="AG90" s="537"/>
      <c r="AH90" s="345"/>
      <c r="AI90" s="345"/>
      <c r="AJ90" s="345"/>
      <c r="AK90" s="345"/>
      <c r="AL90" s="345"/>
      <c r="AM90" s="345"/>
      <c r="AN90" s="345"/>
      <c r="AO90" s="895"/>
      <c r="AP90" s="345"/>
      <c r="AQ90" s="1597"/>
      <c r="AR90" s="1579"/>
      <c r="AS90" s="1579">
        <f>IF(YEAR('3 pr-2'!$AK90)=2017,$AP90,0)</f>
        <v>0</v>
      </c>
      <c r="AT90" s="1579">
        <f>IF(YEAR('3 pr-2'!$AK90)=2018,$AP90,0)</f>
        <v>0</v>
      </c>
      <c r="AU90" s="1579">
        <f>IF(YEAR('3 pr-2'!$AK90)=2019,$AP90,0)</f>
        <v>0</v>
      </c>
      <c r="AV90" s="1579">
        <f>IF(YEAR('3 pr-2'!$AK90)=2020,$AP90,0)</f>
        <v>0</v>
      </c>
      <c r="AW90" s="1579">
        <f>IF(YEAR('3 pr-2'!$AK90)=2021,$AP90,0)</f>
        <v>0</v>
      </c>
      <c r="AX90" s="1579">
        <f>IF(YEAR('3 pr-2'!$AK90)=2022,$AP90,0)</f>
        <v>0</v>
      </c>
      <c r="AY90" s="1579">
        <f>IF(YEAR('3 pr-2'!$AK90)=2023,$AP90,0)</f>
        <v>0</v>
      </c>
      <c r="AZ90" s="345"/>
      <c r="BA90" s="536"/>
      <c r="BB90" s="345"/>
      <c r="BC90" s="345"/>
      <c r="BD90" s="345"/>
      <c r="BE90" s="345"/>
      <c r="BF90" s="345"/>
      <c r="BG90" s="345"/>
      <c r="BH90" s="345"/>
      <c r="BI90" s="895">
        <f t="shared" si="335"/>
        <v>0</v>
      </c>
      <c r="BJ90" s="345"/>
      <c r="BK90" s="1597"/>
      <c r="BL90" s="1579"/>
      <c r="BM90" s="1579">
        <f>IF(YEAR('3 pr-2'!AK90)=2017,BJ90,0)</f>
        <v>0</v>
      </c>
      <c r="BN90" s="1579">
        <f>IF(YEAR('3 pr-2'!AK90)=2018,BJ90,0)</f>
        <v>0</v>
      </c>
      <c r="BO90" s="1579">
        <f>IF(YEAR('3 pr-2'!AK90)=2019,BJ90,0)</f>
        <v>0</v>
      </c>
      <c r="BP90" s="1579">
        <f>IF(YEAR('3 pr-2'!AK90)=2020,BJ90,0)</f>
        <v>0</v>
      </c>
      <c r="BQ90" s="1579">
        <f>IF(YEAR('3 pr-2'!AK90)=2021,BJ90,0)</f>
        <v>0</v>
      </c>
      <c r="BR90" s="1579">
        <f>IF(YEAR('3 pr-2'!AK90)=2022,BJ90,0)</f>
        <v>0</v>
      </c>
      <c r="BS90" s="1579">
        <f>IF(YEAR('3 pr-2'!AK90)=2023,BJ90,0)</f>
        <v>0</v>
      </c>
      <c r="BT90" s="350"/>
      <c r="BU90" s="537"/>
      <c r="BV90" s="345"/>
      <c r="BW90" s="345"/>
      <c r="BX90" s="345"/>
      <c r="BY90" s="345"/>
      <c r="BZ90" s="345"/>
      <c r="CA90" s="345"/>
      <c r="CB90" s="345"/>
      <c r="CC90" s="895">
        <f t="shared" si="337"/>
        <v>0</v>
      </c>
      <c r="CD90" s="345"/>
      <c r="CE90" s="1579"/>
      <c r="CF90" s="1579"/>
      <c r="CG90" s="1579">
        <f>IF(YEAR('3 pr-2'!$AK90)=2017,$CD90,0)</f>
        <v>0</v>
      </c>
      <c r="CH90" s="1579">
        <f>IF(YEAR('3 pr-2'!$AK90)=2018,$CD90,0)</f>
        <v>0</v>
      </c>
      <c r="CI90" s="1579">
        <f>IF(YEAR('3 pr-2'!$AK90)=2019,$CD90,0)</f>
        <v>0</v>
      </c>
      <c r="CJ90" s="1579">
        <f>IF(YEAR('3 pr-2'!$AK90)=2020,$CD90,0)</f>
        <v>0</v>
      </c>
      <c r="CK90" s="1579">
        <f>IF(YEAR('3 pr-2'!$AK90)=2021,$CD90,0)</f>
        <v>0</v>
      </c>
      <c r="CL90" s="1579">
        <f>IF(YEAR('3 pr-2'!$AK90)=2022,$CD90,0)</f>
        <v>0</v>
      </c>
      <c r="CM90" s="1579">
        <f>IF(YEAR('3 pr-2'!$AK90)=2023,$CD90,0)</f>
        <v>0</v>
      </c>
      <c r="CN90" s="350"/>
      <c r="CO90" s="538"/>
      <c r="CP90" s="351"/>
      <c r="CQ90" s="345"/>
      <c r="CR90" s="345"/>
      <c r="CS90" s="345"/>
      <c r="CT90" s="345"/>
      <c r="CU90" s="345"/>
      <c r="CV90" s="345"/>
      <c r="CW90" s="895">
        <f t="shared" si="339"/>
        <v>0</v>
      </c>
      <c r="CX90" s="351"/>
      <c r="CY90" s="1605"/>
      <c r="CZ90" s="1605"/>
      <c r="DA90" s="1594">
        <f>IF(YEAR('3 pr-2'!AK90)=2017,CX90,0)</f>
        <v>0</v>
      </c>
      <c r="DB90" s="1594">
        <f>IF(YEAR('3 pr-2'!AK90)=2018,CX90,0)</f>
        <v>0</v>
      </c>
      <c r="DC90" s="1594">
        <f>IF(YEAR('3 pr-2'!AK90)=2019,CX90,0)</f>
        <v>0</v>
      </c>
      <c r="DD90" s="1594">
        <f>IF(YEAR('3 pr-2'!AK90)=2020,CX90,0)</f>
        <v>0</v>
      </c>
      <c r="DE90" s="1594">
        <f>IF(YEAR('3 pr-2'!AK90)=2021,CX90,0)</f>
        <v>0</v>
      </c>
      <c r="DF90" s="1594">
        <f>IF(YEAR('3 pr-2'!AK90)=2022,CX90,0)</f>
        <v>0</v>
      </c>
      <c r="DG90" s="1594">
        <f>IF(YEAR('3 pr-2'!AK90)=2023,CX90,0)</f>
        <v>0</v>
      </c>
      <c r="DH90" s="350"/>
      <c r="DI90" s="538"/>
      <c r="DJ90" s="351"/>
      <c r="DK90" s="345"/>
      <c r="DL90" s="345"/>
      <c r="DM90" s="345"/>
      <c r="DN90" s="345"/>
      <c r="DO90" s="345"/>
      <c r="DP90" s="345"/>
      <c r="DQ90" s="895"/>
      <c r="DR90" s="351"/>
      <c r="DS90" s="1605"/>
      <c r="DT90" s="1605"/>
      <c r="DU90" s="1594"/>
      <c r="DV90" s="1594"/>
      <c r="DW90" s="1594"/>
      <c r="DX90" s="1594"/>
      <c r="DY90" s="1594"/>
      <c r="DZ90" s="1594"/>
      <c r="EA90" s="1594"/>
      <c r="EB90" s="350"/>
      <c r="EC90" s="538"/>
      <c r="ED90" s="333"/>
      <c r="EE90" s="1605"/>
      <c r="EF90" s="1605"/>
      <c r="EG90" s="1594">
        <f>IF(YEAR('3 pr-2'!BP90)=2017,ED90,0)</f>
        <v>0</v>
      </c>
      <c r="EH90" s="1594">
        <f>IF(YEAR('3 pr-2'!BP90)=2018,ED90,0)</f>
        <v>0</v>
      </c>
      <c r="EI90" s="1594">
        <f>IF(YEAR('3 pr-2'!BP90)=2019,ED90,0)</f>
        <v>0</v>
      </c>
      <c r="EJ90" s="1594">
        <f>IF(YEAR('3 pr-2'!BP90)=2020,ED90,0)</f>
        <v>0</v>
      </c>
      <c r="EK90" s="1594">
        <f>IF(YEAR('3 pr-2'!BP90)=2021,ED90,0)</f>
        <v>0</v>
      </c>
      <c r="EL90" s="1594">
        <f>IF(YEAR('3 pr-2'!BP90)=2022,ED90,0)</f>
        <v>0</v>
      </c>
      <c r="EM90" s="1594">
        <f>IF(YEAR('3 pr-2'!BP90)=2023,ED90,0)</f>
        <v>0</v>
      </c>
    </row>
    <row r="91" spans="1:143" ht="61.5" thickTop="1" thickBot="1" x14ac:dyDescent="0.3">
      <c r="A91" s="345" t="str">
        <f>CONCATENATE('3 pr-2'!A91)</f>
        <v>1.1.2.3.5</v>
      </c>
      <c r="B91" s="345" t="str">
        <f>CONCATENATE('3 pr-2'!B91)</f>
        <v>R01-5516-190000-1235</v>
      </c>
      <c r="C91" s="1321" t="str">
        <f>CONCATENATE('ketv. 2'!B90)</f>
        <v/>
      </c>
      <c r="D91" s="125" t="str">
        <f>CONCATENATE('3 pr-2'!D91)</f>
        <v>Dviračių ir pėsčiųjų tako, esančio šalia Ratnyčios upelio, Druskininkų mieste, rekonstrukcija</v>
      </c>
      <c r="E91" s="312" t="str">
        <f>CONCATENATE('3 pr-2'!E91)</f>
        <v xml:space="preserve">Druskininkų savivaldybės administracija  </v>
      </c>
      <c r="F91" s="312" t="str">
        <f>CONCATENATE('3 pr-2'!F91)</f>
        <v>Lietuvos Respublikos susisiekimo ministerija</v>
      </c>
      <c r="G91" s="312" t="str">
        <f>CONCATENATE('3 pr-2'!G91)</f>
        <v>Druskininkų sav.</v>
      </c>
      <c r="H91" s="345" t="str">
        <f>CONCATENATE('3 pr-2'!H91)</f>
        <v>04.5.1-TID-R-516</v>
      </c>
      <c r="I91" s="345" t="str">
        <f>CONCATENATE('3 pr-2'!I91)</f>
        <v>R</v>
      </c>
      <c r="J91" s="345" t="str">
        <f>CONCATENATE('3 pr-2'!J91)</f>
        <v>-</v>
      </c>
      <c r="K91" s="345" t="str">
        <f>CONCATENATE('3 pr-2'!K91)</f>
        <v>-</v>
      </c>
      <c r="L91" s="345"/>
      <c r="M91" s="537"/>
      <c r="N91" s="345"/>
      <c r="O91" s="345"/>
      <c r="P91" s="345"/>
      <c r="Q91" s="345"/>
      <c r="R91" s="345"/>
      <c r="S91" s="345"/>
      <c r="T91" s="345"/>
      <c r="U91" s="893">
        <f t="shared" si="367"/>
        <v>0</v>
      </c>
      <c r="V91" s="1240">
        <v>0</v>
      </c>
      <c r="W91" s="1601" t="str">
        <f ca="1">IF('ketv. 6 '!L90&gt;0,"taip","nėra")</f>
        <v>nėra</v>
      </c>
      <c r="X91" s="1580"/>
      <c r="Y91" s="1579">
        <f>IF(YEAR('3 pr-2'!$AK91)=2017,$V91,0)</f>
        <v>0</v>
      </c>
      <c r="Z91" s="1579">
        <f>IF(YEAR('3 pr-2'!$AK91)=2018,$V91,0)</f>
        <v>0</v>
      </c>
      <c r="AA91" s="1579">
        <f>IF(YEAR('3 pr-2'!$AK91)=2019,$V91,0)</f>
        <v>0</v>
      </c>
      <c r="AB91" s="1579">
        <f>IF(YEAR('3 pr-2'!$AK91)=2020,$V91,0)</f>
        <v>0</v>
      </c>
      <c r="AC91" s="1579">
        <f>IF(YEAR('3 pr-2'!$AK91)=2021,$V91,0)</f>
        <v>0</v>
      </c>
      <c r="AD91" s="1579">
        <f>IF(YEAR('3 pr-2'!$AK91)=2022,$V91,0)</f>
        <v>0</v>
      </c>
      <c r="AE91" s="1579">
        <f>IF(YEAR('3 pr-2'!$AK91)=2023,$V91,0)</f>
        <v>0</v>
      </c>
      <c r="AF91" s="350" t="s">
        <v>503</v>
      </c>
      <c r="AG91" s="537" t="s">
        <v>504</v>
      </c>
      <c r="AH91" s="345"/>
      <c r="AI91" s="345"/>
      <c r="AJ91" s="345"/>
      <c r="AK91" s="345"/>
      <c r="AL91" s="345"/>
      <c r="AM91" s="345"/>
      <c r="AN91" s="345"/>
      <c r="AO91" s="895">
        <f t="shared" si="333"/>
        <v>0</v>
      </c>
      <c r="AP91" s="345">
        <v>0.69</v>
      </c>
      <c r="AQ91" s="1597"/>
      <c r="AR91" s="1579"/>
      <c r="AS91" s="1579">
        <f>IF(YEAR('3 pr-2'!$AK91)=2017,$AP91,0)</f>
        <v>0</v>
      </c>
      <c r="AT91" s="1579">
        <f>IF(YEAR('3 pr-2'!$AK91)=2018,$AP91,0)</f>
        <v>0</v>
      </c>
      <c r="AU91" s="1579">
        <f>IF(YEAR('3 pr-2'!$AK91)=2019,$AP91,0)</f>
        <v>0</v>
      </c>
      <c r="AV91" s="1579">
        <f>IF(YEAR('3 pr-2'!$AK91)=2020,$AP91,0)</f>
        <v>0.69</v>
      </c>
      <c r="AW91" s="1579">
        <f>IF(YEAR('3 pr-2'!$AK91)=2021,$AP91,0)</f>
        <v>0</v>
      </c>
      <c r="AX91" s="1579">
        <f>IF(YEAR('3 pr-2'!$AK91)=2022,$AP91,0)</f>
        <v>0</v>
      </c>
      <c r="AY91" s="1579">
        <f>IF(YEAR('3 pr-2'!$AK91)=2023,$AP91,0)</f>
        <v>0</v>
      </c>
      <c r="AZ91" s="345"/>
      <c r="BA91" s="536"/>
      <c r="BB91" s="345"/>
      <c r="BC91" s="345"/>
      <c r="BD91" s="345"/>
      <c r="BE91" s="345"/>
      <c r="BF91" s="345"/>
      <c r="BG91" s="345"/>
      <c r="BH91" s="345"/>
      <c r="BI91" s="895">
        <f t="shared" si="335"/>
        <v>0</v>
      </c>
      <c r="BJ91" s="345"/>
      <c r="BK91" s="1597"/>
      <c r="BL91" s="1579"/>
      <c r="BM91" s="1579">
        <f>IF(YEAR('3 pr-2'!AK91)=2017,BJ91,0)</f>
        <v>0</v>
      </c>
      <c r="BN91" s="1579">
        <f>IF(YEAR('3 pr-2'!AK91)=2018,BJ91,0)</f>
        <v>0</v>
      </c>
      <c r="BO91" s="1579">
        <f>IF(YEAR('3 pr-2'!AK91)=2019,BJ91,0)</f>
        <v>0</v>
      </c>
      <c r="BP91" s="1579">
        <f>IF(YEAR('3 pr-2'!AK91)=2020,BJ91,0)</f>
        <v>0</v>
      </c>
      <c r="BQ91" s="1579">
        <f>IF(YEAR('3 pr-2'!AK91)=2021,BJ91,0)</f>
        <v>0</v>
      </c>
      <c r="BR91" s="1579">
        <f>IF(YEAR('3 pr-2'!AK91)=2022,BJ91,0)</f>
        <v>0</v>
      </c>
      <c r="BS91" s="1579">
        <f>IF(YEAR('3 pr-2'!AK91)=2023,BJ91,0)</f>
        <v>0</v>
      </c>
      <c r="BT91" s="350"/>
      <c r="BU91" s="537"/>
      <c r="BV91" s="345"/>
      <c r="BW91" s="345"/>
      <c r="BX91" s="345"/>
      <c r="BY91" s="345"/>
      <c r="BZ91" s="345"/>
      <c r="CA91" s="345"/>
      <c r="CB91" s="345"/>
      <c r="CC91" s="895">
        <f t="shared" si="337"/>
        <v>0</v>
      </c>
      <c r="CD91" s="345"/>
      <c r="CE91" s="1579"/>
      <c r="CF91" s="1579"/>
      <c r="CG91" s="1579">
        <f>IF(YEAR('3 pr-2'!$AK91)=2017,$CD91,0)</f>
        <v>0</v>
      </c>
      <c r="CH91" s="1579">
        <f>IF(YEAR('3 pr-2'!$AK91)=2018,$CD91,0)</f>
        <v>0</v>
      </c>
      <c r="CI91" s="1579">
        <f>IF(YEAR('3 pr-2'!$AK91)=2019,$CD91,0)</f>
        <v>0</v>
      </c>
      <c r="CJ91" s="1579">
        <f>IF(YEAR('3 pr-2'!$AK91)=2020,$CD91,0)</f>
        <v>0</v>
      </c>
      <c r="CK91" s="1579">
        <f>IF(YEAR('3 pr-2'!$AK91)=2021,$CD91,0)</f>
        <v>0</v>
      </c>
      <c r="CL91" s="1579">
        <f>IF(YEAR('3 pr-2'!$AK91)=2022,$CD91,0)</f>
        <v>0</v>
      </c>
      <c r="CM91" s="1579">
        <f>IF(YEAR('3 pr-2'!$AK91)=2023,$CD91,0)</f>
        <v>0</v>
      </c>
      <c r="CN91" s="350"/>
      <c r="CO91" s="538"/>
      <c r="CP91" s="351"/>
      <c r="CQ91" s="345"/>
      <c r="CR91" s="345"/>
      <c r="CS91" s="345"/>
      <c r="CT91" s="345"/>
      <c r="CU91" s="345"/>
      <c r="CV91" s="345"/>
      <c r="CW91" s="895">
        <f t="shared" si="339"/>
        <v>0</v>
      </c>
      <c r="CX91" s="351"/>
      <c r="CY91" s="1605"/>
      <c r="CZ91" s="1605"/>
      <c r="DA91" s="1594">
        <f>IF(YEAR('3 pr-2'!AK91)=2017,CX91,0)</f>
        <v>0</v>
      </c>
      <c r="DB91" s="1594">
        <f>IF(YEAR('3 pr-2'!AK91)=2018,CX91,0)</f>
        <v>0</v>
      </c>
      <c r="DC91" s="1594">
        <f>IF(YEAR('3 pr-2'!AK91)=2019,CX91,0)</f>
        <v>0</v>
      </c>
      <c r="DD91" s="1594">
        <f>IF(YEAR('3 pr-2'!AK91)=2020,CX91,0)</f>
        <v>0</v>
      </c>
      <c r="DE91" s="1594">
        <f>IF(YEAR('3 pr-2'!AK91)=2021,CX91,0)</f>
        <v>0</v>
      </c>
      <c r="DF91" s="1594">
        <f>IF(YEAR('3 pr-2'!AK91)=2022,CX91,0)</f>
        <v>0</v>
      </c>
      <c r="DG91" s="1594">
        <f>IF(YEAR('3 pr-2'!AK91)=2023,CX91,0)</f>
        <v>0</v>
      </c>
      <c r="DH91" s="350"/>
      <c r="DI91" s="538"/>
      <c r="DJ91" s="351"/>
      <c r="DK91" s="345"/>
      <c r="DL91" s="345"/>
      <c r="DM91" s="345"/>
      <c r="DN91" s="345"/>
      <c r="DO91" s="345"/>
      <c r="DP91" s="345"/>
      <c r="DQ91" s="895"/>
      <c r="DR91" s="351"/>
      <c r="DS91" s="1605"/>
      <c r="DT91" s="1605"/>
      <c r="DU91" s="1594"/>
      <c r="DV91" s="1594"/>
      <c r="DW91" s="1594"/>
      <c r="DX91" s="1594"/>
      <c r="DY91" s="1594"/>
      <c r="DZ91" s="1594"/>
      <c r="EA91" s="1594"/>
      <c r="EB91" s="350"/>
      <c r="EC91" s="538"/>
      <c r="ED91" s="333"/>
      <c r="EE91" s="1605"/>
      <c r="EF91" s="1605"/>
      <c r="EG91" s="1594">
        <f>IF(YEAR('3 pr-2'!BP91)=2017,ED91,0)</f>
        <v>0</v>
      </c>
      <c r="EH91" s="1594">
        <f>IF(YEAR('3 pr-2'!BP91)=2018,ED91,0)</f>
        <v>0</v>
      </c>
      <c r="EI91" s="1594">
        <f>IF(YEAR('3 pr-2'!BP91)=2019,ED91,0)</f>
        <v>0</v>
      </c>
      <c r="EJ91" s="1594">
        <f>IF(YEAR('3 pr-2'!BP91)=2020,ED91,0)</f>
        <v>0</v>
      </c>
      <c r="EK91" s="1594">
        <f>IF(YEAR('3 pr-2'!BP91)=2021,ED91,0)</f>
        <v>0</v>
      </c>
      <c r="EL91" s="1594">
        <f>IF(YEAR('3 pr-2'!BP91)=2022,ED91,0)</f>
        <v>0</v>
      </c>
      <c r="EM91" s="1594">
        <f>IF(YEAR('3 pr-2'!BP91)=2023,ED91,0)</f>
        <v>0</v>
      </c>
    </row>
    <row r="92" spans="1:143" ht="33" customHeight="1" thickBot="1" x14ac:dyDescent="0.3">
      <c r="A92" s="824" t="str">
        <f>CONCATENATE('3 pr-2'!A92)</f>
        <v>1.1.2.4</v>
      </c>
      <c r="B92" s="1926" t="str">
        <f>CONCATENATE('3 pr-2'!B92)</f>
        <v>Priemonė:
Vietinių kelių techninių parametrų ir eismo saugos gerinimas</v>
      </c>
      <c r="C92" s="1927"/>
      <c r="D92" s="1927"/>
      <c r="E92" s="1927"/>
      <c r="F92" s="1927"/>
      <c r="G92" s="1927"/>
      <c r="H92" s="1927"/>
      <c r="I92" s="1927"/>
      <c r="J92" s="1927"/>
      <c r="K92" s="1928"/>
      <c r="L92" s="1312"/>
      <c r="M92" s="540"/>
      <c r="N92" s="334">
        <f>SUM(N93:N98)</f>
        <v>0</v>
      </c>
      <c r="O92" s="334">
        <f t="shared" ref="O92:T92" si="400">SUM(O93:O98)</f>
        <v>0</v>
      </c>
      <c r="P92" s="334">
        <f t="shared" si="400"/>
        <v>0</v>
      </c>
      <c r="Q92" s="334">
        <f t="shared" si="400"/>
        <v>0</v>
      </c>
      <c r="R92" s="334">
        <f t="shared" si="400"/>
        <v>0</v>
      </c>
      <c r="S92" s="334">
        <f t="shared" si="400"/>
        <v>0</v>
      </c>
      <c r="T92" s="334">
        <f t="shared" si="400"/>
        <v>0</v>
      </c>
      <c r="U92" s="887">
        <f t="shared" ref="U92:U98" si="401">SUM(N92:T92)</f>
        <v>0</v>
      </c>
      <c r="V92" s="864"/>
      <c r="W92" s="1575"/>
      <c r="X92" s="1576"/>
      <c r="Y92" s="1577">
        <f t="shared" ref="Y92:AE92" si="402">SUM(Y93:Y99)</f>
        <v>0</v>
      </c>
      <c r="Z92" s="1577">
        <f t="shared" si="402"/>
        <v>0</v>
      </c>
      <c r="AA92" s="1577">
        <f t="shared" si="402"/>
        <v>2.59</v>
      </c>
      <c r="AB92" s="1577">
        <f t="shared" si="402"/>
        <v>0.78</v>
      </c>
      <c r="AC92" s="1577">
        <f t="shared" si="402"/>
        <v>0</v>
      </c>
      <c r="AD92" s="1577">
        <f t="shared" si="402"/>
        <v>0</v>
      </c>
      <c r="AE92" s="1577">
        <f t="shared" si="402"/>
        <v>0</v>
      </c>
      <c r="AF92" s="864"/>
      <c r="AG92" s="902"/>
      <c r="AH92" s="334">
        <f>SUM(AH93:AH98)</f>
        <v>0</v>
      </c>
      <c r="AI92" s="334">
        <f t="shared" ref="AI92" si="403">SUM(AI93:AI98)</f>
        <v>0</v>
      </c>
      <c r="AJ92" s="334">
        <f t="shared" ref="AJ92" si="404">SUM(AJ93:AJ98)</f>
        <v>0</v>
      </c>
      <c r="AK92" s="334">
        <f t="shared" ref="AK92" si="405">SUM(AK93:AK98)</f>
        <v>0</v>
      </c>
      <c r="AL92" s="334">
        <f t="shared" ref="AL92" si="406">SUM(AL93:AL98)</f>
        <v>0</v>
      </c>
      <c r="AM92" s="334">
        <f t="shared" ref="AM92" si="407">SUM(AM93:AM98)</f>
        <v>0</v>
      </c>
      <c r="AN92" s="334">
        <f t="shared" ref="AN92" si="408">SUM(AN93:AN98)</f>
        <v>0</v>
      </c>
      <c r="AO92" s="864">
        <f t="shared" si="333"/>
        <v>0</v>
      </c>
      <c r="AP92" s="864"/>
      <c r="AQ92" s="1577"/>
      <c r="AR92" s="1577"/>
      <c r="AS92" s="1577">
        <f t="shared" ref="AS92:AY92" si="409">SUM(AS93:AS99)</f>
        <v>0</v>
      </c>
      <c r="AT92" s="1577">
        <f t="shared" si="409"/>
        <v>0</v>
      </c>
      <c r="AU92" s="1577">
        <f t="shared" si="409"/>
        <v>10</v>
      </c>
      <c r="AV92" s="1577">
        <f t="shared" si="409"/>
        <v>3</v>
      </c>
      <c r="AW92" s="1577">
        <f t="shared" si="409"/>
        <v>0</v>
      </c>
      <c r="AX92" s="1577">
        <f t="shared" si="409"/>
        <v>0</v>
      </c>
      <c r="AY92" s="1577">
        <f t="shared" si="409"/>
        <v>0</v>
      </c>
      <c r="AZ92" s="864"/>
      <c r="BA92" s="889"/>
      <c r="BB92" s="334">
        <f>SUM(BB93:BB98)</f>
        <v>0</v>
      </c>
      <c r="BC92" s="334">
        <f t="shared" ref="BC92" si="410">SUM(BC93:BC98)</f>
        <v>0</v>
      </c>
      <c r="BD92" s="334">
        <f t="shared" ref="BD92" si="411">SUM(BD93:BD98)</f>
        <v>0</v>
      </c>
      <c r="BE92" s="334">
        <f t="shared" ref="BE92" si="412">SUM(BE93:BE98)</f>
        <v>0</v>
      </c>
      <c r="BF92" s="334">
        <f t="shared" ref="BF92" si="413">SUM(BF93:BF98)</f>
        <v>0</v>
      </c>
      <c r="BG92" s="334">
        <f t="shared" ref="BG92" si="414">SUM(BG93:BG98)</f>
        <v>0</v>
      </c>
      <c r="BH92" s="334">
        <f t="shared" ref="BH92" si="415">SUM(BH93:BH98)</f>
        <v>0</v>
      </c>
      <c r="BI92" s="864">
        <f t="shared" si="335"/>
        <v>0</v>
      </c>
      <c r="BJ92" s="864"/>
      <c r="BK92" s="1577"/>
      <c r="BL92" s="1577"/>
      <c r="BM92" s="1577">
        <f t="shared" ref="BM92:BS92" si="416">SUM(BM93:BM99)</f>
        <v>0</v>
      </c>
      <c r="BN92" s="1577">
        <f t="shared" si="416"/>
        <v>0.72</v>
      </c>
      <c r="BO92" s="1577">
        <f t="shared" si="416"/>
        <v>0</v>
      </c>
      <c r="BP92" s="1577">
        <f t="shared" si="416"/>
        <v>0</v>
      </c>
      <c r="BQ92" s="1577">
        <f t="shared" si="416"/>
        <v>0</v>
      </c>
      <c r="BR92" s="1577">
        <f t="shared" si="416"/>
        <v>0</v>
      </c>
      <c r="BS92" s="1577">
        <f t="shared" si="416"/>
        <v>0</v>
      </c>
      <c r="BT92" s="334"/>
      <c r="BU92" s="538"/>
      <c r="BV92" s="334">
        <f>SUM(BV93:BV98)</f>
        <v>0</v>
      </c>
      <c r="BW92" s="334">
        <f t="shared" ref="BW92" si="417">SUM(BW93:BW98)</f>
        <v>0</v>
      </c>
      <c r="BX92" s="334">
        <f t="shared" ref="BX92" si="418">SUM(BX93:BX98)</f>
        <v>0</v>
      </c>
      <c r="BY92" s="334">
        <f t="shared" ref="BY92" si="419">SUM(BY93:BY98)</f>
        <v>0</v>
      </c>
      <c r="BZ92" s="334">
        <f t="shared" ref="BZ92" si="420">SUM(BZ93:BZ98)</f>
        <v>0</v>
      </c>
      <c r="CA92" s="334">
        <f t="shared" ref="CA92" si="421">SUM(CA93:CA98)</f>
        <v>0</v>
      </c>
      <c r="CB92" s="334">
        <f t="shared" ref="CB92" si="422">SUM(CB93:CB98)</f>
        <v>0</v>
      </c>
      <c r="CC92" s="864">
        <f t="shared" si="337"/>
        <v>0</v>
      </c>
      <c r="CD92" s="334"/>
      <c r="CE92" s="1577"/>
      <c r="CF92" s="1577"/>
      <c r="CG92" s="1577">
        <f t="shared" ref="CG92:CM92" si="423">SUM(CG93:CG99)</f>
        <v>0</v>
      </c>
      <c r="CH92" s="1577">
        <f t="shared" si="423"/>
        <v>0</v>
      </c>
      <c r="CI92" s="1577">
        <f t="shared" si="423"/>
        <v>0</v>
      </c>
      <c r="CJ92" s="1577">
        <f t="shared" si="423"/>
        <v>0</v>
      </c>
      <c r="CK92" s="1577">
        <f t="shared" si="423"/>
        <v>0</v>
      </c>
      <c r="CL92" s="1577">
        <f t="shared" si="423"/>
        <v>0</v>
      </c>
      <c r="CM92" s="1577">
        <f t="shared" si="423"/>
        <v>0</v>
      </c>
      <c r="CN92" s="887"/>
      <c r="CO92" s="538"/>
      <c r="CP92" s="852">
        <f>SUM(CP93:CP98)</f>
        <v>0</v>
      </c>
      <c r="CQ92" s="334">
        <f t="shared" ref="CQ92" si="424">SUM(CQ93:CQ98)</f>
        <v>0</v>
      </c>
      <c r="CR92" s="334">
        <f t="shared" ref="CR92" si="425">SUM(CR93:CR98)</f>
        <v>0</v>
      </c>
      <c r="CS92" s="334">
        <f t="shared" ref="CS92" si="426">SUM(CS93:CS98)</f>
        <v>0</v>
      </c>
      <c r="CT92" s="334">
        <f t="shared" ref="CT92" si="427">SUM(CT93:CT98)</f>
        <v>0</v>
      </c>
      <c r="CU92" s="334">
        <f t="shared" ref="CU92" si="428">SUM(CU93:CU98)</f>
        <v>0</v>
      </c>
      <c r="CV92" s="334">
        <f t="shared" ref="CV92" si="429">SUM(CV93:CV98)</f>
        <v>0</v>
      </c>
      <c r="CW92" s="864">
        <f t="shared" si="339"/>
        <v>0</v>
      </c>
      <c r="CX92" s="334"/>
      <c r="CY92" s="1594"/>
      <c r="CZ92" s="1594"/>
      <c r="DA92" s="1594">
        <f>IF(YEAR('3 pr-2'!AK92)=2017,CX92,0)</f>
        <v>0</v>
      </c>
      <c r="DB92" s="1594">
        <f>IF(YEAR('3 pr-2'!AK92)=2018,CX92,0)</f>
        <v>0</v>
      </c>
      <c r="DC92" s="1594">
        <f>IF(YEAR('3 pr-2'!AK92)=2019,CX92,0)</f>
        <v>0</v>
      </c>
      <c r="DD92" s="1594">
        <f>IF(YEAR('3 pr-2'!AK92)=2020,CX92,0)</f>
        <v>0</v>
      </c>
      <c r="DE92" s="1594">
        <f>IF(YEAR('3 pr-2'!AK92)=2021,CX92,0)</f>
        <v>0</v>
      </c>
      <c r="DF92" s="1594">
        <f>IF(YEAR('3 pr-2'!AK92)=2022,CX92,0)</f>
        <v>0</v>
      </c>
      <c r="DG92" s="1594">
        <f>IF(YEAR('3 pr-2'!AK92)=2023,CX92,0)</f>
        <v>0</v>
      </c>
      <c r="DH92" s="887"/>
      <c r="DI92" s="538"/>
      <c r="DJ92" s="852"/>
      <c r="DK92" s="334"/>
      <c r="DL92" s="334"/>
      <c r="DM92" s="334"/>
      <c r="DN92" s="334"/>
      <c r="DO92" s="334"/>
      <c r="DP92" s="334"/>
      <c r="DQ92" s="864"/>
      <c r="DR92" s="334"/>
      <c r="DS92" s="1594"/>
      <c r="DT92" s="1594"/>
      <c r="DU92" s="1594"/>
      <c r="DV92" s="1594"/>
      <c r="DW92" s="1594"/>
      <c r="DX92" s="1594"/>
      <c r="DY92" s="1594"/>
      <c r="DZ92" s="1594"/>
      <c r="EA92" s="1594"/>
      <c r="EB92" s="887"/>
      <c r="EC92" s="538"/>
      <c r="ED92" s="890"/>
      <c r="EE92" s="1594"/>
      <c r="EF92" s="1594"/>
      <c r="EG92" s="1594">
        <f>IF(YEAR('3 pr-2'!BP92)=2017,ED92,0)</f>
        <v>0</v>
      </c>
      <c r="EH92" s="1594">
        <f>IF(YEAR('3 pr-2'!BP92)=2018,ED92,0)</f>
        <v>0</v>
      </c>
      <c r="EI92" s="1594">
        <f>IF(YEAR('3 pr-2'!BP92)=2019,ED92,0)</f>
        <v>0</v>
      </c>
      <c r="EJ92" s="1594">
        <f>IF(YEAR('3 pr-2'!BP92)=2020,ED92,0)</f>
        <v>0</v>
      </c>
      <c r="EK92" s="1594">
        <f>IF(YEAR('3 pr-2'!BP92)=2021,ED92,0)</f>
        <v>0</v>
      </c>
      <c r="EL92" s="1594">
        <f>IF(YEAR('3 pr-2'!BP92)=2022,ED92,0)</f>
        <v>0</v>
      </c>
      <c r="EM92" s="1594">
        <f>IF(YEAR('3 pr-2'!BP92)=2023,ED92,0)</f>
        <v>0</v>
      </c>
    </row>
    <row r="93" spans="1:143" ht="61.5" thickTop="1" thickBot="1" x14ac:dyDescent="0.3">
      <c r="A93" s="345" t="str">
        <f>CONCATENATE('3 pr-2'!A93)</f>
        <v>1.1.2.4.1</v>
      </c>
      <c r="B93" s="345" t="str">
        <f>CONCATENATE('3 pr-2'!B93)</f>
        <v>R01-5511-120000-1241</v>
      </c>
      <c r="C93" s="1321" t="str">
        <f>CONCATENATE('ketv. 2'!B92)</f>
        <v>06.2.1-TID-R-511-11-0002</v>
      </c>
      <c r="D93" s="312" t="str">
        <f>CONCATENATE('3 pr-2'!D93)</f>
        <v>Varėnos miesto J. Basanavičiaus, Savanorių ir M. K. Čiurlionio gatvių rekonstrukcija</v>
      </c>
      <c r="E93" s="312" t="str">
        <f>CONCATENATE('3 pr-2'!E93)</f>
        <v>Varėnos rajono savivaldybės administracija</v>
      </c>
      <c r="F93" s="312" t="str">
        <f>CONCATENATE('3 pr-2'!F93)</f>
        <v>Lietuvos Respublikos susisiekimo ministerija</v>
      </c>
      <c r="G93" s="312" t="str">
        <f>CONCATENATE('3 pr-2'!G93)</f>
        <v>Varėnos r. sav.</v>
      </c>
      <c r="H93" s="345" t="str">
        <f>CONCATENATE('3 pr-2'!H93)</f>
        <v>06.2.1-TID-R-511</v>
      </c>
      <c r="I93" s="345" t="str">
        <f>CONCATENATE('3 pr-2'!I93)</f>
        <v>R</v>
      </c>
      <c r="J93" s="345" t="str">
        <f>CONCATENATE('3 pr-2'!J93)</f>
        <v>ITI</v>
      </c>
      <c r="K93" s="345" t="str">
        <f>CONCATENATE('3 pr-2'!K93)</f>
        <v>-</v>
      </c>
      <c r="L93" s="345" t="s">
        <v>505</v>
      </c>
      <c r="M93" s="537" t="s">
        <v>506</v>
      </c>
      <c r="N93" s="345"/>
      <c r="O93" s="345"/>
      <c r="P93" s="345"/>
      <c r="Q93" s="345"/>
      <c r="R93" s="345"/>
      <c r="S93" s="345"/>
      <c r="T93" s="345"/>
      <c r="U93" s="893">
        <f t="shared" si="401"/>
        <v>0</v>
      </c>
      <c r="V93" s="345">
        <v>0.78</v>
      </c>
      <c r="W93" s="1578" t="str">
        <f ca="1">IF('ketv. 6 '!L92&gt;0,"0,78",0)</f>
        <v>0,78</v>
      </c>
      <c r="X93" s="1579">
        <f ca="1">SUM(W93-V93)</f>
        <v>0</v>
      </c>
      <c r="Y93" s="1579">
        <f>IF(YEAR('3 pr-2'!$AK93)=2017,$V93,0)</f>
        <v>0</v>
      </c>
      <c r="Z93" s="1579">
        <f>IF(YEAR('3 pr-2'!$AK93)=2018,$V93,0)</f>
        <v>0</v>
      </c>
      <c r="AA93" s="1579">
        <f>IF(YEAR('3 pr-2'!$AK93)=2019,$V93,0)</f>
        <v>0</v>
      </c>
      <c r="AB93" s="1579">
        <f>IF(YEAR('3 pr-2'!$AK93)=2020,$V93,0)</f>
        <v>0.78</v>
      </c>
      <c r="AC93" s="1579">
        <f>IF(YEAR('3 pr-2'!$AK93)=2021,$V93,0)</f>
        <v>0</v>
      </c>
      <c r="AD93" s="1579">
        <f>IF(YEAR('3 pr-2'!$AK93)=2022,$V93,0)</f>
        <v>0</v>
      </c>
      <c r="AE93" s="1579">
        <f>IF(YEAR('3 pr-2'!$AK93)=2023,$V93,0)</f>
        <v>0</v>
      </c>
      <c r="AF93" s="350" t="s">
        <v>507</v>
      </c>
      <c r="AG93" s="537" t="s">
        <v>508</v>
      </c>
      <c r="AH93" s="345"/>
      <c r="AI93" s="345"/>
      <c r="AJ93" s="345"/>
      <c r="AK93" s="345"/>
      <c r="AL93" s="345"/>
      <c r="AM93" s="345"/>
      <c r="AN93" s="345"/>
      <c r="AO93" s="895">
        <f t="shared" si="333"/>
        <v>0</v>
      </c>
      <c r="AP93" s="345">
        <v>3</v>
      </c>
      <c r="AQ93" s="1597">
        <v>3</v>
      </c>
      <c r="AR93" s="1579">
        <f>SUM(AQ93-AP93)</f>
        <v>0</v>
      </c>
      <c r="AS93" s="1579">
        <f>IF(YEAR('3 pr-2'!$AK93)=2017,$AP93,0)</f>
        <v>0</v>
      </c>
      <c r="AT93" s="1579">
        <f>IF(YEAR('3 pr-2'!$AK93)=2018,$AP93,0)</f>
        <v>0</v>
      </c>
      <c r="AU93" s="1579">
        <f>IF(YEAR('3 pr-2'!$AK93)=2019,$AP93,0)</f>
        <v>0</v>
      </c>
      <c r="AV93" s="1579">
        <f>IF(YEAR('3 pr-2'!$AK93)=2020,$AP93,0)</f>
        <v>3</v>
      </c>
      <c r="AW93" s="1579">
        <f>IF(YEAR('3 pr-2'!$AK93)=2021,$AP93,0)</f>
        <v>0</v>
      </c>
      <c r="AX93" s="1579">
        <f>IF(YEAR('3 pr-2'!$AK93)=2022,$AP93,0)</f>
        <v>0</v>
      </c>
      <c r="AY93" s="1579">
        <f>IF(YEAR('3 pr-2'!$AK93)=2023,$AP93,0)</f>
        <v>0</v>
      </c>
      <c r="AZ93" s="345"/>
      <c r="BA93" s="536"/>
      <c r="BB93" s="345"/>
      <c r="BC93" s="345"/>
      <c r="BD93" s="345"/>
      <c r="BE93" s="345"/>
      <c r="BF93" s="345"/>
      <c r="BG93" s="345"/>
      <c r="BH93" s="345"/>
      <c r="BI93" s="895">
        <f t="shared" si="335"/>
        <v>0</v>
      </c>
      <c r="BJ93" s="345"/>
      <c r="BK93" s="1597"/>
      <c r="BL93" s="1579"/>
      <c r="BM93" s="1579">
        <f>IF(YEAR('3 pr-2'!AK93)=2017,BJ93,0)</f>
        <v>0</v>
      </c>
      <c r="BN93" s="1579">
        <f>IF(YEAR('3 pr-2'!AK93)=2018,BJ93,0)</f>
        <v>0</v>
      </c>
      <c r="BO93" s="1579">
        <f>IF(YEAR('3 pr-2'!AK93)=2019,BJ93,0)</f>
        <v>0</v>
      </c>
      <c r="BP93" s="1579">
        <f>IF(YEAR('3 pr-2'!AK93)=2020,BJ93,0)</f>
        <v>0</v>
      </c>
      <c r="BQ93" s="1579">
        <f>IF(YEAR('3 pr-2'!AK93)=2021,BJ93,0)</f>
        <v>0</v>
      </c>
      <c r="BR93" s="1579">
        <f>IF(YEAR('3 pr-2'!AK93)=2022,BJ93,0)</f>
        <v>0</v>
      </c>
      <c r="BS93" s="1579">
        <f>IF(YEAR('3 pr-2'!AK93)=2023,BJ93,0)</f>
        <v>0</v>
      </c>
      <c r="BT93" s="350"/>
      <c r="BU93" s="537"/>
      <c r="BV93" s="345"/>
      <c r="BW93" s="345"/>
      <c r="BX93" s="345"/>
      <c r="BY93" s="345"/>
      <c r="BZ93" s="345"/>
      <c r="CA93" s="345"/>
      <c r="CB93" s="345"/>
      <c r="CC93" s="895">
        <f t="shared" si="337"/>
        <v>0</v>
      </c>
      <c r="CD93" s="345"/>
      <c r="CE93" s="1579"/>
      <c r="CF93" s="1579"/>
      <c r="CG93" s="1579">
        <f>IF(YEAR('3 pr-2'!$AK93)=2017,$CD93,0)</f>
        <v>0</v>
      </c>
      <c r="CH93" s="1579">
        <f>IF(YEAR('3 pr-2'!$AK93)=2018,$CD93,0)</f>
        <v>0</v>
      </c>
      <c r="CI93" s="1579">
        <f>IF(YEAR('3 pr-2'!$AK93)=2019,$CD93,0)</f>
        <v>0</v>
      </c>
      <c r="CJ93" s="1579">
        <f>IF(YEAR('3 pr-2'!$AK93)=2020,$CD93,0)</f>
        <v>0</v>
      </c>
      <c r="CK93" s="1579">
        <f>IF(YEAR('3 pr-2'!$AK93)=2021,$CD93,0)</f>
        <v>0</v>
      </c>
      <c r="CL93" s="1579">
        <f>IF(YEAR('3 pr-2'!$AK93)=2022,$CD93,0)</f>
        <v>0</v>
      </c>
      <c r="CM93" s="1579">
        <f>IF(YEAR('3 pr-2'!$AK93)=2023,$CD93,0)</f>
        <v>0</v>
      </c>
      <c r="CN93" s="350"/>
      <c r="CO93" s="538"/>
      <c r="CP93" s="351"/>
      <c r="CQ93" s="345"/>
      <c r="CR93" s="345"/>
      <c r="CS93" s="345"/>
      <c r="CT93" s="345"/>
      <c r="CU93" s="345"/>
      <c r="CV93" s="345"/>
      <c r="CW93" s="895">
        <f t="shared" si="339"/>
        <v>0</v>
      </c>
      <c r="CX93" s="351"/>
      <c r="CY93" s="1605"/>
      <c r="CZ93" s="1605"/>
      <c r="DA93" s="1594">
        <f>IF(YEAR('3 pr-2'!AK93)=2017,CX93,0)</f>
        <v>0</v>
      </c>
      <c r="DB93" s="1594">
        <f>IF(YEAR('3 pr-2'!AK93)=2018,CX93,0)</f>
        <v>0</v>
      </c>
      <c r="DC93" s="1594">
        <f>IF(YEAR('3 pr-2'!AK93)=2019,CX93,0)</f>
        <v>0</v>
      </c>
      <c r="DD93" s="1594">
        <f>IF(YEAR('3 pr-2'!AK93)=2020,CX93,0)</f>
        <v>0</v>
      </c>
      <c r="DE93" s="1594">
        <f>IF(YEAR('3 pr-2'!AK93)=2021,CX93,0)</f>
        <v>0</v>
      </c>
      <c r="DF93" s="1594">
        <f>IF(YEAR('3 pr-2'!AK93)=2022,CX93,0)</f>
        <v>0</v>
      </c>
      <c r="DG93" s="1594">
        <f>IF(YEAR('3 pr-2'!AK93)=2023,CX93,0)</f>
        <v>0</v>
      </c>
      <c r="DH93" s="350"/>
      <c r="DI93" s="538"/>
      <c r="DJ93" s="351"/>
      <c r="DK93" s="345"/>
      <c r="DL93" s="345"/>
      <c r="DM93" s="345"/>
      <c r="DN93" s="345"/>
      <c r="DO93" s="345"/>
      <c r="DP93" s="345"/>
      <c r="DQ93" s="895"/>
      <c r="DR93" s="351"/>
      <c r="DS93" s="1605"/>
      <c r="DT93" s="1605"/>
      <c r="DU93" s="1594"/>
      <c r="DV93" s="1594"/>
      <c r="DW93" s="1594"/>
      <c r="DX93" s="1594"/>
      <c r="DY93" s="1594"/>
      <c r="DZ93" s="1594"/>
      <c r="EA93" s="1594"/>
      <c r="EB93" s="350"/>
      <c r="EC93" s="538"/>
      <c r="ED93" s="333"/>
      <c r="EE93" s="1605"/>
      <c r="EF93" s="1605"/>
      <c r="EG93" s="1594">
        <f>IF(YEAR('3 pr-2'!BP93)=2017,ED93,0)</f>
        <v>0</v>
      </c>
      <c r="EH93" s="1594">
        <f>IF(YEAR('3 pr-2'!BP93)=2018,ED93,0)</f>
        <v>0</v>
      </c>
      <c r="EI93" s="1594">
        <f>IF(YEAR('3 pr-2'!BP93)=2019,ED93,0)</f>
        <v>0</v>
      </c>
      <c r="EJ93" s="1594">
        <f>IF(YEAR('3 pr-2'!BP93)=2020,ED93,0)</f>
        <v>0</v>
      </c>
      <c r="EK93" s="1594">
        <f>IF(YEAR('3 pr-2'!BP93)=2021,ED93,0)</f>
        <v>0</v>
      </c>
      <c r="EL93" s="1594">
        <f>IF(YEAR('3 pr-2'!BP93)=2022,ED93,0)</f>
        <v>0</v>
      </c>
      <c r="EM93" s="1594">
        <f>IF(YEAR('3 pr-2'!BP93)=2023,ED93,0)</f>
        <v>0</v>
      </c>
    </row>
    <row r="94" spans="1:143" ht="49.5" thickTop="1" thickBot="1" x14ac:dyDescent="0.3">
      <c r="A94" s="345" t="str">
        <f>CONCATENATE('3 pr-2'!A94)</f>
        <v>1.1.2.4.2</v>
      </c>
      <c r="B94" s="345" t="str">
        <f>CONCATENATE('3 pr-2'!B94)</f>
        <v>R01-5511-110000-1242</v>
      </c>
      <c r="C94" s="1321" t="str">
        <f>CONCATENATE('ketv. 2'!B93)</f>
        <v>06.2.1-TID-R-511-11-0001</v>
      </c>
      <c r="D94" s="312" t="str">
        <f>CONCATENATE('3 pr-2'!D94)</f>
        <v>Perspektyvinės gatvės nuo Pramonės g. iki Naujosios g. Alytuje įrengimas</v>
      </c>
      <c r="E94" s="312" t="str">
        <f>CONCATENATE('3 pr-2'!E94)</f>
        <v>Alytaus miesto savivaldybės administracija</v>
      </c>
      <c r="F94" s="312" t="str">
        <f>CONCATENATE('3 pr-2'!F94)</f>
        <v>Lietuvos Respublikos susisiekimo ministerija</v>
      </c>
      <c r="G94" s="312" t="str">
        <f>CONCATENATE('3 pr-2'!G94)</f>
        <v>Alytaus m. sav.</v>
      </c>
      <c r="H94" s="345" t="str">
        <f>CONCATENATE('3 pr-2'!H94)</f>
        <v>06.2.1-TID-R-511</v>
      </c>
      <c r="I94" s="345" t="str">
        <f>CONCATENATE('3 pr-2'!I94)</f>
        <v>R</v>
      </c>
      <c r="J94" s="345" t="str">
        <f>CONCATENATE('3 pr-2'!J94)</f>
        <v>ITI</v>
      </c>
      <c r="K94" s="345" t="str">
        <f>CONCATENATE('3 pr-2'!K94)</f>
        <v>-</v>
      </c>
      <c r="L94" s="345"/>
      <c r="M94" s="537"/>
      <c r="N94" s="345"/>
      <c r="O94" s="345"/>
      <c r="P94" s="345"/>
      <c r="Q94" s="345"/>
      <c r="R94" s="345"/>
      <c r="S94" s="345"/>
      <c r="T94" s="345"/>
      <c r="U94" s="893">
        <f t="shared" si="401"/>
        <v>0</v>
      </c>
      <c r="V94" s="345"/>
      <c r="W94" s="1578"/>
      <c r="X94" s="1579"/>
      <c r="Y94" s="1579">
        <f>IF(YEAR('3 pr-2'!$AK94)=2017,$V94,0)</f>
        <v>0</v>
      </c>
      <c r="Z94" s="1579">
        <f>IF(YEAR('3 pr-2'!$AK94)=2018,$V94,0)</f>
        <v>0</v>
      </c>
      <c r="AA94" s="1579">
        <f>IF(YEAR('3 pr-2'!$AK94)=2019,$V94,0)</f>
        <v>0</v>
      </c>
      <c r="AB94" s="1579">
        <f>IF(YEAR('3 pr-2'!$AK94)=2020,$V94,0)</f>
        <v>0</v>
      </c>
      <c r="AC94" s="1579">
        <f>IF(YEAR('3 pr-2'!$AK94)=2021,$V94,0)</f>
        <v>0</v>
      </c>
      <c r="AD94" s="1579">
        <f>IF(YEAR('3 pr-2'!$AK94)=2022,$V94,0)</f>
        <v>0</v>
      </c>
      <c r="AE94" s="1579">
        <f>IF(YEAR('3 pr-2'!$AK94)=2023,$V94,0)</f>
        <v>0</v>
      </c>
      <c r="AF94" s="350"/>
      <c r="AG94" s="537"/>
      <c r="AH94" s="345"/>
      <c r="AI94" s="345"/>
      <c r="AJ94" s="345"/>
      <c r="AK94" s="345"/>
      <c r="AL94" s="345"/>
      <c r="AM94" s="345"/>
      <c r="AN94" s="345"/>
      <c r="AO94" s="895">
        <f t="shared" si="333"/>
        <v>0</v>
      </c>
      <c r="AP94" s="345"/>
      <c r="AQ94" s="1597"/>
      <c r="AR94" s="1579"/>
      <c r="AS94" s="1579">
        <f>IF(YEAR('3 pr-2'!$AK94)=2017,$AP94,0)</f>
        <v>0</v>
      </c>
      <c r="AT94" s="1579">
        <f>IF(YEAR('3 pr-2'!$AK94)=2018,$AP94,0)</f>
        <v>0</v>
      </c>
      <c r="AU94" s="1579">
        <f>IF(YEAR('3 pr-2'!$AK94)=2019,$AP94,0)</f>
        <v>0</v>
      </c>
      <c r="AV94" s="1579">
        <f>IF(YEAR('3 pr-2'!$AK94)=2020,$AP94,0)</f>
        <v>0</v>
      </c>
      <c r="AW94" s="1579">
        <f>IF(YEAR('3 pr-2'!$AK94)=2021,$AP94,0)</f>
        <v>0</v>
      </c>
      <c r="AX94" s="1579">
        <f>IF(YEAR('3 pr-2'!$AK94)=2022,$AP94,0)</f>
        <v>0</v>
      </c>
      <c r="AY94" s="1579">
        <f>IF(YEAR('3 pr-2'!$AK94)=2023,$AP94,0)</f>
        <v>0</v>
      </c>
      <c r="AZ94" s="345" t="s">
        <v>509</v>
      </c>
      <c r="BA94" s="536" t="s">
        <v>510</v>
      </c>
      <c r="BB94" s="345"/>
      <c r="BC94" s="345"/>
      <c r="BD94" s="345"/>
      <c r="BE94" s="345"/>
      <c r="BF94" s="345"/>
      <c r="BG94" s="345"/>
      <c r="BH94" s="345"/>
      <c r="BI94" s="895">
        <f t="shared" si="335"/>
        <v>0</v>
      </c>
      <c r="BJ94" s="345">
        <v>0.72</v>
      </c>
      <c r="BK94" s="1597">
        <v>0.72</v>
      </c>
      <c r="BL94" s="1579">
        <f>SUM(BK94-BJ94)</f>
        <v>0</v>
      </c>
      <c r="BM94" s="1579">
        <f>IF(YEAR('3 pr-2'!AK94)=2017,BJ94,0)</f>
        <v>0</v>
      </c>
      <c r="BN94" s="1579">
        <f>IF(YEAR('3 pr-2'!AK94)=2018,BJ94,0)</f>
        <v>0.72</v>
      </c>
      <c r="BO94" s="1579">
        <f>IF(YEAR('3 pr-2'!AK94)=2019,BJ94,0)</f>
        <v>0</v>
      </c>
      <c r="BP94" s="1579">
        <f>IF(YEAR('3 pr-2'!AK94)=2020,BJ94,0)</f>
        <v>0</v>
      </c>
      <c r="BQ94" s="1579">
        <f>IF(YEAR('3 pr-2'!AK94)=2021,BJ94,0)</f>
        <v>0</v>
      </c>
      <c r="BR94" s="1579">
        <f>IF(YEAR('3 pr-2'!AK94)=2022,BJ94,0)</f>
        <v>0</v>
      </c>
      <c r="BS94" s="1579">
        <f>IF(YEAR('3 pr-2'!AK94)=2023,BJ94,0)</f>
        <v>0</v>
      </c>
      <c r="BT94" s="350"/>
      <c r="BU94" s="537"/>
      <c r="BV94" s="345"/>
      <c r="BW94" s="345"/>
      <c r="BX94" s="345"/>
      <c r="BY94" s="345"/>
      <c r="BZ94" s="345"/>
      <c r="CA94" s="345"/>
      <c r="CB94" s="345"/>
      <c r="CC94" s="895">
        <f t="shared" si="337"/>
        <v>0</v>
      </c>
      <c r="CD94" s="345"/>
      <c r="CE94" s="1579"/>
      <c r="CF94" s="1579"/>
      <c r="CG94" s="1579">
        <f>IF(YEAR('3 pr-2'!$AK94)=2017,$CD94,0)</f>
        <v>0</v>
      </c>
      <c r="CH94" s="1579">
        <f>IF(YEAR('3 pr-2'!$AK94)=2018,$CD94,0)</f>
        <v>0</v>
      </c>
      <c r="CI94" s="1579">
        <f>IF(YEAR('3 pr-2'!$AK94)=2019,$CD94,0)</f>
        <v>0</v>
      </c>
      <c r="CJ94" s="1579">
        <f>IF(YEAR('3 pr-2'!$AK94)=2020,$CD94,0)</f>
        <v>0</v>
      </c>
      <c r="CK94" s="1579">
        <f>IF(YEAR('3 pr-2'!$AK94)=2021,$CD94,0)</f>
        <v>0</v>
      </c>
      <c r="CL94" s="1579">
        <f>IF(YEAR('3 pr-2'!$AK94)=2022,$CD94,0)</f>
        <v>0</v>
      </c>
      <c r="CM94" s="1579">
        <f>IF(YEAR('3 pr-2'!$AK94)=2023,$CD94,0)</f>
        <v>0</v>
      </c>
      <c r="CN94" s="350"/>
      <c r="CO94" s="538"/>
      <c r="CP94" s="351"/>
      <c r="CQ94" s="345"/>
      <c r="CR94" s="345"/>
      <c r="CS94" s="345"/>
      <c r="CT94" s="345"/>
      <c r="CU94" s="345"/>
      <c r="CV94" s="345"/>
      <c r="CW94" s="895">
        <f t="shared" si="339"/>
        <v>0</v>
      </c>
      <c r="CX94" s="351"/>
      <c r="CY94" s="1605"/>
      <c r="CZ94" s="1605"/>
      <c r="DA94" s="1594">
        <f>IF(YEAR('3 pr-2'!AK94)=2017,CX94,0)</f>
        <v>0</v>
      </c>
      <c r="DB94" s="1594">
        <f>IF(YEAR('3 pr-2'!AK94)=2018,CX94,0)</f>
        <v>0</v>
      </c>
      <c r="DC94" s="1594">
        <f>IF(YEAR('3 pr-2'!AK94)=2019,CX94,0)</f>
        <v>0</v>
      </c>
      <c r="DD94" s="1594">
        <f>IF(YEAR('3 pr-2'!AK94)=2020,CX94,0)</f>
        <v>0</v>
      </c>
      <c r="DE94" s="1594">
        <f>IF(YEAR('3 pr-2'!AK94)=2021,CX94,0)</f>
        <v>0</v>
      </c>
      <c r="DF94" s="1594">
        <f>IF(YEAR('3 pr-2'!AK94)=2022,CX94,0)</f>
        <v>0</v>
      </c>
      <c r="DG94" s="1594">
        <f>IF(YEAR('3 pr-2'!AK94)=2023,CX94,0)</f>
        <v>0</v>
      </c>
      <c r="DH94" s="350"/>
      <c r="DI94" s="538"/>
      <c r="DJ94" s="351"/>
      <c r="DK94" s="345"/>
      <c r="DL94" s="345"/>
      <c r="DM94" s="345"/>
      <c r="DN94" s="345"/>
      <c r="DO94" s="345"/>
      <c r="DP94" s="345"/>
      <c r="DQ94" s="895"/>
      <c r="DR94" s="351"/>
      <c r="DS94" s="1605"/>
      <c r="DT94" s="1605"/>
      <c r="DU94" s="1594"/>
      <c r="DV94" s="1594"/>
      <c r="DW94" s="1594"/>
      <c r="DX94" s="1594"/>
      <c r="DY94" s="1594"/>
      <c r="DZ94" s="1594"/>
      <c r="EA94" s="1594"/>
      <c r="EB94" s="350"/>
      <c r="EC94" s="538"/>
      <c r="ED94" s="333"/>
      <c r="EE94" s="1605"/>
      <c r="EF94" s="1605"/>
      <c r="EG94" s="1594">
        <f>IF(YEAR('3 pr-2'!BP94)=2017,ED94,0)</f>
        <v>0</v>
      </c>
      <c r="EH94" s="1594">
        <f>IF(YEAR('3 pr-2'!BP94)=2018,ED94,0)</f>
        <v>0</v>
      </c>
      <c r="EI94" s="1594">
        <f>IF(YEAR('3 pr-2'!BP94)=2019,ED94,0)</f>
        <v>0</v>
      </c>
      <c r="EJ94" s="1594">
        <f>IF(YEAR('3 pr-2'!BP94)=2020,ED94,0)</f>
        <v>0</v>
      </c>
      <c r="EK94" s="1594">
        <f>IF(YEAR('3 pr-2'!BP94)=2021,ED94,0)</f>
        <v>0</v>
      </c>
      <c r="EL94" s="1594">
        <f>IF(YEAR('3 pr-2'!BP94)=2022,ED94,0)</f>
        <v>0</v>
      </c>
      <c r="EM94" s="1594">
        <f>IF(YEAR('3 pr-2'!BP94)=2023,ED94,0)</f>
        <v>0</v>
      </c>
    </row>
    <row r="95" spans="1:143" ht="49.5" thickTop="1" thickBot="1" x14ac:dyDescent="0.3">
      <c r="A95" s="345" t="str">
        <f>CONCATENATE('3 pr-2'!A95)</f>
        <v>1.1.2.4.3.</v>
      </c>
      <c r="B95" s="345" t="str">
        <f>CONCATENATE('3 pr-2'!B95)</f>
        <v>R01-5511-500000-1243</v>
      </c>
      <c r="C95" s="1321" t="str">
        <f>CONCATENATE('ketv. 2'!B94)</f>
        <v>06.2.1-TID-R-511-11-0008</v>
      </c>
      <c r="D95" s="312" t="str">
        <f>CONCATENATE('3 pr-2'!D95)</f>
        <v>Saugaus eismo priemonių diegimas Alytaus mieste</v>
      </c>
      <c r="E95" s="312" t="str">
        <f>CONCATENATE('3 pr-2'!E95)</f>
        <v>Alytaus miesto savivaldybės administracija</v>
      </c>
      <c r="F95" s="312" t="str">
        <f>CONCATENATE('3 pr-2'!F95)</f>
        <v>Lietuvos Respublikos susisiekimo ministerija</v>
      </c>
      <c r="G95" s="312" t="str">
        <f>CONCATENATE('3 pr-2'!G95)</f>
        <v>Alytaus m. sav.</v>
      </c>
      <c r="H95" s="345" t="str">
        <f>CONCATENATE('3 pr-2'!H95)</f>
        <v>06.2.1-TID-R-511</v>
      </c>
      <c r="I95" s="345" t="str">
        <f>CONCATENATE('3 pr-2'!I95)</f>
        <v>R</v>
      </c>
      <c r="J95" s="345" t="str">
        <f>CONCATENATE('3 pr-2'!J95)</f>
        <v>-</v>
      </c>
      <c r="K95" s="345" t="str">
        <f>CONCATENATE('3 pr-2'!K95)</f>
        <v>-</v>
      </c>
      <c r="L95" s="345"/>
      <c r="M95" s="537"/>
      <c r="N95" s="345"/>
      <c r="O95" s="345"/>
      <c r="P95" s="345"/>
      <c r="Q95" s="345"/>
      <c r="R95" s="345"/>
      <c r="S95" s="345"/>
      <c r="T95" s="345"/>
      <c r="U95" s="893">
        <f t="shared" si="401"/>
        <v>0</v>
      </c>
      <c r="V95" s="345"/>
      <c r="W95" s="1578" t="str">
        <f ca="1">IF('ketv. 6 '!L94&gt;0,"taip","nėra")</f>
        <v>nėra</v>
      </c>
      <c r="X95" s="1579"/>
      <c r="Y95" s="1579">
        <f>IF(YEAR('3 pr-2'!$AK95)=2017,$V95,0)</f>
        <v>0</v>
      </c>
      <c r="Z95" s="1579">
        <f>IF(YEAR('3 pr-2'!$AK95)=2018,$V95,0)</f>
        <v>0</v>
      </c>
      <c r="AA95" s="1579">
        <f>IF(YEAR('3 pr-2'!$AK95)=2019,$V95,0)</f>
        <v>0</v>
      </c>
      <c r="AB95" s="1579">
        <f>IF(YEAR('3 pr-2'!$AK95)=2020,$V95,0)</f>
        <v>0</v>
      </c>
      <c r="AC95" s="1579">
        <f>IF(YEAR('3 pr-2'!$AK95)=2021,$V95,0)</f>
        <v>0</v>
      </c>
      <c r="AD95" s="1579">
        <f>IF(YEAR('3 pr-2'!$AK95)=2022,$V95,0)</f>
        <v>0</v>
      </c>
      <c r="AE95" s="1579">
        <f>IF(YEAR('3 pr-2'!$AK95)=2023,$V95,0)</f>
        <v>0</v>
      </c>
      <c r="AF95" s="350" t="s">
        <v>507</v>
      </c>
      <c r="AG95" s="537" t="s">
        <v>508</v>
      </c>
      <c r="AH95" s="345"/>
      <c r="AI95" s="345"/>
      <c r="AJ95" s="345"/>
      <c r="AK95" s="345"/>
      <c r="AL95" s="345"/>
      <c r="AM95" s="345"/>
      <c r="AN95" s="345"/>
      <c r="AO95" s="895">
        <f t="shared" si="333"/>
        <v>0</v>
      </c>
      <c r="AP95" s="345">
        <v>1</v>
      </c>
      <c r="AQ95" s="1597"/>
      <c r="AR95" s="1579"/>
      <c r="AS95" s="1579">
        <f>IF(YEAR('3 pr-2'!$AK95)=2017,$AP95,0)</f>
        <v>0</v>
      </c>
      <c r="AT95" s="1579">
        <f>IF(YEAR('3 pr-2'!$AK95)=2018,$AP95,0)</f>
        <v>0</v>
      </c>
      <c r="AU95" s="1579">
        <f>IF(YEAR('3 pr-2'!$AK95)=2019,$AP95,0)</f>
        <v>1</v>
      </c>
      <c r="AV95" s="1579">
        <f>IF(YEAR('3 pr-2'!$AK95)=2020,$AP95,0)</f>
        <v>0</v>
      </c>
      <c r="AW95" s="1579">
        <f>IF(YEAR('3 pr-2'!$AK95)=2021,$AP95,0)</f>
        <v>0</v>
      </c>
      <c r="AX95" s="1579">
        <f>IF(YEAR('3 pr-2'!$AK95)=2022,$AP95,0)</f>
        <v>0</v>
      </c>
      <c r="AY95" s="1579">
        <f>IF(YEAR('3 pr-2'!$AK95)=2023,$AP95,0)</f>
        <v>0</v>
      </c>
      <c r="AZ95" s="345"/>
      <c r="BA95" s="536"/>
      <c r="BB95" s="345"/>
      <c r="BC95" s="345"/>
      <c r="BD95" s="345"/>
      <c r="BE95" s="345"/>
      <c r="BF95" s="345"/>
      <c r="BG95" s="345"/>
      <c r="BH95" s="345"/>
      <c r="BI95" s="895">
        <f t="shared" si="335"/>
        <v>0</v>
      </c>
      <c r="BJ95" s="345"/>
      <c r="BK95" s="1597"/>
      <c r="BL95" s="1579"/>
      <c r="BM95" s="1579">
        <f>IF(YEAR('3 pr-2'!AK95)=2017,BJ95,0)</f>
        <v>0</v>
      </c>
      <c r="BN95" s="1579">
        <f>IF(YEAR('3 pr-2'!AK95)=2018,BJ95,0)</f>
        <v>0</v>
      </c>
      <c r="BO95" s="1579">
        <f>IF(YEAR('3 pr-2'!AK95)=2019,BJ95,0)</f>
        <v>0</v>
      </c>
      <c r="BP95" s="1579">
        <f>IF(YEAR('3 pr-2'!AK95)=2020,BJ95,0)</f>
        <v>0</v>
      </c>
      <c r="BQ95" s="1579">
        <f>IF(YEAR('3 pr-2'!AK95)=2021,BJ95,0)</f>
        <v>0</v>
      </c>
      <c r="BR95" s="1579">
        <f>IF(YEAR('3 pr-2'!AK95)=2022,BJ95,0)</f>
        <v>0</v>
      </c>
      <c r="BS95" s="1579">
        <f>IF(YEAR('3 pr-2'!AK95)=2023,BJ95,0)</f>
        <v>0</v>
      </c>
      <c r="BT95" s="350"/>
      <c r="BU95" s="537"/>
      <c r="BV95" s="345"/>
      <c r="BW95" s="345"/>
      <c r="BX95" s="345"/>
      <c r="BY95" s="345"/>
      <c r="BZ95" s="345"/>
      <c r="CA95" s="345"/>
      <c r="CB95" s="345"/>
      <c r="CC95" s="895">
        <f t="shared" si="337"/>
        <v>0</v>
      </c>
      <c r="CD95" s="345"/>
      <c r="CE95" s="1579"/>
      <c r="CF95" s="1579"/>
      <c r="CG95" s="1579">
        <f>IF(YEAR('3 pr-2'!$AK95)=2017,$CD95,0)</f>
        <v>0</v>
      </c>
      <c r="CH95" s="1579">
        <f>IF(YEAR('3 pr-2'!$AK95)=2018,$CD95,0)</f>
        <v>0</v>
      </c>
      <c r="CI95" s="1579">
        <f>IF(YEAR('3 pr-2'!$AK95)=2019,$CD95,0)</f>
        <v>0</v>
      </c>
      <c r="CJ95" s="1579">
        <f>IF(YEAR('3 pr-2'!$AK95)=2020,$CD95,0)</f>
        <v>0</v>
      </c>
      <c r="CK95" s="1579">
        <f>IF(YEAR('3 pr-2'!$AK95)=2021,$CD95,0)</f>
        <v>0</v>
      </c>
      <c r="CL95" s="1579">
        <f>IF(YEAR('3 pr-2'!$AK95)=2022,$CD95,0)</f>
        <v>0</v>
      </c>
      <c r="CM95" s="1579">
        <f>IF(YEAR('3 pr-2'!$AK95)=2023,$CD95,0)</f>
        <v>0</v>
      </c>
      <c r="CN95" s="350"/>
      <c r="CO95" s="538"/>
      <c r="CP95" s="351"/>
      <c r="CQ95" s="345"/>
      <c r="CR95" s="345"/>
      <c r="CS95" s="345"/>
      <c r="CT95" s="345"/>
      <c r="CU95" s="345"/>
      <c r="CV95" s="345"/>
      <c r="CW95" s="895">
        <f t="shared" si="339"/>
        <v>0</v>
      </c>
      <c r="CX95" s="351"/>
      <c r="CY95" s="1605"/>
      <c r="CZ95" s="1605"/>
      <c r="DA95" s="1594">
        <f>IF(YEAR('3 pr-2'!AK95)=2017,CX95,0)</f>
        <v>0</v>
      </c>
      <c r="DB95" s="1594">
        <f>IF(YEAR('3 pr-2'!AK95)=2018,CX95,0)</f>
        <v>0</v>
      </c>
      <c r="DC95" s="1594">
        <f>IF(YEAR('3 pr-2'!AK95)=2019,CX95,0)</f>
        <v>0</v>
      </c>
      <c r="DD95" s="1594">
        <f>IF(YEAR('3 pr-2'!AK95)=2020,CX95,0)</f>
        <v>0</v>
      </c>
      <c r="DE95" s="1594">
        <f>IF(YEAR('3 pr-2'!AK95)=2021,CX95,0)</f>
        <v>0</v>
      </c>
      <c r="DF95" s="1594">
        <f>IF(YEAR('3 pr-2'!AK95)=2022,CX95,0)</f>
        <v>0</v>
      </c>
      <c r="DG95" s="1594">
        <f>IF(YEAR('3 pr-2'!AK95)=2023,CX95,0)</f>
        <v>0</v>
      </c>
      <c r="DH95" s="350"/>
      <c r="DI95" s="538"/>
      <c r="DJ95" s="351"/>
      <c r="DK95" s="345"/>
      <c r="DL95" s="345"/>
      <c r="DM95" s="345"/>
      <c r="DN95" s="345"/>
      <c r="DO95" s="345"/>
      <c r="DP95" s="345"/>
      <c r="DQ95" s="895"/>
      <c r="DR95" s="351"/>
      <c r="DS95" s="1605"/>
      <c r="DT95" s="1605"/>
      <c r="DU95" s="1594"/>
      <c r="DV95" s="1594"/>
      <c r="DW95" s="1594"/>
      <c r="DX95" s="1594"/>
      <c r="DY95" s="1594"/>
      <c r="DZ95" s="1594"/>
      <c r="EA95" s="1594"/>
      <c r="EB95" s="350"/>
      <c r="EC95" s="538"/>
      <c r="ED95" s="333"/>
      <c r="EE95" s="1605"/>
      <c r="EF95" s="1605"/>
      <c r="EG95" s="1594">
        <f>IF(YEAR('3 pr-2'!BP95)=2017,ED95,0)</f>
        <v>0</v>
      </c>
      <c r="EH95" s="1594">
        <f>IF(YEAR('3 pr-2'!BP95)=2018,ED95,0)</f>
        <v>0</v>
      </c>
      <c r="EI95" s="1594">
        <f>IF(YEAR('3 pr-2'!BP95)=2019,ED95,0)</f>
        <v>0</v>
      </c>
      <c r="EJ95" s="1594">
        <f>IF(YEAR('3 pr-2'!BP95)=2020,ED95,0)</f>
        <v>0</v>
      </c>
      <c r="EK95" s="1594">
        <f>IF(YEAR('3 pr-2'!BP95)=2021,ED95,0)</f>
        <v>0</v>
      </c>
      <c r="EL95" s="1594">
        <f>IF(YEAR('3 pr-2'!BP95)=2022,ED95,0)</f>
        <v>0</v>
      </c>
      <c r="EM95" s="1594">
        <f>IF(YEAR('3 pr-2'!BP95)=2023,ED95,0)</f>
        <v>0</v>
      </c>
    </row>
    <row r="96" spans="1:143" ht="49.5" thickTop="1" thickBot="1" x14ac:dyDescent="0.3">
      <c r="A96" s="345" t="str">
        <f>CONCATENATE('3 pr-2'!A96)</f>
        <v>1.1.2.4.4</v>
      </c>
      <c r="B96" s="345" t="str">
        <f>CONCATENATE('3 pr-2'!B96)</f>
        <v>R01-5511-500000-1244</v>
      </c>
      <c r="C96" s="1321" t="str">
        <f>CONCATENATE('ketv. 2'!B95)</f>
        <v>06.2.1-TID-R-511-11-0006</v>
      </c>
      <c r="D96" s="312" t="str">
        <f>CONCATENATE('3 pr-2'!D96)</f>
        <v>Eismo saugos priemonių diegimas Alytaus rajone</v>
      </c>
      <c r="E96" s="312" t="str">
        <f>CONCATENATE('3 pr-2'!E96)</f>
        <v>Alytaus rajono savivaldybės administracija</v>
      </c>
      <c r="F96" s="312" t="str">
        <f>CONCATENATE('3 pr-2'!F96)</f>
        <v>Lietuvos Respublikos susisiekimo ministerija</v>
      </c>
      <c r="G96" s="312" t="str">
        <f>CONCATENATE('3 pr-2'!G96)</f>
        <v>Alytaus r. sav.</v>
      </c>
      <c r="H96" s="345" t="str">
        <f>CONCATENATE('3 pr-2'!H96)</f>
        <v>06.2.1-TID-R-511</v>
      </c>
      <c r="I96" s="345" t="str">
        <f>CONCATENATE('3 pr-2'!I96)</f>
        <v>R</v>
      </c>
      <c r="J96" s="345" t="str">
        <f>CONCATENATE('3 pr-2'!J96)</f>
        <v>-</v>
      </c>
      <c r="K96" s="345" t="str">
        <f>CONCATENATE('3 pr-2'!K96)</f>
        <v>-</v>
      </c>
      <c r="L96" s="345"/>
      <c r="M96" s="537"/>
      <c r="N96" s="345"/>
      <c r="O96" s="345"/>
      <c r="P96" s="345"/>
      <c r="Q96" s="345"/>
      <c r="R96" s="345"/>
      <c r="S96" s="345"/>
      <c r="T96" s="345"/>
      <c r="U96" s="893">
        <f t="shared" si="401"/>
        <v>0</v>
      </c>
      <c r="V96" s="345"/>
      <c r="W96" s="1578"/>
      <c r="X96" s="1579"/>
      <c r="Y96" s="1579">
        <f>IF(YEAR('3 pr-2'!$AK96)=2017,$V96,0)</f>
        <v>0</v>
      </c>
      <c r="Z96" s="1579">
        <f>IF(YEAR('3 pr-2'!$AK96)=2018,$V96,0)</f>
        <v>0</v>
      </c>
      <c r="AA96" s="1579">
        <f>IF(YEAR('3 pr-2'!$AK96)=2019,$V96,0)</f>
        <v>0</v>
      </c>
      <c r="AB96" s="1579">
        <f>IF(YEAR('3 pr-2'!$AK96)=2020,$V96,0)</f>
        <v>0</v>
      </c>
      <c r="AC96" s="1579">
        <f>IF(YEAR('3 pr-2'!$AK96)=2021,$V96,0)</f>
        <v>0</v>
      </c>
      <c r="AD96" s="1579">
        <f>IF(YEAR('3 pr-2'!$AK96)=2022,$V96,0)</f>
        <v>0</v>
      </c>
      <c r="AE96" s="1579">
        <f>IF(YEAR('3 pr-2'!$AK96)=2023,$V96,0)</f>
        <v>0</v>
      </c>
      <c r="AF96" s="350" t="s">
        <v>507</v>
      </c>
      <c r="AG96" s="537" t="s">
        <v>508</v>
      </c>
      <c r="AH96" s="345"/>
      <c r="AI96" s="345"/>
      <c r="AJ96" s="345"/>
      <c r="AK96" s="345"/>
      <c r="AL96" s="345"/>
      <c r="AM96" s="345"/>
      <c r="AN96" s="345"/>
      <c r="AO96" s="895">
        <f t="shared" si="333"/>
        <v>0</v>
      </c>
      <c r="AP96" s="1776">
        <v>2</v>
      </c>
      <c r="AQ96" s="1777">
        <v>2</v>
      </c>
      <c r="AR96" s="1625">
        <f>SUM(AQ96-AP96)</f>
        <v>0</v>
      </c>
      <c r="AS96" s="1579">
        <f>IF(YEAR('3 pr-2'!$AK96)=2017,$AP96,0)</f>
        <v>0</v>
      </c>
      <c r="AT96" s="1579">
        <f>IF(YEAR('3 pr-2'!$AK96)=2018,$AP96,0)</f>
        <v>0</v>
      </c>
      <c r="AU96" s="1579">
        <f>IF(YEAR('3 pr-2'!$AK96)=2019,$AP96,0)</f>
        <v>2</v>
      </c>
      <c r="AV96" s="1579">
        <f>IF(YEAR('3 pr-2'!$AK96)=2020,$AP96,0)</f>
        <v>0</v>
      </c>
      <c r="AW96" s="1579">
        <f>IF(YEAR('3 pr-2'!$AK96)=2021,$AP96,0)</f>
        <v>0</v>
      </c>
      <c r="AX96" s="1579">
        <f>IF(YEAR('3 pr-2'!$AK96)=2022,$AP96,0)</f>
        <v>0</v>
      </c>
      <c r="AY96" s="1579">
        <f>IF(YEAR('3 pr-2'!$AK96)=2023,$AP96,0)</f>
        <v>0</v>
      </c>
      <c r="AZ96" s="345"/>
      <c r="BA96" s="536"/>
      <c r="BB96" s="345"/>
      <c r="BC96" s="345"/>
      <c r="BD96" s="345"/>
      <c r="BE96" s="345"/>
      <c r="BF96" s="345"/>
      <c r="BG96" s="345"/>
      <c r="BH96" s="345"/>
      <c r="BI96" s="895">
        <f t="shared" si="335"/>
        <v>0</v>
      </c>
      <c r="BJ96" s="345"/>
      <c r="BK96" s="1597"/>
      <c r="BL96" s="1579"/>
      <c r="BM96" s="1579">
        <f>IF(YEAR('3 pr-2'!AK96)=2017,BJ96,0)</f>
        <v>0</v>
      </c>
      <c r="BN96" s="1579">
        <f>IF(YEAR('3 pr-2'!AK96)=2018,BJ96,0)</f>
        <v>0</v>
      </c>
      <c r="BO96" s="1579">
        <f>IF(YEAR('3 pr-2'!AK96)=2019,BJ96,0)</f>
        <v>0</v>
      </c>
      <c r="BP96" s="1579">
        <f>IF(YEAR('3 pr-2'!AK96)=2020,BJ96,0)</f>
        <v>0</v>
      </c>
      <c r="BQ96" s="1579">
        <f>IF(YEAR('3 pr-2'!AK96)=2021,BJ96,0)</f>
        <v>0</v>
      </c>
      <c r="BR96" s="1579">
        <f>IF(YEAR('3 pr-2'!AK96)=2022,BJ96,0)</f>
        <v>0</v>
      </c>
      <c r="BS96" s="1579">
        <f>IF(YEAR('3 pr-2'!AK96)=2023,BJ96,0)</f>
        <v>0</v>
      </c>
      <c r="BT96" s="350"/>
      <c r="BU96" s="537"/>
      <c r="BV96" s="345"/>
      <c r="BW96" s="345"/>
      <c r="BX96" s="345"/>
      <c r="BY96" s="345"/>
      <c r="BZ96" s="345"/>
      <c r="CA96" s="345"/>
      <c r="CB96" s="345"/>
      <c r="CC96" s="895">
        <f t="shared" si="337"/>
        <v>0</v>
      </c>
      <c r="CD96" s="345"/>
      <c r="CE96" s="1579"/>
      <c r="CF96" s="1579"/>
      <c r="CG96" s="1579">
        <f>IF(YEAR('3 pr-2'!$AK96)=2017,$CD96,0)</f>
        <v>0</v>
      </c>
      <c r="CH96" s="1579">
        <f>IF(YEAR('3 pr-2'!$AK96)=2018,$CD96,0)</f>
        <v>0</v>
      </c>
      <c r="CI96" s="1579">
        <f>IF(YEAR('3 pr-2'!$AK96)=2019,$CD96,0)</f>
        <v>0</v>
      </c>
      <c r="CJ96" s="1579">
        <f>IF(YEAR('3 pr-2'!$AK96)=2020,$CD96,0)</f>
        <v>0</v>
      </c>
      <c r="CK96" s="1579">
        <f>IF(YEAR('3 pr-2'!$AK96)=2021,$CD96,0)</f>
        <v>0</v>
      </c>
      <c r="CL96" s="1579">
        <f>IF(YEAR('3 pr-2'!$AK96)=2022,$CD96,0)</f>
        <v>0</v>
      </c>
      <c r="CM96" s="1579">
        <f>IF(YEAR('3 pr-2'!$AK96)=2023,$CD96,0)</f>
        <v>0</v>
      </c>
      <c r="CN96" s="350"/>
      <c r="CO96" s="538"/>
      <c r="CP96" s="351"/>
      <c r="CQ96" s="345"/>
      <c r="CR96" s="345"/>
      <c r="CS96" s="345"/>
      <c r="CT96" s="345"/>
      <c r="CU96" s="345"/>
      <c r="CV96" s="345"/>
      <c r="CW96" s="895">
        <f t="shared" si="339"/>
        <v>0</v>
      </c>
      <c r="CX96" s="351"/>
      <c r="CY96" s="1605"/>
      <c r="CZ96" s="1605"/>
      <c r="DA96" s="1594">
        <f>IF(YEAR('3 pr-2'!AK96)=2017,CX96,0)</f>
        <v>0</v>
      </c>
      <c r="DB96" s="1594">
        <f>IF(YEAR('3 pr-2'!AK96)=2018,CX96,0)</f>
        <v>0</v>
      </c>
      <c r="DC96" s="1594">
        <f>IF(YEAR('3 pr-2'!AK96)=2019,CX96,0)</f>
        <v>0</v>
      </c>
      <c r="DD96" s="1594">
        <f>IF(YEAR('3 pr-2'!AK96)=2020,CX96,0)</f>
        <v>0</v>
      </c>
      <c r="DE96" s="1594">
        <f>IF(YEAR('3 pr-2'!AK96)=2021,CX96,0)</f>
        <v>0</v>
      </c>
      <c r="DF96" s="1594">
        <f>IF(YEAR('3 pr-2'!AK96)=2022,CX96,0)</f>
        <v>0</v>
      </c>
      <c r="DG96" s="1594">
        <f>IF(YEAR('3 pr-2'!AK96)=2023,CX96,0)</f>
        <v>0</v>
      </c>
      <c r="DH96" s="350"/>
      <c r="DI96" s="538"/>
      <c r="DJ96" s="351"/>
      <c r="DK96" s="345"/>
      <c r="DL96" s="345"/>
      <c r="DM96" s="345"/>
      <c r="DN96" s="345"/>
      <c r="DO96" s="345"/>
      <c r="DP96" s="345"/>
      <c r="DQ96" s="895"/>
      <c r="DR96" s="351"/>
      <c r="DS96" s="1605"/>
      <c r="DT96" s="1605"/>
      <c r="DU96" s="1594"/>
      <c r="DV96" s="1594"/>
      <c r="DW96" s="1594"/>
      <c r="DX96" s="1594"/>
      <c r="DY96" s="1594"/>
      <c r="DZ96" s="1594"/>
      <c r="EA96" s="1594"/>
      <c r="EB96" s="350"/>
      <c r="EC96" s="538"/>
      <c r="ED96" s="333"/>
      <c r="EE96" s="1605"/>
      <c r="EF96" s="1605"/>
      <c r="EG96" s="1594">
        <f>IF(YEAR('3 pr-2'!BP96)=2017,ED96,0)</f>
        <v>0</v>
      </c>
      <c r="EH96" s="1594">
        <f>IF(YEAR('3 pr-2'!BP96)=2018,ED96,0)</f>
        <v>0</v>
      </c>
      <c r="EI96" s="1594">
        <f>IF(YEAR('3 pr-2'!BP96)=2019,ED96,0)</f>
        <v>0</v>
      </c>
      <c r="EJ96" s="1594">
        <f>IF(YEAR('3 pr-2'!BP96)=2020,ED96,0)</f>
        <v>0</v>
      </c>
      <c r="EK96" s="1594">
        <f>IF(YEAR('3 pr-2'!BP96)=2021,ED96,0)</f>
        <v>0</v>
      </c>
      <c r="EL96" s="1594">
        <f>IF(YEAR('3 pr-2'!BP96)=2022,ED96,0)</f>
        <v>0</v>
      </c>
      <c r="EM96" s="1594">
        <f>IF(YEAR('3 pr-2'!BP96)=2023,ED96,0)</f>
        <v>0</v>
      </c>
    </row>
    <row r="97" spans="1:143" ht="49.5" thickTop="1" thickBot="1" x14ac:dyDescent="0.3">
      <c r="A97" s="345" t="str">
        <f>CONCATENATE('3 pr-2'!A97)</f>
        <v>1.1.2.4.5</v>
      </c>
      <c r="B97" s="345" t="str">
        <f>CONCATENATE('3 pr-2'!B97)</f>
        <v>R01-5511-120900-1245</v>
      </c>
      <c r="C97" s="1321" t="str">
        <f>CONCATENATE('ketv. 2'!B96)</f>
        <v>06.2.1-TID-R-511-11-0007</v>
      </c>
      <c r="D97" s="312" t="str">
        <f>CONCATENATE('3 pr-2'!D97)</f>
        <v>M. K. Čiurlionio gatvės atkarpos Druskininkų m. rekonstrukcija</v>
      </c>
      <c r="E97" s="312" t="str">
        <f>CONCATENATE('3 pr-2'!E97)</f>
        <v xml:space="preserve">Druskininkų savivaldybės administracija  </v>
      </c>
      <c r="F97" s="312" t="str">
        <f>CONCATENATE('3 pr-2'!F97)</f>
        <v>Lietuvos Respublikos susisiekimo ministerija</v>
      </c>
      <c r="G97" s="312" t="str">
        <f>CONCATENATE('3 pr-2'!G97)</f>
        <v>Druskininkų sav.</v>
      </c>
      <c r="H97" s="345" t="str">
        <f>CONCATENATE('3 pr-2'!H97)</f>
        <v>06.2.1-TID-R-511</v>
      </c>
      <c r="I97" s="345" t="str">
        <f>CONCATENATE('3 pr-2'!I97)</f>
        <v>R</v>
      </c>
      <c r="J97" s="345" t="str">
        <f>CONCATENATE('3 pr-2'!J97)</f>
        <v>-</v>
      </c>
      <c r="K97" s="345" t="str">
        <f>CONCATENATE('3 pr-2'!K97)</f>
        <v>-</v>
      </c>
      <c r="L97" s="345" t="s">
        <v>505</v>
      </c>
      <c r="M97" s="537" t="s">
        <v>506</v>
      </c>
      <c r="N97" s="345"/>
      <c r="O97" s="345"/>
      <c r="P97" s="345"/>
      <c r="Q97" s="345"/>
      <c r="R97" s="345"/>
      <c r="S97" s="345"/>
      <c r="T97" s="345"/>
      <c r="U97" s="893">
        <f t="shared" si="401"/>
        <v>0</v>
      </c>
      <c r="V97" s="345">
        <v>0.4</v>
      </c>
      <c r="W97" s="1578" t="str">
        <f ca="1">IF('ketv. 6 '!L96&gt;0,"taip","nėra")</f>
        <v>nėra</v>
      </c>
      <c r="X97" s="1579"/>
      <c r="Y97" s="1579">
        <f>IF(YEAR('3 pr-2'!$AK97)=2017,$V97,0)</f>
        <v>0</v>
      </c>
      <c r="Z97" s="1579">
        <f>IF(YEAR('3 pr-2'!$AK97)=2018,$V97,0)</f>
        <v>0</v>
      </c>
      <c r="AA97" s="1579">
        <f>IF(YEAR('3 pr-2'!$AK97)=2019,$V97,0)</f>
        <v>0.4</v>
      </c>
      <c r="AB97" s="1579">
        <f>IF(YEAR('3 pr-2'!$AK97)=2020,$V97,0)</f>
        <v>0</v>
      </c>
      <c r="AC97" s="1579">
        <f>IF(YEAR('3 pr-2'!$AK97)=2021,$V97,0)</f>
        <v>0</v>
      </c>
      <c r="AD97" s="1579">
        <f>IF(YEAR('3 pr-2'!$AK97)=2022,$V97,0)</f>
        <v>0</v>
      </c>
      <c r="AE97" s="1579">
        <f>IF(YEAR('3 pr-2'!$AK97)=2023,$V97,0)</f>
        <v>0</v>
      </c>
      <c r="AF97" s="350" t="s">
        <v>507</v>
      </c>
      <c r="AG97" s="537" t="s">
        <v>508</v>
      </c>
      <c r="AH97" s="345"/>
      <c r="AI97" s="345"/>
      <c r="AJ97" s="345"/>
      <c r="AK97" s="345"/>
      <c r="AL97" s="345"/>
      <c r="AM97" s="345"/>
      <c r="AN97" s="345"/>
      <c r="AO97" s="895">
        <f t="shared" si="333"/>
        <v>0</v>
      </c>
      <c r="AP97" s="345">
        <v>1</v>
      </c>
      <c r="AQ97" s="1597"/>
      <c r="AR97" s="1579"/>
      <c r="AS97" s="1579">
        <f>IF(YEAR('3 pr-2'!$AK97)=2017,$AP97,0)</f>
        <v>0</v>
      </c>
      <c r="AT97" s="1579">
        <f>IF(YEAR('3 pr-2'!$AK97)=2018,$AP97,0)</f>
        <v>0</v>
      </c>
      <c r="AU97" s="1579">
        <f>IF(YEAR('3 pr-2'!$AK97)=2019,$AP97,0)</f>
        <v>1</v>
      </c>
      <c r="AV97" s="1579">
        <f>IF(YEAR('3 pr-2'!$AK97)=2020,$AP97,0)</f>
        <v>0</v>
      </c>
      <c r="AW97" s="1579">
        <f>IF(YEAR('3 pr-2'!$AK97)=2021,$AP97,0)</f>
        <v>0</v>
      </c>
      <c r="AX97" s="1579">
        <f>IF(YEAR('3 pr-2'!$AK97)=2022,$AP97,0)</f>
        <v>0</v>
      </c>
      <c r="AY97" s="1579">
        <f>IF(YEAR('3 pr-2'!$AK97)=2023,$AP97,0)</f>
        <v>0</v>
      </c>
      <c r="AZ97" s="345"/>
      <c r="BA97" s="536"/>
      <c r="BB97" s="345"/>
      <c r="BC97" s="345"/>
      <c r="BD97" s="345"/>
      <c r="BE97" s="345"/>
      <c r="BF97" s="345"/>
      <c r="BG97" s="345"/>
      <c r="BH97" s="345"/>
      <c r="BI97" s="895">
        <f t="shared" si="335"/>
        <v>0</v>
      </c>
      <c r="BJ97" s="345"/>
      <c r="BK97" s="1597"/>
      <c r="BL97" s="1579"/>
      <c r="BM97" s="1579">
        <f>IF(YEAR('3 pr-2'!AK97)=2017,BJ97,0)</f>
        <v>0</v>
      </c>
      <c r="BN97" s="1579">
        <f>IF(YEAR('3 pr-2'!AK97)=2018,BJ97,0)</f>
        <v>0</v>
      </c>
      <c r="BO97" s="1579">
        <f>IF(YEAR('3 pr-2'!AK97)=2019,BJ97,0)</f>
        <v>0</v>
      </c>
      <c r="BP97" s="1579">
        <f>IF(YEAR('3 pr-2'!AK97)=2020,BJ97,0)</f>
        <v>0</v>
      </c>
      <c r="BQ97" s="1579">
        <f>IF(YEAR('3 pr-2'!AK97)=2021,BJ97,0)</f>
        <v>0</v>
      </c>
      <c r="BR97" s="1579">
        <f>IF(YEAR('3 pr-2'!AK97)=2022,BJ97,0)</f>
        <v>0</v>
      </c>
      <c r="BS97" s="1579">
        <f>IF(YEAR('3 pr-2'!AK97)=2023,BJ97,0)</f>
        <v>0</v>
      </c>
      <c r="BT97" s="350"/>
      <c r="BU97" s="537"/>
      <c r="BV97" s="345"/>
      <c r="BW97" s="345"/>
      <c r="BX97" s="345"/>
      <c r="BY97" s="345"/>
      <c r="BZ97" s="345"/>
      <c r="CA97" s="345"/>
      <c r="CB97" s="345"/>
      <c r="CC97" s="895">
        <f t="shared" si="337"/>
        <v>0</v>
      </c>
      <c r="CD97" s="345"/>
      <c r="CE97" s="1579"/>
      <c r="CF97" s="1579"/>
      <c r="CG97" s="1579">
        <f>IF(YEAR('3 pr-2'!$AK97)=2017,$CD97,0)</f>
        <v>0</v>
      </c>
      <c r="CH97" s="1579">
        <f>IF(YEAR('3 pr-2'!$AK97)=2018,$CD97,0)</f>
        <v>0</v>
      </c>
      <c r="CI97" s="1579">
        <f>IF(YEAR('3 pr-2'!$AK97)=2019,$CD97,0)</f>
        <v>0</v>
      </c>
      <c r="CJ97" s="1579">
        <f>IF(YEAR('3 pr-2'!$AK97)=2020,$CD97,0)</f>
        <v>0</v>
      </c>
      <c r="CK97" s="1579">
        <f>IF(YEAR('3 pr-2'!$AK97)=2021,$CD97,0)</f>
        <v>0</v>
      </c>
      <c r="CL97" s="1579">
        <f>IF(YEAR('3 pr-2'!$AK97)=2022,$CD97,0)</f>
        <v>0</v>
      </c>
      <c r="CM97" s="1579">
        <f>IF(YEAR('3 pr-2'!$AK97)=2023,$CD97,0)</f>
        <v>0</v>
      </c>
      <c r="CN97" s="350"/>
      <c r="CO97" s="538"/>
      <c r="CP97" s="351"/>
      <c r="CQ97" s="345"/>
      <c r="CR97" s="345"/>
      <c r="CS97" s="345"/>
      <c r="CT97" s="345"/>
      <c r="CU97" s="345"/>
      <c r="CV97" s="345"/>
      <c r="CW97" s="895">
        <f t="shared" si="339"/>
        <v>0</v>
      </c>
      <c r="CX97" s="351"/>
      <c r="CY97" s="1605"/>
      <c r="CZ97" s="1605"/>
      <c r="DA97" s="1594">
        <f>IF(YEAR('3 pr-2'!AK97)=2017,CX97,0)</f>
        <v>0</v>
      </c>
      <c r="DB97" s="1594">
        <f>IF(YEAR('3 pr-2'!AK97)=2018,CX97,0)</f>
        <v>0</v>
      </c>
      <c r="DC97" s="1594">
        <f>IF(YEAR('3 pr-2'!AK97)=2019,CX97,0)</f>
        <v>0</v>
      </c>
      <c r="DD97" s="1594">
        <f>IF(YEAR('3 pr-2'!AK97)=2020,CX97,0)</f>
        <v>0</v>
      </c>
      <c r="DE97" s="1594">
        <f>IF(YEAR('3 pr-2'!AK97)=2021,CX97,0)</f>
        <v>0</v>
      </c>
      <c r="DF97" s="1594">
        <f>IF(YEAR('3 pr-2'!AK97)=2022,CX97,0)</f>
        <v>0</v>
      </c>
      <c r="DG97" s="1594">
        <f>IF(YEAR('3 pr-2'!AK97)=2023,CX97,0)</f>
        <v>0</v>
      </c>
      <c r="DH97" s="350"/>
      <c r="DI97" s="538"/>
      <c r="DJ97" s="351"/>
      <c r="DK97" s="345"/>
      <c r="DL97" s="345"/>
      <c r="DM97" s="345"/>
      <c r="DN97" s="345"/>
      <c r="DO97" s="345"/>
      <c r="DP97" s="345"/>
      <c r="DQ97" s="895"/>
      <c r="DR97" s="351"/>
      <c r="DS97" s="1605"/>
      <c r="DT97" s="1605"/>
      <c r="DU97" s="1594"/>
      <c r="DV97" s="1594"/>
      <c r="DW97" s="1594"/>
      <c r="DX97" s="1594"/>
      <c r="DY97" s="1594"/>
      <c r="DZ97" s="1594"/>
      <c r="EA97" s="1594"/>
      <c r="EB97" s="350"/>
      <c r="EC97" s="538"/>
      <c r="ED97" s="333"/>
      <c r="EE97" s="1605"/>
      <c r="EF97" s="1605"/>
      <c r="EG97" s="1594">
        <f>IF(YEAR('3 pr-2'!BP97)=2017,ED97,0)</f>
        <v>0</v>
      </c>
      <c r="EH97" s="1594">
        <f>IF(YEAR('3 pr-2'!BP97)=2018,ED97,0)</f>
        <v>0</v>
      </c>
      <c r="EI97" s="1594">
        <f>IF(YEAR('3 pr-2'!BP97)=2019,ED97,0)</f>
        <v>0</v>
      </c>
      <c r="EJ97" s="1594">
        <f>IF(YEAR('3 pr-2'!BP97)=2020,ED97,0)</f>
        <v>0</v>
      </c>
      <c r="EK97" s="1594">
        <f>IF(YEAR('3 pr-2'!BP97)=2021,ED97,0)</f>
        <v>0</v>
      </c>
      <c r="EL97" s="1594">
        <f>IF(YEAR('3 pr-2'!BP97)=2022,ED97,0)</f>
        <v>0</v>
      </c>
      <c r="EM97" s="1594">
        <f>IF(YEAR('3 pr-2'!BP97)=2023,ED97,0)</f>
        <v>0</v>
      </c>
    </row>
    <row r="98" spans="1:143" ht="73.5" thickTop="1" thickBot="1" x14ac:dyDescent="0.3">
      <c r="A98" s="345" t="str">
        <f>CONCATENATE('3 pr-2'!A98)</f>
        <v>1.1.2.4.6</v>
      </c>
      <c r="B98" s="345" t="str">
        <f>CONCATENATE('3 pr-2'!B98)</f>
        <v>R01-5511-120000-1246</v>
      </c>
      <c r="C98" s="1321" t="str">
        <f>CONCATENATE('ketv. 2'!B97)</f>
        <v>06.2.1-TID-R-511-11-0004</v>
      </c>
      <c r="D98" s="312" t="str">
        <f>CONCATENATE('3 pr-2'!D98)</f>
        <v>Lazdijų miesto Seinų ir Lazdijos gatvių bei vietinės reikšmės kelio nuo Janonio gatvės iki Lazdijų hipodromo rekonstravimas</v>
      </c>
      <c r="E98" s="312" t="str">
        <f>CONCATENATE('3 pr-2'!E98)</f>
        <v>Lazdijų rajono savivaldybės administracija</v>
      </c>
      <c r="F98" s="312" t="str">
        <f>CONCATENATE('3 pr-2'!F98)</f>
        <v>Lietuvos Respublikos susisiekimo ministerija</v>
      </c>
      <c r="G98" s="312" t="str">
        <f>CONCATENATE('3 pr-2'!G98)</f>
        <v>Lazdijų r. sav.</v>
      </c>
      <c r="H98" s="345" t="str">
        <f>CONCATENATE('3 pr-2'!H98)</f>
        <v>06.2.1-TID-R-511</v>
      </c>
      <c r="I98" s="345" t="str">
        <f>CONCATENATE('3 pr-2'!I98)</f>
        <v>R</v>
      </c>
      <c r="J98" s="345" t="str">
        <f>CONCATENATE('3 pr-2'!J98)</f>
        <v>ITI</v>
      </c>
      <c r="K98" s="345" t="str">
        <f>CONCATENATE('3 pr-2'!K98)</f>
        <v>-</v>
      </c>
      <c r="L98" s="345" t="s">
        <v>505</v>
      </c>
      <c r="M98" s="537" t="s">
        <v>506</v>
      </c>
      <c r="N98" s="345"/>
      <c r="O98" s="345"/>
      <c r="P98" s="345"/>
      <c r="Q98" s="345"/>
      <c r="R98" s="345"/>
      <c r="S98" s="345"/>
      <c r="T98" s="345"/>
      <c r="U98" s="893">
        <f t="shared" si="401"/>
        <v>0</v>
      </c>
      <c r="V98" s="345">
        <v>2.19</v>
      </c>
      <c r="W98" s="1578">
        <v>2.19</v>
      </c>
      <c r="X98" s="1579">
        <f>SUM(W98-V98)</f>
        <v>0</v>
      </c>
      <c r="Y98" s="1579">
        <f>IF(YEAR('3 pr-2'!$AK98)=2017,$V98,0)</f>
        <v>0</v>
      </c>
      <c r="Z98" s="1579">
        <f>IF(YEAR('3 pr-2'!$AK98)=2018,$V98,0)</f>
        <v>0</v>
      </c>
      <c r="AA98" s="1579">
        <f>IF(YEAR('3 pr-2'!$AK98)=2019,$V98,0)</f>
        <v>2.19</v>
      </c>
      <c r="AB98" s="1579">
        <f>IF(YEAR('3 pr-2'!$AK98)=2020,$V98,0)</f>
        <v>0</v>
      </c>
      <c r="AC98" s="1579">
        <f>IF(YEAR('3 pr-2'!$AK98)=2021,$V98,0)</f>
        <v>0</v>
      </c>
      <c r="AD98" s="1579">
        <f>IF(YEAR('3 pr-2'!$AK98)=2022,$V98,0)</f>
        <v>0</v>
      </c>
      <c r="AE98" s="1579">
        <f>IF(YEAR('3 pr-2'!$AK98)=2023,$V98,0)</f>
        <v>0</v>
      </c>
      <c r="AF98" s="350" t="s">
        <v>507</v>
      </c>
      <c r="AG98" s="778" t="s">
        <v>508</v>
      </c>
      <c r="AH98" s="345"/>
      <c r="AI98" s="345"/>
      <c r="AJ98" s="345"/>
      <c r="AK98" s="345"/>
      <c r="AL98" s="345"/>
      <c r="AM98" s="345"/>
      <c r="AN98" s="345"/>
      <c r="AO98" s="895">
        <f t="shared" si="333"/>
        <v>0</v>
      </c>
      <c r="AP98" s="345">
        <v>5</v>
      </c>
      <c r="AQ98" s="1597">
        <v>5</v>
      </c>
      <c r="AR98" s="1579">
        <f>SUM(AQ98-AP98)</f>
        <v>0</v>
      </c>
      <c r="AS98" s="1579">
        <f>IF(YEAR('3 pr-2'!$AK98)=2017,$AP98,0)</f>
        <v>0</v>
      </c>
      <c r="AT98" s="1579">
        <f>IF(YEAR('3 pr-2'!$AK98)=2018,$AP98,0)</f>
        <v>0</v>
      </c>
      <c r="AU98" s="1579">
        <f>IF(YEAR('3 pr-2'!$AK98)=2019,$AP98,0)</f>
        <v>5</v>
      </c>
      <c r="AV98" s="1579">
        <f>IF(YEAR('3 pr-2'!$AK98)=2020,$AP98,0)</f>
        <v>0</v>
      </c>
      <c r="AW98" s="1579">
        <f>IF(YEAR('3 pr-2'!$AK98)=2021,$AP98,0)</f>
        <v>0</v>
      </c>
      <c r="AX98" s="1579">
        <f>IF(YEAR('3 pr-2'!$AK98)=2022,$AP98,0)</f>
        <v>0</v>
      </c>
      <c r="AY98" s="1579">
        <f>IF(YEAR('3 pr-2'!$AK98)=2023,$AP98,0)</f>
        <v>0</v>
      </c>
      <c r="AZ98" s="345"/>
      <c r="BA98" s="536"/>
      <c r="BB98" s="345"/>
      <c r="BC98" s="345"/>
      <c r="BD98" s="345"/>
      <c r="BE98" s="345"/>
      <c r="BF98" s="345"/>
      <c r="BG98" s="345"/>
      <c r="BH98" s="345"/>
      <c r="BI98" s="895">
        <f t="shared" si="335"/>
        <v>0</v>
      </c>
      <c r="BJ98" s="345"/>
      <c r="BK98" s="1597"/>
      <c r="BL98" s="1579"/>
      <c r="BM98" s="1579">
        <f>IF(YEAR('3 pr-2'!AK98)=2017,BJ98,0)</f>
        <v>0</v>
      </c>
      <c r="BN98" s="1579">
        <f>IF(YEAR('3 pr-2'!AK98)=2018,BJ98,0)</f>
        <v>0</v>
      </c>
      <c r="BO98" s="1579">
        <f>IF(YEAR('3 pr-2'!AK98)=2019,BJ98,0)</f>
        <v>0</v>
      </c>
      <c r="BP98" s="1579">
        <f>IF(YEAR('3 pr-2'!AK98)=2020,BJ98,0)</f>
        <v>0</v>
      </c>
      <c r="BQ98" s="1579">
        <f>IF(YEAR('3 pr-2'!AK98)=2021,BJ98,0)</f>
        <v>0</v>
      </c>
      <c r="BR98" s="1579">
        <f>IF(YEAR('3 pr-2'!AK98)=2022,BJ98,0)</f>
        <v>0</v>
      </c>
      <c r="BS98" s="1579">
        <f>IF(YEAR('3 pr-2'!AK98)=2023,BJ98,0)</f>
        <v>0</v>
      </c>
      <c r="BT98" s="350"/>
      <c r="BU98" s="537"/>
      <c r="BV98" s="345"/>
      <c r="BW98" s="345"/>
      <c r="BX98" s="345"/>
      <c r="BY98" s="345"/>
      <c r="BZ98" s="345"/>
      <c r="CA98" s="345"/>
      <c r="CB98" s="345"/>
      <c r="CC98" s="895">
        <f t="shared" si="337"/>
        <v>0</v>
      </c>
      <c r="CD98" s="345"/>
      <c r="CE98" s="1579"/>
      <c r="CF98" s="1579"/>
      <c r="CG98" s="1579">
        <f>IF(YEAR('3 pr-2'!$AK98)=2017,$CD98,0)</f>
        <v>0</v>
      </c>
      <c r="CH98" s="1579">
        <f>IF(YEAR('3 pr-2'!$AK98)=2018,$CD98,0)</f>
        <v>0</v>
      </c>
      <c r="CI98" s="1579">
        <f>IF(YEAR('3 pr-2'!$AK98)=2019,$CD98,0)</f>
        <v>0</v>
      </c>
      <c r="CJ98" s="1579">
        <f>IF(YEAR('3 pr-2'!$AK98)=2020,$CD98,0)</f>
        <v>0</v>
      </c>
      <c r="CK98" s="1579">
        <f>IF(YEAR('3 pr-2'!$AK98)=2021,$CD98,0)</f>
        <v>0</v>
      </c>
      <c r="CL98" s="1579">
        <f>IF(YEAR('3 pr-2'!$AK98)=2022,$CD98,0)</f>
        <v>0</v>
      </c>
      <c r="CM98" s="1579">
        <f>IF(YEAR('3 pr-2'!$AK98)=2023,$CD98,0)</f>
        <v>0</v>
      </c>
      <c r="CN98" s="350"/>
      <c r="CO98" s="538"/>
      <c r="CP98" s="351"/>
      <c r="CQ98" s="345"/>
      <c r="CR98" s="345"/>
      <c r="CS98" s="345"/>
      <c r="CT98" s="345"/>
      <c r="CU98" s="345"/>
      <c r="CV98" s="345"/>
      <c r="CW98" s="895">
        <f t="shared" si="339"/>
        <v>0</v>
      </c>
      <c r="CX98" s="351"/>
      <c r="CY98" s="1605"/>
      <c r="CZ98" s="1605"/>
      <c r="DA98" s="1594">
        <f>IF(YEAR('3 pr-2'!AK98)=2017,CX98,0)</f>
        <v>0</v>
      </c>
      <c r="DB98" s="1594">
        <f>IF(YEAR('3 pr-2'!AK98)=2018,CX98,0)</f>
        <v>0</v>
      </c>
      <c r="DC98" s="1594">
        <f>IF(YEAR('3 pr-2'!AK98)=2019,CX98,0)</f>
        <v>0</v>
      </c>
      <c r="DD98" s="1594">
        <f>IF(YEAR('3 pr-2'!AK98)=2020,CX98,0)</f>
        <v>0</v>
      </c>
      <c r="DE98" s="1594">
        <f>IF(YEAR('3 pr-2'!AK98)=2021,CX98,0)</f>
        <v>0</v>
      </c>
      <c r="DF98" s="1594">
        <f>IF(YEAR('3 pr-2'!AK98)=2022,CX98,0)</f>
        <v>0</v>
      </c>
      <c r="DG98" s="1594">
        <f>IF(YEAR('3 pr-2'!AK98)=2023,CX98,0)</f>
        <v>0</v>
      </c>
      <c r="DH98" s="350"/>
      <c r="DI98" s="538"/>
      <c r="DJ98" s="351"/>
      <c r="DK98" s="345"/>
      <c r="DL98" s="345"/>
      <c r="DM98" s="345"/>
      <c r="DN98" s="345"/>
      <c r="DO98" s="345"/>
      <c r="DP98" s="345"/>
      <c r="DQ98" s="895"/>
      <c r="DR98" s="351"/>
      <c r="DS98" s="1605"/>
      <c r="DT98" s="1605"/>
      <c r="DU98" s="1594"/>
      <c r="DV98" s="1594"/>
      <c r="DW98" s="1594"/>
      <c r="DX98" s="1594"/>
      <c r="DY98" s="1594"/>
      <c r="DZ98" s="1594"/>
      <c r="EA98" s="1594"/>
      <c r="EB98" s="350"/>
      <c r="EC98" s="538"/>
      <c r="ED98" s="333"/>
      <c r="EE98" s="1605"/>
      <c r="EF98" s="1605"/>
      <c r="EG98" s="1594">
        <f>IF(YEAR('3 pr-2'!BP98)=2017,ED98,0)</f>
        <v>0</v>
      </c>
      <c r="EH98" s="1594">
        <f>IF(YEAR('3 pr-2'!BP98)=2018,ED98,0)</f>
        <v>0</v>
      </c>
      <c r="EI98" s="1594">
        <f>IF(YEAR('3 pr-2'!BP98)=2019,ED98,0)</f>
        <v>0</v>
      </c>
      <c r="EJ98" s="1594">
        <f>IF(YEAR('3 pr-2'!BP98)=2020,ED98,0)</f>
        <v>0</v>
      </c>
      <c r="EK98" s="1594">
        <f>IF(YEAR('3 pr-2'!BP98)=2021,ED98,0)</f>
        <v>0</v>
      </c>
      <c r="EL98" s="1594">
        <f>IF(YEAR('3 pr-2'!BP98)=2022,ED98,0)</f>
        <v>0</v>
      </c>
      <c r="EM98" s="1594">
        <f>IF(YEAR('3 pr-2'!BP98)=2023,ED98,0)</f>
        <v>0</v>
      </c>
    </row>
    <row r="99" spans="1:143" ht="48.75" thickBot="1" x14ac:dyDescent="0.3">
      <c r="A99" s="345" t="str">
        <f>CONCATENATE('3 pr-2'!A99)</f>
        <v>1.1.2.4.7</v>
      </c>
      <c r="B99" s="345" t="str">
        <f>CONCATENATE('3 pr-2'!B99)</f>
        <v>R01-5511-120000-1247</v>
      </c>
      <c r="C99" s="850"/>
      <c r="D99" s="312" t="str">
        <f>CONCATENATE('3 pr-2'!D99)</f>
        <v>Eismo saugumo priemonių diegimas Druskininkų savivaldybėje</v>
      </c>
      <c r="E99" s="312" t="str">
        <f>CONCATENATE('3 pr-2'!E99)</f>
        <v xml:space="preserve">Druskininkų savivaldybės administracija  </v>
      </c>
      <c r="F99" s="312" t="str">
        <f>CONCATENATE('3 pr-2'!F99)</f>
        <v>Lietuvos Respublikos susisiekimo ministerija</v>
      </c>
      <c r="G99" s="312" t="str">
        <f>CONCATENATE('3 pr-2'!G99)</f>
        <v>Druskininkų sav.</v>
      </c>
      <c r="H99" s="345" t="str">
        <f>CONCATENATE('3 pr-2'!H99)</f>
        <v>06.2.1-TID-R-511</v>
      </c>
      <c r="I99" s="345" t="str">
        <f>CONCATENATE('3 pr-2'!I99)</f>
        <v>R</v>
      </c>
      <c r="J99" s="345" t="str">
        <f>CONCATENATE('3 pr-2'!J99)</f>
        <v>-</v>
      </c>
      <c r="K99" s="345" t="str">
        <f>CONCATENATE('3 pr-2'!K99)</f>
        <v>-</v>
      </c>
      <c r="L99" s="351"/>
      <c r="M99" s="536"/>
      <c r="N99" s="351"/>
      <c r="O99" s="351"/>
      <c r="P99" s="351"/>
      <c r="Q99" s="351"/>
      <c r="R99" s="351"/>
      <c r="S99" s="351"/>
      <c r="T99" s="351"/>
      <c r="U99" s="903"/>
      <c r="V99" s="345"/>
      <c r="W99" s="1578" t="str">
        <f ca="1">IF('ketv. 6 '!L98&gt;0,"taip","nėra")</f>
        <v>nėra</v>
      </c>
      <c r="X99" s="1579"/>
      <c r="Y99" s="1579">
        <f>IF(YEAR('3 pr-2'!$AK99)=2017,$V99,0)</f>
        <v>0</v>
      </c>
      <c r="Z99" s="1579">
        <f>IF(YEAR('3 pr-2'!$AK99)=2018,$V99,0)</f>
        <v>0</v>
      </c>
      <c r="AA99" s="1579">
        <f>IF(YEAR('3 pr-2'!$AK99)=2019,$V99,0)</f>
        <v>0</v>
      </c>
      <c r="AB99" s="1579">
        <f>IF(YEAR('3 pr-2'!$AK99)=2020,$V99,0)</f>
        <v>0</v>
      </c>
      <c r="AC99" s="1579">
        <f>IF(YEAR('3 pr-2'!$AK99)=2021,$V99,0)</f>
        <v>0</v>
      </c>
      <c r="AD99" s="1579">
        <f>IF(YEAR('3 pr-2'!$AK99)=2022,$V99,0)</f>
        <v>0</v>
      </c>
      <c r="AE99" s="1579">
        <f>IF(YEAR('3 pr-2'!$AK99)=2023,$V99,0)</f>
        <v>0</v>
      </c>
      <c r="AF99" s="350" t="s">
        <v>507</v>
      </c>
      <c r="AG99" s="537" t="s">
        <v>508</v>
      </c>
      <c r="AH99" s="345"/>
      <c r="AI99" s="345"/>
      <c r="AJ99" s="345"/>
      <c r="AK99" s="345"/>
      <c r="AL99" s="345"/>
      <c r="AM99" s="345"/>
      <c r="AN99" s="345"/>
      <c r="AO99" s="895"/>
      <c r="AP99" s="345">
        <v>1</v>
      </c>
      <c r="AQ99" s="1579"/>
      <c r="AR99" s="1586"/>
      <c r="AS99" s="1579">
        <f>IF(YEAR('3 pr-2'!$AK99)=2017,$AP99,0)</f>
        <v>0</v>
      </c>
      <c r="AT99" s="1579">
        <f>IF(YEAR('3 pr-2'!$AK99)=2018,$AP99,0)</f>
        <v>0</v>
      </c>
      <c r="AU99" s="1579">
        <f>IF(YEAR('3 pr-2'!$AK99)=2019,$AP99,0)</f>
        <v>1</v>
      </c>
      <c r="AV99" s="1579">
        <f>IF(YEAR('3 pr-2'!$AK99)=2020,$AP99,0)</f>
        <v>0</v>
      </c>
      <c r="AW99" s="1579">
        <f>IF(YEAR('3 pr-2'!$AK99)=2021,$AP99,0)</f>
        <v>0</v>
      </c>
      <c r="AX99" s="1579">
        <f>IF(YEAR('3 pr-2'!$AK99)=2022,$AP99,0)</f>
        <v>0</v>
      </c>
      <c r="AY99" s="1579">
        <f>IF(YEAR('3 pr-2'!$AK99)=2023,$AP99,0)</f>
        <v>0</v>
      </c>
      <c r="AZ99" s="351"/>
      <c r="BA99" s="538"/>
      <c r="BB99" s="351"/>
      <c r="BC99" s="351"/>
      <c r="BD99" s="351"/>
      <c r="BE99" s="351"/>
      <c r="BF99" s="351"/>
      <c r="BG99" s="351"/>
      <c r="BH99" s="351"/>
      <c r="BI99" s="904"/>
      <c r="BJ99" s="351"/>
      <c r="BK99" s="1579"/>
      <c r="BL99" s="1586"/>
      <c r="BM99" s="1579">
        <f>IF(YEAR('3 pr-2'!AK99)=2017,BJ99,0)</f>
        <v>0</v>
      </c>
      <c r="BN99" s="1579">
        <f>IF(YEAR('3 pr-2'!AK99)=2018,BJ99,0)</f>
        <v>0</v>
      </c>
      <c r="BO99" s="1579">
        <f>IF(YEAR('3 pr-2'!AK99)=2019,BJ99,0)</f>
        <v>0</v>
      </c>
      <c r="BP99" s="1579">
        <f>IF(YEAR('3 pr-2'!AK99)=2020,BJ99,0)</f>
        <v>0</v>
      </c>
      <c r="BQ99" s="1579">
        <f>IF(YEAR('3 pr-2'!AK99)=2021,BJ99,0)</f>
        <v>0</v>
      </c>
      <c r="BR99" s="1579">
        <f>IF(YEAR('3 pr-2'!AK99)=2022,BJ99,0)</f>
        <v>0</v>
      </c>
      <c r="BS99" s="1579">
        <f>IF(YEAR('3 pr-2'!AK99)=2023,BJ99,0)</f>
        <v>0</v>
      </c>
      <c r="BT99" s="345"/>
      <c r="BU99" s="538"/>
      <c r="BV99" s="351"/>
      <c r="BW99" s="351"/>
      <c r="BX99" s="351"/>
      <c r="BY99" s="351"/>
      <c r="BZ99" s="351"/>
      <c r="CA99" s="351"/>
      <c r="CB99" s="351"/>
      <c r="CC99" s="904"/>
      <c r="CD99" s="351"/>
      <c r="CE99" s="1586"/>
      <c r="CF99" s="1586"/>
      <c r="CG99" s="1579">
        <f>IF(YEAR('3 pr-2'!$AK99)=2017,$CD99,0)</f>
        <v>0</v>
      </c>
      <c r="CH99" s="1579">
        <f>IF(YEAR('3 pr-2'!$AK99)=2018,$CD99,0)</f>
        <v>0</v>
      </c>
      <c r="CI99" s="1579">
        <f>IF(YEAR('3 pr-2'!$AK99)=2019,$CD99,0)</f>
        <v>0</v>
      </c>
      <c r="CJ99" s="1579">
        <f>IF(YEAR('3 pr-2'!$AK99)=2020,$CD99,0)</f>
        <v>0</v>
      </c>
      <c r="CK99" s="1579">
        <f>IF(YEAR('3 pr-2'!$AK99)=2021,$CD99,0)</f>
        <v>0</v>
      </c>
      <c r="CL99" s="1579">
        <f>IF(YEAR('3 pr-2'!$AK99)=2022,$CD99,0)</f>
        <v>0</v>
      </c>
      <c r="CM99" s="1579">
        <f>IF(YEAR('3 pr-2'!$AK99)=2023,$CD99,0)</f>
        <v>0</v>
      </c>
      <c r="CN99" s="345"/>
      <c r="CO99" s="758"/>
      <c r="CP99" s="351"/>
      <c r="CQ99" s="351"/>
      <c r="CR99" s="351"/>
      <c r="CS99" s="351"/>
      <c r="CT99" s="351"/>
      <c r="CU99" s="351"/>
      <c r="CV99" s="351"/>
      <c r="CW99" s="904"/>
      <c r="CX99" s="351"/>
      <c r="CY99" s="1583"/>
      <c r="CZ99" s="1607"/>
      <c r="DA99" s="1594">
        <f>IF(YEAR('3 pr-2'!AK99)=2017,CX99,0)</f>
        <v>0</v>
      </c>
      <c r="DB99" s="1594">
        <f>IF(YEAR('3 pr-2'!AK99)=2018,CX99,0)</f>
        <v>0</v>
      </c>
      <c r="DC99" s="1594">
        <f>IF(YEAR('3 pr-2'!AK99)=2019,CX99,0)</f>
        <v>0</v>
      </c>
      <c r="DD99" s="1594">
        <f>IF(YEAR('3 pr-2'!AK99)=2020,CX99,0)</f>
        <v>0</v>
      </c>
      <c r="DE99" s="1594">
        <f>IF(YEAR('3 pr-2'!AK99)=2021,CX99,0)</f>
        <v>0</v>
      </c>
      <c r="DF99" s="1594">
        <f>IF(YEAR('3 pr-2'!AK99)=2022,CX99,0)</f>
        <v>0</v>
      </c>
      <c r="DG99" s="1594">
        <f>IF(YEAR('3 pr-2'!AK99)=2023,CX99,0)</f>
        <v>0</v>
      </c>
      <c r="DH99" s="345"/>
      <c r="DI99" s="758"/>
      <c r="DJ99" s="351"/>
      <c r="DK99" s="351"/>
      <c r="DL99" s="351"/>
      <c r="DM99" s="351"/>
      <c r="DN99" s="351"/>
      <c r="DO99" s="351"/>
      <c r="DP99" s="351"/>
      <c r="DQ99" s="904"/>
      <c r="DR99" s="351"/>
      <c r="DS99" s="1583"/>
      <c r="DT99" s="1607"/>
      <c r="DU99" s="1594"/>
      <c r="DV99" s="1594"/>
      <c r="DW99" s="1594"/>
      <c r="DX99" s="1594"/>
      <c r="DY99" s="1594"/>
      <c r="DZ99" s="1594"/>
      <c r="EA99" s="1594"/>
      <c r="EB99" s="345"/>
      <c r="EC99" s="758"/>
      <c r="ED99" s="331"/>
      <c r="EE99" s="1583"/>
      <c r="EF99" s="1607"/>
      <c r="EG99" s="1594">
        <f>IF(YEAR('3 pr-2'!BP99)=2017,ED99,0)</f>
        <v>0</v>
      </c>
      <c r="EH99" s="1594">
        <f>IF(YEAR('3 pr-2'!BP99)=2018,ED99,0)</f>
        <v>0</v>
      </c>
      <c r="EI99" s="1594">
        <f>IF(YEAR('3 pr-2'!BP99)=2019,ED99,0)</f>
        <v>0</v>
      </c>
      <c r="EJ99" s="1594">
        <f>IF(YEAR('3 pr-2'!BP99)=2020,ED99,0)</f>
        <v>0</v>
      </c>
      <c r="EK99" s="1594">
        <f>IF(YEAR('3 pr-2'!BP99)=2021,ED99,0)</f>
        <v>0</v>
      </c>
      <c r="EL99" s="1594">
        <f>IF(YEAR('3 pr-2'!BP99)=2022,ED99,0)</f>
        <v>0</v>
      </c>
      <c r="EM99" s="1594">
        <f>IF(YEAR('3 pr-2'!BP99)=2023,ED99,0)</f>
        <v>0</v>
      </c>
    </row>
    <row r="100" spans="1:143" ht="36.75" customHeight="1" thickBot="1" x14ac:dyDescent="0.3">
      <c r="A100" s="506" t="str">
        <f>CONCATENATE('3 pr-2'!A100)</f>
        <v>2.1.</v>
      </c>
      <c r="B100" s="1926" t="str">
        <f>CONCATENATE('3 pr-2'!B100)</f>
        <v>Tikslas:
GERINTI VIEŠŲJŲ  PASLAUGŲ KOKYBĘ IR PRIEINAMUMĄ</v>
      </c>
      <c r="C100" s="1927"/>
      <c r="D100" s="1927"/>
      <c r="E100" s="1927"/>
      <c r="F100" s="1927"/>
      <c r="G100" s="1927"/>
      <c r="H100" s="1927"/>
      <c r="I100" s="1927"/>
      <c r="J100" s="1927"/>
      <c r="K100" s="1928"/>
      <c r="L100" s="905"/>
      <c r="M100" s="906"/>
      <c r="N100" s="896"/>
      <c r="O100" s="896"/>
      <c r="P100" s="896"/>
      <c r="Q100" s="896"/>
      <c r="R100" s="896"/>
      <c r="S100" s="896"/>
      <c r="T100" s="896"/>
      <c r="U100" s="1314"/>
      <c r="V100" s="890"/>
      <c r="W100" s="1587"/>
      <c r="X100" s="1587"/>
      <c r="Y100" s="1587"/>
      <c r="Z100" s="1587"/>
      <c r="AA100" s="1587"/>
      <c r="AB100" s="1587"/>
      <c r="AC100" s="1587"/>
      <c r="AD100" s="1588"/>
      <c r="AE100" s="1589"/>
      <c r="AF100" s="896"/>
      <c r="AG100" s="758"/>
      <c r="AH100" s="896"/>
      <c r="AI100" s="896"/>
      <c r="AJ100" s="896"/>
      <c r="AK100" s="896"/>
      <c r="AL100" s="896"/>
      <c r="AM100" s="896"/>
      <c r="AN100" s="896"/>
      <c r="AO100" s="896"/>
      <c r="AP100" s="892"/>
      <c r="AQ100" s="1587"/>
      <c r="AR100" s="1587"/>
      <c r="AS100" s="1587"/>
      <c r="AT100" s="1587"/>
      <c r="AU100" s="1587"/>
      <c r="AV100" s="1587"/>
      <c r="AW100" s="1588"/>
      <c r="AX100" s="1589"/>
      <c r="AY100" s="1600"/>
      <c r="AZ100" s="892"/>
      <c r="BA100" s="758"/>
      <c r="BB100" s="896"/>
      <c r="BC100" s="896"/>
      <c r="BD100" s="896"/>
      <c r="BE100" s="896"/>
      <c r="BF100" s="896"/>
      <c r="BG100" s="896"/>
      <c r="BH100" s="896"/>
      <c r="BI100" s="896"/>
      <c r="BJ100" s="892"/>
      <c r="BK100" s="1587"/>
      <c r="BL100" s="1587"/>
      <c r="BM100" s="1587"/>
      <c r="BN100" s="1587"/>
      <c r="BO100" s="1587"/>
      <c r="BP100" s="1588"/>
      <c r="BQ100" s="1589"/>
      <c r="BR100" s="1600"/>
      <c r="BS100" s="1587"/>
      <c r="BT100" s="892"/>
      <c r="BU100" s="758"/>
      <c r="BV100" s="896"/>
      <c r="BW100" s="896"/>
      <c r="BX100" s="896"/>
      <c r="BY100" s="896"/>
      <c r="BZ100" s="896"/>
      <c r="CA100" s="896"/>
      <c r="CB100" s="896"/>
      <c r="CC100" s="896"/>
      <c r="CD100" s="892"/>
      <c r="CE100" s="1587"/>
      <c r="CF100" s="1587"/>
      <c r="CG100" s="1587"/>
      <c r="CH100" s="1587"/>
      <c r="CI100" s="1588"/>
      <c r="CJ100" s="1589"/>
      <c r="CK100" s="1600"/>
      <c r="CL100" s="1587"/>
      <c r="CM100" s="1587"/>
      <c r="CN100" s="892"/>
      <c r="CO100" s="758"/>
      <c r="CP100" s="896"/>
      <c r="CQ100" s="896"/>
      <c r="CR100" s="896"/>
      <c r="CS100" s="896"/>
      <c r="CT100" s="896"/>
      <c r="CU100" s="896"/>
      <c r="CV100" s="896"/>
      <c r="CW100" s="896"/>
      <c r="CX100" s="892"/>
      <c r="CY100" s="1591"/>
      <c r="CZ100" s="1591"/>
      <c r="DA100" s="1606"/>
      <c r="DB100" s="1604"/>
      <c r="DC100" s="1604"/>
      <c r="DD100" s="1604"/>
      <c r="DE100" s="1604"/>
      <c r="DF100" s="1604"/>
      <c r="DG100" s="1604"/>
      <c r="DH100" s="892"/>
      <c r="DI100" s="758"/>
      <c r="DJ100" s="896"/>
      <c r="DK100" s="896"/>
      <c r="DL100" s="896"/>
      <c r="DM100" s="896"/>
      <c r="DN100" s="896"/>
      <c r="DO100" s="896"/>
      <c r="DP100" s="896"/>
      <c r="DQ100" s="896"/>
      <c r="DR100" s="892"/>
      <c r="DS100" s="1591"/>
      <c r="DT100" s="1591"/>
      <c r="DU100" s="1606"/>
      <c r="DV100" s="1604"/>
      <c r="DW100" s="1604"/>
      <c r="DX100" s="1604"/>
      <c r="DY100" s="1604"/>
      <c r="DZ100" s="1604"/>
      <c r="EA100" s="1604"/>
      <c r="EB100" s="892"/>
      <c r="EC100" s="758"/>
      <c r="ED100" s="908"/>
      <c r="EE100" s="1591"/>
      <c r="EF100" s="1591"/>
      <c r="EG100" s="1606"/>
      <c r="EH100" s="1604"/>
      <c r="EI100" s="1604"/>
      <c r="EJ100" s="1604"/>
      <c r="EK100" s="1604"/>
      <c r="EL100" s="1604"/>
      <c r="EM100" s="1604"/>
    </row>
    <row r="101" spans="1:143" ht="46.5" customHeight="1" thickBot="1" x14ac:dyDescent="0.3">
      <c r="A101" s="909" t="str">
        <f>CONCATENATE('3 pr-2'!A101)</f>
        <v>2.1.1.</v>
      </c>
      <c r="B101" s="1926" t="str">
        <f>CONCATENATE('3 pr-2'!B101)</f>
        <v xml:space="preserve">Uždavinys:
Bendrojo ugdymo ir neformaliojo švietimo įstaigų (ypač vykdančių ikimokyklinio ir priešmokyklinio ugdymo programas) tinklo veiklos efektyvumo didinimas </v>
      </c>
      <c r="C101" s="1927"/>
      <c r="D101" s="1927"/>
      <c r="E101" s="1927"/>
      <c r="F101" s="1927"/>
      <c r="G101" s="1927"/>
      <c r="H101" s="1927"/>
      <c r="I101" s="1927"/>
      <c r="J101" s="1927"/>
      <c r="K101" s="1928"/>
      <c r="L101" s="910"/>
      <c r="M101" s="911"/>
      <c r="N101" s="910"/>
      <c r="O101" s="910"/>
      <c r="P101" s="910"/>
      <c r="Q101" s="910"/>
      <c r="R101" s="910"/>
      <c r="S101" s="910"/>
      <c r="T101" s="910"/>
      <c r="U101" s="908"/>
      <c r="V101" s="912"/>
      <c r="W101" s="1590"/>
      <c r="X101" s="1590"/>
      <c r="Y101" s="1590"/>
      <c r="Z101" s="1590"/>
      <c r="AA101" s="1590"/>
      <c r="AB101" s="1591"/>
      <c r="AC101" s="1590"/>
      <c r="AD101" s="1590"/>
      <c r="AE101" s="1590"/>
      <c r="AF101" s="910"/>
      <c r="AG101" s="911"/>
      <c r="AH101" s="910"/>
      <c r="AI101" s="910"/>
      <c r="AJ101" s="910"/>
      <c r="AK101" s="910"/>
      <c r="AL101" s="910"/>
      <c r="AM101" s="910"/>
      <c r="AN101" s="910"/>
      <c r="AO101" s="910"/>
      <c r="AP101" s="910"/>
      <c r="AQ101" s="1591"/>
      <c r="AR101" s="1591"/>
      <c r="AS101" s="1591"/>
      <c r="AT101" s="1590"/>
      <c r="AU101" s="1590"/>
      <c r="AV101" s="1590"/>
      <c r="AW101" s="1590"/>
      <c r="AX101" s="1590"/>
      <c r="AY101" s="1590"/>
      <c r="AZ101" s="908"/>
      <c r="BA101" s="913"/>
      <c r="BB101" s="910"/>
      <c r="BC101" s="910"/>
      <c r="BD101" s="910"/>
      <c r="BE101" s="910"/>
      <c r="BF101" s="910"/>
      <c r="BG101" s="910"/>
      <c r="BH101" s="910"/>
      <c r="BI101" s="910"/>
      <c r="BJ101" s="910"/>
      <c r="BK101" s="1590"/>
      <c r="BL101" s="1590"/>
      <c r="BM101" s="1590"/>
      <c r="BN101" s="1590"/>
      <c r="BO101" s="1590"/>
      <c r="BP101" s="1590"/>
      <c r="BQ101" s="1591"/>
      <c r="BR101" s="1590"/>
      <c r="BS101" s="1590"/>
      <c r="BT101" s="910"/>
      <c r="BU101" s="911"/>
      <c r="BV101" s="910"/>
      <c r="BW101" s="910"/>
      <c r="BX101" s="910"/>
      <c r="BY101" s="910"/>
      <c r="BZ101" s="910"/>
      <c r="CA101" s="910"/>
      <c r="CB101" s="910"/>
      <c r="CC101" s="910"/>
      <c r="CD101" s="910"/>
      <c r="CE101" s="1590"/>
      <c r="CF101" s="1590"/>
      <c r="CG101" s="1590"/>
      <c r="CH101" s="1591"/>
      <c r="CI101" s="1590"/>
      <c r="CJ101" s="1590"/>
      <c r="CK101" s="1590"/>
      <c r="CL101" s="1590"/>
      <c r="CM101" s="1590"/>
      <c r="CN101" s="910"/>
      <c r="CO101" s="538"/>
      <c r="CP101" s="910"/>
      <c r="CQ101" s="910"/>
      <c r="CR101" s="910"/>
      <c r="CS101" s="910"/>
      <c r="CT101" s="910"/>
      <c r="CU101" s="910"/>
      <c r="CV101" s="910"/>
      <c r="CW101" s="910"/>
      <c r="CX101" s="910"/>
      <c r="CY101" s="1591"/>
      <c r="CZ101" s="1591"/>
      <c r="DA101" s="1606"/>
      <c r="DB101" s="1604"/>
      <c r="DC101" s="1604"/>
      <c r="DD101" s="1604"/>
      <c r="DE101" s="1604"/>
      <c r="DF101" s="1604"/>
      <c r="DG101" s="1604"/>
      <c r="DH101" s="910"/>
      <c r="DI101" s="538"/>
      <c r="DJ101" s="910"/>
      <c r="DK101" s="910"/>
      <c r="DL101" s="910"/>
      <c r="DM101" s="910"/>
      <c r="DN101" s="910"/>
      <c r="DO101" s="910"/>
      <c r="DP101" s="910"/>
      <c r="DQ101" s="910"/>
      <c r="DR101" s="910"/>
      <c r="DS101" s="1591"/>
      <c r="DT101" s="1591"/>
      <c r="DU101" s="1606"/>
      <c r="DV101" s="1604"/>
      <c r="DW101" s="1604"/>
      <c r="DX101" s="1604"/>
      <c r="DY101" s="1604"/>
      <c r="DZ101" s="1604"/>
      <c r="EA101" s="1604"/>
      <c r="EB101" s="910"/>
      <c r="EC101" s="538"/>
      <c r="ED101" s="908"/>
      <c r="EE101" s="1591"/>
      <c r="EF101" s="1591"/>
      <c r="EG101" s="1606"/>
      <c r="EH101" s="1604"/>
      <c r="EI101" s="1604"/>
      <c r="EJ101" s="1604"/>
      <c r="EK101" s="1604"/>
      <c r="EL101" s="1604"/>
      <c r="EM101" s="1604"/>
    </row>
    <row r="102" spans="1:143" ht="32.25" customHeight="1" thickBot="1" x14ac:dyDescent="0.3">
      <c r="A102" s="824" t="str">
        <f>CONCATENATE('3 pr-2'!A102)</f>
        <v>2.1.1.1</v>
      </c>
      <c r="B102" s="1926" t="str">
        <f>CONCATENATE('3 pr-2'!B102)</f>
        <v>Priemonė:
Mokyklų tinklo efektyvumo didinimas</v>
      </c>
      <c r="C102" s="1927"/>
      <c r="D102" s="1927"/>
      <c r="E102" s="1927"/>
      <c r="F102" s="1927"/>
      <c r="G102" s="1927"/>
      <c r="H102" s="1927"/>
      <c r="I102" s="1927"/>
      <c r="J102" s="1927"/>
      <c r="K102" s="1928"/>
      <c r="L102" s="1312"/>
      <c r="M102" s="540"/>
      <c r="N102" s="334">
        <f>SUM(N103:N107)</f>
        <v>0</v>
      </c>
      <c r="O102" s="334">
        <f t="shared" ref="O102:T102" si="430">SUM(O103:O107)</f>
        <v>0</v>
      </c>
      <c r="P102" s="334">
        <f t="shared" si="430"/>
        <v>0</v>
      </c>
      <c r="Q102" s="334">
        <f t="shared" si="430"/>
        <v>0</v>
      </c>
      <c r="R102" s="334">
        <f t="shared" si="430"/>
        <v>0</v>
      </c>
      <c r="S102" s="334">
        <f t="shared" si="430"/>
        <v>0</v>
      </c>
      <c r="T102" s="334">
        <f t="shared" si="430"/>
        <v>0</v>
      </c>
      <c r="U102" s="887">
        <f t="shared" ref="U102:U107" si="431">SUM(N102:T102)</f>
        <v>0</v>
      </c>
      <c r="V102" s="864"/>
      <c r="W102" s="1575"/>
      <c r="X102" s="1576"/>
      <c r="Y102" s="1577">
        <f t="shared" ref="Y102:AE102" si="432">SUM(Y103:Y107)</f>
        <v>0</v>
      </c>
      <c r="Z102" s="1577">
        <f t="shared" si="432"/>
        <v>0</v>
      </c>
      <c r="AA102" s="1577">
        <f t="shared" si="432"/>
        <v>8</v>
      </c>
      <c r="AB102" s="1577">
        <f t="shared" si="432"/>
        <v>0</v>
      </c>
      <c r="AC102" s="1577">
        <f t="shared" si="432"/>
        <v>0</v>
      </c>
      <c r="AD102" s="1577">
        <f t="shared" si="432"/>
        <v>0</v>
      </c>
      <c r="AE102" s="1577">
        <f t="shared" si="432"/>
        <v>0</v>
      </c>
      <c r="AF102" s="878"/>
      <c r="AG102" s="889"/>
      <c r="AH102" s="334">
        <f>SUM(AH103:AH107)</f>
        <v>0</v>
      </c>
      <c r="AI102" s="334">
        <f t="shared" ref="AI102" si="433">SUM(AI103:AI107)</f>
        <v>0</v>
      </c>
      <c r="AJ102" s="334">
        <f t="shared" ref="AJ102" si="434">SUM(AJ103:AJ107)</f>
        <v>0</v>
      </c>
      <c r="AK102" s="334">
        <f t="shared" ref="AK102" si="435">SUM(AK103:AK107)</f>
        <v>0</v>
      </c>
      <c r="AL102" s="334">
        <f t="shared" ref="AL102" si="436">SUM(AL103:AL107)</f>
        <v>0</v>
      </c>
      <c r="AM102" s="334">
        <f t="shared" ref="AM102" si="437">SUM(AM103:AM107)</f>
        <v>0</v>
      </c>
      <c r="AN102" s="334">
        <f t="shared" ref="AN102" si="438">SUM(AN103:AN107)</f>
        <v>0</v>
      </c>
      <c r="AO102" s="864">
        <f t="shared" ref="AO102:AO119" si="439">SUM(AH102:AN102)</f>
        <v>0</v>
      </c>
      <c r="AP102" s="864"/>
      <c r="AQ102" s="1577"/>
      <c r="AR102" s="1577"/>
      <c r="AS102" s="1577">
        <f t="shared" ref="AS102" si="440">SUM(AS103:AS107)</f>
        <v>0</v>
      </c>
      <c r="AT102" s="1577">
        <f t="shared" ref="AT102" si="441">SUM(AT103:AT107)</f>
        <v>0</v>
      </c>
      <c r="AU102" s="1577">
        <f t="shared" ref="AU102" si="442">SUM(AU103:AU107)</f>
        <v>3050</v>
      </c>
      <c r="AV102" s="1577">
        <f t="shared" ref="AV102" si="443">SUM(AV103:AV107)</f>
        <v>0</v>
      </c>
      <c r="AW102" s="1577">
        <f t="shared" ref="AW102" si="444">SUM(AW103:AW107)</f>
        <v>0</v>
      </c>
      <c r="AX102" s="1577">
        <f t="shared" ref="AX102" si="445">SUM(AX103:AX107)</f>
        <v>0</v>
      </c>
      <c r="AY102" s="1577">
        <f t="shared" ref="AY102" si="446">SUM(AY103:AY107)</f>
        <v>0</v>
      </c>
      <c r="AZ102" s="864"/>
      <c r="BA102" s="889"/>
      <c r="BB102" s="334">
        <f>SUM(BB103:BB107)</f>
        <v>0</v>
      </c>
      <c r="BC102" s="334">
        <f t="shared" ref="BC102" si="447">SUM(BC103:BC107)</f>
        <v>0</v>
      </c>
      <c r="BD102" s="334">
        <f t="shared" ref="BD102" si="448">SUM(BD103:BD107)</f>
        <v>0</v>
      </c>
      <c r="BE102" s="334">
        <f t="shared" ref="BE102" si="449">SUM(BE103:BE107)</f>
        <v>0</v>
      </c>
      <c r="BF102" s="334">
        <f t="shared" ref="BF102" si="450">SUM(BF103:BF107)</f>
        <v>0</v>
      </c>
      <c r="BG102" s="334">
        <f t="shared" ref="BG102" si="451">SUM(BG103:BG107)</f>
        <v>0</v>
      </c>
      <c r="BH102" s="334">
        <f t="shared" ref="BH102" si="452">SUM(BH103:BH107)</f>
        <v>0</v>
      </c>
      <c r="BI102" s="864">
        <f t="shared" ref="BI102:BI119" si="453">SUM(BB102:BH102)</f>
        <v>0</v>
      </c>
      <c r="BJ102" s="864"/>
      <c r="BK102" s="1577"/>
      <c r="BL102" s="1577"/>
      <c r="BM102" s="1577"/>
      <c r="BN102" s="1577"/>
      <c r="BO102" s="1577"/>
      <c r="BP102" s="1577"/>
      <c r="BQ102" s="1577"/>
      <c r="BR102" s="1577"/>
      <c r="BS102" s="1577"/>
      <c r="BT102" s="334"/>
      <c r="BU102" s="538"/>
      <c r="BV102" s="334">
        <f>SUM(BV103:BV107)</f>
        <v>0</v>
      </c>
      <c r="BW102" s="334">
        <f t="shared" ref="BW102" si="454">SUM(BW103:BW107)</f>
        <v>0</v>
      </c>
      <c r="BX102" s="334">
        <f t="shared" ref="BX102" si="455">SUM(BX103:BX107)</f>
        <v>0</v>
      </c>
      <c r="BY102" s="334">
        <f t="shared" ref="BY102" si="456">SUM(BY103:BY107)</f>
        <v>0</v>
      </c>
      <c r="BZ102" s="334">
        <f t="shared" ref="BZ102" si="457">SUM(BZ103:BZ107)</f>
        <v>0</v>
      </c>
      <c r="CA102" s="334">
        <f t="shared" ref="CA102" si="458">SUM(CA103:CA107)</f>
        <v>0</v>
      </c>
      <c r="CB102" s="334">
        <f t="shared" ref="CB102" si="459">SUM(CB103:CB107)</f>
        <v>0</v>
      </c>
      <c r="CC102" s="864">
        <f t="shared" ref="CC102:CC113" si="460">SUM(BV102:CB102)</f>
        <v>0</v>
      </c>
      <c r="CD102" s="334"/>
      <c r="CE102" s="1577"/>
      <c r="CF102" s="1577"/>
      <c r="CG102" s="1577"/>
      <c r="CH102" s="1577"/>
      <c r="CI102" s="1577"/>
      <c r="CJ102" s="1577"/>
      <c r="CK102" s="1577"/>
      <c r="CL102" s="1577"/>
      <c r="CM102" s="1577"/>
      <c r="CN102" s="334"/>
      <c r="CO102" s="538"/>
      <c r="CP102" s="334">
        <f>SUM(CP103:CP107)</f>
        <v>0</v>
      </c>
      <c r="CQ102" s="334">
        <f t="shared" ref="CQ102" si="461">SUM(CQ103:CQ107)</f>
        <v>0</v>
      </c>
      <c r="CR102" s="334">
        <f t="shared" ref="CR102" si="462">SUM(CR103:CR107)</f>
        <v>0</v>
      </c>
      <c r="CS102" s="334">
        <f t="shared" ref="CS102" si="463">SUM(CS103:CS107)</f>
        <v>0</v>
      </c>
      <c r="CT102" s="334">
        <f t="shared" ref="CT102" si="464">SUM(CT103:CT107)</f>
        <v>0</v>
      </c>
      <c r="CU102" s="334">
        <f t="shared" ref="CU102" si="465">SUM(CU103:CU107)</f>
        <v>0</v>
      </c>
      <c r="CV102" s="334">
        <f t="shared" ref="CV102" si="466">SUM(CV103:CV107)</f>
        <v>0</v>
      </c>
      <c r="CW102" s="864">
        <f t="shared" ref="CW102:CW119" si="467">SUM(CP102:CV102)</f>
        <v>0</v>
      </c>
      <c r="CX102" s="334"/>
      <c r="CY102" s="1594"/>
      <c r="CZ102" s="1594"/>
      <c r="DA102" s="1594">
        <f>IF(YEAR('3 pr-2'!AK102)=2017,CX102,0)</f>
        <v>0</v>
      </c>
      <c r="DB102" s="1594">
        <f>IF(YEAR('3 pr-2'!AK102)=2018,CX102,0)</f>
        <v>0</v>
      </c>
      <c r="DC102" s="1594">
        <f>IF(YEAR('3 pr-2'!AK102)=2019,CX102,0)</f>
        <v>0</v>
      </c>
      <c r="DD102" s="1594">
        <f>IF(YEAR('3 pr-2'!AK102)=2020,CX102,0)</f>
        <v>0</v>
      </c>
      <c r="DE102" s="1594">
        <f>IF(YEAR('3 pr-2'!AK102)=2021,CX102,0)</f>
        <v>0</v>
      </c>
      <c r="DF102" s="1594">
        <f>IF(YEAR('3 pr-2'!AK102)=2022,CX102,0)</f>
        <v>0</v>
      </c>
      <c r="DG102" s="1594">
        <f>IF(YEAR('3 pr-2'!AK102)=2023,CX102,0)</f>
        <v>0</v>
      </c>
      <c r="DH102" s="334"/>
      <c r="DI102" s="538"/>
      <c r="DJ102" s="334"/>
      <c r="DK102" s="334"/>
      <c r="DL102" s="334"/>
      <c r="DM102" s="334"/>
      <c r="DN102" s="334"/>
      <c r="DO102" s="334"/>
      <c r="DP102" s="334"/>
      <c r="DQ102" s="864"/>
      <c r="DR102" s="334"/>
      <c r="DS102" s="1594"/>
      <c r="DT102" s="1594"/>
      <c r="DU102" s="1594"/>
      <c r="DV102" s="1594"/>
      <c r="DW102" s="1594"/>
      <c r="DX102" s="1594"/>
      <c r="DY102" s="1594"/>
      <c r="DZ102" s="1594"/>
      <c r="EA102" s="1594"/>
      <c r="EB102" s="334"/>
      <c r="EC102" s="538"/>
      <c r="ED102" s="890"/>
      <c r="EE102" s="1594"/>
      <c r="EF102" s="1594"/>
      <c r="EG102" s="1594">
        <f>IF(YEAR('3 pr-2'!BP102)=2017,ED102,0)</f>
        <v>0</v>
      </c>
      <c r="EH102" s="1594">
        <f>IF(YEAR('3 pr-2'!BP102)=2018,ED102,0)</f>
        <v>0</v>
      </c>
      <c r="EI102" s="1594">
        <f>IF(YEAR('3 pr-2'!BP102)=2019,ED102,0)</f>
        <v>0</v>
      </c>
      <c r="EJ102" s="1594">
        <f>IF(YEAR('3 pr-2'!BP102)=2020,ED102,0)</f>
        <v>0</v>
      </c>
      <c r="EK102" s="1594">
        <f>IF(YEAR('3 pr-2'!BP102)=2021,ED102,0)</f>
        <v>0</v>
      </c>
      <c r="EL102" s="1594">
        <f>IF(YEAR('3 pr-2'!BP102)=2022,ED102,0)</f>
        <v>0</v>
      </c>
      <c r="EM102" s="1594">
        <f>IF(YEAR('3 pr-2'!BP102)=2023,ED102,0)</f>
        <v>0</v>
      </c>
    </row>
    <row r="103" spans="1:143" ht="85.5" thickTop="1" thickBot="1" x14ac:dyDescent="0.3">
      <c r="A103" s="345" t="str">
        <f>CONCATENATE('3 pr-2'!A103)</f>
        <v>2.1.1.1.1</v>
      </c>
      <c r="B103" s="345" t="str">
        <f>CONCATENATE('3 pr-2'!B103)</f>
        <v>R01-7724-220000-2111</v>
      </c>
      <c r="C103" s="1321" t="str">
        <f>CONCATENATE('ketv. 2'!B102)</f>
        <v>09.1.3-CPVA-R-724-11-0003</v>
      </c>
      <c r="D103" s="312" t="str">
        <f>CONCATENATE('3 pr-2'!D103)</f>
        <v>Varėnos r. Merkinės Vinco Krėvės gimnazijos laisvų patalpų pritaikymas ikimokyklinio ir priešmokyklinio ugdymo grupėms įrengti</v>
      </c>
      <c r="E103" s="312" t="str">
        <f>CONCATENATE('3 pr-2'!E103)</f>
        <v>Varėnos rajono savivaldybės administracija</v>
      </c>
      <c r="F103" s="312" t="str">
        <f>CONCATENATE('3 pr-2'!F103)</f>
        <v>Lietuvos Respublikos švietimo ir mokslo ministerija</v>
      </c>
      <c r="G103" s="312" t="str">
        <f>CONCATENATE('3 pr-2'!G103)</f>
        <v>Varėnos r. sav.</v>
      </c>
      <c r="H103" s="345" t="str">
        <f>CONCATENATE('3 pr-2'!H103)</f>
        <v>09.1.3-CPVA-R-724</v>
      </c>
      <c r="I103" s="345" t="str">
        <f>CONCATENATE('3 pr-2'!I103)</f>
        <v>R</v>
      </c>
      <c r="J103" s="345" t="str">
        <f>CONCATENATE('3 pr-2'!J103)</f>
        <v>-</v>
      </c>
      <c r="K103" s="345" t="str">
        <f>CONCATENATE('3 pr-2'!K103)</f>
        <v>-</v>
      </c>
      <c r="L103" s="345" t="s">
        <v>511</v>
      </c>
      <c r="M103" s="537" t="s">
        <v>512</v>
      </c>
      <c r="N103" s="345"/>
      <c r="O103" s="345"/>
      <c r="P103" s="345"/>
      <c r="Q103" s="345"/>
      <c r="R103" s="345"/>
      <c r="S103" s="345"/>
      <c r="T103" s="345"/>
      <c r="U103" s="893">
        <f t="shared" si="431"/>
        <v>0</v>
      </c>
      <c r="V103" s="345">
        <v>1</v>
      </c>
      <c r="W103" s="1578">
        <v>1</v>
      </c>
      <c r="X103" s="1579">
        <f>SUM(W103-V103)</f>
        <v>0</v>
      </c>
      <c r="Y103" s="1579">
        <f>IF(YEAR('3 pr-2'!$AK103)=2017,$V103,0)</f>
        <v>0</v>
      </c>
      <c r="Z103" s="1579">
        <f>IF(YEAR('3 pr-2'!$AK103)=2018,$V103,0)</f>
        <v>0</v>
      </c>
      <c r="AA103" s="1579">
        <f>IF(YEAR('3 pr-2'!$AK103)=2019,$V103,0)</f>
        <v>1</v>
      </c>
      <c r="AB103" s="1579">
        <f>IF(YEAR('3 pr-2'!$AK103)=2020,$V103,0)</f>
        <v>0</v>
      </c>
      <c r="AC103" s="1579">
        <f>IF(YEAR('3 pr-2'!$AK103)=2021,$V103,0)</f>
        <v>0</v>
      </c>
      <c r="AD103" s="1579">
        <f>IF(YEAR('3 pr-2'!$AK103)=2022,$V103,0)</f>
        <v>0</v>
      </c>
      <c r="AE103" s="1579">
        <f>IF(YEAR('3 pr-2'!$AK103)=2023,$V103,0)</f>
        <v>0</v>
      </c>
      <c r="AF103" s="350" t="s">
        <v>513</v>
      </c>
      <c r="AG103" s="537" t="s">
        <v>514</v>
      </c>
      <c r="AH103" s="345"/>
      <c r="AI103" s="345"/>
      <c r="AJ103" s="345"/>
      <c r="AK103" s="345"/>
      <c r="AL103" s="345"/>
      <c r="AM103" s="345"/>
      <c r="AN103" s="345"/>
      <c r="AO103" s="895">
        <f t="shared" si="439"/>
        <v>0</v>
      </c>
      <c r="AP103" s="345">
        <v>180</v>
      </c>
      <c r="AQ103" s="1597">
        <v>180</v>
      </c>
      <c r="AR103" s="1579">
        <f>SUM(AQ103-AP103)</f>
        <v>0</v>
      </c>
      <c r="AS103" s="1579">
        <f>IF(YEAR('3 pr-2'!$AK103)=2017,$AP103,0)</f>
        <v>0</v>
      </c>
      <c r="AT103" s="1579">
        <f>IF(YEAR('3 pr-2'!$AK103)=2018,$AP103,0)</f>
        <v>0</v>
      </c>
      <c r="AU103" s="1579">
        <f>IF(YEAR('3 pr-2'!$AK103)=2019,$AP103,0)</f>
        <v>180</v>
      </c>
      <c r="AV103" s="1579">
        <f>IF(YEAR('3 pr-2'!$AK103)=2020,$AP103,0)</f>
        <v>0</v>
      </c>
      <c r="AW103" s="1579">
        <f>IF(YEAR('3 pr-2'!$AK103)=2021,$AP103,0)</f>
        <v>0</v>
      </c>
      <c r="AX103" s="1579">
        <f>IF(YEAR('3 pr-2'!$AK103)=2022,$AP103,0)</f>
        <v>0</v>
      </c>
      <c r="AY103" s="1579">
        <f>IF(YEAR('3 pr-2'!$AK103)=2023,$AP103,0)</f>
        <v>0</v>
      </c>
      <c r="AZ103" s="345"/>
      <c r="BA103" s="536"/>
      <c r="BB103" s="345"/>
      <c r="BC103" s="345"/>
      <c r="BD103" s="345"/>
      <c r="BE103" s="345"/>
      <c r="BF103" s="345"/>
      <c r="BG103" s="345"/>
      <c r="BH103" s="345"/>
      <c r="BI103" s="895">
        <f t="shared" si="453"/>
        <v>0</v>
      </c>
      <c r="BJ103" s="345"/>
      <c r="BK103" s="1597"/>
      <c r="BL103" s="1579"/>
      <c r="BM103" s="1579">
        <f>IF(YEAR('3 pr-2'!AK103)=2017,BJ103,0)</f>
        <v>0</v>
      </c>
      <c r="BN103" s="1579">
        <f>IF(YEAR('3 pr-2'!AK103)=2018,BJ103,0)</f>
        <v>0</v>
      </c>
      <c r="BO103" s="1579">
        <f>IF(YEAR('3 pr-2'!AK103)=2019,BJ103,0)</f>
        <v>0</v>
      </c>
      <c r="BP103" s="1579">
        <f>IF(YEAR('3 pr-2'!AK103)=2020,BJ103,0)</f>
        <v>0</v>
      </c>
      <c r="BQ103" s="1579">
        <f>IF(YEAR('3 pr-2'!AK103)=2021,BJ103,0)</f>
        <v>0</v>
      </c>
      <c r="BR103" s="1579">
        <f>IF(YEAR('3 pr-2'!AK103)=2022,BJ103,0)</f>
        <v>0</v>
      </c>
      <c r="BS103" s="1579">
        <f>IF(YEAR('3 pr-2'!AK103)=2023,BJ103,0)</f>
        <v>0</v>
      </c>
      <c r="BT103" s="350"/>
      <c r="BU103" s="537"/>
      <c r="BV103" s="345"/>
      <c r="BW103" s="345"/>
      <c r="BX103" s="345"/>
      <c r="BY103" s="345"/>
      <c r="BZ103" s="345"/>
      <c r="CA103" s="345"/>
      <c r="CB103" s="345"/>
      <c r="CC103" s="895">
        <f t="shared" si="460"/>
        <v>0</v>
      </c>
      <c r="CD103" s="345"/>
      <c r="CE103" s="1579"/>
      <c r="CF103" s="1579"/>
      <c r="CG103" s="1579">
        <f>IF(YEAR('3 pr-2'!$AK103)=2017,$CD103,0)</f>
        <v>0</v>
      </c>
      <c r="CH103" s="1579">
        <f>IF(YEAR('3 pr-2'!$AK103)=2018,$CD103,0)</f>
        <v>0</v>
      </c>
      <c r="CI103" s="1579">
        <f>IF(YEAR('3 pr-2'!$AK103)=2019,$CD103,0)</f>
        <v>0</v>
      </c>
      <c r="CJ103" s="1579">
        <f>IF(YEAR('3 pr-2'!$AK103)=2020,$CD103,0)</f>
        <v>0</v>
      </c>
      <c r="CK103" s="1579">
        <f>IF(YEAR('3 pr-2'!$AK103)=2021,$CD103,0)</f>
        <v>0</v>
      </c>
      <c r="CL103" s="1579">
        <f>IF(YEAR('3 pr-2'!$AK103)=2022,$CD103,0)</f>
        <v>0</v>
      </c>
      <c r="CM103" s="1579">
        <f>IF(YEAR('3 pr-2'!$AK103)=2023,$CD103,0)</f>
        <v>0</v>
      </c>
      <c r="CN103" s="350"/>
      <c r="CO103" s="538"/>
      <c r="CP103" s="345"/>
      <c r="CQ103" s="345"/>
      <c r="CR103" s="345"/>
      <c r="CS103" s="345"/>
      <c r="CT103" s="345"/>
      <c r="CU103" s="345"/>
      <c r="CV103" s="345"/>
      <c r="CW103" s="895">
        <f t="shared" si="467"/>
        <v>0</v>
      </c>
      <c r="CX103" s="351"/>
      <c r="CY103" s="1605"/>
      <c r="CZ103" s="1605"/>
      <c r="DA103" s="1594">
        <f>IF(YEAR('3 pr-2'!AK103)=2017,CX103,0)</f>
        <v>0</v>
      </c>
      <c r="DB103" s="1594">
        <f>IF(YEAR('3 pr-2'!AK103)=2018,CX103,0)</f>
        <v>0</v>
      </c>
      <c r="DC103" s="1594">
        <f>IF(YEAR('3 pr-2'!AK103)=2019,CX103,0)</f>
        <v>0</v>
      </c>
      <c r="DD103" s="1594">
        <f>IF(YEAR('3 pr-2'!AK103)=2020,CX103,0)</f>
        <v>0</v>
      </c>
      <c r="DE103" s="1594">
        <f>IF(YEAR('3 pr-2'!AK103)=2021,CX103,0)</f>
        <v>0</v>
      </c>
      <c r="DF103" s="1594">
        <f>IF(YEAR('3 pr-2'!AK103)=2022,CX103,0)</f>
        <v>0</v>
      </c>
      <c r="DG103" s="1594">
        <f>IF(YEAR('3 pr-2'!AK103)=2023,CX103,0)</f>
        <v>0</v>
      </c>
      <c r="DH103" s="350"/>
      <c r="DI103" s="538"/>
      <c r="DJ103" s="345"/>
      <c r="DK103" s="345"/>
      <c r="DL103" s="345"/>
      <c r="DM103" s="345"/>
      <c r="DN103" s="345"/>
      <c r="DO103" s="345"/>
      <c r="DP103" s="345"/>
      <c r="DQ103" s="895"/>
      <c r="DR103" s="351"/>
      <c r="DS103" s="1605"/>
      <c r="DT103" s="1605"/>
      <c r="DU103" s="1594"/>
      <c r="DV103" s="1594"/>
      <c r="DW103" s="1594"/>
      <c r="DX103" s="1594"/>
      <c r="DY103" s="1594"/>
      <c r="DZ103" s="1594"/>
      <c r="EA103" s="1594"/>
      <c r="EB103" s="350"/>
      <c r="EC103" s="538"/>
      <c r="ED103" s="333"/>
      <c r="EE103" s="1605"/>
      <c r="EF103" s="1605"/>
      <c r="EG103" s="1594">
        <f>IF(YEAR('3 pr-2'!BP103)=2017,ED103,0)</f>
        <v>0</v>
      </c>
      <c r="EH103" s="1594">
        <f>IF(YEAR('3 pr-2'!BP103)=2018,ED103,0)</f>
        <v>0</v>
      </c>
      <c r="EI103" s="1594">
        <f>IF(YEAR('3 pr-2'!BP103)=2019,ED103,0)</f>
        <v>0</v>
      </c>
      <c r="EJ103" s="1594">
        <f>IF(YEAR('3 pr-2'!BP103)=2020,ED103,0)</f>
        <v>0</v>
      </c>
      <c r="EK103" s="1594">
        <f>IF(YEAR('3 pr-2'!BP103)=2021,ED103,0)</f>
        <v>0</v>
      </c>
      <c r="EL103" s="1594">
        <f>IF(YEAR('3 pr-2'!BP103)=2022,ED103,0)</f>
        <v>0</v>
      </c>
      <c r="EM103" s="1594">
        <f>IF(YEAR('3 pr-2'!BP103)=2023,ED103,0)</f>
        <v>0</v>
      </c>
    </row>
    <row r="104" spans="1:143" ht="73.5" thickTop="1" thickBot="1" x14ac:dyDescent="0.3">
      <c r="A104" s="345" t="str">
        <f>CONCATENATE('3 pr-2'!A104)</f>
        <v>2.1.1.1.2</v>
      </c>
      <c r="B104" s="345" t="str">
        <f>CONCATENATE('3 pr-2'!B104)</f>
        <v>R01-7724-220000-2112</v>
      </c>
      <c r="C104" s="1321" t="str">
        <f>CONCATENATE('ketv. 2'!B103)</f>
        <v>09.1.3-CPVA-R-724-11-0005</v>
      </c>
      <c r="D104" s="312" t="str">
        <f>CONCATENATE('3 pr-2'!D104)</f>
        <v>Alytaus rajono bendrojo ugdymo įstaigų aprūpinimas gamtos, technologijų, menų ir kitų mokslų laboratorijų įranga</v>
      </c>
      <c r="E104" s="312" t="str">
        <f>CONCATENATE('3 pr-2'!E104)</f>
        <v>Alytaus rajono savivaldybės administracija</v>
      </c>
      <c r="F104" s="312" t="str">
        <f>CONCATENATE('3 pr-2'!F104)</f>
        <v>Lietuvos Respublikos švietimo ir mokslo ministerija</v>
      </c>
      <c r="G104" s="312" t="str">
        <f>CONCATENATE('3 pr-2'!G104)</f>
        <v>Alytaus r. sav.</v>
      </c>
      <c r="H104" s="345" t="str">
        <f>CONCATENATE('3 pr-2'!H104)</f>
        <v>09.1.3-CPVA-R-724</v>
      </c>
      <c r="I104" s="345" t="str">
        <f>CONCATENATE('3 pr-2'!I104)</f>
        <v>R</v>
      </c>
      <c r="J104" s="345" t="str">
        <f>CONCATENATE('3 pr-2'!J104)</f>
        <v>-</v>
      </c>
      <c r="K104" s="345" t="str">
        <f>CONCATENATE('3 pr-2'!K104)</f>
        <v>-</v>
      </c>
      <c r="L104" s="345" t="s">
        <v>511</v>
      </c>
      <c r="M104" s="537" t="s">
        <v>512</v>
      </c>
      <c r="N104" s="345"/>
      <c r="O104" s="345"/>
      <c r="P104" s="345"/>
      <c r="Q104" s="345"/>
      <c r="R104" s="345"/>
      <c r="S104" s="345"/>
      <c r="T104" s="345"/>
      <c r="U104" s="893">
        <f t="shared" si="431"/>
        <v>0</v>
      </c>
      <c r="V104" s="345">
        <v>2</v>
      </c>
      <c r="W104" s="1578">
        <v>2</v>
      </c>
      <c r="X104" s="1579">
        <f>SUM(W104-V104)</f>
        <v>0</v>
      </c>
      <c r="Y104" s="1579">
        <f>IF(YEAR('3 pr-2'!$AK104)=2017,$V104,0)</f>
        <v>0</v>
      </c>
      <c r="Z104" s="1579">
        <f>IF(YEAR('3 pr-2'!$AK104)=2018,$V104,0)</f>
        <v>0</v>
      </c>
      <c r="AA104" s="1579">
        <f>IF(YEAR('3 pr-2'!$AK104)=2019,$V104,0)</f>
        <v>2</v>
      </c>
      <c r="AB104" s="1579">
        <f>IF(YEAR('3 pr-2'!$AK104)=2020,$V104,0)</f>
        <v>0</v>
      </c>
      <c r="AC104" s="1579">
        <f>IF(YEAR('3 pr-2'!$AK104)=2021,$V104,0)</f>
        <v>0</v>
      </c>
      <c r="AD104" s="1579">
        <f>IF(YEAR('3 pr-2'!$AK104)=2022,$V104,0)</f>
        <v>0</v>
      </c>
      <c r="AE104" s="1579">
        <f>IF(YEAR('3 pr-2'!$AK104)=2023,$V104,0)</f>
        <v>0</v>
      </c>
      <c r="AF104" s="350" t="s">
        <v>513</v>
      </c>
      <c r="AG104" s="537" t="s">
        <v>514</v>
      </c>
      <c r="AH104" s="345"/>
      <c r="AI104" s="345"/>
      <c r="AJ104" s="345"/>
      <c r="AK104" s="345"/>
      <c r="AL104" s="345"/>
      <c r="AM104" s="345"/>
      <c r="AN104" s="345"/>
      <c r="AO104" s="895">
        <f t="shared" si="439"/>
        <v>0</v>
      </c>
      <c r="AP104" s="345">
        <v>600</v>
      </c>
      <c r="AQ104" s="1597">
        <v>600</v>
      </c>
      <c r="AR104" s="1579">
        <f>SUM(AQ104-AP104)</f>
        <v>0</v>
      </c>
      <c r="AS104" s="1579">
        <f>IF(YEAR('3 pr-2'!$AK104)=2017,$AP104,0)</f>
        <v>0</v>
      </c>
      <c r="AT104" s="1579">
        <f>IF(YEAR('3 pr-2'!$AK104)=2018,$AP104,0)</f>
        <v>0</v>
      </c>
      <c r="AU104" s="1579">
        <f>IF(YEAR('3 pr-2'!$AK104)=2019,$AP104,0)</f>
        <v>600</v>
      </c>
      <c r="AV104" s="1579">
        <f>IF(YEAR('3 pr-2'!$AK104)=2020,$AP104,0)</f>
        <v>0</v>
      </c>
      <c r="AW104" s="1579">
        <f>IF(YEAR('3 pr-2'!$AK104)=2021,$AP104,0)</f>
        <v>0</v>
      </c>
      <c r="AX104" s="1579">
        <f>IF(YEAR('3 pr-2'!$AK104)=2022,$AP104,0)</f>
        <v>0</v>
      </c>
      <c r="AY104" s="1579">
        <f>IF(YEAR('3 pr-2'!$AK104)=2023,$AP104,0)</f>
        <v>0</v>
      </c>
      <c r="AZ104" s="345"/>
      <c r="BA104" s="536"/>
      <c r="BB104" s="345"/>
      <c r="BC104" s="345"/>
      <c r="BD104" s="345"/>
      <c r="BE104" s="345"/>
      <c r="BF104" s="345"/>
      <c r="BG104" s="345"/>
      <c r="BH104" s="345"/>
      <c r="BI104" s="895">
        <f t="shared" si="453"/>
        <v>0</v>
      </c>
      <c r="BJ104" s="345"/>
      <c r="BK104" s="1597"/>
      <c r="BL104" s="1579"/>
      <c r="BM104" s="1579">
        <f>IF(YEAR('3 pr-2'!AK104)=2017,BJ104,0)</f>
        <v>0</v>
      </c>
      <c r="BN104" s="1579">
        <f>IF(YEAR('3 pr-2'!AK104)=2018,BJ104,0)</f>
        <v>0</v>
      </c>
      <c r="BO104" s="1579">
        <f>IF(YEAR('3 pr-2'!AK104)=2019,BJ104,0)</f>
        <v>0</v>
      </c>
      <c r="BP104" s="1579">
        <f>IF(YEAR('3 pr-2'!AK104)=2020,BJ104,0)</f>
        <v>0</v>
      </c>
      <c r="BQ104" s="1579">
        <f>IF(YEAR('3 pr-2'!AK104)=2021,BJ104,0)</f>
        <v>0</v>
      </c>
      <c r="BR104" s="1579">
        <f>IF(YEAR('3 pr-2'!AK104)=2022,BJ104,0)</f>
        <v>0</v>
      </c>
      <c r="BS104" s="1579">
        <f>IF(YEAR('3 pr-2'!AK104)=2023,BJ104,0)</f>
        <v>0</v>
      </c>
      <c r="BT104" s="350"/>
      <c r="BU104" s="537"/>
      <c r="BV104" s="345"/>
      <c r="BW104" s="345"/>
      <c r="BX104" s="345"/>
      <c r="BY104" s="345"/>
      <c r="BZ104" s="345"/>
      <c r="CA104" s="345"/>
      <c r="CB104" s="345"/>
      <c r="CC104" s="895">
        <f t="shared" si="460"/>
        <v>0</v>
      </c>
      <c r="CD104" s="345"/>
      <c r="CE104" s="1579"/>
      <c r="CF104" s="1579"/>
      <c r="CG104" s="1579">
        <f>IF(YEAR('3 pr-2'!$AK104)=2017,$CD104,0)</f>
        <v>0</v>
      </c>
      <c r="CH104" s="1579">
        <f>IF(YEAR('3 pr-2'!$AK104)=2018,$CD104,0)</f>
        <v>0</v>
      </c>
      <c r="CI104" s="1579">
        <f>IF(YEAR('3 pr-2'!$AK104)=2019,$CD104,0)</f>
        <v>0</v>
      </c>
      <c r="CJ104" s="1579">
        <f>IF(YEAR('3 pr-2'!$AK104)=2020,$CD104,0)</f>
        <v>0</v>
      </c>
      <c r="CK104" s="1579">
        <f>IF(YEAR('3 pr-2'!$AK104)=2021,$CD104,0)</f>
        <v>0</v>
      </c>
      <c r="CL104" s="1579">
        <f>IF(YEAR('3 pr-2'!$AK104)=2022,$CD104,0)</f>
        <v>0</v>
      </c>
      <c r="CM104" s="1579">
        <f>IF(YEAR('3 pr-2'!$AK104)=2023,$CD104,0)</f>
        <v>0</v>
      </c>
      <c r="CN104" s="350"/>
      <c r="CO104" s="538"/>
      <c r="CP104" s="345"/>
      <c r="CQ104" s="345"/>
      <c r="CR104" s="345"/>
      <c r="CS104" s="345"/>
      <c r="CT104" s="345"/>
      <c r="CU104" s="345"/>
      <c r="CV104" s="345"/>
      <c r="CW104" s="895">
        <f t="shared" si="467"/>
        <v>0</v>
      </c>
      <c r="CX104" s="351"/>
      <c r="CY104" s="1605"/>
      <c r="CZ104" s="1605"/>
      <c r="DA104" s="1594">
        <f>IF(YEAR('3 pr-2'!AK104)=2017,CX104,0)</f>
        <v>0</v>
      </c>
      <c r="DB104" s="1594">
        <f>IF(YEAR('3 pr-2'!AK104)=2018,CX104,0)</f>
        <v>0</v>
      </c>
      <c r="DC104" s="1594">
        <f>IF(YEAR('3 pr-2'!AK104)=2019,CX104,0)</f>
        <v>0</v>
      </c>
      <c r="DD104" s="1594">
        <f>IF(YEAR('3 pr-2'!AK104)=2020,CX104,0)</f>
        <v>0</v>
      </c>
      <c r="DE104" s="1594">
        <f>IF(YEAR('3 pr-2'!AK104)=2021,CX104,0)</f>
        <v>0</v>
      </c>
      <c r="DF104" s="1594">
        <f>IF(YEAR('3 pr-2'!AK104)=2022,CX104,0)</f>
        <v>0</v>
      </c>
      <c r="DG104" s="1594">
        <f>IF(YEAR('3 pr-2'!AK104)=2023,CX104,0)</f>
        <v>0</v>
      </c>
      <c r="DH104" s="350"/>
      <c r="DI104" s="538"/>
      <c r="DJ104" s="345"/>
      <c r="DK104" s="345"/>
      <c r="DL104" s="345"/>
      <c r="DM104" s="345"/>
      <c r="DN104" s="345"/>
      <c r="DO104" s="345"/>
      <c r="DP104" s="345"/>
      <c r="DQ104" s="895"/>
      <c r="DR104" s="351"/>
      <c r="DS104" s="1605"/>
      <c r="DT104" s="1605"/>
      <c r="DU104" s="1594"/>
      <c r="DV104" s="1594"/>
      <c r="DW104" s="1594"/>
      <c r="DX104" s="1594"/>
      <c r="DY104" s="1594"/>
      <c r="DZ104" s="1594"/>
      <c r="EA104" s="1594"/>
      <c r="EB104" s="350"/>
      <c r="EC104" s="538"/>
      <c r="ED104" s="333"/>
      <c r="EE104" s="1605"/>
      <c r="EF104" s="1605"/>
      <c r="EG104" s="1594">
        <f>IF(YEAR('3 pr-2'!BP104)=2017,ED104,0)</f>
        <v>0</v>
      </c>
      <c r="EH104" s="1594">
        <f>IF(YEAR('3 pr-2'!BP104)=2018,ED104,0)</f>
        <v>0</v>
      </c>
      <c r="EI104" s="1594">
        <f>IF(YEAR('3 pr-2'!BP104)=2019,ED104,0)</f>
        <v>0</v>
      </c>
      <c r="EJ104" s="1594">
        <f>IF(YEAR('3 pr-2'!BP104)=2020,ED104,0)</f>
        <v>0</v>
      </c>
      <c r="EK104" s="1594">
        <f>IF(YEAR('3 pr-2'!BP104)=2021,ED104,0)</f>
        <v>0</v>
      </c>
      <c r="EL104" s="1594">
        <f>IF(YEAR('3 pr-2'!BP104)=2022,ED104,0)</f>
        <v>0</v>
      </c>
      <c r="EM104" s="1594">
        <f>IF(YEAR('3 pr-2'!BP104)=2023,ED104,0)</f>
        <v>0</v>
      </c>
    </row>
    <row r="105" spans="1:143" ht="61.5" thickTop="1" thickBot="1" x14ac:dyDescent="0.3">
      <c r="A105" s="345" t="str">
        <f>CONCATENATE('3 pr-2'!A105)</f>
        <v>2.1.1.1.3</v>
      </c>
      <c r="B105" s="345" t="str">
        <f>CONCATENATE('3 pr-2'!B105)</f>
        <v>R01-7724-220000-2113</v>
      </c>
      <c r="C105" s="1321" t="str">
        <f>CONCATENATE('ketv. 2'!B104)</f>
        <v>09.1.3-CPVA-R-724-11-0002</v>
      </c>
      <c r="D105" s="312" t="str">
        <f>CONCATENATE('3 pr-2'!D105)</f>
        <v>Modernių ir saugių erdvių kūrimas Dzūkijos pagrindinėje mokykloje, Alytuje</v>
      </c>
      <c r="E105" s="312" t="str">
        <f>CONCATENATE('3 pr-2'!E105)</f>
        <v>Alytaus miesto savivaldybės administracija</v>
      </c>
      <c r="F105" s="312" t="str">
        <f>CONCATENATE('3 pr-2'!F105)</f>
        <v>Lietuvos Respublikos švietimo ir mokslo ministerija</v>
      </c>
      <c r="G105" s="312" t="str">
        <f>CONCATENATE('3 pr-2'!G105)</f>
        <v>Alytaus m. sav.</v>
      </c>
      <c r="H105" s="345" t="str">
        <f>CONCATENATE('3 pr-2'!H105)</f>
        <v>09.1.3-CPVA-R-724</v>
      </c>
      <c r="I105" s="345" t="str">
        <f>CONCATENATE('3 pr-2'!I105)</f>
        <v>R</v>
      </c>
      <c r="J105" s="345" t="str">
        <f>CONCATENATE('3 pr-2'!J105)</f>
        <v>-</v>
      </c>
      <c r="K105" s="345" t="str">
        <f>CONCATENATE('3 pr-2'!K105)</f>
        <v>-</v>
      </c>
      <c r="L105" s="345" t="s">
        <v>511</v>
      </c>
      <c r="M105" s="537" t="s">
        <v>512</v>
      </c>
      <c r="N105" s="345"/>
      <c r="O105" s="345"/>
      <c r="P105" s="345"/>
      <c r="Q105" s="345"/>
      <c r="R105" s="345"/>
      <c r="S105" s="345"/>
      <c r="T105" s="345"/>
      <c r="U105" s="893">
        <f t="shared" si="431"/>
        <v>0</v>
      </c>
      <c r="V105" s="345">
        <v>1</v>
      </c>
      <c r="W105" s="1578">
        <v>1</v>
      </c>
      <c r="X105" s="1579">
        <f>SUM(W105-V105)</f>
        <v>0</v>
      </c>
      <c r="Y105" s="1579">
        <f>IF(YEAR('3 pr-2'!$AK105)=2017,$V105,0)</f>
        <v>0</v>
      </c>
      <c r="Z105" s="1579">
        <f>IF(YEAR('3 pr-2'!$AK105)=2018,$V105,0)</f>
        <v>0</v>
      </c>
      <c r="AA105" s="1579">
        <f>IF(YEAR('3 pr-2'!$AK105)=2019,$V105,0)</f>
        <v>1</v>
      </c>
      <c r="AB105" s="1579">
        <f>IF(YEAR('3 pr-2'!$AK105)=2020,$V105,0)</f>
        <v>0</v>
      </c>
      <c r="AC105" s="1579">
        <f>IF(YEAR('3 pr-2'!$AK105)=2021,$V105,0)</f>
        <v>0</v>
      </c>
      <c r="AD105" s="1579">
        <f>IF(YEAR('3 pr-2'!$AK105)=2022,$V105,0)</f>
        <v>0</v>
      </c>
      <c r="AE105" s="1579">
        <f>IF(YEAR('3 pr-2'!$AK105)=2023,$V105,0)</f>
        <v>0</v>
      </c>
      <c r="AF105" s="350" t="s">
        <v>513</v>
      </c>
      <c r="AG105" s="537" t="s">
        <v>514</v>
      </c>
      <c r="AH105" s="345"/>
      <c r="AI105" s="345"/>
      <c r="AJ105" s="345"/>
      <c r="AK105" s="345"/>
      <c r="AL105" s="345"/>
      <c r="AM105" s="345"/>
      <c r="AN105" s="345"/>
      <c r="AO105" s="895">
        <f t="shared" si="439"/>
        <v>0</v>
      </c>
      <c r="AP105" s="345">
        <v>600</v>
      </c>
      <c r="AQ105" s="1597">
        <v>600</v>
      </c>
      <c r="AR105" s="1579">
        <f>SUM(AQ105-AP105)</f>
        <v>0</v>
      </c>
      <c r="AS105" s="1579">
        <f>IF(YEAR('3 pr-2'!$AK105)=2017,$AP105,0)</f>
        <v>0</v>
      </c>
      <c r="AT105" s="1579">
        <f>IF(YEAR('3 pr-2'!$AK105)=2018,$AP105,0)</f>
        <v>0</v>
      </c>
      <c r="AU105" s="1579">
        <f>IF(YEAR('3 pr-2'!$AK105)=2019,$AP105,0)</f>
        <v>600</v>
      </c>
      <c r="AV105" s="1579">
        <f>IF(YEAR('3 pr-2'!$AK105)=2020,$AP105,0)</f>
        <v>0</v>
      </c>
      <c r="AW105" s="1579">
        <f>IF(YEAR('3 pr-2'!$AK105)=2021,$AP105,0)</f>
        <v>0</v>
      </c>
      <c r="AX105" s="1579">
        <f>IF(YEAR('3 pr-2'!$AK105)=2022,$AP105,0)</f>
        <v>0</v>
      </c>
      <c r="AY105" s="1579">
        <f>IF(YEAR('3 pr-2'!$AK105)=2023,$AP105,0)</f>
        <v>0</v>
      </c>
      <c r="AZ105" s="345"/>
      <c r="BA105" s="536"/>
      <c r="BB105" s="345"/>
      <c r="BC105" s="345"/>
      <c r="BD105" s="345"/>
      <c r="BE105" s="345"/>
      <c r="BF105" s="345"/>
      <c r="BG105" s="345"/>
      <c r="BH105" s="345"/>
      <c r="BI105" s="895">
        <f t="shared" si="453"/>
        <v>0</v>
      </c>
      <c r="BJ105" s="345"/>
      <c r="BK105" s="1597"/>
      <c r="BL105" s="1579"/>
      <c r="BM105" s="1579">
        <f>IF(YEAR('3 pr-2'!AK105)=2017,BJ105,0)</f>
        <v>0</v>
      </c>
      <c r="BN105" s="1579">
        <f>IF(YEAR('3 pr-2'!AK105)=2018,BJ105,0)</f>
        <v>0</v>
      </c>
      <c r="BO105" s="1579">
        <f>IF(YEAR('3 pr-2'!AK105)=2019,BJ105,0)</f>
        <v>0</v>
      </c>
      <c r="BP105" s="1579">
        <f>IF(YEAR('3 pr-2'!AK105)=2020,BJ105,0)</f>
        <v>0</v>
      </c>
      <c r="BQ105" s="1579">
        <f>IF(YEAR('3 pr-2'!AK105)=2021,BJ105,0)</f>
        <v>0</v>
      </c>
      <c r="BR105" s="1579">
        <f>IF(YEAR('3 pr-2'!AK105)=2022,BJ105,0)</f>
        <v>0</v>
      </c>
      <c r="BS105" s="1579">
        <f>IF(YEAR('3 pr-2'!AK105)=2023,BJ105,0)</f>
        <v>0</v>
      </c>
      <c r="BT105" s="350"/>
      <c r="BU105" s="537"/>
      <c r="BV105" s="345"/>
      <c r="BW105" s="345"/>
      <c r="BX105" s="345"/>
      <c r="BY105" s="345"/>
      <c r="BZ105" s="345"/>
      <c r="CA105" s="345"/>
      <c r="CB105" s="345"/>
      <c r="CC105" s="895">
        <f t="shared" si="460"/>
        <v>0</v>
      </c>
      <c r="CD105" s="345"/>
      <c r="CE105" s="1579"/>
      <c r="CF105" s="1579"/>
      <c r="CG105" s="1579">
        <f>IF(YEAR('3 pr-2'!$AK105)=2017,$CD105,0)</f>
        <v>0</v>
      </c>
      <c r="CH105" s="1579">
        <f>IF(YEAR('3 pr-2'!$AK105)=2018,$CD105,0)</f>
        <v>0</v>
      </c>
      <c r="CI105" s="1579">
        <f>IF(YEAR('3 pr-2'!$AK105)=2019,$CD105,0)</f>
        <v>0</v>
      </c>
      <c r="CJ105" s="1579">
        <f>IF(YEAR('3 pr-2'!$AK105)=2020,$CD105,0)</f>
        <v>0</v>
      </c>
      <c r="CK105" s="1579">
        <f>IF(YEAR('3 pr-2'!$AK105)=2021,$CD105,0)</f>
        <v>0</v>
      </c>
      <c r="CL105" s="1579">
        <f>IF(YEAR('3 pr-2'!$AK105)=2022,$CD105,0)</f>
        <v>0</v>
      </c>
      <c r="CM105" s="1579">
        <f>IF(YEAR('3 pr-2'!$AK105)=2023,$CD105,0)</f>
        <v>0</v>
      </c>
      <c r="CN105" s="350"/>
      <c r="CO105" s="538"/>
      <c r="CP105" s="345"/>
      <c r="CQ105" s="345"/>
      <c r="CR105" s="345"/>
      <c r="CS105" s="345"/>
      <c r="CT105" s="345"/>
      <c r="CU105" s="345"/>
      <c r="CV105" s="345"/>
      <c r="CW105" s="895">
        <f t="shared" si="467"/>
        <v>0</v>
      </c>
      <c r="CX105" s="351"/>
      <c r="CY105" s="1605"/>
      <c r="CZ105" s="1605"/>
      <c r="DA105" s="1594">
        <f>IF(YEAR('3 pr-2'!AK105)=2017,CX105,0)</f>
        <v>0</v>
      </c>
      <c r="DB105" s="1594">
        <f>IF(YEAR('3 pr-2'!AK105)=2018,CX105,0)</f>
        <v>0</v>
      </c>
      <c r="DC105" s="1594">
        <f>IF(YEAR('3 pr-2'!AK105)=2019,CX105,0)</f>
        <v>0</v>
      </c>
      <c r="DD105" s="1594">
        <f>IF(YEAR('3 pr-2'!AK105)=2020,CX105,0)</f>
        <v>0</v>
      </c>
      <c r="DE105" s="1594">
        <f>IF(YEAR('3 pr-2'!AK105)=2021,CX105,0)</f>
        <v>0</v>
      </c>
      <c r="DF105" s="1594">
        <f>IF(YEAR('3 pr-2'!AK105)=2022,CX105,0)</f>
        <v>0</v>
      </c>
      <c r="DG105" s="1594">
        <f>IF(YEAR('3 pr-2'!AK105)=2023,CX105,0)</f>
        <v>0</v>
      </c>
      <c r="DH105" s="350"/>
      <c r="DI105" s="538"/>
      <c r="DJ105" s="345"/>
      <c r="DK105" s="345"/>
      <c r="DL105" s="345"/>
      <c r="DM105" s="345"/>
      <c r="DN105" s="345"/>
      <c r="DO105" s="345"/>
      <c r="DP105" s="345"/>
      <c r="DQ105" s="895"/>
      <c r="DR105" s="351"/>
      <c r="DS105" s="1605"/>
      <c r="DT105" s="1605"/>
      <c r="DU105" s="1594"/>
      <c r="DV105" s="1594"/>
      <c r="DW105" s="1594"/>
      <c r="DX105" s="1594"/>
      <c r="DY105" s="1594"/>
      <c r="DZ105" s="1594"/>
      <c r="EA105" s="1594"/>
      <c r="EB105" s="350"/>
      <c r="EC105" s="538"/>
      <c r="ED105" s="333"/>
      <c r="EE105" s="1605"/>
      <c r="EF105" s="1605"/>
      <c r="EG105" s="1594">
        <f>IF(YEAR('3 pr-2'!BP105)=2017,ED105,0)</f>
        <v>0</v>
      </c>
      <c r="EH105" s="1594">
        <f>IF(YEAR('3 pr-2'!BP105)=2018,ED105,0)</f>
        <v>0</v>
      </c>
      <c r="EI105" s="1594">
        <f>IF(YEAR('3 pr-2'!BP105)=2019,ED105,0)</f>
        <v>0</v>
      </c>
      <c r="EJ105" s="1594">
        <f>IF(YEAR('3 pr-2'!BP105)=2020,ED105,0)</f>
        <v>0</v>
      </c>
      <c r="EK105" s="1594">
        <f>IF(YEAR('3 pr-2'!BP105)=2021,ED105,0)</f>
        <v>0</v>
      </c>
      <c r="EL105" s="1594">
        <f>IF(YEAR('3 pr-2'!BP105)=2022,ED105,0)</f>
        <v>0</v>
      </c>
      <c r="EM105" s="1594">
        <f>IF(YEAR('3 pr-2'!BP105)=2023,ED105,0)</f>
        <v>0</v>
      </c>
    </row>
    <row r="106" spans="1:143" ht="61.5" thickTop="1" thickBot="1" x14ac:dyDescent="0.3">
      <c r="A106" s="345" t="str">
        <f>CONCATENATE('3 pr-2'!A106)</f>
        <v>2.1.1.1.4</v>
      </c>
      <c r="B106" s="345" t="str">
        <f>CONCATENATE('3 pr-2'!B106)</f>
        <v>R01-7724-220000-2114</v>
      </c>
      <c r="C106" s="1321" t="str">
        <f>CONCATENATE('ketv. 2'!B105)</f>
        <v>09.1.3-CPVA-R-724-11-0004</v>
      </c>
      <c r="D106" s="312" t="str">
        <f>CONCATENATE('3 pr-2'!D106)</f>
        <v>Modernių ir saugių erdvių sukūrimas bendrojo ugdymo mokyklose Druskininkų sav.</v>
      </c>
      <c r="E106" s="312" t="str">
        <f>CONCATENATE('3 pr-2'!E106)</f>
        <v>Druskininkų savivaldybės administracija</v>
      </c>
      <c r="F106" s="312" t="str">
        <f>CONCATENATE('3 pr-2'!F106)</f>
        <v>Lietuvos Respublikos švietimo ir mokslo ministerija</v>
      </c>
      <c r="G106" s="312" t="str">
        <f>CONCATENATE('3 pr-2'!G106)</f>
        <v>Druskininkų sav.</v>
      </c>
      <c r="H106" s="345" t="str">
        <f>CONCATENATE('3 pr-2'!H106)</f>
        <v>09.1.3-CPVA-R-724</v>
      </c>
      <c r="I106" s="345" t="str">
        <f>CONCATENATE('3 pr-2'!I106)</f>
        <v>R</v>
      </c>
      <c r="J106" s="345" t="str">
        <f>CONCATENATE('3 pr-2'!J106)</f>
        <v>-</v>
      </c>
      <c r="K106" s="345" t="str">
        <f>CONCATENATE('3 pr-2'!K106)</f>
        <v>-</v>
      </c>
      <c r="L106" s="345" t="s">
        <v>511</v>
      </c>
      <c r="M106" s="537" t="s">
        <v>512</v>
      </c>
      <c r="N106" s="345"/>
      <c r="O106" s="345"/>
      <c r="P106" s="345"/>
      <c r="Q106" s="345"/>
      <c r="R106" s="345"/>
      <c r="S106" s="345"/>
      <c r="T106" s="345"/>
      <c r="U106" s="893">
        <f t="shared" si="431"/>
        <v>0</v>
      </c>
      <c r="V106" s="345">
        <v>1</v>
      </c>
      <c r="W106" s="1578">
        <v>1</v>
      </c>
      <c r="X106" s="1579">
        <f>SUM(W106-V106)</f>
        <v>0</v>
      </c>
      <c r="Y106" s="1579">
        <f>IF(YEAR('3 pr-2'!$AK106)=2017,$V106,0)</f>
        <v>0</v>
      </c>
      <c r="Z106" s="1579">
        <f>IF(YEAR('3 pr-2'!$AK106)=2018,$V106,0)</f>
        <v>0</v>
      </c>
      <c r="AA106" s="1579">
        <f>IF(YEAR('3 pr-2'!$AK106)=2019,$V106,0)</f>
        <v>1</v>
      </c>
      <c r="AB106" s="1579">
        <f>IF(YEAR('3 pr-2'!$AK106)=2020,$V106,0)</f>
        <v>0</v>
      </c>
      <c r="AC106" s="1579">
        <f>IF(YEAR('3 pr-2'!$AK106)=2021,$V106,0)</f>
        <v>0</v>
      </c>
      <c r="AD106" s="1579">
        <f>IF(YEAR('3 pr-2'!$AK106)=2022,$V106,0)</f>
        <v>0</v>
      </c>
      <c r="AE106" s="1579">
        <f>IF(YEAR('3 pr-2'!$AK106)=2023,$V106,0)</f>
        <v>0</v>
      </c>
      <c r="AF106" s="350" t="s">
        <v>513</v>
      </c>
      <c r="AG106" s="537" t="s">
        <v>514</v>
      </c>
      <c r="AH106" s="345"/>
      <c r="AI106" s="345"/>
      <c r="AJ106" s="345"/>
      <c r="AK106" s="345"/>
      <c r="AL106" s="345"/>
      <c r="AM106" s="345"/>
      <c r="AN106" s="345"/>
      <c r="AO106" s="895">
        <f t="shared" si="439"/>
        <v>0</v>
      </c>
      <c r="AP106" s="345">
        <v>650</v>
      </c>
      <c r="AQ106" s="1597">
        <v>650</v>
      </c>
      <c r="AR106" s="1579">
        <f>SUM(AQ106-AP106)</f>
        <v>0</v>
      </c>
      <c r="AS106" s="1579">
        <f>IF(YEAR('3 pr-2'!$AK106)=2017,$AP106,0)</f>
        <v>0</v>
      </c>
      <c r="AT106" s="1579">
        <f>IF(YEAR('3 pr-2'!$AK106)=2018,$AP106,0)</f>
        <v>0</v>
      </c>
      <c r="AU106" s="1579">
        <f>IF(YEAR('3 pr-2'!$AK106)=2019,$AP106,0)</f>
        <v>650</v>
      </c>
      <c r="AV106" s="1579">
        <f>IF(YEAR('3 pr-2'!$AK106)=2020,$AP106,0)</f>
        <v>0</v>
      </c>
      <c r="AW106" s="1579">
        <f>IF(YEAR('3 pr-2'!$AK106)=2021,$AP106,0)</f>
        <v>0</v>
      </c>
      <c r="AX106" s="1579">
        <f>IF(YEAR('3 pr-2'!$AK106)=2022,$AP106,0)</f>
        <v>0</v>
      </c>
      <c r="AY106" s="1579">
        <f>IF(YEAR('3 pr-2'!$AK106)=2023,$AP106,0)</f>
        <v>0</v>
      </c>
      <c r="AZ106" s="345"/>
      <c r="BA106" s="536"/>
      <c r="BB106" s="345"/>
      <c r="BC106" s="345"/>
      <c r="BD106" s="345"/>
      <c r="BE106" s="345"/>
      <c r="BF106" s="345"/>
      <c r="BG106" s="345"/>
      <c r="BH106" s="345"/>
      <c r="BI106" s="895">
        <f t="shared" si="453"/>
        <v>0</v>
      </c>
      <c r="BJ106" s="345"/>
      <c r="BK106" s="1597"/>
      <c r="BL106" s="1579"/>
      <c r="BM106" s="1579">
        <f>IF(YEAR('3 pr-2'!AK106)=2017,BJ106,0)</f>
        <v>0</v>
      </c>
      <c r="BN106" s="1579">
        <f>IF(YEAR('3 pr-2'!AK106)=2018,BJ106,0)</f>
        <v>0</v>
      </c>
      <c r="BO106" s="1579">
        <f>IF(YEAR('3 pr-2'!AK106)=2019,BJ106,0)</f>
        <v>0</v>
      </c>
      <c r="BP106" s="1579">
        <f>IF(YEAR('3 pr-2'!AK106)=2020,BJ106,0)</f>
        <v>0</v>
      </c>
      <c r="BQ106" s="1579">
        <f>IF(YEAR('3 pr-2'!AK106)=2021,BJ106,0)</f>
        <v>0</v>
      </c>
      <c r="BR106" s="1579">
        <f>IF(YEAR('3 pr-2'!AK106)=2022,BJ106,0)</f>
        <v>0</v>
      </c>
      <c r="BS106" s="1579">
        <f>IF(YEAR('3 pr-2'!AK106)=2023,BJ106,0)</f>
        <v>0</v>
      </c>
      <c r="BT106" s="350"/>
      <c r="BU106" s="537"/>
      <c r="BV106" s="345"/>
      <c r="BW106" s="345"/>
      <c r="BX106" s="345"/>
      <c r="BY106" s="345"/>
      <c r="BZ106" s="345"/>
      <c r="CA106" s="345"/>
      <c r="CB106" s="345"/>
      <c r="CC106" s="895">
        <f t="shared" si="460"/>
        <v>0</v>
      </c>
      <c r="CD106" s="345"/>
      <c r="CE106" s="1579"/>
      <c r="CF106" s="1579"/>
      <c r="CG106" s="1579">
        <f>IF(YEAR('3 pr-2'!$AK106)=2017,$CD106,0)</f>
        <v>0</v>
      </c>
      <c r="CH106" s="1579">
        <f>IF(YEAR('3 pr-2'!$AK106)=2018,$CD106,0)</f>
        <v>0</v>
      </c>
      <c r="CI106" s="1579">
        <f>IF(YEAR('3 pr-2'!$AK106)=2019,$CD106,0)</f>
        <v>0</v>
      </c>
      <c r="CJ106" s="1579">
        <f>IF(YEAR('3 pr-2'!$AK106)=2020,$CD106,0)</f>
        <v>0</v>
      </c>
      <c r="CK106" s="1579">
        <f>IF(YEAR('3 pr-2'!$AK106)=2021,$CD106,0)</f>
        <v>0</v>
      </c>
      <c r="CL106" s="1579">
        <f>IF(YEAR('3 pr-2'!$AK106)=2022,$CD106,0)</f>
        <v>0</v>
      </c>
      <c r="CM106" s="1579">
        <f>IF(YEAR('3 pr-2'!$AK106)=2023,$CD106,0)</f>
        <v>0</v>
      </c>
      <c r="CN106" s="350"/>
      <c r="CO106" s="538"/>
      <c r="CP106" s="345"/>
      <c r="CQ106" s="345"/>
      <c r="CR106" s="345"/>
      <c r="CS106" s="345"/>
      <c r="CT106" s="345"/>
      <c r="CU106" s="345"/>
      <c r="CV106" s="345"/>
      <c r="CW106" s="895">
        <f t="shared" si="467"/>
        <v>0</v>
      </c>
      <c r="CX106" s="351"/>
      <c r="CY106" s="1605"/>
      <c r="CZ106" s="1605"/>
      <c r="DA106" s="1594">
        <f>IF(YEAR('3 pr-2'!AK106)=2017,CX106,0)</f>
        <v>0</v>
      </c>
      <c r="DB106" s="1594">
        <f>IF(YEAR('3 pr-2'!AK106)=2018,CX106,0)</f>
        <v>0</v>
      </c>
      <c r="DC106" s="1594">
        <f>IF(YEAR('3 pr-2'!AK106)=2019,CX106,0)</f>
        <v>0</v>
      </c>
      <c r="DD106" s="1594">
        <f>IF(YEAR('3 pr-2'!AK106)=2020,CX106,0)</f>
        <v>0</v>
      </c>
      <c r="DE106" s="1594">
        <f>IF(YEAR('3 pr-2'!AK106)=2021,CX106,0)</f>
        <v>0</v>
      </c>
      <c r="DF106" s="1594">
        <f>IF(YEAR('3 pr-2'!AK106)=2022,CX106,0)</f>
        <v>0</v>
      </c>
      <c r="DG106" s="1594">
        <f>IF(YEAR('3 pr-2'!AK106)=2023,CX106,0)</f>
        <v>0</v>
      </c>
      <c r="DH106" s="350"/>
      <c r="DI106" s="538"/>
      <c r="DJ106" s="345"/>
      <c r="DK106" s="345"/>
      <c r="DL106" s="345"/>
      <c r="DM106" s="345"/>
      <c r="DN106" s="345"/>
      <c r="DO106" s="345"/>
      <c r="DP106" s="345"/>
      <c r="DQ106" s="895"/>
      <c r="DR106" s="351"/>
      <c r="DS106" s="1605"/>
      <c r="DT106" s="1605"/>
      <c r="DU106" s="1594"/>
      <c r="DV106" s="1594"/>
      <c r="DW106" s="1594"/>
      <c r="DX106" s="1594"/>
      <c r="DY106" s="1594"/>
      <c r="DZ106" s="1594"/>
      <c r="EA106" s="1594"/>
      <c r="EB106" s="350"/>
      <c r="EC106" s="538"/>
      <c r="ED106" s="333"/>
      <c r="EE106" s="1605"/>
      <c r="EF106" s="1605"/>
      <c r="EG106" s="1594">
        <f>IF(YEAR('3 pr-2'!BP106)=2017,ED106,0)</f>
        <v>0</v>
      </c>
      <c r="EH106" s="1594">
        <f>IF(YEAR('3 pr-2'!BP106)=2018,ED106,0)</f>
        <v>0</v>
      </c>
      <c r="EI106" s="1594">
        <f>IF(YEAR('3 pr-2'!BP106)=2019,ED106,0)</f>
        <v>0</v>
      </c>
      <c r="EJ106" s="1594">
        <f>IF(YEAR('3 pr-2'!BP106)=2020,ED106,0)</f>
        <v>0</v>
      </c>
      <c r="EK106" s="1594">
        <f>IF(YEAR('3 pr-2'!BP106)=2021,ED106,0)</f>
        <v>0</v>
      </c>
      <c r="EL106" s="1594">
        <f>IF(YEAR('3 pr-2'!BP106)=2022,ED106,0)</f>
        <v>0</v>
      </c>
      <c r="EM106" s="1594">
        <f>IF(YEAR('3 pr-2'!BP106)=2023,ED106,0)</f>
        <v>0</v>
      </c>
    </row>
    <row r="107" spans="1:143" ht="61.5" thickTop="1" thickBot="1" x14ac:dyDescent="0.3">
      <c r="A107" s="345" t="str">
        <f>CONCATENATE('3 pr-2'!A107)</f>
        <v>2.1.1.1.5</v>
      </c>
      <c r="B107" s="345" t="str">
        <f>CONCATENATE('3 pr-2'!B107)</f>
        <v>R01-7724-220000-2115</v>
      </c>
      <c r="C107" s="1321" t="str">
        <f>CONCATENATE('ketv. 2'!B106)</f>
        <v>09.1.3-CPVA-R-724-11-0001</v>
      </c>
      <c r="D107" s="312" t="str">
        <f>CONCATENATE('3 pr-2'!D107)</f>
        <v>Modernių ir saugių erdvių sukūrimas bendrojo ugdymo įstaigose Lazdijų rajono savivaldybėje</v>
      </c>
      <c r="E107" s="312" t="str">
        <f>CONCATENATE('3 pr-2'!E107)</f>
        <v>Lazdijų rajono savivaldybės administracija</v>
      </c>
      <c r="F107" s="312" t="str">
        <f>CONCATENATE('3 pr-2'!F107)</f>
        <v>Lietuvos Respublikos švietimo ir mokslo ministerija</v>
      </c>
      <c r="G107" s="312" t="str">
        <f>CONCATENATE('3 pr-2'!G107)</f>
        <v>Lazdijų r. sav.</v>
      </c>
      <c r="H107" s="345" t="str">
        <f>CONCATENATE('3 pr-2'!H107)</f>
        <v>09.1.3-CPVA-R-724</v>
      </c>
      <c r="I107" s="345" t="str">
        <f>CONCATENATE('3 pr-2'!I107)</f>
        <v>R</v>
      </c>
      <c r="J107" s="345" t="str">
        <f>CONCATENATE('3 pr-2'!J107)</f>
        <v>-</v>
      </c>
      <c r="K107" s="345" t="str">
        <f>CONCATENATE('3 pr-2'!K107)</f>
        <v>-</v>
      </c>
      <c r="L107" s="345" t="s">
        <v>511</v>
      </c>
      <c r="M107" s="537" t="s">
        <v>512</v>
      </c>
      <c r="N107" s="345"/>
      <c r="O107" s="345"/>
      <c r="P107" s="345"/>
      <c r="Q107" s="345"/>
      <c r="R107" s="345"/>
      <c r="S107" s="345"/>
      <c r="T107" s="345"/>
      <c r="U107" s="893">
        <f t="shared" si="431"/>
        <v>0</v>
      </c>
      <c r="V107" s="345">
        <v>3</v>
      </c>
      <c r="W107" s="1578">
        <v>3</v>
      </c>
      <c r="X107" s="1579">
        <f>SUM(W107-V107)</f>
        <v>0</v>
      </c>
      <c r="Y107" s="1579">
        <f>IF(YEAR('3 pr-2'!$AK107)=2017,$V107,0)</f>
        <v>0</v>
      </c>
      <c r="Z107" s="1579">
        <f>IF(YEAR('3 pr-2'!$AK107)=2018,$V107,0)</f>
        <v>0</v>
      </c>
      <c r="AA107" s="1579">
        <f>IF(YEAR('3 pr-2'!$AK107)=2019,$V107,0)</f>
        <v>3</v>
      </c>
      <c r="AB107" s="1579">
        <f>IF(YEAR('3 pr-2'!$AK107)=2020,$V107,0)</f>
        <v>0</v>
      </c>
      <c r="AC107" s="1579">
        <f>IF(YEAR('3 pr-2'!$AK107)=2021,$V107,0)</f>
        <v>0</v>
      </c>
      <c r="AD107" s="1579">
        <f>IF(YEAR('3 pr-2'!$AK107)=2022,$V107,0)</f>
        <v>0</v>
      </c>
      <c r="AE107" s="1579">
        <f>IF(YEAR('3 pr-2'!$AK107)=2023,$V107,0)</f>
        <v>0</v>
      </c>
      <c r="AF107" s="350" t="s">
        <v>513</v>
      </c>
      <c r="AG107" s="537" t="s">
        <v>514</v>
      </c>
      <c r="AH107" s="345"/>
      <c r="AI107" s="345"/>
      <c r="AJ107" s="345"/>
      <c r="AK107" s="345"/>
      <c r="AL107" s="345"/>
      <c r="AM107" s="345"/>
      <c r="AN107" s="345"/>
      <c r="AO107" s="895">
        <f t="shared" si="439"/>
        <v>0</v>
      </c>
      <c r="AP107" s="345">
        <v>1020</v>
      </c>
      <c r="AQ107" s="1597">
        <v>1020</v>
      </c>
      <c r="AR107" s="1579">
        <f>SUM(AQ107-AP107)</f>
        <v>0</v>
      </c>
      <c r="AS107" s="1579">
        <f>IF(YEAR('3 pr-2'!$AK107)=2017,$AP107,0)</f>
        <v>0</v>
      </c>
      <c r="AT107" s="1579">
        <f>IF(YEAR('3 pr-2'!$AK107)=2018,$AP107,0)</f>
        <v>0</v>
      </c>
      <c r="AU107" s="1579">
        <f>IF(YEAR('3 pr-2'!$AK107)=2019,$AP107,0)</f>
        <v>1020</v>
      </c>
      <c r="AV107" s="1579">
        <f>IF(YEAR('3 pr-2'!$AK107)=2020,$AP107,0)</f>
        <v>0</v>
      </c>
      <c r="AW107" s="1579">
        <f>IF(YEAR('3 pr-2'!$AK107)=2021,$AP107,0)</f>
        <v>0</v>
      </c>
      <c r="AX107" s="1579">
        <f>IF(YEAR('3 pr-2'!$AK107)=2022,$AP107,0)</f>
        <v>0</v>
      </c>
      <c r="AY107" s="1579">
        <f>IF(YEAR('3 pr-2'!$AK107)=2023,$AP107,0)</f>
        <v>0</v>
      </c>
      <c r="AZ107" s="345"/>
      <c r="BA107" s="536"/>
      <c r="BB107" s="345"/>
      <c r="BC107" s="345"/>
      <c r="BD107" s="345"/>
      <c r="BE107" s="345"/>
      <c r="BF107" s="345"/>
      <c r="BG107" s="345"/>
      <c r="BH107" s="345"/>
      <c r="BI107" s="895">
        <f t="shared" si="453"/>
        <v>0</v>
      </c>
      <c r="BJ107" s="345"/>
      <c r="BK107" s="1597"/>
      <c r="BL107" s="1579"/>
      <c r="BM107" s="1579">
        <f>IF(YEAR('3 pr-2'!AK107)=2017,BJ107,0)</f>
        <v>0</v>
      </c>
      <c r="BN107" s="1579">
        <f>IF(YEAR('3 pr-2'!AK107)=2018,BJ107,0)</f>
        <v>0</v>
      </c>
      <c r="BO107" s="1579">
        <f>IF(YEAR('3 pr-2'!AK107)=2019,BJ107,0)</f>
        <v>0</v>
      </c>
      <c r="BP107" s="1579">
        <f>IF(YEAR('3 pr-2'!AK107)=2020,BJ107,0)</f>
        <v>0</v>
      </c>
      <c r="BQ107" s="1579">
        <f>IF(YEAR('3 pr-2'!AK107)=2021,BJ107,0)</f>
        <v>0</v>
      </c>
      <c r="BR107" s="1579">
        <f>IF(YEAR('3 pr-2'!AK107)=2022,BJ107,0)</f>
        <v>0</v>
      </c>
      <c r="BS107" s="1579">
        <f>IF(YEAR('3 pr-2'!AK107)=2023,BJ107,0)</f>
        <v>0</v>
      </c>
      <c r="BT107" s="350"/>
      <c r="BU107" s="537"/>
      <c r="BV107" s="345"/>
      <c r="BW107" s="345"/>
      <c r="BX107" s="345"/>
      <c r="BY107" s="345"/>
      <c r="BZ107" s="345"/>
      <c r="CA107" s="345"/>
      <c r="CB107" s="345"/>
      <c r="CC107" s="895">
        <f t="shared" si="460"/>
        <v>0</v>
      </c>
      <c r="CD107" s="345"/>
      <c r="CE107" s="1579"/>
      <c r="CF107" s="1579"/>
      <c r="CG107" s="1579">
        <f>IF(YEAR('3 pr-2'!AK107)=2017,CD107,0)</f>
        <v>0</v>
      </c>
      <c r="CH107" s="1579">
        <f>IF(YEAR('3 pr-2'!AK107)=2018,CD107,0)</f>
        <v>0</v>
      </c>
      <c r="CI107" s="1579">
        <f>IF(YEAR('3 pr-2'!AK107)=2019,CD107,0)</f>
        <v>0</v>
      </c>
      <c r="CJ107" s="1579">
        <f>IF(YEAR('3 pr-2'!AK107)=2020,CD107,0)</f>
        <v>0</v>
      </c>
      <c r="CK107" s="1579">
        <f>IF(YEAR('3 pr-2'!AK107)=2021,CD107,0)</f>
        <v>0</v>
      </c>
      <c r="CL107" s="1579">
        <f>IF(YEAR('3 pr-2'!AK107)=2022,CD107,0)</f>
        <v>0</v>
      </c>
      <c r="CM107" s="1579">
        <f>IF(YEAR('3 pr-2'!AK107)=2023,CD107,0)</f>
        <v>0</v>
      </c>
      <c r="CN107" s="350"/>
      <c r="CO107" s="538"/>
      <c r="CP107" s="345"/>
      <c r="CQ107" s="345"/>
      <c r="CR107" s="345"/>
      <c r="CS107" s="345"/>
      <c r="CT107" s="345"/>
      <c r="CU107" s="345"/>
      <c r="CV107" s="345"/>
      <c r="CW107" s="895">
        <f t="shared" si="467"/>
        <v>0</v>
      </c>
      <c r="CX107" s="351"/>
      <c r="CY107" s="1605"/>
      <c r="CZ107" s="1605"/>
      <c r="DA107" s="1594">
        <f>IF(YEAR('3 pr-2'!AK107)=2017,CX107,0)</f>
        <v>0</v>
      </c>
      <c r="DB107" s="1594">
        <f>IF(YEAR('3 pr-2'!AK107)=2018,CX107,0)</f>
        <v>0</v>
      </c>
      <c r="DC107" s="1594">
        <f>IF(YEAR('3 pr-2'!AK107)=2019,CX107,0)</f>
        <v>0</v>
      </c>
      <c r="DD107" s="1594">
        <f>IF(YEAR('3 pr-2'!AK107)=2020,CX107,0)</f>
        <v>0</v>
      </c>
      <c r="DE107" s="1594">
        <f>IF(YEAR('3 pr-2'!AK107)=2021,CX107,0)</f>
        <v>0</v>
      </c>
      <c r="DF107" s="1594">
        <f>IF(YEAR('3 pr-2'!AK107)=2022,CX107,0)</f>
        <v>0</v>
      </c>
      <c r="DG107" s="1594">
        <f>IF(YEAR('3 pr-2'!AK107)=2023,CX107,0)</f>
        <v>0</v>
      </c>
      <c r="DH107" s="350"/>
      <c r="DI107" s="538"/>
      <c r="DJ107" s="345"/>
      <c r="DK107" s="345"/>
      <c r="DL107" s="345"/>
      <c r="DM107" s="345"/>
      <c r="DN107" s="345"/>
      <c r="DO107" s="345"/>
      <c r="DP107" s="345"/>
      <c r="DQ107" s="895"/>
      <c r="DR107" s="351"/>
      <c r="DS107" s="1605"/>
      <c r="DT107" s="1605"/>
      <c r="DU107" s="1594"/>
      <c r="DV107" s="1594"/>
      <c r="DW107" s="1594"/>
      <c r="DX107" s="1594"/>
      <c r="DY107" s="1594"/>
      <c r="DZ107" s="1594"/>
      <c r="EA107" s="1594"/>
      <c r="EB107" s="350"/>
      <c r="EC107" s="538"/>
      <c r="ED107" s="333"/>
      <c r="EE107" s="1605"/>
      <c r="EF107" s="1605"/>
      <c r="EG107" s="1594">
        <f>IF(YEAR('3 pr-2'!BP107)=2017,ED107,0)</f>
        <v>0</v>
      </c>
      <c r="EH107" s="1594">
        <f>IF(YEAR('3 pr-2'!BP107)=2018,ED107,0)</f>
        <v>0</v>
      </c>
      <c r="EI107" s="1594">
        <f>IF(YEAR('3 pr-2'!BP107)=2019,ED107,0)</f>
        <v>0</v>
      </c>
      <c r="EJ107" s="1594">
        <f>IF(YEAR('3 pr-2'!BP107)=2020,ED107,0)</f>
        <v>0</v>
      </c>
      <c r="EK107" s="1594">
        <f>IF(YEAR('3 pr-2'!BP107)=2021,ED107,0)</f>
        <v>0</v>
      </c>
      <c r="EL107" s="1594">
        <f>IF(YEAR('3 pr-2'!BP107)=2022,ED107,0)</f>
        <v>0</v>
      </c>
      <c r="EM107" s="1594">
        <f>IF(YEAR('3 pr-2'!BP107)=2023,ED107,0)</f>
        <v>0</v>
      </c>
    </row>
    <row r="108" spans="1:143" ht="33" customHeight="1" thickBot="1" x14ac:dyDescent="0.3">
      <c r="A108" s="824" t="str">
        <f>CONCATENATE('3 pr-2'!A108)</f>
        <v>2.1.1.2</v>
      </c>
      <c r="B108" s="1926" t="str">
        <f>CONCATENATE('3 pr-2'!B108)</f>
        <v>Priemonė:
Neformaliojo švietimo infrastruktūros tobulinimas</v>
      </c>
      <c r="C108" s="1927"/>
      <c r="D108" s="1927"/>
      <c r="E108" s="1927"/>
      <c r="F108" s="1927"/>
      <c r="G108" s="1927"/>
      <c r="H108" s="1927"/>
      <c r="I108" s="1927"/>
      <c r="J108" s="1927"/>
      <c r="K108" s="1928"/>
      <c r="L108" s="1312"/>
      <c r="M108" s="540"/>
      <c r="N108" s="334">
        <f>SUM(N109:N113)</f>
        <v>0</v>
      </c>
      <c r="O108" s="334">
        <f t="shared" ref="O108:T108" si="468">SUM(O109:O113)</f>
        <v>0</v>
      </c>
      <c r="P108" s="334">
        <f t="shared" si="468"/>
        <v>0</v>
      </c>
      <c r="Q108" s="334">
        <f t="shared" si="468"/>
        <v>0</v>
      </c>
      <c r="R108" s="334">
        <f t="shared" si="468"/>
        <v>0</v>
      </c>
      <c r="S108" s="334">
        <f t="shared" si="468"/>
        <v>0</v>
      </c>
      <c r="T108" s="334">
        <f t="shared" si="468"/>
        <v>0</v>
      </c>
      <c r="U108" s="887">
        <f t="shared" ref="U108:U113" si="469">SUM(N108:T108)</f>
        <v>0</v>
      </c>
      <c r="V108" s="864"/>
      <c r="W108" s="1575"/>
      <c r="X108" s="1576"/>
      <c r="Y108" s="1577">
        <f t="shared" ref="Y108:AE108" si="470">SUM(Y109:Y113)</f>
        <v>0</v>
      </c>
      <c r="Z108" s="1577">
        <f t="shared" si="470"/>
        <v>1</v>
      </c>
      <c r="AA108" s="1577">
        <f t="shared" si="470"/>
        <v>3</v>
      </c>
      <c r="AB108" s="1577">
        <f t="shared" si="470"/>
        <v>1</v>
      </c>
      <c r="AC108" s="1577">
        <f t="shared" si="470"/>
        <v>0</v>
      </c>
      <c r="AD108" s="1577">
        <f t="shared" si="470"/>
        <v>0</v>
      </c>
      <c r="AE108" s="1577">
        <f t="shared" si="470"/>
        <v>0</v>
      </c>
      <c r="AF108" s="878"/>
      <c r="AG108" s="889"/>
      <c r="AH108" s="334">
        <f>SUM(AH109:AH113)</f>
        <v>0</v>
      </c>
      <c r="AI108" s="334">
        <f t="shared" ref="AI108" si="471">SUM(AI109:AI113)</f>
        <v>0</v>
      </c>
      <c r="AJ108" s="334">
        <f t="shared" ref="AJ108" si="472">SUM(AJ109:AJ113)</f>
        <v>0</v>
      </c>
      <c r="AK108" s="334">
        <f t="shared" ref="AK108" si="473">SUM(AK109:AK113)</f>
        <v>0</v>
      </c>
      <c r="AL108" s="334">
        <f t="shared" ref="AL108" si="474">SUM(AL109:AL113)</f>
        <v>0</v>
      </c>
      <c r="AM108" s="334">
        <f t="shared" ref="AM108" si="475">SUM(AM109:AM113)</f>
        <v>0</v>
      </c>
      <c r="AN108" s="334">
        <f t="shared" ref="AN108" si="476">SUM(AN109:AN113)</f>
        <v>0</v>
      </c>
      <c r="AO108" s="864">
        <f t="shared" si="439"/>
        <v>0</v>
      </c>
      <c r="AP108" s="864"/>
      <c r="AQ108" s="1577"/>
      <c r="AR108" s="1577"/>
      <c r="AS108" s="1577">
        <f t="shared" ref="AS108:AY108" si="477">SUM(AS109:AS113)</f>
        <v>0</v>
      </c>
      <c r="AT108" s="1577">
        <f t="shared" si="477"/>
        <v>380</v>
      </c>
      <c r="AU108" s="1577">
        <f t="shared" si="477"/>
        <v>1280</v>
      </c>
      <c r="AV108" s="1577">
        <f t="shared" si="477"/>
        <v>384</v>
      </c>
      <c r="AW108" s="1577">
        <f t="shared" si="477"/>
        <v>0</v>
      </c>
      <c r="AX108" s="1577">
        <f t="shared" si="477"/>
        <v>0</v>
      </c>
      <c r="AY108" s="1577">
        <f t="shared" si="477"/>
        <v>0</v>
      </c>
      <c r="AZ108" s="864"/>
      <c r="BA108" s="889"/>
      <c r="BB108" s="334">
        <f>SUM(BB109:BB113)</f>
        <v>0</v>
      </c>
      <c r="BC108" s="334">
        <f t="shared" ref="BC108" si="478">SUM(BC109:BC113)</f>
        <v>0</v>
      </c>
      <c r="BD108" s="334">
        <f t="shared" ref="BD108" si="479">SUM(BD109:BD113)</f>
        <v>0</v>
      </c>
      <c r="BE108" s="334">
        <f t="shared" ref="BE108" si="480">SUM(BE109:BE113)</f>
        <v>0</v>
      </c>
      <c r="BF108" s="334">
        <f t="shared" ref="BF108" si="481">SUM(BF109:BF113)</f>
        <v>0</v>
      </c>
      <c r="BG108" s="334">
        <f t="shared" ref="BG108" si="482">SUM(BG109:BG113)</f>
        <v>0</v>
      </c>
      <c r="BH108" s="334">
        <f t="shared" ref="BH108" si="483">SUM(BH109:BH113)</f>
        <v>0</v>
      </c>
      <c r="BI108" s="864">
        <f t="shared" si="453"/>
        <v>0</v>
      </c>
      <c r="BJ108" s="864"/>
      <c r="BK108" s="1577"/>
      <c r="BL108" s="1577"/>
      <c r="BM108" s="1577"/>
      <c r="BN108" s="1577"/>
      <c r="BO108" s="1577"/>
      <c r="BP108" s="1577"/>
      <c r="BQ108" s="1577"/>
      <c r="BR108" s="1577"/>
      <c r="BS108" s="1577"/>
      <c r="BT108" s="334"/>
      <c r="BU108" s="538"/>
      <c r="BV108" s="334">
        <f>SUM(BV109:BV113)</f>
        <v>0</v>
      </c>
      <c r="BW108" s="334">
        <f t="shared" ref="BW108" si="484">SUM(BW109:BW113)</f>
        <v>0</v>
      </c>
      <c r="BX108" s="334">
        <f t="shared" ref="BX108" si="485">SUM(BX109:BX113)</f>
        <v>0</v>
      </c>
      <c r="BY108" s="334">
        <f t="shared" ref="BY108" si="486">SUM(BY109:BY113)</f>
        <v>0</v>
      </c>
      <c r="BZ108" s="334">
        <f t="shared" ref="BZ108" si="487">SUM(BZ109:BZ113)</f>
        <v>0</v>
      </c>
      <c r="CA108" s="334">
        <f t="shared" ref="CA108" si="488">SUM(CA109:CA113)</f>
        <v>0</v>
      </c>
      <c r="CB108" s="334">
        <f t="shared" ref="CB108" si="489">SUM(CB109:CB113)</f>
        <v>0</v>
      </c>
      <c r="CC108" s="864">
        <f t="shared" si="460"/>
        <v>0</v>
      </c>
      <c r="CD108" s="334"/>
      <c r="CE108" s="1577"/>
      <c r="CF108" s="1577"/>
      <c r="CG108" s="1577"/>
      <c r="CH108" s="1577"/>
      <c r="CI108" s="1577"/>
      <c r="CJ108" s="1577"/>
      <c r="CK108" s="1577"/>
      <c r="CL108" s="1577"/>
      <c r="CM108" s="1577"/>
      <c r="CN108" s="334"/>
      <c r="CO108" s="538"/>
      <c r="CP108" s="334">
        <f>SUM(CP109:CP113)</f>
        <v>0</v>
      </c>
      <c r="CQ108" s="334">
        <f t="shared" ref="CQ108" si="490">SUM(CQ109:CQ113)</f>
        <v>0</v>
      </c>
      <c r="CR108" s="334">
        <f t="shared" ref="CR108" si="491">SUM(CR109:CR113)</f>
        <v>0</v>
      </c>
      <c r="CS108" s="334">
        <f t="shared" ref="CS108" si="492">SUM(CS109:CS113)</f>
        <v>0</v>
      </c>
      <c r="CT108" s="334">
        <f t="shared" ref="CT108" si="493">SUM(CT109:CT113)</f>
        <v>0</v>
      </c>
      <c r="CU108" s="334">
        <f t="shared" ref="CU108" si="494">SUM(CU109:CU113)</f>
        <v>0</v>
      </c>
      <c r="CV108" s="334">
        <f t="shared" ref="CV108" si="495">SUM(CV109:CV113)</f>
        <v>0</v>
      </c>
      <c r="CW108" s="864">
        <f t="shared" si="467"/>
        <v>0</v>
      </c>
      <c r="CX108" s="334"/>
      <c r="CY108" s="1594"/>
      <c r="CZ108" s="1594"/>
      <c r="DA108" s="1594"/>
      <c r="DB108" s="1594"/>
      <c r="DC108" s="1594"/>
      <c r="DD108" s="1594"/>
      <c r="DE108" s="1594"/>
      <c r="DF108" s="1594"/>
      <c r="DG108" s="1594"/>
      <c r="DH108" s="334"/>
      <c r="DI108" s="538"/>
      <c r="DJ108" s="334"/>
      <c r="DK108" s="334"/>
      <c r="DL108" s="334"/>
      <c r="DM108" s="334"/>
      <c r="DN108" s="334"/>
      <c r="DO108" s="334"/>
      <c r="DP108" s="334"/>
      <c r="DQ108" s="864"/>
      <c r="DR108" s="334"/>
      <c r="DS108" s="1594"/>
      <c r="DT108" s="1594"/>
      <c r="DU108" s="1594"/>
      <c r="DV108" s="1594"/>
      <c r="DW108" s="1594"/>
      <c r="DX108" s="1594"/>
      <c r="DY108" s="1594"/>
      <c r="DZ108" s="1594"/>
      <c r="EA108" s="1594"/>
      <c r="EB108" s="334"/>
      <c r="EC108" s="538"/>
      <c r="ED108" s="890"/>
      <c r="EE108" s="1594"/>
      <c r="EF108" s="1594"/>
      <c r="EG108" s="1594"/>
      <c r="EH108" s="1594"/>
      <c r="EI108" s="1594"/>
      <c r="EJ108" s="1594"/>
      <c r="EK108" s="1594"/>
      <c r="EL108" s="1594"/>
      <c r="EM108" s="1594"/>
    </row>
    <row r="109" spans="1:143" ht="61.5" thickTop="1" thickBot="1" x14ac:dyDescent="0.3">
      <c r="A109" s="345" t="str">
        <f>CONCATENATE('3 pr-2'!A109)</f>
        <v>2.1.1.2.1</v>
      </c>
      <c r="B109" s="345" t="str">
        <f>CONCATENATE('3 pr-2'!B109)</f>
        <v>R01-7725-240000-2121</v>
      </c>
      <c r="C109" s="1321" t="str">
        <f>CONCATENATE('ketv. 2'!B108)</f>
        <v>09.1.3-CPVA-R-725-11-0003</v>
      </c>
      <c r="D109" s="312" t="str">
        <f>CONCATENATE('3 pr-2'!D109)</f>
        <v>Varėnos moksleivių kūrybos centro pastato J. Basanavičiaus g. 38, Varėnoje, modernizavimas</v>
      </c>
      <c r="E109" s="312" t="str">
        <f>CONCATENATE('3 pr-2'!E109)</f>
        <v>Varėnos rajono savivaldybės administracija</v>
      </c>
      <c r="F109" s="312" t="str">
        <f>CONCATENATE('3 pr-2'!F109)</f>
        <v>Lietuvos Respublikos švietimo ir mokslo ministerija</v>
      </c>
      <c r="G109" s="312" t="str">
        <f>CONCATENATE('3 pr-2'!G109)</f>
        <v>Varėnos r. sav.</v>
      </c>
      <c r="H109" s="345" t="str">
        <f>CONCATENATE('3 pr-2'!H109)</f>
        <v>09.13.CPVA-R-725</v>
      </c>
      <c r="I109" s="345" t="str">
        <f>CONCATENATE('3 pr-2'!I109)</f>
        <v>R</v>
      </c>
      <c r="J109" s="345" t="str">
        <f>CONCATENATE('3 pr-2'!J109)</f>
        <v>-</v>
      </c>
      <c r="K109" s="345" t="str">
        <f>CONCATENATE('3 pr-2'!K109)</f>
        <v>-</v>
      </c>
      <c r="L109" s="345" t="s">
        <v>515</v>
      </c>
      <c r="M109" s="537" t="s">
        <v>516</v>
      </c>
      <c r="N109" s="345"/>
      <c r="O109" s="345"/>
      <c r="P109" s="345"/>
      <c r="Q109" s="345"/>
      <c r="R109" s="345"/>
      <c r="S109" s="345"/>
      <c r="T109" s="345"/>
      <c r="U109" s="893">
        <f t="shared" si="469"/>
        <v>0</v>
      </c>
      <c r="V109" s="345">
        <v>1</v>
      </c>
      <c r="W109" s="1578">
        <v>1</v>
      </c>
      <c r="X109" s="1579">
        <f>SUM(W109-V109)</f>
        <v>0</v>
      </c>
      <c r="Y109" s="1579">
        <f>IF(YEAR('3 pr-2'!$AK109)=2017,$V109,0)</f>
        <v>0</v>
      </c>
      <c r="Z109" s="1579">
        <f>IF(YEAR('3 pr-2'!$AK109)=2018,$V109,0)</f>
        <v>0</v>
      </c>
      <c r="AA109" s="1579">
        <f>IF(YEAR('3 pr-2'!$AK109)=2019,$V109,0)</f>
        <v>1</v>
      </c>
      <c r="AB109" s="1579">
        <f>IF(YEAR('3 pr-2'!$AK109)=2020,$V109,0)</f>
        <v>0</v>
      </c>
      <c r="AC109" s="1579">
        <f>IF(YEAR('3 pr-2'!$AK109)=2021,$V109,0)</f>
        <v>0</v>
      </c>
      <c r="AD109" s="1579">
        <f>IF(YEAR('3 pr-2'!$AK109)=2022,$V109,0)</f>
        <v>0</v>
      </c>
      <c r="AE109" s="1579">
        <f>IF(YEAR('3 pr-2'!$AK109)=2023,$V109,0)</f>
        <v>0</v>
      </c>
      <c r="AF109" s="350" t="s">
        <v>513</v>
      </c>
      <c r="AG109" s="537" t="s">
        <v>514</v>
      </c>
      <c r="AH109" s="345"/>
      <c r="AI109" s="345"/>
      <c r="AJ109" s="345"/>
      <c r="AK109" s="345"/>
      <c r="AL109" s="345"/>
      <c r="AM109" s="345"/>
      <c r="AN109" s="345"/>
      <c r="AO109" s="895">
        <f t="shared" si="439"/>
        <v>0</v>
      </c>
      <c r="AP109" s="345">
        <v>180</v>
      </c>
      <c r="AQ109" s="1597">
        <v>180</v>
      </c>
      <c r="AR109" s="1579">
        <f>SUM(AQ109-AP109)</f>
        <v>0</v>
      </c>
      <c r="AS109" s="1579">
        <f>IF(YEAR('3 pr-2'!$AK109)=2017,$AP109,0)</f>
        <v>0</v>
      </c>
      <c r="AT109" s="1579">
        <f>IF(YEAR('3 pr-2'!$AK109)=2018,$AP109,0)</f>
        <v>0</v>
      </c>
      <c r="AU109" s="1579">
        <f>IF(YEAR('3 pr-2'!$AK109)=2019,$AP109,0)</f>
        <v>180</v>
      </c>
      <c r="AV109" s="1579">
        <f>IF(YEAR('3 pr-2'!$AK109)=2020,$AP109,0)</f>
        <v>0</v>
      </c>
      <c r="AW109" s="1579">
        <f>IF(YEAR('3 pr-2'!$AK109)=2021,$AP109,0)</f>
        <v>0</v>
      </c>
      <c r="AX109" s="1579">
        <f>IF(YEAR('3 pr-2'!$AK109)=2022,$AP109,0)</f>
        <v>0</v>
      </c>
      <c r="AY109" s="1579">
        <f>IF(YEAR('3 pr-2'!$AK109)=2023,$AP109,0)</f>
        <v>0</v>
      </c>
      <c r="AZ109" s="345"/>
      <c r="BA109" s="536"/>
      <c r="BB109" s="345"/>
      <c r="BC109" s="345"/>
      <c r="BD109" s="345"/>
      <c r="BE109" s="345"/>
      <c r="BF109" s="345"/>
      <c r="BG109" s="345"/>
      <c r="BH109" s="345"/>
      <c r="BI109" s="895">
        <f t="shared" si="453"/>
        <v>0</v>
      </c>
      <c r="BJ109" s="345"/>
      <c r="BK109" s="1597"/>
      <c r="BL109" s="1579"/>
      <c r="BM109" s="1579">
        <f>IF(YEAR('3 pr-2'!$AK109)=2017,$BJ109,0)</f>
        <v>0</v>
      </c>
      <c r="BN109" s="1579">
        <f>IF(YEAR('3 pr-2'!$AK109)=2018,$BJ109,0)</f>
        <v>0</v>
      </c>
      <c r="BO109" s="1579">
        <f>IF(YEAR('3 pr-2'!$AK109)=2019,$BJ109,0)</f>
        <v>0</v>
      </c>
      <c r="BP109" s="1579">
        <f>IF(YEAR('3 pr-2'!$AK109)=2020,$BJ109,0)</f>
        <v>0</v>
      </c>
      <c r="BQ109" s="1579">
        <f>IF(YEAR('3 pr-2'!$AK109)=2021,$BJ109,0)</f>
        <v>0</v>
      </c>
      <c r="BR109" s="1579">
        <f>IF(YEAR('3 pr-2'!$AK109)=2022,$BJ109,0)</f>
        <v>0</v>
      </c>
      <c r="BS109" s="1579">
        <f>IF(YEAR('3 pr-2'!$AK109)=2023,$BJ109,0)</f>
        <v>0</v>
      </c>
      <c r="BT109" s="350"/>
      <c r="BU109" s="537"/>
      <c r="BV109" s="345"/>
      <c r="BW109" s="345"/>
      <c r="BX109" s="345"/>
      <c r="BY109" s="345"/>
      <c r="BZ109" s="345"/>
      <c r="CA109" s="345"/>
      <c r="CB109" s="345"/>
      <c r="CC109" s="895">
        <f t="shared" si="460"/>
        <v>0</v>
      </c>
      <c r="CD109" s="345"/>
      <c r="CE109" s="1579"/>
      <c r="CF109" s="1579"/>
      <c r="CG109" s="1579">
        <f>IF(YEAR('3 pr-2'!$AK109)=2017,$CD109,0)</f>
        <v>0</v>
      </c>
      <c r="CH109" s="1579">
        <f>IF(YEAR('3 pr-2'!$AK109)=2018,$CD109,0)</f>
        <v>0</v>
      </c>
      <c r="CI109" s="1579">
        <f>IF(YEAR('3 pr-2'!$AK109)=2019,$CD109,0)</f>
        <v>0</v>
      </c>
      <c r="CJ109" s="1579">
        <f>IF(YEAR('3 pr-2'!$AK109)=2020,$CD109,0)</f>
        <v>0</v>
      </c>
      <c r="CK109" s="1579">
        <f>IF(YEAR('3 pr-2'!$AK109)=2021,$CD109,0)</f>
        <v>0</v>
      </c>
      <c r="CL109" s="1579">
        <f>IF(YEAR('3 pr-2'!$AK109)=2022,$CD109,0)</f>
        <v>0</v>
      </c>
      <c r="CM109" s="1579">
        <f>IF(YEAR('3 pr-2'!$AK109)=2023,$CD109,0)</f>
        <v>0</v>
      </c>
      <c r="CN109" s="350"/>
      <c r="CO109" s="538"/>
      <c r="CP109" s="345"/>
      <c r="CQ109" s="345"/>
      <c r="CR109" s="345"/>
      <c r="CS109" s="345"/>
      <c r="CT109" s="345"/>
      <c r="CU109" s="345"/>
      <c r="CV109" s="345"/>
      <c r="CW109" s="895">
        <f t="shared" si="467"/>
        <v>0</v>
      </c>
      <c r="CX109" s="351"/>
      <c r="CY109" s="1605"/>
      <c r="CZ109" s="1605"/>
      <c r="DA109" s="1594">
        <f>IF(YEAR('3 pr-2'!AK109)=2017,CX109,0)</f>
        <v>0</v>
      </c>
      <c r="DB109" s="1594">
        <f>IF(YEAR('3 pr-2'!AK109)=2018,CX109,0)</f>
        <v>0</v>
      </c>
      <c r="DC109" s="1594">
        <f>IF(YEAR('3 pr-2'!AK109)=2019,CX109,0)</f>
        <v>0</v>
      </c>
      <c r="DD109" s="1594">
        <f>IF(YEAR('3 pr-2'!AK109)=2020,CX109,0)</f>
        <v>0</v>
      </c>
      <c r="DE109" s="1594">
        <f>IF(YEAR('3 pr-2'!AK109)=2021,CX109,0)</f>
        <v>0</v>
      </c>
      <c r="DF109" s="1594">
        <f>IF(YEAR('3 pr-2'!AK109)=2022,CX109,0)</f>
        <v>0</v>
      </c>
      <c r="DG109" s="1594">
        <f>IF(YEAR('3 pr-2'!AK109)=2023,CX109,0)</f>
        <v>0</v>
      </c>
      <c r="DH109" s="350"/>
      <c r="DI109" s="538"/>
      <c r="DJ109" s="345"/>
      <c r="DK109" s="345"/>
      <c r="DL109" s="345"/>
      <c r="DM109" s="345"/>
      <c r="DN109" s="345"/>
      <c r="DO109" s="345"/>
      <c r="DP109" s="345"/>
      <c r="DQ109" s="895"/>
      <c r="DR109" s="351"/>
      <c r="DS109" s="1605"/>
      <c r="DT109" s="1605"/>
      <c r="DU109" s="1594"/>
      <c r="DV109" s="1594"/>
      <c r="DW109" s="1594"/>
      <c r="DX109" s="1594"/>
      <c r="DY109" s="1594"/>
      <c r="DZ109" s="1594"/>
      <c r="EA109" s="1594"/>
      <c r="EB109" s="350"/>
      <c r="EC109" s="538"/>
      <c r="ED109" s="333"/>
      <c r="EE109" s="1605"/>
      <c r="EF109" s="1605"/>
      <c r="EG109" s="1594">
        <f>IF(YEAR('3 pr-2'!BP109)=2017,ED109,0)</f>
        <v>0</v>
      </c>
      <c r="EH109" s="1594">
        <f>IF(YEAR('3 pr-2'!BP109)=2018,ED109,0)</f>
        <v>0</v>
      </c>
      <c r="EI109" s="1594">
        <f>IF(YEAR('3 pr-2'!BP109)=2019,ED109,0)</f>
        <v>0</v>
      </c>
      <c r="EJ109" s="1594">
        <f>IF(YEAR('3 pr-2'!BP109)=2020,ED109,0)</f>
        <v>0</v>
      </c>
      <c r="EK109" s="1594">
        <f>IF(YEAR('3 pr-2'!BP109)=2021,ED109,0)</f>
        <v>0</v>
      </c>
      <c r="EL109" s="1594">
        <f>IF(YEAR('3 pr-2'!BP109)=2022,ED109,0)</f>
        <v>0</v>
      </c>
      <c r="EM109" s="1594">
        <f>IF(YEAR('3 pr-2'!BP109)=2023,ED109,0)</f>
        <v>0</v>
      </c>
    </row>
    <row r="110" spans="1:143" ht="61.5" thickTop="1" thickBot="1" x14ac:dyDescent="0.3">
      <c r="A110" s="345" t="str">
        <f>CONCATENATE('3 pr-2'!A110)</f>
        <v>2.1.1.2.2</v>
      </c>
      <c r="B110" s="345" t="str">
        <f>CONCATENATE('3 pr-2'!B110)</f>
        <v>R01-7725-240000-2122</v>
      </c>
      <c r="C110" s="1321" t="str">
        <f>CONCATENATE('ketv. 2'!B109)</f>
        <v>09.1.3-CPVA-R-725-11-0005</v>
      </c>
      <c r="D110" s="312" t="str">
        <f>CONCATENATE('3 pr-2'!D110)</f>
        <v>Alytaus r. meno ir sporto mokyklos edukacinių erdvių įkūrimas ir atnaujinimas</v>
      </c>
      <c r="E110" s="312" t="str">
        <f>CONCATENATE('3 pr-2'!E110)</f>
        <v>Alytaus rajono savivaldybės administracija</v>
      </c>
      <c r="F110" s="312" t="str">
        <f>CONCATENATE('3 pr-2'!F110)</f>
        <v>Lietuvos Respublikos švietimo ir mokslo ministerija</v>
      </c>
      <c r="G110" s="312" t="str">
        <f>CONCATENATE('3 pr-2'!G110)</f>
        <v>Alytaus r. sav.</v>
      </c>
      <c r="H110" s="345" t="str">
        <f>CONCATENATE('3 pr-2'!H110)</f>
        <v>09.13.CPVA-R-725</v>
      </c>
      <c r="I110" s="345" t="str">
        <f>CONCATENATE('3 pr-2'!I110)</f>
        <v>R</v>
      </c>
      <c r="J110" s="345" t="str">
        <f>CONCATENATE('3 pr-2'!J110)</f>
        <v>-</v>
      </c>
      <c r="K110" s="345" t="str">
        <f>CONCATENATE('3 pr-2'!K110)</f>
        <v>-</v>
      </c>
      <c r="L110" s="345" t="s">
        <v>515</v>
      </c>
      <c r="M110" s="537" t="s">
        <v>516</v>
      </c>
      <c r="N110" s="345"/>
      <c r="O110" s="345"/>
      <c r="P110" s="345"/>
      <c r="Q110" s="345"/>
      <c r="R110" s="345"/>
      <c r="S110" s="345"/>
      <c r="T110" s="345"/>
      <c r="U110" s="893">
        <f t="shared" si="469"/>
        <v>0</v>
      </c>
      <c r="V110" s="345">
        <v>1</v>
      </c>
      <c r="W110" s="1578">
        <v>1</v>
      </c>
      <c r="X110" s="1579">
        <f>SUM(W110-V110)</f>
        <v>0</v>
      </c>
      <c r="Y110" s="1579">
        <f>IF(YEAR('3 pr-2'!$AK110)=2017,$V110,0)</f>
        <v>0</v>
      </c>
      <c r="Z110" s="1579">
        <f>IF(YEAR('3 pr-2'!$AK110)=2018,$V110,0)</f>
        <v>0</v>
      </c>
      <c r="AA110" s="1579">
        <f>IF(YEAR('3 pr-2'!$AK110)=2019,$V110,0)</f>
        <v>0</v>
      </c>
      <c r="AB110" s="1579">
        <f>IF(YEAR('3 pr-2'!$AK110)=2020,$V110,0)</f>
        <v>1</v>
      </c>
      <c r="AC110" s="1579">
        <f>IF(YEAR('3 pr-2'!$AK110)=2021,$V110,0)</f>
        <v>0</v>
      </c>
      <c r="AD110" s="1579">
        <f>IF(YEAR('3 pr-2'!$AK110)=2022,$V110,0)</f>
        <v>0</v>
      </c>
      <c r="AE110" s="1579">
        <f>IF(YEAR('3 pr-2'!$AK110)=2023,$V110,0)</f>
        <v>0</v>
      </c>
      <c r="AF110" s="350" t="s">
        <v>513</v>
      </c>
      <c r="AG110" s="537" t="s">
        <v>514</v>
      </c>
      <c r="AH110" s="345"/>
      <c r="AI110" s="345"/>
      <c r="AJ110" s="345"/>
      <c r="AK110" s="345"/>
      <c r="AL110" s="345"/>
      <c r="AM110" s="345"/>
      <c r="AN110" s="345"/>
      <c r="AO110" s="895">
        <f t="shared" si="439"/>
        <v>0</v>
      </c>
      <c r="AP110" s="345">
        <v>384</v>
      </c>
      <c r="AQ110" s="1597">
        <v>384</v>
      </c>
      <c r="AR110" s="1579">
        <f>SUM(AQ110-AP110)</f>
        <v>0</v>
      </c>
      <c r="AS110" s="1579">
        <f>IF(YEAR('3 pr-2'!$AK110)=2017,$AP110,0)</f>
        <v>0</v>
      </c>
      <c r="AT110" s="1579">
        <f>IF(YEAR('3 pr-2'!$AK110)=2018,$AP110,0)</f>
        <v>0</v>
      </c>
      <c r="AU110" s="1579">
        <f>IF(YEAR('3 pr-2'!$AK110)=2019,$AP110,0)</f>
        <v>0</v>
      </c>
      <c r="AV110" s="1579">
        <f>IF(YEAR('3 pr-2'!$AK110)=2020,$AP110,0)</f>
        <v>384</v>
      </c>
      <c r="AW110" s="1579">
        <f>IF(YEAR('3 pr-2'!$AK110)=2021,$AP110,0)</f>
        <v>0</v>
      </c>
      <c r="AX110" s="1579">
        <f>IF(YEAR('3 pr-2'!$AK110)=2022,$AP110,0)</f>
        <v>0</v>
      </c>
      <c r="AY110" s="1579">
        <f>IF(YEAR('3 pr-2'!$AK110)=2023,$AP110,0)</f>
        <v>0</v>
      </c>
      <c r="AZ110" s="345"/>
      <c r="BA110" s="536"/>
      <c r="BB110" s="345"/>
      <c r="BC110" s="345"/>
      <c r="BD110" s="345"/>
      <c r="BE110" s="345"/>
      <c r="BF110" s="345"/>
      <c r="BG110" s="345"/>
      <c r="BH110" s="345"/>
      <c r="BI110" s="895">
        <f t="shared" si="453"/>
        <v>0</v>
      </c>
      <c r="BJ110" s="345"/>
      <c r="BK110" s="1597"/>
      <c r="BL110" s="1579"/>
      <c r="BM110" s="1579">
        <f>IF(YEAR('3 pr-2'!$AK110)=2017,$BJ110,0)</f>
        <v>0</v>
      </c>
      <c r="BN110" s="1579">
        <f>IF(YEAR('3 pr-2'!$AK110)=2018,$BJ110,0)</f>
        <v>0</v>
      </c>
      <c r="BO110" s="1579">
        <f>IF(YEAR('3 pr-2'!$AK110)=2019,$BJ110,0)</f>
        <v>0</v>
      </c>
      <c r="BP110" s="1579">
        <f>IF(YEAR('3 pr-2'!$AK110)=2020,$BJ110,0)</f>
        <v>0</v>
      </c>
      <c r="BQ110" s="1579">
        <f>IF(YEAR('3 pr-2'!$AK110)=2021,$BJ110,0)</f>
        <v>0</v>
      </c>
      <c r="BR110" s="1579">
        <f>IF(YEAR('3 pr-2'!$AK110)=2022,$BJ110,0)</f>
        <v>0</v>
      </c>
      <c r="BS110" s="1579">
        <f>IF(YEAR('3 pr-2'!$AK110)=2023,$BJ110,0)</f>
        <v>0</v>
      </c>
      <c r="BT110" s="350"/>
      <c r="BU110" s="537"/>
      <c r="BV110" s="345"/>
      <c r="BW110" s="345"/>
      <c r="BX110" s="345"/>
      <c r="BY110" s="345"/>
      <c r="BZ110" s="345"/>
      <c r="CA110" s="345"/>
      <c r="CB110" s="345"/>
      <c r="CC110" s="895">
        <f t="shared" si="460"/>
        <v>0</v>
      </c>
      <c r="CD110" s="345"/>
      <c r="CE110" s="1579"/>
      <c r="CF110" s="1579"/>
      <c r="CG110" s="1579">
        <f>IF(YEAR('3 pr-2'!$AK110)=2017,$CD110,0)</f>
        <v>0</v>
      </c>
      <c r="CH110" s="1579">
        <f>IF(YEAR('3 pr-2'!$AK110)=2018,$CD110,0)</f>
        <v>0</v>
      </c>
      <c r="CI110" s="1579">
        <f>IF(YEAR('3 pr-2'!$AK110)=2019,$CD110,0)</f>
        <v>0</v>
      </c>
      <c r="CJ110" s="1579">
        <f>IF(YEAR('3 pr-2'!$AK110)=2020,$CD110,0)</f>
        <v>0</v>
      </c>
      <c r="CK110" s="1579">
        <f>IF(YEAR('3 pr-2'!$AK110)=2021,$CD110,0)</f>
        <v>0</v>
      </c>
      <c r="CL110" s="1579">
        <f>IF(YEAR('3 pr-2'!$AK110)=2022,$CD110,0)</f>
        <v>0</v>
      </c>
      <c r="CM110" s="1579">
        <f>IF(YEAR('3 pr-2'!$AK110)=2023,$CD110,0)</f>
        <v>0</v>
      </c>
      <c r="CN110" s="350"/>
      <c r="CO110" s="538"/>
      <c r="CP110" s="345"/>
      <c r="CQ110" s="345"/>
      <c r="CR110" s="345"/>
      <c r="CS110" s="345"/>
      <c r="CT110" s="345"/>
      <c r="CU110" s="345"/>
      <c r="CV110" s="345"/>
      <c r="CW110" s="895">
        <f t="shared" si="467"/>
        <v>0</v>
      </c>
      <c r="CX110" s="351"/>
      <c r="CY110" s="1605"/>
      <c r="CZ110" s="1605"/>
      <c r="DA110" s="1594">
        <f>IF(YEAR('3 pr-2'!AK110)=2017,CX110,0)</f>
        <v>0</v>
      </c>
      <c r="DB110" s="1594">
        <f>IF(YEAR('3 pr-2'!AK110)=2018,CX110,0)</f>
        <v>0</v>
      </c>
      <c r="DC110" s="1594">
        <f>IF(YEAR('3 pr-2'!AK110)=2019,CX110,0)</f>
        <v>0</v>
      </c>
      <c r="DD110" s="1594">
        <f>IF(YEAR('3 pr-2'!AK110)=2020,CX110,0)</f>
        <v>0</v>
      </c>
      <c r="DE110" s="1594">
        <f>IF(YEAR('3 pr-2'!AK110)=2021,CX110,0)</f>
        <v>0</v>
      </c>
      <c r="DF110" s="1594">
        <f>IF(YEAR('3 pr-2'!AK110)=2022,CX110,0)</f>
        <v>0</v>
      </c>
      <c r="DG110" s="1594">
        <f>IF(YEAR('3 pr-2'!AK110)=2023,CX110,0)</f>
        <v>0</v>
      </c>
      <c r="DH110" s="350"/>
      <c r="DI110" s="538"/>
      <c r="DJ110" s="345"/>
      <c r="DK110" s="345"/>
      <c r="DL110" s="345"/>
      <c r="DM110" s="345"/>
      <c r="DN110" s="345"/>
      <c r="DO110" s="345"/>
      <c r="DP110" s="345"/>
      <c r="DQ110" s="895"/>
      <c r="DR110" s="351"/>
      <c r="DS110" s="1605"/>
      <c r="DT110" s="1605"/>
      <c r="DU110" s="1594"/>
      <c r="DV110" s="1594"/>
      <c r="DW110" s="1594"/>
      <c r="DX110" s="1594"/>
      <c r="DY110" s="1594"/>
      <c r="DZ110" s="1594"/>
      <c r="EA110" s="1594"/>
      <c r="EB110" s="350"/>
      <c r="EC110" s="538"/>
      <c r="ED110" s="333"/>
      <c r="EE110" s="1605"/>
      <c r="EF110" s="1605"/>
      <c r="EG110" s="1594">
        <f>IF(YEAR('3 pr-2'!BP110)=2017,ED110,0)</f>
        <v>0</v>
      </c>
      <c r="EH110" s="1594">
        <f>IF(YEAR('3 pr-2'!BP110)=2018,ED110,0)</f>
        <v>0</v>
      </c>
      <c r="EI110" s="1594">
        <f>IF(YEAR('3 pr-2'!BP110)=2019,ED110,0)</f>
        <v>0</v>
      </c>
      <c r="EJ110" s="1594">
        <f>IF(YEAR('3 pr-2'!BP110)=2020,ED110,0)</f>
        <v>0</v>
      </c>
      <c r="EK110" s="1594">
        <f>IF(YEAR('3 pr-2'!BP110)=2021,ED110,0)</f>
        <v>0</v>
      </c>
      <c r="EL110" s="1594">
        <f>IF(YEAR('3 pr-2'!BP110)=2022,ED110,0)</f>
        <v>0</v>
      </c>
      <c r="EM110" s="1594">
        <f>IF(YEAR('3 pr-2'!BP110)=2023,ED110,0)</f>
        <v>0</v>
      </c>
    </row>
    <row r="111" spans="1:143" ht="61.5" thickTop="1" thickBot="1" x14ac:dyDescent="0.3">
      <c r="A111" s="345" t="str">
        <f>CONCATENATE('3 pr-2'!A111)</f>
        <v>2.1.1.2.3</v>
      </c>
      <c r="B111" s="345" t="str">
        <f>CONCATENATE('3 pr-2'!B111)</f>
        <v>R01-7725-240000-2123</v>
      </c>
      <c r="C111" s="1321" t="str">
        <f>CONCATENATE('ketv. 2'!B110)</f>
        <v>09.1.3-CPVA-R-725-11-0004</v>
      </c>
      <c r="D111" s="312" t="str">
        <f>CONCATENATE('3 pr-2'!D111)</f>
        <v>Alytaus muzikos mokyklos pastato modernizavimas ir ugdymo aplinkos gerinimas</v>
      </c>
      <c r="E111" s="312" t="str">
        <f>CONCATENATE('3 pr-2'!E111)</f>
        <v>Alytaus miesto savivaldybės administracija</v>
      </c>
      <c r="F111" s="312" t="str">
        <f>CONCATENATE('3 pr-2'!F111)</f>
        <v>Lietuvos Respublikos švietimo ir mokslo ministerija</v>
      </c>
      <c r="G111" s="312" t="str">
        <f>CONCATENATE('3 pr-2'!G111)</f>
        <v>Alytaus m. sav.</v>
      </c>
      <c r="H111" s="345" t="str">
        <f>CONCATENATE('3 pr-2'!H111)</f>
        <v>09.13.CPVA-R-725</v>
      </c>
      <c r="I111" s="345" t="str">
        <f>CONCATENATE('3 pr-2'!I111)</f>
        <v>R</v>
      </c>
      <c r="J111" s="345" t="str">
        <f>CONCATENATE('3 pr-2'!J111)</f>
        <v>-</v>
      </c>
      <c r="K111" s="345" t="str">
        <f>CONCATENATE('3 pr-2'!K111)</f>
        <v>-</v>
      </c>
      <c r="L111" s="345" t="s">
        <v>515</v>
      </c>
      <c r="M111" s="537" t="s">
        <v>516</v>
      </c>
      <c r="N111" s="345"/>
      <c r="O111" s="345"/>
      <c r="P111" s="345"/>
      <c r="Q111" s="345"/>
      <c r="R111" s="345"/>
      <c r="S111" s="345"/>
      <c r="T111" s="345"/>
      <c r="U111" s="893">
        <f t="shared" si="469"/>
        <v>0</v>
      </c>
      <c r="V111" s="345">
        <v>1</v>
      </c>
      <c r="W111" s="1578">
        <v>1</v>
      </c>
      <c r="X111" s="1579">
        <f>SUM(W111-V111)</f>
        <v>0</v>
      </c>
      <c r="Y111" s="1579">
        <f>IF(YEAR('3 pr-2'!$AK111)=2017,$V111,0)</f>
        <v>0</v>
      </c>
      <c r="Z111" s="1579">
        <f>IF(YEAR('3 pr-2'!$AK111)=2018,$V111,0)</f>
        <v>0</v>
      </c>
      <c r="AA111" s="1579">
        <f>IF(YEAR('3 pr-2'!$AK111)=2019,$V111,0)</f>
        <v>1</v>
      </c>
      <c r="AB111" s="1579">
        <f>IF(YEAR('3 pr-2'!$AK111)=2020,$V111,0)</f>
        <v>0</v>
      </c>
      <c r="AC111" s="1579">
        <f>IF(YEAR('3 pr-2'!$AK111)=2021,$V111,0)</f>
        <v>0</v>
      </c>
      <c r="AD111" s="1579">
        <f>IF(YEAR('3 pr-2'!$AK111)=2022,$V111,0)</f>
        <v>0</v>
      </c>
      <c r="AE111" s="1579">
        <f>IF(YEAR('3 pr-2'!$AK111)=2023,$V111,0)</f>
        <v>0</v>
      </c>
      <c r="AF111" s="350" t="s">
        <v>513</v>
      </c>
      <c r="AG111" s="537" t="s">
        <v>514</v>
      </c>
      <c r="AH111" s="345"/>
      <c r="AI111" s="345"/>
      <c r="AJ111" s="345"/>
      <c r="AK111" s="345"/>
      <c r="AL111" s="345"/>
      <c r="AM111" s="345"/>
      <c r="AN111" s="345"/>
      <c r="AO111" s="895">
        <f t="shared" si="439"/>
        <v>0</v>
      </c>
      <c r="AP111" s="345">
        <v>600</v>
      </c>
      <c r="AQ111" s="1597">
        <v>600</v>
      </c>
      <c r="AR111" s="1579">
        <f>SUM(AQ111-AP111)</f>
        <v>0</v>
      </c>
      <c r="AS111" s="1579">
        <f>IF(YEAR('3 pr-2'!$AK111)=2017,$AP111,0)</f>
        <v>0</v>
      </c>
      <c r="AT111" s="1579">
        <f>IF(YEAR('3 pr-2'!$AK111)=2018,$AP111,0)</f>
        <v>0</v>
      </c>
      <c r="AU111" s="1579">
        <f>IF(YEAR('3 pr-2'!$AK111)=2019,$AP111,0)</f>
        <v>600</v>
      </c>
      <c r="AV111" s="1579">
        <f>IF(YEAR('3 pr-2'!$AK111)=2020,$AP111,0)</f>
        <v>0</v>
      </c>
      <c r="AW111" s="1579">
        <f>IF(YEAR('3 pr-2'!$AK111)=2021,$AP111,0)</f>
        <v>0</v>
      </c>
      <c r="AX111" s="1579">
        <f>IF(YEAR('3 pr-2'!$AK111)=2022,$AP111,0)</f>
        <v>0</v>
      </c>
      <c r="AY111" s="1579">
        <f>IF(YEAR('3 pr-2'!$AK111)=2023,$AP111,0)</f>
        <v>0</v>
      </c>
      <c r="AZ111" s="345"/>
      <c r="BA111" s="536"/>
      <c r="BB111" s="345"/>
      <c r="BC111" s="345"/>
      <c r="BD111" s="345"/>
      <c r="BE111" s="345"/>
      <c r="BF111" s="345"/>
      <c r="BG111" s="345"/>
      <c r="BH111" s="345"/>
      <c r="BI111" s="895">
        <f t="shared" si="453"/>
        <v>0</v>
      </c>
      <c r="BJ111" s="345"/>
      <c r="BK111" s="1597"/>
      <c r="BL111" s="1579"/>
      <c r="BM111" s="1579">
        <f>IF(YEAR('3 pr-2'!$AK111)=2017,$BJ111,0)</f>
        <v>0</v>
      </c>
      <c r="BN111" s="1579">
        <f>IF(YEAR('3 pr-2'!$AK111)=2018,$BJ111,0)</f>
        <v>0</v>
      </c>
      <c r="BO111" s="1579">
        <f>IF(YEAR('3 pr-2'!$AK111)=2019,$BJ111,0)</f>
        <v>0</v>
      </c>
      <c r="BP111" s="1579">
        <f>IF(YEAR('3 pr-2'!$AK111)=2020,$BJ111,0)</f>
        <v>0</v>
      </c>
      <c r="BQ111" s="1579">
        <f>IF(YEAR('3 pr-2'!$AK111)=2021,$BJ111,0)</f>
        <v>0</v>
      </c>
      <c r="BR111" s="1579">
        <f>IF(YEAR('3 pr-2'!$AK111)=2022,$BJ111,0)</f>
        <v>0</v>
      </c>
      <c r="BS111" s="1579">
        <f>IF(YEAR('3 pr-2'!$AK111)=2023,$BJ111,0)</f>
        <v>0</v>
      </c>
      <c r="BT111" s="350"/>
      <c r="BU111" s="537"/>
      <c r="BV111" s="345"/>
      <c r="BW111" s="345"/>
      <c r="BX111" s="345"/>
      <c r="BY111" s="345"/>
      <c r="BZ111" s="345"/>
      <c r="CA111" s="345"/>
      <c r="CB111" s="345"/>
      <c r="CC111" s="895">
        <f t="shared" si="460"/>
        <v>0</v>
      </c>
      <c r="CD111" s="345"/>
      <c r="CE111" s="1579"/>
      <c r="CF111" s="1579"/>
      <c r="CG111" s="1579">
        <f>IF(YEAR('3 pr-2'!$AK111)=2017,$CD111,0)</f>
        <v>0</v>
      </c>
      <c r="CH111" s="1579">
        <f>IF(YEAR('3 pr-2'!$AK111)=2018,$CD111,0)</f>
        <v>0</v>
      </c>
      <c r="CI111" s="1579">
        <f>IF(YEAR('3 pr-2'!$AK111)=2019,$CD111,0)</f>
        <v>0</v>
      </c>
      <c r="CJ111" s="1579">
        <f>IF(YEAR('3 pr-2'!$AK111)=2020,$CD111,0)</f>
        <v>0</v>
      </c>
      <c r="CK111" s="1579">
        <f>IF(YEAR('3 pr-2'!$AK111)=2021,$CD111,0)</f>
        <v>0</v>
      </c>
      <c r="CL111" s="1579">
        <f>IF(YEAR('3 pr-2'!$AK111)=2022,$CD111,0)</f>
        <v>0</v>
      </c>
      <c r="CM111" s="1579">
        <f>IF(YEAR('3 pr-2'!$AK111)=2023,$CD111,0)</f>
        <v>0</v>
      </c>
      <c r="CN111" s="350"/>
      <c r="CO111" s="538"/>
      <c r="CP111" s="345"/>
      <c r="CQ111" s="345"/>
      <c r="CR111" s="345"/>
      <c r="CS111" s="345"/>
      <c r="CT111" s="345"/>
      <c r="CU111" s="345"/>
      <c r="CV111" s="345"/>
      <c r="CW111" s="895">
        <f t="shared" si="467"/>
        <v>0</v>
      </c>
      <c r="CX111" s="351"/>
      <c r="CY111" s="1605"/>
      <c r="CZ111" s="1605"/>
      <c r="DA111" s="1594">
        <f>IF(YEAR('3 pr-2'!AK111)=2017,CX111,0)</f>
        <v>0</v>
      </c>
      <c r="DB111" s="1594">
        <f>IF(YEAR('3 pr-2'!AK111)=2018,CX111,0)</f>
        <v>0</v>
      </c>
      <c r="DC111" s="1594">
        <f>IF(YEAR('3 pr-2'!AK111)=2019,CX111,0)</f>
        <v>0</v>
      </c>
      <c r="DD111" s="1594">
        <f>IF(YEAR('3 pr-2'!AK111)=2020,CX111,0)</f>
        <v>0</v>
      </c>
      <c r="DE111" s="1594">
        <f>IF(YEAR('3 pr-2'!AK111)=2021,CX111,0)</f>
        <v>0</v>
      </c>
      <c r="DF111" s="1594">
        <f>IF(YEAR('3 pr-2'!AK111)=2022,CX111,0)</f>
        <v>0</v>
      </c>
      <c r="DG111" s="1594">
        <f>IF(YEAR('3 pr-2'!AK111)=2023,CX111,0)</f>
        <v>0</v>
      </c>
      <c r="DH111" s="350"/>
      <c r="DI111" s="538"/>
      <c r="DJ111" s="345"/>
      <c r="DK111" s="345"/>
      <c r="DL111" s="345"/>
      <c r="DM111" s="345"/>
      <c r="DN111" s="345"/>
      <c r="DO111" s="345"/>
      <c r="DP111" s="345"/>
      <c r="DQ111" s="895"/>
      <c r="DR111" s="351"/>
      <c r="DS111" s="1605"/>
      <c r="DT111" s="1605"/>
      <c r="DU111" s="1594"/>
      <c r="DV111" s="1594"/>
      <c r="DW111" s="1594"/>
      <c r="DX111" s="1594"/>
      <c r="DY111" s="1594"/>
      <c r="DZ111" s="1594"/>
      <c r="EA111" s="1594"/>
      <c r="EB111" s="350"/>
      <c r="EC111" s="538"/>
      <c r="ED111" s="333"/>
      <c r="EE111" s="1605"/>
      <c r="EF111" s="1605"/>
      <c r="EG111" s="1594">
        <f>IF(YEAR('3 pr-2'!BP111)=2017,ED111,0)</f>
        <v>0</v>
      </c>
      <c r="EH111" s="1594">
        <f>IF(YEAR('3 pr-2'!BP111)=2018,ED111,0)</f>
        <v>0</v>
      </c>
      <c r="EI111" s="1594">
        <f>IF(YEAR('3 pr-2'!BP111)=2019,ED111,0)</f>
        <v>0</v>
      </c>
      <c r="EJ111" s="1594">
        <f>IF(YEAR('3 pr-2'!BP111)=2020,ED111,0)</f>
        <v>0</v>
      </c>
      <c r="EK111" s="1594">
        <f>IF(YEAR('3 pr-2'!BP111)=2021,ED111,0)</f>
        <v>0</v>
      </c>
      <c r="EL111" s="1594">
        <f>IF(YEAR('3 pr-2'!BP111)=2022,ED111,0)</f>
        <v>0</v>
      </c>
      <c r="EM111" s="1594">
        <f>IF(YEAR('3 pr-2'!BP111)=2023,ED111,0)</f>
        <v>0</v>
      </c>
    </row>
    <row r="112" spans="1:143" ht="61.5" thickTop="1" thickBot="1" x14ac:dyDescent="0.3">
      <c r="A112" s="345" t="str">
        <f>CONCATENATE('3 pr-2'!A112)</f>
        <v>2.1.1.2.4</v>
      </c>
      <c r="B112" s="345" t="str">
        <f>CONCATENATE('3 pr-2'!B112)</f>
        <v>R01-7725-240000-2124</v>
      </c>
      <c r="C112" s="1321" t="str">
        <f>CONCATENATE('ketv. 2'!B111)</f>
        <v>09.1.3-CPVA-R-725-11-0002</v>
      </c>
      <c r="D112" s="312" t="str">
        <f>CONCATENATE('3 pr-2'!D112)</f>
        <v>Druskininkų M. K. Čiurlionio meno mokyklos infrastruktūros tobulinimas</v>
      </c>
      <c r="E112" s="312" t="str">
        <f>CONCATENATE('3 pr-2'!E112)</f>
        <v xml:space="preserve">Druskininkų savivaldybės administracija  </v>
      </c>
      <c r="F112" s="312" t="str">
        <f>CONCATENATE('3 pr-2'!F112)</f>
        <v>Lietuvos Respublikos švietimo ir mokslo ministerija</v>
      </c>
      <c r="G112" s="312" t="str">
        <f>CONCATENATE('3 pr-2'!G112)</f>
        <v>Druskininkų sav.</v>
      </c>
      <c r="H112" s="345" t="str">
        <f>CONCATENATE('3 pr-2'!H112)</f>
        <v>09.13.CPVA-R-725</v>
      </c>
      <c r="I112" s="345" t="str">
        <f>CONCATENATE('3 pr-2'!I112)</f>
        <v>R</v>
      </c>
      <c r="J112" s="345" t="str">
        <f>CONCATENATE('3 pr-2'!J112)</f>
        <v>-</v>
      </c>
      <c r="K112" s="345" t="str">
        <f>CONCATENATE('3 pr-2'!K112)</f>
        <v>-</v>
      </c>
      <c r="L112" s="345" t="s">
        <v>515</v>
      </c>
      <c r="M112" s="537" t="s">
        <v>516</v>
      </c>
      <c r="N112" s="345"/>
      <c r="O112" s="345"/>
      <c r="P112" s="345"/>
      <c r="Q112" s="345"/>
      <c r="R112" s="345"/>
      <c r="S112" s="345"/>
      <c r="T112" s="345"/>
      <c r="U112" s="893">
        <f t="shared" si="469"/>
        <v>0</v>
      </c>
      <c r="V112" s="345">
        <v>1</v>
      </c>
      <c r="W112" s="1578">
        <v>1</v>
      </c>
      <c r="X112" s="1579">
        <f>SUM(W112-V112)</f>
        <v>0</v>
      </c>
      <c r="Y112" s="1579">
        <f>IF(YEAR('3 pr-2'!$AK112)=2017,$V112,0)</f>
        <v>0</v>
      </c>
      <c r="Z112" s="1579">
        <f>IF(YEAR('3 pr-2'!$AK112)=2018,$V112,0)</f>
        <v>1</v>
      </c>
      <c r="AA112" s="1579">
        <f>IF(YEAR('3 pr-2'!$AK112)=2019,$V112,0)</f>
        <v>0</v>
      </c>
      <c r="AB112" s="1579">
        <f>IF(YEAR('3 pr-2'!$AK112)=2020,$V112,0)</f>
        <v>0</v>
      </c>
      <c r="AC112" s="1579">
        <f>IF(YEAR('3 pr-2'!$AK112)=2021,$V112,0)</f>
        <v>0</v>
      </c>
      <c r="AD112" s="1579">
        <f>IF(YEAR('3 pr-2'!$AK112)=2022,$V112,0)</f>
        <v>0</v>
      </c>
      <c r="AE112" s="1579">
        <f>IF(YEAR('3 pr-2'!$AK112)=2023,$V112,0)</f>
        <v>0</v>
      </c>
      <c r="AF112" s="350" t="s">
        <v>513</v>
      </c>
      <c r="AG112" s="537" t="s">
        <v>514</v>
      </c>
      <c r="AH112" s="345"/>
      <c r="AI112" s="345"/>
      <c r="AJ112" s="345"/>
      <c r="AK112" s="345"/>
      <c r="AL112" s="345"/>
      <c r="AM112" s="345"/>
      <c r="AN112" s="345"/>
      <c r="AO112" s="895">
        <f t="shared" si="439"/>
        <v>0</v>
      </c>
      <c r="AP112" s="345">
        <v>380</v>
      </c>
      <c r="AQ112" s="1597">
        <v>380</v>
      </c>
      <c r="AR112" s="1579">
        <f>SUM(AQ112-AP112)</f>
        <v>0</v>
      </c>
      <c r="AS112" s="1579">
        <f>IF(YEAR('3 pr-2'!$AK112)=2017,$AP112,0)</f>
        <v>0</v>
      </c>
      <c r="AT112" s="1579">
        <f>IF(YEAR('3 pr-2'!$AK112)=2018,$AP112,0)</f>
        <v>380</v>
      </c>
      <c r="AU112" s="1579">
        <f>IF(YEAR('3 pr-2'!$AK112)=2019,$AP112,0)</f>
        <v>0</v>
      </c>
      <c r="AV112" s="1579">
        <f>IF(YEAR('3 pr-2'!$AK112)=2020,$AP112,0)</f>
        <v>0</v>
      </c>
      <c r="AW112" s="1579">
        <f>IF(YEAR('3 pr-2'!$AK112)=2021,$AP112,0)</f>
        <v>0</v>
      </c>
      <c r="AX112" s="1579">
        <f>IF(YEAR('3 pr-2'!$AK112)=2022,$AP112,0)</f>
        <v>0</v>
      </c>
      <c r="AY112" s="1579">
        <f>IF(YEAR('3 pr-2'!$AK112)=2023,$AP112,0)</f>
        <v>0</v>
      </c>
      <c r="AZ112" s="345"/>
      <c r="BA112" s="536"/>
      <c r="BB112" s="345"/>
      <c r="BC112" s="345"/>
      <c r="BD112" s="345"/>
      <c r="BE112" s="345"/>
      <c r="BF112" s="345"/>
      <c r="BG112" s="345"/>
      <c r="BH112" s="345"/>
      <c r="BI112" s="895">
        <f t="shared" si="453"/>
        <v>0</v>
      </c>
      <c r="BJ112" s="345"/>
      <c r="BK112" s="1597"/>
      <c r="BL112" s="1579"/>
      <c r="BM112" s="1579">
        <f>IF(YEAR('3 pr-2'!$AK112)=2017,$BJ112,0)</f>
        <v>0</v>
      </c>
      <c r="BN112" s="1579">
        <f>IF(YEAR('3 pr-2'!$AK112)=2018,$BJ112,0)</f>
        <v>0</v>
      </c>
      <c r="BO112" s="1579">
        <f>IF(YEAR('3 pr-2'!$AK112)=2019,$BJ112,0)</f>
        <v>0</v>
      </c>
      <c r="BP112" s="1579">
        <f>IF(YEAR('3 pr-2'!$AK112)=2020,$BJ112,0)</f>
        <v>0</v>
      </c>
      <c r="BQ112" s="1579">
        <f>IF(YEAR('3 pr-2'!$AK112)=2021,$BJ112,0)</f>
        <v>0</v>
      </c>
      <c r="BR112" s="1579">
        <f>IF(YEAR('3 pr-2'!$AK112)=2022,$BJ112,0)</f>
        <v>0</v>
      </c>
      <c r="BS112" s="1579">
        <f>IF(YEAR('3 pr-2'!$AK112)=2023,$BJ112,0)</f>
        <v>0</v>
      </c>
      <c r="BT112" s="350"/>
      <c r="BU112" s="537"/>
      <c r="BV112" s="345"/>
      <c r="BW112" s="345"/>
      <c r="BX112" s="345"/>
      <c r="BY112" s="345"/>
      <c r="BZ112" s="345"/>
      <c r="CA112" s="345"/>
      <c r="CB112" s="345"/>
      <c r="CC112" s="895">
        <f t="shared" si="460"/>
        <v>0</v>
      </c>
      <c r="CD112" s="345"/>
      <c r="CE112" s="1579"/>
      <c r="CF112" s="1579"/>
      <c r="CG112" s="1579">
        <f>IF(YEAR('3 pr-2'!$AK112)=2017,$CD112,0)</f>
        <v>0</v>
      </c>
      <c r="CH112" s="1579">
        <f>IF(YEAR('3 pr-2'!$AK112)=2018,$CD112,0)</f>
        <v>0</v>
      </c>
      <c r="CI112" s="1579">
        <f>IF(YEAR('3 pr-2'!$AK112)=2019,$CD112,0)</f>
        <v>0</v>
      </c>
      <c r="CJ112" s="1579">
        <f>IF(YEAR('3 pr-2'!$AK112)=2020,$CD112,0)</f>
        <v>0</v>
      </c>
      <c r="CK112" s="1579">
        <f>IF(YEAR('3 pr-2'!$AK112)=2021,$CD112,0)</f>
        <v>0</v>
      </c>
      <c r="CL112" s="1579">
        <f>IF(YEAR('3 pr-2'!$AK112)=2022,$CD112,0)</f>
        <v>0</v>
      </c>
      <c r="CM112" s="1579">
        <f>IF(YEAR('3 pr-2'!$AK112)=2023,$CD112,0)</f>
        <v>0</v>
      </c>
      <c r="CN112" s="350"/>
      <c r="CO112" s="538"/>
      <c r="CP112" s="345"/>
      <c r="CQ112" s="345"/>
      <c r="CR112" s="345"/>
      <c r="CS112" s="345"/>
      <c r="CT112" s="345"/>
      <c r="CU112" s="345"/>
      <c r="CV112" s="345"/>
      <c r="CW112" s="895">
        <f t="shared" si="467"/>
        <v>0</v>
      </c>
      <c r="CX112" s="351"/>
      <c r="CY112" s="1605"/>
      <c r="CZ112" s="1605"/>
      <c r="DA112" s="1594">
        <f>IF(YEAR('3 pr-2'!AK112)=2017,CX112,0)</f>
        <v>0</v>
      </c>
      <c r="DB112" s="1594">
        <f>IF(YEAR('3 pr-2'!AK112)=2018,CX112,0)</f>
        <v>0</v>
      </c>
      <c r="DC112" s="1594">
        <f>IF(YEAR('3 pr-2'!AK112)=2019,CX112,0)</f>
        <v>0</v>
      </c>
      <c r="DD112" s="1594">
        <f>IF(YEAR('3 pr-2'!AK112)=2020,CX112,0)</f>
        <v>0</v>
      </c>
      <c r="DE112" s="1594">
        <f>IF(YEAR('3 pr-2'!AK112)=2021,CX112,0)</f>
        <v>0</v>
      </c>
      <c r="DF112" s="1594">
        <f>IF(YEAR('3 pr-2'!AK112)=2022,CX112,0)</f>
        <v>0</v>
      </c>
      <c r="DG112" s="1594">
        <f>IF(YEAR('3 pr-2'!AK112)=2023,CX112,0)</f>
        <v>0</v>
      </c>
      <c r="DH112" s="350"/>
      <c r="DI112" s="538"/>
      <c r="DJ112" s="345"/>
      <c r="DK112" s="345"/>
      <c r="DL112" s="345"/>
      <c r="DM112" s="345"/>
      <c r="DN112" s="345"/>
      <c r="DO112" s="345"/>
      <c r="DP112" s="345"/>
      <c r="DQ112" s="895"/>
      <c r="DR112" s="351"/>
      <c r="DS112" s="1605"/>
      <c r="DT112" s="1605"/>
      <c r="DU112" s="1594"/>
      <c r="DV112" s="1594"/>
      <c r="DW112" s="1594"/>
      <c r="DX112" s="1594"/>
      <c r="DY112" s="1594"/>
      <c r="DZ112" s="1594"/>
      <c r="EA112" s="1594"/>
      <c r="EB112" s="350"/>
      <c r="EC112" s="538"/>
      <c r="ED112" s="333"/>
      <c r="EE112" s="1605"/>
      <c r="EF112" s="1605"/>
      <c r="EG112" s="1594">
        <f>IF(YEAR('3 pr-2'!BP112)=2017,ED112,0)</f>
        <v>0</v>
      </c>
      <c r="EH112" s="1594">
        <f>IF(YEAR('3 pr-2'!BP112)=2018,ED112,0)</f>
        <v>0</v>
      </c>
      <c r="EI112" s="1594">
        <f>IF(YEAR('3 pr-2'!BP112)=2019,ED112,0)</f>
        <v>0</v>
      </c>
      <c r="EJ112" s="1594">
        <f>IF(YEAR('3 pr-2'!BP112)=2020,ED112,0)</f>
        <v>0</v>
      </c>
      <c r="EK112" s="1594">
        <f>IF(YEAR('3 pr-2'!BP112)=2021,ED112,0)</f>
        <v>0</v>
      </c>
      <c r="EL112" s="1594">
        <f>IF(YEAR('3 pr-2'!BP112)=2022,ED112,0)</f>
        <v>0</v>
      </c>
      <c r="EM112" s="1594">
        <f>IF(YEAR('3 pr-2'!BP112)=2023,ED112,0)</f>
        <v>0</v>
      </c>
    </row>
    <row r="113" spans="1:143" ht="61.5" thickTop="1" thickBot="1" x14ac:dyDescent="0.3">
      <c r="A113" s="345" t="str">
        <f>CONCATENATE('3 pr-2'!A113)</f>
        <v>2.1.1.2.5</v>
      </c>
      <c r="B113" s="345" t="str">
        <f>CONCATENATE('3 pr-2'!B113)</f>
        <v>R01-7725-240000-2125</v>
      </c>
      <c r="C113" s="1321" t="str">
        <f>CONCATENATE('ketv. 2'!B112)</f>
        <v>09.1.3-CPVA-R-725-11-0001</v>
      </c>
      <c r="D113" s="312" t="str">
        <f>CONCATENATE('3 pr-2'!D113)</f>
        <v>Neformaliojo švietimo įstaigų Lazdijų rajono savivaldybėje infrastruktūros tobulinimas</v>
      </c>
      <c r="E113" s="312" t="str">
        <f>CONCATENATE('3 pr-2'!E113)</f>
        <v>VšĮ „Lazdijų sporto centras“</v>
      </c>
      <c r="F113" s="312" t="str">
        <f>CONCATENATE('3 pr-2'!F113)</f>
        <v>Lietuvos Respublikos švietimo ir mokslo ministerija</v>
      </c>
      <c r="G113" s="312" t="str">
        <f>CONCATENATE('3 pr-2'!G113)</f>
        <v>Lazdijų r. sav.</v>
      </c>
      <c r="H113" s="345" t="str">
        <f>CONCATENATE('3 pr-2'!H113)</f>
        <v>09.13.CPVA-R-725</v>
      </c>
      <c r="I113" s="345" t="str">
        <f>CONCATENATE('3 pr-2'!I113)</f>
        <v>R</v>
      </c>
      <c r="J113" s="345" t="str">
        <f>CONCATENATE('3 pr-2'!J113)</f>
        <v>-</v>
      </c>
      <c r="K113" s="345" t="str">
        <f>CONCATENATE('3 pr-2'!K113)</f>
        <v>-</v>
      </c>
      <c r="L113" s="345" t="s">
        <v>515</v>
      </c>
      <c r="M113" s="537" t="s">
        <v>516</v>
      </c>
      <c r="N113" s="345"/>
      <c r="O113" s="345"/>
      <c r="P113" s="345"/>
      <c r="Q113" s="345"/>
      <c r="R113" s="345"/>
      <c r="S113" s="345"/>
      <c r="T113" s="345"/>
      <c r="U113" s="893">
        <f t="shared" si="469"/>
        <v>0</v>
      </c>
      <c r="V113" s="345">
        <v>1</v>
      </c>
      <c r="W113" s="1578" t="str">
        <f ca="1">IF('ketv. 6 '!L112&gt;0,"1",0)</f>
        <v>1</v>
      </c>
      <c r="X113" s="1579">
        <f ca="1">SUM(W113-V113)</f>
        <v>0</v>
      </c>
      <c r="Y113" s="1579">
        <f>IF(YEAR('3 pr-2'!$AK113)=2017,$V113,0)</f>
        <v>0</v>
      </c>
      <c r="Z113" s="1579">
        <f>IF(YEAR('3 pr-2'!$AK113)=2018,$V113,0)</f>
        <v>0</v>
      </c>
      <c r="AA113" s="1579">
        <f>IF(YEAR('3 pr-2'!$AK113)=2019,$V113,0)</f>
        <v>1</v>
      </c>
      <c r="AB113" s="1579">
        <f>IF(YEAR('3 pr-2'!$AK113)=2020,$V113,0)</f>
        <v>0</v>
      </c>
      <c r="AC113" s="1579">
        <f>IF(YEAR('3 pr-2'!$AK113)=2021,$V113,0)</f>
        <v>0</v>
      </c>
      <c r="AD113" s="1579">
        <f>IF(YEAR('3 pr-2'!$AK113)=2022,$V113,0)</f>
        <v>0</v>
      </c>
      <c r="AE113" s="1579">
        <f>IF(YEAR('3 pr-2'!$AK113)=2023,$V113,0)</f>
        <v>0</v>
      </c>
      <c r="AF113" s="350" t="s">
        <v>513</v>
      </c>
      <c r="AG113" s="537" t="s">
        <v>514</v>
      </c>
      <c r="AH113" s="345"/>
      <c r="AI113" s="345"/>
      <c r="AJ113" s="345"/>
      <c r="AK113" s="345"/>
      <c r="AL113" s="345"/>
      <c r="AM113" s="345"/>
      <c r="AN113" s="345"/>
      <c r="AO113" s="895">
        <f t="shared" si="439"/>
        <v>0</v>
      </c>
      <c r="AP113" s="345">
        <v>500</v>
      </c>
      <c r="AQ113" s="1597">
        <v>500</v>
      </c>
      <c r="AR113" s="1579">
        <f>SUM(AQ113-AP113)</f>
        <v>0</v>
      </c>
      <c r="AS113" s="1579">
        <f>IF(YEAR('3 pr-2'!$AK113)=2017,$AP113,0)</f>
        <v>0</v>
      </c>
      <c r="AT113" s="1579">
        <f>IF(YEAR('3 pr-2'!$AK113)=2018,$AP113,0)</f>
        <v>0</v>
      </c>
      <c r="AU113" s="1579">
        <f>IF(YEAR('3 pr-2'!$AK113)=2019,$AP113,0)</f>
        <v>500</v>
      </c>
      <c r="AV113" s="1579">
        <f>IF(YEAR('3 pr-2'!$AK113)=2020,$AP113,0)</f>
        <v>0</v>
      </c>
      <c r="AW113" s="1579">
        <f>IF(YEAR('3 pr-2'!$AK113)=2021,$AP113,0)</f>
        <v>0</v>
      </c>
      <c r="AX113" s="1579">
        <f>IF(YEAR('3 pr-2'!$AK113)=2022,$AP113,0)</f>
        <v>0</v>
      </c>
      <c r="AY113" s="1579">
        <f>IF(YEAR('3 pr-2'!$AK113)=2023,$AP113,0)</f>
        <v>0</v>
      </c>
      <c r="AZ113" s="345"/>
      <c r="BA113" s="536"/>
      <c r="BB113" s="345"/>
      <c r="BC113" s="345"/>
      <c r="BD113" s="345"/>
      <c r="BE113" s="345"/>
      <c r="BF113" s="345"/>
      <c r="BG113" s="345"/>
      <c r="BH113" s="345"/>
      <c r="BI113" s="895">
        <f t="shared" si="453"/>
        <v>0</v>
      </c>
      <c r="BJ113" s="345"/>
      <c r="BK113" s="1597"/>
      <c r="BL113" s="1579"/>
      <c r="BM113" s="1579">
        <f>IF(YEAR('3 pr-2'!$AK113)=2017,$BJ113,0)</f>
        <v>0</v>
      </c>
      <c r="BN113" s="1579">
        <f>IF(YEAR('3 pr-2'!$AK113)=2018,$BJ113,0)</f>
        <v>0</v>
      </c>
      <c r="BO113" s="1579">
        <f>IF(YEAR('3 pr-2'!$AK113)=2019,$BJ113,0)</f>
        <v>0</v>
      </c>
      <c r="BP113" s="1579">
        <f>IF(YEAR('3 pr-2'!$AK113)=2020,$BJ113,0)</f>
        <v>0</v>
      </c>
      <c r="BQ113" s="1579">
        <f>IF(YEAR('3 pr-2'!$AK113)=2021,$BJ113,0)</f>
        <v>0</v>
      </c>
      <c r="BR113" s="1579">
        <f>IF(YEAR('3 pr-2'!$AK113)=2022,$BJ113,0)</f>
        <v>0</v>
      </c>
      <c r="BS113" s="1579">
        <f>IF(YEAR('3 pr-2'!$AK113)=2023,$BJ113,0)</f>
        <v>0</v>
      </c>
      <c r="BT113" s="350"/>
      <c r="BU113" s="537"/>
      <c r="BV113" s="345"/>
      <c r="BW113" s="345"/>
      <c r="BX113" s="345"/>
      <c r="BY113" s="345"/>
      <c r="BZ113" s="345"/>
      <c r="CA113" s="345"/>
      <c r="CB113" s="345"/>
      <c r="CC113" s="895">
        <f t="shared" si="460"/>
        <v>0</v>
      </c>
      <c r="CD113" s="345"/>
      <c r="CE113" s="1579"/>
      <c r="CF113" s="1579"/>
      <c r="CG113" s="1579">
        <f>IF(YEAR('3 pr-2'!$AK113)=2017,$CD113,0)</f>
        <v>0</v>
      </c>
      <c r="CH113" s="1579">
        <f>IF(YEAR('3 pr-2'!$AK113)=2018,$CD113,0)</f>
        <v>0</v>
      </c>
      <c r="CI113" s="1579">
        <f>IF(YEAR('3 pr-2'!$AK113)=2019,$CD113,0)</f>
        <v>0</v>
      </c>
      <c r="CJ113" s="1579">
        <f>IF(YEAR('3 pr-2'!$AK113)=2020,$CD113,0)</f>
        <v>0</v>
      </c>
      <c r="CK113" s="1579">
        <f>IF(YEAR('3 pr-2'!$AK113)=2021,$CD113,0)</f>
        <v>0</v>
      </c>
      <c r="CL113" s="1579">
        <f>IF(YEAR('3 pr-2'!$AK113)=2022,$CD113,0)</f>
        <v>0</v>
      </c>
      <c r="CM113" s="1579">
        <f>IF(YEAR('3 pr-2'!$AK113)=2023,$CD113,0)</f>
        <v>0</v>
      </c>
      <c r="CN113" s="350"/>
      <c r="CO113" s="538"/>
      <c r="CP113" s="345"/>
      <c r="CQ113" s="345"/>
      <c r="CR113" s="345"/>
      <c r="CS113" s="345"/>
      <c r="CT113" s="345"/>
      <c r="CU113" s="345"/>
      <c r="CV113" s="345"/>
      <c r="CW113" s="895">
        <f t="shared" si="467"/>
        <v>0</v>
      </c>
      <c r="CX113" s="351"/>
      <c r="CY113" s="1605"/>
      <c r="CZ113" s="1605"/>
      <c r="DA113" s="1594">
        <f>IF(YEAR('3 pr-2'!AK113)=2017,CX113,0)</f>
        <v>0</v>
      </c>
      <c r="DB113" s="1594">
        <f>IF(YEAR('3 pr-2'!AK113)=2018,CX113,0)</f>
        <v>0</v>
      </c>
      <c r="DC113" s="1594">
        <f>IF(YEAR('3 pr-2'!AK113)=2019,CX113,0)</f>
        <v>0</v>
      </c>
      <c r="DD113" s="1594">
        <f>IF(YEAR('3 pr-2'!AK113)=2020,CX113,0)</f>
        <v>0</v>
      </c>
      <c r="DE113" s="1594">
        <f>IF(YEAR('3 pr-2'!AK113)=2021,CX113,0)</f>
        <v>0</v>
      </c>
      <c r="DF113" s="1594">
        <f>IF(YEAR('3 pr-2'!AK113)=2022,CX113,0)</f>
        <v>0</v>
      </c>
      <c r="DG113" s="1594">
        <f>IF(YEAR('3 pr-2'!AK113)=2023,CX113,0)</f>
        <v>0</v>
      </c>
      <c r="DH113" s="350"/>
      <c r="DI113" s="538"/>
      <c r="DJ113" s="345"/>
      <c r="DK113" s="345"/>
      <c r="DL113" s="345"/>
      <c r="DM113" s="345"/>
      <c r="DN113" s="345"/>
      <c r="DO113" s="345"/>
      <c r="DP113" s="345"/>
      <c r="DQ113" s="895"/>
      <c r="DR113" s="351"/>
      <c r="DS113" s="1605"/>
      <c r="DT113" s="1605"/>
      <c r="DU113" s="1594"/>
      <c r="DV113" s="1594"/>
      <c r="DW113" s="1594"/>
      <c r="DX113" s="1594"/>
      <c r="DY113" s="1594"/>
      <c r="DZ113" s="1594"/>
      <c r="EA113" s="1594"/>
      <c r="EB113" s="350"/>
      <c r="EC113" s="538"/>
      <c r="ED113" s="333"/>
      <c r="EE113" s="1605"/>
      <c r="EF113" s="1605"/>
      <c r="EG113" s="1594">
        <f>IF(YEAR('3 pr-2'!BP113)=2017,ED113,0)</f>
        <v>0</v>
      </c>
      <c r="EH113" s="1594">
        <f>IF(YEAR('3 pr-2'!BP113)=2018,ED113,0)</f>
        <v>0</v>
      </c>
      <c r="EI113" s="1594">
        <f>IF(YEAR('3 pr-2'!BP113)=2019,ED113,0)</f>
        <v>0</v>
      </c>
      <c r="EJ113" s="1594">
        <f>IF(YEAR('3 pr-2'!BP113)=2020,ED113,0)</f>
        <v>0</v>
      </c>
      <c r="EK113" s="1594">
        <f>IF(YEAR('3 pr-2'!BP113)=2021,ED113,0)</f>
        <v>0</v>
      </c>
      <c r="EL113" s="1594">
        <f>IF(YEAR('3 pr-2'!BP113)=2022,ED113,0)</f>
        <v>0</v>
      </c>
      <c r="EM113" s="1594">
        <f>IF(YEAR('3 pr-2'!BP113)=2023,ED113,0)</f>
        <v>0</v>
      </c>
    </row>
    <row r="114" spans="1:143" ht="32.25" customHeight="1" thickBot="1" x14ac:dyDescent="0.3">
      <c r="A114" s="824" t="str">
        <f>CONCATENATE('3 pr-2'!A114)</f>
        <v>2.1.1.3</v>
      </c>
      <c r="B114" s="1926" t="str">
        <f>CONCATENATE('3 pr-2'!B114)</f>
        <v>Priemonė:
Ikimokyklinio ir priešmokyklinio ugdymo prieinamumo didinimas</v>
      </c>
      <c r="C114" s="1927"/>
      <c r="D114" s="1927"/>
      <c r="E114" s="1927"/>
      <c r="F114" s="1927"/>
      <c r="G114" s="1927"/>
      <c r="H114" s="1927"/>
      <c r="I114" s="1927"/>
      <c r="J114" s="1927"/>
      <c r="K114" s="1928"/>
      <c r="L114" s="1312"/>
      <c r="M114" s="540"/>
      <c r="N114" s="864">
        <f>SUM(N115:N119)</f>
        <v>0</v>
      </c>
      <c r="O114" s="864">
        <f t="shared" ref="O114:T114" si="496">SUM(O115:O119)</f>
        <v>0</v>
      </c>
      <c r="P114" s="864">
        <f t="shared" si="496"/>
        <v>0</v>
      </c>
      <c r="Q114" s="864">
        <f t="shared" si="496"/>
        <v>0</v>
      </c>
      <c r="R114" s="864">
        <f t="shared" si="496"/>
        <v>0</v>
      </c>
      <c r="S114" s="864">
        <f t="shared" si="496"/>
        <v>0</v>
      </c>
      <c r="T114" s="864">
        <f t="shared" si="496"/>
        <v>0</v>
      </c>
      <c r="U114" s="1312">
        <f t="shared" ref="U114:U119" si="497">SUM(N114:T114)</f>
        <v>0</v>
      </c>
      <c r="V114" s="864"/>
      <c r="W114" s="1575"/>
      <c r="X114" s="1576"/>
      <c r="Y114" s="1582">
        <f t="shared" ref="Y114:AE114" si="498">SUM(Y115:Y119)</f>
        <v>0</v>
      </c>
      <c r="Z114" s="1582">
        <f t="shared" si="498"/>
        <v>0</v>
      </c>
      <c r="AA114" s="1582">
        <f t="shared" si="498"/>
        <v>4</v>
      </c>
      <c r="AB114" s="1582">
        <f t="shared" si="498"/>
        <v>3</v>
      </c>
      <c r="AC114" s="1582">
        <f t="shared" si="498"/>
        <v>0</v>
      </c>
      <c r="AD114" s="1582">
        <f t="shared" si="498"/>
        <v>0</v>
      </c>
      <c r="AE114" s="1582">
        <f t="shared" si="498"/>
        <v>0</v>
      </c>
      <c r="AF114" s="878"/>
      <c r="AG114" s="889"/>
      <c r="AH114" s="864">
        <f>SUM(AH115:AH119)</f>
        <v>0</v>
      </c>
      <c r="AI114" s="864">
        <f t="shared" ref="AI114" si="499">SUM(AI115:AI119)</f>
        <v>0</v>
      </c>
      <c r="AJ114" s="864">
        <f t="shared" ref="AJ114" si="500">SUM(AJ115:AJ119)</f>
        <v>0</v>
      </c>
      <c r="AK114" s="864">
        <f t="shared" ref="AK114" si="501">SUM(AK115:AK119)</f>
        <v>0</v>
      </c>
      <c r="AL114" s="864">
        <f t="shared" ref="AL114" si="502">SUM(AL115:AL119)</f>
        <v>0</v>
      </c>
      <c r="AM114" s="864">
        <f t="shared" ref="AM114" si="503">SUM(AM115:AM119)</f>
        <v>0</v>
      </c>
      <c r="AN114" s="864">
        <f t="shared" ref="AN114" si="504">SUM(AN115:AN119)</f>
        <v>0</v>
      </c>
      <c r="AO114" s="864">
        <f t="shared" si="439"/>
        <v>0</v>
      </c>
      <c r="AP114" s="864"/>
      <c r="AQ114" s="1582"/>
      <c r="AR114" s="1582"/>
      <c r="AS114" s="1582">
        <f t="shared" ref="AS114" si="505">SUM(AS115:AS119)</f>
        <v>0</v>
      </c>
      <c r="AT114" s="1582">
        <f t="shared" ref="AT114" si="506">SUM(AT115:AT119)</f>
        <v>0</v>
      </c>
      <c r="AU114" s="1582">
        <f t="shared" ref="AU114" si="507">SUM(AU115:AU119)</f>
        <v>682</v>
      </c>
      <c r="AV114" s="1582">
        <f t="shared" ref="AV114" si="508">SUM(AV115:AV119)</f>
        <v>220</v>
      </c>
      <c r="AW114" s="1582">
        <f t="shared" ref="AW114" si="509">SUM(AW115:AW119)</f>
        <v>0</v>
      </c>
      <c r="AX114" s="1582">
        <f t="shared" ref="AX114" si="510">SUM(AX115:AX119)</f>
        <v>0</v>
      </c>
      <c r="AY114" s="1582">
        <f t="shared" ref="AY114" si="511">SUM(AY115:AY119)</f>
        <v>0</v>
      </c>
      <c r="AZ114" s="864"/>
      <c r="BA114" s="889"/>
      <c r="BB114" s="864">
        <f>SUM(BB115:BB119)</f>
        <v>0</v>
      </c>
      <c r="BC114" s="864">
        <f t="shared" ref="BC114" si="512">SUM(BC115:BC119)</f>
        <v>0</v>
      </c>
      <c r="BD114" s="864">
        <f t="shared" ref="BD114" si="513">SUM(BD115:BD119)</f>
        <v>0</v>
      </c>
      <c r="BE114" s="864">
        <f t="shared" ref="BE114" si="514">SUM(BE115:BE119)</f>
        <v>0</v>
      </c>
      <c r="BF114" s="864">
        <f t="shared" ref="BF114" si="515">SUM(BF115:BF119)</f>
        <v>0</v>
      </c>
      <c r="BG114" s="864">
        <f t="shared" ref="BG114" si="516">SUM(BG115:BG119)</f>
        <v>0</v>
      </c>
      <c r="BH114" s="864">
        <f t="shared" ref="BH114" si="517">SUM(BH115:BH119)</f>
        <v>0</v>
      </c>
      <c r="BI114" s="864">
        <f t="shared" si="453"/>
        <v>0</v>
      </c>
      <c r="BJ114" s="864"/>
      <c r="BK114" s="1582"/>
      <c r="BL114" s="1582"/>
      <c r="BM114" s="1582">
        <f t="shared" ref="BM114" si="518">SUM(BM115:BM119)</f>
        <v>0</v>
      </c>
      <c r="BN114" s="1582">
        <f t="shared" ref="BN114" si="519">SUM(BN115:BN119)</f>
        <v>0</v>
      </c>
      <c r="BO114" s="1582">
        <f t="shared" ref="BO114" si="520">SUM(BO115:BO119)</f>
        <v>12</v>
      </c>
      <c r="BP114" s="1582">
        <f t="shared" ref="BP114" si="521">SUM(BP115:BP119)</f>
        <v>6</v>
      </c>
      <c r="BQ114" s="1582">
        <f t="shared" ref="BQ114" si="522">SUM(BQ115:BQ119)</f>
        <v>0</v>
      </c>
      <c r="BR114" s="1582">
        <f t="shared" ref="BR114" si="523">SUM(BR115:BR119)</f>
        <v>0</v>
      </c>
      <c r="BS114" s="1582">
        <f t="shared" ref="BS114" si="524">SUM(BS115:BS119)</f>
        <v>0</v>
      </c>
      <c r="BT114" s="864"/>
      <c r="BU114" s="540"/>
      <c r="BV114" s="864">
        <v>0</v>
      </c>
      <c r="BW114" s="864">
        <v>0</v>
      </c>
      <c r="BX114" s="864">
        <v>0</v>
      </c>
      <c r="BY114" s="864">
        <v>0</v>
      </c>
      <c r="BZ114" s="864">
        <v>0</v>
      </c>
      <c r="CA114" s="864">
        <v>0</v>
      </c>
      <c r="CB114" s="864">
        <v>0</v>
      </c>
      <c r="CC114" s="864">
        <v>0</v>
      </c>
      <c r="CD114" s="864"/>
      <c r="CE114" s="1582"/>
      <c r="CF114" s="1582"/>
      <c r="CG114" s="1582">
        <f t="shared" ref="CG114:CM114" si="525">SUM(CG115:CG119)</f>
        <v>0</v>
      </c>
      <c r="CH114" s="1582">
        <f t="shared" si="525"/>
        <v>0</v>
      </c>
      <c r="CI114" s="1582">
        <f t="shared" si="525"/>
        <v>81</v>
      </c>
      <c r="CJ114" s="1582">
        <f t="shared" si="525"/>
        <v>60</v>
      </c>
      <c r="CK114" s="1582">
        <f t="shared" si="525"/>
        <v>0</v>
      </c>
      <c r="CL114" s="1582">
        <f t="shared" si="525"/>
        <v>0</v>
      </c>
      <c r="CM114" s="1582">
        <f t="shared" si="525"/>
        <v>0</v>
      </c>
      <c r="CN114" s="864"/>
      <c r="CO114" s="540"/>
      <c r="CP114" s="864">
        <f>SUM(CP115:CP119)</f>
        <v>0</v>
      </c>
      <c r="CQ114" s="864">
        <f t="shared" ref="CQ114" si="526">SUM(CQ115:CQ119)</f>
        <v>0</v>
      </c>
      <c r="CR114" s="864">
        <f t="shared" ref="CR114" si="527">SUM(CR115:CR119)</f>
        <v>0</v>
      </c>
      <c r="CS114" s="864">
        <f t="shared" ref="CS114" si="528">SUM(CS115:CS119)</f>
        <v>0</v>
      </c>
      <c r="CT114" s="864">
        <f t="shared" ref="CT114" si="529">SUM(CT115:CT119)</f>
        <v>0</v>
      </c>
      <c r="CU114" s="864">
        <f t="shared" ref="CU114" si="530">SUM(CU115:CU119)</f>
        <v>0</v>
      </c>
      <c r="CV114" s="864">
        <f t="shared" ref="CV114" si="531">SUM(CV115:CV119)</f>
        <v>0</v>
      </c>
      <c r="CW114" s="864">
        <f t="shared" si="467"/>
        <v>0</v>
      </c>
      <c r="CX114" s="864"/>
      <c r="CY114" s="1594"/>
      <c r="CZ114" s="1594"/>
      <c r="DA114" s="1594"/>
      <c r="DB114" s="1594"/>
      <c r="DC114" s="1594"/>
      <c r="DD114" s="1594"/>
      <c r="DE114" s="1594"/>
      <c r="DF114" s="1594"/>
      <c r="DG114" s="1594"/>
      <c r="DH114" s="864"/>
      <c r="DI114" s="540"/>
      <c r="DJ114" s="864"/>
      <c r="DK114" s="864"/>
      <c r="DL114" s="864"/>
      <c r="DM114" s="864"/>
      <c r="DN114" s="864"/>
      <c r="DO114" s="864"/>
      <c r="DP114" s="864"/>
      <c r="DQ114" s="864"/>
      <c r="DR114" s="864"/>
      <c r="DS114" s="1594"/>
      <c r="DT114" s="1594"/>
      <c r="DU114" s="1594"/>
      <c r="DV114" s="1594"/>
      <c r="DW114" s="1594"/>
      <c r="DX114" s="1594"/>
      <c r="DY114" s="1594"/>
      <c r="DZ114" s="1594"/>
      <c r="EA114" s="1594"/>
      <c r="EB114" s="864"/>
      <c r="EC114" s="540"/>
      <c r="ED114" s="890"/>
      <c r="EE114" s="1594"/>
      <c r="EF114" s="1594"/>
      <c r="EG114" s="1594"/>
      <c r="EH114" s="1594"/>
      <c r="EI114" s="1594"/>
      <c r="EJ114" s="1594"/>
      <c r="EK114" s="1594"/>
      <c r="EL114" s="1594"/>
      <c r="EM114" s="1594"/>
    </row>
    <row r="115" spans="1:143" ht="64.5" thickTop="1" thickBot="1" x14ac:dyDescent="0.3">
      <c r="A115" s="345" t="str">
        <f>CONCATENATE('3 pr-2'!A115)</f>
        <v>2.1.1.3.1</v>
      </c>
      <c r="B115" s="345" t="str">
        <f>CONCATENATE('3 pr-2'!B115)</f>
        <v>R01-7705-230000-2131</v>
      </c>
      <c r="C115" s="1321" t="str">
        <f>CONCATENATE('ketv. 2'!B114)</f>
        <v>09.1.3-CPVA-R-705-11-0003</v>
      </c>
      <c r="D115" s="312" t="str">
        <f>CONCATENATE('3 pr-2'!D115)</f>
        <v>Varėnos "Pasakos" vaikų lopšelio-darželio pastato modernizavimas</v>
      </c>
      <c r="E115" s="312" t="str">
        <f>CONCATENATE('3 pr-2'!E115)</f>
        <v>Varėnos rajono savivaldybės administracija</v>
      </c>
      <c r="F115" s="312" t="str">
        <f>CONCATENATE('3 pr-2'!F115)</f>
        <v>Lietuvos Respublikos švietimo ir mokslo ministerija</v>
      </c>
      <c r="G115" s="312" t="str">
        <f>CONCATENATE('3 pr-2'!G115)</f>
        <v>Varėnos r. sav.</v>
      </c>
      <c r="H115" s="345" t="str">
        <f>CONCATENATE('3 pr-2'!H115)</f>
        <v>09.1.3-CPVA-R-705</v>
      </c>
      <c r="I115" s="345" t="str">
        <f>CONCATENATE('3 pr-2'!I115)</f>
        <v>R</v>
      </c>
      <c r="J115" s="345" t="str">
        <f>CONCATENATE('3 pr-2'!J115)</f>
        <v>-</v>
      </c>
      <c r="K115" s="345" t="str">
        <f>CONCATENATE('3 pr-2'!K115)</f>
        <v>-</v>
      </c>
      <c r="L115" s="345" t="s">
        <v>517</v>
      </c>
      <c r="M115" s="537" t="s">
        <v>518</v>
      </c>
      <c r="N115" s="345"/>
      <c r="O115" s="345"/>
      <c r="P115" s="345"/>
      <c r="Q115" s="345"/>
      <c r="R115" s="345"/>
      <c r="S115" s="345"/>
      <c r="T115" s="345"/>
      <c r="U115" s="893">
        <f t="shared" si="497"/>
        <v>0</v>
      </c>
      <c r="V115" s="345">
        <v>1</v>
      </c>
      <c r="W115" s="1578">
        <v>1</v>
      </c>
      <c r="X115" s="1579">
        <f t="shared" ref="X115:X119" si="532">SUM(W115-V115)</f>
        <v>0</v>
      </c>
      <c r="Y115" s="1579">
        <f>IF(YEAR('3 pr-2'!$AK115)=2017,$V115,0)</f>
        <v>0</v>
      </c>
      <c r="Z115" s="1579">
        <f>IF(YEAR('3 pr-2'!$AK115)=2018,$V115,0)</f>
        <v>0</v>
      </c>
      <c r="AA115" s="1579">
        <f>IF(YEAR('3 pr-2'!$AK115)=2019,$V115,0)</f>
        <v>1</v>
      </c>
      <c r="AB115" s="1579">
        <f>IF(YEAR('3 pr-2'!$AK115)=2020,$V115,0)</f>
        <v>0</v>
      </c>
      <c r="AC115" s="1579">
        <f>IF(YEAR('3 pr-2'!$AK115)=2021,$V115,0)</f>
        <v>0</v>
      </c>
      <c r="AD115" s="1579">
        <f>IF(YEAR('3 pr-2'!$AK115)=2022,$V115,0)</f>
        <v>0</v>
      </c>
      <c r="AE115" s="1579">
        <f>IF(YEAR('3 pr-2'!$AK115)=2023,$V115,0)</f>
        <v>0</v>
      </c>
      <c r="AF115" s="350" t="s">
        <v>513</v>
      </c>
      <c r="AG115" s="537" t="s">
        <v>514</v>
      </c>
      <c r="AH115" s="345"/>
      <c r="AI115" s="345"/>
      <c r="AJ115" s="345"/>
      <c r="AK115" s="345"/>
      <c r="AL115" s="345"/>
      <c r="AM115" s="345"/>
      <c r="AN115" s="345"/>
      <c r="AO115" s="895">
        <f t="shared" si="439"/>
        <v>0</v>
      </c>
      <c r="AP115" s="345">
        <v>205</v>
      </c>
      <c r="AQ115" s="1597">
        <v>205</v>
      </c>
      <c r="AR115" s="1579">
        <f t="shared" ref="AR115:AR119" si="533">SUM(AQ115-AP115)</f>
        <v>0</v>
      </c>
      <c r="AS115" s="1579">
        <f>IF(YEAR('3 pr-2'!$AK115)=2017,$AP115,0)</f>
        <v>0</v>
      </c>
      <c r="AT115" s="1579">
        <f>IF(YEAR('3 pr-2'!$AK115)=2018,$AP115,0)</f>
        <v>0</v>
      </c>
      <c r="AU115" s="1579">
        <f>IF(YEAR('3 pr-2'!$AK115)=2019,$AP115,0)</f>
        <v>205</v>
      </c>
      <c r="AV115" s="1579">
        <f>IF(YEAR('3 pr-2'!$AK115)=2020,$AP115,0)</f>
        <v>0</v>
      </c>
      <c r="AW115" s="1579">
        <f>IF(YEAR('3 pr-2'!$AK115)=2021,$AP115,0)</f>
        <v>0</v>
      </c>
      <c r="AX115" s="1579">
        <f>IF(YEAR('3 pr-2'!$AK115)=2022,$AP115,0)</f>
        <v>0</v>
      </c>
      <c r="AY115" s="1579">
        <f>IF(YEAR('3 pr-2'!$AK115)=2023,$AP115,0)</f>
        <v>0</v>
      </c>
      <c r="AZ115" s="345" t="s">
        <v>598</v>
      </c>
      <c r="BA115" s="536" t="s">
        <v>599</v>
      </c>
      <c r="BB115" s="345"/>
      <c r="BC115" s="345"/>
      <c r="BD115" s="345"/>
      <c r="BE115" s="345"/>
      <c r="BF115" s="345"/>
      <c r="BG115" s="345"/>
      <c r="BH115" s="345"/>
      <c r="BI115" s="895">
        <f t="shared" si="453"/>
        <v>0</v>
      </c>
      <c r="BJ115" s="345">
        <v>3</v>
      </c>
      <c r="BK115" s="1597">
        <v>3</v>
      </c>
      <c r="BL115" s="1579">
        <f t="shared" ref="BL115:BL119" si="534">SUM(BK115-BJ115)</f>
        <v>0</v>
      </c>
      <c r="BM115" s="1579">
        <f>IF(YEAR('3 pr-2'!$AK115)=2017,$BJ115,0)</f>
        <v>0</v>
      </c>
      <c r="BN115" s="1579">
        <f>IF(YEAR('3 pr-2'!$AK115)=2018,$BJ115,0)</f>
        <v>0</v>
      </c>
      <c r="BO115" s="1579">
        <f>IF(YEAR('3 pr-2'!$AK115)=2019,$BJ115,0)</f>
        <v>3</v>
      </c>
      <c r="BP115" s="1579">
        <f>IF(YEAR('3 pr-2'!$AK115)=2020,$BJ115,0)</f>
        <v>0</v>
      </c>
      <c r="BQ115" s="1579">
        <f>IF(YEAR('3 pr-2'!$AK115)=2021,$BJ115,0)</f>
        <v>0</v>
      </c>
      <c r="BR115" s="1579">
        <f>IF(YEAR('3 pr-2'!$AK115)=2022,$BJ115,0)</f>
        <v>0</v>
      </c>
      <c r="BS115" s="1579">
        <f>IF(YEAR('3 pr-2'!$AK115)=2023,$BJ115,0)</f>
        <v>0</v>
      </c>
      <c r="BT115" s="350" t="s">
        <v>797</v>
      </c>
      <c r="BU115" s="537" t="s">
        <v>798</v>
      </c>
      <c r="BV115" s="345"/>
      <c r="BW115" s="345"/>
      <c r="BX115" s="345"/>
      <c r="BY115" s="345"/>
      <c r="BZ115" s="345"/>
      <c r="CA115" s="345"/>
      <c r="CB115" s="345"/>
      <c r="CC115" s="895">
        <v>0</v>
      </c>
      <c r="CD115" s="345">
        <v>35</v>
      </c>
      <c r="CE115" s="1579">
        <v>35</v>
      </c>
      <c r="CF115" s="1579">
        <f t="shared" ref="CF115:CF119" si="535">SUM(CE115-CD115)</f>
        <v>0</v>
      </c>
      <c r="CG115" s="1579">
        <f>IF(YEAR('3 pr-2'!$AK115)=2017,$CD115,0)</f>
        <v>0</v>
      </c>
      <c r="CH115" s="1579">
        <f>IF(YEAR('3 pr-2'!$AK115)=2018,$CD115,0)</f>
        <v>0</v>
      </c>
      <c r="CI115" s="1579">
        <f>IF(YEAR('3 pr-2'!$AK115)=2019,$CD115,0)</f>
        <v>35</v>
      </c>
      <c r="CJ115" s="1579">
        <f>IF(YEAR('3 pr-2'!$AK115)=2020,$CD115,0)</f>
        <v>0</v>
      </c>
      <c r="CK115" s="1579">
        <f>IF(YEAR('3 pr-2'!$AK115)=2021,$CD115,0)</f>
        <v>0</v>
      </c>
      <c r="CL115" s="1579">
        <f>IF(YEAR('3 pr-2'!$AK115)=2022,$CD115,0)</f>
        <v>0</v>
      </c>
      <c r="CM115" s="1579">
        <f>IF(YEAR('3 pr-2'!$AK115)=2023,$CD115,0)</f>
        <v>0</v>
      </c>
      <c r="CN115" s="350"/>
      <c r="CO115" s="538"/>
      <c r="CP115" s="345"/>
      <c r="CQ115" s="345"/>
      <c r="CR115" s="345"/>
      <c r="CS115" s="345"/>
      <c r="CT115" s="345"/>
      <c r="CU115" s="345"/>
      <c r="CV115" s="345"/>
      <c r="CW115" s="895">
        <f t="shared" si="467"/>
        <v>0</v>
      </c>
      <c r="CX115" s="351"/>
      <c r="CY115" s="1605"/>
      <c r="CZ115" s="1605"/>
      <c r="DA115" s="1594">
        <f>IF(YEAR('3 pr-2'!AK115)=2017,CX115,0)</f>
        <v>0</v>
      </c>
      <c r="DB115" s="1594">
        <f>IF(YEAR('3 pr-2'!AK115)=2018,CX115,0)</f>
        <v>0</v>
      </c>
      <c r="DC115" s="1594">
        <f>IF(YEAR('3 pr-2'!AK115)=2019,CX115,0)</f>
        <v>0</v>
      </c>
      <c r="DD115" s="1594">
        <f>IF(YEAR('3 pr-2'!AK115)=2020,CX115,0)</f>
        <v>0</v>
      </c>
      <c r="DE115" s="1594">
        <f>IF(YEAR('3 pr-2'!AK115)=2021,CX115,0)</f>
        <v>0</v>
      </c>
      <c r="DF115" s="1594">
        <f>IF(YEAR('3 pr-2'!AK115)=2022,CX115,0)</f>
        <v>0</v>
      </c>
      <c r="DG115" s="1594">
        <f>IF(YEAR('3 pr-2'!AK115)=2023,CX115,0)</f>
        <v>0</v>
      </c>
      <c r="DH115" s="350"/>
      <c r="DI115" s="538"/>
      <c r="DJ115" s="345"/>
      <c r="DK115" s="345"/>
      <c r="DL115" s="345"/>
      <c r="DM115" s="345"/>
      <c r="DN115" s="345"/>
      <c r="DO115" s="345"/>
      <c r="DP115" s="345"/>
      <c r="DQ115" s="895"/>
      <c r="DR115" s="351"/>
      <c r="DS115" s="1605"/>
      <c r="DT115" s="1605"/>
      <c r="DU115" s="1594"/>
      <c r="DV115" s="1594"/>
      <c r="DW115" s="1594"/>
      <c r="DX115" s="1594"/>
      <c r="DY115" s="1594"/>
      <c r="DZ115" s="1594"/>
      <c r="EA115" s="1594"/>
      <c r="EB115" s="350"/>
      <c r="EC115" s="538"/>
      <c r="ED115" s="333"/>
      <c r="EE115" s="1605"/>
      <c r="EF115" s="1605"/>
      <c r="EG115" s="1594">
        <f>IF(YEAR('3 pr-2'!BP115)=2017,ED115,0)</f>
        <v>0</v>
      </c>
      <c r="EH115" s="1594">
        <f>IF(YEAR('3 pr-2'!BP115)=2018,ED115,0)</f>
        <v>0</v>
      </c>
      <c r="EI115" s="1594">
        <f>IF(YEAR('3 pr-2'!BP115)=2019,ED115,0)</f>
        <v>0</v>
      </c>
      <c r="EJ115" s="1594">
        <f>IF(YEAR('3 pr-2'!BP115)=2020,ED115,0)</f>
        <v>0</v>
      </c>
      <c r="EK115" s="1594">
        <f>IF(YEAR('3 pr-2'!BP115)=2021,ED115,0)</f>
        <v>0</v>
      </c>
      <c r="EL115" s="1594">
        <f>IF(YEAR('3 pr-2'!BP115)=2022,ED115,0)</f>
        <v>0</v>
      </c>
      <c r="EM115" s="1594">
        <f>IF(YEAR('3 pr-2'!BP115)=2023,ED115,0)</f>
        <v>0</v>
      </c>
    </row>
    <row r="116" spans="1:143" ht="85.5" thickTop="1" thickBot="1" x14ac:dyDescent="0.3">
      <c r="A116" s="345" t="str">
        <f>CONCATENATE('3 pr-2'!A116)</f>
        <v>2.1.1.3.2</v>
      </c>
      <c r="B116" s="345" t="str">
        <f>CONCATENATE('3 pr-2'!B116)</f>
        <v>R01-7705-230000-2132</v>
      </c>
      <c r="C116" s="1321" t="str">
        <f>CONCATENATE('ketv. 2'!B115)</f>
        <v>09.1.3-CPVA-R-705-11-0004</v>
      </c>
      <c r="D116" s="312" t="str">
        <f>CONCATENATE('3 pr-2'!D116)</f>
        <v>Alytaus r. ikimokyklinio ir priešmokyklinio ugdymo prieinamumo didinimas įkuriant ir atnaujinant edukacines erdves</v>
      </c>
      <c r="E116" s="312" t="str">
        <f>CONCATENATE('3 pr-2'!E116)</f>
        <v>Alytaus rajono savivaldybės administracija</v>
      </c>
      <c r="F116" s="312" t="str">
        <f>CONCATENATE('3 pr-2'!F116)</f>
        <v>Lietuvos Respublikos švietimo ir mokslo ministerija</v>
      </c>
      <c r="G116" s="312" t="str">
        <f>CONCATENATE('3 pr-2'!G116)</f>
        <v>Alytaus r. sav.</v>
      </c>
      <c r="H116" s="345" t="str">
        <f>CONCATENATE('3 pr-2'!H116)</f>
        <v>09.1.3-CPVA-R-705</v>
      </c>
      <c r="I116" s="345" t="str">
        <f>CONCATENATE('3 pr-2'!I116)</f>
        <v>R</v>
      </c>
      <c r="J116" s="345" t="str">
        <f>CONCATENATE('3 pr-2'!J116)</f>
        <v/>
      </c>
      <c r="K116" s="345" t="str">
        <f>CONCATENATE('3 pr-2'!K116)</f>
        <v/>
      </c>
      <c r="L116" s="345" t="s">
        <v>517</v>
      </c>
      <c r="M116" s="537" t="s">
        <v>518</v>
      </c>
      <c r="N116" s="345"/>
      <c r="O116" s="345"/>
      <c r="P116" s="345"/>
      <c r="Q116" s="345"/>
      <c r="R116" s="345"/>
      <c r="S116" s="345"/>
      <c r="T116" s="345"/>
      <c r="U116" s="893">
        <f t="shared" si="497"/>
        <v>0</v>
      </c>
      <c r="V116" s="345">
        <v>3</v>
      </c>
      <c r="W116" s="1578">
        <v>3</v>
      </c>
      <c r="X116" s="1579">
        <f t="shared" si="532"/>
        <v>0</v>
      </c>
      <c r="Y116" s="1579">
        <f>IF(YEAR('3 pr-2'!$AK116)=2017,$V116,0)</f>
        <v>0</v>
      </c>
      <c r="Z116" s="1579">
        <f>IF(YEAR('3 pr-2'!$AK116)=2018,$V116,0)</f>
        <v>0</v>
      </c>
      <c r="AA116" s="1579">
        <f>IF(YEAR('3 pr-2'!$AK116)=2019,$V116,0)</f>
        <v>0</v>
      </c>
      <c r="AB116" s="1579">
        <f>IF(YEAR('3 pr-2'!$AK116)=2020,$V116,0)</f>
        <v>3</v>
      </c>
      <c r="AC116" s="1579">
        <f>IF(YEAR('3 pr-2'!$AK116)=2021,$V116,0)</f>
        <v>0</v>
      </c>
      <c r="AD116" s="1579">
        <f>IF(YEAR('3 pr-2'!$AK116)=2022,$V116,0)</f>
        <v>0</v>
      </c>
      <c r="AE116" s="1579">
        <f>IF(YEAR('3 pr-2'!$AK116)=2023,$V116,0)</f>
        <v>0</v>
      </c>
      <c r="AF116" s="350" t="s">
        <v>513</v>
      </c>
      <c r="AG116" s="537" t="s">
        <v>514</v>
      </c>
      <c r="AH116" s="345"/>
      <c r="AI116" s="345"/>
      <c r="AJ116" s="345"/>
      <c r="AK116" s="345"/>
      <c r="AL116" s="345"/>
      <c r="AM116" s="345"/>
      <c r="AN116" s="345"/>
      <c r="AO116" s="895">
        <f t="shared" si="439"/>
        <v>0</v>
      </c>
      <c r="AP116" s="345">
        <v>220</v>
      </c>
      <c r="AQ116" s="1597">
        <v>220</v>
      </c>
      <c r="AR116" s="1579">
        <f t="shared" si="533"/>
        <v>0</v>
      </c>
      <c r="AS116" s="1579">
        <f>IF(YEAR('3 pr-2'!$AK116)=2017,$AP116,0)</f>
        <v>0</v>
      </c>
      <c r="AT116" s="1579">
        <f>IF(YEAR('3 pr-2'!$AK116)=2018,$AP116,0)</f>
        <v>0</v>
      </c>
      <c r="AU116" s="1579">
        <f>IF(YEAR('3 pr-2'!$AK116)=2019,$AP116,0)</f>
        <v>0</v>
      </c>
      <c r="AV116" s="1579">
        <f>IF(YEAR('3 pr-2'!$AK116)=2020,$AP116,0)</f>
        <v>220</v>
      </c>
      <c r="AW116" s="1579">
        <f>IF(YEAR('3 pr-2'!$AK116)=2021,$AP116,0)</f>
        <v>0</v>
      </c>
      <c r="AX116" s="1579">
        <f>IF(YEAR('3 pr-2'!$AK116)=2022,$AP116,0)</f>
        <v>0</v>
      </c>
      <c r="AY116" s="1579">
        <f>IF(YEAR('3 pr-2'!$AK116)=2023,$AP116,0)</f>
        <v>0</v>
      </c>
      <c r="AZ116" s="345" t="s">
        <v>598</v>
      </c>
      <c r="BA116" s="536" t="s">
        <v>599</v>
      </c>
      <c r="BB116" s="345"/>
      <c r="BC116" s="345"/>
      <c r="BD116" s="345"/>
      <c r="BE116" s="345"/>
      <c r="BF116" s="345"/>
      <c r="BG116" s="345"/>
      <c r="BH116" s="345"/>
      <c r="BI116" s="895">
        <f t="shared" si="453"/>
        <v>0</v>
      </c>
      <c r="BJ116" s="345">
        <v>6</v>
      </c>
      <c r="BK116" s="1597">
        <v>6</v>
      </c>
      <c r="BL116" s="1579">
        <f t="shared" si="534"/>
        <v>0</v>
      </c>
      <c r="BM116" s="1579">
        <f>IF(YEAR('3 pr-2'!$AK116)=2017,$BJ116,0)</f>
        <v>0</v>
      </c>
      <c r="BN116" s="1579">
        <f>IF(YEAR('3 pr-2'!$AK116)=2018,$BJ116,0)</f>
        <v>0</v>
      </c>
      <c r="BO116" s="1579">
        <f>IF(YEAR('3 pr-2'!$AK116)=2019,$BJ116,0)</f>
        <v>0</v>
      </c>
      <c r="BP116" s="1579">
        <f>IF(YEAR('3 pr-2'!$AK116)=2020,$BJ116,0)</f>
        <v>6</v>
      </c>
      <c r="BQ116" s="1579">
        <f>IF(YEAR('3 pr-2'!$AK116)=2021,$BJ116,0)</f>
        <v>0</v>
      </c>
      <c r="BR116" s="1579">
        <f>IF(YEAR('3 pr-2'!$AK116)=2022,$BJ116,0)</f>
        <v>0</v>
      </c>
      <c r="BS116" s="1579">
        <f>IF(YEAR('3 pr-2'!$AK116)=2023,$BJ116,0)</f>
        <v>0</v>
      </c>
      <c r="BT116" s="350" t="s">
        <v>797</v>
      </c>
      <c r="BU116" s="537" t="s">
        <v>798</v>
      </c>
      <c r="BV116" s="345"/>
      <c r="BW116" s="345"/>
      <c r="BX116" s="345"/>
      <c r="BY116" s="345"/>
      <c r="BZ116" s="345"/>
      <c r="CA116" s="345"/>
      <c r="CB116" s="345"/>
      <c r="CC116" s="895">
        <v>0</v>
      </c>
      <c r="CD116" s="345">
        <v>60</v>
      </c>
      <c r="CE116" s="1579">
        <v>60</v>
      </c>
      <c r="CF116" s="1579">
        <f t="shared" si="535"/>
        <v>0</v>
      </c>
      <c r="CG116" s="1579">
        <f>IF(YEAR('3 pr-2'!$AK116)=2017,$CD116,0)</f>
        <v>0</v>
      </c>
      <c r="CH116" s="1579">
        <f>IF(YEAR('3 pr-2'!$AK116)=2018,$CD116,0)</f>
        <v>0</v>
      </c>
      <c r="CI116" s="1579">
        <f>IF(YEAR('3 pr-2'!$AK116)=2019,$CD116,0)</f>
        <v>0</v>
      </c>
      <c r="CJ116" s="1579">
        <f>IF(YEAR('3 pr-2'!$AK116)=2020,$CD116,0)</f>
        <v>60</v>
      </c>
      <c r="CK116" s="1579">
        <f>IF(YEAR('3 pr-2'!$AK116)=2021,$CD116,0)</f>
        <v>0</v>
      </c>
      <c r="CL116" s="1579">
        <f>IF(YEAR('3 pr-2'!$AK116)=2022,$CD116,0)</f>
        <v>0</v>
      </c>
      <c r="CM116" s="1579">
        <f>IF(YEAR('3 pr-2'!$AK116)=2023,$CD116,0)</f>
        <v>0</v>
      </c>
      <c r="CN116" s="350"/>
      <c r="CO116" s="538"/>
      <c r="CP116" s="345"/>
      <c r="CQ116" s="345"/>
      <c r="CR116" s="345"/>
      <c r="CS116" s="345"/>
      <c r="CT116" s="345"/>
      <c r="CU116" s="345"/>
      <c r="CV116" s="345"/>
      <c r="CW116" s="895">
        <f t="shared" si="467"/>
        <v>0</v>
      </c>
      <c r="CX116" s="351"/>
      <c r="CY116" s="1605"/>
      <c r="CZ116" s="1605"/>
      <c r="DA116" s="1594">
        <f>IF(YEAR('3 pr-2'!AK116)=2017,CX116,0)</f>
        <v>0</v>
      </c>
      <c r="DB116" s="1594">
        <f>IF(YEAR('3 pr-2'!AK116)=2018,CX116,0)</f>
        <v>0</v>
      </c>
      <c r="DC116" s="1594">
        <f>IF(YEAR('3 pr-2'!AK116)=2019,CX116,0)</f>
        <v>0</v>
      </c>
      <c r="DD116" s="1594">
        <f>IF(YEAR('3 pr-2'!AK116)=2020,CX116,0)</f>
        <v>0</v>
      </c>
      <c r="DE116" s="1594">
        <f>IF(YEAR('3 pr-2'!AK116)=2021,CX116,0)</f>
        <v>0</v>
      </c>
      <c r="DF116" s="1594">
        <f>IF(YEAR('3 pr-2'!AK116)=2022,CX116,0)</f>
        <v>0</v>
      </c>
      <c r="DG116" s="1594">
        <f>IF(YEAR('3 pr-2'!AK116)=2023,CX116,0)</f>
        <v>0</v>
      </c>
      <c r="DH116" s="350"/>
      <c r="DI116" s="538"/>
      <c r="DJ116" s="345"/>
      <c r="DK116" s="345"/>
      <c r="DL116" s="345"/>
      <c r="DM116" s="345"/>
      <c r="DN116" s="345"/>
      <c r="DO116" s="345"/>
      <c r="DP116" s="345"/>
      <c r="DQ116" s="895"/>
      <c r="DR116" s="351"/>
      <c r="DS116" s="1605"/>
      <c r="DT116" s="1605"/>
      <c r="DU116" s="1594"/>
      <c r="DV116" s="1594"/>
      <c r="DW116" s="1594"/>
      <c r="DX116" s="1594"/>
      <c r="DY116" s="1594"/>
      <c r="DZ116" s="1594"/>
      <c r="EA116" s="1594"/>
      <c r="EB116" s="350"/>
      <c r="EC116" s="538"/>
      <c r="ED116" s="333"/>
      <c r="EE116" s="1605"/>
      <c r="EF116" s="1605"/>
      <c r="EG116" s="1594">
        <f>IF(YEAR('3 pr-2'!BP116)=2017,ED116,0)</f>
        <v>0</v>
      </c>
      <c r="EH116" s="1594">
        <f>IF(YEAR('3 pr-2'!BP116)=2018,ED116,0)</f>
        <v>0</v>
      </c>
      <c r="EI116" s="1594">
        <f>IF(YEAR('3 pr-2'!BP116)=2019,ED116,0)</f>
        <v>0</v>
      </c>
      <c r="EJ116" s="1594">
        <f>IF(YEAR('3 pr-2'!BP116)=2020,ED116,0)</f>
        <v>0</v>
      </c>
      <c r="EK116" s="1594">
        <f>IF(YEAR('3 pr-2'!BP116)=2021,ED116,0)</f>
        <v>0</v>
      </c>
      <c r="EL116" s="1594">
        <f>IF(YEAR('3 pr-2'!BP116)=2022,ED116,0)</f>
        <v>0</v>
      </c>
      <c r="EM116" s="1594">
        <f>IF(YEAR('3 pr-2'!BP116)=2023,ED116,0)</f>
        <v>0</v>
      </c>
    </row>
    <row r="117" spans="1:143" ht="64.5" thickTop="1" thickBot="1" x14ac:dyDescent="0.3">
      <c r="A117" s="345" t="str">
        <f>CONCATENATE('3 pr-2'!A117)</f>
        <v>2.1.1.3.3</v>
      </c>
      <c r="B117" s="345" t="str">
        <f>CONCATENATE('3 pr-2'!B117)</f>
        <v>R01-7705-230000-2133</v>
      </c>
      <c r="C117" s="1321" t="str">
        <f>CONCATENATE('ketv. 2'!B116)</f>
        <v>09.1.3-CPVA-R-705-11-0001</v>
      </c>
      <c r="D117" s="312" t="str">
        <f>CONCATENATE('3 pr-2'!D117)</f>
        <v>Alytaus lopšelio-darželio " Girinukas" ugdymo aplinkos modernizavimas</v>
      </c>
      <c r="E117" s="312" t="str">
        <f>CONCATENATE('3 pr-2'!E117)</f>
        <v>Alytaus miesto savivaldybės administracija</v>
      </c>
      <c r="F117" s="312" t="str">
        <f>CONCATENATE('3 pr-2'!F117)</f>
        <v>Lietuvos Respublikos švietimo ir mokslo ministerija</v>
      </c>
      <c r="G117" s="312" t="str">
        <f>CONCATENATE('3 pr-2'!G117)</f>
        <v>Alytaus m. sav.</v>
      </c>
      <c r="H117" s="345" t="str">
        <f>CONCATENATE('3 pr-2'!H117)</f>
        <v>09.1.3-CPVA-R-705</v>
      </c>
      <c r="I117" s="345" t="str">
        <f>CONCATENATE('3 pr-2'!I117)</f>
        <v>R</v>
      </c>
      <c r="J117" s="345" t="str">
        <f>CONCATENATE('3 pr-2'!J117)</f>
        <v>-</v>
      </c>
      <c r="K117" s="345" t="str">
        <f>CONCATENATE('3 pr-2'!K117)</f>
        <v>-</v>
      </c>
      <c r="L117" s="345" t="s">
        <v>517</v>
      </c>
      <c r="M117" s="537" t="s">
        <v>518</v>
      </c>
      <c r="N117" s="345"/>
      <c r="O117" s="345"/>
      <c r="P117" s="345"/>
      <c r="Q117" s="345"/>
      <c r="R117" s="345"/>
      <c r="S117" s="345"/>
      <c r="T117" s="345"/>
      <c r="U117" s="893">
        <f t="shared" si="497"/>
        <v>0</v>
      </c>
      <c r="V117" s="345">
        <v>1</v>
      </c>
      <c r="W117" s="1578">
        <v>1</v>
      </c>
      <c r="X117" s="1579">
        <f t="shared" si="532"/>
        <v>0</v>
      </c>
      <c r="Y117" s="1579">
        <f>IF(YEAR('3 pr-2'!$AK117)=2017,$V117,0)</f>
        <v>0</v>
      </c>
      <c r="Z117" s="1579">
        <f>IF(YEAR('3 pr-2'!$AK117)=2018,$V117,0)</f>
        <v>0</v>
      </c>
      <c r="AA117" s="1579">
        <f>IF(YEAR('3 pr-2'!$AK117)=2019,$V117,0)</f>
        <v>1</v>
      </c>
      <c r="AB117" s="1579">
        <f>IF(YEAR('3 pr-2'!$AK117)=2020,$V117,0)</f>
        <v>0</v>
      </c>
      <c r="AC117" s="1579">
        <f>IF(YEAR('3 pr-2'!$AK117)=2021,$V117,0)</f>
        <v>0</v>
      </c>
      <c r="AD117" s="1579">
        <f>IF(YEAR('3 pr-2'!$AK117)=2022,$V117,0)</f>
        <v>0</v>
      </c>
      <c r="AE117" s="1579">
        <f>IF(YEAR('3 pr-2'!$AK117)=2023,$V117,0)</f>
        <v>0</v>
      </c>
      <c r="AF117" s="350" t="s">
        <v>513</v>
      </c>
      <c r="AG117" s="537" t="s">
        <v>514</v>
      </c>
      <c r="AH117" s="345"/>
      <c r="AI117" s="345"/>
      <c r="AJ117" s="345"/>
      <c r="AK117" s="345"/>
      <c r="AL117" s="345"/>
      <c r="AM117" s="345"/>
      <c r="AN117" s="345"/>
      <c r="AO117" s="895">
        <f t="shared" si="439"/>
        <v>0</v>
      </c>
      <c r="AP117" s="345">
        <v>221</v>
      </c>
      <c r="AQ117" s="1597">
        <v>221</v>
      </c>
      <c r="AR117" s="1579">
        <f t="shared" si="533"/>
        <v>0</v>
      </c>
      <c r="AS117" s="1579">
        <f>IF(YEAR('3 pr-2'!$AK117)=2017,$AP117,0)</f>
        <v>0</v>
      </c>
      <c r="AT117" s="1579">
        <f>IF(YEAR('3 pr-2'!$AK117)=2018,$AP117,0)</f>
        <v>0</v>
      </c>
      <c r="AU117" s="1579">
        <f>IF(YEAR('3 pr-2'!$AK117)=2019,$AP117,0)</f>
        <v>221</v>
      </c>
      <c r="AV117" s="1579">
        <f>IF(YEAR('3 pr-2'!$AK117)=2020,$AP117,0)</f>
        <v>0</v>
      </c>
      <c r="AW117" s="1579">
        <f>IF(YEAR('3 pr-2'!$AK117)=2021,$AP117,0)</f>
        <v>0</v>
      </c>
      <c r="AX117" s="1579">
        <f>IF(YEAR('3 pr-2'!$AK117)=2022,$AP117,0)</f>
        <v>0</v>
      </c>
      <c r="AY117" s="1579">
        <f>IF(YEAR('3 pr-2'!$AK117)=2023,$AP117,0)</f>
        <v>0</v>
      </c>
      <c r="AZ117" s="345" t="s">
        <v>598</v>
      </c>
      <c r="BA117" s="536" t="s">
        <v>599</v>
      </c>
      <c r="BB117" s="345"/>
      <c r="BC117" s="345"/>
      <c r="BD117" s="345"/>
      <c r="BE117" s="345"/>
      <c r="BF117" s="345"/>
      <c r="BG117" s="345"/>
      <c r="BH117" s="345"/>
      <c r="BI117" s="895">
        <f t="shared" si="453"/>
        <v>0</v>
      </c>
      <c r="BJ117" s="345">
        <v>3</v>
      </c>
      <c r="BK117" s="1597">
        <v>3</v>
      </c>
      <c r="BL117" s="1579">
        <f t="shared" si="534"/>
        <v>0</v>
      </c>
      <c r="BM117" s="1579">
        <f>IF(YEAR('3 pr-2'!$AK117)=2017,$BJ117,0)</f>
        <v>0</v>
      </c>
      <c r="BN117" s="1579">
        <f>IF(YEAR('3 pr-2'!$AK117)=2018,$BJ117,0)</f>
        <v>0</v>
      </c>
      <c r="BO117" s="1579">
        <f>IF(YEAR('3 pr-2'!$AK117)=2019,$BJ117,0)</f>
        <v>3</v>
      </c>
      <c r="BP117" s="1579">
        <f>IF(YEAR('3 pr-2'!$AK117)=2020,$BJ117,0)</f>
        <v>0</v>
      </c>
      <c r="BQ117" s="1579">
        <f>IF(YEAR('3 pr-2'!$AK117)=2021,$BJ117,0)</f>
        <v>0</v>
      </c>
      <c r="BR117" s="1579">
        <f>IF(YEAR('3 pr-2'!$AK117)=2022,$BJ117,0)</f>
        <v>0</v>
      </c>
      <c r="BS117" s="1579">
        <f>IF(YEAR('3 pr-2'!$AK117)=2023,$BJ117,0)</f>
        <v>0</v>
      </c>
      <c r="BT117" s="350" t="s">
        <v>797</v>
      </c>
      <c r="BU117" s="537" t="s">
        <v>798</v>
      </c>
      <c r="BV117" s="345"/>
      <c r="BW117" s="345"/>
      <c r="BX117" s="345"/>
      <c r="BY117" s="345"/>
      <c r="BZ117" s="345"/>
      <c r="CA117" s="345"/>
      <c r="CB117" s="345"/>
      <c r="CC117" s="895">
        <v>0</v>
      </c>
      <c r="CD117" s="345">
        <v>20</v>
      </c>
      <c r="CE117" s="1579">
        <v>20</v>
      </c>
      <c r="CF117" s="1579">
        <f t="shared" si="535"/>
        <v>0</v>
      </c>
      <c r="CG117" s="1579">
        <f>IF(YEAR('3 pr-2'!$AK117)=2017,$CD117,0)</f>
        <v>0</v>
      </c>
      <c r="CH117" s="1579">
        <f>IF(YEAR('3 pr-2'!$AK117)=2018,$CD117,0)</f>
        <v>0</v>
      </c>
      <c r="CI117" s="1579">
        <f>IF(YEAR('3 pr-2'!$AK117)=2019,$CD117,0)</f>
        <v>20</v>
      </c>
      <c r="CJ117" s="1579">
        <f>IF(YEAR('3 pr-2'!$AK117)=2020,$CD117,0)</f>
        <v>0</v>
      </c>
      <c r="CK117" s="1579">
        <f>IF(YEAR('3 pr-2'!$AK117)=2021,$CD117,0)</f>
        <v>0</v>
      </c>
      <c r="CL117" s="1579">
        <f>IF(YEAR('3 pr-2'!$AK117)=2022,$CD117,0)</f>
        <v>0</v>
      </c>
      <c r="CM117" s="1579">
        <f>IF(YEAR('3 pr-2'!$AK117)=2023,$CD117,0)</f>
        <v>0</v>
      </c>
      <c r="CN117" s="350"/>
      <c r="CO117" s="538"/>
      <c r="CP117" s="345"/>
      <c r="CQ117" s="345"/>
      <c r="CR117" s="345"/>
      <c r="CS117" s="345"/>
      <c r="CT117" s="345"/>
      <c r="CU117" s="345"/>
      <c r="CV117" s="345"/>
      <c r="CW117" s="895">
        <f t="shared" si="467"/>
        <v>0</v>
      </c>
      <c r="CX117" s="351"/>
      <c r="CY117" s="1605"/>
      <c r="CZ117" s="1605"/>
      <c r="DA117" s="1594">
        <f>IF(YEAR('3 pr-2'!AK117)=2017,CX117,0)</f>
        <v>0</v>
      </c>
      <c r="DB117" s="1594">
        <f>IF(YEAR('3 pr-2'!AK117)=2018,CX117,0)</f>
        <v>0</v>
      </c>
      <c r="DC117" s="1594">
        <f>IF(YEAR('3 pr-2'!AK117)=2019,CX117,0)</f>
        <v>0</v>
      </c>
      <c r="DD117" s="1594">
        <f>IF(YEAR('3 pr-2'!AK117)=2020,CX117,0)</f>
        <v>0</v>
      </c>
      <c r="DE117" s="1594">
        <f>IF(YEAR('3 pr-2'!AK117)=2021,CX117,0)</f>
        <v>0</v>
      </c>
      <c r="DF117" s="1594">
        <f>IF(YEAR('3 pr-2'!AK117)=2022,CX117,0)</f>
        <v>0</v>
      </c>
      <c r="DG117" s="1594">
        <f>IF(YEAR('3 pr-2'!AK117)=2023,CX117,0)</f>
        <v>0</v>
      </c>
      <c r="DH117" s="350"/>
      <c r="DI117" s="538"/>
      <c r="DJ117" s="345"/>
      <c r="DK117" s="345"/>
      <c r="DL117" s="345"/>
      <c r="DM117" s="345"/>
      <c r="DN117" s="345"/>
      <c r="DO117" s="345"/>
      <c r="DP117" s="345"/>
      <c r="DQ117" s="895"/>
      <c r="DR117" s="351"/>
      <c r="DS117" s="1605"/>
      <c r="DT117" s="1605"/>
      <c r="DU117" s="1594"/>
      <c r="DV117" s="1594"/>
      <c r="DW117" s="1594"/>
      <c r="DX117" s="1594"/>
      <c r="DY117" s="1594"/>
      <c r="DZ117" s="1594"/>
      <c r="EA117" s="1594"/>
      <c r="EB117" s="350"/>
      <c r="EC117" s="538"/>
      <c r="ED117" s="333"/>
      <c r="EE117" s="1605"/>
      <c r="EF117" s="1605"/>
      <c r="EG117" s="1594">
        <f>IF(YEAR('3 pr-2'!BP117)=2017,ED117,0)</f>
        <v>0</v>
      </c>
      <c r="EH117" s="1594">
        <f>IF(YEAR('3 pr-2'!BP117)=2018,ED117,0)</f>
        <v>0</v>
      </c>
      <c r="EI117" s="1594">
        <f>IF(YEAR('3 pr-2'!BP117)=2019,ED117,0)</f>
        <v>0</v>
      </c>
      <c r="EJ117" s="1594">
        <f>IF(YEAR('3 pr-2'!BP117)=2020,ED117,0)</f>
        <v>0</v>
      </c>
      <c r="EK117" s="1594">
        <f>IF(YEAR('3 pr-2'!BP117)=2021,ED117,0)</f>
        <v>0</v>
      </c>
      <c r="EL117" s="1594">
        <f>IF(YEAR('3 pr-2'!BP117)=2022,ED117,0)</f>
        <v>0</v>
      </c>
      <c r="EM117" s="1594">
        <f>IF(YEAR('3 pr-2'!BP117)=2023,ED117,0)</f>
        <v>0</v>
      </c>
    </row>
    <row r="118" spans="1:143" ht="73.5" thickTop="1" thickBot="1" x14ac:dyDescent="0.3">
      <c r="A118" s="345" t="str">
        <f>CONCATENATE('3 pr-2'!A118)</f>
        <v>2.1.1.3.4</v>
      </c>
      <c r="B118" s="345" t="str">
        <f>CONCATENATE('3 pr-2'!B118)</f>
        <v>R01-7705-230000-2134</v>
      </c>
      <c r="C118" s="1321" t="str">
        <f>CONCATENATE('ketv. 2'!B117)</f>
        <v>09.1.3-CPVA-R-705-11-0006</v>
      </c>
      <c r="D118" s="312" t="str">
        <f>CONCATENATE('3 pr-2'!D118)</f>
        <v>Druskininkų sav. Viečiūnų progimnazijos ikimokyklinio ugdymo skyriaus „Linelis“ ugdymo prieinamumo didinimas</v>
      </c>
      <c r="E118" s="312" t="str">
        <f>CONCATENATE('3 pr-2'!E118)</f>
        <v xml:space="preserve">Druskininkų savivaldybės administracija  </v>
      </c>
      <c r="F118" s="312" t="str">
        <f>CONCATENATE('3 pr-2'!F118)</f>
        <v>Lietuvos Respublikos švietimo ir mokslo ministerija</v>
      </c>
      <c r="G118" s="312" t="str">
        <f>CONCATENATE('3 pr-2'!G118)</f>
        <v>Druskininkų sav.</v>
      </c>
      <c r="H118" s="345" t="str">
        <f>CONCATENATE('3 pr-2'!H118)</f>
        <v>09.1.3-CPVA-R-705</v>
      </c>
      <c r="I118" s="345" t="str">
        <f>CONCATENATE('3 pr-2'!I118)</f>
        <v>R</v>
      </c>
      <c r="J118" s="345" t="str">
        <f>CONCATENATE('3 pr-2'!J118)</f>
        <v>-</v>
      </c>
      <c r="K118" s="345" t="str">
        <f>CONCATENATE('3 pr-2'!K118)</f>
        <v>-</v>
      </c>
      <c r="L118" s="345" t="s">
        <v>517</v>
      </c>
      <c r="M118" s="537" t="s">
        <v>518</v>
      </c>
      <c r="N118" s="345"/>
      <c r="O118" s="345"/>
      <c r="P118" s="345"/>
      <c r="Q118" s="345"/>
      <c r="R118" s="345"/>
      <c r="S118" s="345"/>
      <c r="T118" s="345"/>
      <c r="U118" s="893">
        <f t="shared" si="497"/>
        <v>0</v>
      </c>
      <c r="V118" s="345">
        <v>1</v>
      </c>
      <c r="W118" s="1578">
        <v>1</v>
      </c>
      <c r="X118" s="1579">
        <f t="shared" si="532"/>
        <v>0</v>
      </c>
      <c r="Y118" s="1579">
        <f>IF(YEAR('3 pr-2'!$AK118)=2017,$V118,0)</f>
        <v>0</v>
      </c>
      <c r="Z118" s="1579">
        <f>IF(YEAR('3 pr-2'!$AK118)=2018,$V118,0)</f>
        <v>0</v>
      </c>
      <c r="AA118" s="1579">
        <f>IF(YEAR('3 pr-2'!$AK118)=2019,$V118,0)</f>
        <v>1</v>
      </c>
      <c r="AB118" s="1579">
        <f>IF(YEAR('3 pr-2'!$AK118)=2020,$V118,0)</f>
        <v>0</v>
      </c>
      <c r="AC118" s="1579">
        <f>IF(YEAR('3 pr-2'!$AK118)=2021,$V118,0)</f>
        <v>0</v>
      </c>
      <c r="AD118" s="1579">
        <f>IF(YEAR('3 pr-2'!$AK118)=2022,$V118,0)</f>
        <v>0</v>
      </c>
      <c r="AE118" s="1579">
        <f>IF(YEAR('3 pr-2'!$AK118)=2023,$V118,0)</f>
        <v>0</v>
      </c>
      <c r="AF118" s="350" t="s">
        <v>513</v>
      </c>
      <c r="AG118" s="537" t="s">
        <v>514</v>
      </c>
      <c r="AH118" s="345"/>
      <c r="AI118" s="345"/>
      <c r="AJ118" s="345"/>
      <c r="AK118" s="345"/>
      <c r="AL118" s="345"/>
      <c r="AM118" s="345"/>
      <c r="AN118" s="345"/>
      <c r="AO118" s="895">
        <f t="shared" si="439"/>
        <v>0</v>
      </c>
      <c r="AP118" s="345">
        <v>96</v>
      </c>
      <c r="AQ118" s="1597">
        <v>96</v>
      </c>
      <c r="AR118" s="1579">
        <f t="shared" si="533"/>
        <v>0</v>
      </c>
      <c r="AS118" s="1579">
        <f>IF(YEAR('3 pr-2'!$AK118)=2017,$AP118,0)</f>
        <v>0</v>
      </c>
      <c r="AT118" s="1579">
        <f>IF(YEAR('3 pr-2'!$AK118)=2018,$AP118,0)</f>
        <v>0</v>
      </c>
      <c r="AU118" s="1579">
        <f>IF(YEAR('3 pr-2'!$AK118)=2019,$AP118,0)</f>
        <v>96</v>
      </c>
      <c r="AV118" s="1579">
        <f>IF(YEAR('3 pr-2'!$AK118)=2020,$AP118,0)</f>
        <v>0</v>
      </c>
      <c r="AW118" s="1579">
        <f>IF(YEAR('3 pr-2'!$AK118)=2021,$AP118,0)</f>
        <v>0</v>
      </c>
      <c r="AX118" s="1579">
        <f>IF(YEAR('3 pr-2'!$AK118)=2022,$AP118,0)</f>
        <v>0</v>
      </c>
      <c r="AY118" s="1579">
        <f>IF(YEAR('3 pr-2'!$AK118)=2023,$AP118,0)</f>
        <v>0</v>
      </c>
      <c r="AZ118" s="345" t="s">
        <v>598</v>
      </c>
      <c r="BA118" s="536" t="s">
        <v>599</v>
      </c>
      <c r="BB118" s="345"/>
      <c r="BC118" s="345"/>
      <c r="BD118" s="345"/>
      <c r="BE118" s="345"/>
      <c r="BF118" s="345"/>
      <c r="BG118" s="345"/>
      <c r="BH118" s="345"/>
      <c r="BI118" s="895">
        <f t="shared" si="453"/>
        <v>0</v>
      </c>
      <c r="BJ118" s="345">
        <v>3</v>
      </c>
      <c r="BK118" s="1597">
        <v>3</v>
      </c>
      <c r="BL118" s="1579">
        <f t="shared" si="534"/>
        <v>0</v>
      </c>
      <c r="BM118" s="1579">
        <f>IF(YEAR('3 pr-2'!$AK118)=2017,$BJ118,0)</f>
        <v>0</v>
      </c>
      <c r="BN118" s="1579">
        <f>IF(YEAR('3 pr-2'!$AK118)=2018,$BJ118,0)</f>
        <v>0</v>
      </c>
      <c r="BO118" s="1579">
        <f>IF(YEAR('3 pr-2'!$AK118)=2019,$BJ118,0)</f>
        <v>3</v>
      </c>
      <c r="BP118" s="1579">
        <f>IF(YEAR('3 pr-2'!$AK118)=2020,$BJ118,0)</f>
        <v>0</v>
      </c>
      <c r="BQ118" s="1579">
        <f>IF(YEAR('3 pr-2'!$AK118)=2021,$BJ118,0)</f>
        <v>0</v>
      </c>
      <c r="BR118" s="1579">
        <f>IF(YEAR('3 pr-2'!$AK118)=2022,$BJ118,0)</f>
        <v>0</v>
      </c>
      <c r="BS118" s="1579">
        <f>IF(YEAR('3 pr-2'!$AK118)=2023,$BJ118,0)</f>
        <v>0</v>
      </c>
      <c r="BT118" s="350" t="s">
        <v>797</v>
      </c>
      <c r="BU118" s="537" t="s">
        <v>798</v>
      </c>
      <c r="BV118" s="345"/>
      <c r="BW118" s="345"/>
      <c r="BX118" s="345"/>
      <c r="BY118" s="345"/>
      <c r="BZ118" s="345"/>
      <c r="CA118" s="345"/>
      <c r="CB118" s="345"/>
      <c r="CC118" s="895">
        <v>0</v>
      </c>
      <c r="CD118" s="345">
        <v>11</v>
      </c>
      <c r="CE118" s="1579">
        <v>11</v>
      </c>
      <c r="CF118" s="1579">
        <f t="shared" si="535"/>
        <v>0</v>
      </c>
      <c r="CG118" s="1579">
        <f>IF(YEAR('3 pr-2'!$AK118)=2017,$CD118,0)</f>
        <v>0</v>
      </c>
      <c r="CH118" s="1579">
        <f>IF(YEAR('3 pr-2'!$AK118)=2018,$CD118,0)</f>
        <v>0</v>
      </c>
      <c r="CI118" s="1579">
        <f>IF(YEAR('3 pr-2'!$AK118)=2019,$CD118,0)</f>
        <v>11</v>
      </c>
      <c r="CJ118" s="1579">
        <f>IF(YEAR('3 pr-2'!$AK118)=2020,$CD118,0)</f>
        <v>0</v>
      </c>
      <c r="CK118" s="1579">
        <f>IF(YEAR('3 pr-2'!$AK118)=2021,$CD118,0)</f>
        <v>0</v>
      </c>
      <c r="CL118" s="1579">
        <f>IF(YEAR('3 pr-2'!$AK118)=2022,$CD118,0)</f>
        <v>0</v>
      </c>
      <c r="CM118" s="1579">
        <f>IF(YEAR('3 pr-2'!$AK118)=2023,$CD118,0)</f>
        <v>0</v>
      </c>
      <c r="CN118" s="350"/>
      <c r="CO118" s="538"/>
      <c r="CP118" s="345"/>
      <c r="CQ118" s="345"/>
      <c r="CR118" s="345"/>
      <c r="CS118" s="345"/>
      <c r="CT118" s="345"/>
      <c r="CU118" s="345"/>
      <c r="CV118" s="345"/>
      <c r="CW118" s="895">
        <f t="shared" si="467"/>
        <v>0</v>
      </c>
      <c r="CX118" s="351"/>
      <c r="CY118" s="1605"/>
      <c r="CZ118" s="1605"/>
      <c r="DA118" s="1594">
        <f>IF(YEAR('3 pr-2'!AK118)=2017,CX118,0)</f>
        <v>0</v>
      </c>
      <c r="DB118" s="1594">
        <f>IF(YEAR('3 pr-2'!AK118)=2018,CX118,0)</f>
        <v>0</v>
      </c>
      <c r="DC118" s="1594">
        <f>IF(YEAR('3 pr-2'!AK118)=2019,CX118,0)</f>
        <v>0</v>
      </c>
      <c r="DD118" s="1594">
        <f>IF(YEAR('3 pr-2'!AK118)=2020,CX118,0)</f>
        <v>0</v>
      </c>
      <c r="DE118" s="1594">
        <f>IF(YEAR('3 pr-2'!AK118)=2021,CX118,0)</f>
        <v>0</v>
      </c>
      <c r="DF118" s="1594">
        <f>IF(YEAR('3 pr-2'!AK118)=2022,CX118,0)</f>
        <v>0</v>
      </c>
      <c r="DG118" s="1594">
        <f>IF(YEAR('3 pr-2'!AK118)=2023,CX118,0)</f>
        <v>0</v>
      </c>
      <c r="DH118" s="350"/>
      <c r="DI118" s="538"/>
      <c r="DJ118" s="345"/>
      <c r="DK118" s="345"/>
      <c r="DL118" s="345"/>
      <c r="DM118" s="345"/>
      <c r="DN118" s="345"/>
      <c r="DO118" s="345"/>
      <c r="DP118" s="345"/>
      <c r="DQ118" s="895"/>
      <c r="DR118" s="351"/>
      <c r="DS118" s="1605"/>
      <c r="DT118" s="1605"/>
      <c r="DU118" s="1594"/>
      <c r="DV118" s="1594"/>
      <c r="DW118" s="1594"/>
      <c r="DX118" s="1594"/>
      <c r="DY118" s="1594"/>
      <c r="DZ118" s="1594"/>
      <c r="EA118" s="1594"/>
      <c r="EB118" s="350"/>
      <c r="EC118" s="538"/>
      <c r="ED118" s="333"/>
      <c r="EE118" s="1605"/>
      <c r="EF118" s="1605"/>
      <c r="EG118" s="1594">
        <f>IF(YEAR('3 pr-2'!BP118)=2017,ED118,0)</f>
        <v>0</v>
      </c>
      <c r="EH118" s="1594">
        <f>IF(YEAR('3 pr-2'!BP118)=2018,ED118,0)</f>
        <v>0</v>
      </c>
      <c r="EI118" s="1594">
        <f>IF(YEAR('3 pr-2'!BP118)=2019,ED118,0)</f>
        <v>0</v>
      </c>
      <c r="EJ118" s="1594">
        <f>IF(YEAR('3 pr-2'!BP118)=2020,ED118,0)</f>
        <v>0</v>
      </c>
      <c r="EK118" s="1594">
        <f>IF(YEAR('3 pr-2'!BP118)=2021,ED118,0)</f>
        <v>0</v>
      </c>
      <c r="EL118" s="1594">
        <f>IF(YEAR('3 pr-2'!BP118)=2022,ED118,0)</f>
        <v>0</v>
      </c>
      <c r="EM118" s="1594">
        <f>IF(YEAR('3 pr-2'!BP118)=2023,ED118,0)</f>
        <v>0</v>
      </c>
    </row>
    <row r="119" spans="1:143" ht="64.5" thickTop="1" thickBot="1" x14ac:dyDescent="0.3">
      <c r="A119" s="345" t="str">
        <f>CONCATENATE('3 pr-2'!A119)</f>
        <v>2.1.1.3.5</v>
      </c>
      <c r="B119" s="345" t="str">
        <f>CONCATENATE('3 pr-2'!B119)</f>
        <v>R01-7705-230000-2135</v>
      </c>
      <c r="C119" s="1321" t="str">
        <f>CONCATENATE('ketv. 2'!B118)</f>
        <v>09.1.3-CPVA-R-705-11-0002</v>
      </c>
      <c r="D119" s="312" t="str">
        <f>CONCATENATE('3 pr-2'!D119)</f>
        <v>Ikimokyklinio ir priešmokyklinio ugdymo įstaigų Lazdijų rajono savivaldybėje modernizavimas</v>
      </c>
      <c r="E119" s="312" t="str">
        <f>CONCATENATE('3 pr-2'!E119)</f>
        <v>Lazdijų rajono savivaldybės administracija</v>
      </c>
      <c r="F119" s="312" t="str">
        <f>CONCATENATE('3 pr-2'!F119)</f>
        <v>Lietuvos Respublikos švietimo ir mokslo ministerija</v>
      </c>
      <c r="G119" s="312" t="str">
        <f>CONCATENATE('3 pr-2'!G119)</f>
        <v>Lazdijų r. sav.</v>
      </c>
      <c r="H119" s="345" t="str">
        <f>CONCATENATE('3 pr-2'!H119)</f>
        <v>09.1.3-CPVA-R-705</v>
      </c>
      <c r="I119" s="345" t="str">
        <f>CONCATENATE('3 pr-2'!I119)</f>
        <v>R</v>
      </c>
      <c r="J119" s="345" t="str">
        <f>CONCATENATE('3 pr-2'!J119)</f>
        <v>-</v>
      </c>
      <c r="K119" s="345" t="str">
        <f>CONCATENATE('3 pr-2'!K119)</f>
        <v>-</v>
      </c>
      <c r="L119" s="345" t="s">
        <v>517</v>
      </c>
      <c r="M119" s="537" t="s">
        <v>518</v>
      </c>
      <c r="N119" s="345"/>
      <c r="O119" s="345"/>
      <c r="P119" s="345"/>
      <c r="Q119" s="345"/>
      <c r="R119" s="345"/>
      <c r="S119" s="345"/>
      <c r="T119" s="345"/>
      <c r="U119" s="893">
        <f t="shared" si="497"/>
        <v>0</v>
      </c>
      <c r="V119" s="345">
        <v>1</v>
      </c>
      <c r="W119" s="1578">
        <v>1</v>
      </c>
      <c r="X119" s="1579">
        <f t="shared" si="532"/>
        <v>0</v>
      </c>
      <c r="Y119" s="1579">
        <f>IF(YEAR('3 pr-2'!$AK119)=2017,$V119,0)</f>
        <v>0</v>
      </c>
      <c r="Z119" s="1579">
        <f>IF(YEAR('3 pr-2'!$AK119)=2018,$V119,0)</f>
        <v>0</v>
      </c>
      <c r="AA119" s="1579">
        <f>IF(YEAR('3 pr-2'!$AK119)=2019,$V119,0)</f>
        <v>1</v>
      </c>
      <c r="AB119" s="1579">
        <f>IF(YEAR('3 pr-2'!$AK119)=2020,$V119,0)</f>
        <v>0</v>
      </c>
      <c r="AC119" s="1579">
        <f>IF(YEAR('3 pr-2'!$AK119)=2021,$V119,0)</f>
        <v>0</v>
      </c>
      <c r="AD119" s="1579">
        <f>IF(YEAR('3 pr-2'!$AK119)=2022,$V119,0)</f>
        <v>0</v>
      </c>
      <c r="AE119" s="1579">
        <f>IF(YEAR('3 pr-2'!$AK119)=2023,$V119,0)</f>
        <v>0</v>
      </c>
      <c r="AF119" s="350" t="s">
        <v>513</v>
      </c>
      <c r="AG119" s="537" t="s">
        <v>514</v>
      </c>
      <c r="AH119" s="345"/>
      <c r="AI119" s="345"/>
      <c r="AJ119" s="345"/>
      <c r="AK119" s="345"/>
      <c r="AL119" s="345"/>
      <c r="AM119" s="345"/>
      <c r="AN119" s="345"/>
      <c r="AO119" s="895">
        <f t="shared" si="439"/>
        <v>0</v>
      </c>
      <c r="AP119" s="345">
        <v>160</v>
      </c>
      <c r="AQ119" s="1597">
        <v>160</v>
      </c>
      <c r="AR119" s="1579">
        <f t="shared" si="533"/>
        <v>0</v>
      </c>
      <c r="AS119" s="1579">
        <f>IF(YEAR('3 pr-2'!$AK119)=2017,$AP119,0)</f>
        <v>0</v>
      </c>
      <c r="AT119" s="1579">
        <f>IF(YEAR('3 pr-2'!$AK119)=2018,$AP119,0)</f>
        <v>0</v>
      </c>
      <c r="AU119" s="1579">
        <f>IF(YEAR('3 pr-2'!$AK119)=2019,$AP119,0)</f>
        <v>160</v>
      </c>
      <c r="AV119" s="1579">
        <f>IF(YEAR('3 pr-2'!$AK119)=2020,$AP119,0)</f>
        <v>0</v>
      </c>
      <c r="AW119" s="1579">
        <f>IF(YEAR('3 pr-2'!$AK119)=2021,$AP119,0)</f>
        <v>0</v>
      </c>
      <c r="AX119" s="1579">
        <f>IF(YEAR('3 pr-2'!$AK119)=2022,$AP119,0)</f>
        <v>0</v>
      </c>
      <c r="AY119" s="1579">
        <f>IF(YEAR('3 pr-2'!$AK119)=2023,$AP119,0)</f>
        <v>0</v>
      </c>
      <c r="AZ119" s="345" t="s">
        <v>598</v>
      </c>
      <c r="BA119" s="536" t="s">
        <v>599</v>
      </c>
      <c r="BB119" s="345"/>
      <c r="BC119" s="345"/>
      <c r="BD119" s="345"/>
      <c r="BE119" s="345"/>
      <c r="BF119" s="345"/>
      <c r="BG119" s="345"/>
      <c r="BH119" s="345"/>
      <c r="BI119" s="895">
        <f t="shared" si="453"/>
        <v>0</v>
      </c>
      <c r="BJ119" s="345">
        <v>3</v>
      </c>
      <c r="BK119" s="1597">
        <v>3</v>
      </c>
      <c r="BL119" s="1579">
        <f t="shared" si="534"/>
        <v>0</v>
      </c>
      <c r="BM119" s="1579">
        <f>IF(YEAR('3 pr-2'!$AK119)=2017,$BJ119,0)</f>
        <v>0</v>
      </c>
      <c r="BN119" s="1579">
        <f>IF(YEAR('3 pr-2'!$AK119)=2018,$BJ119,0)</f>
        <v>0</v>
      </c>
      <c r="BO119" s="1579">
        <f>IF(YEAR('3 pr-2'!$AK119)=2019,$BJ119,0)</f>
        <v>3</v>
      </c>
      <c r="BP119" s="1579">
        <f>IF(YEAR('3 pr-2'!$AK119)=2020,$BJ119,0)</f>
        <v>0</v>
      </c>
      <c r="BQ119" s="1579">
        <f>IF(YEAR('3 pr-2'!$AK119)=2021,$BJ119,0)</f>
        <v>0</v>
      </c>
      <c r="BR119" s="1579">
        <f>IF(YEAR('3 pr-2'!$AK119)=2022,$BJ119,0)</f>
        <v>0</v>
      </c>
      <c r="BS119" s="1579">
        <f>IF(YEAR('3 pr-2'!$AK119)=2023,$BJ119,0)</f>
        <v>0</v>
      </c>
      <c r="BT119" s="350" t="s">
        <v>797</v>
      </c>
      <c r="BU119" s="537" t="s">
        <v>798</v>
      </c>
      <c r="BV119" s="345"/>
      <c r="BW119" s="345"/>
      <c r="BX119" s="345"/>
      <c r="BY119" s="345"/>
      <c r="BZ119" s="345"/>
      <c r="CA119" s="345"/>
      <c r="CB119" s="345"/>
      <c r="CC119" s="895">
        <v>0</v>
      </c>
      <c r="CD119" s="345">
        <v>15</v>
      </c>
      <c r="CE119" s="1579">
        <v>15</v>
      </c>
      <c r="CF119" s="1579">
        <f t="shared" si="535"/>
        <v>0</v>
      </c>
      <c r="CG119" s="1579">
        <f>IF(YEAR('3 pr-2'!$AK119)=2017,$CD119,0)</f>
        <v>0</v>
      </c>
      <c r="CH119" s="1579">
        <f>IF(YEAR('3 pr-2'!$AK119)=2018,$CD119,0)</f>
        <v>0</v>
      </c>
      <c r="CI119" s="1579">
        <f>IF(YEAR('3 pr-2'!$AK119)=2019,$CD119,0)</f>
        <v>15</v>
      </c>
      <c r="CJ119" s="1579">
        <f>IF(YEAR('3 pr-2'!$AK119)=2020,$CD119,0)</f>
        <v>0</v>
      </c>
      <c r="CK119" s="1579">
        <f>IF(YEAR('3 pr-2'!$AK119)=2021,$CD119,0)</f>
        <v>0</v>
      </c>
      <c r="CL119" s="1579">
        <f>IF(YEAR('3 pr-2'!$AK119)=2022,$CD119,0)</f>
        <v>0</v>
      </c>
      <c r="CM119" s="1579">
        <f>IF(YEAR('3 pr-2'!$AK119)=2023,$CD119,0)</f>
        <v>0</v>
      </c>
      <c r="CN119" s="350"/>
      <c r="CO119" s="538"/>
      <c r="CP119" s="345"/>
      <c r="CQ119" s="345"/>
      <c r="CR119" s="345"/>
      <c r="CS119" s="345"/>
      <c r="CT119" s="345"/>
      <c r="CU119" s="345"/>
      <c r="CV119" s="345"/>
      <c r="CW119" s="895">
        <f t="shared" si="467"/>
        <v>0</v>
      </c>
      <c r="CX119" s="351"/>
      <c r="CY119" s="1605"/>
      <c r="CZ119" s="1605"/>
      <c r="DA119" s="1594">
        <f>IF(YEAR('3 pr-2'!AK119)=2017,CX119,0)</f>
        <v>0</v>
      </c>
      <c r="DB119" s="1594">
        <f>IF(YEAR('3 pr-2'!AK119)=2018,CX119,0)</f>
        <v>0</v>
      </c>
      <c r="DC119" s="1594">
        <f>IF(YEAR('3 pr-2'!AK119)=2019,CX119,0)</f>
        <v>0</v>
      </c>
      <c r="DD119" s="1594">
        <f>IF(YEAR('3 pr-2'!AK119)=2020,CX119,0)</f>
        <v>0</v>
      </c>
      <c r="DE119" s="1594">
        <f>IF(YEAR('3 pr-2'!AK119)=2021,CX119,0)</f>
        <v>0</v>
      </c>
      <c r="DF119" s="1594">
        <f>IF(YEAR('3 pr-2'!AK119)=2022,CX119,0)</f>
        <v>0</v>
      </c>
      <c r="DG119" s="1594">
        <f>IF(YEAR('3 pr-2'!AK119)=2023,CX119,0)</f>
        <v>0</v>
      </c>
      <c r="DH119" s="350"/>
      <c r="DI119" s="538"/>
      <c r="DJ119" s="345"/>
      <c r="DK119" s="345"/>
      <c r="DL119" s="345"/>
      <c r="DM119" s="345"/>
      <c r="DN119" s="345"/>
      <c r="DO119" s="345"/>
      <c r="DP119" s="345"/>
      <c r="DQ119" s="895"/>
      <c r="DR119" s="351"/>
      <c r="DS119" s="1605"/>
      <c r="DT119" s="1605"/>
      <c r="DU119" s="1594"/>
      <c r="DV119" s="1594"/>
      <c r="DW119" s="1594"/>
      <c r="DX119" s="1594"/>
      <c r="DY119" s="1594"/>
      <c r="DZ119" s="1594"/>
      <c r="EA119" s="1594"/>
      <c r="EB119" s="350"/>
      <c r="EC119" s="538"/>
      <c r="ED119" s="333"/>
      <c r="EE119" s="1605"/>
      <c r="EF119" s="1605"/>
      <c r="EG119" s="1594">
        <f>IF(YEAR('3 pr-2'!BP119)=2017,ED119,0)</f>
        <v>0</v>
      </c>
      <c r="EH119" s="1594">
        <f>IF(YEAR('3 pr-2'!BP119)=2018,ED119,0)</f>
        <v>0</v>
      </c>
      <c r="EI119" s="1594">
        <f>IF(YEAR('3 pr-2'!BP119)=2019,ED119,0)</f>
        <v>0</v>
      </c>
      <c r="EJ119" s="1594">
        <f>IF(YEAR('3 pr-2'!BP119)=2020,ED119,0)</f>
        <v>0</v>
      </c>
      <c r="EK119" s="1594">
        <f>IF(YEAR('3 pr-2'!BP119)=2021,ED119,0)</f>
        <v>0</v>
      </c>
      <c r="EL119" s="1594">
        <f>IF(YEAR('3 pr-2'!BP119)=2022,ED119,0)</f>
        <v>0</v>
      </c>
      <c r="EM119" s="1594">
        <f>IF(YEAR('3 pr-2'!BP119)=2023,ED119,0)</f>
        <v>0</v>
      </c>
    </row>
    <row r="120" spans="1:143" ht="54.75" customHeight="1" thickBot="1" x14ac:dyDescent="0.3">
      <c r="A120" s="914" t="str">
        <f>CONCATENATE('3 pr-2'!A120)</f>
        <v>2.1.2.</v>
      </c>
      <c r="B120" s="1926" t="str">
        <f>CONCATENATE('3 pr-2'!B120)</f>
        <v>Uždavinys:
Sveikatos netolygumų sumažinimas, gerinant sveikatos priežiūros kokybę ir prieinamumą tikslinėms gyventojų grupėms ir sveiko senėjimo skatinimas</v>
      </c>
      <c r="C120" s="1927"/>
      <c r="D120" s="1927"/>
      <c r="E120" s="1927"/>
      <c r="F120" s="1927"/>
      <c r="G120" s="1927"/>
      <c r="H120" s="1927"/>
      <c r="I120" s="1927"/>
      <c r="J120" s="1927"/>
      <c r="K120" s="1928"/>
      <c r="L120" s="910" t="s">
        <v>66</v>
      </c>
      <c r="M120" s="911" t="s">
        <v>66</v>
      </c>
      <c r="N120" s="910"/>
      <c r="O120" s="910"/>
      <c r="P120" s="910"/>
      <c r="Q120" s="910"/>
      <c r="R120" s="910"/>
      <c r="S120" s="910"/>
      <c r="T120" s="910"/>
      <c r="U120" s="908"/>
      <c r="V120" s="912" t="s">
        <v>66</v>
      </c>
      <c r="W120" s="1590"/>
      <c r="X120" s="1590"/>
      <c r="Y120" s="1590" t="s">
        <v>66</v>
      </c>
      <c r="Z120" s="1590" t="s">
        <v>66</v>
      </c>
      <c r="AA120" s="1590" t="s">
        <v>66</v>
      </c>
      <c r="AB120" s="1590" t="s">
        <v>66</v>
      </c>
      <c r="AC120" s="1590" t="s">
        <v>66</v>
      </c>
      <c r="AD120" s="1590" t="s">
        <v>66</v>
      </c>
      <c r="AE120" s="1590" t="s">
        <v>66</v>
      </c>
      <c r="AF120" s="910" t="s">
        <v>66</v>
      </c>
      <c r="AG120" s="911" t="s">
        <v>66</v>
      </c>
      <c r="AH120" s="910"/>
      <c r="AI120" s="910"/>
      <c r="AJ120" s="910"/>
      <c r="AK120" s="910"/>
      <c r="AL120" s="910"/>
      <c r="AM120" s="910"/>
      <c r="AN120" s="910"/>
      <c r="AO120" s="910"/>
      <c r="AP120" s="910" t="s">
        <v>66</v>
      </c>
      <c r="AQ120" s="1590"/>
      <c r="AR120" s="1590"/>
      <c r="AS120" s="1590" t="s">
        <v>66</v>
      </c>
      <c r="AT120" s="1590" t="s">
        <v>66</v>
      </c>
      <c r="AU120" s="1590" t="s">
        <v>66</v>
      </c>
      <c r="AV120" s="1590" t="s">
        <v>66</v>
      </c>
      <c r="AW120" s="1590" t="s">
        <v>66</v>
      </c>
      <c r="AX120" s="1590" t="s">
        <v>66</v>
      </c>
      <c r="AY120" s="1590" t="s">
        <v>66</v>
      </c>
      <c r="AZ120" s="910" t="s">
        <v>66</v>
      </c>
      <c r="BA120" s="911" t="s">
        <v>66</v>
      </c>
      <c r="BB120" s="910"/>
      <c r="BC120" s="910"/>
      <c r="BD120" s="910"/>
      <c r="BE120" s="910"/>
      <c r="BF120" s="910"/>
      <c r="BG120" s="910"/>
      <c r="BH120" s="910"/>
      <c r="BI120" s="910"/>
      <c r="BJ120" s="910" t="s">
        <v>66</v>
      </c>
      <c r="BK120" s="1590"/>
      <c r="BL120" s="1590"/>
      <c r="BM120" s="1590" t="s">
        <v>66</v>
      </c>
      <c r="BN120" s="1590" t="s">
        <v>66</v>
      </c>
      <c r="BO120" s="1590" t="s">
        <v>66</v>
      </c>
      <c r="BP120" s="1590" t="s">
        <v>66</v>
      </c>
      <c r="BQ120" s="1590" t="s">
        <v>66</v>
      </c>
      <c r="BR120" s="1590" t="s">
        <v>66</v>
      </c>
      <c r="BS120" s="1590" t="s">
        <v>66</v>
      </c>
      <c r="BT120" s="910" t="s">
        <v>66</v>
      </c>
      <c r="BU120" s="911" t="s">
        <v>66</v>
      </c>
      <c r="BV120" s="910"/>
      <c r="BW120" s="910"/>
      <c r="BX120" s="910"/>
      <c r="BY120" s="910"/>
      <c r="BZ120" s="910"/>
      <c r="CA120" s="910"/>
      <c r="CB120" s="910"/>
      <c r="CC120" s="910"/>
      <c r="CD120" s="910" t="s">
        <v>66</v>
      </c>
      <c r="CE120" s="1590"/>
      <c r="CF120" s="1590"/>
      <c r="CG120" s="1590" t="s">
        <v>66</v>
      </c>
      <c r="CH120" s="1590" t="s">
        <v>66</v>
      </c>
      <c r="CI120" s="1590" t="s">
        <v>66</v>
      </c>
      <c r="CJ120" s="1590" t="s">
        <v>66</v>
      </c>
      <c r="CK120" s="1590" t="s">
        <v>66</v>
      </c>
      <c r="CL120" s="1590" t="s">
        <v>66</v>
      </c>
      <c r="CM120" s="1590" t="s">
        <v>66</v>
      </c>
      <c r="CN120" s="910" t="s">
        <v>66</v>
      </c>
      <c r="CO120" s="911" t="s">
        <v>66</v>
      </c>
      <c r="CP120" s="910"/>
      <c r="CQ120" s="910"/>
      <c r="CR120" s="910"/>
      <c r="CS120" s="910"/>
      <c r="CT120" s="910"/>
      <c r="CU120" s="910"/>
      <c r="CV120" s="910"/>
      <c r="CW120" s="910"/>
      <c r="CX120" s="910" t="s">
        <v>66</v>
      </c>
      <c r="CY120" s="1591"/>
      <c r="CZ120" s="1591"/>
      <c r="DA120" s="1606"/>
      <c r="DB120" s="1604"/>
      <c r="DC120" s="1604"/>
      <c r="DD120" s="1604"/>
      <c r="DE120" s="1604"/>
      <c r="DF120" s="1604"/>
      <c r="DG120" s="1604"/>
      <c r="DH120" s="910"/>
      <c r="DI120" s="911"/>
      <c r="DJ120" s="910"/>
      <c r="DK120" s="910"/>
      <c r="DL120" s="910"/>
      <c r="DM120" s="910"/>
      <c r="DN120" s="910"/>
      <c r="DO120" s="910"/>
      <c r="DP120" s="910"/>
      <c r="DQ120" s="910"/>
      <c r="DR120" s="910"/>
      <c r="DS120" s="1591"/>
      <c r="DT120" s="1591"/>
      <c r="DU120" s="1606"/>
      <c r="DV120" s="1604"/>
      <c r="DW120" s="1604"/>
      <c r="DX120" s="1604"/>
      <c r="DY120" s="1604"/>
      <c r="DZ120" s="1604"/>
      <c r="EA120" s="1604"/>
      <c r="EB120" s="910"/>
      <c r="EC120" s="911"/>
      <c r="ED120" s="908"/>
      <c r="EE120" s="1591"/>
      <c r="EF120" s="1591"/>
      <c r="EG120" s="1606"/>
      <c r="EH120" s="1604"/>
      <c r="EI120" s="1604"/>
      <c r="EJ120" s="1604"/>
      <c r="EK120" s="1604"/>
      <c r="EL120" s="1604"/>
      <c r="EM120" s="1604"/>
    </row>
    <row r="121" spans="1:143" ht="44.25" customHeight="1" thickBot="1" x14ac:dyDescent="0.3">
      <c r="A121" s="915" t="str">
        <f>CONCATENATE('3 pr-2'!A121)</f>
        <v>2.1.2.1</v>
      </c>
      <c r="B121" s="1926" t="str">
        <f>CONCATENATE('3 pr-2'!B121)</f>
        <v>Priemonė:
Pirminės asmens ir visuomenės sveikatos priežiūros veiklos efektyvumo didinimas gerinant jų infrastruktūrą</v>
      </c>
      <c r="C121" s="1927"/>
      <c r="D121" s="1927"/>
      <c r="E121" s="1927"/>
      <c r="F121" s="1927"/>
      <c r="G121" s="1927"/>
      <c r="H121" s="1927"/>
      <c r="I121" s="1927"/>
      <c r="J121" s="1927"/>
      <c r="K121" s="1928"/>
      <c r="L121" s="916"/>
      <c r="M121" s="540"/>
      <c r="N121" s="890">
        <f>SUM(N122:N133)</f>
        <v>0</v>
      </c>
      <c r="O121" s="890">
        <f t="shared" ref="O121:T121" si="536">SUM(O122:O133)</f>
        <v>0</v>
      </c>
      <c r="P121" s="890">
        <f t="shared" si="536"/>
        <v>0</v>
      </c>
      <c r="Q121" s="890">
        <f t="shared" si="536"/>
        <v>0</v>
      </c>
      <c r="R121" s="890">
        <f t="shared" si="536"/>
        <v>0</v>
      </c>
      <c r="S121" s="890">
        <f t="shared" si="536"/>
        <v>0</v>
      </c>
      <c r="T121" s="890">
        <f t="shared" si="536"/>
        <v>0</v>
      </c>
      <c r="U121" s="891">
        <f t="shared" ref="U121:U133" si="537">SUM(N121:T121)</f>
        <v>0</v>
      </c>
      <c r="V121" s="867"/>
      <c r="W121" s="1592"/>
      <c r="X121" s="1593"/>
      <c r="Y121" s="1594">
        <f t="shared" ref="Y121:AE121" si="538">SUM(Y122:Y134)</f>
        <v>0</v>
      </c>
      <c r="Z121" s="1594">
        <f t="shared" si="538"/>
        <v>0</v>
      </c>
      <c r="AA121" s="1594">
        <f t="shared" si="538"/>
        <v>3</v>
      </c>
      <c r="AB121" s="1594">
        <f t="shared" si="538"/>
        <v>7</v>
      </c>
      <c r="AC121" s="1594">
        <f t="shared" si="538"/>
        <v>7</v>
      </c>
      <c r="AD121" s="1594">
        <f t="shared" si="538"/>
        <v>0</v>
      </c>
      <c r="AE121" s="1594">
        <f t="shared" si="538"/>
        <v>0</v>
      </c>
      <c r="AF121" s="917"/>
      <c r="AG121" s="889"/>
      <c r="AH121" s="890">
        <f t="shared" ref="AH121:AO121" si="539">SUM(AH122:AH133)</f>
        <v>0</v>
      </c>
      <c r="AI121" s="890">
        <f t="shared" si="539"/>
        <v>0</v>
      </c>
      <c r="AJ121" s="890">
        <f t="shared" si="539"/>
        <v>0</v>
      </c>
      <c r="AK121" s="890">
        <f t="shared" si="539"/>
        <v>0</v>
      </c>
      <c r="AL121" s="890">
        <f t="shared" si="539"/>
        <v>0</v>
      </c>
      <c r="AM121" s="890">
        <f t="shared" si="539"/>
        <v>0</v>
      </c>
      <c r="AN121" s="890">
        <f t="shared" si="539"/>
        <v>0</v>
      </c>
      <c r="AO121" s="890">
        <f t="shared" si="539"/>
        <v>0</v>
      </c>
      <c r="AP121" s="867"/>
      <c r="AQ121" s="1594"/>
      <c r="AR121" s="1594"/>
      <c r="AS121" s="1594">
        <f t="shared" ref="AS121:AY121" si="540">SUM(AS122:AS134)</f>
        <v>0</v>
      </c>
      <c r="AT121" s="1594">
        <f t="shared" si="540"/>
        <v>0</v>
      </c>
      <c r="AU121" s="1594">
        <f t="shared" si="540"/>
        <v>2458</v>
      </c>
      <c r="AV121" s="1594">
        <f t="shared" si="540"/>
        <v>22143</v>
      </c>
      <c r="AW121" s="1594">
        <f t="shared" si="540"/>
        <v>26070</v>
      </c>
      <c r="AX121" s="1594">
        <f t="shared" si="540"/>
        <v>0</v>
      </c>
      <c r="AY121" s="1594">
        <f t="shared" si="540"/>
        <v>0</v>
      </c>
      <c r="AZ121" s="867"/>
      <c r="BA121" s="889"/>
      <c r="BB121" s="890">
        <f>SUM(BB122:BB129)</f>
        <v>0</v>
      </c>
      <c r="BC121" s="890">
        <f t="shared" ref="BC121" si="541">SUM(BC122:BC129)</f>
        <v>0</v>
      </c>
      <c r="BD121" s="890">
        <f t="shared" ref="BD121" si="542">SUM(BD122:BD129)</f>
        <v>0</v>
      </c>
      <c r="BE121" s="890">
        <f t="shared" ref="BE121" si="543">SUM(BE122:BE129)</f>
        <v>0</v>
      </c>
      <c r="BF121" s="890">
        <f t="shared" ref="BF121" si="544">SUM(BF122:BF129)</f>
        <v>0</v>
      </c>
      <c r="BG121" s="890">
        <f t="shared" ref="BG121" si="545">SUM(BG122:BG129)</f>
        <v>0</v>
      </c>
      <c r="BH121" s="890">
        <f t="shared" ref="BH121" si="546">SUM(BH122:BH129)</f>
        <v>0</v>
      </c>
      <c r="BI121" s="867">
        <f t="shared" ref="BI121:BI140" si="547">SUM(BB121:BH121)</f>
        <v>0</v>
      </c>
      <c r="BJ121" s="867"/>
      <c r="BK121" s="1594"/>
      <c r="BL121" s="1594"/>
      <c r="BM121" s="1594">
        <f t="shared" ref="BM121" si="548">SUM(BM122:BM129)</f>
        <v>0</v>
      </c>
      <c r="BN121" s="1594">
        <f t="shared" ref="BN121" si="549">SUM(BN122:BN129)</f>
        <v>0</v>
      </c>
      <c r="BO121" s="1594">
        <f t="shared" ref="BO121" si="550">SUM(BO122:BO129)</f>
        <v>0</v>
      </c>
      <c r="BP121" s="1594">
        <f t="shared" ref="BP121" si="551">SUM(BP122:BP129)</f>
        <v>0</v>
      </c>
      <c r="BQ121" s="1594">
        <f t="shared" ref="BQ121" si="552">SUM(BQ122:BQ129)</f>
        <v>0</v>
      </c>
      <c r="BR121" s="1594">
        <f t="shared" ref="BR121" si="553">SUM(BR122:BR129)</f>
        <v>0</v>
      </c>
      <c r="BS121" s="1594">
        <f t="shared" ref="BS121" si="554">SUM(BS122:BS129)</f>
        <v>0</v>
      </c>
      <c r="BT121" s="890"/>
      <c r="BU121" s="538"/>
      <c r="BV121" s="890">
        <f>SUM(BV122:BV129)</f>
        <v>0</v>
      </c>
      <c r="BW121" s="890">
        <f t="shared" ref="BW121" si="555">SUM(BW122:BW129)</f>
        <v>0</v>
      </c>
      <c r="BX121" s="890">
        <f t="shared" ref="BX121" si="556">SUM(BX122:BX129)</f>
        <v>0</v>
      </c>
      <c r="BY121" s="890">
        <f t="shared" ref="BY121" si="557">SUM(BY122:BY129)</f>
        <v>0</v>
      </c>
      <c r="BZ121" s="890">
        <f t="shared" ref="BZ121" si="558">SUM(BZ122:BZ129)</f>
        <v>0</v>
      </c>
      <c r="CA121" s="890">
        <f t="shared" ref="CA121" si="559">SUM(CA122:CA129)</f>
        <v>0</v>
      </c>
      <c r="CB121" s="890">
        <f t="shared" ref="CB121" si="560">SUM(CB122:CB129)</f>
        <v>0</v>
      </c>
      <c r="CC121" s="867">
        <f t="shared" ref="CC121:CC140" si="561">SUM(BV121:CB121)</f>
        <v>0</v>
      </c>
      <c r="CD121" s="890"/>
      <c r="CE121" s="1594"/>
      <c r="CF121" s="1594"/>
      <c r="CG121" s="1594"/>
      <c r="CH121" s="1594"/>
      <c r="CI121" s="1594"/>
      <c r="CJ121" s="1594"/>
      <c r="CK121" s="1594"/>
      <c r="CL121" s="1594"/>
      <c r="CM121" s="1594"/>
      <c r="CN121" s="890"/>
      <c r="CO121" s="538"/>
      <c r="CP121" s="890">
        <f>SUM(CP122:CP129)</f>
        <v>0</v>
      </c>
      <c r="CQ121" s="890">
        <f t="shared" ref="CQ121" si="562">SUM(CQ122:CQ129)</f>
        <v>0</v>
      </c>
      <c r="CR121" s="890">
        <f t="shared" ref="CR121" si="563">SUM(CR122:CR129)</f>
        <v>0</v>
      </c>
      <c r="CS121" s="890">
        <f t="shared" ref="CS121" si="564">SUM(CS122:CS129)</f>
        <v>0</v>
      </c>
      <c r="CT121" s="890">
        <f t="shared" ref="CT121" si="565">SUM(CT122:CT129)</f>
        <v>0</v>
      </c>
      <c r="CU121" s="890">
        <f t="shared" ref="CU121" si="566">SUM(CU122:CU129)</f>
        <v>0</v>
      </c>
      <c r="CV121" s="890">
        <f t="shared" ref="CV121" si="567">SUM(CV122:CV129)</f>
        <v>0</v>
      </c>
      <c r="CW121" s="867">
        <f t="shared" ref="CW121:CW140" si="568">SUM(CP121:CV121)</f>
        <v>0</v>
      </c>
      <c r="CX121" s="890"/>
      <c r="CY121" s="1594"/>
      <c r="CZ121" s="1594"/>
      <c r="DA121" s="1594"/>
      <c r="DB121" s="1594"/>
      <c r="DC121" s="1594"/>
      <c r="DD121" s="1594"/>
      <c r="DE121" s="1594"/>
      <c r="DF121" s="1594"/>
      <c r="DG121" s="1594"/>
      <c r="DH121" s="890"/>
      <c r="DI121" s="538"/>
      <c r="DJ121" s="890"/>
      <c r="DK121" s="890"/>
      <c r="DL121" s="890"/>
      <c r="DM121" s="890"/>
      <c r="DN121" s="890"/>
      <c r="DO121" s="890"/>
      <c r="DP121" s="890"/>
      <c r="DQ121" s="867"/>
      <c r="DR121" s="890"/>
      <c r="DS121" s="1594"/>
      <c r="DT121" s="1594"/>
      <c r="DU121" s="1594"/>
      <c r="DV121" s="1594"/>
      <c r="DW121" s="1594"/>
      <c r="DX121" s="1594"/>
      <c r="DY121" s="1594"/>
      <c r="DZ121" s="1594"/>
      <c r="EA121" s="1594"/>
      <c r="EB121" s="890"/>
      <c r="EC121" s="538"/>
      <c r="ED121" s="890"/>
      <c r="EE121" s="1594"/>
      <c r="EF121" s="1594"/>
      <c r="EG121" s="1594"/>
      <c r="EH121" s="1594"/>
      <c r="EI121" s="1594"/>
      <c r="EJ121" s="1594"/>
      <c r="EK121" s="1594"/>
      <c r="EL121" s="1594"/>
      <c r="EM121" s="1594"/>
    </row>
    <row r="122" spans="1:143" ht="75" thickTop="1" thickBot="1" x14ac:dyDescent="0.3">
      <c r="A122" s="345" t="str">
        <f>CONCATENATE('3 pr-2'!A122)</f>
        <v>2.1.2.1.1</v>
      </c>
      <c r="B122" s="345" t="str">
        <f>CONCATENATE('3 pr-2'!B122)</f>
        <v>R01-6609-274710-2211</v>
      </c>
      <c r="C122" s="1321" t="str">
        <f>CONCATENATE('ketv. 2'!B121)</f>
        <v>08.1.3-CPVA-R-609-11-0002</v>
      </c>
      <c r="D122" s="312" t="str">
        <f>CONCATENATE('3 pr-2'!D122)</f>
        <v xml:space="preserve">Alytaus poliklinikos teikiamų pirminės sveikatos priežiūros paslaugų prieinamumo didinimas ir kokybės gerinimas </v>
      </c>
      <c r="E122" s="312" t="str">
        <f>CONCATENATE('3 pr-2'!E122)</f>
        <v>VšĮ Alytaus poliklinika</v>
      </c>
      <c r="F122" s="312" t="str">
        <f>CONCATENATE('3 pr-2'!F122)</f>
        <v>Lietuvos Respublikos Sveikatos apsaugos ministerija</v>
      </c>
      <c r="G122" s="312" t="str">
        <f>CONCATENATE('3 pr-2'!G122)</f>
        <v>Alytaus m. sav.</v>
      </c>
      <c r="H122" s="345" t="str">
        <f>CONCATENATE('3 pr-2'!H122)</f>
        <v>08.1.3-CPVA-R-609</v>
      </c>
      <c r="I122" s="345" t="str">
        <f>CONCATENATE('3 pr-2'!I122)</f>
        <v>R</v>
      </c>
      <c r="J122" s="345" t="str">
        <f>CONCATENATE('3 pr-2'!J122)</f>
        <v>-</v>
      </c>
      <c r="K122" s="345" t="str">
        <f>CONCATENATE('3 pr-2'!K122)</f>
        <v>-</v>
      </c>
      <c r="L122" s="345" t="s">
        <v>1458</v>
      </c>
      <c r="M122" s="778" t="s">
        <v>1459</v>
      </c>
      <c r="N122" s="345"/>
      <c r="O122" s="345"/>
      <c r="P122" s="345"/>
      <c r="Q122" s="345"/>
      <c r="R122" s="345"/>
      <c r="S122" s="345"/>
      <c r="T122" s="345"/>
      <c r="U122" s="893">
        <f t="shared" si="537"/>
        <v>0</v>
      </c>
      <c r="V122" s="345">
        <v>1</v>
      </c>
      <c r="W122" s="1578" t="str">
        <f ca="1">IF('ketv. 6 '!L121&gt;0,"taip","nėra")</f>
        <v>nėra</v>
      </c>
      <c r="X122" s="1579"/>
      <c r="Y122" s="1579">
        <f>IF(YEAR('3 pr-2'!$AK122)=2017,$V122,0)</f>
        <v>0</v>
      </c>
      <c r="Z122" s="1579">
        <f>IF(YEAR('3 pr-2'!$AK122)=2018,$V122,0)</f>
        <v>0</v>
      </c>
      <c r="AA122" s="1579">
        <f>IF(YEAR('3 pr-2'!$AK122)=2019,$V122,0)</f>
        <v>0</v>
      </c>
      <c r="AB122" s="1579">
        <f>IF(YEAR('3 pr-2'!$AK122)=2020,$V122,0)</f>
        <v>0</v>
      </c>
      <c r="AC122" s="1579">
        <f>IF(YEAR('3 pr-2'!$AK122)=2021,$V122,0)</f>
        <v>1</v>
      </c>
      <c r="AD122" s="1579">
        <f>IF(YEAR('3 pr-2'!$AK122)=2022,$V122,0)</f>
        <v>0</v>
      </c>
      <c r="AE122" s="1579">
        <f>IF(YEAR('3 pr-2'!$AK122)=2023,$V122,0)</f>
        <v>0</v>
      </c>
      <c r="AF122" s="350" t="s">
        <v>519</v>
      </c>
      <c r="AG122" s="778" t="s">
        <v>520</v>
      </c>
      <c r="AH122" s="345"/>
      <c r="AI122" s="345"/>
      <c r="AJ122" s="345"/>
      <c r="AK122" s="345"/>
      <c r="AL122" s="345"/>
      <c r="AM122" s="345"/>
      <c r="AN122" s="345"/>
      <c r="AO122" s="895">
        <f t="shared" ref="AO122:AO140" si="569">SUM(AH122:AN122)</f>
        <v>0</v>
      </c>
      <c r="AP122" s="345">
        <v>1742</v>
      </c>
      <c r="AQ122" s="1597"/>
      <c r="AR122" s="1579"/>
      <c r="AS122" s="1579">
        <f>IF(YEAR('3 pr-2'!$AK122)=2017,$AP122,0)</f>
        <v>0</v>
      </c>
      <c r="AT122" s="1579">
        <f>IF(YEAR('3 pr-2'!$AK122)=2018,$AP122,0)</f>
        <v>0</v>
      </c>
      <c r="AU122" s="1579">
        <f>IF(YEAR('3 pr-2'!$AK122)=2019,$AP122,0)</f>
        <v>0</v>
      </c>
      <c r="AV122" s="1579">
        <f>IF(YEAR('3 pr-2'!$AK122)=2020,$AP122,0)</f>
        <v>0</v>
      </c>
      <c r="AW122" s="1579">
        <f>IF(YEAR('3 pr-2'!$AK122)=2021,$AP122,0)</f>
        <v>1742</v>
      </c>
      <c r="AX122" s="1579">
        <f>IF(YEAR('3 pr-2'!$AK122)=2022,$AP122,0)</f>
        <v>0</v>
      </c>
      <c r="AY122" s="1579">
        <f>IF(YEAR('3 pr-2'!$AK122)=2023,$AP122,0)</f>
        <v>0</v>
      </c>
      <c r="AZ122" s="345"/>
      <c r="BA122" s="536"/>
      <c r="BB122" s="345"/>
      <c r="BC122" s="345"/>
      <c r="BD122" s="345"/>
      <c r="BE122" s="345"/>
      <c r="BF122" s="345"/>
      <c r="BG122" s="345"/>
      <c r="BH122" s="345"/>
      <c r="BI122" s="895">
        <f t="shared" si="547"/>
        <v>0</v>
      </c>
      <c r="BJ122" s="345"/>
      <c r="BK122" s="1597"/>
      <c r="BL122" s="1579"/>
      <c r="BM122" s="1579">
        <f>IF(YEAR('3 pr-2'!AK122)=2017,BJ122,0)</f>
        <v>0</v>
      </c>
      <c r="BN122" s="1579">
        <f>IF(YEAR('3 pr-2'!AK122)=2018,BJ122,0)</f>
        <v>0</v>
      </c>
      <c r="BO122" s="1579">
        <f>IF(YEAR('3 pr-2'!AK122)=2019,BJ122,0)</f>
        <v>0</v>
      </c>
      <c r="BP122" s="1579">
        <f>IF(YEAR('3 pr-2'!AK122)=2020,BJ122,0)</f>
        <v>0</v>
      </c>
      <c r="BQ122" s="1579">
        <f>IF(YEAR('3 pr-2'!AK122)=2021,BJ122,0)</f>
        <v>0</v>
      </c>
      <c r="BR122" s="1579">
        <f>IF(YEAR('3 pr-2'!AK122)=2022,BJ122,0)</f>
        <v>0</v>
      </c>
      <c r="BS122" s="1579">
        <f>IF(YEAR('3 pr-2'!AK122)=2023,BJ122,0)</f>
        <v>0</v>
      </c>
      <c r="BT122" s="350"/>
      <c r="BU122" s="537"/>
      <c r="BV122" s="345"/>
      <c r="BW122" s="345"/>
      <c r="BX122" s="345"/>
      <c r="BY122" s="345"/>
      <c r="BZ122" s="345"/>
      <c r="CA122" s="345"/>
      <c r="CB122" s="345"/>
      <c r="CC122" s="895">
        <f t="shared" si="561"/>
        <v>0</v>
      </c>
      <c r="CD122" s="345"/>
      <c r="CE122" s="1579"/>
      <c r="CF122" s="1579"/>
      <c r="CG122" s="1579">
        <f>IF(YEAR('3 pr-2'!$AK122)=2017,$CD122,0)</f>
        <v>0</v>
      </c>
      <c r="CH122" s="1579">
        <f>IF(YEAR('3 pr-2'!$AK122)=2018,$CD122,0)</f>
        <v>0</v>
      </c>
      <c r="CI122" s="1579">
        <f>IF(YEAR('3 pr-2'!$AK122)=2019,$CD122,0)</f>
        <v>0</v>
      </c>
      <c r="CJ122" s="1579">
        <f>IF(YEAR('3 pr-2'!$AK122)=2020,$CD122,0)</f>
        <v>0</v>
      </c>
      <c r="CK122" s="1579">
        <f>IF(YEAR('3 pr-2'!$AK122)=2021,$CD122,0)</f>
        <v>0</v>
      </c>
      <c r="CL122" s="1579">
        <f>IF(YEAR('3 pr-2'!$AK122)=2022,$CD122,0)</f>
        <v>0</v>
      </c>
      <c r="CM122" s="1579">
        <f>IF(YEAR('3 pr-2'!$AK122)=2023,$CD122,0)</f>
        <v>0</v>
      </c>
      <c r="CN122" s="350"/>
      <c r="CO122" s="538"/>
      <c r="CP122" s="345"/>
      <c r="CQ122" s="345"/>
      <c r="CR122" s="345"/>
      <c r="CS122" s="345"/>
      <c r="CT122" s="345"/>
      <c r="CU122" s="345"/>
      <c r="CV122" s="345"/>
      <c r="CW122" s="895">
        <f t="shared" si="568"/>
        <v>0</v>
      </c>
      <c r="CX122" s="351"/>
      <c r="CY122" s="1605"/>
      <c r="CZ122" s="1605"/>
      <c r="DA122" s="1594">
        <f>IF('3 pr-2'!AK122=2017,CX122,0)</f>
        <v>0</v>
      </c>
      <c r="DB122" s="1594">
        <f>IF('3 pr-2'!AK122=2018,CX122,0)</f>
        <v>0</v>
      </c>
      <c r="DC122" s="1594">
        <f>IF('3 pr-2'!AK122=2019,CX122,0)</f>
        <v>0</v>
      </c>
      <c r="DD122" s="1594">
        <f>IF('3 pr-2'!AK122=2020,CX122,0)</f>
        <v>0</v>
      </c>
      <c r="DE122" s="1594">
        <f>IF('3 pr-2'!AK122=2021,CX122,0)</f>
        <v>0</v>
      </c>
      <c r="DF122" s="1594">
        <f>IF('3 pr-2'!AK122=2022,CX122,0)</f>
        <v>0</v>
      </c>
      <c r="DG122" s="1594">
        <f>IF(YEAR('3 pr-2'!AK122)=2023,CX122,0)</f>
        <v>0</v>
      </c>
      <c r="DH122" s="350"/>
      <c r="DI122" s="538"/>
      <c r="DJ122" s="345"/>
      <c r="DK122" s="345"/>
      <c r="DL122" s="345"/>
      <c r="DM122" s="345"/>
      <c r="DN122" s="345"/>
      <c r="DO122" s="345"/>
      <c r="DP122" s="345"/>
      <c r="DQ122" s="895"/>
      <c r="DR122" s="351"/>
      <c r="DS122" s="1605"/>
      <c r="DT122" s="1605"/>
      <c r="DU122" s="1594"/>
      <c r="DV122" s="1594"/>
      <c r="DW122" s="1594"/>
      <c r="DX122" s="1594"/>
      <c r="DY122" s="1594"/>
      <c r="DZ122" s="1594"/>
      <c r="EA122" s="1594"/>
      <c r="EB122" s="350"/>
      <c r="EC122" s="538"/>
      <c r="ED122" s="333"/>
      <c r="EE122" s="1605"/>
      <c r="EF122" s="1605"/>
      <c r="EG122" s="1594">
        <f>IF('3 pr-2'!BP122=2017,ED122,0)</f>
        <v>0</v>
      </c>
      <c r="EH122" s="1594">
        <f>IF('3 pr-2'!BP122=2018,ED122,0)</f>
        <v>0</v>
      </c>
      <c r="EI122" s="1594">
        <f>IF('3 pr-2'!BP122=2019,ED122,0)</f>
        <v>0</v>
      </c>
      <c r="EJ122" s="1594">
        <f>IF('3 pr-2'!BP122=2020,ED122,0)</f>
        <v>0</v>
      </c>
      <c r="EK122" s="1594">
        <f>IF('3 pr-2'!BP122=2021,ED122,0)</f>
        <v>0</v>
      </c>
      <c r="EL122" s="1594">
        <f>IF('3 pr-2'!BP122=2022,ED122,0)</f>
        <v>0</v>
      </c>
      <c r="EM122" s="1594">
        <f>IF(YEAR('3 pr-2'!BP122)=2023,ED122,0)</f>
        <v>0</v>
      </c>
    </row>
    <row r="123" spans="1:143" ht="85.5" thickTop="1" thickBot="1" x14ac:dyDescent="0.3">
      <c r="A123" s="345" t="str">
        <f>CONCATENATE('3 pr-2'!A123)</f>
        <v>2.1.2.1.2</v>
      </c>
      <c r="B123" s="345" t="str">
        <f>CONCATENATE('3 pr-2'!B123)</f>
        <v>R01-6609-274710-2212</v>
      </c>
      <c r="C123" s="1321" t="str">
        <f>CONCATENATE('ketv. 2'!B122)</f>
        <v>08.1.3-CPVA-R-609-11-0004</v>
      </c>
      <c r="D123" s="312" t="str">
        <f>CONCATENATE('3 pr-2'!D123)</f>
        <v>Sveikatos priežiūros paslaugų modernizavimas bei optimizavimas pirminės sveikatos priežiūros centre</v>
      </c>
      <c r="E123" s="312" t="str">
        <f>CONCATENATE('3 pr-2'!E123)</f>
        <v xml:space="preserve">VšĮ Alytaus miesto savivaldybės pirminės sveikatos priežiūros centras </v>
      </c>
      <c r="F123" s="312" t="str">
        <f>CONCATENATE('3 pr-2'!F123)</f>
        <v>Lietuvos Respublikos Sveikatos apsaugos ministerija</v>
      </c>
      <c r="G123" s="312" t="str">
        <f>CONCATENATE('3 pr-2'!G123)</f>
        <v>Alytaus m. sav.</v>
      </c>
      <c r="H123" s="345" t="str">
        <f>CONCATENATE('3 pr-2'!H123)</f>
        <v>08.1.3-CPVA-R-609</v>
      </c>
      <c r="I123" s="345" t="str">
        <f>CONCATENATE('3 pr-2'!I123)</f>
        <v>R</v>
      </c>
      <c r="J123" s="345" t="str">
        <f>CONCATENATE('3 pr-2'!J123)</f>
        <v>-</v>
      </c>
      <c r="K123" s="345" t="str">
        <f>CONCATENATE('3 pr-2'!K123)</f>
        <v>-</v>
      </c>
      <c r="L123" s="345" t="s">
        <v>1458</v>
      </c>
      <c r="M123" s="778" t="s">
        <v>1459</v>
      </c>
      <c r="N123" s="345"/>
      <c r="O123" s="345"/>
      <c r="P123" s="345"/>
      <c r="Q123" s="345"/>
      <c r="R123" s="345"/>
      <c r="S123" s="345"/>
      <c r="T123" s="345"/>
      <c r="U123" s="893">
        <f t="shared" si="537"/>
        <v>0</v>
      </c>
      <c r="V123" s="345">
        <v>1</v>
      </c>
      <c r="W123" s="1578" t="str">
        <f ca="1">IF('ketv. 6 '!L122&gt;0,"taip","nėra")</f>
        <v>nėra</v>
      </c>
      <c r="X123" s="1579"/>
      <c r="Y123" s="1579">
        <f>IF(YEAR('3 pr-2'!$AK123)=2017,$V123,0)</f>
        <v>0</v>
      </c>
      <c r="Z123" s="1579">
        <f>IF(YEAR('3 pr-2'!$AK123)=2018,$V123,0)</f>
        <v>0</v>
      </c>
      <c r="AA123" s="1579">
        <f>IF(YEAR('3 pr-2'!$AK123)=2019,$V123,0)</f>
        <v>0</v>
      </c>
      <c r="AB123" s="1579">
        <f>IF(YEAR('3 pr-2'!$AK123)=2020,$V123,0)</f>
        <v>1</v>
      </c>
      <c r="AC123" s="1579">
        <f>IF(YEAR('3 pr-2'!$AK123)=2021,$V123,0)</f>
        <v>0</v>
      </c>
      <c r="AD123" s="1579">
        <f>IF(YEAR('3 pr-2'!$AK123)=2022,$V123,0)</f>
        <v>0</v>
      </c>
      <c r="AE123" s="1579">
        <f>IF(YEAR('3 pr-2'!$AK123)=2023,$V123,0)</f>
        <v>0</v>
      </c>
      <c r="AF123" s="350" t="s">
        <v>519</v>
      </c>
      <c r="AG123" s="778" t="s">
        <v>520</v>
      </c>
      <c r="AH123" s="345"/>
      <c r="AI123" s="345"/>
      <c r="AJ123" s="345"/>
      <c r="AK123" s="345"/>
      <c r="AL123" s="345"/>
      <c r="AM123" s="345"/>
      <c r="AN123" s="345"/>
      <c r="AO123" s="895">
        <f t="shared" si="569"/>
        <v>0</v>
      </c>
      <c r="AP123" s="345">
        <v>750</v>
      </c>
      <c r="AQ123" s="1597"/>
      <c r="AR123" s="1579"/>
      <c r="AS123" s="1579">
        <f>IF(YEAR('3 pr-2'!$AK123)=2017,$AP123,0)</f>
        <v>0</v>
      </c>
      <c r="AT123" s="1579">
        <f>IF(YEAR('3 pr-2'!$AK123)=2018,$AP123,0)</f>
        <v>0</v>
      </c>
      <c r="AU123" s="1579">
        <f>IF(YEAR('3 pr-2'!$AK123)=2019,$AP123,0)</f>
        <v>0</v>
      </c>
      <c r="AV123" s="1579">
        <f>IF(YEAR('3 pr-2'!$AK123)=2020,$AP123,0)</f>
        <v>750</v>
      </c>
      <c r="AW123" s="1579">
        <f>IF(YEAR('3 pr-2'!$AK123)=2021,$AP123,0)</f>
        <v>0</v>
      </c>
      <c r="AX123" s="1579">
        <f>IF(YEAR('3 pr-2'!$AK123)=2022,$AP123,0)</f>
        <v>0</v>
      </c>
      <c r="AY123" s="1579">
        <f>IF(YEAR('3 pr-2'!$AK123)=2023,$AP123,0)</f>
        <v>0</v>
      </c>
      <c r="AZ123" s="345"/>
      <c r="BA123" s="536"/>
      <c r="BB123" s="345"/>
      <c r="BC123" s="345"/>
      <c r="BD123" s="345"/>
      <c r="BE123" s="345"/>
      <c r="BF123" s="345"/>
      <c r="BG123" s="345"/>
      <c r="BH123" s="345"/>
      <c r="BI123" s="895">
        <f t="shared" si="547"/>
        <v>0</v>
      </c>
      <c r="BJ123" s="345"/>
      <c r="BK123" s="1597"/>
      <c r="BL123" s="1579"/>
      <c r="BM123" s="1579">
        <f>IF(YEAR('3 pr-2'!AK123)=2017,BJ123,0)</f>
        <v>0</v>
      </c>
      <c r="BN123" s="1579">
        <f>IF(YEAR('3 pr-2'!AK123)=2018,BJ123,0)</f>
        <v>0</v>
      </c>
      <c r="BO123" s="1579">
        <f>IF(YEAR('3 pr-2'!AK123)=2019,BJ123,0)</f>
        <v>0</v>
      </c>
      <c r="BP123" s="1579">
        <f>IF(YEAR('3 pr-2'!AK123)=2020,BJ123,0)</f>
        <v>0</v>
      </c>
      <c r="BQ123" s="1579">
        <f>IF(YEAR('3 pr-2'!AK123)=2021,BJ123,0)</f>
        <v>0</v>
      </c>
      <c r="BR123" s="1579">
        <f>IF(YEAR('3 pr-2'!AK123)=2022,BJ123,0)</f>
        <v>0</v>
      </c>
      <c r="BS123" s="1579">
        <f>IF(YEAR('3 pr-2'!AK123)=2023,BJ123,0)</f>
        <v>0</v>
      </c>
      <c r="BT123" s="350"/>
      <c r="BU123" s="537"/>
      <c r="BV123" s="345"/>
      <c r="BW123" s="345"/>
      <c r="BX123" s="345"/>
      <c r="BY123" s="345"/>
      <c r="BZ123" s="345"/>
      <c r="CA123" s="345"/>
      <c r="CB123" s="345"/>
      <c r="CC123" s="895">
        <f t="shared" si="561"/>
        <v>0</v>
      </c>
      <c r="CD123" s="345"/>
      <c r="CE123" s="1579"/>
      <c r="CF123" s="1579"/>
      <c r="CG123" s="1579">
        <f>IF(YEAR('3 pr-2'!$AK123)=2017,$CD123,0)</f>
        <v>0</v>
      </c>
      <c r="CH123" s="1579">
        <f>IF(YEAR('3 pr-2'!$AK123)=2018,$CD123,0)</f>
        <v>0</v>
      </c>
      <c r="CI123" s="1579">
        <f>IF(YEAR('3 pr-2'!$AK123)=2019,$CD123,0)</f>
        <v>0</v>
      </c>
      <c r="CJ123" s="1579">
        <f>IF(YEAR('3 pr-2'!$AK123)=2020,$CD123,0)</f>
        <v>0</v>
      </c>
      <c r="CK123" s="1579">
        <f>IF(YEAR('3 pr-2'!$AK123)=2021,$CD123,0)</f>
        <v>0</v>
      </c>
      <c r="CL123" s="1579">
        <f>IF(YEAR('3 pr-2'!$AK123)=2022,$CD123,0)</f>
        <v>0</v>
      </c>
      <c r="CM123" s="1579">
        <f>IF(YEAR('3 pr-2'!$AK123)=2023,$CD123,0)</f>
        <v>0</v>
      </c>
      <c r="CN123" s="350"/>
      <c r="CO123" s="538"/>
      <c r="CP123" s="345"/>
      <c r="CQ123" s="345"/>
      <c r="CR123" s="345"/>
      <c r="CS123" s="345"/>
      <c r="CT123" s="345"/>
      <c r="CU123" s="345"/>
      <c r="CV123" s="345"/>
      <c r="CW123" s="895">
        <f t="shared" si="568"/>
        <v>0</v>
      </c>
      <c r="CX123" s="351"/>
      <c r="CY123" s="1605"/>
      <c r="CZ123" s="1605"/>
      <c r="DA123" s="1594">
        <f>IF(YEAR('3 pr-2'!AK123)=2017,CX123,0)</f>
        <v>0</v>
      </c>
      <c r="DB123" s="1594">
        <f>IF(YEAR('3 pr-2'!AK123)=2018,CX123,0)</f>
        <v>0</v>
      </c>
      <c r="DC123" s="1594">
        <f>IF(YEAR('3 pr-2'!AK123)=2019,CX123,0)</f>
        <v>0</v>
      </c>
      <c r="DD123" s="1594">
        <f>IF(YEAR('3 pr-2'!AK123)=2020,CX123,0)</f>
        <v>0</v>
      </c>
      <c r="DE123" s="1594">
        <f>IF(YEAR('3 pr-2'!AK123)=2021,CX123,0)</f>
        <v>0</v>
      </c>
      <c r="DF123" s="1594">
        <f>IF(YEAR('3 pr-2'!AK123)=2022,CX123,0)</f>
        <v>0</v>
      </c>
      <c r="DG123" s="1594">
        <f>IF(YEAR('3 pr-2'!AK123)=2023,CX123,0)</f>
        <v>0</v>
      </c>
      <c r="DH123" s="350"/>
      <c r="DI123" s="538"/>
      <c r="DJ123" s="345"/>
      <c r="DK123" s="345"/>
      <c r="DL123" s="345"/>
      <c r="DM123" s="345"/>
      <c r="DN123" s="345"/>
      <c r="DO123" s="345"/>
      <c r="DP123" s="345"/>
      <c r="DQ123" s="895"/>
      <c r="DR123" s="351"/>
      <c r="DS123" s="1605"/>
      <c r="DT123" s="1605"/>
      <c r="DU123" s="1594"/>
      <c r="DV123" s="1594"/>
      <c r="DW123" s="1594"/>
      <c r="DX123" s="1594"/>
      <c r="DY123" s="1594"/>
      <c r="DZ123" s="1594"/>
      <c r="EA123" s="1594"/>
      <c r="EB123" s="350"/>
      <c r="EC123" s="538"/>
      <c r="ED123" s="333"/>
      <c r="EE123" s="1605"/>
      <c r="EF123" s="1605"/>
      <c r="EG123" s="1594">
        <f>IF(YEAR('3 pr-2'!BP123)=2017,ED123,0)</f>
        <v>0</v>
      </c>
      <c r="EH123" s="1594">
        <f>IF(YEAR('3 pr-2'!BP123)=2018,ED123,0)</f>
        <v>0</v>
      </c>
      <c r="EI123" s="1594">
        <f>IF(YEAR('3 pr-2'!BP123)=2019,ED123,0)</f>
        <v>0</v>
      </c>
      <c r="EJ123" s="1594">
        <f>IF(YEAR('3 pr-2'!BP123)=2020,ED123,0)</f>
        <v>0</v>
      </c>
      <c r="EK123" s="1594">
        <f>IF(YEAR('3 pr-2'!BP123)=2021,ED123,0)</f>
        <v>0</v>
      </c>
      <c r="EL123" s="1594">
        <f>IF(YEAR('3 pr-2'!BP123)=2022,ED123,0)</f>
        <v>0</v>
      </c>
      <c r="EM123" s="1594">
        <f>IF(YEAR('3 pr-2'!BP123)=2023,ED123,0)</f>
        <v>0</v>
      </c>
    </row>
    <row r="124" spans="1:143" ht="85.5" thickTop="1" thickBot="1" x14ac:dyDescent="0.3">
      <c r="A124" s="345" t="str">
        <f>CONCATENATE('3 pr-2'!A124)</f>
        <v>2.1.2.1.3</v>
      </c>
      <c r="B124" s="345" t="str">
        <f>CONCATENATE('3 pr-2'!B124)</f>
        <v>R01-6609-274700-2213</v>
      </c>
      <c r="C124" s="1321" t="str">
        <f>CONCATENATE('ketv. 2'!B123)</f>
        <v>08.1.3-CPVA-R-609-11-0003</v>
      </c>
      <c r="D124" s="312" t="str">
        <f>CONCATENATE('3 pr-2'!D124)</f>
        <v>UAB „MediCA klinika“ teikiamų pirminės asmens sveikatos priežiūros paslaugų efektyvumo didinimas Alytaus miesto savivaldybėje</v>
      </c>
      <c r="E124" s="312" t="str">
        <f>CONCATENATE('3 pr-2'!E124)</f>
        <v>UAB „MediCA klinika“</v>
      </c>
      <c r="F124" s="312" t="str">
        <f>CONCATENATE('3 pr-2'!F124)</f>
        <v>Lietuvos Respublikos Sveikatos apsaugos ministerija</v>
      </c>
      <c r="G124" s="312" t="str">
        <f>CONCATENATE('3 pr-2'!G124)</f>
        <v>Alytaus m. sav.</v>
      </c>
      <c r="H124" s="345" t="str">
        <f>CONCATENATE('3 pr-2'!H124)</f>
        <v>08.1.3-CPVA-R-609</v>
      </c>
      <c r="I124" s="345" t="str">
        <f>CONCATENATE('3 pr-2'!I124)</f>
        <v>R</v>
      </c>
      <c r="J124" s="345" t="str">
        <f>CONCATENATE('3 pr-2'!J124)</f>
        <v>-</v>
      </c>
      <c r="K124" s="345" t="str">
        <f>CONCATENATE('3 pr-2'!K124)</f>
        <v>-</v>
      </c>
      <c r="L124" s="345" t="s">
        <v>1458</v>
      </c>
      <c r="M124" s="778" t="s">
        <v>1459</v>
      </c>
      <c r="N124" s="345"/>
      <c r="O124" s="345"/>
      <c r="P124" s="345"/>
      <c r="Q124" s="345"/>
      <c r="R124" s="345"/>
      <c r="S124" s="345"/>
      <c r="T124" s="345"/>
      <c r="U124" s="893">
        <f t="shared" si="537"/>
        <v>0</v>
      </c>
      <c r="V124" s="345">
        <v>1</v>
      </c>
      <c r="W124" s="1578" t="str">
        <f ca="1">IF('ketv. 6 '!L123&gt;0,"taip","nėra")</f>
        <v>nėra</v>
      </c>
      <c r="X124" s="1579"/>
      <c r="Y124" s="1579">
        <f>IF(YEAR('3 pr-2'!$AK124)=2017,$V124,0)</f>
        <v>0</v>
      </c>
      <c r="Z124" s="1579">
        <f>IF(YEAR('3 pr-2'!$AK124)=2018,$V124,0)</f>
        <v>0</v>
      </c>
      <c r="AA124" s="1579">
        <f>IF(YEAR('3 pr-2'!$AK124)=2019,$V124,0)</f>
        <v>0</v>
      </c>
      <c r="AB124" s="1579">
        <f>IF(YEAR('3 pr-2'!$AK124)=2020,$V124,0)</f>
        <v>1</v>
      </c>
      <c r="AC124" s="1579">
        <f>IF(YEAR('3 pr-2'!$AK124)=2021,$V124,0)</f>
        <v>0</v>
      </c>
      <c r="AD124" s="1579">
        <f>IF(YEAR('3 pr-2'!$AK124)=2022,$V124,0)</f>
        <v>0</v>
      </c>
      <c r="AE124" s="1579">
        <f>IF(YEAR('3 pr-2'!$AK124)=2023,$V124,0)</f>
        <v>0</v>
      </c>
      <c r="AF124" s="350" t="s">
        <v>519</v>
      </c>
      <c r="AG124" s="778" t="s">
        <v>520</v>
      </c>
      <c r="AH124" s="345"/>
      <c r="AI124" s="345"/>
      <c r="AJ124" s="345"/>
      <c r="AK124" s="345"/>
      <c r="AL124" s="345"/>
      <c r="AM124" s="345"/>
      <c r="AN124" s="345"/>
      <c r="AO124" s="895">
        <f t="shared" si="569"/>
        <v>0</v>
      </c>
      <c r="AP124" s="345">
        <v>850</v>
      </c>
      <c r="AQ124" s="1597"/>
      <c r="AR124" s="1579"/>
      <c r="AS124" s="1579">
        <f>IF(YEAR('3 pr-2'!$AK124)=2017,$AP124,0)</f>
        <v>0</v>
      </c>
      <c r="AT124" s="1579">
        <f>IF(YEAR('3 pr-2'!$AK124)=2018,$AP124,0)</f>
        <v>0</v>
      </c>
      <c r="AU124" s="1579">
        <f>IF(YEAR('3 pr-2'!$AK124)=2019,$AP124,0)</f>
        <v>0</v>
      </c>
      <c r="AV124" s="1579">
        <f>IF(YEAR('3 pr-2'!$AK124)=2020,$AP124,0)</f>
        <v>850</v>
      </c>
      <c r="AW124" s="1579">
        <f>IF(YEAR('3 pr-2'!$AK124)=2021,$AP124,0)</f>
        <v>0</v>
      </c>
      <c r="AX124" s="1579">
        <f>IF(YEAR('3 pr-2'!$AK124)=2022,$AP124,0)</f>
        <v>0</v>
      </c>
      <c r="AY124" s="1579">
        <f>IF(YEAR('3 pr-2'!$AK124)=2023,$AP124,0)</f>
        <v>0</v>
      </c>
      <c r="AZ124" s="345"/>
      <c r="BA124" s="536"/>
      <c r="BB124" s="345"/>
      <c r="BC124" s="345"/>
      <c r="BD124" s="345"/>
      <c r="BE124" s="345"/>
      <c r="BF124" s="345"/>
      <c r="BG124" s="345"/>
      <c r="BH124" s="345"/>
      <c r="BI124" s="895">
        <f t="shared" si="547"/>
        <v>0</v>
      </c>
      <c r="BJ124" s="345"/>
      <c r="BK124" s="1597"/>
      <c r="BL124" s="1579"/>
      <c r="BM124" s="1579">
        <f>IF(YEAR('3 pr-2'!AK124)=2017,BJ124,0)</f>
        <v>0</v>
      </c>
      <c r="BN124" s="1579">
        <f>IF(YEAR('3 pr-2'!AK124)=2018,BJ124,0)</f>
        <v>0</v>
      </c>
      <c r="BO124" s="1579">
        <f>IF(YEAR('3 pr-2'!AK124)=2019,BJ124,0)</f>
        <v>0</v>
      </c>
      <c r="BP124" s="1579">
        <f>IF(YEAR('3 pr-2'!AK124)=2020,BJ124,0)</f>
        <v>0</v>
      </c>
      <c r="BQ124" s="1579">
        <f>IF(YEAR('3 pr-2'!AK124)=2021,BJ124,0)</f>
        <v>0</v>
      </c>
      <c r="BR124" s="1579">
        <f>IF(YEAR('3 pr-2'!AK124)=2022,BJ124,0)</f>
        <v>0</v>
      </c>
      <c r="BS124" s="1579">
        <f>IF(YEAR('3 pr-2'!AK124)=2023,BJ124,0)</f>
        <v>0</v>
      </c>
      <c r="BT124" s="350"/>
      <c r="BU124" s="537"/>
      <c r="BV124" s="345"/>
      <c r="BW124" s="345"/>
      <c r="BX124" s="345"/>
      <c r="BY124" s="345"/>
      <c r="BZ124" s="345"/>
      <c r="CA124" s="345"/>
      <c r="CB124" s="345"/>
      <c r="CC124" s="895">
        <f t="shared" si="561"/>
        <v>0</v>
      </c>
      <c r="CD124" s="345"/>
      <c r="CE124" s="1579"/>
      <c r="CF124" s="1579"/>
      <c r="CG124" s="1579">
        <f>IF(YEAR('3 pr-2'!$AK124)=2017,$CD124,0)</f>
        <v>0</v>
      </c>
      <c r="CH124" s="1579">
        <f>IF(YEAR('3 pr-2'!$AK124)=2018,$CD124,0)</f>
        <v>0</v>
      </c>
      <c r="CI124" s="1579">
        <f>IF(YEAR('3 pr-2'!$AK124)=2019,$CD124,0)</f>
        <v>0</v>
      </c>
      <c r="CJ124" s="1579">
        <f>IF(YEAR('3 pr-2'!$AK124)=2020,$CD124,0)</f>
        <v>0</v>
      </c>
      <c r="CK124" s="1579">
        <f>IF(YEAR('3 pr-2'!$AK124)=2021,$CD124,0)</f>
        <v>0</v>
      </c>
      <c r="CL124" s="1579">
        <f>IF(YEAR('3 pr-2'!$AK124)=2022,$CD124,0)</f>
        <v>0</v>
      </c>
      <c r="CM124" s="1579">
        <f>IF(YEAR('3 pr-2'!$AK124)=2023,$CD124,0)</f>
        <v>0</v>
      </c>
      <c r="CN124" s="350"/>
      <c r="CO124" s="538"/>
      <c r="CP124" s="345"/>
      <c r="CQ124" s="345"/>
      <c r="CR124" s="345"/>
      <c r="CS124" s="345"/>
      <c r="CT124" s="345"/>
      <c r="CU124" s="345"/>
      <c r="CV124" s="345"/>
      <c r="CW124" s="895">
        <f t="shared" si="568"/>
        <v>0</v>
      </c>
      <c r="CX124" s="351"/>
      <c r="CY124" s="1605"/>
      <c r="CZ124" s="1605"/>
      <c r="DA124" s="1594">
        <f>IF(YEAR('3 pr-2'!AK124)=2017,CX124,0)</f>
        <v>0</v>
      </c>
      <c r="DB124" s="1594">
        <f>IF(YEAR('3 pr-2'!AK124)=2018,CX124,0)</f>
        <v>0</v>
      </c>
      <c r="DC124" s="1594">
        <f>IF(YEAR('3 pr-2'!AK124)=2019,CX124,0)</f>
        <v>0</v>
      </c>
      <c r="DD124" s="1594">
        <f>IF(YEAR('3 pr-2'!AK124)=2020,CX124,0)</f>
        <v>0</v>
      </c>
      <c r="DE124" s="1594">
        <f>IF(YEAR('3 pr-2'!AK124)=2021,CX124,0)</f>
        <v>0</v>
      </c>
      <c r="DF124" s="1594">
        <f>IF(YEAR('3 pr-2'!AK124)=2022,CX124,0)</f>
        <v>0</v>
      </c>
      <c r="DG124" s="1594">
        <f>IF(YEAR('3 pr-2'!AK124)=2023,CX124,0)</f>
        <v>0</v>
      </c>
      <c r="DH124" s="350"/>
      <c r="DI124" s="538"/>
      <c r="DJ124" s="345"/>
      <c r="DK124" s="345"/>
      <c r="DL124" s="345"/>
      <c r="DM124" s="345"/>
      <c r="DN124" s="345"/>
      <c r="DO124" s="345"/>
      <c r="DP124" s="345"/>
      <c r="DQ124" s="895"/>
      <c r="DR124" s="351"/>
      <c r="DS124" s="1605"/>
      <c r="DT124" s="1605"/>
      <c r="DU124" s="1594"/>
      <c r="DV124" s="1594"/>
      <c r="DW124" s="1594"/>
      <c r="DX124" s="1594"/>
      <c r="DY124" s="1594"/>
      <c r="DZ124" s="1594"/>
      <c r="EA124" s="1594"/>
      <c r="EB124" s="350"/>
      <c r="EC124" s="538"/>
      <c r="ED124" s="333"/>
      <c r="EE124" s="1605"/>
      <c r="EF124" s="1605"/>
      <c r="EG124" s="1594">
        <f>IF(YEAR('3 pr-2'!BP124)=2017,ED124,0)</f>
        <v>0</v>
      </c>
      <c r="EH124" s="1594">
        <f>IF(YEAR('3 pr-2'!BP124)=2018,ED124,0)</f>
        <v>0</v>
      </c>
      <c r="EI124" s="1594">
        <f>IF(YEAR('3 pr-2'!BP124)=2019,ED124,0)</f>
        <v>0</v>
      </c>
      <c r="EJ124" s="1594">
        <f>IF(YEAR('3 pr-2'!BP124)=2020,ED124,0)</f>
        <v>0</v>
      </c>
      <c r="EK124" s="1594">
        <f>IF(YEAR('3 pr-2'!BP124)=2021,ED124,0)</f>
        <v>0</v>
      </c>
      <c r="EL124" s="1594">
        <f>IF(YEAR('3 pr-2'!BP124)=2022,ED124,0)</f>
        <v>0</v>
      </c>
      <c r="EM124" s="1594">
        <f>IF(YEAR('3 pr-2'!BP124)=2023,ED124,0)</f>
        <v>0</v>
      </c>
    </row>
    <row r="125" spans="1:143" ht="75" thickTop="1" thickBot="1" x14ac:dyDescent="0.3">
      <c r="A125" s="345" t="str">
        <f>CONCATENATE('3 pr-2'!A125)</f>
        <v>2.1.2.1.4</v>
      </c>
      <c r="B125" s="345" t="str">
        <f>CONCATENATE('3 pr-2'!B125)</f>
        <v>R01-6609-274710-2214</v>
      </c>
      <c r="C125" s="1321" t="str">
        <f>CONCATENATE('ketv. 2'!B124)</f>
        <v>08.1.3-CPVA-R-609-11-0005</v>
      </c>
      <c r="D125" s="312" t="str">
        <f>CONCATENATE('3 pr-2'!D125)</f>
        <v>UAB "Pagalba ligoniui" teikiamų paslaugų efektyvumo didinimas</v>
      </c>
      <c r="E125" s="312" t="str">
        <f>CONCATENATE('3 pr-2'!E125)</f>
        <v>UAB „Pagalba ligoniui“, Alytaus filialas</v>
      </c>
      <c r="F125" s="312" t="str">
        <f>CONCATENATE('3 pr-2'!F125)</f>
        <v>Lietuvos Respublikos Sveikatos apsaugos ministerija</v>
      </c>
      <c r="G125" s="312" t="str">
        <f>CONCATENATE('3 pr-2'!G125)</f>
        <v>Alytaus m. sav.</v>
      </c>
      <c r="H125" s="345" t="str">
        <f>CONCATENATE('3 pr-2'!H125)</f>
        <v>08.1.3-CPVA-R-609</v>
      </c>
      <c r="I125" s="345" t="str">
        <f>CONCATENATE('3 pr-2'!I125)</f>
        <v>R</v>
      </c>
      <c r="J125" s="345" t="str">
        <f>CONCATENATE('3 pr-2'!J125)</f>
        <v>-</v>
      </c>
      <c r="K125" s="345" t="str">
        <f>CONCATENATE('3 pr-2'!K125)</f>
        <v>-</v>
      </c>
      <c r="L125" s="345" t="s">
        <v>1458</v>
      </c>
      <c r="M125" s="778" t="s">
        <v>1459</v>
      </c>
      <c r="N125" s="345"/>
      <c r="O125" s="345"/>
      <c r="P125" s="345"/>
      <c r="Q125" s="345"/>
      <c r="R125" s="345"/>
      <c r="S125" s="345"/>
      <c r="T125" s="345"/>
      <c r="U125" s="893">
        <f t="shared" si="537"/>
        <v>0</v>
      </c>
      <c r="V125" s="345">
        <v>1</v>
      </c>
      <c r="W125" s="1578" t="str">
        <f ca="1">IF('ketv. 6 '!L124&gt;0,"taip","nėra")</f>
        <v>nėra</v>
      </c>
      <c r="X125" s="1579"/>
      <c r="Y125" s="1579">
        <f>IF(YEAR('3 pr-2'!$AK125)=2017,$V125,0)</f>
        <v>0</v>
      </c>
      <c r="Z125" s="1579">
        <f>IF(YEAR('3 pr-2'!$AK125)=2018,$V125,0)</f>
        <v>0</v>
      </c>
      <c r="AA125" s="1579">
        <f>IF(YEAR('3 pr-2'!$AK125)=2019,$V125,0)</f>
        <v>0</v>
      </c>
      <c r="AB125" s="1579">
        <f>IF(YEAR('3 pr-2'!$AK125)=2020,$V125,0)</f>
        <v>0</v>
      </c>
      <c r="AC125" s="1579">
        <f>IF(YEAR('3 pr-2'!$AK125)=2021,$V125,0)</f>
        <v>1</v>
      </c>
      <c r="AD125" s="1579">
        <f>IF(YEAR('3 pr-2'!$AK125)=2022,$V125,0)</f>
        <v>0</v>
      </c>
      <c r="AE125" s="1579">
        <f>IF(YEAR('3 pr-2'!$AK125)=2023,$V125,0)</f>
        <v>0</v>
      </c>
      <c r="AF125" s="350" t="s">
        <v>519</v>
      </c>
      <c r="AG125" s="778" t="s">
        <v>520</v>
      </c>
      <c r="AH125" s="345"/>
      <c r="AI125" s="345"/>
      <c r="AJ125" s="345"/>
      <c r="AK125" s="345"/>
      <c r="AL125" s="345"/>
      <c r="AM125" s="345"/>
      <c r="AN125" s="345"/>
      <c r="AO125" s="895">
        <f t="shared" si="569"/>
        <v>0</v>
      </c>
      <c r="AP125" s="345">
        <v>750</v>
      </c>
      <c r="AQ125" s="1597"/>
      <c r="AR125" s="1579"/>
      <c r="AS125" s="1579">
        <f>IF(YEAR('3 pr-2'!$AK125)=2017,$AP125,0)</f>
        <v>0</v>
      </c>
      <c r="AT125" s="1579">
        <f>IF(YEAR('3 pr-2'!$AK125)=2018,$AP125,0)</f>
        <v>0</v>
      </c>
      <c r="AU125" s="1579">
        <f>IF(YEAR('3 pr-2'!$AK125)=2019,$AP125,0)</f>
        <v>0</v>
      </c>
      <c r="AV125" s="1579">
        <f>IF(YEAR('3 pr-2'!$AK125)=2020,$AP125,0)</f>
        <v>0</v>
      </c>
      <c r="AW125" s="1579">
        <f>IF(YEAR('3 pr-2'!$AK125)=2021,$AP125,0)</f>
        <v>750</v>
      </c>
      <c r="AX125" s="1579">
        <f>IF(YEAR('3 pr-2'!$AK125)=2022,$AP125,0)</f>
        <v>0</v>
      </c>
      <c r="AY125" s="1579">
        <f>IF(YEAR('3 pr-2'!$AK125)=2023,$AP125,0)</f>
        <v>0</v>
      </c>
      <c r="AZ125" s="345"/>
      <c r="BA125" s="536"/>
      <c r="BB125" s="345"/>
      <c r="BC125" s="345"/>
      <c r="BD125" s="345"/>
      <c r="BE125" s="345"/>
      <c r="BF125" s="345"/>
      <c r="BG125" s="345"/>
      <c r="BH125" s="345"/>
      <c r="BI125" s="895">
        <f t="shared" si="547"/>
        <v>0</v>
      </c>
      <c r="BJ125" s="345"/>
      <c r="BK125" s="1597"/>
      <c r="BL125" s="1579"/>
      <c r="BM125" s="1579">
        <f>IF(YEAR('3 pr-2'!AK125)=2017,BJ125,0)</f>
        <v>0</v>
      </c>
      <c r="BN125" s="1579">
        <f>IF(YEAR('3 pr-2'!AK125)=2018,BJ125,0)</f>
        <v>0</v>
      </c>
      <c r="BO125" s="1579">
        <f>IF(YEAR('3 pr-2'!AK125)=2019,BJ125,0)</f>
        <v>0</v>
      </c>
      <c r="BP125" s="1579">
        <f>IF(YEAR('3 pr-2'!AK125)=2020,BJ125,0)</f>
        <v>0</v>
      </c>
      <c r="BQ125" s="1579">
        <f>IF(YEAR('3 pr-2'!AK125)=2021,BJ125,0)</f>
        <v>0</v>
      </c>
      <c r="BR125" s="1579">
        <f>IF(YEAR('3 pr-2'!AK125)=2022,BJ125,0)</f>
        <v>0</v>
      </c>
      <c r="BS125" s="1579">
        <f>IF(YEAR('3 pr-2'!AK125)=2023,BJ125,0)</f>
        <v>0</v>
      </c>
      <c r="BT125" s="350"/>
      <c r="BU125" s="537"/>
      <c r="BV125" s="345"/>
      <c r="BW125" s="345"/>
      <c r="BX125" s="345"/>
      <c r="BY125" s="345"/>
      <c r="BZ125" s="345"/>
      <c r="CA125" s="345"/>
      <c r="CB125" s="345"/>
      <c r="CC125" s="895">
        <f t="shared" si="561"/>
        <v>0</v>
      </c>
      <c r="CD125" s="345"/>
      <c r="CE125" s="1579"/>
      <c r="CF125" s="1579"/>
      <c r="CG125" s="1579">
        <f>IF(YEAR('3 pr-2'!$AK125)=2017,$CD125,0)</f>
        <v>0</v>
      </c>
      <c r="CH125" s="1579">
        <f>IF(YEAR('3 pr-2'!$AK125)=2018,$CD125,0)</f>
        <v>0</v>
      </c>
      <c r="CI125" s="1579">
        <f>IF(YEAR('3 pr-2'!$AK125)=2019,$CD125,0)</f>
        <v>0</v>
      </c>
      <c r="CJ125" s="1579">
        <f>IF(YEAR('3 pr-2'!$AK125)=2020,$CD125,0)</f>
        <v>0</v>
      </c>
      <c r="CK125" s="1579">
        <f>IF(YEAR('3 pr-2'!$AK125)=2021,$CD125,0)</f>
        <v>0</v>
      </c>
      <c r="CL125" s="1579">
        <f>IF(YEAR('3 pr-2'!$AK125)=2022,$CD125,0)</f>
        <v>0</v>
      </c>
      <c r="CM125" s="1579">
        <f>IF(YEAR('3 pr-2'!$AK125)=2023,$CD125,0)</f>
        <v>0</v>
      </c>
      <c r="CN125" s="350"/>
      <c r="CO125" s="538"/>
      <c r="CP125" s="345"/>
      <c r="CQ125" s="345"/>
      <c r="CR125" s="345"/>
      <c r="CS125" s="345"/>
      <c r="CT125" s="345"/>
      <c r="CU125" s="345"/>
      <c r="CV125" s="345"/>
      <c r="CW125" s="895">
        <f t="shared" si="568"/>
        <v>0</v>
      </c>
      <c r="CX125" s="351"/>
      <c r="CY125" s="1605"/>
      <c r="CZ125" s="1605"/>
      <c r="DA125" s="1594">
        <f>IF(YEAR('3 pr-2'!AK125)=2017,CX125,0)</f>
        <v>0</v>
      </c>
      <c r="DB125" s="1594">
        <f>IF(YEAR('3 pr-2'!AK125)=2018,CX125,0)</f>
        <v>0</v>
      </c>
      <c r="DC125" s="1594">
        <f>IF(YEAR('3 pr-2'!AK125)=2019,CX125,0)</f>
        <v>0</v>
      </c>
      <c r="DD125" s="1594">
        <f>IF(YEAR('3 pr-2'!AK125)=2020,CX125,0)</f>
        <v>0</v>
      </c>
      <c r="DE125" s="1594">
        <f>IF(YEAR('3 pr-2'!AK125)=2021,CX125,0)</f>
        <v>0</v>
      </c>
      <c r="DF125" s="1594">
        <f>IF(YEAR('3 pr-2'!AK125)=2022,CX125,0)</f>
        <v>0</v>
      </c>
      <c r="DG125" s="1594">
        <f>IF(YEAR('3 pr-2'!AK125)=2023,CX125,0)</f>
        <v>0</v>
      </c>
      <c r="DH125" s="350"/>
      <c r="DI125" s="538"/>
      <c r="DJ125" s="345"/>
      <c r="DK125" s="345"/>
      <c r="DL125" s="345"/>
      <c r="DM125" s="345"/>
      <c r="DN125" s="345"/>
      <c r="DO125" s="345"/>
      <c r="DP125" s="345"/>
      <c r="DQ125" s="895"/>
      <c r="DR125" s="351"/>
      <c r="DS125" s="1605"/>
      <c r="DT125" s="1605"/>
      <c r="DU125" s="1594"/>
      <c r="DV125" s="1594"/>
      <c r="DW125" s="1594"/>
      <c r="DX125" s="1594"/>
      <c r="DY125" s="1594"/>
      <c r="DZ125" s="1594"/>
      <c r="EA125" s="1594"/>
      <c r="EB125" s="350"/>
      <c r="EC125" s="538"/>
      <c r="ED125" s="333"/>
      <c r="EE125" s="1605"/>
      <c r="EF125" s="1605"/>
      <c r="EG125" s="1594">
        <f>IF(YEAR('3 pr-2'!BP125)=2017,ED125,0)</f>
        <v>0</v>
      </c>
      <c r="EH125" s="1594">
        <f>IF(YEAR('3 pr-2'!BP125)=2018,ED125,0)</f>
        <v>0</v>
      </c>
      <c r="EI125" s="1594">
        <f>IF(YEAR('3 pr-2'!BP125)=2019,ED125,0)</f>
        <v>0</v>
      </c>
      <c r="EJ125" s="1594">
        <f>IF(YEAR('3 pr-2'!BP125)=2020,ED125,0)</f>
        <v>0</v>
      </c>
      <c r="EK125" s="1594">
        <f>IF(YEAR('3 pr-2'!BP125)=2021,ED125,0)</f>
        <v>0</v>
      </c>
      <c r="EL125" s="1594">
        <f>IF(YEAR('3 pr-2'!BP125)=2022,ED125,0)</f>
        <v>0</v>
      </c>
      <c r="EM125" s="1594">
        <f>IF(YEAR('3 pr-2'!BP125)=2023,ED125,0)</f>
        <v>0</v>
      </c>
    </row>
    <row r="126" spans="1:143" ht="85.5" thickTop="1" thickBot="1" x14ac:dyDescent="0.3">
      <c r="A126" s="345" t="str">
        <f>CONCATENATE('3 pr-2'!A126)</f>
        <v>2.1.2.1.5</v>
      </c>
      <c r="B126" s="345" t="str">
        <f>CONCATENATE('3 pr-2'!B126)</f>
        <v>R01-6609-274710-2215</v>
      </c>
      <c r="C126" s="1321" t="str">
        <f>CONCATENATE('ketv. 2'!B125)</f>
        <v/>
      </c>
      <c r="D126" s="312" t="str">
        <f>CONCATENATE('3 pr-2'!D126)</f>
        <v>Pirminės asmens sveikatos priežiūros veiklos efektyvumo didinimas Alytaus rajono savivaldybėje</v>
      </c>
      <c r="E126" s="312" t="str">
        <f>CONCATENATE('3 pr-2'!E126)</f>
        <v>VšĮ Alytaus rajono savivaldybės pirminės sveikatos priežiūros centras</v>
      </c>
      <c r="F126" s="312" t="str">
        <f>CONCATENATE('3 pr-2'!F126)</f>
        <v>Lietuvos Respublikos Sveikatos apsaugos ministerija</v>
      </c>
      <c r="G126" s="312" t="str">
        <f>CONCATENATE('3 pr-2'!G126)</f>
        <v>Alytaus r. sav.</v>
      </c>
      <c r="H126" s="345" t="str">
        <f>CONCATENATE('3 pr-2'!H126)</f>
        <v>08.1.3-CPVA-R-609</v>
      </c>
      <c r="I126" s="345" t="str">
        <f>CONCATENATE('3 pr-2'!I126)</f>
        <v>R</v>
      </c>
      <c r="J126" s="345" t="str">
        <f>CONCATENATE('3 pr-2'!J126)</f>
        <v>-</v>
      </c>
      <c r="K126" s="345" t="str">
        <f>CONCATENATE('3 pr-2'!K126)</f>
        <v>-</v>
      </c>
      <c r="L126" s="345" t="s">
        <v>1458</v>
      </c>
      <c r="M126" s="778" t="s">
        <v>1459</v>
      </c>
      <c r="N126" s="345"/>
      <c r="O126" s="345"/>
      <c r="P126" s="345"/>
      <c r="Q126" s="345"/>
      <c r="R126" s="345"/>
      <c r="S126" s="345"/>
      <c r="T126" s="345"/>
      <c r="U126" s="893">
        <f t="shared" si="537"/>
        <v>0</v>
      </c>
      <c r="V126" s="345">
        <v>1</v>
      </c>
      <c r="W126" s="1578" t="str">
        <f ca="1">IF('ketv. 6 '!L125&gt;0,"taip","nėra")</f>
        <v>nėra</v>
      </c>
      <c r="X126" s="1579"/>
      <c r="Y126" s="1579">
        <f>IF(YEAR('3 pr-2'!$AK126)=2017,$V126,0)</f>
        <v>0</v>
      </c>
      <c r="Z126" s="1579">
        <f>IF(YEAR('3 pr-2'!$AK126)=2018,$V126,0)</f>
        <v>0</v>
      </c>
      <c r="AA126" s="1579">
        <f>IF(YEAR('3 pr-2'!$AK126)=2019,$V126,0)</f>
        <v>0</v>
      </c>
      <c r="AB126" s="1579">
        <f>IF(YEAR('3 pr-2'!$AK126)=2020,$V126,0)</f>
        <v>1</v>
      </c>
      <c r="AC126" s="1579">
        <f>IF(YEAR('3 pr-2'!$AK126)=2021,$V126,0)</f>
        <v>0</v>
      </c>
      <c r="AD126" s="1579">
        <f>IF(YEAR('3 pr-2'!$AK126)=2022,$V126,0)</f>
        <v>0</v>
      </c>
      <c r="AE126" s="1579">
        <f>IF(YEAR('3 pr-2'!$AK126)=2023,$V126,0)</f>
        <v>0</v>
      </c>
      <c r="AF126" s="350" t="s">
        <v>519</v>
      </c>
      <c r="AG126" s="778" t="s">
        <v>520</v>
      </c>
      <c r="AH126" s="345"/>
      <c r="AI126" s="345"/>
      <c r="AJ126" s="345"/>
      <c r="AK126" s="345"/>
      <c r="AL126" s="345"/>
      <c r="AM126" s="345"/>
      <c r="AN126" s="345"/>
      <c r="AO126" s="895">
        <f t="shared" si="569"/>
        <v>0</v>
      </c>
      <c r="AP126" s="345">
        <v>10000</v>
      </c>
      <c r="AQ126" s="1597"/>
      <c r="AR126" s="1579"/>
      <c r="AS126" s="1579">
        <f>IF(YEAR('3 pr-2'!$AK126)=2017,$AP126,0)</f>
        <v>0</v>
      </c>
      <c r="AT126" s="1579">
        <f>IF(YEAR('3 pr-2'!$AK126)=2018,$AP126,0)</f>
        <v>0</v>
      </c>
      <c r="AU126" s="1579">
        <f>IF(YEAR('3 pr-2'!$AK126)=2019,$AP126,0)</f>
        <v>0</v>
      </c>
      <c r="AV126" s="1579">
        <f>IF(YEAR('3 pr-2'!$AK126)=2020,$AP126,0)</f>
        <v>10000</v>
      </c>
      <c r="AW126" s="1579">
        <f>IF(YEAR('3 pr-2'!$AK126)=2021,$AP126,0)</f>
        <v>0</v>
      </c>
      <c r="AX126" s="1579">
        <f>IF(YEAR('3 pr-2'!$AK126)=2022,$AP126,0)</f>
        <v>0</v>
      </c>
      <c r="AY126" s="1579">
        <f>IF(YEAR('3 pr-2'!$AK126)=2023,$AP126,0)</f>
        <v>0</v>
      </c>
      <c r="AZ126" s="345"/>
      <c r="BA126" s="536"/>
      <c r="BB126" s="345"/>
      <c r="BC126" s="345"/>
      <c r="BD126" s="345"/>
      <c r="BE126" s="345"/>
      <c r="BF126" s="345"/>
      <c r="BG126" s="345"/>
      <c r="BH126" s="345"/>
      <c r="BI126" s="895">
        <f t="shared" si="547"/>
        <v>0</v>
      </c>
      <c r="BJ126" s="345"/>
      <c r="BK126" s="1597"/>
      <c r="BL126" s="1579"/>
      <c r="BM126" s="1579">
        <f>IF(YEAR('3 pr-2'!AK126)=2017,BJ126,0)</f>
        <v>0</v>
      </c>
      <c r="BN126" s="1579">
        <f>IF(YEAR('3 pr-2'!AK126)=2018,BJ126,0)</f>
        <v>0</v>
      </c>
      <c r="BO126" s="1579">
        <f>IF(YEAR('3 pr-2'!AK126)=2019,BJ126,0)</f>
        <v>0</v>
      </c>
      <c r="BP126" s="1579">
        <f>IF(YEAR('3 pr-2'!AK126)=2020,BJ126,0)</f>
        <v>0</v>
      </c>
      <c r="BQ126" s="1579">
        <f>IF(YEAR('3 pr-2'!AK126)=2021,BJ126,0)</f>
        <v>0</v>
      </c>
      <c r="BR126" s="1579">
        <f>IF(YEAR('3 pr-2'!AK126)=2022,BJ126,0)</f>
        <v>0</v>
      </c>
      <c r="BS126" s="1579">
        <f>IF(YEAR('3 pr-2'!AK126)=2023,BJ126,0)</f>
        <v>0</v>
      </c>
      <c r="BT126" s="350"/>
      <c r="BU126" s="537"/>
      <c r="BV126" s="345"/>
      <c r="BW126" s="345"/>
      <c r="BX126" s="345"/>
      <c r="BY126" s="345"/>
      <c r="BZ126" s="345"/>
      <c r="CA126" s="345"/>
      <c r="CB126" s="345"/>
      <c r="CC126" s="895">
        <f t="shared" si="561"/>
        <v>0</v>
      </c>
      <c r="CD126" s="345"/>
      <c r="CE126" s="1579"/>
      <c r="CF126" s="1579"/>
      <c r="CG126" s="1579">
        <f>IF(YEAR('3 pr-2'!$AK126)=2017,$CD126,0)</f>
        <v>0</v>
      </c>
      <c r="CH126" s="1579">
        <f>IF(YEAR('3 pr-2'!$AK126)=2018,$CD126,0)</f>
        <v>0</v>
      </c>
      <c r="CI126" s="1579">
        <f>IF(YEAR('3 pr-2'!$AK126)=2019,$CD126,0)</f>
        <v>0</v>
      </c>
      <c r="CJ126" s="1579">
        <f>IF(YEAR('3 pr-2'!$AK126)=2020,$CD126,0)</f>
        <v>0</v>
      </c>
      <c r="CK126" s="1579">
        <f>IF(YEAR('3 pr-2'!$AK126)=2021,$CD126,0)</f>
        <v>0</v>
      </c>
      <c r="CL126" s="1579">
        <f>IF(YEAR('3 pr-2'!$AK126)=2022,$CD126,0)</f>
        <v>0</v>
      </c>
      <c r="CM126" s="1579">
        <f>IF(YEAR('3 pr-2'!$AK126)=2023,$CD126,0)</f>
        <v>0</v>
      </c>
      <c r="CN126" s="350"/>
      <c r="CO126" s="538"/>
      <c r="CP126" s="345"/>
      <c r="CQ126" s="345"/>
      <c r="CR126" s="345"/>
      <c r="CS126" s="345"/>
      <c r="CT126" s="345"/>
      <c r="CU126" s="345"/>
      <c r="CV126" s="345"/>
      <c r="CW126" s="895">
        <f t="shared" si="568"/>
        <v>0</v>
      </c>
      <c r="CX126" s="351"/>
      <c r="CY126" s="1605"/>
      <c r="CZ126" s="1605"/>
      <c r="DA126" s="1594">
        <f>IF(YEAR('3 pr-2'!AK126)=2017,CX126,0)</f>
        <v>0</v>
      </c>
      <c r="DB126" s="1594">
        <f>IF(YEAR('3 pr-2'!AK126)=2018,CX126,0)</f>
        <v>0</v>
      </c>
      <c r="DC126" s="1594">
        <f>IF(YEAR('3 pr-2'!AK126)=2019,CX126,0)</f>
        <v>0</v>
      </c>
      <c r="DD126" s="1594">
        <f>IF(YEAR('3 pr-2'!AK126)=2020,CX126,0)</f>
        <v>0</v>
      </c>
      <c r="DE126" s="1594">
        <f>IF(YEAR('3 pr-2'!AK126)=2021,CX126,0)</f>
        <v>0</v>
      </c>
      <c r="DF126" s="1594">
        <f>IF(YEAR('3 pr-2'!AK126)=2022,CX126,0)</f>
        <v>0</v>
      </c>
      <c r="DG126" s="1594">
        <f>IF(YEAR('3 pr-2'!AK126)=2023,CX126,0)</f>
        <v>0</v>
      </c>
      <c r="DH126" s="350"/>
      <c r="DI126" s="538"/>
      <c r="DJ126" s="345"/>
      <c r="DK126" s="345"/>
      <c r="DL126" s="345"/>
      <c r="DM126" s="345"/>
      <c r="DN126" s="345"/>
      <c r="DO126" s="345"/>
      <c r="DP126" s="345"/>
      <c r="DQ126" s="895"/>
      <c r="DR126" s="351"/>
      <c r="DS126" s="1605"/>
      <c r="DT126" s="1605"/>
      <c r="DU126" s="1594"/>
      <c r="DV126" s="1594"/>
      <c r="DW126" s="1594"/>
      <c r="DX126" s="1594"/>
      <c r="DY126" s="1594"/>
      <c r="DZ126" s="1594"/>
      <c r="EA126" s="1594"/>
      <c r="EB126" s="350"/>
      <c r="EC126" s="538"/>
      <c r="ED126" s="333"/>
      <c r="EE126" s="1605"/>
      <c r="EF126" s="1605"/>
      <c r="EG126" s="1594">
        <f>IF(YEAR('3 pr-2'!BP126)=2017,ED126,0)</f>
        <v>0</v>
      </c>
      <c r="EH126" s="1594">
        <f>IF(YEAR('3 pr-2'!BP126)=2018,ED126,0)</f>
        <v>0</v>
      </c>
      <c r="EI126" s="1594">
        <f>IF(YEAR('3 pr-2'!BP126)=2019,ED126,0)</f>
        <v>0</v>
      </c>
      <c r="EJ126" s="1594">
        <f>IF(YEAR('3 pr-2'!BP126)=2020,ED126,0)</f>
        <v>0</v>
      </c>
      <c r="EK126" s="1594">
        <f>IF(YEAR('3 pr-2'!BP126)=2021,ED126,0)</f>
        <v>0</v>
      </c>
      <c r="EL126" s="1594">
        <f>IF(YEAR('3 pr-2'!BP126)=2022,ED126,0)</f>
        <v>0</v>
      </c>
      <c r="EM126" s="1594">
        <f>IF(YEAR('3 pr-2'!BP126)=2023,ED126,0)</f>
        <v>0</v>
      </c>
    </row>
    <row r="127" spans="1:143" ht="75" thickTop="1" thickBot="1" x14ac:dyDescent="0.3">
      <c r="A127" s="345" t="str">
        <f>CONCATENATE('3 pr-2'!A127)</f>
        <v>2.1.2.1.6</v>
      </c>
      <c r="B127" s="345" t="str">
        <f>CONCATENATE('3 pr-2'!B127)</f>
        <v>R01-6609-471000-2216</v>
      </c>
      <c r="C127" s="1321" t="str">
        <f>CONCATENATE('ketv. 2'!B126)</f>
        <v/>
      </c>
      <c r="D127" s="312" t="str">
        <f>CONCATENATE('3 pr-2'!D127)</f>
        <v>Sveikatos priežiūros paslaugų gerinimas "UAB "Disolis"</v>
      </c>
      <c r="E127" s="312" t="str">
        <f>CONCATENATE('3 pr-2'!E127)</f>
        <v>UAB „Disolis“</v>
      </c>
      <c r="F127" s="312" t="str">
        <f>CONCATENATE('3 pr-2'!F127)</f>
        <v>Lietuvos Respublikos Sveikatos apsaugos ministerija</v>
      </c>
      <c r="G127" s="312" t="str">
        <f>CONCATENATE('3 pr-2'!G127)</f>
        <v>Alytaus r. sav.</v>
      </c>
      <c r="H127" s="345" t="str">
        <f>CONCATENATE('3 pr-2'!H127)</f>
        <v>08.1.3-CPVA-R-609</v>
      </c>
      <c r="I127" s="345" t="str">
        <f>CONCATENATE('3 pr-2'!I127)</f>
        <v>R</v>
      </c>
      <c r="J127" s="345" t="str">
        <f>CONCATENATE('3 pr-2'!J127)</f>
        <v>-</v>
      </c>
      <c r="K127" s="345" t="str">
        <f>CONCATENATE('3 pr-2'!K127)</f>
        <v>-</v>
      </c>
      <c r="L127" s="345" t="s">
        <v>1458</v>
      </c>
      <c r="M127" s="778" t="s">
        <v>1459</v>
      </c>
      <c r="N127" s="345"/>
      <c r="O127" s="345"/>
      <c r="P127" s="345"/>
      <c r="Q127" s="345"/>
      <c r="R127" s="345"/>
      <c r="S127" s="345"/>
      <c r="T127" s="345"/>
      <c r="U127" s="893">
        <f t="shared" si="537"/>
        <v>0</v>
      </c>
      <c r="V127" s="345">
        <v>1</v>
      </c>
      <c r="W127" s="1578" t="str">
        <f ca="1">IF('ketv. 6 '!L126&gt;0,"taip","nėra")</f>
        <v>nėra</v>
      </c>
      <c r="X127" s="1579"/>
      <c r="Y127" s="1579">
        <f>IF(YEAR('3 pr-2'!$AK127)=2017,$V127,0)</f>
        <v>0</v>
      </c>
      <c r="Z127" s="1579">
        <f>IF(YEAR('3 pr-2'!$AK127)=2018,$V127,0)</f>
        <v>0</v>
      </c>
      <c r="AA127" s="1579">
        <f>IF(YEAR('3 pr-2'!$AK127)=2019,$V127,0)</f>
        <v>1</v>
      </c>
      <c r="AB127" s="1579">
        <f>IF(YEAR('3 pr-2'!$AK127)=2020,$V127,0)</f>
        <v>0</v>
      </c>
      <c r="AC127" s="1579">
        <f>IF(YEAR('3 pr-2'!$AK127)=2021,$V127,0)</f>
        <v>0</v>
      </c>
      <c r="AD127" s="1579">
        <f>IF(YEAR('3 pr-2'!$AK127)=2022,$V127,0)</f>
        <v>0</v>
      </c>
      <c r="AE127" s="1579">
        <f>IF(YEAR('3 pr-2'!$AK127)=2023,$V127,0)</f>
        <v>0</v>
      </c>
      <c r="AF127" s="350" t="s">
        <v>519</v>
      </c>
      <c r="AG127" s="778" t="s">
        <v>520</v>
      </c>
      <c r="AH127" s="345"/>
      <c r="AI127" s="345"/>
      <c r="AJ127" s="345"/>
      <c r="AK127" s="345"/>
      <c r="AL127" s="345"/>
      <c r="AM127" s="345"/>
      <c r="AN127" s="345"/>
      <c r="AO127" s="895">
        <f t="shared" si="569"/>
        <v>0</v>
      </c>
      <c r="AP127" s="345">
        <v>400</v>
      </c>
      <c r="AQ127" s="1597"/>
      <c r="AR127" s="1579"/>
      <c r="AS127" s="1579">
        <f>IF(YEAR('3 pr-2'!$AK127)=2017,$AP127,0)</f>
        <v>0</v>
      </c>
      <c r="AT127" s="1579">
        <f>IF(YEAR('3 pr-2'!$AK127)=2018,$AP127,0)</f>
        <v>0</v>
      </c>
      <c r="AU127" s="1579">
        <f>IF(YEAR('3 pr-2'!$AK127)=2019,$AP127,0)</f>
        <v>400</v>
      </c>
      <c r="AV127" s="1579">
        <f>IF(YEAR('3 pr-2'!$AK127)=2020,$AP127,0)</f>
        <v>0</v>
      </c>
      <c r="AW127" s="1579">
        <f>IF(YEAR('3 pr-2'!$AK127)=2021,$AP127,0)</f>
        <v>0</v>
      </c>
      <c r="AX127" s="1579">
        <f>IF(YEAR('3 pr-2'!$AK127)=2022,$AP127,0)</f>
        <v>0</v>
      </c>
      <c r="AY127" s="1579">
        <f>IF(YEAR('3 pr-2'!$AK127)=2023,$AP127,0)</f>
        <v>0</v>
      </c>
      <c r="AZ127" s="345"/>
      <c r="BA127" s="536"/>
      <c r="BB127" s="345"/>
      <c r="BC127" s="345"/>
      <c r="BD127" s="345"/>
      <c r="BE127" s="345"/>
      <c r="BF127" s="345"/>
      <c r="BG127" s="345"/>
      <c r="BH127" s="345"/>
      <c r="BI127" s="895">
        <f t="shared" si="547"/>
        <v>0</v>
      </c>
      <c r="BJ127" s="345"/>
      <c r="BK127" s="1597"/>
      <c r="BL127" s="1579"/>
      <c r="BM127" s="1579">
        <f>IF(YEAR('3 pr-2'!AK127)=2017,BJ127,0)</f>
        <v>0</v>
      </c>
      <c r="BN127" s="1579">
        <f>IF(YEAR('3 pr-2'!AK127)=2018,BJ127,0)</f>
        <v>0</v>
      </c>
      <c r="BO127" s="1579">
        <f>IF(YEAR('3 pr-2'!AK127)=2019,BJ127,0)</f>
        <v>0</v>
      </c>
      <c r="BP127" s="1579">
        <f>IF(YEAR('3 pr-2'!AK127)=2020,BJ127,0)</f>
        <v>0</v>
      </c>
      <c r="BQ127" s="1579">
        <f>IF(YEAR('3 pr-2'!AK127)=2021,BJ127,0)</f>
        <v>0</v>
      </c>
      <c r="BR127" s="1579">
        <f>IF(YEAR('3 pr-2'!AK127)=2022,BJ127,0)</f>
        <v>0</v>
      </c>
      <c r="BS127" s="1579">
        <f>IF(YEAR('3 pr-2'!AK127)=2023,BJ127,0)</f>
        <v>0</v>
      </c>
      <c r="BT127" s="350"/>
      <c r="BU127" s="537"/>
      <c r="BV127" s="345"/>
      <c r="BW127" s="345"/>
      <c r="BX127" s="345"/>
      <c r="BY127" s="345"/>
      <c r="BZ127" s="345"/>
      <c r="CA127" s="345"/>
      <c r="CB127" s="345"/>
      <c r="CC127" s="895">
        <f t="shared" si="561"/>
        <v>0</v>
      </c>
      <c r="CD127" s="345"/>
      <c r="CE127" s="1579"/>
      <c r="CF127" s="1579"/>
      <c r="CG127" s="1579">
        <f>IF(YEAR('3 pr-2'!$AK127)=2017,$CD127,0)</f>
        <v>0</v>
      </c>
      <c r="CH127" s="1579">
        <f>IF(YEAR('3 pr-2'!$AK127)=2018,$CD127,0)</f>
        <v>0</v>
      </c>
      <c r="CI127" s="1579">
        <f>IF(YEAR('3 pr-2'!$AK127)=2019,$CD127,0)</f>
        <v>0</v>
      </c>
      <c r="CJ127" s="1579">
        <f>IF(YEAR('3 pr-2'!$AK127)=2020,$CD127,0)</f>
        <v>0</v>
      </c>
      <c r="CK127" s="1579">
        <f>IF(YEAR('3 pr-2'!$AK127)=2021,$CD127,0)</f>
        <v>0</v>
      </c>
      <c r="CL127" s="1579">
        <f>IF(YEAR('3 pr-2'!$AK127)=2022,$CD127,0)</f>
        <v>0</v>
      </c>
      <c r="CM127" s="1579">
        <f>IF(YEAR('3 pr-2'!$AK127)=2023,$CD127,0)</f>
        <v>0</v>
      </c>
      <c r="CN127" s="350"/>
      <c r="CO127" s="538"/>
      <c r="CP127" s="345"/>
      <c r="CQ127" s="345"/>
      <c r="CR127" s="345"/>
      <c r="CS127" s="345"/>
      <c r="CT127" s="345"/>
      <c r="CU127" s="345"/>
      <c r="CV127" s="345"/>
      <c r="CW127" s="895">
        <f t="shared" si="568"/>
        <v>0</v>
      </c>
      <c r="CX127" s="351"/>
      <c r="CY127" s="1605"/>
      <c r="CZ127" s="1605"/>
      <c r="DA127" s="1594">
        <f>IF(YEAR('3 pr-2'!AK127)=2017,CX127,0)</f>
        <v>0</v>
      </c>
      <c r="DB127" s="1594">
        <f>IF(YEAR('3 pr-2'!AK127)=2018,CX127,0)</f>
        <v>0</v>
      </c>
      <c r="DC127" s="1594">
        <f>IF(YEAR('3 pr-2'!AK127)=2019,CX127,0)</f>
        <v>0</v>
      </c>
      <c r="DD127" s="1594">
        <f>IF(YEAR('3 pr-2'!AK127)=2020,CX127,0)</f>
        <v>0</v>
      </c>
      <c r="DE127" s="1594">
        <f>IF(YEAR('3 pr-2'!AK127)=2021,CX127,0)</f>
        <v>0</v>
      </c>
      <c r="DF127" s="1594">
        <f>IF(YEAR('3 pr-2'!AK127)=2022,CX127,0)</f>
        <v>0</v>
      </c>
      <c r="DG127" s="1594">
        <f>IF(YEAR('3 pr-2'!AK127)=2023,CX127,0)</f>
        <v>0</v>
      </c>
      <c r="DH127" s="350"/>
      <c r="DI127" s="538"/>
      <c r="DJ127" s="345"/>
      <c r="DK127" s="345"/>
      <c r="DL127" s="345"/>
      <c r="DM127" s="345"/>
      <c r="DN127" s="345"/>
      <c r="DO127" s="345"/>
      <c r="DP127" s="345"/>
      <c r="DQ127" s="895"/>
      <c r="DR127" s="351"/>
      <c r="DS127" s="1605"/>
      <c r="DT127" s="1605"/>
      <c r="DU127" s="1594"/>
      <c r="DV127" s="1594"/>
      <c r="DW127" s="1594"/>
      <c r="DX127" s="1594"/>
      <c r="DY127" s="1594"/>
      <c r="DZ127" s="1594"/>
      <c r="EA127" s="1594"/>
      <c r="EB127" s="350"/>
      <c r="EC127" s="538"/>
      <c r="ED127" s="333"/>
      <c r="EE127" s="1605"/>
      <c r="EF127" s="1605"/>
      <c r="EG127" s="1594">
        <f>IF(YEAR('3 pr-2'!BP127)=2017,ED127,0)</f>
        <v>0</v>
      </c>
      <c r="EH127" s="1594">
        <f>IF(YEAR('3 pr-2'!BP127)=2018,ED127,0)</f>
        <v>0</v>
      </c>
      <c r="EI127" s="1594">
        <f>IF(YEAR('3 pr-2'!BP127)=2019,ED127,0)</f>
        <v>0</v>
      </c>
      <c r="EJ127" s="1594">
        <f>IF(YEAR('3 pr-2'!BP127)=2020,ED127,0)</f>
        <v>0</v>
      </c>
      <c r="EK127" s="1594">
        <f>IF(YEAR('3 pr-2'!BP127)=2021,ED127,0)</f>
        <v>0</v>
      </c>
      <c r="EL127" s="1594">
        <f>IF(YEAR('3 pr-2'!BP127)=2022,ED127,0)</f>
        <v>0</v>
      </c>
      <c r="EM127" s="1594">
        <f>IF(YEAR('3 pr-2'!BP127)=2023,ED127,0)</f>
        <v>0</v>
      </c>
    </row>
    <row r="128" spans="1:143" ht="75" thickTop="1" thickBot="1" x14ac:dyDescent="0.3">
      <c r="A128" s="345" t="str">
        <f>CONCATENATE('3 pr-2'!A128)</f>
        <v>2.1.2.1.7</v>
      </c>
      <c r="B128" s="345" t="str">
        <f>CONCATENATE('3 pr-2'!B128)</f>
        <v>R01-6609-274710-2217</v>
      </c>
      <c r="C128" s="1321" t="str">
        <f>CONCATENATE('ketv. 2'!B127)</f>
        <v/>
      </c>
      <c r="D128" s="312" t="str">
        <f>CONCATENATE('3 pr-2'!D128)</f>
        <v>Pirminės asmens sveikatos priežiūros kokybės ir prieinamumo gerinimas Druskininkų savivaldybėje</v>
      </c>
      <c r="E128" s="312" t="str">
        <f>CONCATENATE('3 pr-2'!E128)</f>
        <v>VšĮ Druskininkų pirminės sveikatos priežiūros centras</v>
      </c>
      <c r="F128" s="312" t="str">
        <f>CONCATENATE('3 pr-2'!F128)</f>
        <v>Lietuvos Respublikos Sveikatos apsaugos ministerija</v>
      </c>
      <c r="G128" s="312" t="str">
        <f>CONCATENATE('3 pr-2'!G128)</f>
        <v>Druskininkų sav.</v>
      </c>
      <c r="H128" s="345" t="str">
        <f>CONCATENATE('3 pr-2'!H128)</f>
        <v>08.1.3-CPVA-R-609</v>
      </c>
      <c r="I128" s="345" t="str">
        <f>CONCATENATE('3 pr-2'!I128)</f>
        <v>R</v>
      </c>
      <c r="J128" s="345" t="str">
        <f>CONCATENATE('3 pr-2'!J128)</f>
        <v>-</v>
      </c>
      <c r="K128" s="345" t="str">
        <f>CONCATENATE('3 pr-2'!K128)</f>
        <v>-</v>
      </c>
      <c r="L128" s="345" t="s">
        <v>1458</v>
      </c>
      <c r="M128" s="778" t="s">
        <v>1459</v>
      </c>
      <c r="N128" s="345"/>
      <c r="O128" s="345"/>
      <c r="P128" s="345"/>
      <c r="Q128" s="345"/>
      <c r="R128" s="345"/>
      <c r="S128" s="345"/>
      <c r="T128" s="345"/>
      <c r="U128" s="893">
        <f t="shared" si="537"/>
        <v>0</v>
      </c>
      <c r="V128" s="345">
        <v>1</v>
      </c>
      <c r="W128" s="1578" t="str">
        <f ca="1">IF('ketv. 6 '!L127&gt;0,"taip","nėra")</f>
        <v>nėra</v>
      </c>
      <c r="X128" s="1579"/>
      <c r="Y128" s="1579">
        <f>IF(YEAR('3 pr-2'!$AK128)=2017,$V128,0)</f>
        <v>0</v>
      </c>
      <c r="Z128" s="1579">
        <f>IF(YEAR('3 pr-2'!$AK128)=2018,$V128,0)</f>
        <v>0</v>
      </c>
      <c r="AA128" s="1579">
        <f>IF(YEAR('3 pr-2'!$AK128)=2019,$V128,0)</f>
        <v>0</v>
      </c>
      <c r="AB128" s="1579">
        <f>IF(YEAR('3 pr-2'!$AK128)=2020,$V128,0)</f>
        <v>1</v>
      </c>
      <c r="AC128" s="1579">
        <f>IF(YEAR('3 pr-2'!$AK128)=2021,$V128,0)</f>
        <v>0</v>
      </c>
      <c r="AD128" s="1579">
        <f>IF(YEAR('3 pr-2'!$AK128)=2022,$V128,0)</f>
        <v>0</v>
      </c>
      <c r="AE128" s="1579">
        <f>IF(YEAR('3 pr-2'!$AK128)=2023,$V128,0)</f>
        <v>0</v>
      </c>
      <c r="AF128" s="350" t="s">
        <v>519</v>
      </c>
      <c r="AG128" s="778" t="s">
        <v>520</v>
      </c>
      <c r="AH128" s="345"/>
      <c r="AI128" s="345"/>
      <c r="AJ128" s="345"/>
      <c r="AK128" s="345"/>
      <c r="AL128" s="345"/>
      <c r="AM128" s="345"/>
      <c r="AN128" s="345"/>
      <c r="AO128" s="895">
        <f t="shared" si="569"/>
        <v>0</v>
      </c>
      <c r="AP128" s="345">
        <v>8340</v>
      </c>
      <c r="AQ128" s="1597"/>
      <c r="AR128" s="1579"/>
      <c r="AS128" s="1579">
        <f>IF(YEAR('3 pr-2'!$AK128)=2017,$AP128,0)</f>
        <v>0</v>
      </c>
      <c r="AT128" s="1579">
        <f>IF(YEAR('3 pr-2'!$AK128)=2018,$AP128,0)</f>
        <v>0</v>
      </c>
      <c r="AU128" s="1579">
        <f>IF(YEAR('3 pr-2'!$AK128)=2019,$AP128,0)</f>
        <v>0</v>
      </c>
      <c r="AV128" s="1579">
        <f>IF(YEAR('3 pr-2'!$AK128)=2020,$AP128,0)</f>
        <v>8340</v>
      </c>
      <c r="AW128" s="1579">
        <f>IF(YEAR('3 pr-2'!$AK128)=2021,$AP128,0)</f>
        <v>0</v>
      </c>
      <c r="AX128" s="1579">
        <f>IF(YEAR('3 pr-2'!$AK128)=2022,$AP128,0)</f>
        <v>0</v>
      </c>
      <c r="AY128" s="1579">
        <f>IF(YEAR('3 pr-2'!$AK128)=2023,$AP128,0)</f>
        <v>0</v>
      </c>
      <c r="AZ128" s="345"/>
      <c r="BA128" s="536"/>
      <c r="BB128" s="345"/>
      <c r="BC128" s="345"/>
      <c r="BD128" s="345"/>
      <c r="BE128" s="345"/>
      <c r="BF128" s="345"/>
      <c r="BG128" s="345"/>
      <c r="BH128" s="345"/>
      <c r="BI128" s="895"/>
      <c r="BJ128" s="345"/>
      <c r="BK128" s="1597"/>
      <c r="BL128" s="1579"/>
      <c r="BM128" s="1579">
        <f>IF(YEAR('3 pr-2'!AK128)=2017,BJ128,0)</f>
        <v>0</v>
      </c>
      <c r="BN128" s="1579">
        <f>IF(YEAR('3 pr-2'!AK128)=2018,BJ128,0)</f>
        <v>0</v>
      </c>
      <c r="BO128" s="1579">
        <f>IF(YEAR('3 pr-2'!AK128)=2019,BJ128,0)</f>
        <v>0</v>
      </c>
      <c r="BP128" s="1579">
        <f>IF(YEAR('3 pr-2'!AK128)=2020,BJ128,0)</f>
        <v>0</v>
      </c>
      <c r="BQ128" s="1579">
        <f>IF(YEAR('3 pr-2'!AK128)=2021,BJ128,0)</f>
        <v>0</v>
      </c>
      <c r="BR128" s="1579">
        <f>IF(YEAR('3 pr-2'!AK128)=2022,BJ128,0)</f>
        <v>0</v>
      </c>
      <c r="BS128" s="1579">
        <f>IF(YEAR('3 pr-2'!AK128)=2023,BJ128,0)</f>
        <v>0</v>
      </c>
      <c r="BT128" s="350"/>
      <c r="BU128" s="537"/>
      <c r="BV128" s="345"/>
      <c r="BW128" s="345"/>
      <c r="BX128" s="345"/>
      <c r="BY128" s="345"/>
      <c r="BZ128" s="345"/>
      <c r="CA128" s="345"/>
      <c r="CB128" s="345"/>
      <c r="CC128" s="895">
        <f t="shared" si="561"/>
        <v>0</v>
      </c>
      <c r="CD128" s="345"/>
      <c r="CE128" s="1579"/>
      <c r="CF128" s="1579"/>
      <c r="CG128" s="1579">
        <f>IF(YEAR('3 pr-2'!$AK128)=2017,$CD128,0)</f>
        <v>0</v>
      </c>
      <c r="CH128" s="1579">
        <f>IF(YEAR('3 pr-2'!$AK128)=2018,$CD128,0)</f>
        <v>0</v>
      </c>
      <c r="CI128" s="1579">
        <f>IF(YEAR('3 pr-2'!$AK128)=2019,$CD128,0)</f>
        <v>0</v>
      </c>
      <c r="CJ128" s="1579">
        <f>IF(YEAR('3 pr-2'!$AK128)=2020,$CD128,0)</f>
        <v>0</v>
      </c>
      <c r="CK128" s="1579">
        <f>IF(YEAR('3 pr-2'!$AK128)=2021,$CD128,0)</f>
        <v>0</v>
      </c>
      <c r="CL128" s="1579">
        <f>IF(YEAR('3 pr-2'!$AK128)=2022,$CD128,0)</f>
        <v>0</v>
      </c>
      <c r="CM128" s="1579">
        <f>IF(YEAR('3 pr-2'!$AK128)=2023,$CD128,0)</f>
        <v>0</v>
      </c>
      <c r="CN128" s="350"/>
      <c r="CO128" s="538"/>
      <c r="CP128" s="345"/>
      <c r="CQ128" s="345"/>
      <c r="CR128" s="345"/>
      <c r="CS128" s="345"/>
      <c r="CT128" s="345"/>
      <c r="CU128" s="345"/>
      <c r="CV128" s="345"/>
      <c r="CW128" s="895">
        <f t="shared" si="568"/>
        <v>0</v>
      </c>
      <c r="CX128" s="351"/>
      <c r="CY128" s="1605"/>
      <c r="CZ128" s="1605"/>
      <c r="DA128" s="1594">
        <f>IF(YEAR('3 pr-2'!AK128)=2017,CX128,0)</f>
        <v>0</v>
      </c>
      <c r="DB128" s="1594">
        <f>IF(YEAR('3 pr-2'!AK128)=2018,CX128,0)</f>
        <v>0</v>
      </c>
      <c r="DC128" s="1594">
        <f>IF(YEAR('3 pr-2'!AK128)=2019,CX128,0)</f>
        <v>0</v>
      </c>
      <c r="DD128" s="1594">
        <f>IF(YEAR('3 pr-2'!AK128)=2020,CX128,0)</f>
        <v>0</v>
      </c>
      <c r="DE128" s="1594">
        <f>IF(YEAR('3 pr-2'!AK128)=2021,CX128,0)</f>
        <v>0</v>
      </c>
      <c r="DF128" s="1594">
        <f>IF(YEAR('3 pr-2'!AK128)=2022,CX128,0)</f>
        <v>0</v>
      </c>
      <c r="DG128" s="1594">
        <f>IF(YEAR('3 pr-2'!AK128)=2023,CX128,0)</f>
        <v>0</v>
      </c>
      <c r="DH128" s="350"/>
      <c r="DI128" s="538"/>
      <c r="DJ128" s="345"/>
      <c r="DK128" s="345"/>
      <c r="DL128" s="345"/>
      <c r="DM128" s="345"/>
      <c r="DN128" s="345"/>
      <c r="DO128" s="345"/>
      <c r="DP128" s="345"/>
      <c r="DQ128" s="895"/>
      <c r="DR128" s="351"/>
      <c r="DS128" s="1605"/>
      <c r="DT128" s="1605"/>
      <c r="DU128" s="1594"/>
      <c r="DV128" s="1594"/>
      <c r="DW128" s="1594"/>
      <c r="DX128" s="1594"/>
      <c r="DY128" s="1594"/>
      <c r="DZ128" s="1594"/>
      <c r="EA128" s="1594"/>
      <c r="EB128" s="350"/>
      <c r="EC128" s="538"/>
      <c r="ED128" s="333"/>
      <c r="EE128" s="1605"/>
      <c r="EF128" s="1605"/>
      <c r="EG128" s="1594">
        <f>IF(YEAR('3 pr-2'!BP128)=2017,ED128,0)</f>
        <v>0</v>
      </c>
      <c r="EH128" s="1594">
        <f>IF(YEAR('3 pr-2'!BP128)=2018,ED128,0)</f>
        <v>0</v>
      </c>
      <c r="EI128" s="1594">
        <f>IF(YEAR('3 pr-2'!BP128)=2019,ED128,0)</f>
        <v>0</v>
      </c>
      <c r="EJ128" s="1594">
        <f>IF(YEAR('3 pr-2'!BP128)=2020,ED128,0)</f>
        <v>0</v>
      </c>
      <c r="EK128" s="1594">
        <f>IF(YEAR('3 pr-2'!BP128)=2021,ED128,0)</f>
        <v>0</v>
      </c>
      <c r="EL128" s="1594">
        <f>IF(YEAR('3 pr-2'!BP128)=2022,ED128,0)</f>
        <v>0</v>
      </c>
      <c r="EM128" s="1594">
        <f>IF(YEAR('3 pr-2'!BP128)=2023,ED128,0)</f>
        <v>0</v>
      </c>
    </row>
    <row r="129" spans="1:143" ht="75" thickTop="1" thickBot="1" x14ac:dyDescent="0.3">
      <c r="A129" s="345" t="str">
        <f>CONCATENATE('3 pr-2'!A129)</f>
        <v>2.1.2.1.8</v>
      </c>
      <c r="B129" s="345" t="str">
        <f>CONCATENATE('3 pr-2'!B129)</f>
        <v>R01-6609-104700-2218</v>
      </c>
      <c r="C129" s="1321" t="str">
        <f>CONCATENATE('ketv. 2'!B128)</f>
        <v/>
      </c>
      <c r="D129" s="312" t="str">
        <f>CONCATENATE('3 pr-2'!D129)</f>
        <v>UAB "Druskininkų šeimos klinika" asmens sveikatos priežiūros paslaugų prieinamumo ir efektyvumo didinimas</v>
      </c>
      <c r="E129" s="312" t="str">
        <f>CONCATENATE('3 pr-2'!E129)</f>
        <v>UAB „Druskininkų šeimos klinika“</v>
      </c>
      <c r="F129" s="312" t="str">
        <f>CONCATENATE('3 pr-2'!F129)</f>
        <v>Lietuvos Respublikos Sveikatos apsaugos ministerija</v>
      </c>
      <c r="G129" s="312" t="str">
        <f>CONCATENATE('3 pr-2'!G129)</f>
        <v>Druskininkų sav.</v>
      </c>
      <c r="H129" s="345" t="str">
        <f>CONCATENATE('3 pr-2'!H129)</f>
        <v>08.1.3-CPVA-R-609</v>
      </c>
      <c r="I129" s="345" t="str">
        <f>CONCATENATE('3 pr-2'!I129)</f>
        <v>R</v>
      </c>
      <c r="J129" s="345" t="str">
        <f>CONCATENATE('3 pr-2'!J129)</f>
        <v>-</v>
      </c>
      <c r="K129" s="345" t="str">
        <f>CONCATENATE('3 pr-2'!K129)</f>
        <v>-</v>
      </c>
      <c r="L129" s="345" t="s">
        <v>1458</v>
      </c>
      <c r="M129" s="778" t="s">
        <v>1459</v>
      </c>
      <c r="N129" s="345"/>
      <c r="O129" s="345"/>
      <c r="P129" s="345"/>
      <c r="Q129" s="345"/>
      <c r="R129" s="345"/>
      <c r="S129" s="345"/>
      <c r="T129" s="345"/>
      <c r="U129" s="893">
        <f t="shared" si="537"/>
        <v>0</v>
      </c>
      <c r="V129" s="345">
        <v>1</v>
      </c>
      <c r="W129" s="1578" t="str">
        <f ca="1">IF('ketv. 6 '!L128&gt;0,"taip","nėra")</f>
        <v>nėra</v>
      </c>
      <c r="X129" s="1579"/>
      <c r="Y129" s="1579">
        <f>IF(YEAR('3 pr-2'!$AK129)=2017,$V129,0)</f>
        <v>0</v>
      </c>
      <c r="Z129" s="1579">
        <f>IF(YEAR('3 pr-2'!$AK129)=2018,$V129,0)</f>
        <v>0</v>
      </c>
      <c r="AA129" s="1579">
        <f>IF(YEAR('3 pr-2'!$AK129)=2019,$V129,0)</f>
        <v>0</v>
      </c>
      <c r="AB129" s="1579">
        <f>IF(YEAR('3 pr-2'!$AK129)=2020,$V129,0)</f>
        <v>1</v>
      </c>
      <c r="AC129" s="1579">
        <f>IF(YEAR('3 pr-2'!$AK129)=2021,$V129,0)</f>
        <v>0</v>
      </c>
      <c r="AD129" s="1579">
        <f>IF(YEAR('3 pr-2'!$AK129)=2022,$V129,0)</f>
        <v>0</v>
      </c>
      <c r="AE129" s="1579">
        <f>IF(YEAR('3 pr-2'!$AK129)=2023,$V129,0)</f>
        <v>0</v>
      </c>
      <c r="AF129" s="350" t="s">
        <v>519</v>
      </c>
      <c r="AG129" s="778" t="s">
        <v>520</v>
      </c>
      <c r="AH129" s="345"/>
      <c r="AI129" s="345"/>
      <c r="AJ129" s="345"/>
      <c r="AK129" s="345"/>
      <c r="AL129" s="345"/>
      <c r="AM129" s="345"/>
      <c r="AN129" s="345"/>
      <c r="AO129" s="895">
        <f t="shared" si="569"/>
        <v>0</v>
      </c>
      <c r="AP129" s="345">
        <v>605</v>
      </c>
      <c r="AQ129" s="1597"/>
      <c r="AR129" s="1579"/>
      <c r="AS129" s="1579">
        <f>IF(YEAR('3 pr-2'!$AK129)=2017,$AP129,0)</f>
        <v>0</v>
      </c>
      <c r="AT129" s="1579">
        <f>IF(YEAR('3 pr-2'!$AK129)=2018,$AP129,0)</f>
        <v>0</v>
      </c>
      <c r="AU129" s="1579">
        <f>IF(YEAR('3 pr-2'!$AK129)=2019,$AP129,0)</f>
        <v>0</v>
      </c>
      <c r="AV129" s="1579">
        <f>IF(YEAR('3 pr-2'!$AK129)=2020,$AP129,0)</f>
        <v>605</v>
      </c>
      <c r="AW129" s="1579">
        <f>IF(YEAR('3 pr-2'!$AK129)=2021,$AP129,0)</f>
        <v>0</v>
      </c>
      <c r="AX129" s="1579">
        <f>IF(YEAR('3 pr-2'!$AK129)=2022,$AP129,0)</f>
        <v>0</v>
      </c>
      <c r="AY129" s="1579">
        <f>IF(YEAR('3 pr-2'!$AK129)=2023,$AP129,0)</f>
        <v>0</v>
      </c>
      <c r="AZ129" s="345"/>
      <c r="BA129" s="536"/>
      <c r="BB129" s="345"/>
      <c r="BC129" s="345"/>
      <c r="BD129" s="345"/>
      <c r="BE129" s="345"/>
      <c r="BF129" s="345"/>
      <c r="BG129" s="345"/>
      <c r="BH129" s="345"/>
      <c r="BI129" s="895"/>
      <c r="BJ129" s="345"/>
      <c r="BK129" s="1597"/>
      <c r="BL129" s="1579"/>
      <c r="BM129" s="1579">
        <f>IF(YEAR('3 pr-2'!AK129)=2017,BJ129,0)</f>
        <v>0</v>
      </c>
      <c r="BN129" s="1579">
        <f>IF(YEAR('3 pr-2'!AK129)=2018,BJ129,0)</f>
        <v>0</v>
      </c>
      <c r="BO129" s="1579">
        <f>IF(YEAR('3 pr-2'!AK129)=2019,BJ129,0)</f>
        <v>0</v>
      </c>
      <c r="BP129" s="1579">
        <f>IF(YEAR('3 pr-2'!AK129)=2020,BJ129,0)</f>
        <v>0</v>
      </c>
      <c r="BQ129" s="1579">
        <f>IF(YEAR('3 pr-2'!AK129)=2021,BJ129,0)</f>
        <v>0</v>
      </c>
      <c r="BR129" s="1579">
        <f>IF(YEAR('3 pr-2'!AK129)=2022,BJ129,0)</f>
        <v>0</v>
      </c>
      <c r="BS129" s="1579">
        <f>IF(YEAR('3 pr-2'!AK129)=2023,BJ129,0)</f>
        <v>0</v>
      </c>
      <c r="BT129" s="350"/>
      <c r="BU129" s="537"/>
      <c r="BV129" s="345"/>
      <c r="BW129" s="345"/>
      <c r="BX129" s="345"/>
      <c r="BY129" s="345"/>
      <c r="BZ129" s="345"/>
      <c r="CA129" s="345"/>
      <c r="CB129" s="345"/>
      <c r="CC129" s="895">
        <f t="shared" si="561"/>
        <v>0</v>
      </c>
      <c r="CD129" s="345"/>
      <c r="CE129" s="1579"/>
      <c r="CF129" s="1579"/>
      <c r="CG129" s="1579">
        <f>IF(YEAR('3 pr-2'!$AK129)=2017,$CD129,0)</f>
        <v>0</v>
      </c>
      <c r="CH129" s="1579">
        <f>IF(YEAR('3 pr-2'!$AK129)=2018,$CD129,0)</f>
        <v>0</v>
      </c>
      <c r="CI129" s="1579">
        <f>IF(YEAR('3 pr-2'!$AK129)=2019,$CD129,0)</f>
        <v>0</v>
      </c>
      <c r="CJ129" s="1579">
        <f>IF(YEAR('3 pr-2'!$AK129)=2020,$CD129,0)</f>
        <v>0</v>
      </c>
      <c r="CK129" s="1579">
        <f>IF(YEAR('3 pr-2'!$AK129)=2021,$CD129,0)</f>
        <v>0</v>
      </c>
      <c r="CL129" s="1579">
        <f>IF(YEAR('3 pr-2'!$AK129)=2022,$CD129,0)</f>
        <v>0</v>
      </c>
      <c r="CM129" s="1579">
        <f>IF(YEAR('3 pr-2'!$AK129)=2023,$CD129,0)</f>
        <v>0</v>
      </c>
      <c r="CN129" s="350"/>
      <c r="CO129" s="538"/>
      <c r="CP129" s="345"/>
      <c r="CQ129" s="345"/>
      <c r="CR129" s="345"/>
      <c r="CS129" s="345"/>
      <c r="CT129" s="345"/>
      <c r="CU129" s="345"/>
      <c r="CV129" s="345"/>
      <c r="CW129" s="895">
        <f t="shared" si="568"/>
        <v>0</v>
      </c>
      <c r="CX129" s="351"/>
      <c r="CY129" s="1605"/>
      <c r="CZ129" s="1605"/>
      <c r="DA129" s="1594">
        <f>IF(YEAR('3 pr-2'!AK129)=2017,CX129,0)</f>
        <v>0</v>
      </c>
      <c r="DB129" s="1594">
        <f>IF(YEAR('3 pr-2'!AK129)=2018,CX129,0)</f>
        <v>0</v>
      </c>
      <c r="DC129" s="1594">
        <f>IF(YEAR('3 pr-2'!AK129)=2019,CX129,0)</f>
        <v>0</v>
      </c>
      <c r="DD129" s="1594">
        <f>IF(YEAR('3 pr-2'!AK129)=2020,CX129,0)</f>
        <v>0</v>
      </c>
      <c r="DE129" s="1594">
        <f>IF(YEAR('3 pr-2'!AK129)=2021,CX129,0)</f>
        <v>0</v>
      </c>
      <c r="DF129" s="1594">
        <f>IF(YEAR('3 pr-2'!AK129)=2022,CX129,0)</f>
        <v>0</v>
      </c>
      <c r="DG129" s="1594">
        <f>IF(YEAR('3 pr-2'!AK129)=2023,CX129,0)</f>
        <v>0</v>
      </c>
      <c r="DH129" s="350"/>
      <c r="DI129" s="538"/>
      <c r="DJ129" s="345"/>
      <c r="DK129" s="345"/>
      <c r="DL129" s="345"/>
      <c r="DM129" s="345"/>
      <c r="DN129" s="345"/>
      <c r="DO129" s="345"/>
      <c r="DP129" s="345"/>
      <c r="DQ129" s="895"/>
      <c r="DR129" s="351"/>
      <c r="DS129" s="1605"/>
      <c r="DT129" s="1605"/>
      <c r="DU129" s="1594"/>
      <c r="DV129" s="1594"/>
      <c r="DW129" s="1594"/>
      <c r="DX129" s="1594"/>
      <c r="DY129" s="1594"/>
      <c r="DZ129" s="1594"/>
      <c r="EA129" s="1594"/>
      <c r="EB129" s="350"/>
      <c r="EC129" s="538"/>
      <c r="ED129" s="333"/>
      <c r="EE129" s="1605"/>
      <c r="EF129" s="1605"/>
      <c r="EG129" s="1594">
        <f>IF(YEAR('3 pr-2'!BP129)=2017,ED129,0)</f>
        <v>0</v>
      </c>
      <c r="EH129" s="1594">
        <f>IF(YEAR('3 pr-2'!BP129)=2018,ED129,0)</f>
        <v>0</v>
      </c>
      <c r="EI129" s="1594">
        <f>IF(YEAR('3 pr-2'!BP129)=2019,ED129,0)</f>
        <v>0</v>
      </c>
      <c r="EJ129" s="1594">
        <f>IF(YEAR('3 pr-2'!BP129)=2020,ED129,0)</f>
        <v>0</v>
      </c>
      <c r="EK129" s="1594">
        <f>IF(YEAR('3 pr-2'!BP129)=2021,ED129,0)</f>
        <v>0</v>
      </c>
      <c r="EL129" s="1594">
        <f>IF(YEAR('3 pr-2'!BP129)=2022,ED129,0)</f>
        <v>0</v>
      </c>
      <c r="EM129" s="1594">
        <f>IF(YEAR('3 pr-2'!BP129)=2023,ED129,0)</f>
        <v>0</v>
      </c>
    </row>
    <row r="130" spans="1:143" ht="85.5" thickTop="1" thickBot="1" x14ac:dyDescent="0.3">
      <c r="A130" s="345" t="str">
        <f>CONCATENATE('3 pr-2'!A130)</f>
        <v>2.1.2.1.9</v>
      </c>
      <c r="B130" s="345" t="str">
        <f>CONCATENATE('3 pr-2'!B130)</f>
        <v>R01-6609-274710-2219</v>
      </c>
      <c r="C130" s="1321"/>
      <c r="D130" s="312" t="str">
        <f>CONCATENATE('3 pr-2'!D130)</f>
        <v>I. S. Kavaliauskienės įmonės teikiamų pirminės ambulatorinės asmens sveikatos priežiūros paslaugų kokybės ir prieinamumo gerinimas.</v>
      </c>
      <c r="E130" s="312" t="str">
        <f>CONCATENATE('3 pr-2'!E130)</f>
        <v>Irenos Stanislavos Kavaliauskienės įmonė</v>
      </c>
      <c r="F130" s="312" t="str">
        <f>CONCATENATE('3 pr-2'!F130)</f>
        <v>Lietuvos Respublikos Sveikatos apsaugos ministerija</v>
      </c>
      <c r="G130" s="312" t="str">
        <f>CONCATENATE('3 pr-2'!G130)</f>
        <v>Druskininkų sav.</v>
      </c>
      <c r="H130" s="345" t="str">
        <f>CONCATENATE('3 pr-2'!H130)</f>
        <v>08.1.3-CPVA-R-609</v>
      </c>
      <c r="I130" s="345" t="str">
        <f>CONCATENATE('3 pr-2'!I130)</f>
        <v>R</v>
      </c>
      <c r="J130" s="345" t="str">
        <f>CONCATENATE('3 pr-2'!J130)</f>
        <v>-</v>
      </c>
      <c r="K130" s="345" t="str">
        <f>CONCATENATE('3 pr-2'!K130)</f>
        <v>-</v>
      </c>
      <c r="L130" s="345" t="s">
        <v>1458</v>
      </c>
      <c r="M130" s="778" t="s">
        <v>1459</v>
      </c>
      <c r="N130" s="345"/>
      <c r="O130" s="345"/>
      <c r="P130" s="345"/>
      <c r="Q130" s="345"/>
      <c r="R130" s="345"/>
      <c r="S130" s="345"/>
      <c r="T130" s="345"/>
      <c r="U130" s="893">
        <f t="shared" si="537"/>
        <v>0</v>
      </c>
      <c r="V130" s="345">
        <v>1</v>
      </c>
      <c r="W130" s="1578" t="str">
        <f ca="1">IF('ketv. 6 '!L129&gt;0,"taip","nėra")</f>
        <v>nėra</v>
      </c>
      <c r="X130" s="1579"/>
      <c r="Y130" s="1579">
        <f>IF(YEAR('3 pr-2'!$AK130)=2017,$V130,0)</f>
        <v>0</v>
      </c>
      <c r="Z130" s="1579">
        <f>IF(YEAR('3 pr-2'!$AK130)=2018,$V130,0)</f>
        <v>0</v>
      </c>
      <c r="AA130" s="1579">
        <f>IF(YEAR('3 pr-2'!$AK130)=2019,$V130,0)</f>
        <v>1</v>
      </c>
      <c r="AB130" s="1579">
        <f>IF(YEAR('3 pr-2'!$AK130)=2020,$V130,0)</f>
        <v>0</v>
      </c>
      <c r="AC130" s="1579">
        <f>IF(YEAR('3 pr-2'!$AK130)=2021,$V130,0)</f>
        <v>0</v>
      </c>
      <c r="AD130" s="1579">
        <f>IF(YEAR('3 pr-2'!$AK130)=2022,$V130,0)</f>
        <v>0</v>
      </c>
      <c r="AE130" s="1579">
        <f>IF(YEAR('3 pr-2'!$AK130)=2023,$V130,0)</f>
        <v>0</v>
      </c>
      <c r="AF130" s="350" t="s">
        <v>519</v>
      </c>
      <c r="AG130" s="778" t="s">
        <v>520</v>
      </c>
      <c r="AH130" s="345"/>
      <c r="AI130" s="345"/>
      <c r="AJ130" s="345"/>
      <c r="AK130" s="345"/>
      <c r="AL130" s="345"/>
      <c r="AM130" s="345"/>
      <c r="AN130" s="345"/>
      <c r="AO130" s="895">
        <f t="shared" si="569"/>
        <v>0</v>
      </c>
      <c r="AP130" s="345">
        <v>1300</v>
      </c>
      <c r="AQ130" s="1597"/>
      <c r="AR130" s="1579"/>
      <c r="AS130" s="1579">
        <f>IF(YEAR('3 pr-2'!$AK130)=2017,$AP130,0)</f>
        <v>0</v>
      </c>
      <c r="AT130" s="1579">
        <f>IF(YEAR('3 pr-2'!$AK130)=2018,$AP130,0)</f>
        <v>0</v>
      </c>
      <c r="AU130" s="1579">
        <f>IF(YEAR('3 pr-2'!$AK130)=2019,$AP130,0)</f>
        <v>1300</v>
      </c>
      <c r="AV130" s="1579">
        <f>IF(YEAR('3 pr-2'!$AK130)=2020,$AP130,0)</f>
        <v>0</v>
      </c>
      <c r="AW130" s="1579">
        <f>IF(YEAR('3 pr-2'!$AK130)=2021,$AP130,0)</f>
        <v>0</v>
      </c>
      <c r="AX130" s="1579">
        <f>IF(YEAR('3 pr-2'!$AK130)=2022,$AP130,0)</f>
        <v>0</v>
      </c>
      <c r="AY130" s="1579">
        <f>IF(YEAR('3 pr-2'!$AK130)=2023,$AP130,0)</f>
        <v>0</v>
      </c>
      <c r="AZ130" s="345"/>
      <c r="BA130" s="536"/>
      <c r="BB130" s="345"/>
      <c r="BC130" s="345"/>
      <c r="BD130" s="345"/>
      <c r="BE130" s="345"/>
      <c r="BF130" s="345"/>
      <c r="BG130" s="345"/>
      <c r="BH130" s="345"/>
      <c r="BI130" s="895"/>
      <c r="BJ130" s="345"/>
      <c r="BK130" s="1597"/>
      <c r="BL130" s="1579"/>
      <c r="BM130" s="1579"/>
      <c r="BN130" s="1579"/>
      <c r="BO130" s="1579"/>
      <c r="BP130" s="1579"/>
      <c r="BQ130" s="1579"/>
      <c r="BR130" s="1579"/>
      <c r="BS130" s="1579"/>
      <c r="BT130" s="350"/>
      <c r="BU130" s="537"/>
      <c r="BV130" s="345"/>
      <c r="BW130" s="345"/>
      <c r="BX130" s="345"/>
      <c r="BY130" s="345"/>
      <c r="BZ130" s="345"/>
      <c r="CA130" s="345"/>
      <c r="CB130" s="345"/>
      <c r="CC130" s="895"/>
      <c r="CD130" s="345"/>
      <c r="CE130" s="1579"/>
      <c r="CF130" s="1579"/>
      <c r="CG130" s="1579"/>
      <c r="CH130" s="1579"/>
      <c r="CI130" s="1579"/>
      <c r="CJ130" s="1579"/>
      <c r="CK130" s="1579"/>
      <c r="CL130" s="1579"/>
      <c r="CM130" s="1579"/>
      <c r="CN130" s="350"/>
      <c r="CO130" s="538"/>
      <c r="CP130" s="345"/>
      <c r="CQ130" s="345"/>
      <c r="CR130" s="345"/>
      <c r="CS130" s="345"/>
      <c r="CT130" s="345"/>
      <c r="CU130" s="345"/>
      <c r="CV130" s="345"/>
      <c r="CW130" s="895"/>
      <c r="CX130" s="351"/>
      <c r="CY130" s="1605"/>
      <c r="CZ130" s="1605"/>
      <c r="DA130" s="1594">
        <f>IF(YEAR('3 pr-2'!AK130)=2017,CX130,0)</f>
        <v>0</v>
      </c>
      <c r="DB130" s="1594">
        <f>IF(YEAR('3 pr-2'!AK130)=2018,CX130,0)</f>
        <v>0</v>
      </c>
      <c r="DC130" s="1594">
        <f>IF(YEAR('3 pr-2'!AK130)=2019,CX130,0)</f>
        <v>0</v>
      </c>
      <c r="DD130" s="1594">
        <f>IF(YEAR('3 pr-2'!AK130)=2020,CX130,0)</f>
        <v>0</v>
      </c>
      <c r="DE130" s="1594">
        <f>IF(YEAR('3 pr-2'!AK130)=2021,CX130,0)</f>
        <v>0</v>
      </c>
      <c r="DF130" s="1594">
        <f>IF(YEAR('3 pr-2'!AK130)=2022,CX130,0)</f>
        <v>0</v>
      </c>
      <c r="DG130" s="1594">
        <f>IF(YEAR('3 pr-2'!AK130)=2023,CX130,0)</f>
        <v>0</v>
      </c>
      <c r="DH130" s="350"/>
      <c r="DI130" s="538"/>
      <c r="DJ130" s="345"/>
      <c r="DK130" s="345"/>
      <c r="DL130" s="345"/>
      <c r="DM130" s="345"/>
      <c r="DN130" s="345"/>
      <c r="DO130" s="345"/>
      <c r="DP130" s="345"/>
      <c r="DQ130" s="895"/>
      <c r="DR130" s="351"/>
      <c r="DS130" s="1605"/>
      <c r="DT130" s="1605"/>
      <c r="DU130" s="1594"/>
      <c r="DV130" s="1594"/>
      <c r="DW130" s="1594"/>
      <c r="DX130" s="1594"/>
      <c r="DY130" s="1594"/>
      <c r="DZ130" s="1594"/>
      <c r="EA130" s="1594"/>
      <c r="EB130" s="350"/>
      <c r="EC130" s="538"/>
      <c r="ED130" s="333"/>
      <c r="EE130" s="1605"/>
      <c r="EF130" s="1605"/>
      <c r="EG130" s="1594">
        <f>IF(YEAR('3 pr-2'!BP130)=2017,ED130,0)</f>
        <v>0</v>
      </c>
      <c r="EH130" s="1594">
        <f>IF(YEAR('3 pr-2'!BP130)=2018,ED130,0)</f>
        <v>0</v>
      </c>
      <c r="EI130" s="1594">
        <f>IF(YEAR('3 pr-2'!BP130)=2019,ED130,0)</f>
        <v>0</v>
      </c>
      <c r="EJ130" s="1594">
        <f>IF(YEAR('3 pr-2'!BP130)=2020,ED130,0)</f>
        <v>0</v>
      </c>
      <c r="EK130" s="1594">
        <f>IF(YEAR('3 pr-2'!BP130)=2021,ED130,0)</f>
        <v>0</v>
      </c>
      <c r="EL130" s="1594">
        <f>IF(YEAR('3 pr-2'!BP130)=2022,ED130,0)</f>
        <v>0</v>
      </c>
      <c r="EM130" s="1594">
        <f>IF(YEAR('3 pr-2'!BP130)=2023,ED130,0)</f>
        <v>0</v>
      </c>
    </row>
    <row r="131" spans="1:143" ht="85.5" thickTop="1" thickBot="1" x14ac:dyDescent="0.3">
      <c r="A131" s="345" t="str">
        <f>CONCATENATE('3 pr-2'!A131)</f>
        <v>2.1.2.1.10</v>
      </c>
      <c r="B131" s="345" t="str">
        <f>CONCATENATE('3 pr-2'!B131)</f>
        <v>R01-6609-274710-2220</v>
      </c>
      <c r="C131" s="1321"/>
      <c r="D131" s="312" t="str">
        <f>CONCATENATE('3 pr-2'!D131)</f>
        <v>Pirminės ambulatorinės asmens sveikatos priežiūros efektyvumo didinimas R.Ambrazaitienės ir L. Puzinovienės šeimos gydytojų kabinetuose</v>
      </c>
      <c r="E131" s="312" t="str">
        <f>CONCATENATE('3 pr-2'!E131)</f>
        <v>UAB „Rasos Ambrazaitienės šeimos gydytojo kabinetas“</v>
      </c>
      <c r="F131" s="312" t="str">
        <f>CONCATENATE('3 pr-2'!F131)</f>
        <v>Lietuvos Respublikos Sveikatos apsaugos ministerija</v>
      </c>
      <c r="G131" s="312" t="str">
        <f>CONCATENATE('3 pr-2'!G131)</f>
        <v>Druskininkų sav.</v>
      </c>
      <c r="H131" s="345" t="str">
        <f>CONCATENATE('3 pr-2'!H131)</f>
        <v>08.1.3-CPVA-R-609</v>
      </c>
      <c r="I131" s="345" t="str">
        <f>CONCATENATE('3 pr-2'!I131)</f>
        <v>R</v>
      </c>
      <c r="J131" s="345" t="str">
        <f>CONCATENATE('3 pr-2'!J131)</f>
        <v>-</v>
      </c>
      <c r="K131" s="345" t="str">
        <f>CONCATENATE('3 pr-2'!K131)</f>
        <v>-</v>
      </c>
      <c r="L131" s="345" t="s">
        <v>1458</v>
      </c>
      <c r="M131" s="778" t="s">
        <v>1459</v>
      </c>
      <c r="N131" s="345"/>
      <c r="O131" s="345"/>
      <c r="P131" s="345"/>
      <c r="Q131" s="345"/>
      <c r="R131" s="345"/>
      <c r="S131" s="345"/>
      <c r="T131" s="345"/>
      <c r="U131" s="893">
        <f t="shared" si="537"/>
        <v>0</v>
      </c>
      <c r="V131" s="345">
        <v>2</v>
      </c>
      <c r="W131" s="1578" t="str">
        <f ca="1">IF('ketv. 6 '!L130&gt;0,"taip","nėra")</f>
        <v>nėra</v>
      </c>
      <c r="X131" s="1579"/>
      <c r="Y131" s="1579">
        <f>IF(YEAR('3 pr-2'!$AK131)=2017,$V131,0)</f>
        <v>0</v>
      </c>
      <c r="Z131" s="1579">
        <f>IF(YEAR('3 pr-2'!$AK131)=2018,$V131,0)</f>
        <v>0</v>
      </c>
      <c r="AA131" s="1579">
        <f>IF(YEAR('3 pr-2'!$AK131)=2019,$V131,0)</f>
        <v>0</v>
      </c>
      <c r="AB131" s="1579">
        <f>IF(YEAR('3 pr-2'!$AK131)=2020,$V131,0)</f>
        <v>2</v>
      </c>
      <c r="AC131" s="1579">
        <f>IF(YEAR('3 pr-2'!$AK131)=2021,$V131,0)</f>
        <v>0</v>
      </c>
      <c r="AD131" s="1579">
        <f>IF(YEAR('3 pr-2'!$AK131)=2022,$V131,0)</f>
        <v>0</v>
      </c>
      <c r="AE131" s="1579">
        <f>IF(YEAR('3 pr-2'!$AK131)=2023,$V131,0)</f>
        <v>0</v>
      </c>
      <c r="AF131" s="350" t="s">
        <v>519</v>
      </c>
      <c r="AG131" s="778" t="s">
        <v>521</v>
      </c>
      <c r="AH131" s="345"/>
      <c r="AI131" s="345"/>
      <c r="AJ131" s="345"/>
      <c r="AK131" s="345"/>
      <c r="AL131" s="345"/>
      <c r="AM131" s="345"/>
      <c r="AN131" s="345"/>
      <c r="AO131" s="895">
        <f t="shared" si="569"/>
        <v>0</v>
      </c>
      <c r="AP131" s="345">
        <v>1598</v>
      </c>
      <c r="AQ131" s="1597"/>
      <c r="AR131" s="1579"/>
      <c r="AS131" s="1579">
        <f>IF(YEAR('3 pr-2'!$AK131)=2017,$AP131,0)</f>
        <v>0</v>
      </c>
      <c r="AT131" s="1579">
        <f>IF(YEAR('3 pr-2'!$AK131)=2018,$AP131,0)</f>
        <v>0</v>
      </c>
      <c r="AU131" s="1579">
        <f>IF(YEAR('3 pr-2'!$AK131)=2019,$AP131,0)</f>
        <v>0</v>
      </c>
      <c r="AV131" s="1579">
        <f>IF(YEAR('3 pr-2'!$AK131)=2020,$AP131,0)</f>
        <v>1598</v>
      </c>
      <c r="AW131" s="1579">
        <f>IF(YEAR('3 pr-2'!$AK131)=2021,$AP131,0)</f>
        <v>0</v>
      </c>
      <c r="AX131" s="1579">
        <f>IF(YEAR('3 pr-2'!$AK131)=2022,$AP131,0)</f>
        <v>0</v>
      </c>
      <c r="AY131" s="1579">
        <f>IF(YEAR('3 pr-2'!$AK131)=2023,$AP131,0)</f>
        <v>0</v>
      </c>
      <c r="AZ131" s="345"/>
      <c r="BA131" s="536"/>
      <c r="BB131" s="345"/>
      <c r="BC131" s="345"/>
      <c r="BD131" s="345"/>
      <c r="BE131" s="345"/>
      <c r="BF131" s="345"/>
      <c r="BG131" s="345"/>
      <c r="BH131" s="345"/>
      <c r="BI131" s="895"/>
      <c r="BJ131" s="345"/>
      <c r="BK131" s="1597"/>
      <c r="BL131" s="1579"/>
      <c r="BM131" s="1579"/>
      <c r="BN131" s="1579"/>
      <c r="BO131" s="1579"/>
      <c r="BP131" s="1579"/>
      <c r="BQ131" s="1579"/>
      <c r="BR131" s="1579"/>
      <c r="BS131" s="1579"/>
      <c r="BT131" s="350"/>
      <c r="BU131" s="537"/>
      <c r="BV131" s="345"/>
      <c r="BW131" s="345"/>
      <c r="BX131" s="345"/>
      <c r="BY131" s="345"/>
      <c r="BZ131" s="345"/>
      <c r="CA131" s="345"/>
      <c r="CB131" s="345"/>
      <c r="CC131" s="895"/>
      <c r="CD131" s="345"/>
      <c r="CE131" s="1579"/>
      <c r="CF131" s="1579"/>
      <c r="CG131" s="1579"/>
      <c r="CH131" s="1579"/>
      <c r="CI131" s="1579"/>
      <c r="CJ131" s="1579"/>
      <c r="CK131" s="1579"/>
      <c r="CL131" s="1579"/>
      <c r="CM131" s="1579"/>
      <c r="CN131" s="350"/>
      <c r="CO131" s="538"/>
      <c r="CP131" s="345"/>
      <c r="CQ131" s="345"/>
      <c r="CR131" s="345"/>
      <c r="CS131" s="345"/>
      <c r="CT131" s="345"/>
      <c r="CU131" s="345"/>
      <c r="CV131" s="345"/>
      <c r="CW131" s="895"/>
      <c r="CX131" s="351"/>
      <c r="CY131" s="1605"/>
      <c r="CZ131" s="1605"/>
      <c r="DA131" s="1594">
        <f>IF(YEAR('3 pr-2'!AK131)=2017,CX131,0)</f>
        <v>0</v>
      </c>
      <c r="DB131" s="1594">
        <f>IF(YEAR('3 pr-2'!AK131)=2018,CX131,0)</f>
        <v>0</v>
      </c>
      <c r="DC131" s="1594">
        <f>IF(YEAR('3 pr-2'!AK131)=2019,CX131,0)</f>
        <v>0</v>
      </c>
      <c r="DD131" s="1594">
        <f>IF(YEAR('3 pr-2'!AK131)=2020,CX131,0)</f>
        <v>0</v>
      </c>
      <c r="DE131" s="1594">
        <f>IF(YEAR('3 pr-2'!AK131)=2021,CX131,0)</f>
        <v>0</v>
      </c>
      <c r="DF131" s="1594">
        <f>IF(YEAR('3 pr-2'!AK131)=2022,CX131,0)</f>
        <v>0</v>
      </c>
      <c r="DG131" s="1594">
        <f>IF(YEAR('3 pr-2'!AK131)=2023,CX131,0)</f>
        <v>0</v>
      </c>
      <c r="DH131" s="350"/>
      <c r="DI131" s="538"/>
      <c r="DJ131" s="345"/>
      <c r="DK131" s="345"/>
      <c r="DL131" s="345"/>
      <c r="DM131" s="345"/>
      <c r="DN131" s="345"/>
      <c r="DO131" s="345"/>
      <c r="DP131" s="345"/>
      <c r="DQ131" s="895"/>
      <c r="DR131" s="351"/>
      <c r="DS131" s="1605"/>
      <c r="DT131" s="1605"/>
      <c r="DU131" s="1594"/>
      <c r="DV131" s="1594"/>
      <c r="DW131" s="1594"/>
      <c r="DX131" s="1594"/>
      <c r="DY131" s="1594"/>
      <c r="DZ131" s="1594"/>
      <c r="EA131" s="1594"/>
      <c r="EB131" s="350"/>
      <c r="EC131" s="538"/>
      <c r="ED131" s="333"/>
      <c r="EE131" s="1605"/>
      <c r="EF131" s="1605"/>
      <c r="EG131" s="1594">
        <f>IF(YEAR('3 pr-2'!BP131)=2017,ED131,0)</f>
        <v>0</v>
      </c>
      <c r="EH131" s="1594">
        <f>IF(YEAR('3 pr-2'!BP131)=2018,ED131,0)</f>
        <v>0</v>
      </c>
      <c r="EI131" s="1594">
        <f>IF(YEAR('3 pr-2'!BP131)=2019,ED131,0)</f>
        <v>0</v>
      </c>
      <c r="EJ131" s="1594">
        <f>IF(YEAR('3 pr-2'!BP131)=2020,ED131,0)</f>
        <v>0</v>
      </c>
      <c r="EK131" s="1594">
        <f>IF(YEAR('3 pr-2'!BP131)=2021,ED131,0)</f>
        <v>0</v>
      </c>
      <c r="EL131" s="1594">
        <f>IF(YEAR('3 pr-2'!BP131)=2022,ED131,0)</f>
        <v>0</v>
      </c>
      <c r="EM131" s="1594">
        <f>IF(YEAR('3 pr-2'!BP131)=2023,ED131,0)</f>
        <v>0</v>
      </c>
    </row>
    <row r="132" spans="1:143" ht="75" thickTop="1" thickBot="1" x14ac:dyDescent="0.3">
      <c r="A132" s="345" t="str">
        <f>CONCATENATE('3 pr-2'!A132)</f>
        <v>2.1.2.1.11</v>
      </c>
      <c r="B132" s="345" t="str">
        <f>CONCATENATE('3 pr-2'!B132)</f>
        <v>R01-6609-274700-2221</v>
      </c>
      <c r="C132" s="1321"/>
      <c r="D132" s="312" t="str">
        <f>CONCATENATE('3 pr-2'!D132)</f>
        <v xml:space="preserve">Pirminės asmens sveikatos priežiūros veiklos efektyvumo didinimas Lazdijų rajono savivaldybėje </v>
      </c>
      <c r="E132" s="312" t="str">
        <f>CONCATENATE('3 pr-2'!E132)</f>
        <v>Lazdijų rajono savivaldybės administracija</v>
      </c>
      <c r="F132" s="312" t="str">
        <f>CONCATENATE('3 pr-2'!F132)</f>
        <v>Lietuvos Respublikos Sveikatos apsaugos ministerija</v>
      </c>
      <c r="G132" s="312" t="str">
        <f>CONCATENATE('3 pr-2'!G132)</f>
        <v>Lazdijų r. sav.</v>
      </c>
      <c r="H132" s="345" t="str">
        <f>CONCATENATE('3 pr-2'!H132)</f>
        <v>08.1.3-CPVA-R-609</v>
      </c>
      <c r="I132" s="345" t="str">
        <f>CONCATENATE('3 pr-2'!I132)</f>
        <v>R</v>
      </c>
      <c r="J132" s="345" t="str">
        <f>CONCATENATE('3 pr-2'!J132)</f>
        <v>-</v>
      </c>
      <c r="K132" s="345" t="str">
        <f>CONCATENATE('3 pr-2'!K132)</f>
        <v>-</v>
      </c>
      <c r="L132" s="345" t="s">
        <v>1458</v>
      </c>
      <c r="M132" s="778" t="s">
        <v>1459</v>
      </c>
      <c r="N132" s="345"/>
      <c r="O132" s="345"/>
      <c r="P132" s="345"/>
      <c r="Q132" s="345"/>
      <c r="R132" s="345"/>
      <c r="S132" s="345"/>
      <c r="T132" s="345"/>
      <c r="U132" s="893">
        <f t="shared" si="537"/>
        <v>0</v>
      </c>
      <c r="V132" s="345">
        <v>4</v>
      </c>
      <c r="W132" s="1578" t="str">
        <f ca="1">IF('ketv. 6 '!L131&gt;0,"taip","nėra")</f>
        <v>nėra</v>
      </c>
      <c r="X132" s="1579"/>
      <c r="Y132" s="1579">
        <f>IF(YEAR('3 pr-2'!$AK132)=2017,$V132,0)</f>
        <v>0</v>
      </c>
      <c r="Z132" s="1579">
        <f>IF(YEAR('3 pr-2'!$AK132)=2018,$V132,0)</f>
        <v>0</v>
      </c>
      <c r="AA132" s="1579">
        <f>IF(YEAR('3 pr-2'!$AK132)=2019,$V132,0)</f>
        <v>0</v>
      </c>
      <c r="AB132" s="1579">
        <f>IF(YEAR('3 pr-2'!$AK132)=2020,$V132,0)</f>
        <v>0</v>
      </c>
      <c r="AC132" s="1579">
        <f>IF(YEAR('3 pr-2'!$AK132)=2021,$V132,0)</f>
        <v>4</v>
      </c>
      <c r="AD132" s="1579">
        <f>IF(YEAR('3 pr-2'!$AK132)=2022,$V132,0)</f>
        <v>0</v>
      </c>
      <c r="AE132" s="1579">
        <f>IF(YEAR('3 pr-2'!$AK132)=2023,$V132,0)</f>
        <v>0</v>
      </c>
      <c r="AF132" s="350" t="s">
        <v>519</v>
      </c>
      <c r="AG132" s="778" t="s">
        <v>521</v>
      </c>
      <c r="AH132" s="345"/>
      <c r="AI132" s="345"/>
      <c r="AJ132" s="345"/>
      <c r="AK132" s="345"/>
      <c r="AL132" s="345"/>
      <c r="AM132" s="345"/>
      <c r="AN132" s="345"/>
      <c r="AO132" s="895">
        <f t="shared" si="569"/>
        <v>0</v>
      </c>
      <c r="AP132" s="345">
        <v>6471</v>
      </c>
      <c r="AQ132" s="1597"/>
      <c r="AR132" s="1579"/>
      <c r="AS132" s="1579">
        <f>IF(YEAR('3 pr-2'!$AK132)=2017,$AP132,0)</f>
        <v>0</v>
      </c>
      <c r="AT132" s="1579">
        <f>IF(YEAR('3 pr-2'!$AK132)=2018,$AP132,0)</f>
        <v>0</v>
      </c>
      <c r="AU132" s="1579">
        <f>IF(YEAR('3 pr-2'!$AK132)=2019,$AP132,0)</f>
        <v>0</v>
      </c>
      <c r="AV132" s="1579">
        <f>IF(YEAR('3 pr-2'!$AK132)=2020,$AP132,0)</f>
        <v>0</v>
      </c>
      <c r="AW132" s="1579">
        <f>IF(YEAR('3 pr-2'!$AK132)=2021,$AP132,0)</f>
        <v>6471</v>
      </c>
      <c r="AX132" s="1579">
        <f>IF(YEAR('3 pr-2'!$AK132)=2022,$AP132,0)</f>
        <v>0</v>
      </c>
      <c r="AY132" s="1579">
        <f>IF(YEAR('3 pr-2'!$AK132)=2023,$AP132,0)</f>
        <v>0</v>
      </c>
      <c r="AZ132" s="345"/>
      <c r="BA132" s="536"/>
      <c r="BB132" s="345"/>
      <c r="BC132" s="345"/>
      <c r="BD132" s="345"/>
      <c r="BE132" s="345"/>
      <c r="BF132" s="345"/>
      <c r="BG132" s="345"/>
      <c r="BH132" s="345"/>
      <c r="BI132" s="895"/>
      <c r="BJ132" s="345"/>
      <c r="BK132" s="1597"/>
      <c r="BL132" s="1579"/>
      <c r="BM132" s="1579"/>
      <c r="BN132" s="1579"/>
      <c r="BO132" s="1579"/>
      <c r="BP132" s="1579"/>
      <c r="BQ132" s="1579"/>
      <c r="BR132" s="1579"/>
      <c r="BS132" s="1579"/>
      <c r="BT132" s="350"/>
      <c r="BU132" s="537"/>
      <c r="BV132" s="345"/>
      <c r="BW132" s="345"/>
      <c r="BX132" s="345"/>
      <c r="BY132" s="345"/>
      <c r="BZ132" s="345"/>
      <c r="CA132" s="345"/>
      <c r="CB132" s="345"/>
      <c r="CC132" s="895"/>
      <c r="CD132" s="345"/>
      <c r="CE132" s="1579"/>
      <c r="CF132" s="1579"/>
      <c r="CG132" s="1579"/>
      <c r="CH132" s="1579"/>
      <c r="CI132" s="1579"/>
      <c r="CJ132" s="1579"/>
      <c r="CK132" s="1579"/>
      <c r="CL132" s="1579"/>
      <c r="CM132" s="1579"/>
      <c r="CN132" s="350"/>
      <c r="CO132" s="538"/>
      <c r="CP132" s="345"/>
      <c r="CQ132" s="345"/>
      <c r="CR132" s="345"/>
      <c r="CS132" s="345"/>
      <c r="CT132" s="345"/>
      <c r="CU132" s="345"/>
      <c r="CV132" s="345"/>
      <c r="CW132" s="895"/>
      <c r="CX132" s="351"/>
      <c r="CY132" s="1605"/>
      <c r="CZ132" s="1605"/>
      <c r="DA132" s="1594">
        <f>IF(YEAR('3 pr-2'!AK132)=2017,CX132,0)</f>
        <v>0</v>
      </c>
      <c r="DB132" s="1594">
        <f>IF(YEAR('3 pr-2'!AK132)=2018,CX132,0)</f>
        <v>0</v>
      </c>
      <c r="DC132" s="1594">
        <f>IF(YEAR('3 pr-2'!AK132)=2019,CX132,0)</f>
        <v>0</v>
      </c>
      <c r="DD132" s="1594">
        <f>IF(YEAR('3 pr-2'!AK132)=2020,CX132,0)</f>
        <v>0</v>
      </c>
      <c r="DE132" s="1594">
        <f>IF(YEAR('3 pr-2'!AK132)=2021,CX132,0)</f>
        <v>0</v>
      </c>
      <c r="DF132" s="1594">
        <f>IF(YEAR('3 pr-2'!AK132)=2022,CX132,0)</f>
        <v>0</v>
      </c>
      <c r="DG132" s="1594">
        <f>IF(YEAR('3 pr-2'!AK132)=2023,CX132,0)</f>
        <v>0</v>
      </c>
      <c r="DH132" s="350"/>
      <c r="DI132" s="538"/>
      <c r="DJ132" s="345"/>
      <c r="DK132" s="345"/>
      <c r="DL132" s="345"/>
      <c r="DM132" s="345"/>
      <c r="DN132" s="345"/>
      <c r="DO132" s="345"/>
      <c r="DP132" s="345"/>
      <c r="DQ132" s="895"/>
      <c r="DR132" s="351"/>
      <c r="DS132" s="1605"/>
      <c r="DT132" s="1605"/>
      <c r="DU132" s="1594"/>
      <c r="DV132" s="1594"/>
      <c r="DW132" s="1594"/>
      <c r="DX132" s="1594"/>
      <c r="DY132" s="1594"/>
      <c r="DZ132" s="1594"/>
      <c r="EA132" s="1594"/>
      <c r="EB132" s="350"/>
      <c r="EC132" s="538"/>
      <c r="ED132" s="333"/>
      <c r="EE132" s="1605"/>
      <c r="EF132" s="1605"/>
      <c r="EG132" s="1594">
        <f>IF(YEAR('3 pr-2'!BP132)=2017,ED132,0)</f>
        <v>0</v>
      </c>
      <c r="EH132" s="1594">
        <f>IF(YEAR('3 pr-2'!BP132)=2018,ED132,0)</f>
        <v>0</v>
      </c>
      <c r="EI132" s="1594">
        <f>IF(YEAR('3 pr-2'!BP132)=2019,ED132,0)</f>
        <v>0</v>
      </c>
      <c r="EJ132" s="1594">
        <f>IF(YEAR('3 pr-2'!BP132)=2020,ED132,0)</f>
        <v>0</v>
      </c>
      <c r="EK132" s="1594">
        <f>IF(YEAR('3 pr-2'!BP132)=2021,ED132,0)</f>
        <v>0</v>
      </c>
      <c r="EL132" s="1594">
        <f>IF(YEAR('3 pr-2'!BP132)=2022,ED132,0)</f>
        <v>0</v>
      </c>
      <c r="EM132" s="1594">
        <f>IF(YEAR('3 pr-2'!BP132)=2023,ED132,0)</f>
        <v>0</v>
      </c>
    </row>
    <row r="133" spans="1:143" ht="75" thickTop="1" thickBot="1" x14ac:dyDescent="0.3">
      <c r="A133" s="345" t="str">
        <f>CONCATENATE('3 pr-2'!A133)</f>
        <v>2.1.2.1.12</v>
      </c>
      <c r="B133" s="345" t="str">
        <f>CONCATENATE('3 pr-2'!B133)</f>
        <v>R01-6609-274710-2222</v>
      </c>
      <c r="C133" s="1321"/>
      <c r="D133" s="312" t="str">
        <f>CONCATENATE('3 pr-2'!D133)</f>
        <v>Pirminės asmens sveikatos priežiūros veiklos efektyvumo didinimas Varėnos rajono savivaldybėje</v>
      </c>
      <c r="E133" s="312" t="str">
        <f>CONCATENATE('3 pr-2'!E133)</f>
        <v>VšĮ Varėnos pirminės sveikatos priežiūros centras</v>
      </c>
      <c r="F133" s="312" t="str">
        <f>CONCATENATE('3 pr-2'!F133)</f>
        <v>Lietuvos Respublikos Sveikatos apsaugos ministerija</v>
      </c>
      <c r="G133" s="312" t="str">
        <f>CONCATENATE('3 pr-2'!G133)</f>
        <v>Varėnos r. sav.</v>
      </c>
      <c r="H133" s="345" t="str">
        <f>CONCATENATE('3 pr-2'!H133)</f>
        <v>08.1.3-CPVA-R-609</v>
      </c>
      <c r="I133" s="345" t="str">
        <f>CONCATENATE('3 pr-2'!I133)</f>
        <v>R</v>
      </c>
      <c r="J133" s="345" t="str">
        <f>CONCATENATE('3 pr-2'!J133)</f>
        <v>-</v>
      </c>
      <c r="K133" s="345" t="str">
        <f>CONCATENATE('3 pr-2'!K133)</f>
        <v>-</v>
      </c>
      <c r="L133" s="345" t="s">
        <v>1458</v>
      </c>
      <c r="M133" s="778" t="s">
        <v>1459</v>
      </c>
      <c r="N133" s="345"/>
      <c r="O133" s="345"/>
      <c r="P133" s="345"/>
      <c r="Q133" s="345"/>
      <c r="R133" s="345"/>
      <c r="S133" s="345"/>
      <c r="T133" s="345"/>
      <c r="U133" s="893">
        <f t="shared" si="537"/>
        <v>0</v>
      </c>
      <c r="V133" s="345">
        <v>1</v>
      </c>
      <c r="W133" s="1578" t="str">
        <f ca="1">IF('ketv. 6 '!L132&gt;0,"taip","nėra")</f>
        <v>nėra</v>
      </c>
      <c r="X133" s="1579"/>
      <c r="Y133" s="1579">
        <f>IF(YEAR('3 pr-2'!$AK133)=2017,$V133,0)</f>
        <v>0</v>
      </c>
      <c r="Z133" s="1579">
        <f>IF(YEAR('3 pr-2'!$AK133)=2018,$V133,0)</f>
        <v>0</v>
      </c>
      <c r="AA133" s="1579">
        <f>IF(YEAR('3 pr-2'!$AK133)=2019,$V133,0)</f>
        <v>0</v>
      </c>
      <c r="AB133" s="1579">
        <f>IF(YEAR('3 pr-2'!$AK133)=2020,$V133,0)</f>
        <v>0</v>
      </c>
      <c r="AC133" s="1579">
        <f>IF(YEAR('3 pr-2'!$AK133)=2021,$V133,0)</f>
        <v>1</v>
      </c>
      <c r="AD133" s="1579">
        <f>IF(YEAR('3 pr-2'!$AK133)=2022,$V133,0)</f>
        <v>0</v>
      </c>
      <c r="AE133" s="1579">
        <f>IF(YEAR('3 pr-2'!$AK133)=2023,$V133,0)</f>
        <v>0</v>
      </c>
      <c r="AF133" s="350" t="s">
        <v>519</v>
      </c>
      <c r="AG133" s="778" t="s">
        <v>521</v>
      </c>
      <c r="AH133" s="345"/>
      <c r="AI133" s="345"/>
      <c r="AJ133" s="345"/>
      <c r="AK133" s="345"/>
      <c r="AL133" s="345"/>
      <c r="AM133" s="345"/>
      <c r="AN133" s="345"/>
      <c r="AO133" s="895">
        <f t="shared" si="569"/>
        <v>0</v>
      </c>
      <c r="AP133" s="345">
        <v>17107</v>
      </c>
      <c r="AQ133" s="1597"/>
      <c r="AR133" s="1579"/>
      <c r="AS133" s="1579">
        <f>IF(YEAR('3 pr-2'!$AK133)=2017,$AP133,0)</f>
        <v>0</v>
      </c>
      <c r="AT133" s="1579">
        <f>IF(YEAR('3 pr-2'!$AK133)=2018,$AP133,0)</f>
        <v>0</v>
      </c>
      <c r="AU133" s="1579">
        <f>IF(YEAR('3 pr-2'!$AK133)=2019,$AP133,0)</f>
        <v>0</v>
      </c>
      <c r="AV133" s="1579">
        <f>IF(YEAR('3 pr-2'!$AK133)=2020,$AP133,0)</f>
        <v>0</v>
      </c>
      <c r="AW133" s="1579">
        <f>IF(YEAR('3 pr-2'!$AK133)=2021,$AP133,0)</f>
        <v>17107</v>
      </c>
      <c r="AX133" s="1579">
        <f>IF(YEAR('3 pr-2'!$AK133)=2022,$AP133,0)</f>
        <v>0</v>
      </c>
      <c r="AY133" s="1579">
        <f>IF(YEAR('3 pr-2'!$AK133)=2023,$AP133,0)</f>
        <v>0</v>
      </c>
      <c r="AZ133" s="345"/>
      <c r="BA133" s="536"/>
      <c r="BB133" s="345"/>
      <c r="BC133" s="345"/>
      <c r="BD133" s="345"/>
      <c r="BE133" s="345"/>
      <c r="BF133" s="345"/>
      <c r="BG133" s="345"/>
      <c r="BH133" s="345"/>
      <c r="BI133" s="895"/>
      <c r="BJ133" s="345"/>
      <c r="BK133" s="1597"/>
      <c r="BL133" s="1579"/>
      <c r="BM133" s="1579"/>
      <c r="BN133" s="1579"/>
      <c r="BO133" s="1579"/>
      <c r="BP133" s="1579"/>
      <c r="BQ133" s="1579"/>
      <c r="BR133" s="1579"/>
      <c r="BS133" s="1579"/>
      <c r="BT133" s="350"/>
      <c r="BU133" s="537"/>
      <c r="BV133" s="345"/>
      <c r="BW133" s="345"/>
      <c r="BX133" s="345"/>
      <c r="BY133" s="345"/>
      <c r="BZ133" s="345"/>
      <c r="CA133" s="345"/>
      <c r="CB133" s="345"/>
      <c r="CC133" s="895"/>
      <c r="CD133" s="345"/>
      <c r="CE133" s="1579"/>
      <c r="CF133" s="1579"/>
      <c r="CG133" s="1579"/>
      <c r="CH133" s="1579"/>
      <c r="CI133" s="1579"/>
      <c r="CJ133" s="1579"/>
      <c r="CK133" s="1579"/>
      <c r="CL133" s="1579"/>
      <c r="CM133" s="1579"/>
      <c r="CN133" s="350"/>
      <c r="CO133" s="538"/>
      <c r="CP133" s="345"/>
      <c r="CQ133" s="345"/>
      <c r="CR133" s="345"/>
      <c r="CS133" s="345"/>
      <c r="CT133" s="345"/>
      <c r="CU133" s="345"/>
      <c r="CV133" s="345"/>
      <c r="CW133" s="895"/>
      <c r="CX133" s="351"/>
      <c r="CY133" s="1605"/>
      <c r="CZ133" s="1605"/>
      <c r="DA133" s="1594">
        <f>IF(YEAR('3 pr-2'!AK133)=2017,CX133,0)</f>
        <v>0</v>
      </c>
      <c r="DB133" s="1594">
        <f>IF(YEAR('3 pr-2'!AK133)=2018,CX133,0)</f>
        <v>0</v>
      </c>
      <c r="DC133" s="1594">
        <f>IF(YEAR('3 pr-2'!AK133)=2019,CX133,0)</f>
        <v>0</v>
      </c>
      <c r="DD133" s="1594">
        <f>IF(YEAR('3 pr-2'!AK133)=2020,CX133,0)</f>
        <v>0</v>
      </c>
      <c r="DE133" s="1594">
        <f>IF(YEAR('3 pr-2'!AK133)=2021,CX133,0)</f>
        <v>0</v>
      </c>
      <c r="DF133" s="1594">
        <f>IF(YEAR('3 pr-2'!AK133)=2022,CX133,0)</f>
        <v>0</v>
      </c>
      <c r="DG133" s="1594">
        <f>IF(YEAR('3 pr-2'!AK133)=2023,CX133,0)</f>
        <v>0</v>
      </c>
      <c r="DH133" s="350"/>
      <c r="DI133" s="538"/>
      <c r="DJ133" s="345"/>
      <c r="DK133" s="345"/>
      <c r="DL133" s="345"/>
      <c r="DM133" s="345"/>
      <c r="DN133" s="345"/>
      <c r="DO133" s="345"/>
      <c r="DP133" s="345"/>
      <c r="DQ133" s="895"/>
      <c r="DR133" s="351"/>
      <c r="DS133" s="1605"/>
      <c r="DT133" s="1605"/>
      <c r="DU133" s="1594"/>
      <c r="DV133" s="1594"/>
      <c r="DW133" s="1594"/>
      <c r="DX133" s="1594"/>
      <c r="DY133" s="1594"/>
      <c r="DZ133" s="1594"/>
      <c r="EA133" s="1594"/>
      <c r="EB133" s="350"/>
      <c r="EC133" s="538"/>
      <c r="ED133" s="333"/>
      <c r="EE133" s="1605"/>
      <c r="EF133" s="1605"/>
      <c r="EG133" s="1594">
        <f>IF(YEAR('3 pr-2'!BP133)=2017,ED133,0)</f>
        <v>0</v>
      </c>
      <c r="EH133" s="1594">
        <f>IF(YEAR('3 pr-2'!BP133)=2018,ED133,0)</f>
        <v>0</v>
      </c>
      <c r="EI133" s="1594">
        <f>IF(YEAR('3 pr-2'!BP133)=2019,ED133,0)</f>
        <v>0</v>
      </c>
      <c r="EJ133" s="1594">
        <f>IF(YEAR('3 pr-2'!BP133)=2020,ED133,0)</f>
        <v>0</v>
      </c>
      <c r="EK133" s="1594">
        <f>IF(YEAR('3 pr-2'!BP133)=2021,ED133,0)</f>
        <v>0</v>
      </c>
      <c r="EL133" s="1594">
        <f>IF(YEAR('3 pr-2'!BP133)=2022,ED133,0)</f>
        <v>0</v>
      </c>
      <c r="EM133" s="1594">
        <f>IF(YEAR('3 pr-2'!BP133)=2023,ED133,0)</f>
        <v>0</v>
      </c>
    </row>
    <row r="134" spans="1:143" s="794" customFormat="1" ht="75" thickTop="1" thickBot="1" x14ac:dyDescent="0.3">
      <c r="A134" s="345" t="str">
        <f>CONCATENATE('3 pr-2'!A134)</f>
        <v>2.1.2.1.13</v>
      </c>
      <c r="B134" s="345" t="str">
        <f>CONCATENATE('3 pr-2'!B134)</f>
        <v>R01-6609-470000-2223</v>
      </c>
      <c r="C134" s="1321"/>
      <c r="D134" s="312" t="str">
        <f>CONCATENATE('3 pr-2'!D134)</f>
        <v>Pirminės asmens sveikatos priežiūros veiklos efektyvumo didinimas N. Jarašienės personalinėje įmonėje</v>
      </c>
      <c r="E134" s="312" t="str">
        <f>CONCATENATE('3 pr-2'!E134)</f>
        <v>N. Jarašienės personalinė įmonė</v>
      </c>
      <c r="F134" s="312" t="str">
        <f>CONCATENATE('3 pr-2'!F134)</f>
        <v>Lietuvos Respublikos Sveikatos apsaugos ministerija</v>
      </c>
      <c r="G134" s="312" t="str">
        <f>CONCATENATE('3 pr-2'!G134)</f>
        <v>Varėnos r. sav.</v>
      </c>
      <c r="H134" s="345" t="str">
        <f>CONCATENATE('3 pr-2'!H134)</f>
        <v>08.1.3-CPVA-R-609</v>
      </c>
      <c r="I134" s="345" t="str">
        <f>CONCATENATE('3 pr-2'!I134)</f>
        <v>R</v>
      </c>
      <c r="J134" s="345" t="str">
        <f>CONCATENATE('3 pr-2'!J134)</f>
        <v>-</v>
      </c>
      <c r="K134" s="345" t="str">
        <f>CONCATENATE('3 pr-2'!K134)</f>
        <v>-</v>
      </c>
      <c r="L134" s="345" t="s">
        <v>1458</v>
      </c>
      <c r="M134" s="778" t="s">
        <v>1459</v>
      </c>
      <c r="N134" s="345"/>
      <c r="O134" s="345"/>
      <c r="P134" s="345"/>
      <c r="Q134" s="345"/>
      <c r="R134" s="345"/>
      <c r="S134" s="345"/>
      <c r="T134" s="345"/>
      <c r="U134" s="893">
        <f t="shared" ref="U134" si="570">SUM(N134:T134)</f>
        <v>0</v>
      </c>
      <c r="V134" s="345">
        <v>1</v>
      </c>
      <c r="W134" s="1578" t="str">
        <f ca="1">IF('ketv. 6 '!L133&gt;0,"taip","nėra")</f>
        <v>nėra</v>
      </c>
      <c r="X134" s="1579"/>
      <c r="Y134" s="1579">
        <f>IF(YEAR('3 pr-2'!$AK134)=2017,$V134,0)</f>
        <v>0</v>
      </c>
      <c r="Z134" s="1579">
        <f>IF(YEAR('3 pr-2'!$AK134)=2018,$V134,0)</f>
        <v>0</v>
      </c>
      <c r="AA134" s="1579">
        <f>IF(YEAR('3 pr-2'!$AK134)=2019,$V134,0)</f>
        <v>1</v>
      </c>
      <c r="AB134" s="1579">
        <f>IF(YEAR('3 pr-2'!$AK134)=2020,$V134,0)</f>
        <v>0</v>
      </c>
      <c r="AC134" s="1579">
        <f>IF(YEAR('3 pr-2'!$AK134)=2021,$V134,0)</f>
        <v>0</v>
      </c>
      <c r="AD134" s="1579">
        <f>IF(YEAR('3 pr-2'!$AK134)=2022,$V134,0)</f>
        <v>0</v>
      </c>
      <c r="AE134" s="1579">
        <f>IF(YEAR('3 pr-2'!$AK134)=2023,$V134,0)</f>
        <v>0</v>
      </c>
      <c r="AF134" s="350" t="s">
        <v>519</v>
      </c>
      <c r="AG134" s="778" t="s">
        <v>521</v>
      </c>
      <c r="AH134" s="345"/>
      <c r="AI134" s="345"/>
      <c r="AJ134" s="345"/>
      <c r="AK134" s="345"/>
      <c r="AL134" s="345"/>
      <c r="AM134" s="345"/>
      <c r="AN134" s="345"/>
      <c r="AO134" s="895">
        <f t="shared" ref="AO134" si="571">SUM(AH134:AN134)</f>
        <v>0</v>
      </c>
      <c r="AP134" s="345">
        <v>758</v>
      </c>
      <c r="AQ134" s="1578"/>
      <c r="AR134" s="1579"/>
      <c r="AS134" s="1579">
        <f>IF(YEAR('3 pr-2'!$AK134)=2017,$AP134,0)</f>
        <v>0</v>
      </c>
      <c r="AT134" s="1579">
        <f>IF(YEAR('3 pr-2'!$AK134)=2018,$AP134,0)</f>
        <v>0</v>
      </c>
      <c r="AU134" s="1579">
        <f>IF(YEAR('3 pr-2'!$AK134)=2019,$AP134,0)</f>
        <v>758</v>
      </c>
      <c r="AV134" s="1579">
        <f>IF(YEAR('3 pr-2'!$AK134)=2020,$AP134,0)</f>
        <v>0</v>
      </c>
      <c r="AW134" s="1579">
        <f>IF(YEAR('3 pr-2'!$AK134)=2021,$AP134,0)</f>
        <v>0</v>
      </c>
      <c r="AX134" s="1579">
        <f>IF(YEAR('3 pr-2'!$AK134)=2022,$AP134,0)</f>
        <v>0</v>
      </c>
      <c r="AY134" s="1579">
        <f>IF(YEAR('3 pr-2'!$AK134)=2023,$AP134,0)</f>
        <v>0</v>
      </c>
      <c r="AZ134" s="345"/>
      <c r="BA134" s="547"/>
      <c r="BB134" s="345"/>
      <c r="BC134" s="345"/>
      <c r="BD134" s="345"/>
      <c r="BE134" s="345"/>
      <c r="BF134" s="345"/>
      <c r="BG134" s="345"/>
      <c r="BH134" s="345"/>
      <c r="BI134" s="895"/>
      <c r="BJ134" s="345"/>
      <c r="BK134" s="1578"/>
      <c r="BL134" s="1579"/>
      <c r="BM134" s="1579"/>
      <c r="BN134" s="1579"/>
      <c r="BO134" s="1579"/>
      <c r="BP134" s="1579"/>
      <c r="BQ134" s="1579"/>
      <c r="BR134" s="1579"/>
      <c r="BS134" s="1579"/>
      <c r="BT134" s="894"/>
      <c r="BU134" s="778"/>
      <c r="BV134" s="345"/>
      <c r="BW134" s="345"/>
      <c r="BX134" s="345"/>
      <c r="BY134" s="345"/>
      <c r="BZ134" s="345"/>
      <c r="CA134" s="345"/>
      <c r="CB134" s="345"/>
      <c r="CC134" s="895"/>
      <c r="CD134" s="345"/>
      <c r="CE134" s="1579"/>
      <c r="CF134" s="1579"/>
      <c r="CG134" s="1579"/>
      <c r="CH134" s="1579"/>
      <c r="CI134" s="1579"/>
      <c r="CJ134" s="1579"/>
      <c r="CK134" s="1579"/>
      <c r="CL134" s="1579"/>
      <c r="CM134" s="1579"/>
      <c r="CN134" s="894"/>
      <c r="CO134" s="991"/>
      <c r="CP134" s="345"/>
      <c r="CQ134" s="345"/>
      <c r="CR134" s="345"/>
      <c r="CS134" s="345"/>
      <c r="CT134" s="345"/>
      <c r="CU134" s="345"/>
      <c r="CV134" s="345"/>
      <c r="CW134" s="895"/>
      <c r="CX134" s="351"/>
      <c r="CY134" s="1608"/>
      <c r="CZ134" s="1608"/>
      <c r="DA134" s="1609">
        <f>IF(YEAR('3 pr-2'!AK134)=2017,CX134,0)</f>
        <v>0</v>
      </c>
      <c r="DB134" s="1609">
        <f>IF(YEAR('3 pr-2'!AK134)=2018,CX134,0)</f>
        <v>0</v>
      </c>
      <c r="DC134" s="1609">
        <f>IF(YEAR('3 pr-2'!AK134)=2019,CX134,0)</f>
        <v>0</v>
      </c>
      <c r="DD134" s="1609">
        <f>IF(YEAR('3 pr-2'!AK134)=2020,CX134,0)</f>
        <v>0</v>
      </c>
      <c r="DE134" s="1609">
        <f>IF(YEAR('3 pr-2'!AK134)=2021,CX134,0)</f>
        <v>0</v>
      </c>
      <c r="DF134" s="1609">
        <f>IF(YEAR('3 pr-2'!AK134)=2022,CX134,0)</f>
        <v>0</v>
      </c>
      <c r="DG134" s="1609">
        <f>IF(YEAR('3 pr-2'!AK134)=2023,CX134,0)</f>
        <v>0</v>
      </c>
      <c r="DH134" s="894"/>
      <c r="DI134" s="991"/>
      <c r="DJ134" s="345"/>
      <c r="DK134" s="345"/>
      <c r="DL134" s="345"/>
      <c r="DM134" s="345"/>
      <c r="DN134" s="345"/>
      <c r="DO134" s="345"/>
      <c r="DP134" s="345"/>
      <c r="DQ134" s="895"/>
      <c r="DR134" s="351"/>
      <c r="DS134" s="1608"/>
      <c r="DT134" s="1608"/>
      <c r="DU134" s="1609"/>
      <c r="DV134" s="1609"/>
      <c r="DW134" s="1609"/>
      <c r="DX134" s="1609"/>
      <c r="DY134" s="1609"/>
      <c r="DZ134" s="1609"/>
      <c r="EA134" s="1609"/>
      <c r="EB134" s="894"/>
      <c r="EC134" s="991"/>
      <c r="ED134" s="1324"/>
      <c r="EE134" s="1608"/>
      <c r="EF134" s="1608"/>
      <c r="EG134" s="1609">
        <f>IF(YEAR('3 pr-2'!BP134)=2017,ED134,0)</f>
        <v>0</v>
      </c>
      <c r="EH134" s="1609">
        <f>IF(YEAR('3 pr-2'!BP134)=2018,ED134,0)</f>
        <v>0</v>
      </c>
      <c r="EI134" s="1609">
        <f>IF(YEAR('3 pr-2'!BP134)=2019,ED134,0)</f>
        <v>0</v>
      </c>
      <c r="EJ134" s="1609">
        <f>IF(YEAR('3 pr-2'!BP134)=2020,ED134,0)</f>
        <v>0</v>
      </c>
      <c r="EK134" s="1609">
        <f>IF(YEAR('3 pr-2'!BP134)=2021,ED134,0)</f>
        <v>0</v>
      </c>
      <c r="EL134" s="1609">
        <f>IF(YEAR('3 pr-2'!BP134)=2022,ED134,0)</f>
        <v>0</v>
      </c>
      <c r="EM134" s="1609">
        <f>IF(YEAR('3 pr-2'!BP134)=2023,ED134,0)</f>
        <v>0</v>
      </c>
    </row>
    <row r="135" spans="1:143" ht="30" customHeight="1" thickBot="1" x14ac:dyDescent="0.3">
      <c r="A135" s="915" t="str">
        <f>CONCATENATE('3 pr-2'!A135)</f>
        <v>2.1.2.2</v>
      </c>
      <c r="B135" s="1926" t="str">
        <f>CONCATENATE('3 pr-2'!B135)</f>
        <v>Priemonė:
Sveikos gyvensenos skatinimas regioniniu lygiu</v>
      </c>
      <c r="C135" s="1927"/>
      <c r="D135" s="1927"/>
      <c r="E135" s="1927"/>
      <c r="F135" s="1927"/>
      <c r="G135" s="1927"/>
      <c r="H135" s="1927"/>
      <c r="I135" s="1927"/>
      <c r="J135" s="1927"/>
      <c r="K135" s="1928"/>
      <c r="L135" s="916"/>
      <c r="M135" s="540"/>
      <c r="N135" s="890">
        <f t="shared" ref="N135:T135" si="572">SUM(N136:N140)</f>
        <v>0</v>
      </c>
      <c r="O135" s="890">
        <f t="shared" si="572"/>
        <v>0</v>
      </c>
      <c r="P135" s="890">
        <f t="shared" si="572"/>
        <v>0</v>
      </c>
      <c r="Q135" s="890">
        <f t="shared" si="572"/>
        <v>0</v>
      </c>
      <c r="R135" s="890">
        <f t="shared" si="572"/>
        <v>0</v>
      </c>
      <c r="S135" s="890">
        <f t="shared" si="572"/>
        <v>0</v>
      </c>
      <c r="T135" s="890">
        <f t="shared" si="572"/>
        <v>0</v>
      </c>
      <c r="U135" s="891">
        <f t="shared" ref="U135:U140" si="573">SUM(N135:T135)</f>
        <v>0</v>
      </c>
      <c r="V135" s="890"/>
      <c r="W135" s="1592"/>
      <c r="X135" s="1593"/>
      <c r="Y135" s="1594">
        <f t="shared" ref="Y135:AE135" si="574">SUM(Y136:Y140)</f>
        <v>0</v>
      </c>
      <c r="Z135" s="1594">
        <f t="shared" si="574"/>
        <v>2271</v>
      </c>
      <c r="AA135" s="1594">
        <f t="shared" si="574"/>
        <v>2827</v>
      </c>
      <c r="AB135" s="1594">
        <f t="shared" si="574"/>
        <v>2829</v>
      </c>
      <c r="AC135" s="1594">
        <f t="shared" si="574"/>
        <v>1014</v>
      </c>
      <c r="AD135" s="1594">
        <f t="shared" si="574"/>
        <v>0</v>
      </c>
      <c r="AE135" s="1594">
        <f t="shared" si="574"/>
        <v>0</v>
      </c>
      <c r="AF135" s="917"/>
      <c r="AG135" s="889"/>
      <c r="AH135" s="890">
        <f t="shared" ref="AH135:AN135" si="575">SUM(AH136:AH140)</f>
        <v>0</v>
      </c>
      <c r="AI135" s="890">
        <f t="shared" si="575"/>
        <v>0</v>
      </c>
      <c r="AJ135" s="890">
        <f t="shared" si="575"/>
        <v>0</v>
      </c>
      <c r="AK135" s="890">
        <f t="shared" si="575"/>
        <v>0</v>
      </c>
      <c r="AL135" s="890">
        <f t="shared" si="575"/>
        <v>0</v>
      </c>
      <c r="AM135" s="890">
        <f t="shared" si="575"/>
        <v>0</v>
      </c>
      <c r="AN135" s="890">
        <f t="shared" si="575"/>
        <v>0</v>
      </c>
      <c r="AO135" s="867">
        <f t="shared" si="569"/>
        <v>0</v>
      </c>
      <c r="AP135" s="867"/>
      <c r="AQ135" s="1594"/>
      <c r="AR135" s="1594"/>
      <c r="AS135" s="1594">
        <f t="shared" ref="AS135:AY135" si="576">SUM(AS136:AS140)</f>
        <v>0</v>
      </c>
      <c r="AT135" s="1594">
        <f t="shared" si="576"/>
        <v>1</v>
      </c>
      <c r="AU135" s="1594">
        <f t="shared" si="576"/>
        <v>0</v>
      </c>
      <c r="AV135" s="1594">
        <f t="shared" si="576"/>
        <v>0</v>
      </c>
      <c r="AW135" s="1594">
        <f t="shared" si="576"/>
        <v>1</v>
      </c>
      <c r="AX135" s="1594">
        <f t="shared" si="576"/>
        <v>0</v>
      </c>
      <c r="AY135" s="1594">
        <f t="shared" si="576"/>
        <v>0</v>
      </c>
      <c r="AZ135" s="867"/>
      <c r="BA135" s="889"/>
      <c r="BB135" s="890"/>
      <c r="BC135" s="890"/>
      <c r="BD135" s="890"/>
      <c r="BE135" s="890"/>
      <c r="BF135" s="890"/>
      <c r="BG135" s="890"/>
      <c r="BH135" s="890"/>
      <c r="BI135" s="867"/>
      <c r="BJ135" s="867"/>
      <c r="BK135" s="1594"/>
      <c r="BL135" s="1594"/>
      <c r="BM135" s="1594"/>
      <c r="BN135" s="1594"/>
      <c r="BO135" s="1594"/>
      <c r="BP135" s="1594"/>
      <c r="BQ135" s="1594"/>
      <c r="BR135" s="1594"/>
      <c r="BS135" s="1594"/>
      <c r="BT135" s="890"/>
      <c r="BU135" s="538"/>
      <c r="BV135" s="890"/>
      <c r="BW135" s="890"/>
      <c r="BX135" s="890"/>
      <c r="BY135" s="890"/>
      <c r="BZ135" s="890"/>
      <c r="CA135" s="890"/>
      <c r="CB135" s="890"/>
      <c r="CC135" s="867"/>
      <c r="CD135" s="890"/>
      <c r="CE135" s="1594"/>
      <c r="CF135" s="1594"/>
      <c r="CG135" s="1594">
        <f t="shared" ref="CG135:CM135" si="577">SUM(CG136:CG140)</f>
        <v>0</v>
      </c>
      <c r="CH135" s="1594">
        <f t="shared" si="577"/>
        <v>0</v>
      </c>
      <c r="CI135" s="1594">
        <f t="shared" si="577"/>
        <v>0</v>
      </c>
      <c r="CJ135" s="1594">
        <f t="shared" si="577"/>
        <v>0</v>
      </c>
      <c r="CK135" s="1594">
        <f t="shared" si="577"/>
        <v>0</v>
      </c>
      <c r="CL135" s="1594">
        <f t="shared" si="577"/>
        <v>0</v>
      </c>
      <c r="CM135" s="1594">
        <f t="shared" si="577"/>
        <v>0</v>
      </c>
      <c r="CN135" s="890"/>
      <c r="CO135" s="538"/>
      <c r="CP135" s="890">
        <f t="shared" ref="CP135:CV135" si="578">SUM(CP136:CP140)</f>
        <v>0</v>
      </c>
      <c r="CQ135" s="890">
        <f t="shared" si="578"/>
        <v>0</v>
      </c>
      <c r="CR135" s="890">
        <f t="shared" si="578"/>
        <v>0</v>
      </c>
      <c r="CS135" s="890">
        <f t="shared" si="578"/>
        <v>0</v>
      </c>
      <c r="CT135" s="890">
        <f t="shared" si="578"/>
        <v>0</v>
      </c>
      <c r="CU135" s="890">
        <f t="shared" si="578"/>
        <v>0</v>
      </c>
      <c r="CV135" s="890">
        <f t="shared" si="578"/>
        <v>0</v>
      </c>
      <c r="CW135" s="867">
        <f t="shared" si="568"/>
        <v>0</v>
      </c>
      <c r="CX135" s="890"/>
      <c r="CY135" s="1594"/>
      <c r="CZ135" s="1594"/>
      <c r="DA135" s="1594"/>
      <c r="DB135" s="1594"/>
      <c r="DC135" s="1594"/>
      <c r="DD135" s="1594"/>
      <c r="DE135" s="1594"/>
      <c r="DF135" s="1594"/>
      <c r="DG135" s="1594"/>
      <c r="DH135" s="890"/>
      <c r="DI135" s="538"/>
      <c r="DJ135" s="890"/>
      <c r="DK135" s="890"/>
      <c r="DL135" s="890"/>
      <c r="DM135" s="890"/>
      <c r="DN135" s="890"/>
      <c r="DO135" s="890"/>
      <c r="DP135" s="890"/>
      <c r="DQ135" s="867"/>
      <c r="DR135" s="890"/>
      <c r="DS135" s="1594"/>
      <c r="DT135" s="1594"/>
      <c r="DU135" s="1594"/>
      <c r="DV135" s="1594"/>
      <c r="DW135" s="1594"/>
      <c r="DX135" s="1594"/>
      <c r="DY135" s="1594"/>
      <c r="DZ135" s="1594"/>
      <c r="EA135" s="1594"/>
      <c r="EB135" s="890"/>
      <c r="EC135" s="538"/>
      <c r="ED135" s="890"/>
      <c r="EE135" s="1594"/>
      <c r="EF135" s="1594"/>
      <c r="EG135" s="1594"/>
      <c r="EH135" s="1594"/>
      <c r="EI135" s="1594"/>
      <c r="EJ135" s="1594"/>
      <c r="EK135" s="1594"/>
      <c r="EL135" s="1594"/>
      <c r="EM135" s="1594"/>
    </row>
    <row r="136" spans="1:143" ht="64.5" thickTop="1" thickBot="1" x14ac:dyDescent="0.3">
      <c r="A136" s="345" t="str">
        <f>CONCATENATE('3 pr-2'!A136)</f>
        <v>2.1.2.2.1</v>
      </c>
      <c r="B136" s="345" t="str">
        <f>CONCATENATE('3 pr-2'!B136)</f>
        <v>R01-6630-475000-2221</v>
      </c>
      <c r="C136" s="1321" t="str">
        <f>CONCATENATE('ketv. 2'!B135)</f>
        <v>08.4.2-ESFA-R-630-11-0004</v>
      </c>
      <c r="D136" s="312" t="str">
        <f>CONCATENATE('3 pr-2'!D136)</f>
        <v>Sveikos gyvensenos skatinimas Alytaus rajone</v>
      </c>
      <c r="E136" s="312" t="str">
        <f>CONCATENATE('3 pr-2'!E136)</f>
        <v>Alytaus rajono savivaldybės visuomenės sveikatos biuras</v>
      </c>
      <c r="F136" s="312" t="str">
        <f>CONCATENATE('3 pr-2'!F136)</f>
        <v>Lietuvos Respublikos Sveikatos apsaugos ministerija</v>
      </c>
      <c r="G136" s="312" t="str">
        <f>CONCATENATE('3 pr-2'!G136)</f>
        <v>Alytaus r. sav.</v>
      </c>
      <c r="H136" s="345" t="str">
        <f>CONCATENATE('3 pr-2'!H136)</f>
        <v>08.4.2-ESFA-R-630</v>
      </c>
      <c r="I136" s="345" t="str">
        <f>CONCATENATE('3 pr-2'!I136)</f>
        <v>R</v>
      </c>
      <c r="J136" s="345" t="str">
        <f>CONCATENATE('3 pr-2'!J136)</f>
        <v>-</v>
      </c>
      <c r="K136" s="345" t="str">
        <f>CONCATENATE('3 pr-2'!K136)</f>
        <v>-</v>
      </c>
      <c r="L136" s="345" t="s">
        <v>1197</v>
      </c>
      <c r="M136" s="537" t="s">
        <v>1198</v>
      </c>
      <c r="N136" s="334"/>
      <c r="O136" s="334"/>
      <c r="P136" s="334"/>
      <c r="Q136" s="334"/>
      <c r="R136" s="334"/>
      <c r="S136" s="334"/>
      <c r="T136" s="334"/>
      <c r="U136" s="1312">
        <f t="shared" si="573"/>
        <v>0</v>
      </c>
      <c r="V136" s="890">
        <f>SUM(Y136:AE136)</f>
        <v>1696</v>
      </c>
      <c r="W136" s="1578">
        <v>1696</v>
      </c>
      <c r="X136" s="1579">
        <f t="shared" ref="X136:X146" si="579">SUM(W136-V136)</f>
        <v>0</v>
      </c>
      <c r="Y136" s="1579">
        <v>0</v>
      </c>
      <c r="Z136" s="1579">
        <v>454</v>
      </c>
      <c r="AA136" s="1579">
        <v>621</v>
      </c>
      <c r="AB136" s="1579">
        <v>621</v>
      </c>
      <c r="AC136" s="1579">
        <v>0</v>
      </c>
      <c r="AD136" s="1579">
        <v>0</v>
      </c>
      <c r="AE136" s="1579">
        <v>0</v>
      </c>
      <c r="AF136" s="350" t="s">
        <v>1199</v>
      </c>
      <c r="AG136" s="537" t="s">
        <v>1200</v>
      </c>
      <c r="AH136" s="345"/>
      <c r="AI136" s="345"/>
      <c r="AJ136" s="345"/>
      <c r="AK136" s="345"/>
      <c r="AL136" s="345"/>
      <c r="AM136" s="345"/>
      <c r="AN136" s="345"/>
      <c r="AO136" s="895">
        <f t="shared" si="569"/>
        <v>0</v>
      </c>
      <c r="AP136" s="345">
        <v>1</v>
      </c>
      <c r="AQ136" s="1597">
        <v>1</v>
      </c>
      <c r="AR136" s="1579">
        <f t="shared" ref="AR136" si="580">SUM(AQ136-AP136)</f>
        <v>0</v>
      </c>
      <c r="AS136" s="1579"/>
      <c r="AT136" s="1579">
        <v>1</v>
      </c>
      <c r="AU136" s="1579"/>
      <c r="AV136" s="1579"/>
      <c r="AW136" s="1579"/>
      <c r="AX136" s="1579"/>
      <c r="AY136" s="1579"/>
      <c r="AZ136" s="345"/>
      <c r="BA136" s="536"/>
      <c r="BB136" s="345"/>
      <c r="BC136" s="345"/>
      <c r="BD136" s="345"/>
      <c r="BE136" s="345"/>
      <c r="BF136" s="345"/>
      <c r="BG136" s="345"/>
      <c r="BH136" s="345"/>
      <c r="BI136" s="895">
        <f t="shared" si="547"/>
        <v>0</v>
      </c>
      <c r="BJ136" s="345"/>
      <c r="BK136" s="1597"/>
      <c r="BL136" s="1579"/>
      <c r="BM136" s="1579"/>
      <c r="BN136" s="1579"/>
      <c r="BO136" s="1579"/>
      <c r="BP136" s="1579"/>
      <c r="BQ136" s="1579"/>
      <c r="BR136" s="1579"/>
      <c r="BS136" s="1579"/>
      <c r="BT136" s="350"/>
      <c r="BU136" s="537"/>
      <c r="BV136" s="345"/>
      <c r="BW136" s="345"/>
      <c r="BX136" s="345"/>
      <c r="BY136" s="345"/>
      <c r="BZ136" s="345"/>
      <c r="CA136" s="345"/>
      <c r="CB136" s="345"/>
      <c r="CC136" s="895">
        <f t="shared" si="561"/>
        <v>0</v>
      </c>
      <c r="CD136" s="345"/>
      <c r="CE136" s="1579"/>
      <c r="CF136" s="1579"/>
      <c r="CG136" s="1579">
        <f>IF(YEAR('3 pr-2'!$AK136)=2017,$CD136,0)</f>
        <v>0</v>
      </c>
      <c r="CH136" s="1579">
        <f>IF(YEAR('3 pr-2'!$AK136)=2018,$CD136,0)</f>
        <v>0</v>
      </c>
      <c r="CI136" s="1579">
        <f>IF(YEAR('3 pr-2'!$AK136)=2019,$CD136,0)</f>
        <v>0</v>
      </c>
      <c r="CJ136" s="1579">
        <f>IF(YEAR('3 pr-2'!$AK136)=2020,$CD136,0)</f>
        <v>0</v>
      </c>
      <c r="CK136" s="1579">
        <f>IF(YEAR('3 pr-2'!$AK136)=2021,$CD136,0)</f>
        <v>0</v>
      </c>
      <c r="CL136" s="1579">
        <f>IF(YEAR('3 pr-2'!$AK136)=2022,$CD136,0)</f>
        <v>0</v>
      </c>
      <c r="CM136" s="1579">
        <f>IF(YEAR('3 pr-2'!$AK136)=2023,$CD136,0)</f>
        <v>0</v>
      </c>
      <c r="CN136" s="350"/>
      <c r="CO136" s="538"/>
      <c r="CP136" s="345"/>
      <c r="CQ136" s="345"/>
      <c r="CR136" s="345"/>
      <c r="CS136" s="345"/>
      <c r="CT136" s="345"/>
      <c r="CU136" s="345"/>
      <c r="CV136" s="345"/>
      <c r="CW136" s="895">
        <f t="shared" si="568"/>
        <v>0</v>
      </c>
      <c r="CX136" s="351"/>
      <c r="CY136" s="1605"/>
      <c r="CZ136" s="1605"/>
      <c r="DA136" s="1594">
        <f>IF(YEAR('3 pr-2'!AK136)=2017,CX136,0)</f>
        <v>0</v>
      </c>
      <c r="DB136" s="1594">
        <f>IF(YEAR('3 pr-2'!AK136)=2018,CX136,0)</f>
        <v>0</v>
      </c>
      <c r="DC136" s="1594">
        <f>IF(YEAR('3 pr-2'!AK136)=2019,CX136,0)</f>
        <v>0</v>
      </c>
      <c r="DD136" s="1594">
        <f>IF(YEAR('3 pr-2'!AK136)=2020,CX136,0)</f>
        <v>0</v>
      </c>
      <c r="DE136" s="1594">
        <f>IF(YEAR('3 pr-2'!AK136)=2021,CX136,0)</f>
        <v>0</v>
      </c>
      <c r="DF136" s="1594">
        <f>IF(YEAR('3 pr-2'!AK136)=2022,CX136,0)</f>
        <v>0</v>
      </c>
      <c r="DG136" s="1594">
        <f>IF(YEAR('3 pr-2'!AK136)=2023,CX136,0)</f>
        <v>0</v>
      </c>
      <c r="DH136" s="350"/>
      <c r="DI136" s="538"/>
      <c r="DJ136" s="345"/>
      <c r="DK136" s="345"/>
      <c r="DL136" s="345"/>
      <c r="DM136" s="345"/>
      <c r="DN136" s="345"/>
      <c r="DO136" s="345"/>
      <c r="DP136" s="345"/>
      <c r="DQ136" s="895"/>
      <c r="DR136" s="351"/>
      <c r="DS136" s="1605"/>
      <c r="DT136" s="1605"/>
      <c r="DU136" s="1594"/>
      <c r="DV136" s="1594"/>
      <c r="DW136" s="1594"/>
      <c r="DX136" s="1594"/>
      <c r="DY136" s="1594"/>
      <c r="DZ136" s="1594"/>
      <c r="EA136" s="1594"/>
      <c r="EB136" s="350"/>
      <c r="EC136" s="538"/>
      <c r="ED136" s="333"/>
      <c r="EE136" s="1605"/>
      <c r="EF136" s="1605"/>
      <c r="EG136" s="1594">
        <f>IF(YEAR('3 pr-2'!BP136)=2017,ED136,0)</f>
        <v>0</v>
      </c>
      <c r="EH136" s="1594">
        <f>IF(YEAR('3 pr-2'!BP136)=2018,ED136,0)</f>
        <v>0</v>
      </c>
      <c r="EI136" s="1594">
        <f>IF(YEAR('3 pr-2'!BP136)=2019,ED136,0)</f>
        <v>0</v>
      </c>
      <c r="EJ136" s="1594">
        <f>IF(YEAR('3 pr-2'!BP136)=2020,ED136,0)</f>
        <v>0</v>
      </c>
      <c r="EK136" s="1594">
        <f>IF(YEAR('3 pr-2'!BP136)=2021,ED136,0)</f>
        <v>0</v>
      </c>
      <c r="EL136" s="1594">
        <f>IF(YEAR('3 pr-2'!BP136)=2022,ED136,0)</f>
        <v>0</v>
      </c>
      <c r="EM136" s="1594">
        <f>IF(YEAR('3 pr-2'!BP136)=2023,ED136,0)</f>
        <v>0</v>
      </c>
    </row>
    <row r="137" spans="1:143" ht="64.5" thickTop="1" thickBot="1" x14ac:dyDescent="0.3">
      <c r="A137" s="345" t="str">
        <f>CONCATENATE('3 pr-2'!A137)</f>
        <v>2.1.2.2.2</v>
      </c>
      <c r="B137" s="345" t="str">
        <f>CONCATENATE('3 pr-2'!B137)</f>
        <v>R01-6630-470000-2222</v>
      </c>
      <c r="C137" s="1321" t="str">
        <f>CONCATENATE('ketv. 2'!B136)</f>
        <v>08.4.2-ESFA-R-630-11-0001</v>
      </c>
      <c r="D137" s="312" t="str">
        <f>CONCATENATE('3 pr-2'!D137)</f>
        <v>Mažais žingsneliais – sveikos gyvensenos link</v>
      </c>
      <c r="E137" s="312" t="str">
        <f>CONCATENATE('3 pr-2'!E137)</f>
        <v>Alytaus miesto savivaldybės administracija</v>
      </c>
      <c r="F137" s="312" t="str">
        <f>CONCATENATE('3 pr-2'!F137)</f>
        <v>Lietuvos Respublikos Sveikatos apsaugos ministerija</v>
      </c>
      <c r="G137" s="312" t="str">
        <f>CONCATENATE('3 pr-2'!G137)</f>
        <v>Alytaus m. sav.</v>
      </c>
      <c r="H137" s="345" t="str">
        <f>CONCATENATE('3 pr-2'!H137)</f>
        <v>08.4.2-ESFA-R-630</v>
      </c>
      <c r="I137" s="345" t="str">
        <f>CONCATENATE('3 pr-2'!I137)</f>
        <v>R</v>
      </c>
      <c r="J137" s="345" t="str">
        <f>CONCATENATE('3 pr-2'!J137)</f>
        <v>-</v>
      </c>
      <c r="K137" s="345" t="str">
        <f>CONCATENATE('3 pr-2'!K137)</f>
        <v>-</v>
      </c>
      <c r="L137" s="334" t="s">
        <v>1197</v>
      </c>
      <c r="M137" s="537" t="s">
        <v>1198</v>
      </c>
      <c r="N137" s="334"/>
      <c r="O137" s="334"/>
      <c r="P137" s="334"/>
      <c r="Q137" s="334"/>
      <c r="R137" s="334"/>
      <c r="S137" s="334"/>
      <c r="T137" s="334"/>
      <c r="U137" s="1312">
        <f t="shared" si="573"/>
        <v>0</v>
      </c>
      <c r="V137" s="890">
        <f>SUM(Y137:AE137)</f>
        <v>2151</v>
      </c>
      <c r="W137" s="1578">
        <v>2151</v>
      </c>
      <c r="X137" s="1579">
        <f t="shared" si="579"/>
        <v>0</v>
      </c>
      <c r="Y137" s="1579">
        <v>0</v>
      </c>
      <c r="Z137" s="1579">
        <v>454</v>
      </c>
      <c r="AA137" s="1579">
        <v>849</v>
      </c>
      <c r="AB137" s="1579">
        <v>848</v>
      </c>
      <c r="AC137" s="1579">
        <v>0</v>
      </c>
      <c r="AD137" s="1579">
        <v>0</v>
      </c>
      <c r="AE137" s="1579">
        <v>0</v>
      </c>
      <c r="AF137" s="350"/>
      <c r="AG137" s="537"/>
      <c r="AH137" s="345"/>
      <c r="AI137" s="345"/>
      <c r="AJ137" s="345"/>
      <c r="AK137" s="345"/>
      <c r="AL137" s="345"/>
      <c r="AM137" s="345"/>
      <c r="AN137" s="345"/>
      <c r="AO137" s="895">
        <f t="shared" si="569"/>
        <v>0</v>
      </c>
      <c r="AP137" s="345"/>
      <c r="AQ137" s="1597"/>
      <c r="AR137" s="1579"/>
      <c r="AS137" s="1579">
        <f>IF(YEAR('3 pr-2'!$AK137)=2017,$AP137,0)</f>
        <v>0</v>
      </c>
      <c r="AT137" s="1579">
        <f>IF(YEAR('3 pr-2'!$AK137)=2018,$AP137,0)</f>
        <v>0</v>
      </c>
      <c r="AU137" s="1579">
        <f>IF(YEAR('3 pr-2'!$AK137)=2019,$AP137,0)</f>
        <v>0</v>
      </c>
      <c r="AV137" s="1579">
        <f>IF(YEAR('3 pr-2'!$AK137)=2020,$AP137,0)</f>
        <v>0</v>
      </c>
      <c r="AW137" s="1579">
        <f>IF(YEAR('3 pr-2'!$AK137)=2021,$AP137,0)</f>
        <v>0</v>
      </c>
      <c r="AX137" s="1579">
        <f>IF(YEAR('3 pr-2'!$AK137)=2022,$AP137,0)</f>
        <v>0</v>
      </c>
      <c r="AY137" s="1579">
        <f>IF(YEAR('3 pr-2'!$AK137)=2023,$AP137,0)</f>
        <v>0</v>
      </c>
      <c r="AZ137" s="345"/>
      <c r="BA137" s="536"/>
      <c r="BB137" s="345"/>
      <c r="BC137" s="345"/>
      <c r="BD137" s="345"/>
      <c r="BE137" s="345"/>
      <c r="BF137" s="345"/>
      <c r="BG137" s="345"/>
      <c r="BH137" s="345"/>
      <c r="BI137" s="895"/>
      <c r="BJ137" s="345"/>
      <c r="BK137" s="1597"/>
      <c r="BL137" s="1579"/>
      <c r="BM137" s="1579"/>
      <c r="BN137" s="1579">
        <v>0</v>
      </c>
      <c r="BO137" s="1579">
        <v>2</v>
      </c>
      <c r="BP137" s="1579"/>
      <c r="BQ137" s="1579"/>
      <c r="BR137" s="1579"/>
      <c r="BS137" s="1579"/>
      <c r="BT137" s="350"/>
      <c r="BU137" s="537"/>
      <c r="BV137" s="345"/>
      <c r="BW137" s="345"/>
      <c r="BX137" s="345"/>
      <c r="BY137" s="345"/>
      <c r="BZ137" s="345"/>
      <c r="CA137" s="345"/>
      <c r="CB137" s="345"/>
      <c r="CC137" s="895">
        <f t="shared" si="561"/>
        <v>0</v>
      </c>
      <c r="CD137" s="345"/>
      <c r="CE137" s="1579"/>
      <c r="CF137" s="1579"/>
      <c r="CG137" s="1579">
        <f>IF(YEAR('3 pr-2'!$AK137)=2017,$CD137,0)</f>
        <v>0</v>
      </c>
      <c r="CH137" s="1579">
        <f>IF(YEAR('3 pr-2'!$AK137)=2018,$CD137,0)</f>
        <v>0</v>
      </c>
      <c r="CI137" s="1579">
        <f>IF(YEAR('3 pr-2'!$AK137)=2019,$CD137,0)</f>
        <v>0</v>
      </c>
      <c r="CJ137" s="1579">
        <f>IF(YEAR('3 pr-2'!$AK137)=2020,$CD137,0)</f>
        <v>0</v>
      </c>
      <c r="CK137" s="1579">
        <f>IF(YEAR('3 pr-2'!$AK137)=2021,$CD137,0)</f>
        <v>0</v>
      </c>
      <c r="CL137" s="1579">
        <f>IF(YEAR('3 pr-2'!$AK137)=2022,$CD137,0)</f>
        <v>0</v>
      </c>
      <c r="CM137" s="1579">
        <f>IF(YEAR('3 pr-2'!$AK137)=2023,$CD137,0)</f>
        <v>0</v>
      </c>
      <c r="CN137" s="350"/>
      <c r="CO137" s="538"/>
      <c r="CP137" s="345"/>
      <c r="CQ137" s="345"/>
      <c r="CR137" s="345"/>
      <c r="CS137" s="345"/>
      <c r="CT137" s="345"/>
      <c r="CU137" s="345"/>
      <c r="CV137" s="345"/>
      <c r="CW137" s="895">
        <f t="shared" si="568"/>
        <v>0</v>
      </c>
      <c r="CX137" s="351"/>
      <c r="CY137" s="1605"/>
      <c r="CZ137" s="1605"/>
      <c r="DA137" s="1594">
        <f>IF(YEAR('3 pr-2'!AK137)=2017,CX137,0)</f>
        <v>0</v>
      </c>
      <c r="DB137" s="1594">
        <f>IF(YEAR('3 pr-2'!AK137)=2018,CX137,0)</f>
        <v>0</v>
      </c>
      <c r="DC137" s="1594">
        <f>IF(YEAR('3 pr-2'!AK137)=2019,CX137,0)</f>
        <v>0</v>
      </c>
      <c r="DD137" s="1594">
        <f>IF(YEAR('3 pr-2'!AK137)=2020,CX137,0)</f>
        <v>0</v>
      </c>
      <c r="DE137" s="1594">
        <f>IF(YEAR('3 pr-2'!AK137)=2021,CX137,0)</f>
        <v>0</v>
      </c>
      <c r="DF137" s="1594">
        <f>IF(YEAR('3 pr-2'!AK137)=2022,CX137,0)</f>
        <v>0</v>
      </c>
      <c r="DG137" s="1594">
        <f>IF(YEAR('3 pr-2'!AK137)=2023,CX137,0)</f>
        <v>0</v>
      </c>
      <c r="DH137" s="350"/>
      <c r="DI137" s="538"/>
      <c r="DJ137" s="345"/>
      <c r="DK137" s="345"/>
      <c r="DL137" s="345"/>
      <c r="DM137" s="345"/>
      <c r="DN137" s="345"/>
      <c r="DO137" s="345"/>
      <c r="DP137" s="345"/>
      <c r="DQ137" s="895"/>
      <c r="DR137" s="351"/>
      <c r="DS137" s="1605"/>
      <c r="DT137" s="1605"/>
      <c r="DU137" s="1594"/>
      <c r="DV137" s="1594"/>
      <c r="DW137" s="1594"/>
      <c r="DX137" s="1594"/>
      <c r="DY137" s="1594"/>
      <c r="DZ137" s="1594"/>
      <c r="EA137" s="1594"/>
      <c r="EB137" s="350"/>
      <c r="EC137" s="538"/>
      <c r="ED137" s="333"/>
      <c r="EE137" s="1605"/>
      <c r="EF137" s="1605"/>
      <c r="EG137" s="1594">
        <f>IF(YEAR('3 pr-2'!BP137)=2017,ED137,0)</f>
        <v>0</v>
      </c>
      <c r="EH137" s="1594">
        <f>IF(YEAR('3 pr-2'!BP137)=2018,ED137,0)</f>
        <v>0</v>
      </c>
      <c r="EI137" s="1594">
        <f>IF(YEAR('3 pr-2'!BP137)=2019,ED137,0)</f>
        <v>0</v>
      </c>
      <c r="EJ137" s="1594">
        <f>IF(YEAR('3 pr-2'!BP137)=2020,ED137,0)</f>
        <v>0</v>
      </c>
      <c r="EK137" s="1594">
        <f>IF(YEAR('3 pr-2'!BP137)=2021,ED137,0)</f>
        <v>0</v>
      </c>
      <c r="EL137" s="1594">
        <f>IF(YEAR('3 pr-2'!BP137)=2022,ED137,0)</f>
        <v>0</v>
      </c>
      <c r="EM137" s="1594">
        <f>IF(YEAR('3 pr-2'!BP137)=2023,ED137,0)</f>
        <v>0</v>
      </c>
    </row>
    <row r="138" spans="1:143" ht="64.5" thickTop="1" thickBot="1" x14ac:dyDescent="0.3">
      <c r="A138" s="345" t="str">
        <f>CONCATENATE('3 pr-2'!A138)</f>
        <v>2.1.2.2.3</v>
      </c>
      <c r="B138" s="345" t="str">
        <f>CONCATENATE('3 pr-2'!B138)</f>
        <v>R01-6630-470000-2223</v>
      </c>
      <c r="C138" s="1321" t="str">
        <f>CONCATENATE('ketv. 2'!B137)</f>
        <v>08.4.2-ESFA-R-630-11-0005</v>
      </c>
      <c r="D138" s="312" t="str">
        <f>CONCATENATE('3 pr-2'!D138)</f>
        <v>Sveikos gyvensenos skatinimas Varėnos rajono savivaldybėje</v>
      </c>
      <c r="E138" s="312" t="str">
        <f>CONCATENATE('3 pr-2'!E138)</f>
        <v>Varėnos rajono savivaldybės visuomenės sveikatos biuras</v>
      </c>
      <c r="F138" s="312" t="str">
        <f>CONCATENATE('3 pr-2'!F138)</f>
        <v>Lietuvos Respublikos Sveikatos apsaugos ministerija</v>
      </c>
      <c r="G138" s="312" t="str">
        <f>CONCATENATE('3 pr-2'!G138)</f>
        <v>Varėnos r. sav.</v>
      </c>
      <c r="H138" s="345" t="str">
        <f>CONCATENATE('3 pr-2'!H138)</f>
        <v>08.4.2-ESFA-R-630</v>
      </c>
      <c r="I138" s="345" t="str">
        <f>CONCATENATE('3 pr-2'!I138)</f>
        <v>R</v>
      </c>
      <c r="J138" s="345" t="str">
        <f>CONCATENATE('3 pr-2'!J138)</f>
        <v>-</v>
      </c>
      <c r="K138" s="345" t="str">
        <f>CONCATENATE('3 pr-2'!K138)</f>
        <v>-</v>
      </c>
      <c r="L138" s="334" t="s">
        <v>1197</v>
      </c>
      <c r="M138" s="537" t="s">
        <v>1198</v>
      </c>
      <c r="N138" s="334"/>
      <c r="O138" s="334"/>
      <c r="P138" s="334"/>
      <c r="Q138" s="334"/>
      <c r="R138" s="334"/>
      <c r="S138" s="334"/>
      <c r="T138" s="334"/>
      <c r="U138" s="1312">
        <f t="shared" si="573"/>
        <v>0</v>
      </c>
      <c r="V138" s="890">
        <f>SUM(Y138:AE138)</f>
        <v>1697</v>
      </c>
      <c r="W138" s="1578">
        <v>1697</v>
      </c>
      <c r="X138" s="1579">
        <f t="shared" si="579"/>
        <v>0</v>
      </c>
      <c r="Y138" s="1579">
        <v>0</v>
      </c>
      <c r="Z138" s="1579">
        <v>454</v>
      </c>
      <c r="AA138" s="1579">
        <v>522</v>
      </c>
      <c r="AB138" s="1579">
        <v>522</v>
      </c>
      <c r="AC138" s="1579">
        <v>199</v>
      </c>
      <c r="AD138" s="1579">
        <v>0</v>
      </c>
      <c r="AE138" s="1579">
        <v>0</v>
      </c>
      <c r="AF138" s="350" t="s">
        <v>1199</v>
      </c>
      <c r="AG138" s="537" t="s">
        <v>1200</v>
      </c>
      <c r="AH138" s="345"/>
      <c r="AI138" s="345"/>
      <c r="AJ138" s="345"/>
      <c r="AK138" s="345"/>
      <c r="AL138" s="345"/>
      <c r="AM138" s="345"/>
      <c r="AN138" s="345"/>
      <c r="AO138" s="895">
        <f t="shared" ref="AO138" si="581">SUM(AH138:AN138)</f>
        <v>0</v>
      </c>
      <c r="AP138" s="345">
        <v>1</v>
      </c>
      <c r="AQ138" s="1597">
        <v>1</v>
      </c>
      <c r="AR138" s="1579">
        <f t="shared" ref="AR138" si="582">SUM(AQ138-AP138)</f>
        <v>0</v>
      </c>
      <c r="AS138" s="1579">
        <f>IF(YEAR('3 pr-2'!$AK138)=2017,$AP138,0)</f>
        <v>0</v>
      </c>
      <c r="AT138" s="1579">
        <f>IF(YEAR('3 pr-2'!$AK138)=2018,$AP138,0)</f>
        <v>0</v>
      </c>
      <c r="AU138" s="1579">
        <f>IF(YEAR('3 pr-2'!$AK138)=2019,$AP138,0)</f>
        <v>0</v>
      </c>
      <c r="AV138" s="1579">
        <f>IF(YEAR('3 pr-2'!$AK138)=2020,$AP138,0)</f>
        <v>0</v>
      </c>
      <c r="AW138" s="1579">
        <f>IF(YEAR('3 pr-2'!$AK138)=2021,$AP138,0)</f>
        <v>1</v>
      </c>
      <c r="AX138" s="1579">
        <f>IF(YEAR('3 pr-2'!$AK138)=2022,$AP138,0)</f>
        <v>0</v>
      </c>
      <c r="AY138" s="1579">
        <f>IF(YEAR('3 pr-2'!$AK138)=2023,$AP138,0)</f>
        <v>0</v>
      </c>
      <c r="AZ138" s="345"/>
      <c r="BA138" s="536"/>
      <c r="BB138" s="345"/>
      <c r="BC138" s="345"/>
      <c r="BD138" s="345"/>
      <c r="BE138" s="345"/>
      <c r="BF138" s="345"/>
      <c r="BG138" s="345"/>
      <c r="BH138" s="345"/>
      <c r="BI138" s="895">
        <f t="shared" si="547"/>
        <v>0</v>
      </c>
      <c r="BJ138" s="345"/>
      <c r="BK138" s="1597"/>
      <c r="BL138" s="1579"/>
      <c r="BM138" s="1579"/>
      <c r="BN138" s="1579"/>
      <c r="BO138" s="1579"/>
      <c r="BP138" s="1579"/>
      <c r="BQ138" s="1579"/>
      <c r="BR138" s="1579"/>
      <c r="BS138" s="1579"/>
      <c r="BT138" s="350"/>
      <c r="BU138" s="537"/>
      <c r="BV138" s="345"/>
      <c r="BW138" s="345"/>
      <c r="BX138" s="345"/>
      <c r="BY138" s="345"/>
      <c r="BZ138" s="345"/>
      <c r="CA138" s="345"/>
      <c r="CB138" s="345"/>
      <c r="CC138" s="895">
        <f t="shared" si="561"/>
        <v>0</v>
      </c>
      <c r="CD138" s="345"/>
      <c r="CE138" s="1579"/>
      <c r="CF138" s="1579"/>
      <c r="CG138" s="1579">
        <f>IF(YEAR('3 pr-2'!$AK138)=2017,$CD138,0)</f>
        <v>0</v>
      </c>
      <c r="CH138" s="1579">
        <f>IF(YEAR('3 pr-2'!$AK138)=2018,$CD138,0)</f>
        <v>0</v>
      </c>
      <c r="CI138" s="1579">
        <f>IF(YEAR('3 pr-2'!$AK138)=2019,$CD138,0)</f>
        <v>0</v>
      </c>
      <c r="CJ138" s="1579">
        <f>IF(YEAR('3 pr-2'!$AK138)=2020,$CD138,0)</f>
        <v>0</v>
      </c>
      <c r="CK138" s="1579">
        <f>IF(YEAR('3 pr-2'!$AK138)=2021,$CD138,0)</f>
        <v>0</v>
      </c>
      <c r="CL138" s="1579">
        <f>IF(YEAR('3 pr-2'!$AK138)=2022,$CD138,0)</f>
        <v>0</v>
      </c>
      <c r="CM138" s="1579">
        <f>IF(YEAR('3 pr-2'!$AK138)=2023,$CD138,0)</f>
        <v>0</v>
      </c>
      <c r="CN138" s="350"/>
      <c r="CO138" s="538"/>
      <c r="CP138" s="345"/>
      <c r="CQ138" s="345"/>
      <c r="CR138" s="345"/>
      <c r="CS138" s="345"/>
      <c r="CT138" s="345"/>
      <c r="CU138" s="345"/>
      <c r="CV138" s="345"/>
      <c r="CW138" s="895">
        <f t="shared" si="568"/>
        <v>0</v>
      </c>
      <c r="CX138" s="351"/>
      <c r="CY138" s="1605"/>
      <c r="CZ138" s="1605"/>
      <c r="DA138" s="1594">
        <f>IF(YEAR('3 pr-2'!AK138)=2017,CX138,0)</f>
        <v>0</v>
      </c>
      <c r="DB138" s="1594">
        <f>IF(YEAR('3 pr-2'!AK138)=2018,CX138,0)</f>
        <v>0</v>
      </c>
      <c r="DC138" s="1594">
        <f>IF(YEAR('3 pr-2'!AK138)=2019,CX138,0)</f>
        <v>0</v>
      </c>
      <c r="DD138" s="1594">
        <f>IF(YEAR('3 pr-2'!AK138)=2020,CX138,0)</f>
        <v>0</v>
      </c>
      <c r="DE138" s="1594">
        <f>IF(YEAR('3 pr-2'!AK138)=2021,CX138,0)</f>
        <v>0</v>
      </c>
      <c r="DF138" s="1594">
        <f>IF(YEAR('3 pr-2'!AK138)=2022,CX138,0)</f>
        <v>0</v>
      </c>
      <c r="DG138" s="1594">
        <f>IF(YEAR('3 pr-2'!AK138)=2023,CX138,0)</f>
        <v>0</v>
      </c>
      <c r="DH138" s="350"/>
      <c r="DI138" s="538"/>
      <c r="DJ138" s="345"/>
      <c r="DK138" s="345"/>
      <c r="DL138" s="345"/>
      <c r="DM138" s="345"/>
      <c r="DN138" s="345"/>
      <c r="DO138" s="345"/>
      <c r="DP138" s="345"/>
      <c r="DQ138" s="895"/>
      <c r="DR138" s="351"/>
      <c r="DS138" s="1605"/>
      <c r="DT138" s="1605"/>
      <c r="DU138" s="1594"/>
      <c r="DV138" s="1594"/>
      <c r="DW138" s="1594"/>
      <c r="DX138" s="1594"/>
      <c r="DY138" s="1594"/>
      <c r="DZ138" s="1594"/>
      <c r="EA138" s="1594"/>
      <c r="EB138" s="350"/>
      <c r="EC138" s="538"/>
      <c r="ED138" s="333"/>
      <c r="EE138" s="1605"/>
      <c r="EF138" s="1605"/>
      <c r="EG138" s="1594">
        <f>IF(YEAR('3 pr-2'!BP138)=2017,ED138,0)</f>
        <v>0</v>
      </c>
      <c r="EH138" s="1594">
        <f>IF(YEAR('3 pr-2'!BP138)=2018,ED138,0)</f>
        <v>0</v>
      </c>
      <c r="EI138" s="1594">
        <f>IF(YEAR('3 pr-2'!BP138)=2019,ED138,0)</f>
        <v>0</v>
      </c>
      <c r="EJ138" s="1594">
        <f>IF(YEAR('3 pr-2'!BP138)=2020,ED138,0)</f>
        <v>0</v>
      </c>
      <c r="EK138" s="1594">
        <f>IF(YEAR('3 pr-2'!BP138)=2021,ED138,0)</f>
        <v>0</v>
      </c>
      <c r="EL138" s="1594">
        <f>IF(YEAR('3 pr-2'!BP138)=2022,ED138,0)</f>
        <v>0</v>
      </c>
      <c r="EM138" s="1594">
        <f>IF(YEAR('3 pr-2'!BP138)=2023,ED138,0)</f>
        <v>0</v>
      </c>
    </row>
    <row r="139" spans="1:143" ht="64.5" thickTop="1" thickBot="1" x14ac:dyDescent="0.3">
      <c r="A139" s="345" t="str">
        <f>CONCATENATE('3 pr-2'!A139)</f>
        <v>2.1.2.2.4.</v>
      </c>
      <c r="B139" s="345" t="str">
        <f>CONCATENATE('3 pr-2'!B139)</f>
        <v>R01-6630-470000-2224</v>
      </c>
      <c r="C139" s="1321" t="str">
        <f>CONCATENATE('ketv. 2'!B138)</f>
        <v>08.4.2-ESFA-R-630-11-0003</v>
      </c>
      <c r="D139" s="312" t="str">
        <f>CONCATENATE('3 pr-2'!D139)</f>
        <v>Sveika bendruomenė – stipri visuomenė</v>
      </c>
      <c r="E139" s="312" t="str">
        <f>CONCATENATE('3 pr-2'!E139)</f>
        <v>Druskininkų savivaldybės visuomenės sveikatos biuras</v>
      </c>
      <c r="F139" s="312" t="str">
        <f>CONCATENATE('3 pr-2'!F139)</f>
        <v>Lietuvos Respublikos Sveikatos apsaugos ministerija</v>
      </c>
      <c r="G139" s="312" t="str">
        <f>CONCATENATE('3 pr-2'!G139)</f>
        <v>Druskininkų sav.</v>
      </c>
      <c r="H139" s="345" t="str">
        <f>CONCATENATE('3 pr-2'!H139)</f>
        <v>08.4.2-ESFA-R-630</v>
      </c>
      <c r="I139" s="345" t="str">
        <f>CONCATENATE('3 pr-2'!I139)</f>
        <v>R</v>
      </c>
      <c r="J139" s="345" t="str">
        <f>CONCATENATE('3 pr-2'!J139)</f>
        <v>-</v>
      </c>
      <c r="K139" s="345" t="str">
        <f>CONCATENATE('3 pr-2'!K139)</f>
        <v>-</v>
      </c>
      <c r="L139" s="334" t="s">
        <v>1197</v>
      </c>
      <c r="M139" s="537" t="s">
        <v>1198</v>
      </c>
      <c r="N139" s="334"/>
      <c r="O139" s="334"/>
      <c r="P139" s="334"/>
      <c r="Q139" s="334"/>
      <c r="R139" s="334"/>
      <c r="S139" s="334"/>
      <c r="T139" s="334"/>
      <c r="U139" s="1312">
        <f t="shared" si="573"/>
        <v>0</v>
      </c>
      <c r="V139" s="1773">
        <v>1700</v>
      </c>
      <c r="W139" s="1626">
        <v>1700</v>
      </c>
      <c r="X139" s="1625">
        <f t="shared" si="579"/>
        <v>0</v>
      </c>
      <c r="Y139" s="1579">
        <v>0</v>
      </c>
      <c r="Z139" s="1580">
        <v>455</v>
      </c>
      <c r="AA139" s="1580">
        <v>415</v>
      </c>
      <c r="AB139" s="1580">
        <v>415</v>
      </c>
      <c r="AC139" s="1580">
        <v>415</v>
      </c>
      <c r="AD139" s="1579">
        <v>0</v>
      </c>
      <c r="AE139" s="1579">
        <v>0</v>
      </c>
      <c r="AF139" s="350"/>
      <c r="AG139" s="537"/>
      <c r="AH139" s="345"/>
      <c r="AI139" s="345"/>
      <c r="AJ139" s="345"/>
      <c r="AK139" s="345"/>
      <c r="AL139" s="345"/>
      <c r="AM139" s="345"/>
      <c r="AN139" s="345"/>
      <c r="AO139" s="895">
        <f t="shared" si="569"/>
        <v>0</v>
      </c>
      <c r="AP139" s="345"/>
      <c r="AQ139" s="1597"/>
      <c r="AR139" s="1579"/>
      <c r="AS139" s="1579">
        <f>IF(YEAR('3 pr-2'!$AK139)=2017,$AP139,0)</f>
        <v>0</v>
      </c>
      <c r="AT139" s="1579">
        <f>IF(YEAR('3 pr-2'!$AK139)=2018,$AP139,0)</f>
        <v>0</v>
      </c>
      <c r="AU139" s="1579">
        <f>IF(YEAR('3 pr-2'!$AK139)=2019,$AP139,0)</f>
        <v>0</v>
      </c>
      <c r="AV139" s="1579">
        <f>IF(YEAR('3 pr-2'!$AK139)=2020,$AP139,0)</f>
        <v>0</v>
      </c>
      <c r="AW139" s="1579">
        <f>IF(YEAR('3 pr-2'!$AK139)=2021,$AP139,0)</f>
        <v>0</v>
      </c>
      <c r="AX139" s="1579">
        <f>IF(YEAR('3 pr-2'!$AK139)=2022,$AP139,0)</f>
        <v>0</v>
      </c>
      <c r="AY139" s="1579">
        <f>IF(YEAR('3 pr-2'!$AK139)=2023,$AP139,0)</f>
        <v>0</v>
      </c>
      <c r="AZ139" s="345"/>
      <c r="BA139" s="536"/>
      <c r="BB139" s="345"/>
      <c r="BC139" s="345"/>
      <c r="BD139" s="345"/>
      <c r="BE139" s="345"/>
      <c r="BF139" s="345"/>
      <c r="BG139" s="345"/>
      <c r="BH139" s="345"/>
      <c r="BI139" s="895">
        <f t="shared" si="547"/>
        <v>0</v>
      </c>
      <c r="BJ139" s="345"/>
      <c r="BK139" s="1597"/>
      <c r="BL139" s="1579"/>
      <c r="BM139" s="1579"/>
      <c r="BN139" s="1579"/>
      <c r="BO139" s="1579"/>
      <c r="BP139" s="1579"/>
      <c r="BQ139" s="1579"/>
      <c r="BR139" s="1579"/>
      <c r="BS139" s="1579"/>
      <c r="BT139" s="350"/>
      <c r="BU139" s="537"/>
      <c r="BV139" s="345"/>
      <c r="BW139" s="345"/>
      <c r="BX139" s="345"/>
      <c r="BY139" s="345"/>
      <c r="BZ139" s="345"/>
      <c r="CA139" s="345"/>
      <c r="CB139" s="345"/>
      <c r="CC139" s="895">
        <f t="shared" si="561"/>
        <v>0</v>
      </c>
      <c r="CD139" s="345"/>
      <c r="CE139" s="1579"/>
      <c r="CF139" s="1579"/>
      <c r="CG139" s="1579">
        <f>IF(YEAR('3 pr-2'!$AK139)=2017,$CD139,0)</f>
        <v>0</v>
      </c>
      <c r="CH139" s="1579">
        <f>IF(YEAR('3 pr-2'!$AK139)=2018,$CD139,0)</f>
        <v>0</v>
      </c>
      <c r="CI139" s="1579">
        <f>IF(YEAR('3 pr-2'!$AK139)=2019,$CD139,0)</f>
        <v>0</v>
      </c>
      <c r="CJ139" s="1579">
        <f>IF(YEAR('3 pr-2'!$AK139)=2020,$CD139,0)</f>
        <v>0</v>
      </c>
      <c r="CK139" s="1579">
        <f>IF(YEAR('3 pr-2'!$AK139)=2021,$CD139,0)</f>
        <v>0</v>
      </c>
      <c r="CL139" s="1579">
        <f>IF(YEAR('3 pr-2'!$AK139)=2022,$CD139,0)</f>
        <v>0</v>
      </c>
      <c r="CM139" s="1579">
        <f>IF(YEAR('3 pr-2'!$AK139)=2023,$CD139,0)</f>
        <v>0</v>
      </c>
      <c r="CN139" s="350"/>
      <c r="CO139" s="538"/>
      <c r="CP139" s="345"/>
      <c r="CQ139" s="345"/>
      <c r="CR139" s="345"/>
      <c r="CS139" s="345"/>
      <c r="CT139" s="345"/>
      <c r="CU139" s="345"/>
      <c r="CV139" s="345"/>
      <c r="CW139" s="895">
        <f t="shared" si="568"/>
        <v>0</v>
      </c>
      <c r="CX139" s="351"/>
      <c r="CY139" s="1605"/>
      <c r="CZ139" s="1605"/>
      <c r="DA139" s="1594">
        <f>IF(YEAR('3 pr-2'!AK139)=2017,CX139,0)</f>
        <v>0</v>
      </c>
      <c r="DB139" s="1594">
        <f>IF(YEAR('3 pr-2'!AK139)=2018,CX139,0)</f>
        <v>0</v>
      </c>
      <c r="DC139" s="1594">
        <f>IF(YEAR('3 pr-2'!AK139)=2019,CX139,0)</f>
        <v>0</v>
      </c>
      <c r="DD139" s="1594">
        <f>IF(YEAR('3 pr-2'!AK139)=2020,CX139,0)</f>
        <v>0</v>
      </c>
      <c r="DE139" s="1594">
        <f>IF(YEAR('3 pr-2'!AK139)=2021,CX139,0)</f>
        <v>0</v>
      </c>
      <c r="DF139" s="1594">
        <f>IF(YEAR('3 pr-2'!AK139)=2022,CX139,0)</f>
        <v>0</v>
      </c>
      <c r="DG139" s="1594">
        <f>IF(YEAR('3 pr-2'!AK139)=2023,CX139,0)</f>
        <v>0</v>
      </c>
      <c r="DH139" s="350"/>
      <c r="DI139" s="538"/>
      <c r="DJ139" s="345"/>
      <c r="DK139" s="345"/>
      <c r="DL139" s="345"/>
      <c r="DM139" s="345"/>
      <c r="DN139" s="345"/>
      <c r="DO139" s="345"/>
      <c r="DP139" s="345"/>
      <c r="DQ139" s="895"/>
      <c r="DR139" s="351"/>
      <c r="DS139" s="1605"/>
      <c r="DT139" s="1605"/>
      <c r="DU139" s="1594"/>
      <c r="DV139" s="1594"/>
      <c r="DW139" s="1594"/>
      <c r="DX139" s="1594"/>
      <c r="DY139" s="1594"/>
      <c r="DZ139" s="1594"/>
      <c r="EA139" s="1594"/>
      <c r="EB139" s="350"/>
      <c r="EC139" s="538"/>
      <c r="ED139" s="333"/>
      <c r="EE139" s="1605"/>
      <c r="EF139" s="1605"/>
      <c r="EG139" s="1594">
        <f>IF(YEAR('3 pr-2'!BP139)=2017,ED139,0)</f>
        <v>0</v>
      </c>
      <c r="EH139" s="1594">
        <f>IF(YEAR('3 pr-2'!BP139)=2018,ED139,0)</f>
        <v>0</v>
      </c>
      <c r="EI139" s="1594">
        <f>IF(YEAR('3 pr-2'!BP139)=2019,ED139,0)</f>
        <v>0</v>
      </c>
      <c r="EJ139" s="1594">
        <f>IF(YEAR('3 pr-2'!BP139)=2020,ED139,0)</f>
        <v>0</v>
      </c>
      <c r="EK139" s="1594">
        <f>IF(YEAR('3 pr-2'!BP139)=2021,ED139,0)</f>
        <v>0</v>
      </c>
      <c r="EL139" s="1594">
        <f>IF(YEAR('3 pr-2'!BP139)=2022,ED139,0)</f>
        <v>0</v>
      </c>
      <c r="EM139" s="1594">
        <f>IF(YEAR('3 pr-2'!BP139)=2023,ED139,0)</f>
        <v>0</v>
      </c>
    </row>
    <row r="140" spans="1:143" ht="64.5" thickTop="1" thickBot="1" x14ac:dyDescent="0.3">
      <c r="A140" s="345" t="str">
        <f>CONCATENATE('3 pr-2'!A140)</f>
        <v>2.1.2.2.5</v>
      </c>
      <c r="B140" s="345" t="str">
        <f>CONCATENATE('3 pr-2'!B140)</f>
        <v>R01-6630-470000-2225</v>
      </c>
      <c r="C140" s="1321" t="str">
        <f>CONCATENATE('ketv. 2'!B139)</f>
        <v>08.4.2-ESFA-R-630-11-0002</v>
      </c>
      <c r="D140" s="312" t="str">
        <f>CONCATENATE('3 pr-2'!D140)</f>
        <v>Sveikos gyvensenos skatinimas Lazdijų rajono savivaldybėje</v>
      </c>
      <c r="E140" s="312" t="str">
        <f>CONCATENATE('3 pr-2'!E140)</f>
        <v>Lazdijų rajono savivaldybės visuomenės sveikatos biuras</v>
      </c>
      <c r="F140" s="312" t="str">
        <f>CONCATENATE('3 pr-2'!F140)</f>
        <v>Lietuvos Respublikos Sveikatos apsaugos ministerija</v>
      </c>
      <c r="G140" s="312" t="str">
        <f>CONCATENATE('3 pr-2'!G140)</f>
        <v>Lazdijų r. sav.</v>
      </c>
      <c r="H140" s="345" t="str">
        <f>CONCATENATE('3 pr-2'!H140)</f>
        <v>08.4.2-ESFA-R-630</v>
      </c>
      <c r="I140" s="345" t="str">
        <f>CONCATENATE('3 pr-2'!I140)</f>
        <v>R</v>
      </c>
      <c r="J140" s="345" t="str">
        <f>CONCATENATE('3 pr-2'!J140)</f>
        <v>-</v>
      </c>
      <c r="K140" s="345" t="str">
        <f>CONCATENATE('3 pr-2'!K140)</f>
        <v>-</v>
      </c>
      <c r="L140" s="334" t="s">
        <v>1197</v>
      </c>
      <c r="M140" s="537" t="s">
        <v>1198</v>
      </c>
      <c r="N140" s="334"/>
      <c r="O140" s="334"/>
      <c r="P140" s="334"/>
      <c r="Q140" s="334"/>
      <c r="R140" s="334"/>
      <c r="S140" s="334"/>
      <c r="T140" s="334"/>
      <c r="U140" s="1312">
        <f t="shared" si="573"/>
        <v>0</v>
      </c>
      <c r="V140" s="890">
        <f>SUM(Y140:AE140)</f>
        <v>1697</v>
      </c>
      <c r="W140" s="1578">
        <v>1697</v>
      </c>
      <c r="X140" s="1579">
        <f t="shared" si="579"/>
        <v>0</v>
      </c>
      <c r="Y140" s="1579">
        <v>0</v>
      </c>
      <c r="Z140" s="1579">
        <v>454</v>
      </c>
      <c r="AA140" s="1579">
        <v>420</v>
      </c>
      <c r="AB140" s="1579">
        <v>423</v>
      </c>
      <c r="AC140" s="1579">
        <v>400</v>
      </c>
      <c r="AD140" s="1579">
        <v>0</v>
      </c>
      <c r="AE140" s="1579">
        <v>0</v>
      </c>
      <c r="AF140" s="350"/>
      <c r="AG140" s="537"/>
      <c r="AH140" s="345"/>
      <c r="AI140" s="345"/>
      <c r="AJ140" s="345"/>
      <c r="AK140" s="345"/>
      <c r="AL140" s="345"/>
      <c r="AM140" s="345"/>
      <c r="AN140" s="345"/>
      <c r="AO140" s="895">
        <f t="shared" si="569"/>
        <v>0</v>
      </c>
      <c r="AP140" s="345"/>
      <c r="AQ140" s="1597"/>
      <c r="AR140" s="1579"/>
      <c r="AS140" s="1579">
        <f>IF(YEAR('3 pr-2'!$AK140)=2017,$AP140,0)</f>
        <v>0</v>
      </c>
      <c r="AT140" s="1579">
        <f>IF(YEAR('3 pr-2'!$AK140)=2018,$AP140,0)</f>
        <v>0</v>
      </c>
      <c r="AU140" s="1579">
        <f>IF(YEAR('3 pr-2'!$AK140)=2019,$AP140,0)</f>
        <v>0</v>
      </c>
      <c r="AV140" s="1579">
        <f>IF(YEAR('3 pr-2'!$AK140)=2020,$AP140,0)</f>
        <v>0</v>
      </c>
      <c r="AW140" s="1579">
        <f>IF(YEAR('3 pr-2'!$AK140)=2021,$AP140,0)</f>
        <v>0</v>
      </c>
      <c r="AX140" s="1579">
        <f>IF(YEAR('3 pr-2'!$AK140)=2022,$AP140,0)</f>
        <v>0</v>
      </c>
      <c r="AY140" s="1579">
        <f>IF(YEAR('3 pr-2'!$AK140)=2023,$AP140,0)</f>
        <v>0</v>
      </c>
      <c r="AZ140" s="345"/>
      <c r="BA140" s="536"/>
      <c r="BB140" s="345"/>
      <c r="BC140" s="345"/>
      <c r="BD140" s="345"/>
      <c r="BE140" s="345"/>
      <c r="BF140" s="345"/>
      <c r="BG140" s="345"/>
      <c r="BH140" s="345"/>
      <c r="BI140" s="895">
        <f t="shared" si="547"/>
        <v>0</v>
      </c>
      <c r="BJ140" s="345"/>
      <c r="BK140" s="1597"/>
      <c r="BL140" s="1579"/>
      <c r="BM140" s="1579"/>
      <c r="BN140" s="1579"/>
      <c r="BO140" s="1579"/>
      <c r="BP140" s="1579"/>
      <c r="BQ140" s="1579"/>
      <c r="BR140" s="1579"/>
      <c r="BS140" s="1579"/>
      <c r="BT140" s="350"/>
      <c r="BU140" s="537"/>
      <c r="BV140" s="345"/>
      <c r="BW140" s="345"/>
      <c r="BX140" s="345"/>
      <c r="BY140" s="345"/>
      <c r="BZ140" s="345"/>
      <c r="CA140" s="345"/>
      <c r="CB140" s="345"/>
      <c r="CC140" s="895">
        <f t="shared" si="561"/>
        <v>0</v>
      </c>
      <c r="CD140" s="345"/>
      <c r="CE140" s="1579"/>
      <c r="CF140" s="1579"/>
      <c r="CG140" s="1579">
        <f>IF(YEAR('3 pr-2'!$AK140)=2017,$CD140,0)</f>
        <v>0</v>
      </c>
      <c r="CH140" s="1579">
        <f>IF(YEAR('3 pr-2'!$AK140)=2018,$CD140,0)</f>
        <v>0</v>
      </c>
      <c r="CI140" s="1579">
        <f>IF(YEAR('3 pr-2'!$AK140)=2019,$CD140,0)</f>
        <v>0</v>
      </c>
      <c r="CJ140" s="1579">
        <f>IF(YEAR('3 pr-2'!$AK140)=2020,$CD140,0)</f>
        <v>0</v>
      </c>
      <c r="CK140" s="1579">
        <f>IF(YEAR('3 pr-2'!$AK140)=2021,$CD140,0)</f>
        <v>0</v>
      </c>
      <c r="CL140" s="1579">
        <f>IF(YEAR('3 pr-2'!$AK140)=2022,$CD140,0)</f>
        <v>0</v>
      </c>
      <c r="CM140" s="1579">
        <f>IF(YEAR('3 pr-2'!$AK140)=2023,$CD140,0)</f>
        <v>0</v>
      </c>
      <c r="CN140" s="350"/>
      <c r="CO140" s="538"/>
      <c r="CP140" s="345"/>
      <c r="CQ140" s="345"/>
      <c r="CR140" s="345"/>
      <c r="CS140" s="345"/>
      <c r="CT140" s="345"/>
      <c r="CU140" s="345"/>
      <c r="CV140" s="345"/>
      <c r="CW140" s="895">
        <f t="shared" si="568"/>
        <v>0</v>
      </c>
      <c r="CX140" s="351"/>
      <c r="CY140" s="1605"/>
      <c r="CZ140" s="1605"/>
      <c r="DA140" s="1594">
        <f>IF(YEAR('3 pr-2'!AK140)=2017,CX140,0)</f>
        <v>0</v>
      </c>
      <c r="DB140" s="1594">
        <f>IF(YEAR('3 pr-2'!AK140)=2018,CX140,0)</f>
        <v>0</v>
      </c>
      <c r="DC140" s="1594">
        <f>IF(YEAR('3 pr-2'!AK140)=2019,CX140,0)</f>
        <v>0</v>
      </c>
      <c r="DD140" s="1594">
        <f>IF(YEAR('3 pr-2'!AK140)=2020,CX140,0)</f>
        <v>0</v>
      </c>
      <c r="DE140" s="1594">
        <f>IF(YEAR('3 pr-2'!AK140)=2021,CX140,0)</f>
        <v>0</v>
      </c>
      <c r="DF140" s="1594">
        <f>IF(YEAR('3 pr-2'!AK140)=2022,CX140,0)</f>
        <v>0</v>
      </c>
      <c r="DG140" s="1594">
        <f>IF(YEAR('3 pr-2'!AK140)=2023,CX140,0)</f>
        <v>0</v>
      </c>
      <c r="DH140" s="350"/>
      <c r="DI140" s="538"/>
      <c r="DJ140" s="345"/>
      <c r="DK140" s="345"/>
      <c r="DL140" s="345"/>
      <c r="DM140" s="345"/>
      <c r="DN140" s="345"/>
      <c r="DO140" s="345"/>
      <c r="DP140" s="345"/>
      <c r="DQ140" s="895"/>
      <c r="DR140" s="351"/>
      <c r="DS140" s="1605"/>
      <c r="DT140" s="1605"/>
      <c r="DU140" s="1594"/>
      <c r="DV140" s="1594"/>
      <c r="DW140" s="1594"/>
      <c r="DX140" s="1594"/>
      <c r="DY140" s="1594"/>
      <c r="DZ140" s="1594"/>
      <c r="EA140" s="1594"/>
      <c r="EB140" s="350"/>
      <c r="EC140" s="538"/>
      <c r="ED140" s="333"/>
      <c r="EE140" s="1605"/>
      <c r="EF140" s="1605"/>
      <c r="EG140" s="1594">
        <f>IF(YEAR('3 pr-2'!BP140)=2017,ED140,0)</f>
        <v>0</v>
      </c>
      <c r="EH140" s="1594">
        <f>IF(YEAR('3 pr-2'!BP140)=2018,ED140,0)</f>
        <v>0</v>
      </c>
      <c r="EI140" s="1594">
        <f>IF(YEAR('3 pr-2'!BP140)=2019,ED140,0)</f>
        <v>0</v>
      </c>
      <c r="EJ140" s="1594">
        <f>IF(YEAR('3 pr-2'!BP140)=2020,ED140,0)</f>
        <v>0</v>
      </c>
      <c r="EK140" s="1594">
        <f>IF(YEAR('3 pr-2'!BP140)=2021,ED140,0)</f>
        <v>0</v>
      </c>
      <c r="EL140" s="1594">
        <f>IF(YEAR('3 pr-2'!BP140)=2022,ED140,0)</f>
        <v>0</v>
      </c>
      <c r="EM140" s="1594">
        <f>IF(YEAR('3 pr-2'!BP140)=2023,ED140,0)</f>
        <v>0</v>
      </c>
    </row>
    <row r="141" spans="1:143" ht="46.5" customHeight="1" thickBot="1" x14ac:dyDescent="0.3">
      <c r="A141" s="915" t="str">
        <f>CONCATENATE('3 pr-2'!A141)</f>
        <v>2.1.2.3</v>
      </c>
      <c r="B141" s="1926" t="str">
        <f>CONCATENATE('3 pr-2'!B141)</f>
        <v>Priemonė:
Priemonių, gerinančių ambulatorinių sveikatos priežiūros paslaugų prieinamumą tuberkulioze sergantiems pacientams, įgyvendinimas</v>
      </c>
      <c r="C141" s="1927"/>
      <c r="D141" s="1927"/>
      <c r="E141" s="1927"/>
      <c r="F141" s="1927"/>
      <c r="G141" s="1927"/>
      <c r="H141" s="1927"/>
      <c r="I141" s="1927"/>
      <c r="J141" s="1927"/>
      <c r="K141" s="1928"/>
      <c r="L141" s="916"/>
      <c r="M141" s="540"/>
      <c r="N141" s="890">
        <f>SUM(N142:N152)</f>
        <v>0</v>
      </c>
      <c r="O141" s="890">
        <f t="shared" ref="O141:T141" si="583">SUM(O142:O152)</f>
        <v>0</v>
      </c>
      <c r="P141" s="890">
        <f t="shared" si="583"/>
        <v>0</v>
      </c>
      <c r="Q141" s="890">
        <f t="shared" si="583"/>
        <v>0</v>
      </c>
      <c r="R141" s="890">
        <f t="shared" si="583"/>
        <v>0</v>
      </c>
      <c r="S141" s="890">
        <f t="shared" si="583"/>
        <v>0</v>
      </c>
      <c r="T141" s="890">
        <f t="shared" si="583"/>
        <v>0</v>
      </c>
      <c r="U141" s="891">
        <f t="shared" ref="U141:U146" si="584">SUM(N141:T141)</f>
        <v>0</v>
      </c>
      <c r="V141" s="867"/>
      <c r="W141" s="1592"/>
      <c r="X141" s="1593"/>
      <c r="Y141" s="1594">
        <f>SUM(Y142:Y146)</f>
        <v>0</v>
      </c>
      <c r="Z141" s="1594">
        <f t="shared" ref="Z141:AE141" si="585">SUM(Z142:Z146)</f>
        <v>0</v>
      </c>
      <c r="AA141" s="1594">
        <f t="shared" si="585"/>
        <v>0</v>
      </c>
      <c r="AB141" s="1594">
        <f t="shared" si="585"/>
        <v>0</v>
      </c>
      <c r="AC141" s="1594">
        <f t="shared" si="585"/>
        <v>146</v>
      </c>
      <c r="AD141" s="1594">
        <f t="shared" si="585"/>
        <v>34</v>
      </c>
      <c r="AE141" s="1594">
        <f t="shared" si="585"/>
        <v>0</v>
      </c>
      <c r="AF141" s="917"/>
      <c r="AG141" s="889"/>
      <c r="AH141" s="890"/>
      <c r="AI141" s="890"/>
      <c r="AJ141" s="890"/>
      <c r="AK141" s="890"/>
      <c r="AL141" s="890"/>
      <c r="AM141" s="890"/>
      <c r="AN141" s="890"/>
      <c r="AO141" s="867"/>
      <c r="AP141" s="867"/>
      <c r="AQ141" s="1594"/>
      <c r="AR141" s="1594"/>
      <c r="AS141" s="1594">
        <f t="shared" ref="AS141:AY141" si="586">SUM(AS142:AS152)</f>
        <v>0</v>
      </c>
      <c r="AT141" s="1594">
        <f t="shared" si="586"/>
        <v>0</v>
      </c>
      <c r="AU141" s="1594">
        <f t="shared" si="586"/>
        <v>0</v>
      </c>
      <c r="AV141" s="1594">
        <f t="shared" si="586"/>
        <v>0</v>
      </c>
      <c r="AW141" s="1594">
        <f t="shared" si="586"/>
        <v>0</v>
      </c>
      <c r="AX141" s="1594">
        <f t="shared" si="586"/>
        <v>0</v>
      </c>
      <c r="AY141" s="1594">
        <f t="shared" si="586"/>
        <v>0</v>
      </c>
      <c r="AZ141" s="867"/>
      <c r="BA141" s="889"/>
      <c r="BB141" s="890"/>
      <c r="BC141" s="890"/>
      <c r="BD141" s="890"/>
      <c r="BE141" s="890"/>
      <c r="BF141" s="890"/>
      <c r="BG141" s="890"/>
      <c r="BH141" s="890"/>
      <c r="BI141" s="867"/>
      <c r="BJ141" s="867"/>
      <c r="BK141" s="1594"/>
      <c r="BL141" s="1594"/>
      <c r="BM141" s="1594"/>
      <c r="BN141" s="1594"/>
      <c r="BO141" s="1594"/>
      <c r="BP141" s="1594"/>
      <c r="BQ141" s="1594"/>
      <c r="BR141" s="1594"/>
      <c r="BS141" s="1594"/>
      <c r="BT141" s="890"/>
      <c r="BU141" s="538"/>
      <c r="BV141" s="890"/>
      <c r="BW141" s="890"/>
      <c r="BX141" s="890"/>
      <c r="BY141" s="890"/>
      <c r="BZ141" s="890"/>
      <c r="CA141" s="890"/>
      <c r="CB141" s="890"/>
      <c r="CC141" s="867"/>
      <c r="CD141" s="890"/>
      <c r="CE141" s="1594"/>
      <c r="CF141" s="1594"/>
      <c r="CG141" s="1594">
        <f t="shared" ref="CG141:CM141" si="587">SUM(CG142:CG152)</f>
        <v>0</v>
      </c>
      <c r="CH141" s="1594">
        <f t="shared" si="587"/>
        <v>0</v>
      </c>
      <c r="CI141" s="1594">
        <f t="shared" si="587"/>
        <v>0</v>
      </c>
      <c r="CJ141" s="1594">
        <f t="shared" si="587"/>
        <v>0</v>
      </c>
      <c r="CK141" s="1594">
        <f t="shared" si="587"/>
        <v>0</v>
      </c>
      <c r="CL141" s="1594">
        <f t="shared" si="587"/>
        <v>0</v>
      </c>
      <c r="CM141" s="1594">
        <f t="shared" si="587"/>
        <v>0</v>
      </c>
      <c r="CN141" s="890"/>
      <c r="CO141" s="538"/>
      <c r="CP141" s="890">
        <f>SUM(CP142:CP152)</f>
        <v>0</v>
      </c>
      <c r="CQ141" s="890">
        <f t="shared" ref="CQ141:CV141" si="588">SUM(CQ142:CQ152)</f>
        <v>0</v>
      </c>
      <c r="CR141" s="890">
        <f t="shared" si="588"/>
        <v>0</v>
      </c>
      <c r="CS141" s="890">
        <f t="shared" si="588"/>
        <v>0</v>
      </c>
      <c r="CT141" s="890">
        <f t="shared" si="588"/>
        <v>0</v>
      </c>
      <c r="CU141" s="890">
        <f t="shared" si="588"/>
        <v>0</v>
      </c>
      <c r="CV141" s="890">
        <f t="shared" si="588"/>
        <v>0</v>
      </c>
      <c r="CW141" s="867">
        <f t="shared" ref="CW141:CW146" si="589">SUM(CP141:CV141)</f>
        <v>0</v>
      </c>
      <c r="CX141" s="890"/>
      <c r="CY141" s="1594"/>
      <c r="CZ141" s="1594"/>
      <c r="DA141" s="1594"/>
      <c r="DB141" s="1594"/>
      <c r="DC141" s="1594"/>
      <c r="DD141" s="1594"/>
      <c r="DE141" s="1594"/>
      <c r="DF141" s="1594"/>
      <c r="DG141" s="1594"/>
      <c r="DH141" s="890"/>
      <c r="DI141" s="538"/>
      <c r="DJ141" s="890"/>
      <c r="DK141" s="890"/>
      <c r="DL141" s="890"/>
      <c r="DM141" s="890"/>
      <c r="DN141" s="890"/>
      <c r="DO141" s="890"/>
      <c r="DP141" s="890"/>
      <c r="DQ141" s="867"/>
      <c r="DR141" s="890"/>
      <c r="DS141" s="1594"/>
      <c r="DT141" s="1594"/>
      <c r="DU141" s="1594"/>
      <c r="DV141" s="1594"/>
      <c r="DW141" s="1594"/>
      <c r="DX141" s="1594"/>
      <c r="DY141" s="1594"/>
      <c r="DZ141" s="1594"/>
      <c r="EA141" s="1594"/>
      <c r="EB141" s="890"/>
      <c r="EC141" s="538"/>
      <c r="ED141" s="890"/>
      <c r="EE141" s="1594"/>
      <c r="EF141" s="1594"/>
      <c r="EG141" s="1594"/>
      <c r="EH141" s="1594"/>
      <c r="EI141" s="1594"/>
      <c r="EJ141" s="1594"/>
      <c r="EK141" s="1594"/>
      <c r="EL141" s="1594"/>
      <c r="EM141" s="1594"/>
    </row>
    <row r="142" spans="1:143" ht="97.5" thickTop="1" thickBot="1" x14ac:dyDescent="0.3">
      <c r="A142" s="345" t="str">
        <f>CONCATENATE('3 pr-2'!A142)</f>
        <v>2.1.2.3.1</v>
      </c>
      <c r="B142" s="345" t="str">
        <f>CONCATENATE('3 pr-2'!B142)</f>
        <v>R01-6615-475000-2231</v>
      </c>
      <c r="C142" s="1321" t="str">
        <f>CONCATENATE('ketv. 2'!B141)</f>
        <v>08.4.2-ESFA-R-615-11-0004</v>
      </c>
      <c r="D142" s="312" t="str">
        <f>CONCATENATE('3 pr-2'!D142)</f>
        <v>Priemonių gerinančių ambulatorinių sveikatos priežiūros paslaugų prieinamumą tuberkulioze sergantiems asmenims, Alytaus rajone įgyvendinimas</v>
      </c>
      <c r="E142" s="312" t="str">
        <f>CONCATENATE('3 pr-2'!E142)</f>
        <v>VšĮ Alytaus rajono savivaldybės pirminės sveikatos priežiūros centras</v>
      </c>
      <c r="F142" s="312" t="str">
        <f>CONCATENATE('3 pr-2'!F142)</f>
        <v>Lietuvos Respublikos Sveikatos apsaugos ministerija</v>
      </c>
      <c r="G142" s="312" t="str">
        <f>CONCATENATE('3 pr-2'!G142)</f>
        <v>Alytaus r. sav.</v>
      </c>
      <c r="H142" s="345" t="str">
        <f>CONCATENATE('3 pr-2'!H142)</f>
        <v>08.4.2-ESFA-R-615</v>
      </c>
      <c r="I142" s="345" t="str">
        <f>CONCATENATE('3 pr-2'!I142)</f>
        <v>R</v>
      </c>
      <c r="J142" s="345" t="str">
        <f>CONCATENATE('3 pr-2'!J142)</f>
        <v>-</v>
      </c>
      <c r="K142" s="345" t="str">
        <f>CONCATENATE('3 pr-2'!K142)</f>
        <v>-</v>
      </c>
      <c r="L142" s="345" t="s">
        <v>1211</v>
      </c>
      <c r="M142" s="537" t="s">
        <v>1212</v>
      </c>
      <c r="N142" s="334"/>
      <c r="O142" s="334"/>
      <c r="P142" s="334"/>
      <c r="Q142" s="334"/>
      <c r="R142" s="334"/>
      <c r="S142" s="334"/>
      <c r="T142" s="334"/>
      <c r="U142" s="1312">
        <f t="shared" si="584"/>
        <v>0</v>
      </c>
      <c r="V142" s="890">
        <v>34</v>
      </c>
      <c r="W142" s="1578" t="str">
        <f ca="1">IF('ketv. 6 '!L141&gt;0,"taip","nėra")</f>
        <v>taip</v>
      </c>
      <c r="X142" s="1579"/>
      <c r="Y142" s="1579">
        <f>IF(YEAR('3 pr-2'!$AK142)=2017,$V142,0)</f>
        <v>0</v>
      </c>
      <c r="Z142" s="1579">
        <f>IF(YEAR('3 pr-2'!$AK142)=2018,$V142,0)</f>
        <v>0</v>
      </c>
      <c r="AA142" s="1579">
        <f>IF(YEAR('3 pr-2'!$AK142)=2019,$V142,0)</f>
        <v>0</v>
      </c>
      <c r="AB142" s="1579">
        <f>IF(YEAR('3 pr-2'!$AK142)=2020,$V142,0)</f>
        <v>0</v>
      </c>
      <c r="AC142" s="1579">
        <f>IF(YEAR('3 pr-2'!$AK142)=2021,$V142,0)</f>
        <v>0</v>
      </c>
      <c r="AD142" s="1579">
        <f>IF(YEAR('3 pr-2'!$AK142)=2022,$V142,0)</f>
        <v>34</v>
      </c>
      <c r="AE142" s="1579">
        <f>IF(YEAR('3 pr-2'!$AK142)=2023,$V142,0)</f>
        <v>0</v>
      </c>
      <c r="AF142" s="350"/>
      <c r="AG142" s="537"/>
      <c r="AH142" s="345"/>
      <c r="AI142" s="345"/>
      <c r="AJ142" s="345"/>
      <c r="AK142" s="345"/>
      <c r="AL142" s="345"/>
      <c r="AM142" s="345"/>
      <c r="AN142" s="345"/>
      <c r="AO142" s="895"/>
      <c r="AP142" s="345"/>
      <c r="AQ142" s="1597"/>
      <c r="AR142" s="1579"/>
      <c r="AS142" s="1579"/>
      <c r="AT142" s="1579">
        <f>SUM(AP142/2)</f>
        <v>0</v>
      </c>
      <c r="AU142" s="1579">
        <f>SUM(AP142/2)</f>
        <v>0</v>
      </c>
      <c r="AV142" s="1579"/>
      <c r="AW142" s="1579"/>
      <c r="AX142" s="1579"/>
      <c r="AY142" s="1579"/>
      <c r="AZ142" s="345"/>
      <c r="BA142" s="536"/>
      <c r="BB142" s="345"/>
      <c r="BC142" s="345"/>
      <c r="BD142" s="345"/>
      <c r="BE142" s="345"/>
      <c r="BF142" s="345"/>
      <c r="BG142" s="345"/>
      <c r="BH142" s="345"/>
      <c r="BI142" s="895">
        <f t="shared" ref="BI142" si="590">SUM(BB142:BH142)</f>
        <v>0</v>
      </c>
      <c r="BJ142" s="345"/>
      <c r="BK142" s="1597"/>
      <c r="BL142" s="1579"/>
      <c r="BM142" s="1579"/>
      <c r="BN142" s="1579"/>
      <c r="BO142" s="1579"/>
      <c r="BP142" s="1579"/>
      <c r="BQ142" s="1579"/>
      <c r="BR142" s="1579"/>
      <c r="BS142" s="1579"/>
      <c r="BT142" s="350"/>
      <c r="BU142" s="537"/>
      <c r="BV142" s="345"/>
      <c r="BW142" s="345"/>
      <c r="BX142" s="345"/>
      <c r="BY142" s="345"/>
      <c r="BZ142" s="345"/>
      <c r="CA142" s="345"/>
      <c r="CB142" s="345"/>
      <c r="CC142" s="895">
        <f t="shared" ref="CC142:CC146" si="591">SUM(BV142:CB142)</f>
        <v>0</v>
      </c>
      <c r="CD142" s="345"/>
      <c r="CE142" s="1579"/>
      <c r="CF142" s="1579"/>
      <c r="CG142" s="1579">
        <f>IF(YEAR('3 pr-2'!$AK142)=2017,$CD142,0)</f>
        <v>0</v>
      </c>
      <c r="CH142" s="1579">
        <f>IF(YEAR('3 pr-2'!$AK142)=2018,$CD142,0)</f>
        <v>0</v>
      </c>
      <c r="CI142" s="1579">
        <f>IF(YEAR('3 pr-2'!$AK142)=2019,$CD142,0)</f>
        <v>0</v>
      </c>
      <c r="CJ142" s="1579">
        <f>IF(YEAR('3 pr-2'!$AK142)=2020,$CD142,0)</f>
        <v>0</v>
      </c>
      <c r="CK142" s="1579">
        <f>IF(YEAR('3 pr-2'!$AK142)=2021,$CD142,0)</f>
        <v>0</v>
      </c>
      <c r="CL142" s="1579">
        <f>IF(YEAR('3 pr-2'!$AK142)=2022,$CD142,0)</f>
        <v>0</v>
      </c>
      <c r="CM142" s="1579">
        <f>IF(YEAR('3 pr-2'!$AK142)=2023,$CD142,0)</f>
        <v>0</v>
      </c>
      <c r="CN142" s="350"/>
      <c r="CO142" s="538"/>
      <c r="CP142" s="345"/>
      <c r="CQ142" s="345"/>
      <c r="CR142" s="345"/>
      <c r="CS142" s="345"/>
      <c r="CT142" s="345"/>
      <c r="CU142" s="345"/>
      <c r="CV142" s="345"/>
      <c r="CW142" s="895">
        <f t="shared" si="589"/>
        <v>0</v>
      </c>
      <c r="CX142" s="351"/>
      <c r="CY142" s="1605"/>
      <c r="CZ142" s="1605"/>
      <c r="DA142" s="1594">
        <f>IF(YEAR('3 pr-2'!AK142)=2017,CX142,0)</f>
        <v>0</v>
      </c>
      <c r="DB142" s="1594">
        <f>IF(YEAR('3 pr-2'!AK142)=2018,CX142,0)</f>
        <v>0</v>
      </c>
      <c r="DC142" s="1594">
        <f>IF(YEAR('3 pr-2'!AK142)=2019,CX142,0)</f>
        <v>0</v>
      </c>
      <c r="DD142" s="1594">
        <f>IF(YEAR('3 pr-2'!AK142)=2020,CX142,0)</f>
        <v>0</v>
      </c>
      <c r="DE142" s="1594">
        <f>IF(YEAR('3 pr-2'!AK142)=2021,CX142,0)</f>
        <v>0</v>
      </c>
      <c r="DF142" s="1594">
        <f>IF(YEAR('3 pr-2'!AK142)=2022,CX142,0)</f>
        <v>0</v>
      </c>
      <c r="DG142" s="1594">
        <f>IF(YEAR('3 pr-2'!AK142)=2023,CX142,0)</f>
        <v>0</v>
      </c>
      <c r="DH142" s="350"/>
      <c r="DI142" s="538"/>
      <c r="DJ142" s="345"/>
      <c r="DK142" s="345"/>
      <c r="DL142" s="345"/>
      <c r="DM142" s="345"/>
      <c r="DN142" s="345"/>
      <c r="DO142" s="345"/>
      <c r="DP142" s="345"/>
      <c r="DQ142" s="895"/>
      <c r="DR142" s="351"/>
      <c r="DS142" s="1605"/>
      <c r="DT142" s="1605"/>
      <c r="DU142" s="1594"/>
      <c r="DV142" s="1594"/>
      <c r="DW142" s="1594"/>
      <c r="DX142" s="1594"/>
      <c r="DY142" s="1594"/>
      <c r="DZ142" s="1594"/>
      <c r="EA142" s="1594"/>
      <c r="EB142" s="350"/>
      <c r="EC142" s="538"/>
      <c r="ED142" s="333"/>
      <c r="EE142" s="1605"/>
      <c r="EF142" s="1605"/>
      <c r="EG142" s="1594">
        <f>IF(YEAR('3 pr-2'!BP142)=2017,ED142,0)</f>
        <v>0</v>
      </c>
      <c r="EH142" s="1594">
        <f>IF(YEAR('3 pr-2'!BP142)=2018,ED142,0)</f>
        <v>0</v>
      </c>
      <c r="EI142" s="1594">
        <f>IF(YEAR('3 pr-2'!BP142)=2019,ED142,0)</f>
        <v>0</v>
      </c>
      <c r="EJ142" s="1594">
        <f>IF(YEAR('3 pr-2'!BP142)=2020,ED142,0)</f>
        <v>0</v>
      </c>
      <c r="EK142" s="1594">
        <f>IF(YEAR('3 pr-2'!BP142)=2021,ED142,0)</f>
        <v>0</v>
      </c>
      <c r="EL142" s="1594">
        <f>IF(YEAR('3 pr-2'!BP142)=2022,ED142,0)</f>
        <v>0</v>
      </c>
      <c r="EM142" s="1594">
        <f>IF(YEAR('3 pr-2'!BP142)=2023,ED142,0)</f>
        <v>0</v>
      </c>
    </row>
    <row r="143" spans="1:143" ht="75" thickTop="1" thickBot="1" x14ac:dyDescent="0.3">
      <c r="A143" s="345" t="str">
        <f>CONCATENATE('3 pr-2'!A143)</f>
        <v>2.1.2.3.2</v>
      </c>
      <c r="B143" s="345" t="str">
        <f>CONCATENATE('3 pr-2'!B143)</f>
        <v>R01-6615-470000-2232</v>
      </c>
      <c r="C143" s="1321" t="str">
        <f>CONCATENATE('ketv. 2'!B142)</f>
        <v>08.4.2-ESFA-R-615-11-0005</v>
      </c>
      <c r="D143" s="312" t="str">
        <f>CONCATENATE('3 pr-2'!D143)</f>
        <v>Ambulatorinių sveikatos priežiūros paslaugų gerinimas tuberkulioze sergantiems asmenims</v>
      </c>
      <c r="E143" s="312" t="str">
        <f>CONCATENATE('3 pr-2'!E143)</f>
        <v>Alytaus miesto savivaldybės administracija</v>
      </c>
      <c r="F143" s="312" t="str">
        <f>CONCATENATE('3 pr-2'!F143)</f>
        <v>Lietuvos Respublikos Sveikatos apsaugos ministerija</v>
      </c>
      <c r="G143" s="312" t="str">
        <f>CONCATENATE('3 pr-2'!G143)</f>
        <v>Alytaus m. sav.</v>
      </c>
      <c r="H143" s="345" t="str">
        <f>CONCATENATE('3 pr-2'!H143)</f>
        <v>08.4.2-ESFA-R-615</v>
      </c>
      <c r="I143" s="345" t="str">
        <f>CONCATENATE('3 pr-2'!I143)</f>
        <v>R</v>
      </c>
      <c r="J143" s="345" t="str">
        <f>CONCATENATE('3 pr-2'!J143)</f>
        <v>-</v>
      </c>
      <c r="K143" s="345" t="str">
        <f>CONCATENATE('3 pr-2'!K143)</f>
        <v>-</v>
      </c>
      <c r="L143" s="334" t="s">
        <v>1211</v>
      </c>
      <c r="M143" s="537" t="s">
        <v>1212</v>
      </c>
      <c r="N143" s="334"/>
      <c r="O143" s="334"/>
      <c r="P143" s="334"/>
      <c r="Q143" s="334"/>
      <c r="R143" s="334"/>
      <c r="S143" s="334"/>
      <c r="T143" s="334"/>
      <c r="U143" s="1312">
        <f t="shared" si="584"/>
        <v>0</v>
      </c>
      <c r="V143" s="912">
        <v>50</v>
      </c>
      <c r="W143" s="1578">
        <v>50</v>
      </c>
      <c r="X143" s="1579">
        <f t="shared" si="579"/>
        <v>0</v>
      </c>
      <c r="Y143" s="1579">
        <f>IF(YEAR('3 pr-2'!$AK143)=2017,$V143,0)</f>
        <v>0</v>
      </c>
      <c r="Z143" s="1579">
        <f>IF(YEAR('3 pr-2'!$AK143)=2018,$V143,0)</f>
        <v>0</v>
      </c>
      <c r="AA143" s="1579">
        <f>IF(YEAR('3 pr-2'!$AK143)=2019,$V143,0)</f>
        <v>0</v>
      </c>
      <c r="AB143" s="1579">
        <f>IF(YEAR('3 pr-2'!$AK143)=2020,$V143,0)</f>
        <v>0</v>
      </c>
      <c r="AC143" s="1579">
        <f>IF(YEAR('3 pr-2'!$AK143)=2021,$V143,0)</f>
        <v>50</v>
      </c>
      <c r="AD143" s="1579">
        <f>IF(YEAR('3 pr-2'!$AK143)=2022,$V143,0)</f>
        <v>0</v>
      </c>
      <c r="AE143" s="1579">
        <f>IF(YEAR('3 pr-2'!$AK143)=2023,$V143,0)</f>
        <v>0</v>
      </c>
      <c r="AF143" s="350"/>
      <c r="AG143" s="537"/>
      <c r="AH143" s="345"/>
      <c r="AI143" s="345"/>
      <c r="AJ143" s="345"/>
      <c r="AK143" s="345"/>
      <c r="AL143" s="345"/>
      <c r="AM143" s="345"/>
      <c r="AN143" s="345"/>
      <c r="AO143" s="895">
        <f t="shared" ref="AO143:AO146" si="592">SUM(AH143:AN143)</f>
        <v>0</v>
      </c>
      <c r="AP143" s="345"/>
      <c r="AQ143" s="1597"/>
      <c r="AR143" s="1579"/>
      <c r="AS143" s="1579"/>
      <c r="AT143" s="1579"/>
      <c r="AU143" s="1579"/>
      <c r="AV143" s="1579"/>
      <c r="AW143" s="1579"/>
      <c r="AX143" s="1579"/>
      <c r="AY143" s="1579"/>
      <c r="AZ143" s="345"/>
      <c r="BA143" s="536"/>
      <c r="BB143" s="345"/>
      <c r="BC143" s="345"/>
      <c r="BD143" s="345"/>
      <c r="BE143" s="345"/>
      <c r="BF143" s="345"/>
      <c r="BG143" s="345"/>
      <c r="BH143" s="345"/>
      <c r="BI143" s="895"/>
      <c r="BJ143" s="345"/>
      <c r="BK143" s="1597"/>
      <c r="BL143" s="1579"/>
      <c r="BM143" s="1579"/>
      <c r="BN143" s="1579">
        <v>0</v>
      </c>
      <c r="BO143" s="1579">
        <v>2</v>
      </c>
      <c r="BP143" s="1579"/>
      <c r="BQ143" s="1579"/>
      <c r="BR143" s="1579"/>
      <c r="BS143" s="1579"/>
      <c r="BT143" s="350"/>
      <c r="BU143" s="537"/>
      <c r="BV143" s="345"/>
      <c r="BW143" s="345"/>
      <c r="BX143" s="345"/>
      <c r="BY143" s="345"/>
      <c r="BZ143" s="345"/>
      <c r="CA143" s="345"/>
      <c r="CB143" s="345"/>
      <c r="CC143" s="895">
        <f t="shared" si="591"/>
        <v>0</v>
      </c>
      <c r="CD143" s="345"/>
      <c r="CE143" s="1579"/>
      <c r="CF143" s="1579"/>
      <c r="CG143" s="1579">
        <f>IF(YEAR('3 pr-2'!$AK143)=2017,$CD143,0)</f>
        <v>0</v>
      </c>
      <c r="CH143" s="1579">
        <f>IF(YEAR('3 pr-2'!$AK143)=2018,$CD143,0)</f>
        <v>0</v>
      </c>
      <c r="CI143" s="1579">
        <f>IF(YEAR('3 pr-2'!$AK143)=2019,$CD143,0)</f>
        <v>0</v>
      </c>
      <c r="CJ143" s="1579">
        <f>IF(YEAR('3 pr-2'!$AK143)=2020,$CD143,0)</f>
        <v>0</v>
      </c>
      <c r="CK143" s="1579">
        <f>IF(YEAR('3 pr-2'!$AK143)=2021,$CD143,0)</f>
        <v>0</v>
      </c>
      <c r="CL143" s="1579">
        <f>IF(YEAR('3 pr-2'!$AK143)=2022,$CD143,0)</f>
        <v>0</v>
      </c>
      <c r="CM143" s="1579">
        <f>IF(YEAR('3 pr-2'!$AK143)=2023,$CD143,0)</f>
        <v>0</v>
      </c>
      <c r="CN143" s="350"/>
      <c r="CO143" s="538"/>
      <c r="CP143" s="345"/>
      <c r="CQ143" s="345"/>
      <c r="CR143" s="345"/>
      <c r="CS143" s="345"/>
      <c r="CT143" s="345"/>
      <c r="CU143" s="345"/>
      <c r="CV143" s="345"/>
      <c r="CW143" s="895">
        <f t="shared" si="589"/>
        <v>0</v>
      </c>
      <c r="CX143" s="351"/>
      <c r="CY143" s="1605"/>
      <c r="CZ143" s="1605"/>
      <c r="DA143" s="1594">
        <f>IF(YEAR('3 pr-2'!AK143)=2017,CX143,0)</f>
        <v>0</v>
      </c>
      <c r="DB143" s="1594">
        <f>IF(YEAR('3 pr-2'!AK143)=2018,CX143,0)</f>
        <v>0</v>
      </c>
      <c r="DC143" s="1594">
        <f>IF(YEAR('3 pr-2'!AK143)=2019,CX143,0)</f>
        <v>0</v>
      </c>
      <c r="DD143" s="1594">
        <f>IF(YEAR('3 pr-2'!AK143)=2020,CX143,0)</f>
        <v>0</v>
      </c>
      <c r="DE143" s="1594">
        <f>IF(YEAR('3 pr-2'!AK143)=2021,CX143,0)</f>
        <v>0</v>
      </c>
      <c r="DF143" s="1594">
        <f>IF(YEAR('3 pr-2'!AK143)=2022,CX143,0)</f>
        <v>0</v>
      </c>
      <c r="DG143" s="1594">
        <f>IF(YEAR('3 pr-2'!AK143)=2023,CX143,0)</f>
        <v>0</v>
      </c>
      <c r="DH143" s="350"/>
      <c r="DI143" s="538"/>
      <c r="DJ143" s="345"/>
      <c r="DK143" s="345"/>
      <c r="DL143" s="345"/>
      <c r="DM143" s="345"/>
      <c r="DN143" s="345"/>
      <c r="DO143" s="345"/>
      <c r="DP143" s="345"/>
      <c r="DQ143" s="895"/>
      <c r="DR143" s="351"/>
      <c r="DS143" s="1605"/>
      <c r="DT143" s="1605"/>
      <c r="DU143" s="1594"/>
      <c r="DV143" s="1594"/>
      <c r="DW143" s="1594"/>
      <c r="DX143" s="1594"/>
      <c r="DY143" s="1594"/>
      <c r="DZ143" s="1594"/>
      <c r="EA143" s="1594"/>
      <c r="EB143" s="350"/>
      <c r="EC143" s="538"/>
      <c r="ED143" s="333"/>
      <c r="EE143" s="1605"/>
      <c r="EF143" s="1605"/>
      <c r="EG143" s="1594">
        <f>IF(YEAR('3 pr-2'!BP143)=2017,ED143,0)</f>
        <v>0</v>
      </c>
      <c r="EH143" s="1594">
        <f>IF(YEAR('3 pr-2'!BP143)=2018,ED143,0)</f>
        <v>0</v>
      </c>
      <c r="EI143" s="1594">
        <f>IF(YEAR('3 pr-2'!BP143)=2019,ED143,0)</f>
        <v>0</v>
      </c>
      <c r="EJ143" s="1594">
        <f>IF(YEAR('3 pr-2'!BP143)=2020,ED143,0)</f>
        <v>0</v>
      </c>
      <c r="EK143" s="1594">
        <f>IF(YEAR('3 pr-2'!BP143)=2021,ED143,0)</f>
        <v>0</v>
      </c>
      <c r="EL143" s="1594">
        <f>IF(YEAR('3 pr-2'!BP143)=2022,ED143,0)</f>
        <v>0</v>
      </c>
      <c r="EM143" s="1594">
        <f>IF(YEAR('3 pr-2'!BP143)=2023,ED143,0)</f>
        <v>0</v>
      </c>
    </row>
    <row r="144" spans="1:143" ht="75" thickTop="1" thickBot="1" x14ac:dyDescent="0.3">
      <c r="A144" s="345" t="str">
        <f>CONCATENATE('3 pr-2'!A144)</f>
        <v>2.1.2.3.3</v>
      </c>
      <c r="B144" s="345" t="str">
        <f>CONCATENATE('3 pr-2'!B144)</f>
        <v>R01-6615-470000-2233</v>
      </c>
      <c r="C144" s="1321" t="str">
        <f>CONCATENATE('ketv. 2'!B143)</f>
        <v>08.4.2-ESFA-R-615-11-0001</v>
      </c>
      <c r="D144" s="312" t="str">
        <f>CONCATENATE('3 pr-2'!D144)</f>
        <v xml:space="preserve">Paslaugų tuberkulioze sergantiems asmenims gerinimas Lazdijų rajono savivaldybėje </v>
      </c>
      <c r="E144" s="312" t="str">
        <f>CONCATENATE('3 pr-2'!E144)</f>
        <v>Lazdijų rajono savivaldybės administracija</v>
      </c>
      <c r="F144" s="312" t="str">
        <f>CONCATENATE('3 pr-2'!F144)</f>
        <v>Lietuvos Respublikos Sveikatos apsaugos ministerija</v>
      </c>
      <c r="G144" s="312" t="str">
        <f>CONCATENATE('3 pr-2'!G144)</f>
        <v>Lazdijų r. sav.</v>
      </c>
      <c r="H144" s="345" t="str">
        <f>CONCATENATE('3 pr-2'!H144)</f>
        <v>08.4.2-ESFA-R-615</v>
      </c>
      <c r="I144" s="345" t="str">
        <f>CONCATENATE('3 pr-2'!I144)</f>
        <v>R</v>
      </c>
      <c r="J144" s="345" t="str">
        <f>CONCATENATE('3 pr-2'!J144)</f>
        <v>-</v>
      </c>
      <c r="K144" s="345" t="str">
        <f>CONCATENATE('3 pr-2'!K144)</f>
        <v>-</v>
      </c>
      <c r="L144" s="334" t="s">
        <v>1211</v>
      </c>
      <c r="M144" s="537" t="s">
        <v>1212</v>
      </c>
      <c r="N144" s="334"/>
      <c r="O144" s="334"/>
      <c r="P144" s="334"/>
      <c r="Q144" s="334"/>
      <c r="R144" s="334"/>
      <c r="S144" s="334"/>
      <c r="T144" s="334"/>
      <c r="U144" s="1312">
        <f t="shared" si="584"/>
        <v>0</v>
      </c>
      <c r="V144" s="912">
        <v>42</v>
      </c>
      <c r="W144" s="1578">
        <v>42</v>
      </c>
      <c r="X144" s="1579">
        <f t="shared" si="579"/>
        <v>0</v>
      </c>
      <c r="Y144" s="1579">
        <f>IF(YEAR('3 pr-2'!$AK144)=2017,$V144,0)</f>
        <v>0</v>
      </c>
      <c r="Z144" s="1579">
        <f>IF(YEAR('3 pr-2'!$AK144)=2018,$V144,0)</f>
        <v>0</v>
      </c>
      <c r="AA144" s="1579">
        <f>IF(YEAR('3 pr-2'!$AK144)=2019,$V144,0)</f>
        <v>0</v>
      </c>
      <c r="AB144" s="1579">
        <f>IF(YEAR('3 pr-2'!$AK144)=2020,$V144,0)</f>
        <v>0</v>
      </c>
      <c r="AC144" s="1579">
        <f>IF(YEAR('3 pr-2'!$AK144)=2021,$V144,0)</f>
        <v>42</v>
      </c>
      <c r="AD144" s="1579">
        <f>IF(YEAR('3 pr-2'!$AK144)=2022,$V144,0)</f>
        <v>0</v>
      </c>
      <c r="AE144" s="1579">
        <f>IF(YEAR('3 pr-2'!$AK144)=2023,$V144,0)</f>
        <v>0</v>
      </c>
      <c r="AF144" s="350"/>
      <c r="AG144" s="537"/>
      <c r="AH144" s="345"/>
      <c r="AI144" s="345"/>
      <c r="AJ144" s="345"/>
      <c r="AK144" s="345"/>
      <c r="AL144" s="345"/>
      <c r="AM144" s="345"/>
      <c r="AN144" s="345"/>
      <c r="AO144" s="895"/>
      <c r="AP144" s="345"/>
      <c r="AQ144" s="1597"/>
      <c r="AR144" s="1579"/>
      <c r="AS144" s="1579"/>
      <c r="AT144" s="1579"/>
      <c r="AU144" s="1579"/>
      <c r="AV144" s="1579"/>
      <c r="AW144" s="1579"/>
      <c r="AX144" s="1579"/>
      <c r="AY144" s="1579"/>
      <c r="AZ144" s="345"/>
      <c r="BA144" s="536"/>
      <c r="BB144" s="345"/>
      <c r="BC144" s="345"/>
      <c r="BD144" s="345"/>
      <c r="BE144" s="345"/>
      <c r="BF144" s="345"/>
      <c r="BG144" s="345"/>
      <c r="BH144" s="345"/>
      <c r="BI144" s="895">
        <f t="shared" ref="BI144:BI146" si="593">SUM(BB144:BH144)</f>
        <v>0</v>
      </c>
      <c r="BJ144" s="345"/>
      <c r="BK144" s="1597"/>
      <c r="BL144" s="1579"/>
      <c r="BM144" s="1579"/>
      <c r="BN144" s="1579"/>
      <c r="BO144" s="1579"/>
      <c r="BP144" s="1579"/>
      <c r="BQ144" s="1579"/>
      <c r="BR144" s="1579"/>
      <c r="BS144" s="1579"/>
      <c r="BT144" s="350"/>
      <c r="BU144" s="537"/>
      <c r="BV144" s="345"/>
      <c r="BW144" s="345"/>
      <c r="BX144" s="345"/>
      <c r="BY144" s="345"/>
      <c r="BZ144" s="345"/>
      <c r="CA144" s="345"/>
      <c r="CB144" s="345"/>
      <c r="CC144" s="895">
        <f t="shared" si="591"/>
        <v>0</v>
      </c>
      <c r="CD144" s="345"/>
      <c r="CE144" s="1579"/>
      <c r="CF144" s="1579"/>
      <c r="CG144" s="1579">
        <f>IF(YEAR('3 pr-2'!$AK144)=2017,$CD144,0)</f>
        <v>0</v>
      </c>
      <c r="CH144" s="1579">
        <f>IF(YEAR('3 pr-2'!$AK144)=2018,$CD144,0)</f>
        <v>0</v>
      </c>
      <c r="CI144" s="1579">
        <f>IF(YEAR('3 pr-2'!$AK144)=2019,$CD144,0)</f>
        <v>0</v>
      </c>
      <c r="CJ144" s="1579">
        <f>IF(YEAR('3 pr-2'!$AK144)=2020,$CD144,0)</f>
        <v>0</v>
      </c>
      <c r="CK144" s="1579">
        <f>IF(YEAR('3 pr-2'!$AK144)=2021,$CD144,0)</f>
        <v>0</v>
      </c>
      <c r="CL144" s="1579">
        <f>IF(YEAR('3 pr-2'!$AK144)=2022,$CD144,0)</f>
        <v>0</v>
      </c>
      <c r="CM144" s="1579">
        <f>IF(YEAR('3 pr-2'!$AK144)=2023,$CD144,0)</f>
        <v>0</v>
      </c>
      <c r="CN144" s="350"/>
      <c r="CO144" s="538"/>
      <c r="CP144" s="345"/>
      <c r="CQ144" s="345"/>
      <c r="CR144" s="345"/>
      <c r="CS144" s="345"/>
      <c r="CT144" s="345"/>
      <c r="CU144" s="345"/>
      <c r="CV144" s="345"/>
      <c r="CW144" s="895">
        <f t="shared" si="589"/>
        <v>0</v>
      </c>
      <c r="CX144" s="351"/>
      <c r="CY144" s="1605"/>
      <c r="CZ144" s="1605"/>
      <c r="DA144" s="1594">
        <f>IF(YEAR('3 pr-2'!AK144)=2017,CX144,0)</f>
        <v>0</v>
      </c>
      <c r="DB144" s="1594">
        <f>IF(YEAR('3 pr-2'!AK144)=2018,CX144,0)</f>
        <v>0</v>
      </c>
      <c r="DC144" s="1594">
        <f>IF(YEAR('3 pr-2'!AK144)=2019,CX144,0)</f>
        <v>0</v>
      </c>
      <c r="DD144" s="1594">
        <f>IF(YEAR('3 pr-2'!AK144)=2020,CX144,0)</f>
        <v>0</v>
      </c>
      <c r="DE144" s="1594">
        <f>IF(YEAR('3 pr-2'!AK144)=2021,CX144,0)</f>
        <v>0</v>
      </c>
      <c r="DF144" s="1594">
        <f>IF(YEAR('3 pr-2'!AK144)=2022,CX144,0)</f>
        <v>0</v>
      </c>
      <c r="DG144" s="1594">
        <f>IF(YEAR('3 pr-2'!AK144)=2023,CX144,0)</f>
        <v>0</v>
      </c>
      <c r="DH144" s="350"/>
      <c r="DI144" s="538"/>
      <c r="DJ144" s="345"/>
      <c r="DK144" s="345"/>
      <c r="DL144" s="345"/>
      <c r="DM144" s="345"/>
      <c r="DN144" s="345"/>
      <c r="DO144" s="345"/>
      <c r="DP144" s="345"/>
      <c r="DQ144" s="895"/>
      <c r="DR144" s="351"/>
      <c r="DS144" s="1605"/>
      <c r="DT144" s="1605"/>
      <c r="DU144" s="1594"/>
      <c r="DV144" s="1594"/>
      <c r="DW144" s="1594"/>
      <c r="DX144" s="1594"/>
      <c r="DY144" s="1594"/>
      <c r="DZ144" s="1594"/>
      <c r="EA144" s="1594"/>
      <c r="EB144" s="350"/>
      <c r="EC144" s="538"/>
      <c r="ED144" s="333"/>
      <c r="EE144" s="1605"/>
      <c r="EF144" s="1605"/>
      <c r="EG144" s="1594">
        <f>IF(YEAR('3 pr-2'!BP144)=2017,ED144,0)</f>
        <v>0</v>
      </c>
      <c r="EH144" s="1594">
        <f>IF(YEAR('3 pr-2'!BP144)=2018,ED144,0)</f>
        <v>0</v>
      </c>
      <c r="EI144" s="1594">
        <f>IF(YEAR('3 pr-2'!BP144)=2019,ED144,0)</f>
        <v>0</v>
      </c>
      <c r="EJ144" s="1594">
        <f>IF(YEAR('3 pr-2'!BP144)=2020,ED144,0)</f>
        <v>0</v>
      </c>
      <c r="EK144" s="1594">
        <f>IF(YEAR('3 pr-2'!BP144)=2021,ED144,0)</f>
        <v>0</v>
      </c>
      <c r="EL144" s="1594">
        <f>IF(YEAR('3 pr-2'!BP144)=2022,ED144,0)</f>
        <v>0</v>
      </c>
      <c r="EM144" s="1594">
        <f>IF(YEAR('3 pr-2'!BP144)=2023,ED144,0)</f>
        <v>0</v>
      </c>
    </row>
    <row r="145" spans="1:143" ht="85.5" thickTop="1" thickBot="1" x14ac:dyDescent="0.3">
      <c r="A145" s="345" t="str">
        <f>CONCATENATE('3 pr-2'!A145)</f>
        <v>2.1.2.3.4</v>
      </c>
      <c r="B145" s="345" t="str">
        <f>CONCATENATE('3 pr-2'!B145)</f>
        <v>R01-6615-470000-2234</v>
      </c>
      <c r="C145" s="1321" t="str">
        <f>CONCATENATE('ketv. 2'!B144)</f>
        <v>08.4.2-ESFA-R-615-11-0002</v>
      </c>
      <c r="D145" s="312" t="str">
        <f>CONCATENATE('3 pr-2'!D145)</f>
        <v>Ambulatorinių sveikatos priežiūros paslaugų tuberkulioze sergantiems asmenims prieinamumo gerinimas Druskininkų savivaldybėje</v>
      </c>
      <c r="E145" s="312" t="str">
        <f>CONCATENATE('3 pr-2'!E145)</f>
        <v>Druskininkų pirminės sveikatos priežiūros centras</v>
      </c>
      <c r="F145" s="312" t="str">
        <f>CONCATENATE('3 pr-2'!F145)</f>
        <v>Lietuvos Respublikos Sveikatos apsaugos ministerija</v>
      </c>
      <c r="G145" s="312" t="str">
        <f>CONCATENATE('3 pr-2'!G145)</f>
        <v>Druskininkų sav.</v>
      </c>
      <c r="H145" s="345" t="str">
        <f>CONCATENATE('3 pr-2'!H145)</f>
        <v>08.4.2-ESFA-R-615</v>
      </c>
      <c r="I145" s="345" t="str">
        <f>CONCATENATE('3 pr-2'!I145)</f>
        <v>R</v>
      </c>
      <c r="J145" s="345" t="str">
        <f>CONCATENATE('3 pr-2'!J145)</f>
        <v>-</v>
      </c>
      <c r="K145" s="345" t="str">
        <f>CONCATENATE('3 pr-2'!K145)</f>
        <v>-</v>
      </c>
      <c r="L145" s="334" t="s">
        <v>1211</v>
      </c>
      <c r="M145" s="537" t="s">
        <v>1212</v>
      </c>
      <c r="N145" s="334"/>
      <c r="O145" s="334"/>
      <c r="P145" s="334"/>
      <c r="Q145" s="334"/>
      <c r="R145" s="334"/>
      <c r="S145" s="334"/>
      <c r="T145" s="334"/>
      <c r="U145" s="1312">
        <f t="shared" si="584"/>
        <v>0</v>
      </c>
      <c r="V145" s="912">
        <v>11</v>
      </c>
      <c r="W145" s="1578">
        <v>11</v>
      </c>
      <c r="X145" s="1579">
        <f t="shared" si="579"/>
        <v>0</v>
      </c>
      <c r="Y145" s="1579">
        <f>IF(YEAR('3 pr-2'!$AK145)=2017,$V145,0)</f>
        <v>0</v>
      </c>
      <c r="Z145" s="1579">
        <f>IF(YEAR('3 pr-2'!$AK145)=2018,$V145,0)</f>
        <v>0</v>
      </c>
      <c r="AA145" s="1579">
        <f>IF(YEAR('3 pr-2'!$AK145)=2019,$V145,0)</f>
        <v>0</v>
      </c>
      <c r="AB145" s="1579">
        <f>IF(YEAR('3 pr-2'!$AK145)=2020,$V145,0)</f>
        <v>0</v>
      </c>
      <c r="AC145" s="1579">
        <f>IF(YEAR('3 pr-2'!$AK145)=2021,$V145,0)</f>
        <v>11</v>
      </c>
      <c r="AD145" s="1579">
        <f>IF(YEAR('3 pr-2'!$AK145)=2022,$V145,0)</f>
        <v>0</v>
      </c>
      <c r="AE145" s="1579">
        <f>IF(YEAR('3 pr-2'!$AK145)=2023,$V145,0)</f>
        <v>0</v>
      </c>
      <c r="AF145" s="350"/>
      <c r="AG145" s="537"/>
      <c r="AH145" s="345"/>
      <c r="AI145" s="345"/>
      <c r="AJ145" s="345"/>
      <c r="AK145" s="345"/>
      <c r="AL145" s="345"/>
      <c r="AM145" s="345"/>
      <c r="AN145" s="345"/>
      <c r="AO145" s="895">
        <f t="shared" si="592"/>
        <v>0</v>
      </c>
      <c r="AP145" s="345"/>
      <c r="AQ145" s="1597"/>
      <c r="AR145" s="1579"/>
      <c r="AS145" s="1579"/>
      <c r="AT145" s="1579"/>
      <c r="AU145" s="1579"/>
      <c r="AV145" s="1579"/>
      <c r="AW145" s="1579"/>
      <c r="AX145" s="1579"/>
      <c r="AY145" s="1579"/>
      <c r="AZ145" s="345"/>
      <c r="BA145" s="536"/>
      <c r="BB145" s="345"/>
      <c r="BC145" s="345"/>
      <c r="BD145" s="345"/>
      <c r="BE145" s="345"/>
      <c r="BF145" s="345"/>
      <c r="BG145" s="345"/>
      <c r="BH145" s="345"/>
      <c r="BI145" s="895">
        <f t="shared" si="593"/>
        <v>0</v>
      </c>
      <c r="BJ145" s="345"/>
      <c r="BK145" s="1597"/>
      <c r="BL145" s="1579"/>
      <c r="BM145" s="1579"/>
      <c r="BN145" s="1579"/>
      <c r="BO145" s="1579"/>
      <c r="BP145" s="1579"/>
      <c r="BQ145" s="1579"/>
      <c r="BR145" s="1579"/>
      <c r="BS145" s="1579"/>
      <c r="BT145" s="350"/>
      <c r="BU145" s="537"/>
      <c r="BV145" s="345"/>
      <c r="BW145" s="345"/>
      <c r="BX145" s="345"/>
      <c r="BY145" s="345"/>
      <c r="BZ145" s="345"/>
      <c r="CA145" s="345"/>
      <c r="CB145" s="345"/>
      <c r="CC145" s="895">
        <f t="shared" si="591"/>
        <v>0</v>
      </c>
      <c r="CD145" s="345"/>
      <c r="CE145" s="1579"/>
      <c r="CF145" s="1579"/>
      <c r="CG145" s="1579">
        <f>IF(YEAR('3 pr-2'!$AK145)=2017,$CD145,0)</f>
        <v>0</v>
      </c>
      <c r="CH145" s="1579">
        <f>IF(YEAR('3 pr-2'!$AK145)=2018,$CD145,0)</f>
        <v>0</v>
      </c>
      <c r="CI145" s="1579">
        <f>IF(YEAR('3 pr-2'!$AK145)=2019,$CD145,0)</f>
        <v>0</v>
      </c>
      <c r="CJ145" s="1579">
        <f>IF(YEAR('3 pr-2'!$AK145)=2020,$CD145,0)</f>
        <v>0</v>
      </c>
      <c r="CK145" s="1579">
        <f>IF(YEAR('3 pr-2'!$AK145)=2021,$CD145,0)</f>
        <v>0</v>
      </c>
      <c r="CL145" s="1579">
        <f>IF(YEAR('3 pr-2'!$AK145)=2022,$CD145,0)</f>
        <v>0</v>
      </c>
      <c r="CM145" s="1579">
        <f>IF(YEAR('3 pr-2'!$AK145)=2023,$CD145,0)</f>
        <v>0</v>
      </c>
      <c r="CN145" s="350"/>
      <c r="CO145" s="538"/>
      <c r="CP145" s="345"/>
      <c r="CQ145" s="345"/>
      <c r="CR145" s="345"/>
      <c r="CS145" s="345"/>
      <c r="CT145" s="345"/>
      <c r="CU145" s="345"/>
      <c r="CV145" s="345"/>
      <c r="CW145" s="895">
        <f t="shared" si="589"/>
        <v>0</v>
      </c>
      <c r="CX145" s="351"/>
      <c r="CY145" s="1605"/>
      <c r="CZ145" s="1605"/>
      <c r="DA145" s="1594">
        <f>IF(YEAR('3 pr-2'!AK145)=2017,CX145,0)</f>
        <v>0</v>
      </c>
      <c r="DB145" s="1594">
        <f>IF(YEAR('3 pr-2'!AK145)=2018,CX145,0)</f>
        <v>0</v>
      </c>
      <c r="DC145" s="1594">
        <f>IF(YEAR('3 pr-2'!AK145)=2019,CX145,0)</f>
        <v>0</v>
      </c>
      <c r="DD145" s="1594">
        <f>IF(YEAR('3 pr-2'!AK145)=2020,CX145,0)</f>
        <v>0</v>
      </c>
      <c r="DE145" s="1594">
        <f>IF(YEAR('3 pr-2'!AK145)=2021,CX145,0)</f>
        <v>0</v>
      </c>
      <c r="DF145" s="1594">
        <f>IF(YEAR('3 pr-2'!AK145)=2022,CX145,0)</f>
        <v>0</v>
      </c>
      <c r="DG145" s="1594">
        <f>IF(YEAR('3 pr-2'!AK145)=2023,CX145,0)</f>
        <v>0</v>
      </c>
      <c r="DH145" s="350"/>
      <c r="DI145" s="538"/>
      <c r="DJ145" s="345"/>
      <c r="DK145" s="345"/>
      <c r="DL145" s="345"/>
      <c r="DM145" s="345"/>
      <c r="DN145" s="345"/>
      <c r="DO145" s="345"/>
      <c r="DP145" s="345"/>
      <c r="DQ145" s="895"/>
      <c r="DR145" s="351"/>
      <c r="DS145" s="1605"/>
      <c r="DT145" s="1605"/>
      <c r="DU145" s="1594"/>
      <c r="DV145" s="1594"/>
      <c r="DW145" s="1594"/>
      <c r="DX145" s="1594"/>
      <c r="DY145" s="1594"/>
      <c r="DZ145" s="1594"/>
      <c r="EA145" s="1594"/>
      <c r="EB145" s="350"/>
      <c r="EC145" s="538"/>
      <c r="ED145" s="333"/>
      <c r="EE145" s="1605"/>
      <c r="EF145" s="1605"/>
      <c r="EG145" s="1594">
        <f>IF(YEAR('3 pr-2'!BP145)=2017,ED145,0)</f>
        <v>0</v>
      </c>
      <c r="EH145" s="1594">
        <f>IF(YEAR('3 pr-2'!BP145)=2018,ED145,0)</f>
        <v>0</v>
      </c>
      <c r="EI145" s="1594">
        <f>IF(YEAR('3 pr-2'!BP145)=2019,ED145,0)</f>
        <v>0</v>
      </c>
      <c r="EJ145" s="1594">
        <f>IF(YEAR('3 pr-2'!BP145)=2020,ED145,0)</f>
        <v>0</v>
      </c>
      <c r="EK145" s="1594">
        <f>IF(YEAR('3 pr-2'!BP145)=2021,ED145,0)</f>
        <v>0</v>
      </c>
      <c r="EL145" s="1594">
        <f>IF(YEAR('3 pr-2'!BP145)=2022,ED145,0)</f>
        <v>0</v>
      </c>
      <c r="EM145" s="1594">
        <f>IF(YEAR('3 pr-2'!BP145)=2023,ED145,0)</f>
        <v>0</v>
      </c>
    </row>
    <row r="146" spans="1:143" ht="85.5" thickTop="1" thickBot="1" x14ac:dyDescent="0.3">
      <c r="A146" s="345" t="str">
        <f>CONCATENATE('3 pr-2'!A146)</f>
        <v>2.1.2.3.5</v>
      </c>
      <c r="B146" s="345" t="str">
        <f>CONCATENATE('3 pr-2'!B146)</f>
        <v>R01-6615-470000-2235</v>
      </c>
      <c r="C146" s="1321" t="str">
        <f>CONCATENATE('ketv. 2'!B145)</f>
        <v>08.4.2-ESFA-R-615-11-0003</v>
      </c>
      <c r="D146" s="312" t="str">
        <f>CONCATENATE('3 pr-2'!D146)</f>
        <v>Ambulatorinių sveikatos priežiūros paslaugų prieinamumo gerinimas tuberkulioze sergantiems asmenims Varėnos rajono savivaldybėje</v>
      </c>
      <c r="E146" s="312" t="str">
        <f>CONCATENATE('3 pr-2'!E146)</f>
        <v>Varėnos rajono savivaldybės administracija</v>
      </c>
      <c r="F146" s="312" t="str">
        <f>CONCATENATE('3 pr-2'!F146)</f>
        <v>Lietuvos Respublikos Sveikatos apsaugos ministerija</v>
      </c>
      <c r="G146" s="312" t="str">
        <f>CONCATENATE('3 pr-2'!G146)</f>
        <v>Varėnos r. sav.</v>
      </c>
      <c r="H146" s="345" t="str">
        <f>CONCATENATE('3 pr-2'!H146)</f>
        <v>08.4.2-ESFA-R-615</v>
      </c>
      <c r="I146" s="345" t="str">
        <f>CONCATENATE('3 pr-2'!I146)</f>
        <v>R</v>
      </c>
      <c r="J146" s="345" t="str">
        <f>CONCATENATE('3 pr-2'!J146)</f>
        <v>-</v>
      </c>
      <c r="K146" s="345" t="str">
        <f>CONCATENATE('3 pr-2'!K146)</f>
        <v>-</v>
      </c>
      <c r="L146" s="334" t="s">
        <v>1211</v>
      </c>
      <c r="M146" s="537" t="s">
        <v>1212</v>
      </c>
      <c r="N146" s="334"/>
      <c r="O146" s="334"/>
      <c r="P146" s="334"/>
      <c r="Q146" s="334"/>
      <c r="R146" s="334"/>
      <c r="S146" s="334"/>
      <c r="T146" s="334"/>
      <c r="U146" s="1312">
        <f t="shared" si="584"/>
        <v>0</v>
      </c>
      <c r="V146" s="334">
        <v>43</v>
      </c>
      <c r="W146" s="1578">
        <v>43</v>
      </c>
      <c r="X146" s="1579">
        <f t="shared" si="579"/>
        <v>0</v>
      </c>
      <c r="Y146" s="1579">
        <f>IF(YEAR('3 pr-2'!$AK146)=2017,$V146,0)</f>
        <v>0</v>
      </c>
      <c r="Z146" s="1579">
        <f>IF(YEAR('3 pr-2'!$AK146)=2018,$V146,0)</f>
        <v>0</v>
      </c>
      <c r="AA146" s="1579">
        <f>IF(YEAR('3 pr-2'!$AK146)=2019,$V146,0)</f>
        <v>0</v>
      </c>
      <c r="AB146" s="1579">
        <f>IF(YEAR('3 pr-2'!$AK146)=2020,$V146,0)</f>
        <v>0</v>
      </c>
      <c r="AC146" s="1579">
        <f>IF(YEAR('3 pr-2'!$AK146)=2021,$V146,0)</f>
        <v>43</v>
      </c>
      <c r="AD146" s="1579">
        <f>IF(YEAR('3 pr-2'!$AK146)=2022,$V146,0)</f>
        <v>0</v>
      </c>
      <c r="AE146" s="1579">
        <f>IF(YEAR('3 pr-2'!$AK146)=2023,$V146,0)</f>
        <v>0</v>
      </c>
      <c r="AF146" s="350"/>
      <c r="AG146" s="537"/>
      <c r="AH146" s="345"/>
      <c r="AI146" s="345"/>
      <c r="AJ146" s="345"/>
      <c r="AK146" s="345"/>
      <c r="AL146" s="345"/>
      <c r="AM146" s="345"/>
      <c r="AN146" s="345"/>
      <c r="AO146" s="895">
        <f t="shared" si="592"/>
        <v>0</v>
      </c>
      <c r="AP146" s="345"/>
      <c r="AQ146" s="1597"/>
      <c r="AR146" s="1579"/>
      <c r="AS146" s="1579"/>
      <c r="AT146" s="1579"/>
      <c r="AU146" s="1579"/>
      <c r="AV146" s="1579"/>
      <c r="AW146" s="1579"/>
      <c r="AX146" s="1579"/>
      <c r="AY146" s="1579"/>
      <c r="AZ146" s="345"/>
      <c r="BA146" s="536"/>
      <c r="BB146" s="345"/>
      <c r="BC146" s="345"/>
      <c r="BD146" s="345"/>
      <c r="BE146" s="345"/>
      <c r="BF146" s="345"/>
      <c r="BG146" s="345"/>
      <c r="BH146" s="345"/>
      <c r="BI146" s="895">
        <f t="shared" si="593"/>
        <v>0</v>
      </c>
      <c r="BJ146" s="345"/>
      <c r="BK146" s="1597"/>
      <c r="BL146" s="1579"/>
      <c r="BM146" s="1579"/>
      <c r="BN146" s="1579"/>
      <c r="BO146" s="1579"/>
      <c r="BP146" s="1579"/>
      <c r="BQ146" s="1579"/>
      <c r="BR146" s="1579"/>
      <c r="BS146" s="1579"/>
      <c r="BT146" s="350"/>
      <c r="BU146" s="537"/>
      <c r="BV146" s="345"/>
      <c r="BW146" s="345"/>
      <c r="BX146" s="345"/>
      <c r="BY146" s="345"/>
      <c r="BZ146" s="345"/>
      <c r="CA146" s="345"/>
      <c r="CB146" s="345"/>
      <c r="CC146" s="895">
        <f t="shared" si="591"/>
        <v>0</v>
      </c>
      <c r="CD146" s="345"/>
      <c r="CE146" s="1579"/>
      <c r="CF146" s="1579"/>
      <c r="CG146" s="1579">
        <f>IF(YEAR('3 pr-2'!$AK146)=2017,$CD146,0)</f>
        <v>0</v>
      </c>
      <c r="CH146" s="1579">
        <f>IF(YEAR('3 pr-2'!$AK146)=2018,$CD146,0)</f>
        <v>0</v>
      </c>
      <c r="CI146" s="1579">
        <f>IF(YEAR('3 pr-2'!$AK146)=2019,$CD146,0)</f>
        <v>0</v>
      </c>
      <c r="CJ146" s="1579">
        <f>IF(YEAR('3 pr-2'!$AK146)=2020,$CD146,0)</f>
        <v>0</v>
      </c>
      <c r="CK146" s="1579">
        <f>IF(YEAR('3 pr-2'!$AK146)=2021,$CD146,0)</f>
        <v>0</v>
      </c>
      <c r="CL146" s="1579">
        <f>IF(YEAR('3 pr-2'!$AK146)=2022,$CD146,0)</f>
        <v>0</v>
      </c>
      <c r="CM146" s="1579">
        <f>IF(YEAR('3 pr-2'!$AK146)=2023,$CD146,0)</f>
        <v>0</v>
      </c>
      <c r="CN146" s="350"/>
      <c r="CO146" s="538"/>
      <c r="CP146" s="345"/>
      <c r="CQ146" s="345"/>
      <c r="CR146" s="345"/>
      <c r="CS146" s="345"/>
      <c r="CT146" s="345"/>
      <c r="CU146" s="345"/>
      <c r="CV146" s="345"/>
      <c r="CW146" s="895">
        <f t="shared" si="589"/>
        <v>0</v>
      </c>
      <c r="CX146" s="351"/>
      <c r="CY146" s="1605"/>
      <c r="CZ146" s="1605"/>
      <c r="DA146" s="1594">
        <f>IF(YEAR('3 pr-2'!AK146)=2017,CX146,0)</f>
        <v>0</v>
      </c>
      <c r="DB146" s="1594">
        <f>IF(YEAR('3 pr-2'!AK146)=2018,CX146,0)</f>
        <v>0</v>
      </c>
      <c r="DC146" s="1594">
        <f>IF(YEAR('3 pr-2'!AK146)=2019,CX146,0)</f>
        <v>0</v>
      </c>
      <c r="DD146" s="1594">
        <f>IF(YEAR('3 pr-2'!AK146)=2020,CX146,0)</f>
        <v>0</v>
      </c>
      <c r="DE146" s="1594">
        <f>IF(YEAR('3 pr-2'!AK146)=2021,CX146,0)</f>
        <v>0</v>
      </c>
      <c r="DF146" s="1594">
        <f>IF(YEAR('3 pr-2'!AK146)=2022,CX146,0)</f>
        <v>0</v>
      </c>
      <c r="DG146" s="1594">
        <f>IF(YEAR('3 pr-2'!AK146)=2023,CX146,0)</f>
        <v>0</v>
      </c>
      <c r="DH146" s="350"/>
      <c r="DI146" s="538"/>
      <c r="DJ146" s="345"/>
      <c r="DK146" s="345"/>
      <c r="DL146" s="345"/>
      <c r="DM146" s="345"/>
      <c r="DN146" s="345"/>
      <c r="DO146" s="345"/>
      <c r="DP146" s="345"/>
      <c r="DQ146" s="895"/>
      <c r="DR146" s="351"/>
      <c r="DS146" s="1605"/>
      <c r="DT146" s="1605"/>
      <c r="DU146" s="1594"/>
      <c r="DV146" s="1594"/>
      <c r="DW146" s="1594"/>
      <c r="DX146" s="1594"/>
      <c r="DY146" s="1594"/>
      <c r="DZ146" s="1594"/>
      <c r="EA146" s="1594"/>
      <c r="EB146" s="350"/>
      <c r="EC146" s="538"/>
      <c r="ED146" s="333"/>
      <c r="EE146" s="1605"/>
      <c r="EF146" s="1605"/>
      <c r="EG146" s="1594">
        <f>IF(YEAR('3 pr-2'!BP146)=2017,ED146,0)</f>
        <v>0</v>
      </c>
      <c r="EH146" s="1594">
        <f>IF(YEAR('3 pr-2'!BP146)=2018,ED146,0)</f>
        <v>0</v>
      </c>
      <c r="EI146" s="1594">
        <f>IF(YEAR('3 pr-2'!BP146)=2019,ED146,0)</f>
        <v>0</v>
      </c>
      <c r="EJ146" s="1594">
        <f>IF(YEAR('3 pr-2'!BP146)=2020,ED146,0)</f>
        <v>0</v>
      </c>
      <c r="EK146" s="1594">
        <f>IF(YEAR('3 pr-2'!BP146)=2021,ED146,0)</f>
        <v>0</v>
      </c>
      <c r="EL146" s="1594">
        <f>IF(YEAR('3 pr-2'!BP146)=2022,ED146,0)</f>
        <v>0</v>
      </c>
      <c r="EM146" s="1594">
        <f>IF(YEAR('3 pr-2'!BP146)=2023,ED146,0)</f>
        <v>0</v>
      </c>
    </row>
    <row r="147" spans="1:143" ht="45" customHeight="1" thickBot="1" x14ac:dyDescent="0.3">
      <c r="A147" s="914" t="str">
        <f>CONCATENATE('3 pr-2'!A147)</f>
        <v>2.1.3.</v>
      </c>
      <c r="B147" s="1926" t="str">
        <f>CONCATENATE('3 pr-2'!B147)</f>
        <v>Uždavinys:
Socialinio būsto ir socialinių paslaugų prieinamumo pažeidžiamiausioms gyventojų grupėms padidinimas</v>
      </c>
      <c r="C147" s="1927"/>
      <c r="D147" s="1927"/>
      <c r="E147" s="1927"/>
      <c r="F147" s="1927"/>
      <c r="G147" s="1927"/>
      <c r="H147" s="1927"/>
      <c r="I147" s="1927"/>
      <c r="J147" s="1927"/>
      <c r="K147" s="1928"/>
      <c r="L147" s="890"/>
      <c r="M147" s="758"/>
      <c r="N147" s="892"/>
      <c r="O147" s="892"/>
      <c r="P147" s="892"/>
      <c r="Q147" s="892"/>
      <c r="R147" s="892"/>
      <c r="S147" s="892"/>
      <c r="T147" s="892"/>
      <c r="U147" s="907"/>
      <c r="V147" s="890"/>
      <c r="W147" s="1587"/>
      <c r="X147" s="1587"/>
      <c r="Y147" s="1587"/>
      <c r="Z147" s="1587"/>
      <c r="AA147" s="1587"/>
      <c r="AB147" s="1587"/>
      <c r="AC147" s="1587"/>
      <c r="AD147" s="1587"/>
      <c r="AE147" s="1587"/>
      <c r="AF147" s="892"/>
      <c r="AG147" s="758"/>
      <c r="AH147" s="892"/>
      <c r="AI147" s="892"/>
      <c r="AJ147" s="892"/>
      <c r="AK147" s="892"/>
      <c r="AL147" s="892"/>
      <c r="AM147" s="892"/>
      <c r="AN147" s="892"/>
      <c r="AO147" s="892"/>
      <c r="AP147" s="892"/>
      <c r="AQ147" s="1587"/>
      <c r="AR147" s="1587"/>
      <c r="AS147" s="1587"/>
      <c r="AT147" s="1587"/>
      <c r="AU147" s="1587"/>
      <c r="AV147" s="1587"/>
      <c r="AW147" s="1587"/>
      <c r="AX147" s="1587"/>
      <c r="AY147" s="1587"/>
      <c r="AZ147" s="892"/>
      <c r="BA147" s="758"/>
      <c r="BB147" s="892"/>
      <c r="BC147" s="892"/>
      <c r="BD147" s="892"/>
      <c r="BE147" s="892"/>
      <c r="BF147" s="892"/>
      <c r="BG147" s="892"/>
      <c r="BH147" s="892"/>
      <c r="BI147" s="892"/>
      <c r="BJ147" s="892"/>
      <c r="BK147" s="1587"/>
      <c r="BL147" s="1587"/>
      <c r="BM147" s="1587"/>
      <c r="BN147" s="1587"/>
      <c r="BO147" s="1587"/>
      <c r="BP147" s="1587"/>
      <c r="BQ147" s="1587"/>
      <c r="BR147" s="1587"/>
      <c r="BS147" s="1587"/>
      <c r="BT147" s="892"/>
      <c r="BU147" s="758"/>
      <c r="BV147" s="892"/>
      <c r="BW147" s="892"/>
      <c r="BX147" s="892"/>
      <c r="BY147" s="892"/>
      <c r="BZ147" s="892"/>
      <c r="CA147" s="892"/>
      <c r="CB147" s="892"/>
      <c r="CC147" s="892"/>
      <c r="CD147" s="892"/>
      <c r="CE147" s="1587"/>
      <c r="CF147" s="1587"/>
      <c r="CG147" s="1587"/>
      <c r="CH147" s="1587"/>
      <c r="CI147" s="1587"/>
      <c r="CJ147" s="1587"/>
      <c r="CK147" s="1587"/>
      <c r="CL147" s="1587"/>
      <c r="CM147" s="1587"/>
      <c r="CN147" s="892"/>
      <c r="CO147" s="538"/>
      <c r="CP147" s="892"/>
      <c r="CQ147" s="892"/>
      <c r="CR147" s="892"/>
      <c r="CS147" s="892"/>
      <c r="CT147" s="892"/>
      <c r="CU147" s="892"/>
      <c r="CV147" s="892"/>
      <c r="CW147" s="892"/>
      <c r="CX147" s="892"/>
      <c r="CY147" s="1591"/>
      <c r="CZ147" s="1591"/>
      <c r="DA147" s="1606"/>
      <c r="DB147" s="1604"/>
      <c r="DC147" s="1604"/>
      <c r="DD147" s="1604"/>
      <c r="DE147" s="1604"/>
      <c r="DF147" s="1604"/>
      <c r="DG147" s="1604"/>
      <c r="DH147" s="892"/>
      <c r="DI147" s="538"/>
      <c r="DJ147" s="892"/>
      <c r="DK147" s="892"/>
      <c r="DL147" s="892"/>
      <c r="DM147" s="892"/>
      <c r="DN147" s="892"/>
      <c r="DO147" s="892"/>
      <c r="DP147" s="892"/>
      <c r="DQ147" s="892"/>
      <c r="DR147" s="892"/>
      <c r="DS147" s="1591"/>
      <c r="DT147" s="1591"/>
      <c r="DU147" s="1606"/>
      <c r="DV147" s="1604"/>
      <c r="DW147" s="1604"/>
      <c r="DX147" s="1604"/>
      <c r="DY147" s="1604"/>
      <c r="DZ147" s="1604"/>
      <c r="EA147" s="1604"/>
      <c r="EB147" s="892"/>
      <c r="EC147" s="538"/>
      <c r="ED147" s="908"/>
      <c r="EE147" s="1591"/>
      <c r="EF147" s="1591"/>
      <c r="EG147" s="1606"/>
      <c r="EH147" s="1604"/>
      <c r="EI147" s="1604"/>
      <c r="EJ147" s="1604"/>
      <c r="EK147" s="1604"/>
      <c r="EL147" s="1604"/>
      <c r="EM147" s="1604"/>
    </row>
    <row r="148" spans="1:143" ht="33" customHeight="1" thickBot="1" x14ac:dyDescent="0.3">
      <c r="A148" s="915" t="str">
        <f>CONCATENATE('3 pr-2'!A148)</f>
        <v>2.1.3.1</v>
      </c>
      <c r="B148" s="1926" t="str">
        <f>CONCATENATE('3 pr-2'!B148)</f>
        <v>Priemonė:
Socialinių paslaugų infrastruktūros plėtra</v>
      </c>
      <c r="C148" s="1927"/>
      <c r="D148" s="1927"/>
      <c r="E148" s="1927"/>
      <c r="F148" s="1927"/>
      <c r="G148" s="1927"/>
      <c r="H148" s="1927"/>
      <c r="I148" s="1927"/>
      <c r="J148" s="1927"/>
      <c r="K148" s="1928"/>
      <c r="L148" s="916"/>
      <c r="M148" s="540"/>
      <c r="N148" s="890">
        <f>SUM(N149:N153)</f>
        <v>0</v>
      </c>
      <c r="O148" s="890">
        <f t="shared" ref="O148:T148" si="594">SUM(O149:O153)</f>
        <v>0</v>
      </c>
      <c r="P148" s="890">
        <f t="shared" si="594"/>
        <v>0</v>
      </c>
      <c r="Q148" s="890">
        <f t="shared" si="594"/>
        <v>0</v>
      </c>
      <c r="R148" s="890">
        <f t="shared" si="594"/>
        <v>0</v>
      </c>
      <c r="S148" s="890">
        <f t="shared" si="594"/>
        <v>0</v>
      </c>
      <c r="T148" s="890">
        <f t="shared" si="594"/>
        <v>0</v>
      </c>
      <c r="U148" s="891">
        <f>SUM(N148:T148)</f>
        <v>0</v>
      </c>
      <c r="V148" s="867"/>
      <c r="W148" s="1592"/>
      <c r="X148" s="1593"/>
      <c r="Y148" s="1594">
        <f t="shared" ref="Y148:AE148" si="595">SUM(Y149:Y153)</f>
        <v>0</v>
      </c>
      <c r="Z148" s="1594">
        <f t="shared" si="595"/>
        <v>1</v>
      </c>
      <c r="AA148" s="1594">
        <f t="shared" si="595"/>
        <v>4</v>
      </c>
      <c r="AB148" s="1594">
        <f t="shared" si="595"/>
        <v>0</v>
      </c>
      <c r="AC148" s="1594">
        <f t="shared" si="595"/>
        <v>0</v>
      </c>
      <c r="AD148" s="1594">
        <f t="shared" si="595"/>
        <v>0</v>
      </c>
      <c r="AE148" s="1594">
        <f t="shared" si="595"/>
        <v>0</v>
      </c>
      <c r="AF148" s="917"/>
      <c r="AG148" s="889"/>
      <c r="AH148" s="890">
        <f>SUM(AH149:AH153)</f>
        <v>0</v>
      </c>
      <c r="AI148" s="890">
        <f t="shared" ref="AI148" si="596">SUM(AI149:AI153)</f>
        <v>0</v>
      </c>
      <c r="AJ148" s="890">
        <f t="shared" ref="AJ148" si="597">SUM(AJ149:AJ153)</f>
        <v>0</v>
      </c>
      <c r="AK148" s="890">
        <f t="shared" ref="AK148" si="598">SUM(AK149:AK153)</f>
        <v>0</v>
      </c>
      <c r="AL148" s="890">
        <f t="shared" ref="AL148" si="599">SUM(AL149:AL153)</f>
        <v>0</v>
      </c>
      <c r="AM148" s="890">
        <f t="shared" ref="AM148" si="600">SUM(AM149:AM153)</f>
        <v>0</v>
      </c>
      <c r="AN148" s="890">
        <f t="shared" ref="AN148" si="601">SUM(AN149:AN153)</f>
        <v>0</v>
      </c>
      <c r="AO148" s="867">
        <f>SUM(AH148:AN148)</f>
        <v>0</v>
      </c>
      <c r="AP148" s="867"/>
      <c r="AQ148" s="1594"/>
      <c r="AR148" s="1594"/>
      <c r="AS148" s="1594"/>
      <c r="AT148" s="1594"/>
      <c r="AU148" s="1594"/>
      <c r="AV148" s="1594"/>
      <c r="AW148" s="1594"/>
      <c r="AX148" s="1594"/>
      <c r="AY148" s="1594"/>
      <c r="AZ148" s="867"/>
      <c r="BA148" s="889"/>
      <c r="BB148" s="890">
        <f>SUM(BB149:BB153)</f>
        <v>0</v>
      </c>
      <c r="BC148" s="890">
        <f t="shared" ref="BC148" si="602">SUM(BC149:BC153)</f>
        <v>0</v>
      </c>
      <c r="BD148" s="890">
        <f t="shared" ref="BD148" si="603">SUM(BD149:BD153)</f>
        <v>0</v>
      </c>
      <c r="BE148" s="890">
        <f t="shared" ref="BE148" si="604">SUM(BE149:BE153)</f>
        <v>0</v>
      </c>
      <c r="BF148" s="890">
        <f t="shared" ref="BF148" si="605">SUM(BF149:BF153)</f>
        <v>0</v>
      </c>
      <c r="BG148" s="890">
        <f t="shared" ref="BG148" si="606">SUM(BG149:BG153)</f>
        <v>0</v>
      </c>
      <c r="BH148" s="890">
        <f t="shared" ref="BH148" si="607">SUM(BH149:BH153)</f>
        <v>0</v>
      </c>
      <c r="BI148" s="867">
        <f>SUM(BB148:BH148)</f>
        <v>0</v>
      </c>
      <c r="BJ148" s="867"/>
      <c r="BK148" s="1594"/>
      <c r="BL148" s="1594"/>
      <c r="BM148" s="1594"/>
      <c r="BN148" s="1594"/>
      <c r="BO148" s="1594"/>
      <c r="BP148" s="1594"/>
      <c r="BQ148" s="1594"/>
      <c r="BR148" s="1594"/>
      <c r="BS148" s="1594"/>
      <c r="BT148" s="890"/>
      <c r="BU148" s="538"/>
      <c r="BV148" s="890">
        <f>SUM(BV149:BV153)</f>
        <v>0</v>
      </c>
      <c r="BW148" s="890">
        <f t="shared" ref="BW148" si="608">SUM(BW149:BW153)</f>
        <v>0</v>
      </c>
      <c r="BX148" s="890">
        <f t="shared" ref="BX148" si="609">SUM(BX149:BX153)</f>
        <v>0</v>
      </c>
      <c r="BY148" s="890">
        <f t="shared" ref="BY148" si="610">SUM(BY149:BY153)</f>
        <v>0</v>
      </c>
      <c r="BZ148" s="890">
        <f t="shared" ref="BZ148" si="611">SUM(BZ149:BZ153)</f>
        <v>0</v>
      </c>
      <c r="CA148" s="890">
        <f t="shared" ref="CA148" si="612">SUM(CA149:CA153)</f>
        <v>0</v>
      </c>
      <c r="CB148" s="890">
        <f t="shared" ref="CB148" si="613">SUM(CB149:CB153)</f>
        <v>0</v>
      </c>
      <c r="CC148" s="867">
        <f>SUM(BV148:CB148)</f>
        <v>0</v>
      </c>
      <c r="CD148" s="890"/>
      <c r="CE148" s="1594"/>
      <c r="CF148" s="1594"/>
      <c r="CG148" s="1594"/>
      <c r="CH148" s="1594"/>
      <c r="CI148" s="1594"/>
      <c r="CJ148" s="1594"/>
      <c r="CK148" s="1594"/>
      <c r="CL148" s="1594"/>
      <c r="CM148" s="1594"/>
      <c r="CN148" s="890"/>
      <c r="CO148" s="538"/>
      <c r="CP148" s="890">
        <f>SUM(CP149:CP153)</f>
        <v>0</v>
      </c>
      <c r="CQ148" s="890">
        <f t="shared" ref="CQ148" si="614">SUM(CQ149:CQ153)</f>
        <v>0</v>
      </c>
      <c r="CR148" s="890">
        <f t="shared" ref="CR148" si="615">SUM(CR149:CR153)</f>
        <v>0</v>
      </c>
      <c r="CS148" s="890">
        <f t="shared" ref="CS148" si="616">SUM(CS149:CS153)</f>
        <v>0</v>
      </c>
      <c r="CT148" s="890">
        <f t="shared" ref="CT148" si="617">SUM(CT149:CT153)</f>
        <v>0</v>
      </c>
      <c r="CU148" s="890">
        <f t="shared" ref="CU148" si="618">SUM(CU149:CU153)</f>
        <v>0</v>
      </c>
      <c r="CV148" s="890">
        <f t="shared" ref="CV148" si="619">SUM(CV149:CV153)</f>
        <v>0</v>
      </c>
      <c r="CW148" s="867">
        <f>SUM(CP148:CV148)</f>
        <v>0</v>
      </c>
      <c r="CX148" s="890"/>
      <c r="CY148" s="1594"/>
      <c r="CZ148" s="1594"/>
      <c r="DA148" s="1594"/>
      <c r="DB148" s="1594"/>
      <c r="DC148" s="1594"/>
      <c r="DD148" s="1594"/>
      <c r="DE148" s="1594"/>
      <c r="DF148" s="1594"/>
      <c r="DG148" s="1594"/>
      <c r="DH148" s="890"/>
      <c r="DI148" s="538"/>
      <c r="DJ148" s="890"/>
      <c r="DK148" s="890"/>
      <c r="DL148" s="890"/>
      <c r="DM148" s="890"/>
      <c r="DN148" s="890"/>
      <c r="DO148" s="890"/>
      <c r="DP148" s="890"/>
      <c r="DQ148" s="867"/>
      <c r="DR148" s="890"/>
      <c r="DS148" s="1594"/>
      <c r="DT148" s="1594"/>
      <c r="DU148" s="1594"/>
      <c r="DV148" s="1594"/>
      <c r="DW148" s="1594"/>
      <c r="DX148" s="1594"/>
      <c r="DY148" s="1594"/>
      <c r="DZ148" s="1594"/>
      <c r="EA148" s="1594"/>
      <c r="EB148" s="890"/>
      <c r="EC148" s="538"/>
      <c r="ED148" s="890"/>
      <c r="EE148" s="1594"/>
      <c r="EF148" s="1594"/>
      <c r="EG148" s="1594"/>
      <c r="EH148" s="1594"/>
      <c r="EI148" s="1594"/>
      <c r="EJ148" s="1594"/>
      <c r="EK148" s="1594"/>
      <c r="EL148" s="1594"/>
      <c r="EM148" s="1594"/>
    </row>
    <row r="149" spans="1:143" ht="61.5" thickTop="1" thickBot="1" x14ac:dyDescent="0.3">
      <c r="A149" s="345" t="str">
        <f>CONCATENATE('3 pr-2'!A149)</f>
        <v>2.1.3.1.1</v>
      </c>
      <c r="B149" s="345" t="str">
        <f>CONCATENATE('3 pr-2'!B149)</f>
        <v>R01-4407-270000-2311</v>
      </c>
      <c r="C149" s="1321" t="str">
        <f>CONCATENATE('ketv. 2'!B148)</f>
        <v>08.1.1-CPVA-R-407-11-0002</v>
      </c>
      <c r="D149" s="312" t="str">
        <f>CONCATENATE('3 pr-2'!D149)</f>
        <v>Socialinių paslaugų infrastruktūros plėtra Varėnos rajono savivaldybėje</v>
      </c>
      <c r="E149" s="312" t="str">
        <f>CONCATENATE('3 pr-2'!E149)</f>
        <v>Varėnos rajono savivaldybės administracija</v>
      </c>
      <c r="F149" s="312" t="str">
        <f>CONCATENATE('3 pr-2'!F149)</f>
        <v>Lietuvos Respublikos socialinės apsaugos ir darbo ministerija</v>
      </c>
      <c r="G149" s="312" t="str">
        <f>CONCATENATE('3 pr-2'!G149)</f>
        <v>Varėnos r. sav.</v>
      </c>
      <c r="H149" s="345" t="str">
        <f>CONCATENATE('3 pr-2'!H149)</f>
        <v>08.1.2-CPVA-R-407</v>
      </c>
      <c r="I149" s="345" t="str">
        <f>CONCATENATE('3 pr-2'!I149)</f>
        <v>R</v>
      </c>
      <c r="J149" s="345" t="str">
        <f>CONCATENATE('3 pr-2'!J149)</f>
        <v>-</v>
      </c>
      <c r="K149" s="345" t="str">
        <f>CONCATENATE('3 pr-2'!K149)</f>
        <v>-</v>
      </c>
      <c r="L149" s="345" t="s">
        <v>524</v>
      </c>
      <c r="M149" s="537" t="s">
        <v>525</v>
      </c>
      <c r="N149" s="345"/>
      <c r="O149" s="345"/>
      <c r="P149" s="345"/>
      <c r="Q149" s="345"/>
      <c r="R149" s="345"/>
      <c r="S149" s="345"/>
      <c r="T149" s="345"/>
      <c r="U149" s="893">
        <f t="shared" ref="U149:U154" si="620">SUM(N149:T149)</f>
        <v>0</v>
      </c>
      <c r="V149" s="345">
        <v>1</v>
      </c>
      <c r="W149" s="1578" t="str">
        <f ca="1">IF('ketv. 6 '!L148&gt;0,"1",0)</f>
        <v>1</v>
      </c>
      <c r="X149" s="1579">
        <f t="shared" ref="X149:X153" ca="1" si="621">SUM(W149-V149)</f>
        <v>0</v>
      </c>
      <c r="Y149" s="1579">
        <f>IF(YEAR('3 pr-2'!$AK149)=2017,$V149,0)</f>
        <v>0</v>
      </c>
      <c r="Z149" s="1579">
        <f>IF(YEAR('3 pr-2'!$AK149)=2018,$V149,0)</f>
        <v>1</v>
      </c>
      <c r="AA149" s="1579">
        <f>IF(YEAR('3 pr-2'!$AK149)=2019,$V149,0)</f>
        <v>0</v>
      </c>
      <c r="AB149" s="1579">
        <f>IF(YEAR('3 pr-2'!$AK149)=2020,$V149,0)</f>
        <v>0</v>
      </c>
      <c r="AC149" s="1579">
        <f>IF(YEAR('3 pr-2'!$AK149)=2021,$V149,0)</f>
        <v>0</v>
      </c>
      <c r="AD149" s="1579">
        <f>IF(YEAR('3 pr-2'!$AK149)=2022,$V149,0)</f>
        <v>0</v>
      </c>
      <c r="AE149" s="1579">
        <f>IF(YEAR('3 pr-2'!$AK149)=2023,$V149,0)</f>
        <v>0</v>
      </c>
      <c r="AF149" s="350"/>
      <c r="AG149" s="537"/>
      <c r="AH149" s="345"/>
      <c r="AI149" s="345"/>
      <c r="AJ149" s="345"/>
      <c r="AK149" s="345"/>
      <c r="AL149" s="345"/>
      <c r="AM149" s="345"/>
      <c r="AN149" s="345"/>
      <c r="AO149" s="895">
        <f t="shared" ref="AO149:AO159" si="622">SUM(AH149:AN149)</f>
        <v>0</v>
      </c>
      <c r="AP149" s="345"/>
      <c r="AQ149" s="1597"/>
      <c r="AR149" s="1579"/>
      <c r="AS149" s="1579">
        <f>IF(YEAR('3 pr-2'!$AK149)=2017,$AP149,0)</f>
        <v>0</v>
      </c>
      <c r="AT149" s="1579">
        <f>IF(YEAR('3 pr-2'!$AK149)=2018,$AP149,0)</f>
        <v>0</v>
      </c>
      <c r="AU149" s="1579">
        <f>IF(YEAR('3 pr-2'!$AK149)=2019,$AP149,0)</f>
        <v>0</v>
      </c>
      <c r="AV149" s="1579">
        <f>IF(YEAR('3 pr-2'!$AK149)=2020,$AP149,0)</f>
        <v>0</v>
      </c>
      <c r="AW149" s="1579">
        <f>IF(YEAR('3 pr-2'!$AK149)=2021,$AP149,0)</f>
        <v>0</v>
      </c>
      <c r="AX149" s="1579">
        <f>IF(YEAR('3 pr-2'!$AK149)=2022,$AP149,0)</f>
        <v>0</v>
      </c>
      <c r="AY149" s="1579">
        <f>IF(YEAR('3 pr-2'!$AK149)=2023,$AP149,0)</f>
        <v>0</v>
      </c>
      <c r="AZ149" s="345"/>
      <c r="BA149" s="536"/>
      <c r="BB149" s="345"/>
      <c r="BC149" s="345"/>
      <c r="BD149" s="345"/>
      <c r="BE149" s="345"/>
      <c r="BF149" s="345"/>
      <c r="BG149" s="345"/>
      <c r="BH149" s="345"/>
      <c r="BI149" s="895">
        <f t="shared" ref="BI149:BI159" si="623">SUM(BB149:BH149)</f>
        <v>0</v>
      </c>
      <c r="BJ149" s="345"/>
      <c r="BK149" s="1597"/>
      <c r="BL149" s="1579"/>
      <c r="BM149" s="1579">
        <f>IF('3 pr-2'!AK149=2017,BJ149,0)</f>
        <v>0</v>
      </c>
      <c r="BN149" s="1579">
        <f>IF('3 pr-2'!AK149=2018,BJ149,0)</f>
        <v>0</v>
      </c>
      <c r="BO149" s="1579">
        <f>IF('3 pr-2'!AK149=2019,BJ149,0)</f>
        <v>0</v>
      </c>
      <c r="BP149" s="1579">
        <f>IF('3 pr-2'!AK149=2020,BJ149,0)</f>
        <v>0</v>
      </c>
      <c r="BQ149" s="1579">
        <f>IF('3 pr-2'!AK149=2021,BJ149,0)</f>
        <v>0</v>
      </c>
      <c r="BR149" s="1579">
        <f>IF('3 pr-2'!AK149=2022,BJ149,0)</f>
        <v>0</v>
      </c>
      <c r="BS149" s="1579">
        <f>IF('3 pr-2'!AK149=2023,BJ149,0)</f>
        <v>0</v>
      </c>
      <c r="BT149" s="350"/>
      <c r="BU149" s="537"/>
      <c r="BV149" s="345"/>
      <c r="BW149" s="345"/>
      <c r="BX149" s="345"/>
      <c r="BY149" s="345"/>
      <c r="BZ149" s="345"/>
      <c r="CA149" s="345"/>
      <c r="CB149" s="345"/>
      <c r="CC149" s="895">
        <f t="shared" ref="CC149:CC159" si="624">SUM(BV149:CB149)</f>
        <v>0</v>
      </c>
      <c r="CD149" s="345"/>
      <c r="CE149" s="1579"/>
      <c r="CF149" s="1579"/>
      <c r="CG149" s="1579">
        <f>IF(YEAR('3 pr-2'!$AK149)=2017,$CD149,0)</f>
        <v>0</v>
      </c>
      <c r="CH149" s="1579">
        <f>IF(YEAR('3 pr-2'!$AK149)=2018,$CD149,0)</f>
        <v>0</v>
      </c>
      <c r="CI149" s="1579">
        <f>IF(YEAR('3 pr-2'!$AK149)=2019,$CD149,0)</f>
        <v>0</v>
      </c>
      <c r="CJ149" s="1579">
        <f>IF(YEAR('3 pr-2'!$AK149)=2020,$CD149,0)</f>
        <v>0</v>
      </c>
      <c r="CK149" s="1579">
        <f>IF(YEAR('3 pr-2'!$AK149)=2021,$CD149,0)</f>
        <v>0</v>
      </c>
      <c r="CL149" s="1579">
        <f>IF(YEAR('3 pr-2'!$AK149)=2022,$CD149,0)</f>
        <v>0</v>
      </c>
      <c r="CM149" s="1579">
        <f>IF(YEAR('3 pr-2'!$AK149)=2023,$CD149,0)</f>
        <v>0</v>
      </c>
      <c r="CN149" s="350"/>
      <c r="CO149" s="538"/>
      <c r="CP149" s="345"/>
      <c r="CQ149" s="345"/>
      <c r="CR149" s="345"/>
      <c r="CS149" s="345"/>
      <c r="CT149" s="345"/>
      <c r="CU149" s="345"/>
      <c r="CV149" s="345"/>
      <c r="CW149" s="895">
        <f t="shared" ref="CW149:CW159" si="625">SUM(CP149:CV149)</f>
        <v>0</v>
      </c>
      <c r="CX149" s="351"/>
      <c r="CY149" s="1605"/>
      <c r="CZ149" s="1605"/>
      <c r="DA149" s="1594">
        <f>IF(YEAR('3 pr-2'!AK149)=2017,CX149,0)</f>
        <v>0</v>
      </c>
      <c r="DB149" s="1594">
        <f>IF(YEAR('3 pr-2'!AK149)=2018,CX149,0)</f>
        <v>0</v>
      </c>
      <c r="DC149" s="1594">
        <f>IF(YEAR('3 pr-2'!AK149)=2019,CX149,0)</f>
        <v>0</v>
      </c>
      <c r="DD149" s="1594">
        <f>IF(YEAR('3 pr-2'!AK149)=2020,CX149,0)</f>
        <v>0</v>
      </c>
      <c r="DE149" s="1594">
        <f>IF(YEAR('3 pr-2'!AK149)=2021,CX149,0)</f>
        <v>0</v>
      </c>
      <c r="DF149" s="1594">
        <f>IF(YEAR('3 pr-2'!AK149)=2022,CX149,0)</f>
        <v>0</v>
      </c>
      <c r="DG149" s="1594">
        <f>IF(YEAR('3 pr-2'!AK149)=2023,CX149,0)</f>
        <v>0</v>
      </c>
      <c r="DH149" s="350"/>
      <c r="DI149" s="538"/>
      <c r="DJ149" s="345"/>
      <c r="DK149" s="345"/>
      <c r="DL149" s="345"/>
      <c r="DM149" s="345"/>
      <c r="DN149" s="345"/>
      <c r="DO149" s="345"/>
      <c r="DP149" s="345"/>
      <c r="DQ149" s="895"/>
      <c r="DR149" s="351"/>
      <c r="DS149" s="1605"/>
      <c r="DT149" s="1605"/>
      <c r="DU149" s="1594"/>
      <c r="DV149" s="1594"/>
      <c r="DW149" s="1594"/>
      <c r="DX149" s="1594"/>
      <c r="DY149" s="1594"/>
      <c r="DZ149" s="1594"/>
      <c r="EA149" s="1594"/>
      <c r="EB149" s="350"/>
      <c r="EC149" s="538"/>
      <c r="ED149" s="333"/>
      <c r="EE149" s="1605"/>
      <c r="EF149" s="1605"/>
      <c r="EG149" s="1594">
        <f>IF(YEAR('3 pr-2'!BP149)=2017,ED149,0)</f>
        <v>0</v>
      </c>
      <c r="EH149" s="1594">
        <f>IF(YEAR('3 pr-2'!BP149)=2018,ED149,0)</f>
        <v>0</v>
      </c>
      <c r="EI149" s="1594">
        <f>IF(YEAR('3 pr-2'!BP149)=2019,ED149,0)</f>
        <v>0</v>
      </c>
      <c r="EJ149" s="1594">
        <f>IF(YEAR('3 pr-2'!BP149)=2020,ED149,0)</f>
        <v>0</v>
      </c>
      <c r="EK149" s="1594">
        <f>IF(YEAR('3 pr-2'!BP149)=2021,ED149,0)</f>
        <v>0</v>
      </c>
      <c r="EL149" s="1594">
        <f>IF(YEAR('3 pr-2'!BP149)=2022,ED149,0)</f>
        <v>0</v>
      </c>
      <c r="EM149" s="1594">
        <f>IF(YEAR('3 pr-2'!BP149)=2023,ED149,0)</f>
        <v>0</v>
      </c>
    </row>
    <row r="150" spans="1:143" ht="61.5" thickTop="1" thickBot="1" x14ac:dyDescent="0.3">
      <c r="A150" s="345" t="str">
        <f>CONCATENATE('3 pr-2'!A150)</f>
        <v>2.1.3.1.2</v>
      </c>
      <c r="B150" s="345" t="str">
        <f>CONCATENATE('3 pr-2'!B150)</f>
        <v>R01-4407-274800-2312</v>
      </c>
      <c r="C150" s="1321" t="str">
        <f>CONCATENATE('ketv. 2'!B149)</f>
        <v>08.1.1-CPVA-R-407-11-0004</v>
      </c>
      <c r="D150" s="312" t="str">
        <f>CONCATENATE('3 pr-2'!D150)</f>
        <v>Psichosocialinės pagalbos centro įkūrimas</v>
      </c>
      <c r="E150" s="312" t="str">
        <f>CONCATENATE('3 pr-2'!E150)</f>
        <v>Alytaus rajono savivaldybės administracija</v>
      </c>
      <c r="F150" s="312" t="str">
        <f>CONCATENATE('3 pr-2'!F150)</f>
        <v>Lietuvos Respublikos socialinės apsaugos ir darbo ministerija</v>
      </c>
      <c r="G150" s="312" t="str">
        <f>CONCATENATE('3 pr-2'!G150)</f>
        <v>Alytaus r. sav.</v>
      </c>
      <c r="H150" s="345" t="str">
        <f>CONCATENATE('3 pr-2'!H150)</f>
        <v>08.1.2-CPVA-R-407</v>
      </c>
      <c r="I150" s="345" t="str">
        <f>CONCATENATE('3 pr-2'!I150)</f>
        <v>R</v>
      </c>
      <c r="J150" s="345" t="str">
        <f>CONCATENATE('3 pr-2'!J150)</f>
        <v/>
      </c>
      <c r="K150" s="345" t="str">
        <f>CONCATENATE('3 pr-2'!K150)</f>
        <v>-</v>
      </c>
      <c r="L150" s="345" t="s">
        <v>524</v>
      </c>
      <c r="M150" s="537" t="s">
        <v>525</v>
      </c>
      <c r="N150" s="345"/>
      <c r="O150" s="345"/>
      <c r="P150" s="345"/>
      <c r="Q150" s="345"/>
      <c r="R150" s="345"/>
      <c r="S150" s="345"/>
      <c r="T150" s="345"/>
      <c r="U150" s="893">
        <f t="shared" si="620"/>
        <v>0</v>
      </c>
      <c r="V150" s="345">
        <v>1</v>
      </c>
      <c r="W150" s="1578" t="str">
        <f ca="1">IF('ketv. 6 '!L149&gt;0,"1",0)</f>
        <v>1</v>
      </c>
      <c r="X150" s="1579">
        <f t="shared" ca="1" si="621"/>
        <v>0</v>
      </c>
      <c r="Y150" s="1579">
        <f>IF(YEAR('3 pr-2'!$AK150)=2017,$V150,0)</f>
        <v>0</v>
      </c>
      <c r="Z150" s="1579">
        <f>IF(YEAR('3 pr-2'!$AK150)=2018,$V150,0)</f>
        <v>0</v>
      </c>
      <c r="AA150" s="1579">
        <f>IF(YEAR('3 pr-2'!$AK150)=2019,$V150,0)</f>
        <v>1</v>
      </c>
      <c r="AB150" s="1579">
        <f>IF(YEAR('3 pr-2'!$AK150)=2020,$V150,0)</f>
        <v>0</v>
      </c>
      <c r="AC150" s="1579">
        <f>IF(YEAR('3 pr-2'!$AK150)=2021,$V150,0)</f>
        <v>0</v>
      </c>
      <c r="AD150" s="1579">
        <f>IF(YEAR('3 pr-2'!$AK150)=2022,$V150,0)</f>
        <v>0</v>
      </c>
      <c r="AE150" s="1579">
        <f>IF(YEAR('3 pr-2'!$AK150)=2023,$V150,0)</f>
        <v>0</v>
      </c>
      <c r="AF150" s="350"/>
      <c r="AG150" s="537"/>
      <c r="AH150" s="345"/>
      <c r="AI150" s="345"/>
      <c r="AJ150" s="345"/>
      <c r="AK150" s="345"/>
      <c r="AL150" s="345"/>
      <c r="AM150" s="345"/>
      <c r="AN150" s="345"/>
      <c r="AO150" s="895">
        <f t="shared" si="622"/>
        <v>0</v>
      </c>
      <c r="AP150" s="345"/>
      <c r="AQ150" s="1597"/>
      <c r="AR150" s="1579"/>
      <c r="AS150" s="1579">
        <f>IF(YEAR('3 pr-2'!$AK150)=2017,$AP150,0)</f>
        <v>0</v>
      </c>
      <c r="AT150" s="1579">
        <f>IF(YEAR('3 pr-2'!$AK150)=2018,$AP150,0)</f>
        <v>0</v>
      </c>
      <c r="AU150" s="1579">
        <f>IF(YEAR('3 pr-2'!$AK150)=2019,$AP150,0)</f>
        <v>0</v>
      </c>
      <c r="AV150" s="1579">
        <f>IF(YEAR('3 pr-2'!$AK150)=2020,$AP150,0)</f>
        <v>0</v>
      </c>
      <c r="AW150" s="1579">
        <f>IF(YEAR('3 pr-2'!$AK150)=2021,$AP150,0)</f>
        <v>0</v>
      </c>
      <c r="AX150" s="1579">
        <f>IF(YEAR('3 pr-2'!$AK150)=2022,$AP150,0)</f>
        <v>0</v>
      </c>
      <c r="AY150" s="1579">
        <f>IF(YEAR('3 pr-2'!$AK150)=2023,$AP150,0)</f>
        <v>0</v>
      </c>
      <c r="AZ150" s="345"/>
      <c r="BA150" s="536"/>
      <c r="BB150" s="345"/>
      <c r="BC150" s="345"/>
      <c r="BD150" s="345"/>
      <c r="BE150" s="345"/>
      <c r="BF150" s="345"/>
      <c r="BG150" s="345"/>
      <c r="BH150" s="345"/>
      <c r="BI150" s="895">
        <f t="shared" si="623"/>
        <v>0</v>
      </c>
      <c r="BJ150" s="345"/>
      <c r="BK150" s="1597"/>
      <c r="BL150" s="1579"/>
      <c r="BM150" s="1579">
        <f>IF('3 pr-2'!AK150=2017,BJ150,0)</f>
        <v>0</v>
      </c>
      <c r="BN150" s="1579">
        <f>IF('3 pr-2'!AK150=2018,BJ150,0)</f>
        <v>0</v>
      </c>
      <c r="BO150" s="1579">
        <f>IF('3 pr-2'!AK150=2019,BJ150,0)</f>
        <v>0</v>
      </c>
      <c r="BP150" s="1579">
        <f>IF('3 pr-2'!AK150=2020,BJ150,0)</f>
        <v>0</v>
      </c>
      <c r="BQ150" s="1579">
        <f>IF('3 pr-2'!AK150=2021,BJ150,0)</f>
        <v>0</v>
      </c>
      <c r="BR150" s="1579">
        <f>IF('3 pr-2'!AK150=2022,BJ150,0)</f>
        <v>0</v>
      </c>
      <c r="BS150" s="1579">
        <f>IF('3 pr-2'!AK150=2023,BJ150,0)</f>
        <v>0</v>
      </c>
      <c r="BT150" s="350"/>
      <c r="BU150" s="537"/>
      <c r="BV150" s="345"/>
      <c r="BW150" s="345"/>
      <c r="BX150" s="345"/>
      <c r="BY150" s="345"/>
      <c r="BZ150" s="345"/>
      <c r="CA150" s="345"/>
      <c r="CB150" s="345"/>
      <c r="CC150" s="895">
        <f t="shared" si="624"/>
        <v>0</v>
      </c>
      <c r="CD150" s="345"/>
      <c r="CE150" s="1579"/>
      <c r="CF150" s="1579"/>
      <c r="CG150" s="1579">
        <f>IF(YEAR('3 pr-2'!$AK150)=2017,$CD150,0)</f>
        <v>0</v>
      </c>
      <c r="CH150" s="1579">
        <f>IF(YEAR('3 pr-2'!$AK150)=2018,$CD150,0)</f>
        <v>0</v>
      </c>
      <c r="CI150" s="1579">
        <f>IF(YEAR('3 pr-2'!$AK150)=2019,$CD150,0)</f>
        <v>0</v>
      </c>
      <c r="CJ150" s="1579">
        <f>IF(YEAR('3 pr-2'!$AK150)=2020,$CD150,0)</f>
        <v>0</v>
      </c>
      <c r="CK150" s="1579">
        <f>IF(YEAR('3 pr-2'!$AK150)=2021,$CD150,0)</f>
        <v>0</v>
      </c>
      <c r="CL150" s="1579">
        <f>IF(YEAR('3 pr-2'!$AK150)=2022,$CD150,0)</f>
        <v>0</v>
      </c>
      <c r="CM150" s="1579">
        <f>IF(YEAR('3 pr-2'!$AK150)=2023,$CD150,0)</f>
        <v>0</v>
      </c>
      <c r="CN150" s="350"/>
      <c r="CO150" s="538"/>
      <c r="CP150" s="345"/>
      <c r="CQ150" s="345"/>
      <c r="CR150" s="345"/>
      <c r="CS150" s="345"/>
      <c r="CT150" s="345"/>
      <c r="CU150" s="345"/>
      <c r="CV150" s="345"/>
      <c r="CW150" s="895">
        <f t="shared" si="625"/>
        <v>0</v>
      </c>
      <c r="CX150" s="351"/>
      <c r="CY150" s="1605"/>
      <c r="CZ150" s="1605"/>
      <c r="DA150" s="1594">
        <f>IF(YEAR('3 pr-2'!AK150)=2017,CX150,0)</f>
        <v>0</v>
      </c>
      <c r="DB150" s="1594">
        <f>IF(YEAR('3 pr-2'!AK150)=2018,CX150,0)</f>
        <v>0</v>
      </c>
      <c r="DC150" s="1594">
        <f>IF(YEAR('3 pr-2'!AK150)=2019,CX150,0)</f>
        <v>0</v>
      </c>
      <c r="DD150" s="1594">
        <f>IF(YEAR('3 pr-2'!AK150)=2020,CX150,0)</f>
        <v>0</v>
      </c>
      <c r="DE150" s="1594">
        <f>IF(YEAR('3 pr-2'!AK150)=2021,CX150,0)</f>
        <v>0</v>
      </c>
      <c r="DF150" s="1594">
        <f>IF(YEAR('3 pr-2'!AK150)=2022,CX150,0)</f>
        <v>0</v>
      </c>
      <c r="DG150" s="1594">
        <f>IF(YEAR('3 pr-2'!AK150)=2023,CX150,0)</f>
        <v>0</v>
      </c>
      <c r="DH150" s="350"/>
      <c r="DI150" s="538"/>
      <c r="DJ150" s="345"/>
      <c r="DK150" s="345"/>
      <c r="DL150" s="345"/>
      <c r="DM150" s="345"/>
      <c r="DN150" s="345"/>
      <c r="DO150" s="345"/>
      <c r="DP150" s="345"/>
      <c r="DQ150" s="895"/>
      <c r="DR150" s="351"/>
      <c r="DS150" s="1605"/>
      <c r="DT150" s="1605"/>
      <c r="DU150" s="1594"/>
      <c r="DV150" s="1594"/>
      <c r="DW150" s="1594"/>
      <c r="DX150" s="1594"/>
      <c r="DY150" s="1594"/>
      <c r="DZ150" s="1594"/>
      <c r="EA150" s="1594"/>
      <c r="EB150" s="350"/>
      <c r="EC150" s="538"/>
      <c r="ED150" s="333"/>
      <c r="EE150" s="1605"/>
      <c r="EF150" s="1605"/>
      <c r="EG150" s="1594">
        <f>IF(YEAR('3 pr-2'!BP150)=2017,ED150,0)</f>
        <v>0</v>
      </c>
      <c r="EH150" s="1594">
        <f>IF(YEAR('3 pr-2'!BP150)=2018,ED150,0)</f>
        <v>0</v>
      </c>
      <c r="EI150" s="1594">
        <f>IF(YEAR('3 pr-2'!BP150)=2019,ED150,0)</f>
        <v>0</v>
      </c>
      <c r="EJ150" s="1594">
        <f>IF(YEAR('3 pr-2'!BP150)=2020,ED150,0)</f>
        <v>0</v>
      </c>
      <c r="EK150" s="1594">
        <f>IF(YEAR('3 pr-2'!BP150)=2021,ED150,0)</f>
        <v>0</v>
      </c>
      <c r="EL150" s="1594">
        <f>IF(YEAR('3 pr-2'!BP150)=2022,ED150,0)</f>
        <v>0</v>
      </c>
      <c r="EM150" s="1594">
        <f>IF(YEAR('3 pr-2'!BP150)=2023,ED150,0)</f>
        <v>0</v>
      </c>
    </row>
    <row r="151" spans="1:143" ht="61.5" thickTop="1" thickBot="1" x14ac:dyDescent="0.3">
      <c r="A151" s="345" t="str">
        <f>CONCATENATE('3 pr-2'!A151)</f>
        <v>2.1.3.1.3</v>
      </c>
      <c r="B151" s="345" t="str">
        <f>CONCATENATE('3 pr-2'!B151)</f>
        <v>R01-4407-270000-2313</v>
      </c>
      <c r="C151" s="1321" t="str">
        <f>CONCATENATE('ketv. 2'!B150)</f>
        <v>08.1.1-CPVA-R-407-11-0005</v>
      </c>
      <c r="D151" s="312" t="str">
        <f>CONCATENATE('3 pr-2'!D151)</f>
        <v>Socialinių paslaugų plėtra Alytaus mieste</v>
      </c>
      <c r="E151" s="312" t="str">
        <f>CONCATENATE('3 pr-2'!E151)</f>
        <v>Alytaus miesto savivaldybės administracija</v>
      </c>
      <c r="F151" s="312" t="str">
        <f>CONCATENATE('3 pr-2'!F151)</f>
        <v>Lietuvos Respublikos socialinės apsaugos ir darbo ministerija</v>
      </c>
      <c r="G151" s="312" t="str">
        <f>CONCATENATE('3 pr-2'!G151)</f>
        <v>Alytaus m. sav.</v>
      </c>
      <c r="H151" s="345" t="str">
        <f>CONCATENATE('3 pr-2'!H151)</f>
        <v>08.1.2-CPVA-R-407</v>
      </c>
      <c r="I151" s="345" t="str">
        <f>CONCATENATE('3 pr-2'!I151)</f>
        <v>R</v>
      </c>
      <c r="J151" s="345" t="str">
        <f>CONCATENATE('3 pr-2'!J151)</f>
        <v>-</v>
      </c>
      <c r="K151" s="345" t="str">
        <f>CONCATENATE('3 pr-2'!K151)</f>
        <v>-</v>
      </c>
      <c r="L151" s="345" t="s">
        <v>524</v>
      </c>
      <c r="M151" s="537" t="s">
        <v>526</v>
      </c>
      <c r="N151" s="345"/>
      <c r="O151" s="345"/>
      <c r="P151" s="345"/>
      <c r="Q151" s="345"/>
      <c r="R151" s="345"/>
      <c r="S151" s="345"/>
      <c r="T151" s="345"/>
      <c r="U151" s="893">
        <f t="shared" si="620"/>
        <v>0</v>
      </c>
      <c r="V151" s="345">
        <v>1</v>
      </c>
      <c r="W151" s="1578" t="str">
        <f ca="1">IF('ketv. 6 '!L150&gt;0,"1",0)</f>
        <v>1</v>
      </c>
      <c r="X151" s="1579">
        <f t="shared" ca="1" si="621"/>
        <v>0</v>
      </c>
      <c r="Y151" s="1579">
        <f>IF(YEAR('3 pr-2'!$AK151)=2017,$V151,0)</f>
        <v>0</v>
      </c>
      <c r="Z151" s="1579">
        <f>IF(YEAR('3 pr-2'!$AK151)=2018,$V151,0)</f>
        <v>0</v>
      </c>
      <c r="AA151" s="1579">
        <f>IF(YEAR('3 pr-2'!$AK151)=2019,$V151,0)</f>
        <v>1</v>
      </c>
      <c r="AB151" s="1579">
        <f>IF(YEAR('3 pr-2'!$AK151)=2020,$V151,0)</f>
        <v>0</v>
      </c>
      <c r="AC151" s="1579">
        <f>IF(YEAR('3 pr-2'!$AK151)=2021,$V151,0)</f>
        <v>0</v>
      </c>
      <c r="AD151" s="1579">
        <f>IF(YEAR('3 pr-2'!$AK151)=2022,$V151,0)</f>
        <v>0</v>
      </c>
      <c r="AE151" s="1579">
        <f>IF(YEAR('3 pr-2'!$AK151)=2023,$V151,0)</f>
        <v>0</v>
      </c>
      <c r="AF151" s="350"/>
      <c r="AG151" s="537"/>
      <c r="AH151" s="345"/>
      <c r="AI151" s="345"/>
      <c r="AJ151" s="345"/>
      <c r="AK151" s="345"/>
      <c r="AL151" s="345"/>
      <c r="AM151" s="345"/>
      <c r="AN151" s="345"/>
      <c r="AO151" s="895">
        <f t="shared" si="622"/>
        <v>0</v>
      </c>
      <c r="AP151" s="345"/>
      <c r="AQ151" s="1597"/>
      <c r="AR151" s="1579"/>
      <c r="AS151" s="1579">
        <f>IF(YEAR('3 pr-2'!$AK151)=2017,$AP151,0)</f>
        <v>0</v>
      </c>
      <c r="AT151" s="1579">
        <f>IF(YEAR('3 pr-2'!$AK151)=2018,$AP151,0)</f>
        <v>0</v>
      </c>
      <c r="AU151" s="1579">
        <f>IF(YEAR('3 pr-2'!$AK151)=2019,$AP151,0)</f>
        <v>0</v>
      </c>
      <c r="AV151" s="1579">
        <f>IF(YEAR('3 pr-2'!$AK151)=2020,$AP151,0)</f>
        <v>0</v>
      </c>
      <c r="AW151" s="1579">
        <f>IF(YEAR('3 pr-2'!$AK151)=2021,$AP151,0)</f>
        <v>0</v>
      </c>
      <c r="AX151" s="1579">
        <f>IF(YEAR('3 pr-2'!$AK151)=2022,$AP151,0)</f>
        <v>0</v>
      </c>
      <c r="AY151" s="1579">
        <f>IF(YEAR('3 pr-2'!$AK151)=2023,$AP151,0)</f>
        <v>0</v>
      </c>
      <c r="AZ151" s="345"/>
      <c r="BA151" s="536"/>
      <c r="BB151" s="345"/>
      <c r="BC151" s="345"/>
      <c r="BD151" s="345"/>
      <c r="BE151" s="345"/>
      <c r="BF151" s="345"/>
      <c r="BG151" s="345"/>
      <c r="BH151" s="345"/>
      <c r="BI151" s="895">
        <f t="shared" si="623"/>
        <v>0</v>
      </c>
      <c r="BJ151" s="345"/>
      <c r="BK151" s="1597"/>
      <c r="BL151" s="1579"/>
      <c r="BM151" s="1579">
        <f>IF('3 pr-2'!AK151=2017,BJ151,0)</f>
        <v>0</v>
      </c>
      <c r="BN151" s="1579">
        <f>IF('3 pr-2'!AK151=2018,BJ151,0)</f>
        <v>0</v>
      </c>
      <c r="BO151" s="1579">
        <f>IF('3 pr-2'!AK151=2019,BJ151,0)</f>
        <v>0</v>
      </c>
      <c r="BP151" s="1579">
        <f>IF('3 pr-2'!AK151=2020,BJ151,0)</f>
        <v>0</v>
      </c>
      <c r="BQ151" s="1579">
        <f>IF('3 pr-2'!AK151=2021,BJ151,0)</f>
        <v>0</v>
      </c>
      <c r="BR151" s="1579">
        <f>IF('3 pr-2'!AK151=2022,BJ151,0)</f>
        <v>0</v>
      </c>
      <c r="BS151" s="1579">
        <f>IF('3 pr-2'!AK151=2023,BJ151,0)</f>
        <v>0</v>
      </c>
      <c r="BT151" s="350"/>
      <c r="BU151" s="537"/>
      <c r="BV151" s="345"/>
      <c r="BW151" s="345"/>
      <c r="BX151" s="345"/>
      <c r="BY151" s="345"/>
      <c r="BZ151" s="345"/>
      <c r="CA151" s="345"/>
      <c r="CB151" s="345"/>
      <c r="CC151" s="895">
        <f t="shared" si="624"/>
        <v>0</v>
      </c>
      <c r="CD151" s="345"/>
      <c r="CE151" s="1579"/>
      <c r="CF151" s="1579"/>
      <c r="CG151" s="1579">
        <f>IF(YEAR('3 pr-2'!$AK151)=2017,$CD151,0)</f>
        <v>0</v>
      </c>
      <c r="CH151" s="1579">
        <f>IF(YEAR('3 pr-2'!$AK151)=2018,$CD151,0)</f>
        <v>0</v>
      </c>
      <c r="CI151" s="1579">
        <f>IF(YEAR('3 pr-2'!$AK151)=2019,$CD151,0)</f>
        <v>0</v>
      </c>
      <c r="CJ151" s="1579">
        <f>IF(YEAR('3 pr-2'!$AK151)=2020,$CD151,0)</f>
        <v>0</v>
      </c>
      <c r="CK151" s="1579">
        <f>IF(YEAR('3 pr-2'!$AK151)=2021,$CD151,0)</f>
        <v>0</v>
      </c>
      <c r="CL151" s="1579">
        <f>IF(YEAR('3 pr-2'!$AK151)=2022,$CD151,0)</f>
        <v>0</v>
      </c>
      <c r="CM151" s="1579">
        <f>IF(YEAR('3 pr-2'!$AK151)=2023,$CD151,0)</f>
        <v>0</v>
      </c>
      <c r="CN151" s="350"/>
      <c r="CO151" s="538"/>
      <c r="CP151" s="345"/>
      <c r="CQ151" s="345"/>
      <c r="CR151" s="345"/>
      <c r="CS151" s="345"/>
      <c r="CT151" s="345"/>
      <c r="CU151" s="345"/>
      <c r="CV151" s="345"/>
      <c r="CW151" s="895">
        <f t="shared" si="625"/>
        <v>0</v>
      </c>
      <c r="CX151" s="351"/>
      <c r="CY151" s="1605"/>
      <c r="CZ151" s="1605"/>
      <c r="DA151" s="1594">
        <f>IF(YEAR('3 pr-2'!AK151)=2017,CX151,0)</f>
        <v>0</v>
      </c>
      <c r="DB151" s="1594">
        <f>IF(YEAR('3 pr-2'!AK151)=2018,CX151,0)</f>
        <v>0</v>
      </c>
      <c r="DC151" s="1594">
        <f>IF(YEAR('3 pr-2'!AK151)=2019,CX151,0)</f>
        <v>0</v>
      </c>
      <c r="DD151" s="1594">
        <f>IF(YEAR('3 pr-2'!AK151)=2020,CX151,0)</f>
        <v>0</v>
      </c>
      <c r="DE151" s="1594">
        <f>IF(YEAR('3 pr-2'!AK151)=2021,CX151,0)</f>
        <v>0</v>
      </c>
      <c r="DF151" s="1594">
        <f>IF(YEAR('3 pr-2'!AK151)=2022,CX151,0)</f>
        <v>0</v>
      </c>
      <c r="DG151" s="1594">
        <f>IF(YEAR('3 pr-2'!AK151)=2023,CX151,0)</f>
        <v>0</v>
      </c>
      <c r="DH151" s="350"/>
      <c r="DI151" s="538"/>
      <c r="DJ151" s="345"/>
      <c r="DK151" s="345"/>
      <c r="DL151" s="345"/>
      <c r="DM151" s="345"/>
      <c r="DN151" s="345"/>
      <c r="DO151" s="345"/>
      <c r="DP151" s="345"/>
      <c r="DQ151" s="895"/>
      <c r="DR151" s="351"/>
      <c r="DS151" s="1605"/>
      <c r="DT151" s="1605"/>
      <c r="DU151" s="1594"/>
      <c r="DV151" s="1594"/>
      <c r="DW151" s="1594"/>
      <c r="DX151" s="1594"/>
      <c r="DY151" s="1594"/>
      <c r="DZ151" s="1594"/>
      <c r="EA151" s="1594"/>
      <c r="EB151" s="350"/>
      <c r="EC151" s="538"/>
      <c r="ED151" s="333"/>
      <c r="EE151" s="1605"/>
      <c r="EF151" s="1605"/>
      <c r="EG151" s="1594">
        <f>IF(YEAR('3 pr-2'!BP151)=2017,ED151,0)</f>
        <v>0</v>
      </c>
      <c r="EH151" s="1594">
        <f>IF(YEAR('3 pr-2'!BP151)=2018,ED151,0)</f>
        <v>0</v>
      </c>
      <c r="EI151" s="1594">
        <f>IF(YEAR('3 pr-2'!BP151)=2019,ED151,0)</f>
        <v>0</v>
      </c>
      <c r="EJ151" s="1594">
        <f>IF(YEAR('3 pr-2'!BP151)=2020,ED151,0)</f>
        <v>0</v>
      </c>
      <c r="EK151" s="1594">
        <f>IF(YEAR('3 pr-2'!BP151)=2021,ED151,0)</f>
        <v>0</v>
      </c>
      <c r="EL151" s="1594">
        <f>IF(YEAR('3 pr-2'!BP151)=2022,ED151,0)</f>
        <v>0</v>
      </c>
      <c r="EM151" s="1594">
        <f>IF(YEAR('3 pr-2'!BP151)=2023,ED151,0)</f>
        <v>0</v>
      </c>
    </row>
    <row r="152" spans="1:143" ht="61.5" thickTop="1" thickBot="1" x14ac:dyDescent="0.3">
      <c r="A152" s="345" t="str">
        <f>CONCATENATE('3 pr-2'!A152)</f>
        <v>2.1.3.1.4</v>
      </c>
      <c r="B152" s="345" t="str">
        <f>CONCATENATE('3 pr-2'!B152)</f>
        <v>R01-4407-270000-2314</v>
      </c>
      <c r="C152" s="1321" t="str">
        <f>CONCATENATE('ketv. 2'!B151)</f>
        <v>08.1.1-CPVA-R-407-11-0001</v>
      </c>
      <c r="D152" s="312" t="str">
        <f>CONCATENATE('3 pr-2'!D152)</f>
        <v>Socialinių paslaugų infrastruktūros plėtra Druskininkų savivaldybėje</v>
      </c>
      <c r="E152" s="312" t="str">
        <f>CONCATENATE('3 pr-2'!E152)</f>
        <v>Druskininkų savivaldybės administracija</v>
      </c>
      <c r="F152" s="312" t="str">
        <f>CONCATENATE('3 pr-2'!F152)</f>
        <v>Lietuvos Respublikos socialinės apsaugos ir darbo ministerija</v>
      </c>
      <c r="G152" s="312" t="str">
        <f>CONCATENATE('3 pr-2'!G152)</f>
        <v>Druskininkų sav.</v>
      </c>
      <c r="H152" s="345" t="str">
        <f>CONCATENATE('3 pr-2'!H152)</f>
        <v>08.1.2-CPVA-R-407</v>
      </c>
      <c r="I152" s="345" t="str">
        <f>CONCATENATE('3 pr-2'!I152)</f>
        <v>R</v>
      </c>
      <c r="J152" s="345" t="str">
        <f>CONCATENATE('3 pr-2'!J152)</f>
        <v>-</v>
      </c>
      <c r="K152" s="345" t="str">
        <f>CONCATENATE('3 pr-2'!K152)</f>
        <v>-</v>
      </c>
      <c r="L152" s="345" t="s">
        <v>524</v>
      </c>
      <c r="M152" s="537" t="s">
        <v>525</v>
      </c>
      <c r="N152" s="345"/>
      <c r="O152" s="345"/>
      <c r="P152" s="345"/>
      <c r="Q152" s="345"/>
      <c r="R152" s="345"/>
      <c r="S152" s="345"/>
      <c r="T152" s="345"/>
      <c r="U152" s="893">
        <f t="shared" si="620"/>
        <v>0</v>
      </c>
      <c r="V152" s="345">
        <v>1</v>
      </c>
      <c r="W152" s="1578" t="str">
        <f ca="1">IF('ketv. 6 '!L151&gt;0,"1",0)</f>
        <v>1</v>
      </c>
      <c r="X152" s="1579">
        <f t="shared" ca="1" si="621"/>
        <v>0</v>
      </c>
      <c r="Y152" s="1579">
        <f>IF(YEAR('3 pr-2'!$AK152)=2017,$V152,0)</f>
        <v>0</v>
      </c>
      <c r="Z152" s="1579">
        <f>IF(YEAR('3 pr-2'!$AK152)=2018,$V152,0)</f>
        <v>0</v>
      </c>
      <c r="AA152" s="1579">
        <f>IF(YEAR('3 pr-2'!$AK152)=2019,$V152,0)</f>
        <v>1</v>
      </c>
      <c r="AB152" s="1579">
        <f>IF(YEAR('3 pr-2'!$AK152)=2020,$V152,0)</f>
        <v>0</v>
      </c>
      <c r="AC152" s="1579">
        <f>IF(YEAR('3 pr-2'!$AK152)=2021,$V152,0)</f>
        <v>0</v>
      </c>
      <c r="AD152" s="1579">
        <f>IF(YEAR('3 pr-2'!$AK152)=2022,$V152,0)</f>
        <v>0</v>
      </c>
      <c r="AE152" s="1579">
        <f>IF(YEAR('3 pr-2'!$AK152)=2023,$V152,0)</f>
        <v>0</v>
      </c>
      <c r="AF152" s="350"/>
      <c r="AG152" s="537"/>
      <c r="AH152" s="345"/>
      <c r="AI152" s="345"/>
      <c r="AJ152" s="345"/>
      <c r="AK152" s="345"/>
      <c r="AL152" s="345"/>
      <c r="AM152" s="345"/>
      <c r="AN152" s="345"/>
      <c r="AO152" s="895">
        <f t="shared" si="622"/>
        <v>0</v>
      </c>
      <c r="AP152" s="345"/>
      <c r="AQ152" s="1597"/>
      <c r="AR152" s="1579"/>
      <c r="AS152" s="1579">
        <f>IF(YEAR('3 pr-2'!$AK152)=2017,$AP152,0)</f>
        <v>0</v>
      </c>
      <c r="AT152" s="1579">
        <f>IF(YEAR('3 pr-2'!$AK152)=2018,$AP152,0)</f>
        <v>0</v>
      </c>
      <c r="AU152" s="1579">
        <f>IF(YEAR('3 pr-2'!$AK152)=2019,$AP152,0)</f>
        <v>0</v>
      </c>
      <c r="AV152" s="1579">
        <f>IF(YEAR('3 pr-2'!$AK152)=2020,$AP152,0)</f>
        <v>0</v>
      </c>
      <c r="AW152" s="1579">
        <f>IF(YEAR('3 pr-2'!$AK152)=2021,$AP152,0)</f>
        <v>0</v>
      </c>
      <c r="AX152" s="1579">
        <f>IF(YEAR('3 pr-2'!$AK152)=2022,$AP152,0)</f>
        <v>0</v>
      </c>
      <c r="AY152" s="1579">
        <f>IF(YEAR('3 pr-2'!$AK152)=2023,$AP152,0)</f>
        <v>0</v>
      </c>
      <c r="AZ152" s="345"/>
      <c r="BA152" s="536"/>
      <c r="BB152" s="345"/>
      <c r="BC152" s="345"/>
      <c r="BD152" s="345"/>
      <c r="BE152" s="345"/>
      <c r="BF152" s="345"/>
      <c r="BG152" s="345"/>
      <c r="BH152" s="345"/>
      <c r="BI152" s="895">
        <f t="shared" si="623"/>
        <v>0</v>
      </c>
      <c r="BJ152" s="345"/>
      <c r="BK152" s="1597"/>
      <c r="BL152" s="1579"/>
      <c r="BM152" s="1579">
        <f>IF('3 pr-2'!AK152=2017,BJ152,0)</f>
        <v>0</v>
      </c>
      <c r="BN152" s="1579">
        <f>IF('3 pr-2'!AK152=2018,BJ152,0)</f>
        <v>0</v>
      </c>
      <c r="BO152" s="1579">
        <f>IF('3 pr-2'!AK152=2019,BJ152,0)</f>
        <v>0</v>
      </c>
      <c r="BP152" s="1579">
        <f>IF('3 pr-2'!AK152=2020,BJ152,0)</f>
        <v>0</v>
      </c>
      <c r="BQ152" s="1579">
        <f>IF('3 pr-2'!AK152=2021,BJ152,0)</f>
        <v>0</v>
      </c>
      <c r="BR152" s="1579">
        <f>IF('3 pr-2'!AK152=2022,BJ152,0)</f>
        <v>0</v>
      </c>
      <c r="BS152" s="1579">
        <f>IF('3 pr-2'!AK152=2023,BJ152,0)</f>
        <v>0</v>
      </c>
      <c r="BT152" s="350"/>
      <c r="BU152" s="537"/>
      <c r="BV152" s="345"/>
      <c r="BW152" s="345"/>
      <c r="BX152" s="345"/>
      <c r="BY152" s="345"/>
      <c r="BZ152" s="345"/>
      <c r="CA152" s="345"/>
      <c r="CB152" s="345"/>
      <c r="CC152" s="895">
        <f t="shared" si="624"/>
        <v>0</v>
      </c>
      <c r="CD152" s="345"/>
      <c r="CE152" s="1579"/>
      <c r="CF152" s="1579"/>
      <c r="CG152" s="1579">
        <f>IF(YEAR('3 pr-2'!$AK152)=2017,$CD152,0)</f>
        <v>0</v>
      </c>
      <c r="CH152" s="1579">
        <f>IF(YEAR('3 pr-2'!$AK152)=2018,$CD152,0)</f>
        <v>0</v>
      </c>
      <c r="CI152" s="1579">
        <f>IF(YEAR('3 pr-2'!$AK152)=2019,$CD152,0)</f>
        <v>0</v>
      </c>
      <c r="CJ152" s="1579">
        <f>IF(YEAR('3 pr-2'!$AK152)=2020,$CD152,0)</f>
        <v>0</v>
      </c>
      <c r="CK152" s="1579">
        <f>IF(YEAR('3 pr-2'!$AK152)=2021,$CD152,0)</f>
        <v>0</v>
      </c>
      <c r="CL152" s="1579">
        <f>IF(YEAR('3 pr-2'!$AK152)=2022,$CD152,0)</f>
        <v>0</v>
      </c>
      <c r="CM152" s="1579">
        <f>IF(YEAR('3 pr-2'!$AK152)=2023,$CD152,0)</f>
        <v>0</v>
      </c>
      <c r="CN152" s="350"/>
      <c r="CO152" s="538"/>
      <c r="CP152" s="345"/>
      <c r="CQ152" s="345"/>
      <c r="CR152" s="345"/>
      <c r="CS152" s="345"/>
      <c r="CT152" s="345"/>
      <c r="CU152" s="345"/>
      <c r="CV152" s="345"/>
      <c r="CW152" s="895">
        <f t="shared" si="625"/>
        <v>0</v>
      </c>
      <c r="CX152" s="351"/>
      <c r="CY152" s="1605"/>
      <c r="CZ152" s="1605"/>
      <c r="DA152" s="1594">
        <f>IF(YEAR('3 pr-2'!AK152)=2017,CX152,0)</f>
        <v>0</v>
      </c>
      <c r="DB152" s="1594">
        <f>IF(YEAR('3 pr-2'!AK152)=2018,CX152,0)</f>
        <v>0</v>
      </c>
      <c r="DC152" s="1594">
        <f>IF(YEAR('3 pr-2'!AK152)=2019,CX152,0)</f>
        <v>0</v>
      </c>
      <c r="DD152" s="1594">
        <f>IF(YEAR('3 pr-2'!AK152)=2020,CX152,0)</f>
        <v>0</v>
      </c>
      <c r="DE152" s="1594">
        <f>IF(YEAR('3 pr-2'!AK152)=2021,CX152,0)</f>
        <v>0</v>
      </c>
      <c r="DF152" s="1594">
        <f>IF(YEAR('3 pr-2'!AK152)=2022,CX152,0)</f>
        <v>0</v>
      </c>
      <c r="DG152" s="1594">
        <f>IF(YEAR('3 pr-2'!AK152)=2023,CX152,0)</f>
        <v>0</v>
      </c>
      <c r="DH152" s="350"/>
      <c r="DI152" s="538"/>
      <c r="DJ152" s="345"/>
      <c r="DK152" s="345"/>
      <c r="DL152" s="345"/>
      <c r="DM152" s="345"/>
      <c r="DN152" s="345"/>
      <c r="DO152" s="345"/>
      <c r="DP152" s="345"/>
      <c r="DQ152" s="895"/>
      <c r="DR152" s="351"/>
      <c r="DS152" s="1605"/>
      <c r="DT152" s="1605"/>
      <c r="DU152" s="1594"/>
      <c r="DV152" s="1594"/>
      <c r="DW152" s="1594"/>
      <c r="DX152" s="1594"/>
      <c r="DY152" s="1594"/>
      <c r="DZ152" s="1594"/>
      <c r="EA152" s="1594"/>
      <c r="EB152" s="350"/>
      <c r="EC152" s="538"/>
      <c r="ED152" s="333"/>
      <c r="EE152" s="1605"/>
      <c r="EF152" s="1605"/>
      <c r="EG152" s="1594">
        <f>IF(YEAR('3 pr-2'!BP152)=2017,ED152,0)</f>
        <v>0</v>
      </c>
      <c r="EH152" s="1594">
        <f>IF(YEAR('3 pr-2'!BP152)=2018,ED152,0)</f>
        <v>0</v>
      </c>
      <c r="EI152" s="1594">
        <f>IF(YEAR('3 pr-2'!BP152)=2019,ED152,0)</f>
        <v>0</v>
      </c>
      <c r="EJ152" s="1594">
        <f>IF(YEAR('3 pr-2'!BP152)=2020,ED152,0)</f>
        <v>0</v>
      </c>
      <c r="EK152" s="1594">
        <f>IF(YEAR('3 pr-2'!BP152)=2021,ED152,0)</f>
        <v>0</v>
      </c>
      <c r="EL152" s="1594">
        <f>IF(YEAR('3 pr-2'!BP152)=2022,ED152,0)</f>
        <v>0</v>
      </c>
      <c r="EM152" s="1594">
        <f>IF(YEAR('3 pr-2'!BP152)=2023,ED152,0)</f>
        <v>0</v>
      </c>
    </row>
    <row r="153" spans="1:143" ht="73.5" thickTop="1" thickBot="1" x14ac:dyDescent="0.3">
      <c r="A153" s="345" t="str">
        <f>CONCATENATE('3 pr-2'!A153)</f>
        <v>2.1.3.1.5</v>
      </c>
      <c r="B153" s="345" t="str">
        <f>CONCATENATE('3 pr-2'!B153)</f>
        <v>R01-4407-270000-2315</v>
      </c>
      <c r="C153" s="1321" t="str">
        <f>CONCATENATE('ketv. 2'!B152)</f>
        <v>08.1.1-CPVA-R-407-11-0003</v>
      </c>
      <c r="D153" s="312" t="str">
        <f>CONCATENATE('3 pr-2'!D153)</f>
        <v>Socialinių paslaugų infrastruktūros modernizavimas ir plėtra VšĮ Kapčiamiesčio globos namuose</v>
      </c>
      <c r="E153" s="312" t="str">
        <f>CONCATENATE('3 pr-2'!E153)</f>
        <v>VšĮ Kapčiamiesčio globos namai</v>
      </c>
      <c r="F153" s="312" t="str">
        <f>CONCATENATE('3 pr-2'!F153)</f>
        <v>Lietuvos Respublikos socialinės apsaugos ir darbo ministerija</v>
      </c>
      <c r="G153" s="312" t="str">
        <f>CONCATENATE('3 pr-2'!G153)</f>
        <v>Lazdijų r. sav.</v>
      </c>
      <c r="H153" s="345" t="str">
        <f>CONCATENATE('3 pr-2'!H153)</f>
        <v>08.1.2-CPVA-R-407</v>
      </c>
      <c r="I153" s="345" t="str">
        <f>CONCATENATE('3 pr-2'!I153)</f>
        <v>R</v>
      </c>
      <c r="J153" s="345" t="str">
        <f>CONCATENATE('3 pr-2'!J153)</f>
        <v>-</v>
      </c>
      <c r="K153" s="345" t="str">
        <f>CONCATENATE('3 pr-2'!K153)</f>
        <v>-</v>
      </c>
      <c r="L153" s="345" t="s">
        <v>524</v>
      </c>
      <c r="M153" s="537" t="s">
        <v>525</v>
      </c>
      <c r="N153" s="345"/>
      <c r="O153" s="345"/>
      <c r="P153" s="345"/>
      <c r="Q153" s="345"/>
      <c r="R153" s="345"/>
      <c r="S153" s="345"/>
      <c r="T153" s="345"/>
      <c r="U153" s="893">
        <f t="shared" si="620"/>
        <v>0</v>
      </c>
      <c r="V153" s="345">
        <v>1</v>
      </c>
      <c r="W153" s="1578" t="str">
        <f ca="1">IF('ketv. 6 '!L152&gt;0,"1",0)</f>
        <v>1</v>
      </c>
      <c r="X153" s="1579">
        <f t="shared" ca="1" si="621"/>
        <v>0</v>
      </c>
      <c r="Y153" s="1579">
        <f>IF(YEAR('3 pr-2'!$AK153)=2017,$V153,0)</f>
        <v>0</v>
      </c>
      <c r="Z153" s="1579">
        <f>IF(YEAR('3 pr-2'!$AK153)=2018,$V153,0)</f>
        <v>0</v>
      </c>
      <c r="AA153" s="1579">
        <f>IF(YEAR('3 pr-2'!$AK153)=2019,$V153,0)</f>
        <v>1</v>
      </c>
      <c r="AB153" s="1579">
        <f>IF(YEAR('3 pr-2'!$AK153)=2020,$V153,0)</f>
        <v>0</v>
      </c>
      <c r="AC153" s="1579">
        <f>IF(YEAR('3 pr-2'!$AK153)=2021,$V153,0)</f>
        <v>0</v>
      </c>
      <c r="AD153" s="1579">
        <f>IF(YEAR('3 pr-2'!$AK153)=2022,$V153,0)</f>
        <v>0</v>
      </c>
      <c r="AE153" s="1579">
        <f>IF(YEAR('3 pr-2'!$AK153)=2023,$V153,0)</f>
        <v>0</v>
      </c>
      <c r="AF153" s="350"/>
      <c r="AG153" s="537"/>
      <c r="AH153" s="345"/>
      <c r="AI153" s="345"/>
      <c r="AJ153" s="345"/>
      <c r="AK153" s="345"/>
      <c r="AL153" s="345"/>
      <c r="AM153" s="345"/>
      <c r="AN153" s="345"/>
      <c r="AO153" s="895">
        <f t="shared" si="622"/>
        <v>0</v>
      </c>
      <c r="AP153" s="345"/>
      <c r="AQ153" s="1597"/>
      <c r="AR153" s="1579"/>
      <c r="AS153" s="1579">
        <f>IF(YEAR('3 pr-2'!$AK153)=2017,$AP153,0)</f>
        <v>0</v>
      </c>
      <c r="AT153" s="1579">
        <f>IF(YEAR('3 pr-2'!$AK153)=2018,$AP153,0)</f>
        <v>0</v>
      </c>
      <c r="AU153" s="1579">
        <f>IF(YEAR('3 pr-2'!$AK153)=2019,$AP153,0)</f>
        <v>0</v>
      </c>
      <c r="AV153" s="1579">
        <f>IF(YEAR('3 pr-2'!$AK153)=2020,$AP153,0)</f>
        <v>0</v>
      </c>
      <c r="AW153" s="1579">
        <f>IF(YEAR('3 pr-2'!$AK153)=2021,$AP153,0)</f>
        <v>0</v>
      </c>
      <c r="AX153" s="1579">
        <f>IF(YEAR('3 pr-2'!$AK153)=2022,$AP153,0)</f>
        <v>0</v>
      </c>
      <c r="AY153" s="1579">
        <f>IF(YEAR('3 pr-2'!$AK153)=2023,$AP153,0)</f>
        <v>0</v>
      </c>
      <c r="AZ153" s="345"/>
      <c r="BA153" s="536"/>
      <c r="BB153" s="345"/>
      <c r="BC153" s="345"/>
      <c r="BD153" s="345"/>
      <c r="BE153" s="345"/>
      <c r="BF153" s="345"/>
      <c r="BG153" s="345"/>
      <c r="BH153" s="345"/>
      <c r="BI153" s="895">
        <f t="shared" si="623"/>
        <v>0</v>
      </c>
      <c r="BJ153" s="345"/>
      <c r="BK153" s="1597"/>
      <c r="BL153" s="1579"/>
      <c r="BM153" s="1579">
        <f>IF('3 pr-2'!AK153=2017,BJ153,0)</f>
        <v>0</v>
      </c>
      <c r="BN153" s="1579">
        <f>IF('3 pr-2'!AK153=2018,BJ153,0)</f>
        <v>0</v>
      </c>
      <c r="BO153" s="1579">
        <f>IF('3 pr-2'!AK153=2019,BJ153,0)</f>
        <v>0</v>
      </c>
      <c r="BP153" s="1579">
        <f>IF('3 pr-2'!AK153=2020,BJ153,0)</f>
        <v>0</v>
      </c>
      <c r="BQ153" s="1579">
        <f>IF('3 pr-2'!AK153=2021,BJ153,0)</f>
        <v>0</v>
      </c>
      <c r="BR153" s="1579">
        <f>IF('3 pr-2'!AK153=2022,BJ153,0)</f>
        <v>0</v>
      </c>
      <c r="BS153" s="1579">
        <f>IF('3 pr-2'!AK153=2023,BJ153,0)</f>
        <v>0</v>
      </c>
      <c r="BT153" s="350"/>
      <c r="BU153" s="537"/>
      <c r="BV153" s="345"/>
      <c r="BW153" s="345"/>
      <c r="BX153" s="345"/>
      <c r="BY153" s="345"/>
      <c r="BZ153" s="345"/>
      <c r="CA153" s="345"/>
      <c r="CB153" s="345"/>
      <c r="CC153" s="895">
        <f t="shared" si="624"/>
        <v>0</v>
      </c>
      <c r="CD153" s="345"/>
      <c r="CE153" s="1579"/>
      <c r="CF153" s="1579"/>
      <c r="CG153" s="1579">
        <f>IF(YEAR('3 pr-2'!$AK153)=2017,$CD153,0)</f>
        <v>0</v>
      </c>
      <c r="CH153" s="1579">
        <f>IF(YEAR('3 pr-2'!$AK153)=2018,$CD153,0)</f>
        <v>0</v>
      </c>
      <c r="CI153" s="1579">
        <f>IF(YEAR('3 pr-2'!$AK153)=2019,$CD153,0)</f>
        <v>0</v>
      </c>
      <c r="CJ153" s="1579">
        <f>IF(YEAR('3 pr-2'!$AK153)=2020,$CD153,0)</f>
        <v>0</v>
      </c>
      <c r="CK153" s="1579">
        <f>IF(YEAR('3 pr-2'!$AK153)=2021,$CD153,0)</f>
        <v>0</v>
      </c>
      <c r="CL153" s="1579">
        <f>IF(YEAR('3 pr-2'!$AK153)=2022,$CD153,0)</f>
        <v>0</v>
      </c>
      <c r="CM153" s="1579">
        <f>IF(YEAR('3 pr-2'!$AK153)=2023,$CD153,0)</f>
        <v>0</v>
      </c>
      <c r="CN153" s="350"/>
      <c r="CO153" s="538"/>
      <c r="CP153" s="345"/>
      <c r="CQ153" s="345"/>
      <c r="CR153" s="345"/>
      <c r="CS153" s="345"/>
      <c r="CT153" s="345"/>
      <c r="CU153" s="345"/>
      <c r="CV153" s="345"/>
      <c r="CW153" s="895">
        <f t="shared" si="625"/>
        <v>0</v>
      </c>
      <c r="CX153" s="351"/>
      <c r="CY153" s="1605"/>
      <c r="CZ153" s="1605"/>
      <c r="DA153" s="1594">
        <f>IF(YEAR('3 pr-2'!AK153)=2017,CX153,0)</f>
        <v>0</v>
      </c>
      <c r="DB153" s="1594">
        <f>IF(YEAR('3 pr-2'!AK153)=2018,CX153,0)</f>
        <v>0</v>
      </c>
      <c r="DC153" s="1594">
        <f>IF(YEAR('3 pr-2'!AK153)=2019,CX153,0)</f>
        <v>0</v>
      </c>
      <c r="DD153" s="1594">
        <f>IF(YEAR('3 pr-2'!AK153)=2020,CX153,0)</f>
        <v>0</v>
      </c>
      <c r="DE153" s="1594">
        <f>IF(YEAR('3 pr-2'!AK153)=2021,CX153,0)</f>
        <v>0</v>
      </c>
      <c r="DF153" s="1594">
        <f>IF(YEAR('3 pr-2'!AK153)=2022,CX153,0)</f>
        <v>0</v>
      </c>
      <c r="DG153" s="1594">
        <f>IF(YEAR('3 pr-2'!AK153)=2023,CX153,0)</f>
        <v>0</v>
      </c>
      <c r="DH153" s="350"/>
      <c r="DI153" s="538"/>
      <c r="DJ153" s="345"/>
      <c r="DK153" s="345"/>
      <c r="DL153" s="345"/>
      <c r="DM153" s="345"/>
      <c r="DN153" s="345"/>
      <c r="DO153" s="345"/>
      <c r="DP153" s="345"/>
      <c r="DQ153" s="895"/>
      <c r="DR153" s="351"/>
      <c r="DS153" s="1605"/>
      <c r="DT153" s="1605"/>
      <c r="DU153" s="1594"/>
      <c r="DV153" s="1594"/>
      <c r="DW153" s="1594"/>
      <c r="DX153" s="1594"/>
      <c r="DY153" s="1594"/>
      <c r="DZ153" s="1594"/>
      <c r="EA153" s="1594"/>
      <c r="EB153" s="350"/>
      <c r="EC153" s="538"/>
      <c r="ED153" s="333"/>
      <c r="EE153" s="1605"/>
      <c r="EF153" s="1605"/>
      <c r="EG153" s="1594">
        <f>IF(YEAR('3 pr-2'!BP153)=2017,ED153,0)</f>
        <v>0</v>
      </c>
      <c r="EH153" s="1594">
        <f>IF(YEAR('3 pr-2'!BP153)=2018,ED153,0)</f>
        <v>0</v>
      </c>
      <c r="EI153" s="1594">
        <f>IF(YEAR('3 pr-2'!BP153)=2019,ED153,0)</f>
        <v>0</v>
      </c>
      <c r="EJ153" s="1594">
        <f>IF(YEAR('3 pr-2'!BP153)=2020,ED153,0)</f>
        <v>0</v>
      </c>
      <c r="EK153" s="1594">
        <f>IF(YEAR('3 pr-2'!BP153)=2021,ED153,0)</f>
        <v>0</v>
      </c>
      <c r="EL153" s="1594">
        <f>IF(YEAR('3 pr-2'!BP153)=2022,ED153,0)</f>
        <v>0</v>
      </c>
      <c r="EM153" s="1594">
        <f>IF(YEAR('3 pr-2'!BP153)=2023,ED153,0)</f>
        <v>0</v>
      </c>
    </row>
    <row r="154" spans="1:143" ht="33" customHeight="1" thickBot="1" x14ac:dyDescent="0.3">
      <c r="A154" s="915" t="str">
        <f>CONCATENATE('3 pr-2'!A154)</f>
        <v>2.1.3.2</v>
      </c>
      <c r="B154" s="1926" t="str">
        <f>CONCATENATE('3 pr-2'!B154)</f>
        <v>Priemonė:
Socialinio būsto fondo plėtra</v>
      </c>
      <c r="C154" s="1927"/>
      <c r="D154" s="1927"/>
      <c r="E154" s="1927"/>
      <c r="F154" s="1927"/>
      <c r="G154" s="1927"/>
      <c r="H154" s="1927"/>
      <c r="I154" s="1927"/>
      <c r="J154" s="1927"/>
      <c r="K154" s="1928"/>
      <c r="L154" s="916"/>
      <c r="M154" s="540"/>
      <c r="N154" s="890">
        <f>SUM(N155:N159)</f>
        <v>41</v>
      </c>
      <c r="O154" s="890">
        <f t="shared" ref="O154:T154" si="626">SUM(O155:O159)</f>
        <v>21</v>
      </c>
      <c r="P154" s="890">
        <f t="shared" si="626"/>
        <v>0</v>
      </c>
      <c r="Q154" s="890">
        <f t="shared" si="626"/>
        <v>0</v>
      </c>
      <c r="R154" s="890">
        <f t="shared" si="626"/>
        <v>0</v>
      </c>
      <c r="S154" s="890">
        <f t="shared" si="626"/>
        <v>0</v>
      </c>
      <c r="T154" s="890">
        <f t="shared" si="626"/>
        <v>0</v>
      </c>
      <c r="U154" s="891">
        <f t="shared" si="620"/>
        <v>62</v>
      </c>
      <c r="V154" s="867"/>
      <c r="W154" s="1592">
        <f ca="1">SUM(W155:W159)</f>
        <v>0</v>
      </c>
      <c r="X154" s="1593"/>
      <c r="Y154" s="1594">
        <f t="shared" ref="Y154:AE154" si="627">SUM(Y155:Y159)</f>
        <v>0</v>
      </c>
      <c r="Z154" s="1594">
        <f t="shared" si="627"/>
        <v>6</v>
      </c>
      <c r="AA154" s="1594">
        <f t="shared" si="627"/>
        <v>100</v>
      </c>
      <c r="AB154" s="1594">
        <f t="shared" si="627"/>
        <v>0</v>
      </c>
      <c r="AC154" s="1594">
        <f t="shared" si="627"/>
        <v>0</v>
      </c>
      <c r="AD154" s="1594">
        <f t="shared" si="627"/>
        <v>0</v>
      </c>
      <c r="AE154" s="1594">
        <f t="shared" si="627"/>
        <v>0</v>
      </c>
      <c r="AF154" s="917"/>
      <c r="AG154" s="889"/>
      <c r="AH154" s="890">
        <f>SUM(AH155:AH159)</f>
        <v>0</v>
      </c>
      <c r="AI154" s="890">
        <f t="shared" ref="AI154" si="628">SUM(AI155:AI159)</f>
        <v>0</v>
      </c>
      <c r="AJ154" s="890">
        <f t="shared" ref="AJ154" si="629">SUM(AJ155:AJ159)</f>
        <v>0</v>
      </c>
      <c r="AK154" s="890">
        <f t="shared" ref="AK154" si="630">SUM(AK155:AK159)</f>
        <v>0</v>
      </c>
      <c r="AL154" s="890">
        <f t="shared" ref="AL154" si="631">SUM(AL155:AL159)</f>
        <v>0</v>
      </c>
      <c r="AM154" s="890">
        <f t="shared" ref="AM154" si="632">SUM(AM155:AM159)</f>
        <v>0</v>
      </c>
      <c r="AN154" s="890">
        <f t="shared" ref="AN154" si="633">SUM(AN155:AN159)</f>
        <v>0</v>
      </c>
      <c r="AO154" s="867">
        <f t="shared" si="622"/>
        <v>0</v>
      </c>
      <c r="AP154" s="867"/>
      <c r="AQ154" s="1594"/>
      <c r="AR154" s="1594"/>
      <c r="AS154" s="1594"/>
      <c r="AT154" s="1594"/>
      <c r="AU154" s="1594"/>
      <c r="AV154" s="1594"/>
      <c r="AW154" s="1594"/>
      <c r="AX154" s="1594"/>
      <c r="AY154" s="1594"/>
      <c r="AZ154" s="867"/>
      <c r="BA154" s="889"/>
      <c r="BB154" s="890">
        <f>SUM(BB155:BB159)</f>
        <v>0</v>
      </c>
      <c r="BC154" s="890">
        <f t="shared" ref="BC154" si="634">SUM(BC155:BC159)</f>
        <v>0</v>
      </c>
      <c r="BD154" s="890">
        <f t="shared" ref="BD154" si="635">SUM(BD155:BD159)</f>
        <v>0</v>
      </c>
      <c r="BE154" s="890">
        <f t="shared" ref="BE154" si="636">SUM(BE155:BE159)</f>
        <v>0</v>
      </c>
      <c r="BF154" s="890">
        <f t="shared" ref="BF154" si="637">SUM(BF155:BF159)</f>
        <v>0</v>
      </c>
      <c r="BG154" s="890">
        <f t="shared" ref="BG154" si="638">SUM(BG155:BG159)</f>
        <v>0</v>
      </c>
      <c r="BH154" s="890">
        <f t="shared" ref="BH154" si="639">SUM(BH155:BH159)</f>
        <v>0</v>
      </c>
      <c r="BI154" s="867">
        <f t="shared" si="623"/>
        <v>0</v>
      </c>
      <c r="BJ154" s="867"/>
      <c r="BK154" s="1594"/>
      <c r="BL154" s="1594"/>
      <c r="BM154" s="1594"/>
      <c r="BN154" s="1594"/>
      <c r="BO154" s="1594"/>
      <c r="BP154" s="1594"/>
      <c r="BQ154" s="1594"/>
      <c r="BR154" s="1594"/>
      <c r="BS154" s="1594"/>
      <c r="BT154" s="890"/>
      <c r="BU154" s="538"/>
      <c r="BV154" s="890">
        <f>SUM(BV155:BV159)</f>
        <v>0</v>
      </c>
      <c r="BW154" s="890">
        <f t="shared" ref="BW154" si="640">SUM(BW155:BW159)</f>
        <v>0</v>
      </c>
      <c r="BX154" s="890">
        <f t="shared" ref="BX154" si="641">SUM(BX155:BX159)</f>
        <v>0</v>
      </c>
      <c r="BY154" s="890">
        <f t="shared" ref="BY154" si="642">SUM(BY155:BY159)</f>
        <v>0</v>
      </c>
      <c r="BZ154" s="890">
        <f t="shared" ref="BZ154" si="643">SUM(BZ155:BZ159)</f>
        <v>0</v>
      </c>
      <c r="CA154" s="890">
        <f t="shared" ref="CA154" si="644">SUM(CA155:CA159)</f>
        <v>0</v>
      </c>
      <c r="CB154" s="890">
        <f t="shared" ref="CB154" si="645">SUM(CB155:CB159)</f>
        <v>0</v>
      </c>
      <c r="CC154" s="867">
        <f t="shared" si="624"/>
        <v>0</v>
      </c>
      <c r="CD154" s="890"/>
      <c r="CE154" s="1594"/>
      <c r="CF154" s="1594"/>
      <c r="CG154" s="1594"/>
      <c r="CH154" s="1594"/>
      <c r="CI154" s="1594"/>
      <c r="CJ154" s="1594"/>
      <c r="CK154" s="1594"/>
      <c r="CL154" s="1594"/>
      <c r="CM154" s="1594"/>
      <c r="CN154" s="890"/>
      <c r="CO154" s="538"/>
      <c r="CP154" s="890">
        <f>SUM(CP155:CP159)</f>
        <v>0</v>
      </c>
      <c r="CQ154" s="890">
        <f t="shared" ref="CQ154" si="646">SUM(CQ155:CQ159)</f>
        <v>0</v>
      </c>
      <c r="CR154" s="890">
        <f t="shared" ref="CR154" si="647">SUM(CR155:CR159)</f>
        <v>0</v>
      </c>
      <c r="CS154" s="890">
        <f t="shared" ref="CS154" si="648">SUM(CS155:CS159)</f>
        <v>0</v>
      </c>
      <c r="CT154" s="890">
        <f t="shared" ref="CT154" si="649">SUM(CT155:CT159)</f>
        <v>0</v>
      </c>
      <c r="CU154" s="890">
        <f t="shared" ref="CU154" si="650">SUM(CU155:CU159)</f>
        <v>0</v>
      </c>
      <c r="CV154" s="890">
        <f t="shared" ref="CV154" si="651">SUM(CV155:CV159)</f>
        <v>0</v>
      </c>
      <c r="CW154" s="867">
        <f t="shared" si="625"/>
        <v>0</v>
      </c>
      <c r="CX154" s="890"/>
      <c r="CY154" s="1594"/>
      <c r="CZ154" s="1594"/>
      <c r="DA154" s="1594"/>
      <c r="DB154" s="1594"/>
      <c r="DC154" s="1594"/>
      <c r="DD154" s="1594"/>
      <c r="DE154" s="1594"/>
      <c r="DF154" s="1594"/>
      <c r="DG154" s="1594"/>
      <c r="DH154" s="890"/>
      <c r="DI154" s="538"/>
      <c r="DJ154" s="890"/>
      <c r="DK154" s="890"/>
      <c r="DL154" s="890"/>
      <c r="DM154" s="890"/>
      <c r="DN154" s="890"/>
      <c r="DO154" s="890"/>
      <c r="DP154" s="890"/>
      <c r="DQ154" s="867"/>
      <c r="DR154" s="890"/>
      <c r="DS154" s="1594"/>
      <c r="DT154" s="1594"/>
      <c r="DU154" s="1594"/>
      <c r="DV154" s="1594"/>
      <c r="DW154" s="1594"/>
      <c r="DX154" s="1594"/>
      <c r="DY154" s="1594"/>
      <c r="DZ154" s="1594"/>
      <c r="EA154" s="1594"/>
      <c r="EB154" s="890"/>
      <c r="EC154" s="538"/>
      <c r="ED154" s="890"/>
      <c r="EE154" s="1594"/>
      <c r="EF154" s="1594"/>
      <c r="EG154" s="1594"/>
      <c r="EH154" s="1594"/>
      <c r="EI154" s="1594"/>
      <c r="EJ154" s="1594"/>
      <c r="EK154" s="1594"/>
      <c r="EL154" s="1594"/>
      <c r="EM154" s="1594"/>
    </row>
    <row r="155" spans="1:143" ht="61.5" thickTop="1" thickBot="1" x14ac:dyDescent="0.3">
      <c r="A155" s="345" t="str">
        <f>CONCATENATE('3 pr-2'!A155)</f>
        <v>2.1.3.2.1</v>
      </c>
      <c r="B155" s="345" t="str">
        <f>CONCATENATE('3 pr-2'!B155)</f>
        <v>R01-4408-260000-2321</v>
      </c>
      <c r="C155" s="1321" t="str">
        <f>CONCATENATE('ketv. 2'!B154)</f>
        <v>08.1.2-CPVA-R-408-11-0001</v>
      </c>
      <c r="D155" s="312" t="str">
        <f>CONCATENATE('3 pr-2'!D155)</f>
        <v>Socialinio būsto plėtra Varėnos rajone</v>
      </c>
      <c r="E155" s="312" t="str">
        <f>CONCATENATE('3 pr-2'!E155)</f>
        <v>Varėnos rajono savivaldybės administracija</v>
      </c>
      <c r="F155" s="312" t="str">
        <f>CONCATENATE('3 pr-2'!F155)</f>
        <v>Lietuvos Respublikos socialinės apsaugos ir darbo ministerija</v>
      </c>
      <c r="G155" s="312" t="str">
        <f>CONCATENATE('3 pr-2'!G155)</f>
        <v>Varėnos r. sav.</v>
      </c>
      <c r="H155" s="345" t="str">
        <f>CONCATENATE('3 pr-2'!H155)</f>
        <v>08.1.1-CPVA·R-408</v>
      </c>
      <c r="I155" s="345" t="str">
        <f>CONCATENATE('3 pr-2'!I155)</f>
        <v>R</v>
      </c>
      <c r="J155" s="345" t="str">
        <f>CONCATENATE('3 pr-2'!J155)</f>
        <v>-</v>
      </c>
      <c r="K155" s="345" t="str">
        <f>CONCATENATE('3 pr-2'!K155)</f>
        <v>-</v>
      </c>
      <c r="L155" s="345" t="s">
        <v>527</v>
      </c>
      <c r="M155" s="537" t="s">
        <v>528</v>
      </c>
      <c r="N155" s="345">
        <v>18</v>
      </c>
      <c r="O155" s="345">
        <v>4</v>
      </c>
      <c r="P155" s="345"/>
      <c r="Q155" s="345"/>
      <c r="R155" s="345"/>
      <c r="S155" s="345"/>
      <c r="T155" s="345"/>
      <c r="U155" s="893">
        <f t="shared" ref="U155:U159" si="652">SUM(N155:T155)</f>
        <v>22</v>
      </c>
      <c r="V155" s="345">
        <v>28</v>
      </c>
      <c r="W155" s="1578" t="str">
        <f ca="1">IF('ketv. 6 '!L154&gt;0,"28",0)</f>
        <v>28</v>
      </c>
      <c r="X155" s="1579">
        <f ca="1">SUM(W155-V155)</f>
        <v>0</v>
      </c>
      <c r="Y155" s="1579">
        <f>IF(YEAR('3 pr-2'!$AK155)=2017,$V155,0)</f>
        <v>0</v>
      </c>
      <c r="Z155" s="1579">
        <f>IF(YEAR('3 pr-2'!$AK155)=2018,$V155,0)</f>
        <v>0</v>
      </c>
      <c r="AA155" s="1579">
        <f>IF(YEAR('3 pr-2'!$AK155)=2019,$V155,0)</f>
        <v>28</v>
      </c>
      <c r="AB155" s="1579">
        <f>IF(YEAR('3 pr-2'!$AK155)=2020,$V155,0)</f>
        <v>0</v>
      </c>
      <c r="AC155" s="1579">
        <f>IF(YEAR('3 pr-2'!$AK155)=2021,$V155,0)</f>
        <v>0</v>
      </c>
      <c r="AD155" s="1579">
        <f>IF(YEAR('3 pr-2'!$AK155)=2022,$V155,0)</f>
        <v>0</v>
      </c>
      <c r="AE155" s="1579">
        <f>IF(YEAR('3 pr-2'!$AK155)=2023,$V155,0)</f>
        <v>0</v>
      </c>
      <c r="AF155" s="350"/>
      <c r="AG155" s="537"/>
      <c r="AH155" s="345">
        <v>0</v>
      </c>
      <c r="AI155" s="345"/>
      <c r="AJ155" s="345"/>
      <c r="AK155" s="345"/>
      <c r="AL155" s="345"/>
      <c r="AM155" s="345"/>
      <c r="AN155" s="345"/>
      <c r="AO155" s="895">
        <f t="shared" si="622"/>
        <v>0</v>
      </c>
      <c r="AP155" s="345"/>
      <c r="AQ155" s="1597"/>
      <c r="AR155" s="1579"/>
      <c r="AS155" s="1579">
        <f>IF(YEAR('3 pr-2'!$AK155)=2017,$AP155,0)</f>
        <v>0</v>
      </c>
      <c r="AT155" s="1579">
        <f>IF(YEAR('3 pr-2'!$AK155)=2018,$AP155,0)</f>
        <v>0</v>
      </c>
      <c r="AU155" s="1579">
        <f>IF(YEAR('3 pr-2'!$AK155)=2019,$AP155,0)</f>
        <v>0</v>
      </c>
      <c r="AV155" s="1579">
        <f>IF(YEAR('3 pr-2'!$AK155)=2020,$AP155,0)</f>
        <v>0</v>
      </c>
      <c r="AW155" s="1579">
        <f>IF(YEAR('3 pr-2'!$AK155)=2021,$AP155,0)</f>
        <v>0</v>
      </c>
      <c r="AX155" s="1579">
        <f>IF(YEAR('3 pr-2'!$AK155)=2022,$AP155,0)</f>
        <v>0</v>
      </c>
      <c r="AY155" s="1579">
        <f>IF(YEAR('3 pr-2'!$AK155)=2023,$AP155,0)</f>
        <v>0</v>
      </c>
      <c r="AZ155" s="345"/>
      <c r="BA155" s="536"/>
      <c r="BB155" s="345"/>
      <c r="BC155" s="345"/>
      <c r="BD155" s="345"/>
      <c r="BE155" s="345"/>
      <c r="BF155" s="345"/>
      <c r="BG155" s="345"/>
      <c r="BH155" s="345"/>
      <c r="BI155" s="895">
        <f t="shared" si="623"/>
        <v>0</v>
      </c>
      <c r="BJ155" s="345"/>
      <c r="BK155" s="1597"/>
      <c r="BL155" s="1579"/>
      <c r="BM155" s="1579">
        <f>IF(YEAR('3 pr-2'!$AK155)=2017,$BJ155,0)</f>
        <v>0</v>
      </c>
      <c r="BN155" s="1579">
        <f>IF(YEAR('3 pr-2'!$AK155)=2018,$BJ155,0)</f>
        <v>0</v>
      </c>
      <c r="BO155" s="1579">
        <f>IF(YEAR('3 pr-2'!$AK155)=2019,$BJ155,0)</f>
        <v>0</v>
      </c>
      <c r="BP155" s="1579">
        <f>IF(YEAR('3 pr-2'!$AK155)=2020,$BJ155,0)</f>
        <v>0</v>
      </c>
      <c r="BQ155" s="1579">
        <f>IF(YEAR('3 pr-2'!$AK155)=2021,$BJ155,0)</f>
        <v>0</v>
      </c>
      <c r="BR155" s="1579">
        <f>IF(YEAR('3 pr-2'!$AK155)=2022,$BJ155,0)</f>
        <v>0</v>
      </c>
      <c r="BS155" s="1579">
        <f>IF(YEAR('3 pr-2'!$AK155)=2023,$BJ155,0)</f>
        <v>0</v>
      </c>
      <c r="BT155" s="350"/>
      <c r="BU155" s="537"/>
      <c r="BV155" s="345"/>
      <c r="BW155" s="345"/>
      <c r="BX155" s="345"/>
      <c r="BY155" s="345"/>
      <c r="BZ155" s="345"/>
      <c r="CA155" s="345"/>
      <c r="CB155" s="345"/>
      <c r="CC155" s="895">
        <f t="shared" si="624"/>
        <v>0</v>
      </c>
      <c r="CD155" s="345"/>
      <c r="CE155" s="1579"/>
      <c r="CF155" s="1579"/>
      <c r="CG155" s="1579">
        <f>IF(YEAR('3 pr-2'!$AK155)=2017,$CD155,0)</f>
        <v>0</v>
      </c>
      <c r="CH155" s="1579">
        <f>IF(YEAR('3 pr-2'!$AK155)=2018,$CD155,0)</f>
        <v>0</v>
      </c>
      <c r="CI155" s="1579">
        <f>IF(YEAR('3 pr-2'!$AK155)=2019,$CD155,0)</f>
        <v>0</v>
      </c>
      <c r="CJ155" s="1579">
        <f>IF(YEAR('3 pr-2'!$AK155)=2020,$CD155,0)</f>
        <v>0</v>
      </c>
      <c r="CK155" s="1579">
        <f>IF(YEAR('3 pr-2'!$AK155)=2021,$CD155,0)</f>
        <v>0</v>
      </c>
      <c r="CL155" s="1579">
        <f>IF(YEAR('3 pr-2'!$AK155)=2022,$CD155,0)</f>
        <v>0</v>
      </c>
      <c r="CM155" s="1579">
        <f>IF(YEAR('3 pr-2'!$AK155)=2023,$CD155,0)</f>
        <v>0</v>
      </c>
      <c r="CN155" s="350"/>
      <c r="CO155" s="538"/>
      <c r="CP155" s="345"/>
      <c r="CQ155" s="345"/>
      <c r="CR155" s="345"/>
      <c r="CS155" s="345"/>
      <c r="CT155" s="345"/>
      <c r="CU155" s="345"/>
      <c r="CV155" s="345"/>
      <c r="CW155" s="895">
        <f t="shared" si="625"/>
        <v>0</v>
      </c>
      <c r="CX155" s="351"/>
      <c r="CY155" s="1605"/>
      <c r="CZ155" s="1605"/>
      <c r="DA155" s="1594">
        <f>IF(YEAR('3 pr-2'!AK155)=2017,CX155,0)</f>
        <v>0</v>
      </c>
      <c r="DB155" s="1594">
        <f>IF(YEAR('3 pr-2'!AK155)=2018,CX155,0)</f>
        <v>0</v>
      </c>
      <c r="DC155" s="1594">
        <f>IF(YEAR('3 pr-2'!AK155)=2019,CX155,0)</f>
        <v>0</v>
      </c>
      <c r="DD155" s="1594">
        <f>IF(YEAR('3 pr-2'!AK155)=2020,CX155,0)</f>
        <v>0</v>
      </c>
      <c r="DE155" s="1594">
        <f>IF(YEAR('3 pr-2'!AK155)=2021,CX155,0)</f>
        <v>0</v>
      </c>
      <c r="DF155" s="1594">
        <f>IF(YEAR('3 pr-2'!AK155)=2022,CX155,0)</f>
        <v>0</v>
      </c>
      <c r="DG155" s="1594">
        <f>IF(YEAR('3 pr-2'!AK155)=2023,CX155,0)</f>
        <v>0</v>
      </c>
      <c r="DH155" s="350"/>
      <c r="DI155" s="538"/>
      <c r="DJ155" s="345"/>
      <c r="DK155" s="345"/>
      <c r="DL155" s="345"/>
      <c r="DM155" s="345"/>
      <c r="DN155" s="345"/>
      <c r="DO155" s="345"/>
      <c r="DP155" s="345"/>
      <c r="DQ155" s="895"/>
      <c r="DR155" s="351"/>
      <c r="DS155" s="1605"/>
      <c r="DT155" s="1605"/>
      <c r="DU155" s="1594"/>
      <c r="DV155" s="1594"/>
      <c r="DW155" s="1594"/>
      <c r="DX155" s="1594"/>
      <c r="DY155" s="1594"/>
      <c r="DZ155" s="1594"/>
      <c r="EA155" s="1594"/>
      <c r="EB155" s="350"/>
      <c r="EC155" s="538"/>
      <c r="ED155" s="333"/>
      <c r="EE155" s="1605"/>
      <c r="EF155" s="1605"/>
      <c r="EG155" s="1594">
        <f>IF(YEAR('3 pr-2'!BP155)=2017,ED155,0)</f>
        <v>0</v>
      </c>
      <c r="EH155" s="1594">
        <f>IF(YEAR('3 pr-2'!BP155)=2018,ED155,0)</f>
        <v>0</v>
      </c>
      <c r="EI155" s="1594">
        <f>IF(YEAR('3 pr-2'!BP155)=2019,ED155,0)</f>
        <v>0</v>
      </c>
      <c r="EJ155" s="1594">
        <f>IF(YEAR('3 pr-2'!BP155)=2020,ED155,0)</f>
        <v>0</v>
      </c>
      <c r="EK155" s="1594">
        <f>IF(YEAR('3 pr-2'!BP155)=2021,ED155,0)</f>
        <v>0</v>
      </c>
      <c r="EL155" s="1594">
        <f>IF(YEAR('3 pr-2'!BP155)=2022,ED155,0)</f>
        <v>0</v>
      </c>
      <c r="EM155" s="1594">
        <f>IF(YEAR('3 pr-2'!BP155)=2023,ED155,0)</f>
        <v>0</v>
      </c>
    </row>
    <row r="156" spans="1:143" ht="61.5" thickTop="1" thickBot="1" x14ac:dyDescent="0.3">
      <c r="A156" s="345" t="str">
        <f>CONCATENATE('3 pr-2'!A156)</f>
        <v>2.1.3.2.2</v>
      </c>
      <c r="B156" s="345" t="str">
        <f>CONCATENATE('3 pr-2'!B156)</f>
        <v>R01-4408-250000-2322</v>
      </c>
      <c r="C156" s="1321" t="str">
        <f>CONCATENATE('ketv. 2'!B155)</f>
        <v>08.1.2-CPVA-R-408-11-0005</v>
      </c>
      <c r="D156" s="312" t="str">
        <f>CONCATENATE('3 pr-2'!D156)</f>
        <v>Būsto prieinamumo pažeidžiamoms gyventojų grupėms didinimas Alytaus rajone</v>
      </c>
      <c r="E156" s="312" t="str">
        <f>CONCATENATE('3 pr-2'!E156)</f>
        <v>Alytaus rajono savivaldybės administracija</v>
      </c>
      <c r="F156" s="312" t="str">
        <f>CONCATENATE('3 pr-2'!F156)</f>
        <v>Lietuvos Respublikos socialinės apsaugos ir darbo ministerija</v>
      </c>
      <c r="G156" s="312" t="str">
        <f>CONCATENATE('3 pr-2'!G156)</f>
        <v>Alytaus r. sav.</v>
      </c>
      <c r="H156" s="345" t="str">
        <f>CONCATENATE('3 pr-2'!H156)</f>
        <v>08.1.1-CPVA·R-408</v>
      </c>
      <c r="I156" s="345" t="str">
        <f>CONCATENATE('3 pr-2'!I156)</f>
        <v>R</v>
      </c>
      <c r="J156" s="345" t="str">
        <f>CONCATENATE('3 pr-2'!J156)</f>
        <v>-</v>
      </c>
      <c r="K156" s="345" t="str">
        <f>CONCATENATE('3 pr-2'!K156)</f>
        <v>-</v>
      </c>
      <c r="L156" s="345" t="s">
        <v>527</v>
      </c>
      <c r="M156" s="537" t="s">
        <v>528</v>
      </c>
      <c r="N156" s="345">
        <v>0</v>
      </c>
      <c r="O156" s="345"/>
      <c r="P156" s="345"/>
      <c r="Q156" s="345"/>
      <c r="R156" s="345"/>
      <c r="S156" s="345"/>
      <c r="T156" s="345"/>
      <c r="U156" s="893">
        <f t="shared" si="652"/>
        <v>0</v>
      </c>
      <c r="V156" s="345">
        <v>6</v>
      </c>
      <c r="W156" s="1578" t="str">
        <f ca="1">IF('ketv. 6 '!L155&gt;0,"6",0)</f>
        <v>6</v>
      </c>
      <c r="X156" s="1579">
        <f ca="1">SUM(W156-V156)</f>
        <v>0</v>
      </c>
      <c r="Y156" s="1579">
        <f>IF(YEAR('3 pr-2'!$AK156)=2017,$V156,0)</f>
        <v>0</v>
      </c>
      <c r="Z156" s="1579">
        <f>IF(YEAR('3 pr-2'!$AK156)=2018,$V156,0)</f>
        <v>6</v>
      </c>
      <c r="AA156" s="1579">
        <f>IF(YEAR('3 pr-2'!$AK156)=2019,$V156,0)</f>
        <v>0</v>
      </c>
      <c r="AB156" s="1579">
        <f>IF(YEAR('3 pr-2'!$AK156)=2020,$V156,0)</f>
        <v>0</v>
      </c>
      <c r="AC156" s="1579">
        <f>IF(YEAR('3 pr-2'!$AK156)=2021,$V156,0)</f>
        <v>0</v>
      </c>
      <c r="AD156" s="1579">
        <f>IF(YEAR('3 pr-2'!$AK156)=2022,$V156,0)</f>
        <v>0</v>
      </c>
      <c r="AE156" s="1579">
        <f>IF(YEAR('3 pr-2'!$AK156)=2023,$V156,0)</f>
        <v>0</v>
      </c>
      <c r="AF156" s="350"/>
      <c r="AG156" s="537"/>
      <c r="AH156" s="345"/>
      <c r="AI156" s="345"/>
      <c r="AJ156" s="345"/>
      <c r="AK156" s="345"/>
      <c r="AL156" s="345"/>
      <c r="AM156" s="345"/>
      <c r="AN156" s="345"/>
      <c r="AO156" s="895">
        <f t="shared" si="622"/>
        <v>0</v>
      </c>
      <c r="AP156" s="345"/>
      <c r="AQ156" s="1597"/>
      <c r="AR156" s="1579"/>
      <c r="AS156" s="1579">
        <f>IF(YEAR('3 pr-2'!$AK156)=2017,$AP156,0)</f>
        <v>0</v>
      </c>
      <c r="AT156" s="1579">
        <f>IF(YEAR('3 pr-2'!$AK156)=2018,$AP156,0)</f>
        <v>0</v>
      </c>
      <c r="AU156" s="1579">
        <f>IF(YEAR('3 pr-2'!$AK156)=2019,$AP156,0)</f>
        <v>0</v>
      </c>
      <c r="AV156" s="1579">
        <f>IF(YEAR('3 pr-2'!$AK156)=2020,$AP156,0)</f>
        <v>0</v>
      </c>
      <c r="AW156" s="1579">
        <f>IF(YEAR('3 pr-2'!$AK156)=2021,$AP156,0)</f>
        <v>0</v>
      </c>
      <c r="AX156" s="1579">
        <f>IF(YEAR('3 pr-2'!$AK156)=2022,$AP156,0)</f>
        <v>0</v>
      </c>
      <c r="AY156" s="1579">
        <f>IF(YEAR('3 pr-2'!$AK156)=2023,$AP156,0)</f>
        <v>0</v>
      </c>
      <c r="AZ156" s="345"/>
      <c r="BA156" s="536"/>
      <c r="BB156" s="345"/>
      <c r="BC156" s="345"/>
      <c r="BD156" s="345"/>
      <c r="BE156" s="345"/>
      <c r="BF156" s="345"/>
      <c r="BG156" s="345"/>
      <c r="BH156" s="345"/>
      <c r="BI156" s="895">
        <f t="shared" si="623"/>
        <v>0</v>
      </c>
      <c r="BJ156" s="345"/>
      <c r="BK156" s="1597"/>
      <c r="BL156" s="1579"/>
      <c r="BM156" s="1579">
        <f>IF(YEAR('3 pr-2'!$AK156)=2017,$BJ156,0)</f>
        <v>0</v>
      </c>
      <c r="BN156" s="1579">
        <f>IF(YEAR('3 pr-2'!$AK156)=2018,$BJ156,0)</f>
        <v>0</v>
      </c>
      <c r="BO156" s="1579">
        <f>IF(YEAR('3 pr-2'!$AK156)=2019,$BJ156,0)</f>
        <v>0</v>
      </c>
      <c r="BP156" s="1579">
        <f>IF(YEAR('3 pr-2'!$AK156)=2020,$BJ156,0)</f>
        <v>0</v>
      </c>
      <c r="BQ156" s="1579">
        <f>IF(YEAR('3 pr-2'!$AK156)=2021,$BJ156,0)</f>
        <v>0</v>
      </c>
      <c r="BR156" s="1579">
        <f>IF(YEAR('3 pr-2'!$AK156)=2022,$BJ156,0)</f>
        <v>0</v>
      </c>
      <c r="BS156" s="1579">
        <f>IF(YEAR('3 pr-2'!$AK156)=2023,$BJ156,0)</f>
        <v>0</v>
      </c>
      <c r="BT156" s="350"/>
      <c r="BU156" s="537"/>
      <c r="BV156" s="345"/>
      <c r="BW156" s="345"/>
      <c r="BX156" s="345"/>
      <c r="BY156" s="345"/>
      <c r="BZ156" s="345"/>
      <c r="CA156" s="345"/>
      <c r="CB156" s="345"/>
      <c r="CC156" s="895">
        <f t="shared" si="624"/>
        <v>0</v>
      </c>
      <c r="CD156" s="345"/>
      <c r="CE156" s="1579"/>
      <c r="CF156" s="1579"/>
      <c r="CG156" s="1579">
        <f>IF(YEAR('3 pr-2'!$AK156)=2017,$CD156,0)</f>
        <v>0</v>
      </c>
      <c r="CH156" s="1579">
        <f>IF(YEAR('3 pr-2'!$AK156)=2018,$CD156,0)</f>
        <v>0</v>
      </c>
      <c r="CI156" s="1579">
        <f>IF(YEAR('3 pr-2'!$AK156)=2019,$CD156,0)</f>
        <v>0</v>
      </c>
      <c r="CJ156" s="1579">
        <f>IF(YEAR('3 pr-2'!$AK156)=2020,$CD156,0)</f>
        <v>0</v>
      </c>
      <c r="CK156" s="1579">
        <f>IF(YEAR('3 pr-2'!$AK156)=2021,$CD156,0)</f>
        <v>0</v>
      </c>
      <c r="CL156" s="1579">
        <f>IF(YEAR('3 pr-2'!$AK156)=2022,$CD156,0)</f>
        <v>0</v>
      </c>
      <c r="CM156" s="1579">
        <f>IF(YEAR('3 pr-2'!$AK156)=2023,$CD156,0)</f>
        <v>0</v>
      </c>
      <c r="CN156" s="350"/>
      <c r="CO156" s="538"/>
      <c r="CP156" s="345"/>
      <c r="CQ156" s="345"/>
      <c r="CR156" s="345"/>
      <c r="CS156" s="345"/>
      <c r="CT156" s="345"/>
      <c r="CU156" s="345"/>
      <c r="CV156" s="345"/>
      <c r="CW156" s="895">
        <f t="shared" si="625"/>
        <v>0</v>
      </c>
      <c r="CX156" s="351"/>
      <c r="CY156" s="1605"/>
      <c r="CZ156" s="1605"/>
      <c r="DA156" s="1594">
        <f>IF(YEAR('3 pr-2'!AK156)=2017,CX156,0)</f>
        <v>0</v>
      </c>
      <c r="DB156" s="1594">
        <f>IF(YEAR('3 pr-2'!AK156)=2018,CX156,0)</f>
        <v>0</v>
      </c>
      <c r="DC156" s="1594">
        <f>IF(YEAR('3 pr-2'!AK156)=2019,CX156,0)</f>
        <v>0</v>
      </c>
      <c r="DD156" s="1594">
        <f>IF(YEAR('3 pr-2'!AK156)=2020,CX156,0)</f>
        <v>0</v>
      </c>
      <c r="DE156" s="1594">
        <f>IF(YEAR('3 pr-2'!AK156)=2021,CX156,0)</f>
        <v>0</v>
      </c>
      <c r="DF156" s="1594">
        <f>IF(YEAR('3 pr-2'!AK156)=2022,CX156,0)</f>
        <v>0</v>
      </c>
      <c r="DG156" s="1594">
        <f>IF(YEAR('3 pr-2'!AK156)=2023,CX156,0)</f>
        <v>0</v>
      </c>
      <c r="DH156" s="350"/>
      <c r="DI156" s="538"/>
      <c r="DJ156" s="345"/>
      <c r="DK156" s="345"/>
      <c r="DL156" s="345"/>
      <c r="DM156" s="345"/>
      <c r="DN156" s="345"/>
      <c r="DO156" s="345"/>
      <c r="DP156" s="345"/>
      <c r="DQ156" s="895"/>
      <c r="DR156" s="351"/>
      <c r="DS156" s="1605"/>
      <c r="DT156" s="1605"/>
      <c r="DU156" s="1594"/>
      <c r="DV156" s="1594"/>
      <c r="DW156" s="1594"/>
      <c r="DX156" s="1594"/>
      <c r="DY156" s="1594"/>
      <c r="DZ156" s="1594"/>
      <c r="EA156" s="1594"/>
      <c r="EB156" s="350"/>
      <c r="EC156" s="538"/>
      <c r="ED156" s="333"/>
      <c r="EE156" s="1605"/>
      <c r="EF156" s="1605"/>
      <c r="EG156" s="1594">
        <f>IF(YEAR('3 pr-2'!BP156)=2017,ED156,0)</f>
        <v>0</v>
      </c>
      <c r="EH156" s="1594">
        <f>IF(YEAR('3 pr-2'!BP156)=2018,ED156,0)</f>
        <v>0</v>
      </c>
      <c r="EI156" s="1594">
        <f>IF(YEAR('3 pr-2'!BP156)=2019,ED156,0)</f>
        <v>0</v>
      </c>
      <c r="EJ156" s="1594">
        <f>IF(YEAR('3 pr-2'!BP156)=2020,ED156,0)</f>
        <v>0</v>
      </c>
      <c r="EK156" s="1594">
        <f>IF(YEAR('3 pr-2'!BP156)=2021,ED156,0)</f>
        <v>0</v>
      </c>
      <c r="EL156" s="1594">
        <f>IF(YEAR('3 pr-2'!BP156)=2022,ED156,0)</f>
        <v>0</v>
      </c>
      <c r="EM156" s="1594">
        <f>IF(YEAR('3 pr-2'!BP156)=2023,ED156,0)</f>
        <v>0</v>
      </c>
    </row>
    <row r="157" spans="1:143" ht="61.5" thickTop="1" thickBot="1" x14ac:dyDescent="0.3">
      <c r="A157" s="345" t="str">
        <f>CONCATENATE('3 pr-2'!A157)</f>
        <v>2.1.3.1.3</v>
      </c>
      <c r="B157" s="345" t="str">
        <f>CONCATENATE('3 pr-2'!B157)</f>
        <v>R01-4408-260000-2323</v>
      </c>
      <c r="C157" s="1321" t="str">
        <f>CONCATENATE('ketv. 2'!B156)</f>
        <v>08.1.2-CPVA-R-408-11-0002</v>
      </c>
      <c r="D157" s="312" t="str">
        <f>CONCATENATE('3 pr-2'!D157)</f>
        <v>Socialinio būsto plėtra Alytaus mieste</v>
      </c>
      <c r="E157" s="312" t="str">
        <f>CONCATENATE('3 pr-2'!E157)</f>
        <v>Alytaus miesto savivaldybės administracija</v>
      </c>
      <c r="F157" s="312" t="str">
        <f>CONCATENATE('3 pr-2'!F157)</f>
        <v>Lietuvos Respublikos socialinės apsaugos ir darbo ministerija</v>
      </c>
      <c r="G157" s="312" t="str">
        <f>CONCATENATE('3 pr-2'!G157)</f>
        <v>Alytaus m. sav.</v>
      </c>
      <c r="H157" s="345" t="str">
        <f>CONCATENATE('3 pr-2'!H157)</f>
        <v>08.1.1-CPVA·R-408</v>
      </c>
      <c r="I157" s="345" t="str">
        <f>CONCATENATE('3 pr-2'!I157)</f>
        <v>R</v>
      </c>
      <c r="J157" s="345" t="str">
        <f>CONCATENATE('3 pr-2'!J157)</f>
        <v>-</v>
      </c>
      <c r="K157" s="345" t="str">
        <f>CONCATENATE('3 pr-2'!K157)</f>
        <v>-</v>
      </c>
      <c r="L157" s="345" t="s">
        <v>527</v>
      </c>
      <c r="M157" s="537" t="s">
        <v>528</v>
      </c>
      <c r="N157" s="345">
        <v>22</v>
      </c>
      <c r="O157" s="345">
        <v>4</v>
      </c>
      <c r="P157" s="345"/>
      <c r="Q157" s="345"/>
      <c r="R157" s="345"/>
      <c r="S157" s="345"/>
      <c r="T157" s="345"/>
      <c r="U157" s="893">
        <f>SUM(N157:T157)</f>
        <v>26</v>
      </c>
      <c r="V157" s="345">
        <v>35</v>
      </c>
      <c r="W157" s="1578" t="str">
        <f ca="1">IF('ketv. 6 '!L156&gt;0,"35",0)</f>
        <v>35</v>
      </c>
      <c r="X157" s="1579">
        <f ca="1">SUM(W157-V157)</f>
        <v>0</v>
      </c>
      <c r="Y157" s="1579">
        <f>IF(YEAR('3 pr-2'!$AK157)=2017,$V157,0)</f>
        <v>0</v>
      </c>
      <c r="Z157" s="1579">
        <f>IF(YEAR('3 pr-2'!$AK157)=2018,$V157,0)</f>
        <v>0</v>
      </c>
      <c r="AA157" s="1579">
        <f>IF(YEAR('3 pr-2'!$AK157)=2019,$V157,0)</f>
        <v>35</v>
      </c>
      <c r="AB157" s="1579">
        <f>IF(YEAR('3 pr-2'!$AK157)=2020,$V157,0)</f>
        <v>0</v>
      </c>
      <c r="AC157" s="1579">
        <f>IF(YEAR('3 pr-2'!$AK157)=2021,$V157,0)</f>
        <v>0</v>
      </c>
      <c r="AD157" s="1579">
        <f>IF(YEAR('3 pr-2'!$AK157)=2022,$V157,0)</f>
        <v>0</v>
      </c>
      <c r="AE157" s="1579">
        <f>IF(YEAR('3 pr-2'!$AK157)=2023,$V157,0)</f>
        <v>0</v>
      </c>
      <c r="AF157" s="350"/>
      <c r="AG157" s="537"/>
      <c r="AH157" s="345"/>
      <c r="AI157" s="345"/>
      <c r="AJ157" s="345"/>
      <c r="AK157" s="345"/>
      <c r="AL157" s="345"/>
      <c r="AM157" s="345"/>
      <c r="AN157" s="345"/>
      <c r="AO157" s="895">
        <f>SUM(AH157:AN157)</f>
        <v>0</v>
      </c>
      <c r="AP157" s="345"/>
      <c r="AQ157" s="1597"/>
      <c r="AR157" s="1579"/>
      <c r="AS157" s="1579">
        <f>IF(YEAR('3 pr-2'!$AK157)=2017,$AP157,0)</f>
        <v>0</v>
      </c>
      <c r="AT157" s="1579">
        <f>IF(YEAR('3 pr-2'!$AK157)=2018,$AP157,0)</f>
        <v>0</v>
      </c>
      <c r="AU157" s="1579">
        <f>IF(YEAR('3 pr-2'!$AK157)=2019,$AP157,0)</f>
        <v>0</v>
      </c>
      <c r="AV157" s="1579">
        <f>IF(YEAR('3 pr-2'!$AK157)=2020,$AP157,0)</f>
        <v>0</v>
      </c>
      <c r="AW157" s="1579">
        <f>IF(YEAR('3 pr-2'!$AK157)=2021,$AP157,0)</f>
        <v>0</v>
      </c>
      <c r="AX157" s="1579">
        <f>IF(YEAR('3 pr-2'!$AK157)=2022,$AP157,0)</f>
        <v>0</v>
      </c>
      <c r="AY157" s="1579">
        <f>IF(YEAR('3 pr-2'!$AK157)=2023,$AP157,0)</f>
        <v>0</v>
      </c>
      <c r="AZ157" s="345"/>
      <c r="BA157" s="536"/>
      <c r="BB157" s="345"/>
      <c r="BC157" s="345"/>
      <c r="BD157" s="345"/>
      <c r="BE157" s="345"/>
      <c r="BF157" s="345"/>
      <c r="BG157" s="345"/>
      <c r="BH157" s="345"/>
      <c r="BI157" s="895">
        <f t="shared" si="623"/>
        <v>0</v>
      </c>
      <c r="BJ157" s="345"/>
      <c r="BK157" s="1597"/>
      <c r="BL157" s="1579"/>
      <c r="BM157" s="1579">
        <f>IF(YEAR('3 pr-2'!$AK157)=2017,$BJ157,0)</f>
        <v>0</v>
      </c>
      <c r="BN157" s="1579">
        <f>IF(YEAR('3 pr-2'!$AK157)=2018,$BJ157,0)</f>
        <v>0</v>
      </c>
      <c r="BO157" s="1579">
        <f>IF(YEAR('3 pr-2'!$AK157)=2019,$BJ157,0)</f>
        <v>0</v>
      </c>
      <c r="BP157" s="1579">
        <f>IF(YEAR('3 pr-2'!$AK157)=2020,$BJ157,0)</f>
        <v>0</v>
      </c>
      <c r="BQ157" s="1579">
        <f>IF(YEAR('3 pr-2'!$AK157)=2021,$BJ157,0)</f>
        <v>0</v>
      </c>
      <c r="BR157" s="1579">
        <f>IF(YEAR('3 pr-2'!$AK157)=2022,$BJ157,0)</f>
        <v>0</v>
      </c>
      <c r="BS157" s="1579">
        <f>IF(YEAR('3 pr-2'!$AK157)=2023,$BJ157,0)</f>
        <v>0</v>
      </c>
      <c r="BT157" s="350"/>
      <c r="BU157" s="537"/>
      <c r="BV157" s="345"/>
      <c r="BW157" s="345"/>
      <c r="BX157" s="345"/>
      <c r="BY157" s="345"/>
      <c r="BZ157" s="345"/>
      <c r="CA157" s="345"/>
      <c r="CB157" s="345"/>
      <c r="CC157" s="895">
        <f t="shared" si="624"/>
        <v>0</v>
      </c>
      <c r="CD157" s="345"/>
      <c r="CE157" s="1579"/>
      <c r="CF157" s="1579"/>
      <c r="CG157" s="1579">
        <f>IF(YEAR('3 pr-2'!$AK157)=2017,$CD157,0)</f>
        <v>0</v>
      </c>
      <c r="CH157" s="1579">
        <f>IF(YEAR('3 pr-2'!$AK157)=2018,$CD157,0)</f>
        <v>0</v>
      </c>
      <c r="CI157" s="1579">
        <f>IF(YEAR('3 pr-2'!$AK157)=2019,$CD157,0)</f>
        <v>0</v>
      </c>
      <c r="CJ157" s="1579">
        <f>IF(YEAR('3 pr-2'!$AK157)=2020,$CD157,0)</f>
        <v>0</v>
      </c>
      <c r="CK157" s="1579">
        <f>IF(YEAR('3 pr-2'!$AK157)=2021,$CD157,0)</f>
        <v>0</v>
      </c>
      <c r="CL157" s="1579">
        <f>IF(YEAR('3 pr-2'!$AK157)=2022,$CD157,0)</f>
        <v>0</v>
      </c>
      <c r="CM157" s="1579">
        <f>IF(YEAR('3 pr-2'!$AK157)=2023,$CD157,0)</f>
        <v>0</v>
      </c>
      <c r="CN157" s="350"/>
      <c r="CO157" s="538"/>
      <c r="CP157" s="345"/>
      <c r="CQ157" s="345"/>
      <c r="CR157" s="345"/>
      <c r="CS157" s="345"/>
      <c r="CT157" s="345"/>
      <c r="CU157" s="345"/>
      <c r="CV157" s="345"/>
      <c r="CW157" s="895">
        <f t="shared" si="625"/>
        <v>0</v>
      </c>
      <c r="CX157" s="351"/>
      <c r="CY157" s="1605"/>
      <c r="CZ157" s="1605"/>
      <c r="DA157" s="1594">
        <f>IF(YEAR('3 pr-2'!AK157)=2017,CX157,0)</f>
        <v>0</v>
      </c>
      <c r="DB157" s="1594">
        <f>IF(YEAR('3 pr-2'!AK157)=2018,CX157,0)</f>
        <v>0</v>
      </c>
      <c r="DC157" s="1594">
        <f>IF(YEAR('3 pr-2'!AK157)=2019,CX157,0)</f>
        <v>0</v>
      </c>
      <c r="DD157" s="1594">
        <f>IF(YEAR('3 pr-2'!AK157)=2020,CX157,0)</f>
        <v>0</v>
      </c>
      <c r="DE157" s="1594">
        <f>IF(YEAR('3 pr-2'!AK157)=2021,CX157,0)</f>
        <v>0</v>
      </c>
      <c r="DF157" s="1594">
        <f>IF(YEAR('3 pr-2'!AK157)=2022,CX157,0)</f>
        <v>0</v>
      </c>
      <c r="DG157" s="1594">
        <f>IF(YEAR('3 pr-2'!AK157)=2023,CX157,0)</f>
        <v>0</v>
      </c>
      <c r="DH157" s="350"/>
      <c r="DI157" s="538"/>
      <c r="DJ157" s="345"/>
      <c r="DK157" s="345"/>
      <c r="DL157" s="345"/>
      <c r="DM157" s="345"/>
      <c r="DN157" s="345"/>
      <c r="DO157" s="345"/>
      <c r="DP157" s="345"/>
      <c r="DQ157" s="895"/>
      <c r="DR157" s="351"/>
      <c r="DS157" s="1605"/>
      <c r="DT157" s="1605"/>
      <c r="DU157" s="1594"/>
      <c r="DV157" s="1594"/>
      <c r="DW157" s="1594"/>
      <c r="DX157" s="1594"/>
      <c r="DY157" s="1594"/>
      <c r="DZ157" s="1594"/>
      <c r="EA157" s="1594"/>
      <c r="EB157" s="350"/>
      <c r="EC157" s="538"/>
      <c r="ED157" s="333"/>
      <c r="EE157" s="1605"/>
      <c r="EF157" s="1605"/>
      <c r="EG157" s="1594">
        <f>IF(YEAR('3 pr-2'!BP157)=2017,ED157,0)</f>
        <v>0</v>
      </c>
      <c r="EH157" s="1594">
        <f>IF(YEAR('3 pr-2'!BP157)=2018,ED157,0)</f>
        <v>0</v>
      </c>
      <c r="EI157" s="1594">
        <f>IF(YEAR('3 pr-2'!BP157)=2019,ED157,0)</f>
        <v>0</v>
      </c>
      <c r="EJ157" s="1594">
        <f>IF(YEAR('3 pr-2'!BP157)=2020,ED157,0)</f>
        <v>0</v>
      </c>
      <c r="EK157" s="1594">
        <f>IF(YEAR('3 pr-2'!BP157)=2021,ED157,0)</f>
        <v>0</v>
      </c>
      <c r="EL157" s="1594">
        <f>IF(YEAR('3 pr-2'!BP157)=2022,ED157,0)</f>
        <v>0</v>
      </c>
      <c r="EM157" s="1594">
        <f>IF(YEAR('3 pr-2'!BP157)=2023,ED157,0)</f>
        <v>0</v>
      </c>
    </row>
    <row r="158" spans="1:143" ht="61.5" thickTop="1" thickBot="1" x14ac:dyDescent="0.3">
      <c r="A158" s="345" t="str">
        <f>CONCATENATE('3 pr-2'!A158)</f>
        <v>2.1.3.2.4</v>
      </c>
      <c r="B158" s="345" t="str">
        <f>CONCATENATE('3 pr-2'!B158)</f>
        <v>R01-4408-260000-2324</v>
      </c>
      <c r="C158" s="1321" t="str">
        <f>CONCATENATE('ketv. 2'!B157)</f>
        <v>08.1.2-CPVA-R-408-11-0003</v>
      </c>
      <c r="D158" s="312" t="str">
        <f>CONCATENATE('3 pr-2'!D158)</f>
        <v>Socialinio būsto fondo plėtra Druskininkų savivaldybėje</v>
      </c>
      <c r="E158" s="312" t="str">
        <f>CONCATENATE('3 pr-2'!E158)</f>
        <v>Druskininkų savivaldybės administracija</v>
      </c>
      <c r="F158" s="312" t="str">
        <f>CONCATENATE('3 pr-2'!F158)</f>
        <v>Lietuvos Respublikos socialinės apsaugos ir darbo ministerija</v>
      </c>
      <c r="G158" s="312" t="str">
        <f>CONCATENATE('3 pr-2'!G158)</f>
        <v>Druskininkų sav.</v>
      </c>
      <c r="H158" s="345" t="str">
        <f>CONCATENATE('3 pr-2'!H158)</f>
        <v>08.1.1-CPVA·R-408</v>
      </c>
      <c r="I158" s="345" t="str">
        <f>CONCATENATE('3 pr-2'!I158)</f>
        <v>R</v>
      </c>
      <c r="J158" s="345" t="str">
        <f>CONCATENATE('3 pr-2'!J158)</f>
        <v>-</v>
      </c>
      <c r="K158" s="345" t="str">
        <f>CONCATENATE('3 pr-2'!K158)</f>
        <v>-</v>
      </c>
      <c r="L158" s="345" t="s">
        <v>527</v>
      </c>
      <c r="M158" s="537" t="s">
        <v>528</v>
      </c>
      <c r="N158" s="345">
        <v>1</v>
      </c>
      <c r="O158" s="345">
        <v>8</v>
      </c>
      <c r="P158" s="345"/>
      <c r="Q158" s="345"/>
      <c r="R158" s="345"/>
      <c r="S158" s="345"/>
      <c r="T158" s="345"/>
      <c r="U158" s="893">
        <f t="shared" si="652"/>
        <v>9</v>
      </c>
      <c r="V158" s="345">
        <v>25</v>
      </c>
      <c r="W158" s="1578" t="str">
        <f ca="1">IF('ketv. 6 '!L157&gt;0,"25",0)</f>
        <v>25</v>
      </c>
      <c r="X158" s="1579">
        <f ca="1">SUM(W158-V158)</f>
        <v>0</v>
      </c>
      <c r="Y158" s="1579">
        <f>IF(YEAR('3 pr-2'!$AK158)=2017,$V158,0)</f>
        <v>0</v>
      </c>
      <c r="Z158" s="1579">
        <f>IF(YEAR('3 pr-2'!$AK158)=2018,$V158,0)</f>
        <v>0</v>
      </c>
      <c r="AA158" s="1579">
        <f>IF(YEAR('3 pr-2'!$AK158)=2019,$V158,0)</f>
        <v>25</v>
      </c>
      <c r="AB158" s="1579">
        <f>IF(YEAR('3 pr-2'!$AK158)=2020,$V158,0)</f>
        <v>0</v>
      </c>
      <c r="AC158" s="1579">
        <f>IF(YEAR('3 pr-2'!$AK158)=2021,$V158,0)</f>
        <v>0</v>
      </c>
      <c r="AD158" s="1579">
        <f>IF(YEAR('3 pr-2'!$AK158)=2022,$V158,0)</f>
        <v>0</v>
      </c>
      <c r="AE158" s="1579">
        <f>IF(YEAR('3 pr-2'!$AK158)=2023,$V158,0)</f>
        <v>0</v>
      </c>
      <c r="AF158" s="350"/>
      <c r="AG158" s="537"/>
      <c r="AH158" s="345"/>
      <c r="AI158" s="345"/>
      <c r="AJ158" s="345"/>
      <c r="AK158" s="345"/>
      <c r="AL158" s="345"/>
      <c r="AM158" s="345"/>
      <c r="AN158" s="345"/>
      <c r="AO158" s="895">
        <f t="shared" si="622"/>
        <v>0</v>
      </c>
      <c r="AP158" s="345"/>
      <c r="AQ158" s="1597"/>
      <c r="AR158" s="1579"/>
      <c r="AS158" s="1579">
        <f>IF(YEAR('3 pr-2'!$AK158)=2017,$AP158,0)</f>
        <v>0</v>
      </c>
      <c r="AT158" s="1579">
        <f>IF(YEAR('3 pr-2'!$AK158)=2018,$AP158,0)</f>
        <v>0</v>
      </c>
      <c r="AU158" s="1579">
        <f>IF(YEAR('3 pr-2'!$AK158)=2019,$AP158,0)</f>
        <v>0</v>
      </c>
      <c r="AV158" s="1579">
        <f>IF(YEAR('3 pr-2'!$AK158)=2020,$AP158,0)</f>
        <v>0</v>
      </c>
      <c r="AW158" s="1579">
        <f>IF(YEAR('3 pr-2'!$AK158)=2021,$AP158,0)</f>
        <v>0</v>
      </c>
      <c r="AX158" s="1579">
        <f>IF(YEAR('3 pr-2'!$AK158)=2022,$AP158,0)</f>
        <v>0</v>
      </c>
      <c r="AY158" s="1579">
        <f>IF(YEAR('3 pr-2'!$AK158)=2023,$AP158,0)</f>
        <v>0</v>
      </c>
      <c r="AZ158" s="345"/>
      <c r="BA158" s="536"/>
      <c r="BB158" s="345"/>
      <c r="BC158" s="345"/>
      <c r="BD158" s="345"/>
      <c r="BE158" s="345"/>
      <c r="BF158" s="345"/>
      <c r="BG158" s="345"/>
      <c r="BH158" s="345"/>
      <c r="BI158" s="895">
        <f t="shared" si="623"/>
        <v>0</v>
      </c>
      <c r="BJ158" s="345"/>
      <c r="BK158" s="1597"/>
      <c r="BL158" s="1579"/>
      <c r="BM158" s="1579">
        <f>IF(YEAR('3 pr-2'!$AK158)=2017,$BJ158,0)</f>
        <v>0</v>
      </c>
      <c r="BN158" s="1579">
        <f>IF(YEAR('3 pr-2'!$AK158)=2018,$BJ158,0)</f>
        <v>0</v>
      </c>
      <c r="BO158" s="1579">
        <f>IF(YEAR('3 pr-2'!$AK158)=2019,$BJ158,0)</f>
        <v>0</v>
      </c>
      <c r="BP158" s="1579">
        <f>IF(YEAR('3 pr-2'!$AK158)=2020,$BJ158,0)</f>
        <v>0</v>
      </c>
      <c r="BQ158" s="1579">
        <f>IF(YEAR('3 pr-2'!$AK158)=2021,$BJ158,0)</f>
        <v>0</v>
      </c>
      <c r="BR158" s="1579">
        <f>IF(YEAR('3 pr-2'!$AK158)=2022,$BJ158,0)</f>
        <v>0</v>
      </c>
      <c r="BS158" s="1579">
        <f>IF(YEAR('3 pr-2'!$AK158)=2023,$BJ158,0)</f>
        <v>0</v>
      </c>
      <c r="BT158" s="350"/>
      <c r="BU158" s="537"/>
      <c r="BV158" s="345"/>
      <c r="BW158" s="345"/>
      <c r="BX158" s="345"/>
      <c r="BY158" s="345"/>
      <c r="BZ158" s="345"/>
      <c r="CA158" s="345"/>
      <c r="CB158" s="345"/>
      <c r="CC158" s="895">
        <f t="shared" si="624"/>
        <v>0</v>
      </c>
      <c r="CD158" s="345"/>
      <c r="CE158" s="1579"/>
      <c r="CF158" s="1579"/>
      <c r="CG158" s="1579">
        <f>IF(YEAR('3 pr-2'!$AK158)=2017,$CD158,0)</f>
        <v>0</v>
      </c>
      <c r="CH158" s="1579">
        <f>IF(YEAR('3 pr-2'!$AK158)=2018,$CD158,0)</f>
        <v>0</v>
      </c>
      <c r="CI158" s="1579">
        <f>IF(YEAR('3 pr-2'!$AK158)=2019,$CD158,0)</f>
        <v>0</v>
      </c>
      <c r="CJ158" s="1579">
        <f>IF(YEAR('3 pr-2'!$AK158)=2020,$CD158,0)</f>
        <v>0</v>
      </c>
      <c r="CK158" s="1579">
        <f>IF(YEAR('3 pr-2'!$AK158)=2021,$CD158,0)</f>
        <v>0</v>
      </c>
      <c r="CL158" s="1579">
        <f>IF(YEAR('3 pr-2'!$AK158)=2022,$CD158,0)</f>
        <v>0</v>
      </c>
      <c r="CM158" s="1579">
        <f>IF(YEAR('3 pr-2'!$AK158)=2023,$CD158,0)</f>
        <v>0</v>
      </c>
      <c r="CN158" s="350"/>
      <c r="CO158" s="538"/>
      <c r="CP158" s="345"/>
      <c r="CQ158" s="345"/>
      <c r="CR158" s="345"/>
      <c r="CS158" s="345"/>
      <c r="CT158" s="345"/>
      <c r="CU158" s="345"/>
      <c r="CV158" s="345"/>
      <c r="CW158" s="895">
        <f t="shared" si="625"/>
        <v>0</v>
      </c>
      <c r="CX158" s="351"/>
      <c r="CY158" s="1605"/>
      <c r="CZ158" s="1605"/>
      <c r="DA158" s="1594">
        <f>IF(YEAR('3 pr-2'!AK158)=2017,CX158,0)</f>
        <v>0</v>
      </c>
      <c r="DB158" s="1594">
        <f>IF(YEAR('3 pr-2'!AK158)=2018,CX158,0)</f>
        <v>0</v>
      </c>
      <c r="DC158" s="1594">
        <f>IF(YEAR('3 pr-2'!AK158)=2019,CX158,0)</f>
        <v>0</v>
      </c>
      <c r="DD158" s="1594">
        <f>IF(YEAR('3 pr-2'!AK158)=2020,CX158,0)</f>
        <v>0</v>
      </c>
      <c r="DE158" s="1594">
        <f>IF(YEAR('3 pr-2'!AK158)=2021,CX158,0)</f>
        <v>0</v>
      </c>
      <c r="DF158" s="1594">
        <f>IF(YEAR('3 pr-2'!AK158)=2022,CX158,0)</f>
        <v>0</v>
      </c>
      <c r="DG158" s="1594">
        <f>IF(YEAR('3 pr-2'!AK158)=2023,CX158,0)</f>
        <v>0</v>
      </c>
      <c r="DH158" s="350"/>
      <c r="DI158" s="538"/>
      <c r="DJ158" s="345"/>
      <c r="DK158" s="345"/>
      <c r="DL158" s="345"/>
      <c r="DM158" s="345"/>
      <c r="DN158" s="345"/>
      <c r="DO158" s="345"/>
      <c r="DP158" s="345"/>
      <c r="DQ158" s="895"/>
      <c r="DR158" s="351"/>
      <c r="DS158" s="1605"/>
      <c r="DT158" s="1605"/>
      <c r="DU158" s="1594"/>
      <c r="DV158" s="1594"/>
      <c r="DW158" s="1594"/>
      <c r="DX158" s="1594"/>
      <c r="DY158" s="1594"/>
      <c r="DZ158" s="1594"/>
      <c r="EA158" s="1594"/>
      <c r="EB158" s="350"/>
      <c r="EC158" s="538"/>
      <c r="ED158" s="333"/>
      <c r="EE158" s="1605"/>
      <c r="EF158" s="1605"/>
      <c r="EG158" s="1594">
        <f>IF(YEAR('3 pr-2'!BP158)=2017,ED158,0)</f>
        <v>0</v>
      </c>
      <c r="EH158" s="1594">
        <f>IF(YEAR('3 pr-2'!BP158)=2018,ED158,0)</f>
        <v>0</v>
      </c>
      <c r="EI158" s="1594">
        <f>IF(YEAR('3 pr-2'!BP158)=2019,ED158,0)</f>
        <v>0</v>
      </c>
      <c r="EJ158" s="1594">
        <f>IF(YEAR('3 pr-2'!BP158)=2020,ED158,0)</f>
        <v>0</v>
      </c>
      <c r="EK158" s="1594">
        <f>IF(YEAR('3 pr-2'!BP158)=2021,ED158,0)</f>
        <v>0</v>
      </c>
      <c r="EL158" s="1594">
        <f>IF(YEAR('3 pr-2'!BP158)=2022,ED158,0)</f>
        <v>0</v>
      </c>
      <c r="EM158" s="1594">
        <f>IF(YEAR('3 pr-2'!BP158)=2023,ED158,0)</f>
        <v>0</v>
      </c>
    </row>
    <row r="159" spans="1:143" ht="61.5" thickTop="1" thickBot="1" x14ac:dyDescent="0.3">
      <c r="A159" s="345" t="str">
        <f>CONCATENATE('3 pr-2'!A159)</f>
        <v>2.1.3.2.5</v>
      </c>
      <c r="B159" s="345" t="str">
        <f>CONCATENATE('3 pr-2'!B159)</f>
        <v>R01-4408-252600-2325</v>
      </c>
      <c r="C159" s="1321" t="str">
        <f>CONCATENATE('ketv. 2'!B158)</f>
        <v>08.1.2-CPVA-R-408-11-0004</v>
      </c>
      <c r="D159" s="312" t="str">
        <f>CONCATENATE('3 pr-2'!D159)</f>
        <v>Socialinio būsto fondo plėtra Lazdijų rajono savivaldybėje</v>
      </c>
      <c r="E159" s="312" t="str">
        <f>CONCATENATE('3 pr-2'!E159)</f>
        <v>Lazdijų rajono savivaldybės administracija</v>
      </c>
      <c r="F159" s="312" t="str">
        <f>CONCATENATE('3 pr-2'!F159)</f>
        <v>Lietuvos Respublikos socialinės apsaugos ir darbo ministerija</v>
      </c>
      <c r="G159" s="312" t="str">
        <f>CONCATENATE('3 pr-2'!G159)</f>
        <v>Lazdijų r. sav.</v>
      </c>
      <c r="H159" s="345" t="str">
        <f>CONCATENATE('3 pr-2'!H159)</f>
        <v>08.1.1-CPVA·R-408</v>
      </c>
      <c r="I159" s="345" t="str">
        <f>CONCATENATE('3 pr-2'!I159)</f>
        <v>R</v>
      </c>
      <c r="J159" s="345" t="str">
        <f>CONCATENATE('3 pr-2'!J159)</f>
        <v>-</v>
      </c>
      <c r="K159" s="345" t="str">
        <f>CONCATENATE('3 pr-2'!K159)</f>
        <v>-</v>
      </c>
      <c r="L159" s="345" t="s">
        <v>527</v>
      </c>
      <c r="M159" s="537" t="s">
        <v>528</v>
      </c>
      <c r="N159" s="345">
        <v>0</v>
      </c>
      <c r="O159" s="345">
        <v>5</v>
      </c>
      <c r="P159" s="345"/>
      <c r="Q159" s="345"/>
      <c r="R159" s="345"/>
      <c r="S159" s="345"/>
      <c r="T159" s="345"/>
      <c r="U159" s="893">
        <f t="shared" si="652"/>
        <v>5</v>
      </c>
      <c r="V159" s="345">
        <v>12</v>
      </c>
      <c r="W159" s="1578" t="str">
        <f ca="1">IF('ketv. 6 '!L158&gt;0,"12",0)</f>
        <v>12</v>
      </c>
      <c r="X159" s="1579">
        <f ca="1">SUM(W159-V159)</f>
        <v>0</v>
      </c>
      <c r="Y159" s="1579">
        <f>IF(YEAR('3 pr-2'!$AK159)=2017,$V159,0)</f>
        <v>0</v>
      </c>
      <c r="Z159" s="1579">
        <f>IF(YEAR('3 pr-2'!$AK159)=2018,$V159,0)</f>
        <v>0</v>
      </c>
      <c r="AA159" s="1579">
        <f>IF(YEAR('3 pr-2'!$AK159)=2019,$V159,0)</f>
        <v>12</v>
      </c>
      <c r="AB159" s="1579">
        <f>IF(YEAR('3 pr-2'!$AK159)=2020,$V159,0)</f>
        <v>0</v>
      </c>
      <c r="AC159" s="1579">
        <f>IF(YEAR('3 pr-2'!$AK159)=2021,$V159,0)</f>
        <v>0</v>
      </c>
      <c r="AD159" s="1579">
        <f>IF(YEAR('3 pr-2'!$AK159)=2022,$V159,0)</f>
        <v>0</v>
      </c>
      <c r="AE159" s="1579">
        <f>IF(YEAR('3 pr-2'!$AK159)=2023,$V159,0)</f>
        <v>0</v>
      </c>
      <c r="AF159" s="350"/>
      <c r="AG159" s="537"/>
      <c r="AH159" s="345"/>
      <c r="AI159" s="345"/>
      <c r="AJ159" s="345"/>
      <c r="AK159" s="345"/>
      <c r="AL159" s="345"/>
      <c r="AM159" s="345"/>
      <c r="AN159" s="345"/>
      <c r="AO159" s="895">
        <f t="shared" si="622"/>
        <v>0</v>
      </c>
      <c r="AP159" s="345"/>
      <c r="AQ159" s="1597"/>
      <c r="AR159" s="1579"/>
      <c r="AS159" s="1579">
        <f>IF(YEAR('3 pr-2'!$AK159)=2017,$AP159,0)</f>
        <v>0</v>
      </c>
      <c r="AT159" s="1579">
        <f>IF(YEAR('3 pr-2'!$AK159)=2018,$AP159,0)</f>
        <v>0</v>
      </c>
      <c r="AU159" s="1579">
        <f>IF(YEAR('3 pr-2'!$AK159)=2019,$AP159,0)</f>
        <v>0</v>
      </c>
      <c r="AV159" s="1579">
        <f>IF(YEAR('3 pr-2'!$AK159)=2020,$AP159,0)</f>
        <v>0</v>
      </c>
      <c r="AW159" s="1579">
        <f>IF(YEAR('3 pr-2'!$AK159)=2021,$AP159,0)</f>
        <v>0</v>
      </c>
      <c r="AX159" s="1579">
        <f>IF(YEAR('3 pr-2'!$AK159)=2022,$AP159,0)</f>
        <v>0</v>
      </c>
      <c r="AY159" s="1579">
        <f>IF(YEAR('3 pr-2'!$AK159)=2023,$AP159,0)</f>
        <v>0</v>
      </c>
      <c r="AZ159" s="345"/>
      <c r="BA159" s="536"/>
      <c r="BB159" s="345"/>
      <c r="BC159" s="345"/>
      <c r="BD159" s="345"/>
      <c r="BE159" s="345"/>
      <c r="BF159" s="345"/>
      <c r="BG159" s="345"/>
      <c r="BH159" s="345"/>
      <c r="BI159" s="895">
        <f t="shared" si="623"/>
        <v>0</v>
      </c>
      <c r="BJ159" s="345"/>
      <c r="BK159" s="1597"/>
      <c r="BL159" s="1579"/>
      <c r="BM159" s="1579">
        <f>IF(YEAR('3 pr-2'!$AK159)=2017,$BJ159,0)</f>
        <v>0</v>
      </c>
      <c r="BN159" s="1579">
        <f>IF(YEAR('3 pr-2'!$AK159)=2018,$BJ159,0)</f>
        <v>0</v>
      </c>
      <c r="BO159" s="1579">
        <f>IF(YEAR('3 pr-2'!$AK159)=2019,$BJ159,0)</f>
        <v>0</v>
      </c>
      <c r="BP159" s="1579">
        <f>IF(YEAR('3 pr-2'!$AK159)=2020,$BJ159,0)</f>
        <v>0</v>
      </c>
      <c r="BQ159" s="1579">
        <f>IF(YEAR('3 pr-2'!$AK159)=2021,$BJ159,0)</f>
        <v>0</v>
      </c>
      <c r="BR159" s="1579">
        <f>IF(YEAR('3 pr-2'!$AK159)=2022,$BJ159,0)</f>
        <v>0</v>
      </c>
      <c r="BS159" s="1579">
        <f>IF(YEAR('3 pr-2'!$AK159)=2023,$BJ159,0)</f>
        <v>0</v>
      </c>
      <c r="BT159" s="350"/>
      <c r="BU159" s="537"/>
      <c r="BV159" s="345"/>
      <c r="BW159" s="345"/>
      <c r="BX159" s="345"/>
      <c r="BY159" s="345"/>
      <c r="BZ159" s="345"/>
      <c r="CA159" s="345"/>
      <c r="CB159" s="345"/>
      <c r="CC159" s="895">
        <f t="shared" si="624"/>
        <v>0</v>
      </c>
      <c r="CD159" s="345"/>
      <c r="CE159" s="1579"/>
      <c r="CF159" s="1579"/>
      <c r="CG159" s="1579">
        <f>IF(YEAR('3 pr-2'!$AK159)=2017,$CD159,0)</f>
        <v>0</v>
      </c>
      <c r="CH159" s="1579">
        <f>IF(YEAR('3 pr-2'!$AK159)=2018,$CD159,0)</f>
        <v>0</v>
      </c>
      <c r="CI159" s="1579">
        <f>IF(YEAR('3 pr-2'!$AK159)=2019,$CD159,0)</f>
        <v>0</v>
      </c>
      <c r="CJ159" s="1579">
        <f>IF(YEAR('3 pr-2'!$AK159)=2020,$CD159,0)</f>
        <v>0</v>
      </c>
      <c r="CK159" s="1579">
        <f>IF(YEAR('3 pr-2'!$AK159)=2021,$CD159,0)</f>
        <v>0</v>
      </c>
      <c r="CL159" s="1579">
        <f>IF(YEAR('3 pr-2'!$AK159)=2022,$CD159,0)</f>
        <v>0</v>
      </c>
      <c r="CM159" s="1579">
        <f>IF(YEAR('3 pr-2'!$AK159)=2023,$CD159,0)</f>
        <v>0</v>
      </c>
      <c r="CN159" s="350"/>
      <c r="CO159" s="538"/>
      <c r="CP159" s="345"/>
      <c r="CQ159" s="345"/>
      <c r="CR159" s="345"/>
      <c r="CS159" s="345"/>
      <c r="CT159" s="345"/>
      <c r="CU159" s="345"/>
      <c r="CV159" s="345"/>
      <c r="CW159" s="895">
        <f t="shared" si="625"/>
        <v>0</v>
      </c>
      <c r="CX159" s="351"/>
      <c r="CY159" s="1605"/>
      <c r="CZ159" s="1605"/>
      <c r="DA159" s="1594">
        <f>IF(YEAR('3 pr-2'!AK159)=2017,CX159,0)</f>
        <v>0</v>
      </c>
      <c r="DB159" s="1594">
        <f>IF(YEAR('3 pr-2'!AK159)=2018,CX159,0)</f>
        <v>0</v>
      </c>
      <c r="DC159" s="1594">
        <f>IF(YEAR('3 pr-2'!AK159)=2019,CX159,0)</f>
        <v>0</v>
      </c>
      <c r="DD159" s="1594">
        <f>IF(YEAR('3 pr-2'!AK159)=2020,CX159,0)</f>
        <v>0</v>
      </c>
      <c r="DE159" s="1594">
        <f>IF(YEAR('3 pr-2'!AK159)=2021,CX159,0)</f>
        <v>0</v>
      </c>
      <c r="DF159" s="1594">
        <f>IF(YEAR('3 pr-2'!AK159)=2022,CX159,0)</f>
        <v>0</v>
      </c>
      <c r="DG159" s="1594">
        <f>IF(YEAR('3 pr-2'!AK159)=2023,CX159,0)</f>
        <v>0</v>
      </c>
      <c r="DH159" s="350"/>
      <c r="DI159" s="538"/>
      <c r="DJ159" s="345"/>
      <c r="DK159" s="345"/>
      <c r="DL159" s="345"/>
      <c r="DM159" s="345"/>
      <c r="DN159" s="345"/>
      <c r="DO159" s="345"/>
      <c r="DP159" s="345"/>
      <c r="DQ159" s="895"/>
      <c r="DR159" s="351"/>
      <c r="DS159" s="1605"/>
      <c r="DT159" s="1605"/>
      <c r="DU159" s="1594"/>
      <c r="DV159" s="1594"/>
      <c r="DW159" s="1594"/>
      <c r="DX159" s="1594"/>
      <c r="DY159" s="1594"/>
      <c r="DZ159" s="1594"/>
      <c r="EA159" s="1594"/>
      <c r="EB159" s="350"/>
      <c r="EC159" s="538"/>
      <c r="ED159" s="333"/>
      <c r="EE159" s="1605"/>
      <c r="EF159" s="1605"/>
      <c r="EG159" s="1594">
        <f>IF(YEAR('3 pr-2'!BP159)=2017,ED159,0)</f>
        <v>0</v>
      </c>
      <c r="EH159" s="1594">
        <f>IF(YEAR('3 pr-2'!BP159)=2018,ED159,0)</f>
        <v>0</v>
      </c>
      <c r="EI159" s="1594">
        <f>IF(YEAR('3 pr-2'!BP159)=2019,ED159,0)</f>
        <v>0</v>
      </c>
      <c r="EJ159" s="1594">
        <f>IF(YEAR('3 pr-2'!BP159)=2020,ED159,0)</f>
        <v>0</v>
      </c>
      <c r="EK159" s="1594">
        <f>IF(YEAR('3 pr-2'!BP159)=2021,ED159,0)</f>
        <v>0</v>
      </c>
      <c r="EL159" s="1594">
        <f>IF(YEAR('3 pr-2'!BP159)=2022,ED159,0)</f>
        <v>0</v>
      </c>
      <c r="EM159" s="1594">
        <f>IF(YEAR('3 pr-2'!BP159)=2023,ED159,0)</f>
        <v>0</v>
      </c>
    </row>
    <row r="160" spans="1:143" ht="36.75" customHeight="1" thickBot="1" x14ac:dyDescent="0.3">
      <c r="A160" s="914" t="str">
        <f>CONCATENATE('3 pr-2'!A160)</f>
        <v>2.1.4.</v>
      </c>
      <c r="B160" s="1926" t="str">
        <f>CONCATENATE('3 pr-2'!B160)</f>
        <v>Uždavinys:
Visuomenei teikiamų paslaugų kokybės, didinant jų atitikimo visuomenės poreikiams pagerinimas</v>
      </c>
      <c r="C160" s="1927"/>
      <c r="D160" s="1927"/>
      <c r="E160" s="1927"/>
      <c r="F160" s="1927"/>
      <c r="G160" s="1927"/>
      <c r="H160" s="1927"/>
      <c r="I160" s="1927"/>
      <c r="J160" s="1927"/>
      <c r="K160" s="1928"/>
      <c r="L160" s="890" t="s">
        <v>66</v>
      </c>
      <c r="M160" s="758" t="s">
        <v>66</v>
      </c>
      <c r="N160" s="892"/>
      <c r="O160" s="892"/>
      <c r="P160" s="892"/>
      <c r="Q160" s="892"/>
      <c r="R160" s="892"/>
      <c r="S160" s="892"/>
      <c r="T160" s="892"/>
      <c r="U160" s="907"/>
      <c r="V160" s="890" t="s">
        <v>66</v>
      </c>
      <c r="W160" s="1587"/>
      <c r="X160" s="1587"/>
      <c r="Y160" s="1587" t="s">
        <v>66</v>
      </c>
      <c r="Z160" s="1587" t="s">
        <v>66</v>
      </c>
      <c r="AA160" s="1587" t="s">
        <v>66</v>
      </c>
      <c r="AB160" s="1587" t="s">
        <v>66</v>
      </c>
      <c r="AC160" s="1587" t="s">
        <v>66</v>
      </c>
      <c r="AD160" s="1587" t="s">
        <v>66</v>
      </c>
      <c r="AE160" s="1587" t="s">
        <v>66</v>
      </c>
      <c r="AF160" s="892" t="s">
        <v>66</v>
      </c>
      <c r="AG160" s="758" t="s">
        <v>66</v>
      </c>
      <c r="AH160" s="892"/>
      <c r="AI160" s="892"/>
      <c r="AJ160" s="892"/>
      <c r="AK160" s="892"/>
      <c r="AL160" s="892"/>
      <c r="AM160" s="892"/>
      <c r="AN160" s="892"/>
      <c r="AO160" s="892"/>
      <c r="AP160" s="892" t="s">
        <v>66</v>
      </c>
      <c r="AQ160" s="1587"/>
      <c r="AR160" s="1587"/>
      <c r="AS160" s="1587" t="s">
        <v>66</v>
      </c>
      <c r="AT160" s="1587" t="s">
        <v>66</v>
      </c>
      <c r="AU160" s="1587" t="s">
        <v>66</v>
      </c>
      <c r="AV160" s="1587" t="s">
        <v>66</v>
      </c>
      <c r="AW160" s="1587" t="s">
        <v>66</v>
      </c>
      <c r="AX160" s="1587" t="s">
        <v>66</v>
      </c>
      <c r="AY160" s="1587" t="s">
        <v>66</v>
      </c>
      <c r="AZ160" s="892" t="s">
        <v>66</v>
      </c>
      <c r="BA160" s="758" t="s">
        <v>66</v>
      </c>
      <c r="BB160" s="892"/>
      <c r="BC160" s="892"/>
      <c r="BD160" s="892"/>
      <c r="BE160" s="892"/>
      <c r="BF160" s="892"/>
      <c r="BG160" s="892"/>
      <c r="BH160" s="892"/>
      <c r="BI160" s="892"/>
      <c r="BJ160" s="892" t="s">
        <v>66</v>
      </c>
      <c r="BK160" s="1587"/>
      <c r="BL160" s="1587"/>
      <c r="BM160" s="1587" t="s">
        <v>66</v>
      </c>
      <c r="BN160" s="1587" t="s">
        <v>66</v>
      </c>
      <c r="BO160" s="1587" t="s">
        <v>66</v>
      </c>
      <c r="BP160" s="1587" t="s">
        <v>66</v>
      </c>
      <c r="BQ160" s="1587" t="s">
        <v>66</v>
      </c>
      <c r="BR160" s="1587" t="s">
        <v>66</v>
      </c>
      <c r="BS160" s="1587" t="s">
        <v>66</v>
      </c>
      <c r="BT160" s="892" t="s">
        <v>66</v>
      </c>
      <c r="BU160" s="758" t="s">
        <v>66</v>
      </c>
      <c r="BV160" s="892"/>
      <c r="BW160" s="892"/>
      <c r="BX160" s="892"/>
      <c r="BY160" s="892"/>
      <c r="BZ160" s="892"/>
      <c r="CA160" s="892"/>
      <c r="CB160" s="892"/>
      <c r="CC160" s="892"/>
      <c r="CD160" s="892" t="s">
        <v>66</v>
      </c>
      <c r="CE160" s="1587"/>
      <c r="CF160" s="1587"/>
      <c r="CG160" s="1587" t="s">
        <v>66</v>
      </c>
      <c r="CH160" s="1587" t="s">
        <v>66</v>
      </c>
      <c r="CI160" s="1587" t="s">
        <v>66</v>
      </c>
      <c r="CJ160" s="1587" t="s">
        <v>66</v>
      </c>
      <c r="CK160" s="1587" t="s">
        <v>66</v>
      </c>
      <c r="CL160" s="1587" t="s">
        <v>66</v>
      </c>
      <c r="CM160" s="1587" t="s">
        <v>66</v>
      </c>
      <c r="CN160" s="892" t="s">
        <v>66</v>
      </c>
      <c r="CO160" s="538" t="s">
        <v>66</v>
      </c>
      <c r="CP160" s="892"/>
      <c r="CQ160" s="892"/>
      <c r="CR160" s="892"/>
      <c r="CS160" s="892"/>
      <c r="CT160" s="892"/>
      <c r="CU160" s="892"/>
      <c r="CV160" s="892"/>
      <c r="CW160" s="892"/>
      <c r="CX160" s="892" t="s">
        <v>66</v>
      </c>
      <c r="CY160" s="1591"/>
      <c r="CZ160" s="1591"/>
      <c r="DA160" s="1606"/>
      <c r="DB160" s="1604"/>
      <c r="DC160" s="1604"/>
      <c r="DD160" s="1604"/>
      <c r="DE160" s="1604"/>
      <c r="DF160" s="1604"/>
      <c r="DG160" s="1604"/>
      <c r="DH160" s="892"/>
      <c r="DI160" s="538"/>
      <c r="DJ160" s="892"/>
      <c r="DK160" s="892"/>
      <c r="DL160" s="892"/>
      <c r="DM160" s="892"/>
      <c r="DN160" s="892"/>
      <c r="DO160" s="892"/>
      <c r="DP160" s="892"/>
      <c r="DQ160" s="892"/>
      <c r="DR160" s="892"/>
      <c r="DS160" s="1591"/>
      <c r="DT160" s="1591"/>
      <c r="DU160" s="1606"/>
      <c r="DV160" s="1604"/>
      <c r="DW160" s="1604"/>
      <c r="DX160" s="1604"/>
      <c r="DY160" s="1604"/>
      <c r="DZ160" s="1604"/>
      <c r="EA160" s="1604"/>
      <c r="EB160" s="892"/>
      <c r="EC160" s="538"/>
      <c r="ED160" s="908"/>
      <c r="EE160" s="1591"/>
      <c r="EF160" s="1591"/>
      <c r="EG160" s="1606"/>
      <c r="EH160" s="1604"/>
      <c r="EI160" s="1604"/>
      <c r="EJ160" s="1604"/>
      <c r="EK160" s="1604"/>
      <c r="EL160" s="1604"/>
      <c r="EM160" s="1604"/>
    </row>
    <row r="161" spans="1:143" ht="38.25" customHeight="1" thickBot="1" x14ac:dyDescent="0.3">
      <c r="A161" s="915" t="str">
        <f>CONCATENATE('3 pr-2'!A161)</f>
        <v>2.1.4.1</v>
      </c>
      <c r="B161" s="1926" t="str">
        <f>CONCATENATE('3 pr-2'!B161)</f>
        <v>Priemonė:
Paslaugų teikimo ir asmenų aptarnavimo kokybės gerinimas savivaldybėse</v>
      </c>
      <c r="C161" s="1927"/>
      <c r="D161" s="1927"/>
      <c r="E161" s="1927"/>
      <c r="F161" s="1927"/>
      <c r="G161" s="1927"/>
      <c r="H161" s="1927"/>
      <c r="I161" s="1927"/>
      <c r="J161" s="1927"/>
      <c r="K161" s="1928"/>
      <c r="L161" s="916"/>
      <c r="M161" s="540"/>
      <c r="N161" s="890">
        <f>SUM(N162:N166)</f>
        <v>0</v>
      </c>
      <c r="O161" s="890">
        <f t="shared" ref="O161:T161" si="653">SUM(O162:O166)</f>
        <v>0</v>
      </c>
      <c r="P161" s="890">
        <f t="shared" si="653"/>
        <v>0</v>
      </c>
      <c r="Q161" s="890">
        <f t="shared" si="653"/>
        <v>0</v>
      </c>
      <c r="R161" s="890">
        <f t="shared" si="653"/>
        <v>0</v>
      </c>
      <c r="S161" s="890">
        <f t="shared" si="653"/>
        <v>0</v>
      </c>
      <c r="T161" s="890">
        <f t="shared" si="653"/>
        <v>0</v>
      </c>
      <c r="U161" s="891">
        <f t="shared" ref="U161:U166" si="654">SUM(N161:T161)</f>
        <v>0</v>
      </c>
      <c r="V161" s="867"/>
      <c r="W161" s="1592"/>
      <c r="X161" s="1593"/>
      <c r="Y161" s="1594">
        <f t="shared" ref="Y161:AE161" si="655">SUM(Y162:Y167)</f>
        <v>0</v>
      </c>
      <c r="Z161" s="1594">
        <f t="shared" si="655"/>
        <v>0</v>
      </c>
      <c r="AA161" s="1594">
        <f t="shared" si="655"/>
        <v>1</v>
      </c>
      <c r="AB161" s="1594">
        <f t="shared" si="655"/>
        <v>94</v>
      </c>
      <c r="AC161" s="1594">
        <f t="shared" si="655"/>
        <v>0</v>
      </c>
      <c r="AD161" s="1594">
        <f t="shared" si="655"/>
        <v>0</v>
      </c>
      <c r="AE161" s="1594">
        <f t="shared" si="655"/>
        <v>0</v>
      </c>
      <c r="AF161" s="917"/>
      <c r="AG161" s="889"/>
      <c r="AH161" s="890">
        <f>SUM(AH162:AH166)</f>
        <v>0</v>
      </c>
      <c r="AI161" s="890">
        <f t="shared" ref="AI161" si="656">SUM(AI162:AI166)</f>
        <v>0</v>
      </c>
      <c r="AJ161" s="890">
        <f t="shared" ref="AJ161" si="657">SUM(AJ162:AJ166)</f>
        <v>0</v>
      </c>
      <c r="AK161" s="890">
        <f t="shared" ref="AK161" si="658">SUM(AK162:AK166)</f>
        <v>0</v>
      </c>
      <c r="AL161" s="890">
        <f t="shared" ref="AL161" si="659">SUM(AL162:AL166)</f>
        <v>0</v>
      </c>
      <c r="AM161" s="890">
        <f t="shared" ref="AM161" si="660">SUM(AM162:AM166)</f>
        <v>0</v>
      </c>
      <c r="AN161" s="890">
        <f t="shared" ref="AN161" si="661">SUM(AN162:AN166)</f>
        <v>0</v>
      </c>
      <c r="AO161" s="867">
        <f t="shared" ref="AO161:AO166" si="662">SUM(AH161:AN161)</f>
        <v>0</v>
      </c>
      <c r="AP161" s="867"/>
      <c r="AQ161" s="1594"/>
      <c r="AR161" s="1594"/>
      <c r="AS161" s="1594">
        <f t="shared" ref="AS161:AY161" si="663">SUM(AS162:AS167)</f>
        <v>0</v>
      </c>
      <c r="AT161" s="1594">
        <f t="shared" si="663"/>
        <v>0</v>
      </c>
      <c r="AU161" s="1594">
        <f t="shared" si="663"/>
        <v>38</v>
      </c>
      <c r="AV161" s="1594">
        <f t="shared" si="663"/>
        <v>387</v>
      </c>
      <c r="AW161" s="1594">
        <f t="shared" si="663"/>
        <v>0</v>
      </c>
      <c r="AX161" s="1594">
        <f t="shared" si="663"/>
        <v>0</v>
      </c>
      <c r="AY161" s="1594">
        <f t="shared" si="663"/>
        <v>0</v>
      </c>
      <c r="AZ161" s="867"/>
      <c r="BA161" s="889"/>
      <c r="BB161" s="890">
        <f>SUM(BB162:BB166)</f>
        <v>0</v>
      </c>
      <c r="BC161" s="890">
        <f t="shared" ref="BC161" si="664">SUM(BC162:BC166)</f>
        <v>0</v>
      </c>
      <c r="BD161" s="890">
        <f t="shared" ref="BD161" si="665">SUM(BD162:BD166)</f>
        <v>0</v>
      </c>
      <c r="BE161" s="890">
        <f t="shared" ref="BE161" si="666">SUM(BE162:BE166)</f>
        <v>0</v>
      </c>
      <c r="BF161" s="890">
        <f t="shared" ref="BF161" si="667">SUM(BF162:BF166)</f>
        <v>0</v>
      </c>
      <c r="BG161" s="890">
        <f t="shared" ref="BG161" si="668">SUM(BG162:BG166)</f>
        <v>0</v>
      </c>
      <c r="BH161" s="890">
        <f t="shared" ref="BH161" si="669">SUM(BH162:BH166)</f>
        <v>0</v>
      </c>
      <c r="BI161" s="867">
        <f t="shared" ref="BI161:BI166" si="670">SUM(BB161:BH161)</f>
        <v>0</v>
      </c>
      <c r="BJ161" s="867"/>
      <c r="BK161" s="1594"/>
      <c r="BL161" s="1594"/>
      <c r="BM161" s="1594">
        <f t="shared" ref="BM161:BS161" si="671">SUM(BM162:BM167)</f>
        <v>0</v>
      </c>
      <c r="BN161" s="1594">
        <f t="shared" si="671"/>
        <v>0</v>
      </c>
      <c r="BO161" s="1594">
        <f t="shared" si="671"/>
        <v>1</v>
      </c>
      <c r="BP161" s="1594">
        <f t="shared" si="671"/>
        <v>2</v>
      </c>
      <c r="BQ161" s="1594">
        <f t="shared" si="671"/>
        <v>0</v>
      </c>
      <c r="BR161" s="1594">
        <f t="shared" si="671"/>
        <v>0</v>
      </c>
      <c r="BS161" s="1594">
        <f t="shared" si="671"/>
        <v>0</v>
      </c>
      <c r="BT161" s="890"/>
      <c r="BU161" s="538"/>
      <c r="BV161" s="890">
        <f>SUM(BV162:BV166)</f>
        <v>0</v>
      </c>
      <c r="BW161" s="890">
        <f t="shared" ref="BW161" si="672">SUM(BW162:BW166)</f>
        <v>0</v>
      </c>
      <c r="BX161" s="890">
        <f t="shared" ref="BX161" si="673">SUM(BX162:BX166)</f>
        <v>0</v>
      </c>
      <c r="BY161" s="890">
        <f t="shared" ref="BY161" si="674">SUM(BY162:BY166)</f>
        <v>0</v>
      </c>
      <c r="BZ161" s="890">
        <f t="shared" ref="BZ161" si="675">SUM(BZ162:BZ166)</f>
        <v>0</v>
      </c>
      <c r="CA161" s="890">
        <f t="shared" ref="CA161" si="676">SUM(CA162:CA166)</f>
        <v>0</v>
      </c>
      <c r="CB161" s="890">
        <f t="shared" ref="CB161" si="677">SUM(CB162:CB166)</f>
        <v>0</v>
      </c>
      <c r="CC161" s="867">
        <f t="shared" ref="CC161:CC166" si="678">SUM(BV161:CB161)</f>
        <v>0</v>
      </c>
      <c r="CD161" s="890"/>
      <c r="CE161" s="1594"/>
      <c r="CF161" s="1594"/>
      <c r="CG161" s="1594"/>
      <c r="CH161" s="1594"/>
      <c r="CI161" s="1594"/>
      <c r="CJ161" s="1594"/>
      <c r="CK161" s="1594"/>
      <c r="CL161" s="1594"/>
      <c r="CM161" s="1594"/>
      <c r="CN161" s="890"/>
      <c r="CO161" s="538"/>
      <c r="CP161" s="890">
        <f>SUM(CP162:CP166)</f>
        <v>0</v>
      </c>
      <c r="CQ161" s="890">
        <f t="shared" ref="CQ161" si="679">SUM(CQ162:CQ166)</f>
        <v>0</v>
      </c>
      <c r="CR161" s="890">
        <f t="shared" ref="CR161" si="680">SUM(CR162:CR166)</f>
        <v>0</v>
      </c>
      <c r="CS161" s="890">
        <f t="shared" ref="CS161" si="681">SUM(CS162:CS166)</f>
        <v>0</v>
      </c>
      <c r="CT161" s="890">
        <f t="shared" ref="CT161" si="682">SUM(CT162:CT166)</f>
        <v>0</v>
      </c>
      <c r="CU161" s="890">
        <f t="shared" ref="CU161" si="683">SUM(CU162:CU166)</f>
        <v>0</v>
      </c>
      <c r="CV161" s="890">
        <f t="shared" ref="CV161" si="684">SUM(CV162:CV166)</f>
        <v>0</v>
      </c>
      <c r="CW161" s="867">
        <f t="shared" ref="CW161:CW166" si="685">SUM(CP161:CV161)</f>
        <v>0</v>
      </c>
      <c r="CX161" s="890"/>
      <c r="CY161" s="1594"/>
      <c r="CZ161" s="1594"/>
      <c r="DA161" s="1594"/>
      <c r="DB161" s="1594"/>
      <c r="DC161" s="1594"/>
      <c r="DD161" s="1594"/>
      <c r="DE161" s="1594"/>
      <c r="DF161" s="1594"/>
      <c r="DG161" s="1594"/>
      <c r="DH161" s="890"/>
      <c r="DI161" s="538"/>
      <c r="DJ161" s="890"/>
      <c r="DK161" s="890"/>
      <c r="DL161" s="890"/>
      <c r="DM161" s="890"/>
      <c r="DN161" s="890"/>
      <c r="DO161" s="890"/>
      <c r="DP161" s="890"/>
      <c r="DQ161" s="867"/>
      <c r="DR161" s="890"/>
      <c r="DS161" s="1594"/>
      <c r="DT161" s="1594"/>
      <c r="DU161" s="1594"/>
      <c r="DV161" s="1594"/>
      <c r="DW161" s="1594"/>
      <c r="DX161" s="1594"/>
      <c r="DY161" s="1594"/>
      <c r="DZ161" s="1594"/>
      <c r="EA161" s="1594"/>
      <c r="EB161" s="890"/>
      <c r="EC161" s="538"/>
      <c r="ED161" s="890"/>
      <c r="EE161" s="1594"/>
      <c r="EF161" s="1594"/>
      <c r="EG161" s="1594"/>
      <c r="EH161" s="1594"/>
      <c r="EI161" s="1594"/>
      <c r="EJ161" s="1594"/>
      <c r="EK161" s="1594"/>
      <c r="EL161" s="1594"/>
      <c r="EM161" s="1594"/>
    </row>
    <row r="162" spans="1:143" ht="85.5" thickTop="1" thickBot="1" x14ac:dyDescent="0.3">
      <c r="A162" s="345" t="str">
        <f>CONCATENATE('3 pr-2'!A162)</f>
        <v>2.1.4.1.1</v>
      </c>
      <c r="B162" s="345" t="str">
        <f>CONCATENATE('3 pr-2'!B162)</f>
        <v>R01-9920-490000-2411</v>
      </c>
      <c r="C162" s="1321" t="str">
        <f>CONCATENATE('ketv. 2'!B161)</f>
        <v>10.1.3-ESFA-R-920-11-0001</v>
      </c>
      <c r="D162" s="312" t="str">
        <f>CONCATENATE('3 pr-2'!D162)</f>
        <v>Paslaugų teikimo ir asmenų aptarnavimo kokybės gerinimas Varėnos rajono savivaldybėje</v>
      </c>
      <c r="E162" s="312" t="str">
        <f>CONCATENATE('3 pr-2'!E162)</f>
        <v>Varėnos rajono savivaldybės administracija</v>
      </c>
      <c r="F162" s="312" t="str">
        <f>CONCATENATE('3 pr-2'!F162)</f>
        <v>Lietuvos Respublikos vidaus reikalų ministerija</v>
      </c>
      <c r="G162" s="312" t="str">
        <f>CONCATENATE('3 pr-2'!G162)</f>
        <v>Varėnos r. sav.</v>
      </c>
      <c r="H162" s="345" t="str">
        <f>CONCATENATE('3 pr-2'!H162)</f>
        <v>10.1.3-ESFA-R-920</v>
      </c>
      <c r="I162" s="345" t="str">
        <f>CONCATENATE('3 pr-2'!I162)</f>
        <v>R</v>
      </c>
      <c r="J162" s="345" t="str">
        <f>CONCATENATE('3 pr-2'!J162)</f>
        <v>-</v>
      </c>
      <c r="K162" s="345" t="str">
        <f>CONCATENATE('3 pr-2'!K162)</f>
        <v>-</v>
      </c>
      <c r="L162" s="345" t="s">
        <v>529</v>
      </c>
      <c r="M162" s="537" t="s">
        <v>530</v>
      </c>
      <c r="N162" s="345"/>
      <c r="O162" s="345"/>
      <c r="P162" s="345"/>
      <c r="Q162" s="345"/>
      <c r="R162" s="345"/>
      <c r="S162" s="345"/>
      <c r="T162" s="345"/>
      <c r="U162" s="893">
        <f t="shared" si="654"/>
        <v>0</v>
      </c>
      <c r="V162" s="345">
        <v>1</v>
      </c>
      <c r="W162" s="1578">
        <v>1</v>
      </c>
      <c r="X162" s="1579">
        <f>SUM(W162-V162)</f>
        <v>0</v>
      </c>
      <c r="Y162" s="1579">
        <f>IF(YEAR('3 pr-2'!$AK162)=2017,$V162,0)</f>
        <v>0</v>
      </c>
      <c r="Z162" s="1579">
        <f>IF(YEAR('3 pr-2'!$AK162)=2018,$V162,0)</f>
        <v>0</v>
      </c>
      <c r="AA162" s="1579">
        <f>IF(YEAR('3 pr-2'!$AK162)=2019,$V162,0)</f>
        <v>1</v>
      </c>
      <c r="AB162" s="1579">
        <f>IF(YEAR('3 pr-2'!$AK162)=2020,$V162,0)</f>
        <v>0</v>
      </c>
      <c r="AC162" s="1579">
        <f>IF(YEAR('3 pr-2'!$AK162)=2021,$V162,0)</f>
        <v>0</v>
      </c>
      <c r="AD162" s="1579">
        <f>IF(YEAR('3 pr-2'!$AK162)=2022,$V162,0)</f>
        <v>0</v>
      </c>
      <c r="AE162" s="1579">
        <f>IF(YEAR('3 pr-2'!$AK162)=2023,$V162,0)</f>
        <v>0</v>
      </c>
      <c r="AF162" s="350" t="s">
        <v>531</v>
      </c>
      <c r="AG162" s="537" t="s">
        <v>532</v>
      </c>
      <c r="AH162" s="345"/>
      <c r="AI162" s="345"/>
      <c r="AJ162" s="345"/>
      <c r="AK162" s="345"/>
      <c r="AL162" s="345"/>
      <c r="AM162" s="345"/>
      <c r="AN162" s="345"/>
      <c r="AO162" s="895">
        <f t="shared" si="662"/>
        <v>0</v>
      </c>
      <c r="AP162" s="345">
        <v>38</v>
      </c>
      <c r="AQ162" s="1597">
        <v>38</v>
      </c>
      <c r="AR162" s="1579">
        <f>SUM(AQ162-AP162)</f>
        <v>0</v>
      </c>
      <c r="AS162" s="1579">
        <f>IF(YEAR('3 pr-2'!$AK162)=2017,$AP162,0)</f>
        <v>0</v>
      </c>
      <c r="AT162" s="1579">
        <f>IF(YEAR('3 pr-2'!$AK162)=2018,$AP162,0)</f>
        <v>0</v>
      </c>
      <c r="AU162" s="1579">
        <f>IF(YEAR('3 pr-2'!$AK162)=2019,$AP162,0)</f>
        <v>38</v>
      </c>
      <c r="AV162" s="1579">
        <f>IF(YEAR('3 pr-2'!$AK162)=2020,$AP162,0)</f>
        <v>0</v>
      </c>
      <c r="AW162" s="1579">
        <f>IF(YEAR('3 pr-2'!$AK162)=2021,$AP162,0)</f>
        <v>0</v>
      </c>
      <c r="AX162" s="1579">
        <f>IF(YEAR('3 pr-2'!$AK162)=2022,$AP162,0)</f>
        <v>0</v>
      </c>
      <c r="AY162" s="1579">
        <f>IF(YEAR('3 pr-2'!$AK162)=2023,$AP162,0)</f>
        <v>0</v>
      </c>
      <c r="AZ162" s="345" t="s">
        <v>793</v>
      </c>
      <c r="BA162" s="536" t="s">
        <v>534</v>
      </c>
      <c r="BB162" s="345"/>
      <c r="BC162" s="345"/>
      <c r="BD162" s="345"/>
      <c r="BE162" s="345"/>
      <c r="BF162" s="345"/>
      <c r="BG162" s="345"/>
      <c r="BH162" s="345"/>
      <c r="BI162" s="895">
        <f t="shared" si="670"/>
        <v>0</v>
      </c>
      <c r="BJ162" s="345">
        <v>1</v>
      </c>
      <c r="BK162" s="1597">
        <v>1</v>
      </c>
      <c r="BL162" s="1579">
        <f>SUM(BK162-BJ162)</f>
        <v>0</v>
      </c>
      <c r="BM162" s="1579">
        <f>IF(YEAR('3 pr-2'!$AK162)=2017,$BJ162,0)</f>
        <v>0</v>
      </c>
      <c r="BN162" s="1579">
        <f>IF(YEAR('3 pr-2'!$AK162)=2018,$BJ162,0)</f>
        <v>0</v>
      </c>
      <c r="BO162" s="1579">
        <f>IF(YEAR('3 pr-2'!$AK162)=2019,$BJ162,0)</f>
        <v>1</v>
      </c>
      <c r="BP162" s="1579">
        <f>IF(YEAR('3 pr-2'!$AK162)=2020,$BJ162,0)</f>
        <v>0</v>
      </c>
      <c r="BQ162" s="1579">
        <f>IF(YEAR('3 pr-2'!$AK162)=2021,$BJ162,0)</f>
        <v>0</v>
      </c>
      <c r="BR162" s="1579">
        <f>IF(YEAR('3 pr-2'!$AK162)=2022,$BJ162,0)</f>
        <v>0</v>
      </c>
      <c r="BS162" s="1579">
        <f>IF(YEAR('3 pr-2'!$AK162)=2023,$BJ162,0)</f>
        <v>0</v>
      </c>
      <c r="BT162" s="350"/>
      <c r="BU162" s="537"/>
      <c r="BV162" s="345"/>
      <c r="BW162" s="345"/>
      <c r="BX162" s="345"/>
      <c r="BY162" s="345"/>
      <c r="BZ162" s="345"/>
      <c r="CA162" s="345"/>
      <c r="CB162" s="345"/>
      <c r="CC162" s="895">
        <f t="shared" si="678"/>
        <v>0</v>
      </c>
      <c r="CD162" s="345"/>
      <c r="CE162" s="1579"/>
      <c r="CF162" s="1579"/>
      <c r="CG162" s="1579">
        <f>IF(YEAR('3 pr-2'!$AK162)=2017,$CD162,0)</f>
        <v>0</v>
      </c>
      <c r="CH162" s="1579">
        <f>IF(YEAR('3 pr-2'!$AK162)=2018,$CD162,0)</f>
        <v>0</v>
      </c>
      <c r="CI162" s="1579">
        <f>IF(YEAR('3 pr-2'!$AK162)=2019,$CD162,0)</f>
        <v>0</v>
      </c>
      <c r="CJ162" s="1579">
        <f>IF(YEAR('3 pr-2'!$AK162)=2020,$CD162,0)</f>
        <v>0</v>
      </c>
      <c r="CK162" s="1579">
        <f>IF(YEAR('3 pr-2'!$AK162)=2021,$CD162,0)</f>
        <v>0</v>
      </c>
      <c r="CL162" s="1579">
        <f>IF(YEAR('3 pr-2'!$AK162)=2022,$CD162,0)</f>
        <v>0</v>
      </c>
      <c r="CM162" s="1579">
        <f>IF(YEAR('3 pr-2'!$AK162)=2023,$CD162,0)</f>
        <v>0</v>
      </c>
      <c r="CN162" s="350"/>
      <c r="CO162" s="538"/>
      <c r="CP162" s="345"/>
      <c r="CQ162" s="345"/>
      <c r="CR162" s="345"/>
      <c r="CS162" s="345"/>
      <c r="CT162" s="345"/>
      <c r="CU162" s="345"/>
      <c r="CV162" s="345"/>
      <c r="CW162" s="895">
        <f t="shared" si="685"/>
        <v>0</v>
      </c>
      <c r="CX162" s="351"/>
      <c r="CY162" s="1605"/>
      <c r="CZ162" s="1605"/>
      <c r="DA162" s="1594">
        <f>IF(YEAR('3 pr-2'!AK162)=2017,CX162,0)</f>
        <v>0</v>
      </c>
      <c r="DB162" s="1594">
        <f>IF(YEAR('3 pr-2'!AK162)=2018,CX162,0)</f>
        <v>0</v>
      </c>
      <c r="DC162" s="1594">
        <f>IF(YEAR('3 pr-2'!AK162)=2019,CX162,0)</f>
        <v>0</v>
      </c>
      <c r="DD162" s="1594">
        <f>IF(YEAR('3 pr-2'!AK162)=2020,CX162,0)</f>
        <v>0</v>
      </c>
      <c r="DE162" s="1594">
        <f>IF(YEAR('3 pr-2'!AK162)=2021,CX162,0)</f>
        <v>0</v>
      </c>
      <c r="DF162" s="1594">
        <f>IF(YEAR('3 pr-2'!AK162)=2022,CX162,0)</f>
        <v>0</v>
      </c>
      <c r="DG162" s="1594">
        <f>IF(YEAR('3 pr-2'!AK162)=2023,CX162,0)</f>
        <v>0</v>
      </c>
      <c r="DH162" s="350"/>
      <c r="DI162" s="538"/>
      <c r="DJ162" s="345"/>
      <c r="DK162" s="345"/>
      <c r="DL162" s="345"/>
      <c r="DM162" s="345"/>
      <c r="DN162" s="345"/>
      <c r="DO162" s="345"/>
      <c r="DP162" s="345"/>
      <c r="DQ162" s="895"/>
      <c r="DR162" s="351"/>
      <c r="DS162" s="1605"/>
      <c r="DT162" s="1605"/>
      <c r="DU162" s="1594"/>
      <c r="DV162" s="1594"/>
      <c r="DW162" s="1594"/>
      <c r="DX162" s="1594"/>
      <c r="DY162" s="1594"/>
      <c r="DZ162" s="1594"/>
      <c r="EA162" s="1594"/>
      <c r="EB162" s="350"/>
      <c r="EC162" s="538"/>
      <c r="ED162" s="333"/>
      <c r="EE162" s="1605"/>
      <c r="EF162" s="1605"/>
      <c r="EG162" s="1594">
        <f>IF(YEAR('3 pr-2'!BP162)=2017,ED162,0)</f>
        <v>0</v>
      </c>
      <c r="EH162" s="1594">
        <f>IF(YEAR('3 pr-2'!BP162)=2018,ED162,0)</f>
        <v>0</v>
      </c>
      <c r="EI162" s="1594">
        <f>IF(YEAR('3 pr-2'!BP162)=2019,ED162,0)</f>
        <v>0</v>
      </c>
      <c r="EJ162" s="1594">
        <f>IF(YEAR('3 pr-2'!BP162)=2020,ED162,0)</f>
        <v>0</v>
      </c>
      <c r="EK162" s="1594">
        <f>IF(YEAR('3 pr-2'!BP162)=2021,ED162,0)</f>
        <v>0</v>
      </c>
      <c r="EL162" s="1594">
        <f>IF(YEAR('3 pr-2'!BP162)=2022,ED162,0)</f>
        <v>0</v>
      </c>
      <c r="EM162" s="1594">
        <f>IF(YEAR('3 pr-2'!BP162)=2023,ED162,0)</f>
        <v>0</v>
      </c>
    </row>
    <row r="163" spans="1:143" ht="85.5" thickTop="1" thickBot="1" x14ac:dyDescent="0.3">
      <c r="A163" s="345" t="str">
        <f>CONCATENATE('3 pr-2'!A163)</f>
        <v>2.1.4.1.2</v>
      </c>
      <c r="B163" s="345" t="str">
        <f>CONCATENATE('3 pr-2'!B163)</f>
        <v>R01-9920-490000-2412</v>
      </c>
      <c r="C163" s="1321" t="str">
        <f>CONCATENATE('ketv. 2'!B162)</f>
        <v>10.1.3-ESFA-R-920-11-0005</v>
      </c>
      <c r="D163" s="312" t="str">
        <f>CONCATENATE('3 pr-2'!D163)</f>
        <v>Paslaugų ir asmenų aptarnavimo kokybės gerinimas Alytaus rajono savivaldybėje</v>
      </c>
      <c r="E163" s="312" t="str">
        <f>CONCATENATE('3 pr-2'!E163)</f>
        <v>Alytaus rajono savivaldybės administracija</v>
      </c>
      <c r="F163" s="312" t="str">
        <f>CONCATENATE('3 pr-2'!F163)</f>
        <v>Lietuvos Respublikos vidaus reikalų ministerija</v>
      </c>
      <c r="G163" s="312" t="str">
        <f>CONCATENATE('3 pr-2'!G163)</f>
        <v>Alytaus r. sav.</v>
      </c>
      <c r="H163" s="345" t="str">
        <f>CONCATENATE('3 pr-2'!H163)</f>
        <v>10.1.3-ESFA-R-920</v>
      </c>
      <c r="I163" s="345" t="str">
        <f>CONCATENATE('3 pr-2'!I163)</f>
        <v>R</v>
      </c>
      <c r="J163" s="345" t="str">
        <f>CONCATENATE('3 pr-2'!J163)</f>
        <v>-</v>
      </c>
      <c r="K163" s="345" t="str">
        <f>CONCATENATE('3 pr-2'!K163)</f>
        <v>-</v>
      </c>
      <c r="L163" s="345" t="s">
        <v>529</v>
      </c>
      <c r="M163" s="537" t="s">
        <v>535</v>
      </c>
      <c r="N163" s="345"/>
      <c r="O163" s="345"/>
      <c r="P163" s="345"/>
      <c r="Q163" s="345"/>
      <c r="R163" s="345"/>
      <c r="S163" s="345"/>
      <c r="T163" s="345"/>
      <c r="U163" s="893">
        <f t="shared" si="654"/>
        <v>0</v>
      </c>
      <c r="V163" s="345">
        <v>2</v>
      </c>
      <c r="W163" s="1578">
        <v>2</v>
      </c>
      <c r="X163" s="1579">
        <f>SUM(W163-V163)</f>
        <v>0</v>
      </c>
      <c r="Y163" s="1579">
        <f>IF(YEAR('3 pr-2'!$AK163)=2017,$V163,0)</f>
        <v>0</v>
      </c>
      <c r="Z163" s="1579">
        <f>IF(YEAR('3 pr-2'!$AK163)=2018,$V163,0)</f>
        <v>0</v>
      </c>
      <c r="AA163" s="1579">
        <f>IF(YEAR('3 pr-2'!$AK163)=2019,$V163,0)</f>
        <v>0</v>
      </c>
      <c r="AB163" s="1579">
        <f>IF(YEAR('3 pr-2'!$AK163)=2020,$V163,0)</f>
        <v>2</v>
      </c>
      <c r="AC163" s="1579">
        <f>IF(YEAR('3 pr-2'!$AK163)=2021,$V163,0)</f>
        <v>0</v>
      </c>
      <c r="AD163" s="1579">
        <f>IF(YEAR('3 pr-2'!$AK163)=2022,$V163,0)</f>
        <v>0</v>
      </c>
      <c r="AE163" s="1579">
        <f>IF(YEAR('3 pr-2'!$AK163)=2023,$V163,0)</f>
        <v>0</v>
      </c>
      <c r="AF163" s="350" t="s">
        <v>531</v>
      </c>
      <c r="AG163" s="537" t="s">
        <v>532</v>
      </c>
      <c r="AH163" s="345"/>
      <c r="AI163" s="345"/>
      <c r="AJ163" s="345"/>
      <c r="AK163" s="345"/>
      <c r="AL163" s="345"/>
      <c r="AM163" s="345"/>
      <c r="AN163" s="345"/>
      <c r="AO163" s="895">
        <f t="shared" si="662"/>
        <v>0</v>
      </c>
      <c r="AP163" s="345">
        <v>20</v>
      </c>
      <c r="AQ163" s="1597">
        <v>20</v>
      </c>
      <c r="AR163" s="1579">
        <f>SUM(AQ163-AP163)</f>
        <v>0</v>
      </c>
      <c r="AS163" s="1579">
        <f>IF(YEAR('3 pr-2'!$AK163)=2017,$AP163,0)</f>
        <v>0</v>
      </c>
      <c r="AT163" s="1579">
        <f>IF(YEAR('3 pr-2'!$AK163)=2018,$AP163,0)</f>
        <v>0</v>
      </c>
      <c r="AU163" s="1579">
        <f>IF(YEAR('3 pr-2'!$AK163)=2019,$AP163,0)</f>
        <v>0</v>
      </c>
      <c r="AV163" s="1579">
        <f>IF(YEAR('3 pr-2'!$AK163)=2020,$AP163,0)</f>
        <v>20</v>
      </c>
      <c r="AW163" s="1579">
        <f>IF(YEAR('3 pr-2'!$AK163)=2021,$AP163,0)</f>
        <v>0</v>
      </c>
      <c r="AX163" s="1579">
        <f>IF(YEAR('3 pr-2'!$AK163)=2022,$AP163,0)</f>
        <v>0</v>
      </c>
      <c r="AY163" s="1579">
        <f>IF(YEAR('3 pr-2'!$AK163)=2023,$AP163,0)</f>
        <v>0</v>
      </c>
      <c r="AZ163" s="345" t="s">
        <v>793</v>
      </c>
      <c r="BA163" s="547" t="s">
        <v>534</v>
      </c>
      <c r="BB163" s="345"/>
      <c r="BC163" s="345"/>
      <c r="BD163" s="345"/>
      <c r="BE163" s="345"/>
      <c r="BF163" s="345"/>
      <c r="BG163" s="345"/>
      <c r="BH163" s="345"/>
      <c r="BI163" s="895">
        <f t="shared" ref="BI163" si="686">SUM(BB163:BH163)</f>
        <v>0</v>
      </c>
      <c r="BJ163" s="345">
        <v>1</v>
      </c>
      <c r="BK163" s="1597">
        <v>1</v>
      </c>
      <c r="BL163" s="1579">
        <f>SUM(BK163-BJ163)</f>
        <v>0</v>
      </c>
      <c r="BM163" s="1579">
        <f>IF(YEAR('3 pr-2'!$AK163)=2017,$BJ163,0)</f>
        <v>0</v>
      </c>
      <c r="BN163" s="1579">
        <f>IF(YEAR('3 pr-2'!$AK163)=2018,$BJ163,0)</f>
        <v>0</v>
      </c>
      <c r="BO163" s="1579">
        <f>IF(YEAR('3 pr-2'!$AK163)=2019,$BJ163,0)</f>
        <v>0</v>
      </c>
      <c r="BP163" s="1579">
        <f>IF(YEAR('3 pr-2'!$AK163)=2020,$BJ163,0)</f>
        <v>1</v>
      </c>
      <c r="BQ163" s="1579">
        <f>IF(YEAR('3 pr-2'!$AK163)=2021,$BJ163,0)</f>
        <v>0</v>
      </c>
      <c r="BR163" s="1579">
        <f>IF(YEAR('3 pr-2'!$AK163)=2022,$BJ163,0)</f>
        <v>0</v>
      </c>
      <c r="BS163" s="1579">
        <f>IF(YEAR('3 pr-2'!$AK163)=2023,$BJ163,0)</f>
        <v>0</v>
      </c>
      <c r="BT163" s="350"/>
      <c r="BU163" s="537"/>
      <c r="BV163" s="345"/>
      <c r="BW163" s="345"/>
      <c r="BX163" s="345"/>
      <c r="BY163" s="345"/>
      <c r="BZ163" s="345"/>
      <c r="CA163" s="345"/>
      <c r="CB163" s="345"/>
      <c r="CC163" s="895">
        <f t="shared" si="678"/>
        <v>0</v>
      </c>
      <c r="CD163" s="345"/>
      <c r="CE163" s="1579"/>
      <c r="CF163" s="1579"/>
      <c r="CG163" s="1579">
        <f>IF(YEAR('3 pr-2'!$AK163)=2017,$CD163,0)</f>
        <v>0</v>
      </c>
      <c r="CH163" s="1579">
        <f>IF(YEAR('3 pr-2'!$AK163)=2018,$CD163,0)</f>
        <v>0</v>
      </c>
      <c r="CI163" s="1579">
        <f>IF(YEAR('3 pr-2'!$AK163)=2019,$CD163,0)</f>
        <v>0</v>
      </c>
      <c r="CJ163" s="1579">
        <f>IF(YEAR('3 pr-2'!$AK163)=2020,$CD163,0)</f>
        <v>0</v>
      </c>
      <c r="CK163" s="1579">
        <f>IF(YEAR('3 pr-2'!$AK163)=2021,$CD163,0)</f>
        <v>0</v>
      </c>
      <c r="CL163" s="1579">
        <f>IF(YEAR('3 pr-2'!$AK163)=2022,$CD163,0)</f>
        <v>0</v>
      </c>
      <c r="CM163" s="1579">
        <f>IF(YEAR('3 pr-2'!$AK163)=2023,$CD163,0)</f>
        <v>0</v>
      </c>
      <c r="CN163" s="350"/>
      <c r="CO163" s="538"/>
      <c r="CP163" s="345"/>
      <c r="CQ163" s="345"/>
      <c r="CR163" s="345"/>
      <c r="CS163" s="345"/>
      <c r="CT163" s="345"/>
      <c r="CU163" s="345"/>
      <c r="CV163" s="345"/>
      <c r="CW163" s="895">
        <f t="shared" si="685"/>
        <v>0</v>
      </c>
      <c r="CX163" s="351"/>
      <c r="CY163" s="1605"/>
      <c r="CZ163" s="1605"/>
      <c r="DA163" s="1594">
        <f>IF(YEAR('3 pr-2'!AK163)=2017,CX163,0)</f>
        <v>0</v>
      </c>
      <c r="DB163" s="1594">
        <f>IF(YEAR('3 pr-2'!AK163)=2018,CX163,0)</f>
        <v>0</v>
      </c>
      <c r="DC163" s="1594">
        <f>IF(YEAR('3 pr-2'!AK163)=2019,CX163,0)</f>
        <v>0</v>
      </c>
      <c r="DD163" s="1594">
        <f>IF(YEAR('3 pr-2'!AK163)=2020,CX163,0)</f>
        <v>0</v>
      </c>
      <c r="DE163" s="1594">
        <f>IF(YEAR('3 pr-2'!AK163)=2021,CX163,0)</f>
        <v>0</v>
      </c>
      <c r="DF163" s="1594">
        <f>IF(YEAR('3 pr-2'!AK163)=2022,CX163,0)</f>
        <v>0</v>
      </c>
      <c r="DG163" s="1594">
        <f>IF(YEAR('3 pr-2'!AK163)=2023,CX163,0)</f>
        <v>0</v>
      </c>
      <c r="DH163" s="350"/>
      <c r="DI163" s="538"/>
      <c r="DJ163" s="345"/>
      <c r="DK163" s="345"/>
      <c r="DL163" s="345"/>
      <c r="DM163" s="345"/>
      <c r="DN163" s="345"/>
      <c r="DO163" s="345"/>
      <c r="DP163" s="345"/>
      <c r="DQ163" s="895"/>
      <c r="DR163" s="351"/>
      <c r="DS163" s="1605"/>
      <c r="DT163" s="1605"/>
      <c r="DU163" s="1594"/>
      <c r="DV163" s="1594"/>
      <c r="DW163" s="1594"/>
      <c r="DX163" s="1594"/>
      <c r="DY163" s="1594"/>
      <c r="DZ163" s="1594"/>
      <c r="EA163" s="1594"/>
      <c r="EB163" s="350"/>
      <c r="EC163" s="538"/>
      <c r="ED163" s="333"/>
      <c r="EE163" s="1605"/>
      <c r="EF163" s="1605"/>
      <c r="EG163" s="1594">
        <f>IF(YEAR('3 pr-2'!BP163)=2017,ED163,0)</f>
        <v>0</v>
      </c>
      <c r="EH163" s="1594">
        <f>IF(YEAR('3 pr-2'!BP163)=2018,ED163,0)</f>
        <v>0</v>
      </c>
      <c r="EI163" s="1594">
        <f>IF(YEAR('3 pr-2'!BP163)=2019,ED163,0)</f>
        <v>0</v>
      </c>
      <c r="EJ163" s="1594">
        <f>IF(YEAR('3 pr-2'!BP163)=2020,ED163,0)</f>
        <v>0</v>
      </c>
      <c r="EK163" s="1594">
        <f>IF(YEAR('3 pr-2'!BP163)=2021,ED163,0)</f>
        <v>0</v>
      </c>
      <c r="EL163" s="1594">
        <f>IF(YEAR('3 pr-2'!BP163)=2022,ED163,0)</f>
        <v>0</v>
      </c>
      <c r="EM163" s="1594">
        <f>IF(YEAR('3 pr-2'!BP163)=2023,ED163,0)</f>
        <v>0</v>
      </c>
    </row>
    <row r="164" spans="1:143" ht="85.5" thickTop="1" thickBot="1" x14ac:dyDescent="0.3">
      <c r="A164" s="345" t="str">
        <f>CONCATENATE('3 pr-2'!A164)</f>
        <v>2.1.4.1.3</v>
      </c>
      <c r="B164" s="345" t="str">
        <f>CONCATENATE('3 pr-2'!B164)</f>
        <v>R01-9920-490000-2413</v>
      </c>
      <c r="C164" s="1321" t="str">
        <f>CONCATENATE('ketv. 2'!B163)</f>
        <v>10.1.3-ESFA-R-920-11-0003</v>
      </c>
      <c r="D164" s="312" t="str">
        <f>CONCATENATE('3 pr-2'!D164)</f>
        <v>Lazdijų rajono savivaldybės administracijos ir jos viešojo valdymo institucijų teikiamų paslaugų procesų tobulinimas</v>
      </c>
      <c r="E164" s="312" t="str">
        <f>CONCATENATE('3 pr-2'!E164)</f>
        <v>Lazdijų rajono savivaldybės administracija</v>
      </c>
      <c r="F164" s="312" t="str">
        <f>CONCATENATE('3 pr-2'!F164)</f>
        <v>Lietuvos Respublikos vidaus reikalų ministerija</v>
      </c>
      <c r="G164" s="312" t="str">
        <f>CONCATENATE('3 pr-2'!G164)</f>
        <v>Lazdijų r. sav.</v>
      </c>
      <c r="H164" s="345" t="str">
        <f>CONCATENATE('3 pr-2'!H164)</f>
        <v>10.1.3-ESFA-R-920</v>
      </c>
      <c r="I164" s="345" t="str">
        <f>CONCATENATE('3 pr-2'!I164)</f>
        <v>R</v>
      </c>
      <c r="J164" s="345" t="str">
        <f>CONCATENATE('3 pr-2'!J164)</f>
        <v>-</v>
      </c>
      <c r="K164" s="345" t="str">
        <f>CONCATENATE('3 pr-2'!K164)</f>
        <v>-</v>
      </c>
      <c r="L164" s="345" t="s">
        <v>529</v>
      </c>
      <c r="M164" s="537" t="s">
        <v>530</v>
      </c>
      <c r="N164" s="345"/>
      <c r="O164" s="345"/>
      <c r="P164" s="345"/>
      <c r="Q164" s="345"/>
      <c r="R164" s="345"/>
      <c r="S164" s="345"/>
      <c r="T164" s="345"/>
      <c r="U164" s="893">
        <f t="shared" si="654"/>
        <v>0</v>
      </c>
      <c r="V164" s="345">
        <v>14</v>
      </c>
      <c r="W164" s="1578">
        <v>14</v>
      </c>
      <c r="X164" s="1579">
        <f>SUM(W164-V164)</f>
        <v>0</v>
      </c>
      <c r="Y164" s="1579">
        <f>IF(YEAR('3 pr-2'!$AK164)=2017,$V164,0)</f>
        <v>0</v>
      </c>
      <c r="Z164" s="1579">
        <f>IF(YEAR('3 pr-2'!$AK164)=2018,$V164,0)</f>
        <v>0</v>
      </c>
      <c r="AA164" s="1579">
        <f>IF(YEAR('3 pr-2'!$AK164)=2019,$V164,0)</f>
        <v>0</v>
      </c>
      <c r="AB164" s="1579">
        <f>IF(YEAR('3 pr-2'!$AK164)=2020,$V164,0)</f>
        <v>14</v>
      </c>
      <c r="AC164" s="1579">
        <f>IF(YEAR('3 pr-2'!$AK164)=2021,$V164,0)</f>
        <v>0</v>
      </c>
      <c r="AD164" s="1579">
        <f>IF(YEAR('3 pr-2'!$AK164)=2022,$V164,0)</f>
        <v>0</v>
      </c>
      <c r="AE164" s="1579">
        <f>IF(YEAR('3 pr-2'!$AK164)=2023,$V164,0)</f>
        <v>0</v>
      </c>
      <c r="AF164" s="350" t="s">
        <v>531</v>
      </c>
      <c r="AG164" s="537" t="s">
        <v>532</v>
      </c>
      <c r="AH164" s="345"/>
      <c r="AI164" s="345"/>
      <c r="AJ164" s="345"/>
      <c r="AK164" s="345"/>
      <c r="AL164" s="345"/>
      <c r="AM164" s="345"/>
      <c r="AN164" s="345"/>
      <c r="AO164" s="895">
        <f t="shared" si="662"/>
        <v>0</v>
      </c>
      <c r="AP164" s="345">
        <v>80</v>
      </c>
      <c r="AQ164" s="1597">
        <v>80</v>
      </c>
      <c r="AR164" s="1579">
        <f>SUM(AQ164-AP164)</f>
        <v>0</v>
      </c>
      <c r="AS164" s="1579">
        <f>IF(YEAR('3 pr-2'!$AK164)=2017,$AP164,0)</f>
        <v>0</v>
      </c>
      <c r="AT164" s="1579">
        <f>IF(YEAR('3 pr-2'!$AK164)=2018,$AP164,0)</f>
        <v>0</v>
      </c>
      <c r="AU164" s="1579">
        <f>IF(YEAR('3 pr-2'!$AK164)=2019,$AP164,0)</f>
        <v>0</v>
      </c>
      <c r="AV164" s="1579">
        <f>IF(YEAR('3 pr-2'!$AK164)=2020,$AP164,0)</f>
        <v>80</v>
      </c>
      <c r="AW164" s="1579">
        <f>IF(YEAR('3 pr-2'!$AK164)=2021,$AP164,0)</f>
        <v>0</v>
      </c>
      <c r="AX164" s="1579">
        <f>IF(YEAR('3 pr-2'!$AK164)=2022,$AP164,0)</f>
        <v>0</v>
      </c>
      <c r="AY164" s="1579">
        <f>IF(YEAR('3 pr-2'!$AK164)=2023,$AP164,0)</f>
        <v>0</v>
      </c>
      <c r="AZ164" s="345"/>
      <c r="BA164" s="536"/>
      <c r="BB164" s="345"/>
      <c r="BC164" s="345"/>
      <c r="BD164" s="345"/>
      <c r="BE164" s="345"/>
      <c r="BF164" s="345"/>
      <c r="BG164" s="345"/>
      <c r="BH164" s="345"/>
      <c r="BI164" s="895">
        <f t="shared" si="670"/>
        <v>0</v>
      </c>
      <c r="BJ164" s="345"/>
      <c r="BK164" s="1597"/>
      <c r="BL164" s="1579"/>
      <c r="BM164" s="1579">
        <f>IF(YEAR('3 pr-2'!$AK164)=2017,$BJ164,0)</f>
        <v>0</v>
      </c>
      <c r="BN164" s="1579">
        <f>IF(YEAR('3 pr-2'!$AK164)=2018,$BJ164,0)</f>
        <v>0</v>
      </c>
      <c r="BO164" s="1579">
        <f>IF(YEAR('3 pr-2'!$AK164)=2019,$BJ164,0)</f>
        <v>0</v>
      </c>
      <c r="BP164" s="1579">
        <f>IF(YEAR('3 pr-2'!$AK164)=2020,$BJ164,0)</f>
        <v>0</v>
      </c>
      <c r="BQ164" s="1579">
        <f>IF(YEAR('3 pr-2'!$AK164)=2021,$BJ164,0)</f>
        <v>0</v>
      </c>
      <c r="BR164" s="1579">
        <f>IF(YEAR('3 pr-2'!$AK164)=2022,$BJ164,0)</f>
        <v>0</v>
      </c>
      <c r="BS164" s="1579">
        <f>IF(YEAR('3 pr-2'!$AK164)=2023,$BJ164,0)</f>
        <v>0</v>
      </c>
      <c r="BT164" s="350"/>
      <c r="BU164" s="537"/>
      <c r="BV164" s="345"/>
      <c r="BW164" s="345"/>
      <c r="BX164" s="345"/>
      <c r="BY164" s="345"/>
      <c r="BZ164" s="345"/>
      <c r="CA164" s="345"/>
      <c r="CB164" s="345"/>
      <c r="CC164" s="895">
        <f t="shared" si="678"/>
        <v>0</v>
      </c>
      <c r="CD164" s="345"/>
      <c r="CE164" s="1579"/>
      <c r="CF164" s="1579"/>
      <c r="CG164" s="1579">
        <f>IF(YEAR('3 pr-2'!$AK164)=2017,$CD164,0)</f>
        <v>0</v>
      </c>
      <c r="CH164" s="1579">
        <f>IF(YEAR('3 pr-2'!$AK164)=2018,$CD164,0)</f>
        <v>0</v>
      </c>
      <c r="CI164" s="1579">
        <f>IF(YEAR('3 pr-2'!$AK164)=2019,$CD164,0)</f>
        <v>0</v>
      </c>
      <c r="CJ164" s="1579">
        <f>IF(YEAR('3 pr-2'!$AK164)=2020,$CD164,0)</f>
        <v>0</v>
      </c>
      <c r="CK164" s="1579">
        <f>IF(YEAR('3 pr-2'!$AK164)=2021,$CD164,0)</f>
        <v>0</v>
      </c>
      <c r="CL164" s="1579">
        <f>IF(YEAR('3 pr-2'!$AK164)=2022,$CD164,0)</f>
        <v>0</v>
      </c>
      <c r="CM164" s="1579">
        <f>IF(YEAR('3 pr-2'!$AK164)=2023,$CD164,0)</f>
        <v>0</v>
      </c>
      <c r="CN164" s="350"/>
      <c r="CO164" s="538"/>
      <c r="CP164" s="345"/>
      <c r="CQ164" s="345"/>
      <c r="CR164" s="345"/>
      <c r="CS164" s="345"/>
      <c r="CT164" s="345"/>
      <c r="CU164" s="345"/>
      <c r="CV164" s="345"/>
      <c r="CW164" s="895">
        <f t="shared" si="685"/>
        <v>0</v>
      </c>
      <c r="CX164" s="351"/>
      <c r="CY164" s="1605"/>
      <c r="CZ164" s="1605"/>
      <c r="DA164" s="1594">
        <f>IF(YEAR('3 pr-2'!AK164)=2017,CX164,0)</f>
        <v>0</v>
      </c>
      <c r="DB164" s="1594">
        <f>IF(YEAR('3 pr-2'!AK164)=2018,CX164,0)</f>
        <v>0</v>
      </c>
      <c r="DC164" s="1594">
        <f>IF(YEAR('3 pr-2'!AK164)=2019,CX164,0)</f>
        <v>0</v>
      </c>
      <c r="DD164" s="1594">
        <f>IF(YEAR('3 pr-2'!AK164)=2020,CX164,0)</f>
        <v>0</v>
      </c>
      <c r="DE164" s="1594">
        <f>IF(YEAR('3 pr-2'!AK164)=2021,CX164,0)</f>
        <v>0</v>
      </c>
      <c r="DF164" s="1594">
        <f>IF(YEAR('3 pr-2'!AK164)=2022,CX164,0)</f>
        <v>0</v>
      </c>
      <c r="DG164" s="1594">
        <f>IF(YEAR('3 pr-2'!AK164)=2023,CX164,0)</f>
        <v>0</v>
      </c>
      <c r="DH164" s="350"/>
      <c r="DI164" s="538"/>
      <c r="DJ164" s="345"/>
      <c r="DK164" s="345"/>
      <c r="DL164" s="345"/>
      <c r="DM164" s="345"/>
      <c r="DN164" s="345"/>
      <c r="DO164" s="345"/>
      <c r="DP164" s="345"/>
      <c r="DQ164" s="895"/>
      <c r="DR164" s="351"/>
      <c r="DS164" s="1605"/>
      <c r="DT164" s="1605"/>
      <c r="DU164" s="1594"/>
      <c r="DV164" s="1594"/>
      <c r="DW164" s="1594"/>
      <c r="DX164" s="1594"/>
      <c r="DY164" s="1594"/>
      <c r="DZ164" s="1594"/>
      <c r="EA164" s="1594"/>
      <c r="EB164" s="350"/>
      <c r="EC164" s="538"/>
      <c r="ED164" s="333"/>
      <c r="EE164" s="1605"/>
      <c r="EF164" s="1605"/>
      <c r="EG164" s="1594">
        <f>IF(YEAR('3 pr-2'!BP164)=2017,ED164,0)</f>
        <v>0</v>
      </c>
      <c r="EH164" s="1594">
        <f>IF(YEAR('3 pr-2'!BP164)=2018,ED164,0)</f>
        <v>0</v>
      </c>
      <c r="EI164" s="1594">
        <f>IF(YEAR('3 pr-2'!BP164)=2019,ED164,0)</f>
        <v>0</v>
      </c>
      <c r="EJ164" s="1594">
        <f>IF(YEAR('3 pr-2'!BP164)=2020,ED164,0)</f>
        <v>0</v>
      </c>
      <c r="EK164" s="1594">
        <f>IF(YEAR('3 pr-2'!BP164)=2021,ED164,0)</f>
        <v>0</v>
      </c>
      <c r="EL164" s="1594">
        <f>IF(YEAR('3 pr-2'!BP164)=2022,ED164,0)</f>
        <v>0</v>
      </c>
      <c r="EM164" s="1594">
        <f>IF(YEAR('3 pr-2'!BP164)=2023,ED164,0)</f>
        <v>0</v>
      </c>
    </row>
    <row r="165" spans="1:143" ht="97.5" thickTop="1" thickBot="1" x14ac:dyDescent="0.3">
      <c r="A165" s="345" t="str">
        <f>CONCATENATE('3 pr-2'!A165)</f>
        <v>2.1.4.1.4</v>
      </c>
      <c r="B165" s="345" t="str">
        <f>CONCATENATE('3 pr-2'!B165)</f>
        <v>R01-9920-490000-2414</v>
      </c>
      <c r="C165" s="1321" t="str">
        <f>CONCATENATE('ketv. 2'!B164)</f>
        <v>10.1.3-ESFA-R-920-11-0007</v>
      </c>
      <c r="D165" s="312" t="str">
        <f>CONCATENATE('3 pr-2'!D165)</f>
        <v>Teikiamų paslaugų procesų tobulinimas ir asmenų aptarnavimo kokybės gerinimas Alytaus m. sav. administracijoje ir jai pavaldžiose įstaigose. I etapas</v>
      </c>
      <c r="E165" s="312" t="str">
        <f>CONCATENATE('3 pr-2'!E165)</f>
        <v>Alytaus miesto savivaldybės administracija</v>
      </c>
      <c r="F165" s="312" t="str">
        <f>CONCATENATE('3 pr-2'!F165)</f>
        <v>Lietuvos Respublikos vidaus reikalų ministerija</v>
      </c>
      <c r="G165" s="312" t="str">
        <f>CONCATENATE('3 pr-2'!G165)</f>
        <v>Alytaus m. sav.</v>
      </c>
      <c r="H165" s="345" t="str">
        <f>CONCATENATE('3 pr-2'!H165)</f>
        <v>10.1.3-ESFA-R-920</v>
      </c>
      <c r="I165" s="345" t="str">
        <f>CONCATENATE('3 pr-2'!I165)</f>
        <v>R</v>
      </c>
      <c r="J165" s="345" t="str">
        <f>CONCATENATE('3 pr-2'!J165)</f>
        <v>-</v>
      </c>
      <c r="K165" s="345" t="str">
        <f>CONCATENATE('3 pr-2'!K165)</f>
        <v>-</v>
      </c>
      <c r="L165" s="345" t="s">
        <v>529</v>
      </c>
      <c r="M165" s="537" t="s">
        <v>530</v>
      </c>
      <c r="N165" s="345"/>
      <c r="O165" s="345"/>
      <c r="P165" s="345"/>
      <c r="Q165" s="345"/>
      <c r="R165" s="345"/>
      <c r="S165" s="345"/>
      <c r="T165" s="345"/>
      <c r="U165" s="893">
        <f t="shared" si="654"/>
        <v>0</v>
      </c>
      <c r="V165" s="345">
        <v>38</v>
      </c>
      <c r="W165" s="1578">
        <v>38</v>
      </c>
      <c r="X165" s="1579">
        <f>SUM(W165-V165)</f>
        <v>0</v>
      </c>
      <c r="Y165" s="1579">
        <f>IF(YEAR('3 pr-2'!$AK165)=2017,$V165,0)</f>
        <v>0</v>
      </c>
      <c r="Z165" s="1579">
        <f>IF(YEAR('3 pr-2'!$AK165)=2018,$V165,0)</f>
        <v>0</v>
      </c>
      <c r="AA165" s="1579">
        <f>IF(YEAR('3 pr-2'!$AK165)=2019,$V165,0)</f>
        <v>0</v>
      </c>
      <c r="AB165" s="1579">
        <f>IF(YEAR('3 pr-2'!$AK165)=2020,$V165,0)</f>
        <v>38</v>
      </c>
      <c r="AC165" s="1579">
        <f>IF(YEAR('3 pr-2'!$AK165)=2021,$V165,0)</f>
        <v>0</v>
      </c>
      <c r="AD165" s="1579">
        <f>IF(YEAR('3 pr-2'!$AK165)=2022,$V165,0)</f>
        <v>0</v>
      </c>
      <c r="AE165" s="1579">
        <f>IF(YEAR('3 pr-2'!$AK165)=2023,$V165,0)</f>
        <v>0</v>
      </c>
      <c r="AF165" s="350" t="s">
        <v>531</v>
      </c>
      <c r="AG165" s="537" t="s">
        <v>532</v>
      </c>
      <c r="AH165" s="345"/>
      <c r="AI165" s="345"/>
      <c r="AJ165" s="345"/>
      <c r="AK165" s="345"/>
      <c r="AL165" s="345"/>
      <c r="AM165" s="345"/>
      <c r="AN165" s="345"/>
      <c r="AO165" s="895">
        <f t="shared" si="662"/>
        <v>0</v>
      </c>
      <c r="AP165" s="345">
        <v>140</v>
      </c>
      <c r="AQ165" s="1597">
        <v>140</v>
      </c>
      <c r="AR165" s="1579">
        <f>SUM(AQ165-AP165)</f>
        <v>0</v>
      </c>
      <c r="AS165" s="1579">
        <f>IF(YEAR('3 pr-2'!$AK165)=2017,$AP165,0)</f>
        <v>0</v>
      </c>
      <c r="AT165" s="1579">
        <f>IF(YEAR('3 pr-2'!$AK165)=2018,$AP165,0)</f>
        <v>0</v>
      </c>
      <c r="AU165" s="1579">
        <f>IF(YEAR('3 pr-2'!$AK165)=2019,$AP165,0)</f>
        <v>0</v>
      </c>
      <c r="AV165" s="1579">
        <f>IF(YEAR('3 pr-2'!$AK165)=2020,$AP165,0)</f>
        <v>140</v>
      </c>
      <c r="AW165" s="1579">
        <f>IF(YEAR('3 pr-2'!$AK165)=2021,$AP165,0)</f>
        <v>0</v>
      </c>
      <c r="AX165" s="1579">
        <f>IF(YEAR('3 pr-2'!$AK165)=2022,$AP165,0)</f>
        <v>0</v>
      </c>
      <c r="AY165" s="1579">
        <f>IF(YEAR('3 pr-2'!$AK165)=2023,$AP165,0)</f>
        <v>0</v>
      </c>
      <c r="AZ165" s="345" t="s">
        <v>793</v>
      </c>
      <c r="BA165" s="547" t="s">
        <v>534</v>
      </c>
      <c r="BB165" s="345"/>
      <c r="BC165" s="345"/>
      <c r="BD165" s="345"/>
      <c r="BE165" s="345"/>
      <c r="BF165" s="345"/>
      <c r="BG165" s="345"/>
      <c r="BH165" s="345"/>
      <c r="BI165" s="895">
        <f t="shared" si="670"/>
        <v>0</v>
      </c>
      <c r="BJ165" s="345">
        <v>1</v>
      </c>
      <c r="BK165" s="1597">
        <v>1</v>
      </c>
      <c r="BL165" s="1579">
        <f>SUM(BK165-BJ165)</f>
        <v>0</v>
      </c>
      <c r="BM165" s="1579">
        <f>IF(YEAR('3 pr-2'!$AK165)=2017,$BJ165,0)</f>
        <v>0</v>
      </c>
      <c r="BN165" s="1579">
        <f>IF(YEAR('3 pr-2'!$AK165)=2018,$BJ165,0)</f>
        <v>0</v>
      </c>
      <c r="BO165" s="1579">
        <f>IF(YEAR('3 pr-2'!$AK165)=2019,$BJ165,0)</f>
        <v>0</v>
      </c>
      <c r="BP165" s="1579">
        <f>IF(YEAR('3 pr-2'!$AK165)=2020,$BJ165,0)</f>
        <v>1</v>
      </c>
      <c r="BQ165" s="1579">
        <f>IF(YEAR('3 pr-2'!$AK165)=2021,$BJ165,0)</f>
        <v>0</v>
      </c>
      <c r="BR165" s="1579">
        <f>IF(YEAR('3 pr-2'!$AK165)=2022,$BJ165,0)</f>
        <v>0</v>
      </c>
      <c r="BS165" s="1579">
        <f>IF(YEAR('3 pr-2'!$AK165)=2023,$BJ165,0)</f>
        <v>0</v>
      </c>
      <c r="BT165" s="350"/>
      <c r="BU165" s="537"/>
      <c r="BV165" s="345"/>
      <c r="BW165" s="345"/>
      <c r="BX165" s="345"/>
      <c r="BY165" s="345"/>
      <c r="BZ165" s="345"/>
      <c r="CA165" s="345"/>
      <c r="CB165" s="345"/>
      <c r="CC165" s="895">
        <f t="shared" si="678"/>
        <v>0</v>
      </c>
      <c r="CD165" s="345"/>
      <c r="CE165" s="1579"/>
      <c r="CF165" s="1579"/>
      <c r="CG165" s="1579">
        <f>IF(YEAR('3 pr-2'!$AK165)=2017,$CD165,0)</f>
        <v>0</v>
      </c>
      <c r="CH165" s="1579">
        <f>IF(YEAR('3 pr-2'!$AK165)=2018,$CD165,0)</f>
        <v>0</v>
      </c>
      <c r="CI165" s="1579">
        <f>IF(YEAR('3 pr-2'!$AK165)=2019,$CD165,0)</f>
        <v>0</v>
      </c>
      <c r="CJ165" s="1579">
        <f>IF(YEAR('3 pr-2'!$AK165)=2020,$CD165,0)</f>
        <v>0</v>
      </c>
      <c r="CK165" s="1579">
        <f>IF(YEAR('3 pr-2'!$AK165)=2021,$CD165,0)</f>
        <v>0</v>
      </c>
      <c r="CL165" s="1579">
        <f>IF(YEAR('3 pr-2'!$AK165)=2022,$CD165,0)</f>
        <v>0</v>
      </c>
      <c r="CM165" s="1579">
        <f>IF(YEAR('3 pr-2'!$AK165)=2023,$CD165,0)</f>
        <v>0</v>
      </c>
      <c r="CN165" s="350"/>
      <c r="CO165" s="538"/>
      <c r="CP165" s="345"/>
      <c r="CQ165" s="345"/>
      <c r="CR165" s="345"/>
      <c r="CS165" s="345"/>
      <c r="CT165" s="345"/>
      <c r="CU165" s="345"/>
      <c r="CV165" s="345"/>
      <c r="CW165" s="895">
        <f t="shared" si="685"/>
        <v>0</v>
      </c>
      <c r="CX165" s="351"/>
      <c r="CY165" s="1605"/>
      <c r="CZ165" s="1605"/>
      <c r="DA165" s="1594">
        <f>IF(YEAR('3 pr-2'!AK165)=2017,CX165,0)</f>
        <v>0</v>
      </c>
      <c r="DB165" s="1594">
        <f>IF(YEAR('3 pr-2'!AK165)=2018,CX165,0)</f>
        <v>0</v>
      </c>
      <c r="DC165" s="1594">
        <f>IF(YEAR('3 pr-2'!AK165)=2019,CX165,0)</f>
        <v>0</v>
      </c>
      <c r="DD165" s="1594">
        <f>IF(YEAR('3 pr-2'!AK165)=2020,CX165,0)</f>
        <v>0</v>
      </c>
      <c r="DE165" s="1594">
        <f>IF(YEAR('3 pr-2'!AK165)=2021,CX165,0)</f>
        <v>0</v>
      </c>
      <c r="DF165" s="1594">
        <f>IF(YEAR('3 pr-2'!AK165)=2022,CX165,0)</f>
        <v>0</v>
      </c>
      <c r="DG165" s="1594">
        <f>IF(YEAR('3 pr-2'!AK165)=2023,CX165,0)</f>
        <v>0</v>
      </c>
      <c r="DH165" s="350"/>
      <c r="DI165" s="538"/>
      <c r="DJ165" s="345"/>
      <c r="DK165" s="345"/>
      <c r="DL165" s="345"/>
      <c r="DM165" s="345"/>
      <c r="DN165" s="345"/>
      <c r="DO165" s="345"/>
      <c r="DP165" s="345"/>
      <c r="DQ165" s="895"/>
      <c r="DR165" s="351"/>
      <c r="DS165" s="1605"/>
      <c r="DT165" s="1605"/>
      <c r="DU165" s="1594"/>
      <c r="DV165" s="1594"/>
      <c r="DW165" s="1594"/>
      <c r="DX165" s="1594"/>
      <c r="DY165" s="1594"/>
      <c r="DZ165" s="1594"/>
      <c r="EA165" s="1594"/>
      <c r="EB165" s="350"/>
      <c r="EC165" s="538"/>
      <c r="ED165" s="333"/>
      <c r="EE165" s="1605"/>
      <c r="EF165" s="1605"/>
      <c r="EG165" s="1594">
        <f>IF(YEAR('3 pr-2'!BP165)=2017,ED165,0)</f>
        <v>0</v>
      </c>
      <c r="EH165" s="1594">
        <f>IF(YEAR('3 pr-2'!BP165)=2018,ED165,0)</f>
        <v>0</v>
      </c>
      <c r="EI165" s="1594">
        <f>IF(YEAR('3 pr-2'!BP165)=2019,ED165,0)</f>
        <v>0</v>
      </c>
      <c r="EJ165" s="1594">
        <f>IF(YEAR('3 pr-2'!BP165)=2020,ED165,0)</f>
        <v>0</v>
      </c>
      <c r="EK165" s="1594">
        <f>IF(YEAR('3 pr-2'!BP165)=2021,ED165,0)</f>
        <v>0</v>
      </c>
      <c r="EL165" s="1594">
        <f>IF(YEAR('3 pr-2'!BP165)=2022,ED165,0)</f>
        <v>0</v>
      </c>
      <c r="EM165" s="1594">
        <f>IF(YEAR('3 pr-2'!BP165)=2023,ED165,0)</f>
        <v>0</v>
      </c>
    </row>
    <row r="166" spans="1:143" ht="85.5" thickTop="1" thickBot="1" x14ac:dyDescent="0.3">
      <c r="A166" s="345" t="str">
        <f>CONCATENATE('3 pr-2'!A166)</f>
        <v>2.1.4.1.5</v>
      </c>
      <c r="B166" s="345" t="str">
        <f>CONCATENATE('3 pr-2'!B166)</f>
        <v>R01-9920-490000-2415</v>
      </c>
      <c r="C166" s="1321" t="str">
        <f>CONCATENATE('ketv. 2'!B165)</f>
        <v>10.1.3-ESFA-R-920-11-0006</v>
      </c>
      <c r="D166" s="312" t="str">
        <f>CONCATENATE('3 pr-2'!D166)</f>
        <v>Paslaugų teikimo ir asmenų aptarnavimo kokybės gerinimas Druskininkų savivaldybėje</v>
      </c>
      <c r="E166" s="312" t="str">
        <f>CONCATENATE('3 pr-2'!E166)</f>
        <v>Druskininkų savivaldybės administracija</v>
      </c>
      <c r="F166" s="312" t="str">
        <f>CONCATENATE('3 pr-2'!F166)</f>
        <v>Lietuvos Respublikos vidaus reikalų ministerija</v>
      </c>
      <c r="G166" s="312" t="str">
        <f>CONCATENATE('3 pr-2'!G166)</f>
        <v>Druskininkų sav.</v>
      </c>
      <c r="H166" s="345" t="str">
        <f>CONCATENATE('3 pr-2'!H166)</f>
        <v>10.1.3-ESFA-R-920</v>
      </c>
      <c r="I166" s="345" t="str">
        <f>CONCATENATE('3 pr-2'!I166)</f>
        <v>R</v>
      </c>
      <c r="J166" s="345" t="str">
        <f>CONCATENATE('3 pr-2'!J166)</f>
        <v>-</v>
      </c>
      <c r="K166" s="345" t="str">
        <f>CONCATENATE('3 pr-2'!K166)</f>
        <v>-</v>
      </c>
      <c r="L166" s="345" t="s">
        <v>529</v>
      </c>
      <c r="M166" s="537" t="s">
        <v>530</v>
      </c>
      <c r="N166" s="345"/>
      <c r="O166" s="345"/>
      <c r="P166" s="345"/>
      <c r="Q166" s="345"/>
      <c r="R166" s="345"/>
      <c r="S166" s="345"/>
      <c r="T166" s="345"/>
      <c r="U166" s="893">
        <f t="shared" si="654"/>
        <v>0</v>
      </c>
      <c r="V166" s="345">
        <v>2</v>
      </c>
      <c r="W166" s="1578">
        <v>2</v>
      </c>
      <c r="X166" s="1579">
        <f>SUM(W166-V166)</f>
        <v>0</v>
      </c>
      <c r="Y166" s="1579">
        <f>IF(YEAR('3 pr-2'!$AK166)=2017,$V166,0)</f>
        <v>0</v>
      </c>
      <c r="Z166" s="1579">
        <f>IF(YEAR('3 pr-2'!$AK166)=2018,$V166,0)</f>
        <v>0</v>
      </c>
      <c r="AA166" s="1579">
        <f>IF(YEAR('3 pr-2'!$AK166)=2019,$V166,0)</f>
        <v>0</v>
      </c>
      <c r="AB166" s="1579">
        <f>IF(YEAR('3 pr-2'!$AK166)=2020,$V166,0)</f>
        <v>2</v>
      </c>
      <c r="AC166" s="1579">
        <f>IF(YEAR('3 pr-2'!$AK166)=2021,$V166,0)</f>
        <v>0</v>
      </c>
      <c r="AD166" s="1579">
        <f>IF(YEAR('3 pr-2'!$AK166)=2022,$V166,0)</f>
        <v>0</v>
      </c>
      <c r="AE166" s="1579">
        <f>IF(YEAR('3 pr-2'!$AK166)=2023,$V166,0)</f>
        <v>0</v>
      </c>
      <c r="AF166" s="350" t="s">
        <v>531</v>
      </c>
      <c r="AG166" s="537" t="s">
        <v>532</v>
      </c>
      <c r="AH166" s="345"/>
      <c r="AI166" s="345"/>
      <c r="AJ166" s="345"/>
      <c r="AK166" s="345"/>
      <c r="AL166" s="345"/>
      <c r="AM166" s="345"/>
      <c r="AN166" s="345"/>
      <c r="AO166" s="895">
        <f t="shared" si="662"/>
        <v>0</v>
      </c>
      <c r="AP166" s="345">
        <v>15</v>
      </c>
      <c r="AQ166" s="1597">
        <v>15</v>
      </c>
      <c r="AR166" s="1579">
        <f>SUM(AQ166-AP166)</f>
        <v>0</v>
      </c>
      <c r="AS166" s="1579">
        <f>IF(YEAR('3 pr-2'!$AK166)=2017,$AP166,0)</f>
        <v>0</v>
      </c>
      <c r="AT166" s="1579">
        <f>IF(YEAR('3 pr-2'!$AK166)=2018,$AP166,0)</f>
        <v>0</v>
      </c>
      <c r="AU166" s="1579">
        <f>IF(YEAR('3 pr-2'!$AK166)=2019,$AP166,0)</f>
        <v>0</v>
      </c>
      <c r="AV166" s="1579">
        <f>IF(YEAR('3 pr-2'!$AK166)=2020,$AP166,0)</f>
        <v>15</v>
      </c>
      <c r="AW166" s="1579">
        <f>IF(YEAR('3 pr-2'!$AK166)=2021,$AP166,0)</f>
        <v>0</v>
      </c>
      <c r="AX166" s="1579">
        <f>IF(YEAR('3 pr-2'!$AK166)=2022,$AP166,0)</f>
        <v>0</v>
      </c>
      <c r="AY166" s="1579">
        <f>IF(YEAR('3 pr-2'!$AK166)=2023,$AP166,0)</f>
        <v>0</v>
      </c>
      <c r="AZ166" s="345"/>
      <c r="BA166" s="536"/>
      <c r="BB166" s="345"/>
      <c r="BC166" s="345"/>
      <c r="BD166" s="345"/>
      <c r="BE166" s="345"/>
      <c r="BF166" s="345"/>
      <c r="BG166" s="345"/>
      <c r="BH166" s="345"/>
      <c r="BI166" s="895">
        <f t="shared" si="670"/>
        <v>0</v>
      </c>
      <c r="BJ166" s="345"/>
      <c r="BK166" s="1597"/>
      <c r="BL166" s="1579"/>
      <c r="BM166" s="1579">
        <f>IF(YEAR('3 pr-2'!$AK166)=2017,$BJ166,0)</f>
        <v>0</v>
      </c>
      <c r="BN166" s="1579">
        <f>IF(YEAR('3 pr-2'!$AK166)=2018,$BJ166,0)</f>
        <v>0</v>
      </c>
      <c r="BO166" s="1579">
        <f>IF(YEAR('3 pr-2'!$AK166)=2019,$BJ166,0)</f>
        <v>0</v>
      </c>
      <c r="BP166" s="1579">
        <f>IF(YEAR('3 pr-2'!$AK166)=2020,$BJ166,0)</f>
        <v>0</v>
      </c>
      <c r="BQ166" s="1579">
        <f>IF(YEAR('3 pr-2'!$AK166)=2021,$BJ166,0)</f>
        <v>0</v>
      </c>
      <c r="BR166" s="1579">
        <f>IF(YEAR('3 pr-2'!$AK166)=2022,$BJ166,0)</f>
        <v>0</v>
      </c>
      <c r="BS166" s="1579">
        <f>IF(YEAR('3 pr-2'!$AK166)=2023,$BJ166,0)</f>
        <v>0</v>
      </c>
      <c r="BT166" s="350"/>
      <c r="BU166" s="537"/>
      <c r="BV166" s="345"/>
      <c r="BW166" s="345"/>
      <c r="BX166" s="345"/>
      <c r="BY166" s="345"/>
      <c r="BZ166" s="345"/>
      <c r="CA166" s="345"/>
      <c r="CB166" s="345"/>
      <c r="CC166" s="895">
        <f t="shared" si="678"/>
        <v>0</v>
      </c>
      <c r="CD166" s="345"/>
      <c r="CE166" s="1579"/>
      <c r="CF166" s="1579"/>
      <c r="CG166" s="1579">
        <f>IF(YEAR('3 pr-2'!$AK166)=2017,$CD166,0)</f>
        <v>0</v>
      </c>
      <c r="CH166" s="1579">
        <f>IF(YEAR('3 pr-2'!$AK166)=2018,$CD166,0)</f>
        <v>0</v>
      </c>
      <c r="CI166" s="1579">
        <f>IF(YEAR('3 pr-2'!$AK166)=2019,$CD166,0)</f>
        <v>0</v>
      </c>
      <c r="CJ166" s="1579">
        <f>IF(YEAR('3 pr-2'!$AK166)=2020,$CD166,0)</f>
        <v>0</v>
      </c>
      <c r="CK166" s="1579">
        <f>IF(YEAR('3 pr-2'!$AK166)=2021,$CD166,0)</f>
        <v>0</v>
      </c>
      <c r="CL166" s="1579">
        <f>IF(YEAR('3 pr-2'!$AK166)=2022,$CD166,0)</f>
        <v>0</v>
      </c>
      <c r="CM166" s="1579">
        <f>IF(YEAR('3 pr-2'!$AK166)=2023,$CD166,0)</f>
        <v>0</v>
      </c>
      <c r="CN166" s="350"/>
      <c r="CO166" s="538"/>
      <c r="CP166" s="345"/>
      <c r="CQ166" s="345"/>
      <c r="CR166" s="345"/>
      <c r="CS166" s="345"/>
      <c r="CT166" s="345"/>
      <c r="CU166" s="345"/>
      <c r="CV166" s="345"/>
      <c r="CW166" s="895">
        <f t="shared" si="685"/>
        <v>0</v>
      </c>
      <c r="CX166" s="351"/>
      <c r="CY166" s="1605"/>
      <c r="CZ166" s="1605"/>
      <c r="DA166" s="1594">
        <f>IF(YEAR('3 pr-2'!AK166)=2017,CX166,0)</f>
        <v>0</v>
      </c>
      <c r="DB166" s="1594">
        <f>IF(YEAR('3 pr-2'!AK166)=2018,CX166,0)</f>
        <v>0</v>
      </c>
      <c r="DC166" s="1594">
        <f>IF(YEAR('3 pr-2'!AK166)=2019,CX166,0)</f>
        <v>0</v>
      </c>
      <c r="DD166" s="1594">
        <f>IF(YEAR('3 pr-2'!AK166)=2020,CX166,0)</f>
        <v>0</v>
      </c>
      <c r="DE166" s="1594">
        <f>IF(YEAR('3 pr-2'!AK166)=2021,CX166,0)</f>
        <v>0</v>
      </c>
      <c r="DF166" s="1594">
        <f>IF(YEAR('3 pr-2'!AK166)=2022,CX166,0)</f>
        <v>0</v>
      </c>
      <c r="DG166" s="1594">
        <f>IF(YEAR('3 pr-2'!AK166)=2023,CX166,0)</f>
        <v>0</v>
      </c>
      <c r="DH166" s="350"/>
      <c r="DI166" s="538"/>
      <c r="DJ166" s="345"/>
      <c r="DK166" s="345"/>
      <c r="DL166" s="345"/>
      <c r="DM166" s="345"/>
      <c r="DN166" s="345"/>
      <c r="DO166" s="345"/>
      <c r="DP166" s="345"/>
      <c r="DQ166" s="895"/>
      <c r="DR166" s="351"/>
      <c r="DS166" s="1605"/>
      <c r="DT166" s="1605"/>
      <c r="DU166" s="1594"/>
      <c r="DV166" s="1594"/>
      <c r="DW166" s="1594"/>
      <c r="DX166" s="1594"/>
      <c r="DY166" s="1594"/>
      <c r="DZ166" s="1594"/>
      <c r="EA166" s="1594"/>
      <c r="EB166" s="350"/>
      <c r="EC166" s="538"/>
      <c r="ED166" s="333"/>
      <c r="EE166" s="1605"/>
      <c r="EF166" s="1605"/>
      <c r="EG166" s="1594">
        <f>IF(YEAR('3 pr-2'!BP166)=2017,ED166,0)</f>
        <v>0</v>
      </c>
      <c r="EH166" s="1594">
        <f>IF(YEAR('3 pr-2'!BP166)=2018,ED166,0)</f>
        <v>0</v>
      </c>
      <c r="EI166" s="1594">
        <f>IF(YEAR('3 pr-2'!BP166)=2019,ED166,0)</f>
        <v>0</v>
      </c>
      <c r="EJ166" s="1594">
        <f>IF(YEAR('3 pr-2'!BP166)=2020,ED166,0)</f>
        <v>0</v>
      </c>
      <c r="EK166" s="1594">
        <f>IF(YEAR('3 pr-2'!BP166)=2021,ED166,0)</f>
        <v>0</v>
      </c>
      <c r="EL166" s="1594">
        <f>IF(YEAR('3 pr-2'!BP166)=2022,ED166,0)</f>
        <v>0</v>
      </c>
      <c r="EM166" s="1594">
        <f>IF(YEAR('3 pr-2'!BP166)=2023,ED166,0)</f>
        <v>0</v>
      </c>
    </row>
    <row r="167" spans="1:143" ht="97.5" thickTop="1" thickBot="1" x14ac:dyDescent="0.3">
      <c r="A167" s="345" t="str">
        <f>CONCATENATE('3 pr-2'!A167)</f>
        <v>2.1.4.1.6</v>
      </c>
      <c r="B167" s="345" t="str">
        <f>CONCATENATE('3 pr-2'!B167)</f>
        <v>R01-9920-490000-2416</v>
      </c>
      <c r="C167" s="1321" t="str">
        <f>CONCATENATE('ketv. 2'!B167)</f>
        <v/>
      </c>
      <c r="D167" s="312" t="str">
        <f>CONCATENATE('3 pr-2'!D167)</f>
        <v>Teikiamų paslaugų procesų tobulinimas ir asmenų aptarnavimo kokybės gerinimas Alytaus m. sav. administracijoje ir jai pavaldžiose įstaigose. II etapas</v>
      </c>
      <c r="E167" s="312" t="str">
        <f>CONCATENATE('3 pr-2'!E167)</f>
        <v>Alytaus miesto savivaldybės administracija</v>
      </c>
      <c r="F167" s="312" t="str">
        <f>CONCATENATE('3 pr-2'!F167)</f>
        <v>Lietuvos Respublikos vidaus reikalų ministerija</v>
      </c>
      <c r="G167" s="312" t="str">
        <f>CONCATENATE('3 pr-2'!G167)</f>
        <v>Alytaus m. sav.</v>
      </c>
      <c r="H167" s="345" t="str">
        <f>CONCATENATE('3 pr-2'!H167)</f>
        <v>10.1.3-ESFA-R-920</v>
      </c>
      <c r="I167" s="345" t="str">
        <f>CONCATENATE('3 pr-2'!I167)</f>
        <v>R</v>
      </c>
      <c r="J167" s="345" t="str">
        <f>CONCATENATE('3 pr-2'!J167)</f>
        <v>-</v>
      </c>
      <c r="K167" s="345" t="str">
        <f>CONCATENATE('3 pr-2'!K167)</f>
        <v>-</v>
      </c>
      <c r="L167" s="345" t="s">
        <v>529</v>
      </c>
      <c r="M167" s="537" t="s">
        <v>530</v>
      </c>
      <c r="N167" s="345"/>
      <c r="O167" s="345"/>
      <c r="P167" s="345"/>
      <c r="Q167" s="345"/>
      <c r="R167" s="345"/>
      <c r="S167" s="345"/>
      <c r="T167" s="345"/>
      <c r="U167" s="893">
        <f t="shared" ref="U167" si="687">SUM(N167:T167)</f>
        <v>0</v>
      </c>
      <c r="V167" s="345">
        <v>38</v>
      </c>
      <c r="W167" s="1578" t="str">
        <f ca="1">IF('ketv. 6 '!L166&gt;0,"taip","nėra")</f>
        <v>nėra</v>
      </c>
      <c r="X167" s="1579"/>
      <c r="Y167" s="1579">
        <f>IF(YEAR('3 pr-2'!$AK167)=2017,$V167,0)</f>
        <v>0</v>
      </c>
      <c r="Z167" s="1579">
        <f>IF(YEAR('3 pr-2'!$AK167)=2018,$V167,0)</f>
        <v>0</v>
      </c>
      <c r="AA167" s="1579">
        <f>IF(YEAR('3 pr-2'!$AK167)=2019,$V167,0)</f>
        <v>0</v>
      </c>
      <c r="AB167" s="1579">
        <f>IF(YEAR('3 pr-2'!$AK167)=2020,$V167,0)</f>
        <v>38</v>
      </c>
      <c r="AC167" s="1579">
        <f>IF(YEAR('3 pr-2'!$AK167)=2021,$V167,0)</f>
        <v>0</v>
      </c>
      <c r="AD167" s="1579">
        <f>IF(YEAR('3 pr-2'!$AK167)=2022,$V167,0)</f>
        <v>0</v>
      </c>
      <c r="AE167" s="1579">
        <f>IF(YEAR('3 pr-2'!$AK167)=2023,$V167,0)</f>
        <v>0</v>
      </c>
      <c r="AF167" s="350" t="s">
        <v>531</v>
      </c>
      <c r="AG167" s="537" t="s">
        <v>532</v>
      </c>
      <c r="AH167" s="345"/>
      <c r="AI167" s="345"/>
      <c r="AJ167" s="345"/>
      <c r="AK167" s="345"/>
      <c r="AL167" s="345"/>
      <c r="AM167" s="345"/>
      <c r="AN167" s="345"/>
      <c r="AO167" s="895">
        <f t="shared" ref="AO167" si="688">SUM(AH167:AN167)</f>
        <v>0</v>
      </c>
      <c r="AP167" s="345">
        <v>132</v>
      </c>
      <c r="AQ167" s="1597"/>
      <c r="AR167" s="1579"/>
      <c r="AS167" s="1579">
        <f>IF(YEAR('3 pr-2'!$AK167)=2017,$AP167,0)</f>
        <v>0</v>
      </c>
      <c r="AT167" s="1579">
        <f>IF(YEAR('3 pr-2'!$AK167)=2018,$AP167,0)</f>
        <v>0</v>
      </c>
      <c r="AU167" s="1579">
        <f>IF(YEAR('3 pr-2'!$AK167)=2019,$AP167,0)</f>
        <v>0</v>
      </c>
      <c r="AV167" s="1579">
        <f>IF(YEAR('3 pr-2'!$AK167)=2020,$AP167,0)</f>
        <v>132</v>
      </c>
      <c r="AW167" s="1579">
        <f>IF(YEAR('3 pr-2'!$AK167)=2021,$AP167,0)</f>
        <v>0</v>
      </c>
      <c r="AX167" s="1579">
        <f>IF(YEAR('3 pr-2'!$AK167)=2022,$AP167,0)</f>
        <v>0</v>
      </c>
      <c r="AY167" s="1579">
        <f>IF(YEAR('3 pr-2'!$AK167)=2023,$AP167,0)</f>
        <v>0</v>
      </c>
      <c r="AZ167" s="345"/>
      <c r="BA167" s="536"/>
      <c r="BB167" s="345"/>
      <c r="BC167" s="345"/>
      <c r="BD167" s="345"/>
      <c r="BE167" s="345"/>
      <c r="BF167" s="345"/>
      <c r="BG167" s="345"/>
      <c r="BH167" s="345"/>
      <c r="BI167" s="895">
        <f t="shared" ref="BI167" si="689">SUM(BB167:BH167)</f>
        <v>0</v>
      </c>
      <c r="BJ167" s="345"/>
      <c r="BK167" s="1597"/>
      <c r="BL167" s="1579"/>
      <c r="BM167" s="1579">
        <f>IF(YEAR('3 pr-2'!$AK167)=2017,$BJ167,0)</f>
        <v>0</v>
      </c>
      <c r="BN167" s="1579">
        <f>IF(YEAR('3 pr-2'!$AK167)=2018,$BJ167,0)</f>
        <v>0</v>
      </c>
      <c r="BO167" s="1579">
        <f>IF(YEAR('3 pr-2'!$AK167)=2019,$BJ167,0)</f>
        <v>0</v>
      </c>
      <c r="BP167" s="1579">
        <f>IF(YEAR('3 pr-2'!$AK167)=2020,$BJ167,0)</f>
        <v>0</v>
      </c>
      <c r="BQ167" s="1579">
        <f>IF(YEAR('3 pr-2'!$AK167)=2021,$BJ167,0)</f>
        <v>0</v>
      </c>
      <c r="BR167" s="1579">
        <f>IF(YEAR('3 pr-2'!$AK167)=2022,$BJ167,0)</f>
        <v>0</v>
      </c>
      <c r="BS167" s="1579">
        <f>IF(YEAR('3 pr-2'!$AK167)=2023,$BJ167,0)</f>
        <v>0</v>
      </c>
      <c r="BT167" s="350"/>
      <c r="BU167" s="537"/>
      <c r="BV167" s="345"/>
      <c r="BW167" s="345"/>
      <c r="BX167" s="345"/>
      <c r="BY167" s="345"/>
      <c r="BZ167" s="345"/>
      <c r="CA167" s="345"/>
      <c r="CB167" s="345"/>
      <c r="CC167" s="895">
        <f t="shared" ref="CC167" si="690">SUM(BV167:CB167)</f>
        <v>0</v>
      </c>
      <c r="CD167" s="345"/>
      <c r="CE167" s="1579"/>
      <c r="CF167" s="1579"/>
      <c r="CG167" s="1579">
        <f>IF(YEAR('3 pr-2'!$AK167)=2017,$CD167,0)</f>
        <v>0</v>
      </c>
      <c r="CH167" s="1579">
        <f>IF(YEAR('3 pr-2'!$AK167)=2018,$CD167,0)</f>
        <v>0</v>
      </c>
      <c r="CI167" s="1579">
        <f>IF(YEAR('3 pr-2'!$AK167)=2019,$CD167,0)</f>
        <v>0</v>
      </c>
      <c r="CJ167" s="1579">
        <f>IF(YEAR('3 pr-2'!$AK167)=2020,$CD167,0)</f>
        <v>0</v>
      </c>
      <c r="CK167" s="1579">
        <f>IF(YEAR('3 pr-2'!$AK167)=2021,$CD167,0)</f>
        <v>0</v>
      </c>
      <c r="CL167" s="1579">
        <f>IF(YEAR('3 pr-2'!$AK167)=2022,$CD167,0)</f>
        <v>0</v>
      </c>
      <c r="CM167" s="1579">
        <f>IF(YEAR('3 pr-2'!$AK167)=2023,$CD167,0)</f>
        <v>0</v>
      </c>
      <c r="CN167" s="350"/>
      <c r="CO167" s="538"/>
      <c r="CP167" s="345"/>
      <c r="CQ167" s="345"/>
      <c r="CR167" s="345"/>
      <c r="CS167" s="345"/>
      <c r="CT167" s="345"/>
      <c r="CU167" s="345"/>
      <c r="CV167" s="345"/>
      <c r="CW167" s="895">
        <f t="shared" ref="CW167" si="691">SUM(CP167:CV167)</f>
        <v>0</v>
      </c>
      <c r="CX167" s="351"/>
      <c r="CY167" s="1605"/>
      <c r="CZ167" s="1605"/>
      <c r="DA167" s="1594">
        <f>IF(YEAR('3 pr-2'!AK167)=2017,CX167,0)</f>
        <v>0</v>
      </c>
      <c r="DB167" s="1594">
        <f>IF(YEAR('3 pr-2'!AK167)=2018,CX167,0)</f>
        <v>0</v>
      </c>
      <c r="DC167" s="1594">
        <f>IF(YEAR('3 pr-2'!AK167)=2019,CX167,0)</f>
        <v>0</v>
      </c>
      <c r="DD167" s="1594">
        <f>IF(YEAR('3 pr-2'!AK167)=2020,CX167,0)</f>
        <v>0</v>
      </c>
      <c r="DE167" s="1594">
        <f>IF(YEAR('3 pr-2'!AK167)=2021,CX167,0)</f>
        <v>0</v>
      </c>
      <c r="DF167" s="1594">
        <f>IF(YEAR('3 pr-2'!AK167)=2022,CX167,0)</f>
        <v>0</v>
      </c>
      <c r="DG167" s="1594">
        <f>IF(YEAR('3 pr-2'!AK167)=2023,CX167,0)</f>
        <v>0</v>
      </c>
      <c r="DH167" s="350"/>
      <c r="DI167" s="538"/>
      <c r="DJ167" s="345"/>
      <c r="DK167" s="345"/>
      <c r="DL167" s="345"/>
      <c r="DM167" s="345"/>
      <c r="DN167" s="345"/>
      <c r="DO167" s="345"/>
      <c r="DP167" s="345"/>
      <c r="DQ167" s="895"/>
      <c r="DR167" s="351"/>
      <c r="DS167" s="1605"/>
      <c r="DT167" s="1605"/>
      <c r="DU167" s="1594"/>
      <c r="DV167" s="1594"/>
      <c r="DW167" s="1594"/>
      <c r="DX167" s="1594"/>
      <c r="DY167" s="1594"/>
      <c r="DZ167" s="1594"/>
      <c r="EA167" s="1594"/>
      <c r="EB167" s="350"/>
      <c r="EC167" s="538"/>
      <c r="ED167" s="333"/>
      <c r="EE167" s="1605"/>
      <c r="EF167" s="1605"/>
      <c r="EG167" s="1594">
        <f>IF(YEAR('3 pr-2'!BP167)=2017,ED167,0)</f>
        <v>0</v>
      </c>
      <c r="EH167" s="1594">
        <f>IF(YEAR('3 pr-2'!BP167)=2018,ED167,0)</f>
        <v>0</v>
      </c>
      <c r="EI167" s="1594">
        <f>IF(YEAR('3 pr-2'!BP167)=2019,ED167,0)</f>
        <v>0</v>
      </c>
      <c r="EJ167" s="1594">
        <f>IF(YEAR('3 pr-2'!BP167)=2020,ED167,0)</f>
        <v>0</v>
      </c>
      <c r="EK167" s="1594">
        <f>IF(YEAR('3 pr-2'!BP167)=2021,ED167,0)</f>
        <v>0</v>
      </c>
      <c r="EL167" s="1594">
        <f>IF(YEAR('3 pr-2'!BP167)=2022,ED167,0)</f>
        <v>0</v>
      </c>
      <c r="EM167" s="1594">
        <f>IF(YEAR('3 pr-2'!BP167)=2023,ED167,0)</f>
        <v>0</v>
      </c>
    </row>
    <row r="168" spans="1:143" ht="45.75" customHeight="1" thickBot="1" x14ac:dyDescent="0.3">
      <c r="A168" s="506" t="str">
        <f>CONCATENATE('3 pr-2'!A168)</f>
        <v>3.1.</v>
      </c>
      <c r="B168" s="1926" t="str">
        <f>CONCATENATE('3 pr-2'!B168)</f>
        <v>Tikslas: 
DARNIAI TVARKYTI IR VYSTYTI REGIONO TERITORIJĄ</v>
      </c>
      <c r="C168" s="1927"/>
      <c r="D168" s="1927"/>
      <c r="E168" s="1927"/>
      <c r="F168" s="1927"/>
      <c r="G168" s="1927"/>
      <c r="H168" s="1927"/>
      <c r="I168" s="1927"/>
      <c r="J168" s="1927"/>
      <c r="K168" s="1928"/>
      <c r="L168" s="890" t="s">
        <v>66</v>
      </c>
      <c r="M168" s="758" t="s">
        <v>66</v>
      </c>
      <c r="N168" s="892"/>
      <c r="O168" s="892"/>
      <c r="P168" s="892"/>
      <c r="Q168" s="892"/>
      <c r="R168" s="892"/>
      <c r="S168" s="892"/>
      <c r="T168" s="892"/>
      <c r="U168" s="907"/>
      <c r="V168" s="890" t="s">
        <v>66</v>
      </c>
      <c r="W168" s="1587"/>
      <c r="X168" s="1587"/>
      <c r="Y168" s="1587" t="s">
        <v>66</v>
      </c>
      <c r="Z168" s="1587" t="s">
        <v>66</v>
      </c>
      <c r="AA168" s="1587" t="s">
        <v>66</v>
      </c>
      <c r="AB168" s="1587" t="s">
        <v>66</v>
      </c>
      <c r="AC168" s="1587" t="s">
        <v>66</v>
      </c>
      <c r="AD168" s="1587" t="s">
        <v>66</v>
      </c>
      <c r="AE168" s="1587" t="s">
        <v>66</v>
      </c>
      <c r="AF168" s="892" t="s">
        <v>66</v>
      </c>
      <c r="AG168" s="758" t="s">
        <v>66</v>
      </c>
      <c r="AH168" s="892"/>
      <c r="AI168" s="892"/>
      <c r="AJ168" s="892"/>
      <c r="AK168" s="892"/>
      <c r="AL168" s="892"/>
      <c r="AM168" s="892"/>
      <c r="AN168" s="892"/>
      <c r="AO168" s="892"/>
      <c r="AP168" s="892" t="s">
        <v>66</v>
      </c>
      <c r="AQ168" s="1587"/>
      <c r="AR168" s="1587"/>
      <c r="AS168" s="1587" t="s">
        <v>66</v>
      </c>
      <c r="AT168" s="1587" t="s">
        <v>66</v>
      </c>
      <c r="AU168" s="1587" t="s">
        <v>66</v>
      </c>
      <c r="AV168" s="1587" t="s">
        <v>66</v>
      </c>
      <c r="AW168" s="1587" t="s">
        <v>66</v>
      </c>
      <c r="AX168" s="1587" t="s">
        <v>66</v>
      </c>
      <c r="AY168" s="1587" t="s">
        <v>66</v>
      </c>
      <c r="AZ168" s="892" t="s">
        <v>66</v>
      </c>
      <c r="BA168" s="758" t="s">
        <v>66</v>
      </c>
      <c r="BB168" s="892"/>
      <c r="BC168" s="892"/>
      <c r="BD168" s="892"/>
      <c r="BE168" s="892"/>
      <c r="BF168" s="892"/>
      <c r="BG168" s="892"/>
      <c r="BH168" s="892"/>
      <c r="BI168" s="892"/>
      <c r="BJ168" s="892" t="s">
        <v>66</v>
      </c>
      <c r="BK168" s="1587"/>
      <c r="BL168" s="1587"/>
      <c r="BM168" s="1587" t="s">
        <v>66</v>
      </c>
      <c r="BN168" s="1587" t="s">
        <v>66</v>
      </c>
      <c r="BO168" s="1587" t="s">
        <v>66</v>
      </c>
      <c r="BP168" s="1587" t="s">
        <v>66</v>
      </c>
      <c r="BQ168" s="1587" t="s">
        <v>66</v>
      </c>
      <c r="BR168" s="1587" t="s">
        <v>66</v>
      </c>
      <c r="BS168" s="1587" t="s">
        <v>66</v>
      </c>
      <c r="BT168" s="892" t="s">
        <v>66</v>
      </c>
      <c r="BU168" s="758" t="s">
        <v>66</v>
      </c>
      <c r="BV168" s="892"/>
      <c r="BW168" s="892"/>
      <c r="BX168" s="892"/>
      <c r="BY168" s="892"/>
      <c r="BZ168" s="892"/>
      <c r="CA168" s="892"/>
      <c r="CB168" s="892"/>
      <c r="CC168" s="892"/>
      <c r="CD168" s="892" t="s">
        <v>66</v>
      </c>
      <c r="CE168" s="1587"/>
      <c r="CF168" s="1587"/>
      <c r="CG168" s="1587" t="s">
        <v>66</v>
      </c>
      <c r="CH168" s="1587" t="s">
        <v>66</v>
      </c>
      <c r="CI168" s="1587" t="s">
        <v>66</v>
      </c>
      <c r="CJ168" s="1587" t="s">
        <v>66</v>
      </c>
      <c r="CK168" s="1587" t="s">
        <v>66</v>
      </c>
      <c r="CL168" s="1587" t="s">
        <v>66</v>
      </c>
      <c r="CM168" s="1587" t="s">
        <v>66</v>
      </c>
      <c r="CN168" s="892" t="s">
        <v>66</v>
      </c>
      <c r="CO168" s="538" t="s">
        <v>66</v>
      </c>
      <c r="CP168" s="892"/>
      <c r="CQ168" s="892"/>
      <c r="CR168" s="892"/>
      <c r="CS168" s="892"/>
      <c r="CT168" s="892"/>
      <c r="CU168" s="892"/>
      <c r="CV168" s="892"/>
      <c r="CW168" s="892"/>
      <c r="CX168" s="892" t="s">
        <v>66</v>
      </c>
      <c r="CY168" s="1587"/>
      <c r="CZ168" s="1587"/>
      <c r="DA168" s="1610"/>
      <c r="DB168" s="1610"/>
      <c r="DC168" s="1610"/>
      <c r="DD168" s="1610"/>
      <c r="DE168" s="1610"/>
      <c r="DF168" s="1610"/>
      <c r="DG168" s="1610"/>
      <c r="DH168" s="892"/>
      <c r="DI168" s="538"/>
      <c r="DJ168" s="892"/>
      <c r="DK168" s="892"/>
      <c r="DL168" s="892"/>
      <c r="DM168" s="892"/>
      <c r="DN168" s="892"/>
      <c r="DO168" s="892"/>
      <c r="DP168" s="892"/>
      <c r="DQ168" s="892"/>
      <c r="DR168" s="892"/>
      <c r="DS168" s="1587"/>
      <c r="DT168" s="1587"/>
      <c r="DU168" s="1610"/>
      <c r="DV168" s="1610"/>
      <c r="DW168" s="1610"/>
      <c r="DX168" s="1610"/>
      <c r="DY168" s="1610"/>
      <c r="DZ168" s="1610"/>
      <c r="EA168" s="1610"/>
      <c r="EB168" s="892"/>
      <c r="EC168" s="538"/>
      <c r="ED168" s="892"/>
      <c r="EE168" s="1587"/>
      <c r="EF168" s="1587"/>
      <c r="EG168" s="1610"/>
      <c r="EH168" s="1610"/>
      <c r="EI168" s="1610"/>
      <c r="EJ168" s="1610"/>
      <c r="EK168" s="1610"/>
      <c r="EL168" s="1610"/>
      <c r="EM168" s="1610"/>
    </row>
    <row r="169" spans="1:143" ht="39.75" customHeight="1" thickBot="1" x14ac:dyDescent="0.3">
      <c r="A169" s="914" t="str">
        <f>CONCATENATE('3 pr-2'!A169)</f>
        <v>3.1.1.</v>
      </c>
      <c r="B169" s="1926" t="str">
        <f>CONCATENATE('3 pr-2'!B169)</f>
        <v>Uždavinys:
Sumažinti sąvartynuose šalinamų komunalinių atliekų kiekį</v>
      </c>
      <c r="C169" s="1927"/>
      <c r="D169" s="1927"/>
      <c r="E169" s="1927"/>
      <c r="F169" s="1927"/>
      <c r="G169" s="1927"/>
      <c r="H169" s="1927"/>
      <c r="I169" s="1927"/>
      <c r="J169" s="1927"/>
      <c r="K169" s="1928"/>
      <c r="L169" s="890" t="s">
        <v>66</v>
      </c>
      <c r="M169" s="911" t="s">
        <v>66</v>
      </c>
      <c r="N169" s="910"/>
      <c r="O169" s="910"/>
      <c r="P169" s="910"/>
      <c r="Q169" s="910"/>
      <c r="R169" s="910"/>
      <c r="S169" s="910"/>
      <c r="T169" s="910"/>
      <c r="U169" s="908"/>
      <c r="V169" s="912" t="s">
        <v>66</v>
      </c>
      <c r="W169" s="1590"/>
      <c r="X169" s="1590"/>
      <c r="Y169" s="1590" t="s">
        <v>66</v>
      </c>
      <c r="Z169" s="1590" t="s">
        <v>66</v>
      </c>
      <c r="AA169" s="1590" t="s">
        <v>66</v>
      </c>
      <c r="AB169" s="1590" t="s">
        <v>66</v>
      </c>
      <c r="AC169" s="1590" t="s">
        <v>66</v>
      </c>
      <c r="AD169" s="1590" t="s">
        <v>66</v>
      </c>
      <c r="AE169" s="1590" t="s">
        <v>66</v>
      </c>
      <c r="AF169" s="910" t="s">
        <v>66</v>
      </c>
      <c r="AG169" s="911" t="s">
        <v>66</v>
      </c>
      <c r="AH169" s="910"/>
      <c r="AI169" s="910"/>
      <c r="AJ169" s="910"/>
      <c r="AK169" s="910"/>
      <c r="AL169" s="910"/>
      <c r="AM169" s="910"/>
      <c r="AN169" s="910"/>
      <c r="AO169" s="910"/>
      <c r="AP169" s="910" t="s">
        <v>66</v>
      </c>
      <c r="AQ169" s="1590"/>
      <c r="AR169" s="1590"/>
      <c r="AS169" s="1590" t="s">
        <v>66</v>
      </c>
      <c r="AT169" s="1590" t="s">
        <v>66</v>
      </c>
      <c r="AU169" s="1590" t="s">
        <v>66</v>
      </c>
      <c r="AV169" s="1590" t="s">
        <v>66</v>
      </c>
      <c r="AW169" s="1590" t="s">
        <v>66</v>
      </c>
      <c r="AX169" s="1590" t="s">
        <v>66</v>
      </c>
      <c r="AY169" s="1590" t="s">
        <v>66</v>
      </c>
      <c r="AZ169" s="910" t="s">
        <v>66</v>
      </c>
      <c r="BA169" s="911" t="s">
        <v>66</v>
      </c>
      <c r="BB169" s="910"/>
      <c r="BC169" s="910"/>
      <c r="BD169" s="910"/>
      <c r="BE169" s="910"/>
      <c r="BF169" s="910"/>
      <c r="BG169" s="910"/>
      <c r="BH169" s="910"/>
      <c r="BI169" s="910"/>
      <c r="BJ169" s="910" t="s">
        <v>66</v>
      </c>
      <c r="BK169" s="1590"/>
      <c r="BL169" s="1590"/>
      <c r="BM169" s="1590" t="s">
        <v>66</v>
      </c>
      <c r="BN169" s="1590" t="s">
        <v>66</v>
      </c>
      <c r="BO169" s="1590" t="s">
        <v>66</v>
      </c>
      <c r="BP169" s="1590" t="s">
        <v>66</v>
      </c>
      <c r="BQ169" s="1590" t="s">
        <v>66</v>
      </c>
      <c r="BR169" s="1590" t="s">
        <v>66</v>
      </c>
      <c r="BS169" s="1590" t="s">
        <v>66</v>
      </c>
      <c r="BT169" s="910" t="s">
        <v>66</v>
      </c>
      <c r="BU169" s="911" t="s">
        <v>66</v>
      </c>
      <c r="BV169" s="910"/>
      <c r="BW169" s="910"/>
      <c r="BX169" s="910"/>
      <c r="BY169" s="910"/>
      <c r="BZ169" s="910"/>
      <c r="CA169" s="910"/>
      <c r="CB169" s="910"/>
      <c r="CC169" s="910"/>
      <c r="CD169" s="910" t="s">
        <v>66</v>
      </c>
      <c r="CE169" s="1590"/>
      <c r="CF169" s="1590"/>
      <c r="CG169" s="1590" t="s">
        <v>66</v>
      </c>
      <c r="CH169" s="1590" t="s">
        <v>66</v>
      </c>
      <c r="CI169" s="1590" t="s">
        <v>66</v>
      </c>
      <c r="CJ169" s="1590" t="s">
        <v>66</v>
      </c>
      <c r="CK169" s="1590" t="s">
        <v>66</v>
      </c>
      <c r="CL169" s="1590" t="s">
        <v>66</v>
      </c>
      <c r="CM169" s="1590" t="s">
        <v>66</v>
      </c>
      <c r="CN169" s="910" t="s">
        <v>66</v>
      </c>
      <c r="CO169" s="913" t="s">
        <v>66</v>
      </c>
      <c r="CP169" s="910"/>
      <c r="CQ169" s="910"/>
      <c r="CR169" s="910"/>
      <c r="CS169" s="910"/>
      <c r="CT169" s="910"/>
      <c r="CU169" s="910"/>
      <c r="CV169" s="910"/>
      <c r="CW169" s="910"/>
      <c r="CX169" s="910" t="s">
        <v>66</v>
      </c>
      <c r="CY169" s="1591"/>
      <c r="CZ169" s="1591"/>
      <c r="DA169" s="1606"/>
      <c r="DB169" s="1604"/>
      <c r="DC169" s="1604"/>
      <c r="DD169" s="1604"/>
      <c r="DE169" s="1604"/>
      <c r="DF169" s="1604"/>
      <c r="DG169" s="1604"/>
      <c r="DH169" s="910"/>
      <c r="DI169" s="913"/>
      <c r="DJ169" s="910"/>
      <c r="DK169" s="910"/>
      <c r="DL169" s="910"/>
      <c r="DM169" s="910"/>
      <c r="DN169" s="910"/>
      <c r="DO169" s="910"/>
      <c r="DP169" s="910"/>
      <c r="DQ169" s="910"/>
      <c r="DR169" s="910"/>
      <c r="DS169" s="1591"/>
      <c r="DT169" s="1591"/>
      <c r="DU169" s="1606"/>
      <c r="DV169" s="1604"/>
      <c r="DW169" s="1604"/>
      <c r="DX169" s="1604"/>
      <c r="DY169" s="1604"/>
      <c r="DZ169" s="1604"/>
      <c r="EA169" s="1604"/>
      <c r="EB169" s="910"/>
      <c r="EC169" s="913"/>
      <c r="ED169" s="908"/>
      <c r="EE169" s="1591"/>
      <c r="EF169" s="1591"/>
      <c r="EG169" s="1606"/>
      <c r="EH169" s="1604"/>
      <c r="EI169" s="1604"/>
      <c r="EJ169" s="1604"/>
      <c r="EK169" s="1604"/>
      <c r="EL169" s="1604"/>
      <c r="EM169" s="1604"/>
    </row>
    <row r="170" spans="1:143" ht="41.25" customHeight="1" thickBot="1" x14ac:dyDescent="0.3">
      <c r="A170" s="915" t="str">
        <f>CONCATENATE('3 pr-2'!A170)</f>
        <v>3.1.1.1</v>
      </c>
      <c r="B170" s="1926" t="str">
        <f>CONCATENATE('3 pr-2'!B170)</f>
        <v>Priemonė:
Komunalinių atliekų tvarkymo infrastruktūros plėtra</v>
      </c>
      <c r="C170" s="1927" t="str">
        <f>CONCATENATE('ketv. 2'!B169)</f>
        <v/>
      </c>
      <c r="D170" s="1927" t="s">
        <v>1190</v>
      </c>
      <c r="E170" s="1927"/>
      <c r="F170" s="1927"/>
      <c r="G170" s="1927"/>
      <c r="H170" s="1927"/>
      <c r="I170" s="1927"/>
      <c r="J170" s="1927"/>
      <c r="K170" s="1928"/>
      <c r="L170" s="916"/>
      <c r="M170" s="540"/>
      <c r="N170" s="890">
        <f>SUM(N171)</f>
        <v>0</v>
      </c>
      <c r="O170" s="890">
        <f t="shared" ref="O170:T170" si="692">SUM(O171)</f>
        <v>0</v>
      </c>
      <c r="P170" s="890">
        <f t="shared" si="692"/>
        <v>0</v>
      </c>
      <c r="Q170" s="890">
        <f t="shared" si="692"/>
        <v>0</v>
      </c>
      <c r="R170" s="890">
        <f t="shared" si="692"/>
        <v>0</v>
      </c>
      <c r="S170" s="890">
        <f t="shared" si="692"/>
        <v>0</v>
      </c>
      <c r="T170" s="890">
        <f t="shared" si="692"/>
        <v>0</v>
      </c>
      <c r="U170" s="891">
        <f t="shared" ref="U170:U171" si="693">SUM(N170:T170)</f>
        <v>0</v>
      </c>
      <c r="V170" s="867"/>
      <c r="W170" s="1592"/>
      <c r="X170" s="1593"/>
      <c r="Y170" s="1594">
        <f t="shared" ref="Y170:AE170" si="694">SUM(Y171)</f>
        <v>0</v>
      </c>
      <c r="Z170" s="1594">
        <f t="shared" si="694"/>
        <v>0</v>
      </c>
      <c r="AA170" s="1594">
        <f t="shared" si="694"/>
        <v>7187.76</v>
      </c>
      <c r="AB170" s="1594">
        <f t="shared" si="694"/>
        <v>0</v>
      </c>
      <c r="AC170" s="1594">
        <f t="shared" si="694"/>
        <v>0</v>
      </c>
      <c r="AD170" s="1594">
        <f t="shared" si="694"/>
        <v>0</v>
      </c>
      <c r="AE170" s="1594">
        <f t="shared" si="694"/>
        <v>0</v>
      </c>
      <c r="AF170" s="917"/>
      <c r="AG170" s="889"/>
      <c r="AH170" s="890">
        <f>SUM(AH171)</f>
        <v>0</v>
      </c>
      <c r="AI170" s="890">
        <f t="shared" ref="AI170" si="695">SUM(AI171)</f>
        <v>0</v>
      </c>
      <c r="AJ170" s="890">
        <f t="shared" ref="AJ170" si="696">SUM(AJ171)</f>
        <v>0</v>
      </c>
      <c r="AK170" s="890">
        <f t="shared" ref="AK170" si="697">SUM(AK171)</f>
        <v>0</v>
      </c>
      <c r="AL170" s="890">
        <f t="shared" ref="AL170" si="698">SUM(AL171)</f>
        <v>0</v>
      </c>
      <c r="AM170" s="890">
        <f t="shared" ref="AM170" si="699">SUM(AM171)</f>
        <v>0</v>
      </c>
      <c r="AN170" s="890">
        <f t="shared" ref="AN170" si="700">SUM(AN171)</f>
        <v>0</v>
      </c>
      <c r="AO170" s="867">
        <f t="shared" ref="AO170:AO171" si="701">SUM(AH170:AN170)</f>
        <v>0</v>
      </c>
      <c r="AP170" s="867"/>
      <c r="AQ170" s="1594"/>
      <c r="AR170" s="1594"/>
      <c r="AS170" s="1594"/>
      <c r="AT170" s="1594"/>
      <c r="AU170" s="1594"/>
      <c r="AV170" s="1594"/>
      <c r="AW170" s="1594"/>
      <c r="AX170" s="1594"/>
      <c r="AY170" s="1594"/>
      <c r="AZ170" s="867"/>
      <c r="BA170" s="889"/>
      <c r="BB170" s="890">
        <f>SUM(BB171)</f>
        <v>0</v>
      </c>
      <c r="BC170" s="890">
        <f t="shared" ref="BC170" si="702">SUM(BC171)</f>
        <v>0</v>
      </c>
      <c r="BD170" s="890">
        <f t="shared" ref="BD170" si="703">SUM(BD171)</f>
        <v>0</v>
      </c>
      <c r="BE170" s="890">
        <f t="shared" ref="BE170" si="704">SUM(BE171)</f>
        <v>0</v>
      </c>
      <c r="BF170" s="890">
        <f t="shared" ref="BF170" si="705">SUM(BF171)</f>
        <v>0</v>
      </c>
      <c r="BG170" s="890">
        <f t="shared" ref="BG170" si="706">SUM(BG171)</f>
        <v>0</v>
      </c>
      <c r="BH170" s="890">
        <f t="shared" ref="BH170" si="707">SUM(BH171)</f>
        <v>0</v>
      </c>
      <c r="BI170" s="867">
        <f t="shared" ref="BI170:BI171" si="708">SUM(BB170:BH170)</f>
        <v>0</v>
      </c>
      <c r="BJ170" s="867"/>
      <c r="BK170" s="1594"/>
      <c r="BL170" s="1594"/>
      <c r="BM170" s="1594"/>
      <c r="BN170" s="1594"/>
      <c r="BO170" s="1594"/>
      <c r="BP170" s="1594"/>
      <c r="BQ170" s="1594"/>
      <c r="BR170" s="1594"/>
      <c r="BS170" s="1594"/>
      <c r="BT170" s="890"/>
      <c r="BU170" s="538"/>
      <c r="BV170" s="890">
        <f>SUM(BV171)</f>
        <v>0</v>
      </c>
      <c r="BW170" s="890">
        <f t="shared" ref="BW170" si="709">SUM(BW171)</f>
        <v>0</v>
      </c>
      <c r="BX170" s="890">
        <f t="shared" ref="BX170" si="710">SUM(BX171)</f>
        <v>0</v>
      </c>
      <c r="BY170" s="890">
        <f t="shared" ref="BY170" si="711">SUM(BY171)</f>
        <v>0</v>
      </c>
      <c r="BZ170" s="890">
        <f t="shared" ref="BZ170" si="712">SUM(BZ171)</f>
        <v>0</v>
      </c>
      <c r="CA170" s="890">
        <f t="shared" ref="CA170" si="713">SUM(CA171)</f>
        <v>0</v>
      </c>
      <c r="CB170" s="890">
        <f t="shared" ref="CB170" si="714">SUM(CB171)</f>
        <v>0</v>
      </c>
      <c r="CC170" s="867">
        <f t="shared" ref="CC170:CC171" si="715">SUM(BV170:CB170)</f>
        <v>0</v>
      </c>
      <c r="CD170" s="890"/>
      <c r="CE170" s="1594"/>
      <c r="CF170" s="1594"/>
      <c r="CG170" s="1594"/>
      <c r="CH170" s="1594"/>
      <c r="CI170" s="1594"/>
      <c r="CJ170" s="1594"/>
      <c r="CK170" s="1594"/>
      <c r="CL170" s="1594"/>
      <c r="CM170" s="1594"/>
      <c r="CN170" s="890"/>
      <c r="CO170" s="538"/>
      <c r="CP170" s="890">
        <f>SUM(CP171)</f>
        <v>0</v>
      </c>
      <c r="CQ170" s="890">
        <f t="shared" ref="CQ170" si="716">SUM(CQ171)</f>
        <v>0</v>
      </c>
      <c r="CR170" s="890">
        <f t="shared" ref="CR170" si="717">SUM(CR171)</f>
        <v>0</v>
      </c>
      <c r="CS170" s="890">
        <f t="shared" ref="CS170" si="718">SUM(CS171)</f>
        <v>0</v>
      </c>
      <c r="CT170" s="890">
        <f t="shared" ref="CT170" si="719">SUM(CT171)</f>
        <v>0</v>
      </c>
      <c r="CU170" s="890">
        <f t="shared" ref="CU170" si="720">SUM(CU171)</f>
        <v>0</v>
      </c>
      <c r="CV170" s="890">
        <f t="shared" ref="CV170" si="721">SUM(CV171)</f>
        <v>0</v>
      </c>
      <c r="CW170" s="867">
        <f t="shared" ref="CW170:CW171" si="722">SUM(CP170:CV170)</f>
        <v>0</v>
      </c>
      <c r="CX170" s="890"/>
      <c r="CY170" s="1594"/>
      <c r="CZ170" s="1594"/>
      <c r="DA170" s="1594"/>
      <c r="DB170" s="1594"/>
      <c r="DC170" s="1594"/>
      <c r="DD170" s="1594"/>
      <c r="DE170" s="1594"/>
      <c r="DF170" s="1594"/>
      <c r="DG170" s="1594"/>
      <c r="DH170" s="890"/>
      <c r="DI170" s="538"/>
      <c r="DJ170" s="890"/>
      <c r="DK170" s="890"/>
      <c r="DL170" s="890"/>
      <c r="DM170" s="890"/>
      <c r="DN170" s="890"/>
      <c r="DO170" s="890"/>
      <c r="DP170" s="890"/>
      <c r="DQ170" s="867"/>
      <c r="DR170" s="890"/>
      <c r="DS170" s="1594"/>
      <c r="DT170" s="1594"/>
      <c r="DU170" s="1594"/>
      <c r="DV170" s="1594"/>
      <c r="DW170" s="1594"/>
      <c r="DX170" s="1594"/>
      <c r="DY170" s="1594"/>
      <c r="DZ170" s="1594"/>
      <c r="EA170" s="1594"/>
      <c r="EB170" s="890"/>
      <c r="EC170" s="538"/>
      <c r="ED170" s="890"/>
      <c r="EE170" s="1594"/>
      <c r="EF170" s="1594"/>
      <c r="EG170" s="1594"/>
      <c r="EH170" s="1594"/>
      <c r="EI170" s="1594"/>
      <c r="EJ170" s="1594"/>
      <c r="EK170" s="1594"/>
      <c r="EL170" s="1594"/>
      <c r="EM170" s="1594"/>
    </row>
    <row r="171" spans="1:143" ht="49.5" thickTop="1" thickBot="1" x14ac:dyDescent="0.3">
      <c r="A171" s="345" t="str">
        <f>CONCATENATE('3 pr-2'!A171)</f>
        <v>3.1.1.1.1</v>
      </c>
      <c r="B171" s="345" t="str">
        <f>CONCATENATE('3 pr-2'!B171)</f>
        <v>R01-0008-050000-3111</v>
      </c>
      <c r="C171" s="1321" t="str">
        <f>CONCATENATE('ketv. 2'!B170)</f>
        <v>05.2.1-APVA-R-008-11-0001</v>
      </c>
      <c r="D171" s="312" t="str">
        <f>CONCATENATE('3 pr-2'!D171)</f>
        <v>Komunalinių atliekų tvarkymo sistemos plėtra Alytaus regione</v>
      </c>
      <c r="E171" s="312" t="str">
        <f>CONCATENATE('3 pr-2'!E171)</f>
        <v>Alytaus regiono atliekų tvarkymo centras</v>
      </c>
      <c r="F171" s="312" t="str">
        <f>CONCATENATE('3 pr-2'!F171)</f>
        <v>Lietuvos Respublikos aplinkos ministerija</v>
      </c>
      <c r="G171" s="312" t="str">
        <f>CONCATENATE('3 pr-2'!G171)</f>
        <v>Alytaus regionas</v>
      </c>
      <c r="H171" s="345" t="str">
        <f>CONCATENATE('3 pr-2'!H171)</f>
        <v>05.2.1-APVA-R-008</v>
      </c>
      <c r="I171" s="345" t="str">
        <f>CONCATENATE('3 pr-2'!I171)</f>
        <v>R</v>
      </c>
      <c r="J171" s="345" t="str">
        <f>CONCATENATE('3 pr-2'!J171)</f>
        <v>-</v>
      </c>
      <c r="K171" s="345" t="str">
        <f>CONCATENATE('3 pr-2'!K171)</f>
        <v>-</v>
      </c>
      <c r="L171" s="345" t="s">
        <v>536</v>
      </c>
      <c r="M171" s="537" t="s">
        <v>537</v>
      </c>
      <c r="N171" s="345"/>
      <c r="O171" s="345"/>
      <c r="P171" s="345"/>
      <c r="Q171" s="345"/>
      <c r="R171" s="345"/>
      <c r="S171" s="345"/>
      <c r="T171" s="345"/>
      <c r="U171" s="893">
        <f t="shared" si="693"/>
        <v>0</v>
      </c>
      <c r="V171" s="345">
        <v>7187.76</v>
      </c>
      <c r="W171" s="1578" t="str">
        <f ca="1">IF('ketv. 6 '!L170&gt;0,"7187,76",0)</f>
        <v>7187,76</v>
      </c>
      <c r="X171" s="1579">
        <f ca="1">SUM(W171-V171)</f>
        <v>0</v>
      </c>
      <c r="Y171" s="1579">
        <f>IF(YEAR('3 pr-2'!$AK171)=2017,$V171,0)</f>
        <v>0</v>
      </c>
      <c r="Z171" s="1579">
        <f>IF(YEAR('3 pr-2'!$AK171)=2018,$V171,0)</f>
        <v>0</v>
      </c>
      <c r="AA171" s="1579">
        <f>IF(YEAR('3 pr-2'!$AK171)=2019,$V171,0)</f>
        <v>7187.76</v>
      </c>
      <c r="AB171" s="1579">
        <f>IF(YEAR('3 pr-2'!$AK171)=2020,$V171,0)</f>
        <v>0</v>
      </c>
      <c r="AC171" s="1579">
        <f>IF(YEAR('3 pr-2'!$AK171)=2021,$V171,0)</f>
        <v>0</v>
      </c>
      <c r="AD171" s="1579">
        <f>IF(YEAR('3 pr-2'!$AK171)=2022,$V171,0)</f>
        <v>0</v>
      </c>
      <c r="AE171" s="1579">
        <f>IF(YEAR('3 pr-2'!$AK171)=2023,$V171,0)</f>
        <v>0</v>
      </c>
      <c r="AF171" s="350"/>
      <c r="AG171" s="537"/>
      <c r="AH171" s="345"/>
      <c r="AI171" s="345"/>
      <c r="AJ171" s="345"/>
      <c r="AK171" s="345"/>
      <c r="AL171" s="345"/>
      <c r="AM171" s="345"/>
      <c r="AN171" s="345"/>
      <c r="AO171" s="895">
        <f t="shared" si="701"/>
        <v>0</v>
      </c>
      <c r="AP171" s="345"/>
      <c r="AQ171" s="1597"/>
      <c r="AR171" s="1579"/>
      <c r="AS171" s="1579">
        <f>IF(YEAR('3 pr-2'!$AK171)=2017,$AP171,0)</f>
        <v>0</v>
      </c>
      <c r="AT171" s="1579">
        <f>IF(YEAR('3 pr-2'!$AK171)=2018,$AP171,0)</f>
        <v>0</v>
      </c>
      <c r="AU171" s="1579">
        <f>IF(YEAR('3 pr-2'!$AK171)=2019,$AP171,0)</f>
        <v>0</v>
      </c>
      <c r="AV171" s="1579">
        <f>IF(YEAR('3 pr-2'!$AK171)=2020,$AP171,0)</f>
        <v>0</v>
      </c>
      <c r="AW171" s="1579">
        <f>IF(YEAR('3 pr-2'!$AK171)=2021,$AP171,0)</f>
        <v>0</v>
      </c>
      <c r="AX171" s="1579">
        <f>IF(YEAR('3 pr-2'!$AK171)=2022,$AP171,0)</f>
        <v>0</v>
      </c>
      <c r="AY171" s="1579">
        <f>IF(YEAR('3 pr-2'!$AK171)=2023,$AP171,0)</f>
        <v>0</v>
      </c>
      <c r="AZ171" s="345"/>
      <c r="BA171" s="536"/>
      <c r="BB171" s="345"/>
      <c r="BC171" s="345"/>
      <c r="BD171" s="345"/>
      <c r="BE171" s="345"/>
      <c r="BF171" s="345"/>
      <c r="BG171" s="345"/>
      <c r="BH171" s="345"/>
      <c r="BI171" s="895">
        <f t="shared" si="708"/>
        <v>0</v>
      </c>
      <c r="BJ171" s="345"/>
      <c r="BK171" s="1597"/>
      <c r="BL171" s="1579"/>
      <c r="BM171" s="1579">
        <f>IF(YEAR('3 pr-2'!$AK171)=2017,$BJ171,0)</f>
        <v>0</v>
      </c>
      <c r="BN171" s="1579">
        <f>IF(YEAR('3 pr-2'!$AK171)=2018,$BJ171,0)</f>
        <v>0</v>
      </c>
      <c r="BO171" s="1579">
        <f>IF(YEAR('3 pr-2'!$AK171)=2019,$BJ171,0)</f>
        <v>0</v>
      </c>
      <c r="BP171" s="1579">
        <f>IF(YEAR('3 pr-2'!$AK171)=2020,$BJ171,0)</f>
        <v>0</v>
      </c>
      <c r="BQ171" s="1579">
        <f>IF(YEAR('3 pr-2'!$AK171)=2021,$BJ171,0)</f>
        <v>0</v>
      </c>
      <c r="BR171" s="1579">
        <f>IF(YEAR('3 pr-2'!$AK171)=2022,$BJ171,0)</f>
        <v>0</v>
      </c>
      <c r="BS171" s="1579">
        <f>IF(YEAR('3 pr-2'!$AK171)=2023,$BJ171,0)</f>
        <v>0</v>
      </c>
      <c r="BT171" s="350"/>
      <c r="BU171" s="537"/>
      <c r="BV171" s="345"/>
      <c r="BW171" s="345"/>
      <c r="BX171" s="345"/>
      <c r="BY171" s="345"/>
      <c r="BZ171" s="345"/>
      <c r="CA171" s="345"/>
      <c r="CB171" s="345"/>
      <c r="CC171" s="895">
        <f t="shared" si="715"/>
        <v>0</v>
      </c>
      <c r="CD171" s="345"/>
      <c r="CE171" s="1579"/>
      <c r="CF171" s="1579"/>
      <c r="CG171" s="1579">
        <f>IF(YEAR('3 pr-2'!$AK171)=2017,$CD171,0)</f>
        <v>0</v>
      </c>
      <c r="CH171" s="1579">
        <f>IF(YEAR('3 pr-2'!$AK171)=2018,$CD171,0)</f>
        <v>0</v>
      </c>
      <c r="CI171" s="1579">
        <f>IF(YEAR('3 pr-2'!$AK171)=2019,$CD171,0)</f>
        <v>0</v>
      </c>
      <c r="CJ171" s="1579">
        <f>IF(YEAR('3 pr-2'!$AK171)=2020,$CD171,0)</f>
        <v>0</v>
      </c>
      <c r="CK171" s="1579">
        <f>IF(YEAR('3 pr-2'!$AK171)=2021,$CD171,0)</f>
        <v>0</v>
      </c>
      <c r="CL171" s="1579">
        <f>IF(YEAR('3 pr-2'!$AK171)=2022,$CD171,0)</f>
        <v>0</v>
      </c>
      <c r="CM171" s="1579">
        <f>IF(YEAR('3 pr-2'!$AK171)=2023,$CD171,0)</f>
        <v>0</v>
      </c>
      <c r="CN171" s="350"/>
      <c r="CO171" s="538"/>
      <c r="CP171" s="345"/>
      <c r="CQ171" s="345"/>
      <c r="CR171" s="345"/>
      <c r="CS171" s="345"/>
      <c r="CT171" s="345"/>
      <c r="CU171" s="345"/>
      <c r="CV171" s="345"/>
      <c r="CW171" s="895">
        <f t="shared" si="722"/>
        <v>0</v>
      </c>
      <c r="CX171" s="351"/>
      <c r="CY171" s="1605"/>
      <c r="CZ171" s="1605"/>
      <c r="DA171" s="1594">
        <f>IF(YEAR('3 pr-2'!AK171)=2017,CX171,0)</f>
        <v>0</v>
      </c>
      <c r="DB171" s="1594">
        <f>IF(YEAR('3 pr-2'!AK171)=2018,CX171,0)</f>
        <v>0</v>
      </c>
      <c r="DC171" s="1594">
        <f>IF(YEAR('3 pr-2'!AK171)=2019,CX171,0)</f>
        <v>0</v>
      </c>
      <c r="DD171" s="1594">
        <f>IF(YEAR('3 pr-2'!AK171)=2020,CX171,0)</f>
        <v>0</v>
      </c>
      <c r="DE171" s="1594">
        <f>IF(YEAR('3 pr-2'!AK171)=2021,CX171,0)</f>
        <v>0</v>
      </c>
      <c r="DF171" s="1594">
        <f>IF(YEAR('3 pr-2'!AK171)=2022,CX171,0)</f>
        <v>0</v>
      </c>
      <c r="DG171" s="1594">
        <f>IF(YEAR('3 pr-2'!AK171)=2023,CX171,0)</f>
        <v>0</v>
      </c>
      <c r="DH171" s="350"/>
      <c r="DI171" s="538"/>
      <c r="DJ171" s="345"/>
      <c r="DK171" s="345"/>
      <c r="DL171" s="345"/>
      <c r="DM171" s="345"/>
      <c r="DN171" s="345"/>
      <c r="DO171" s="345"/>
      <c r="DP171" s="345"/>
      <c r="DQ171" s="895"/>
      <c r="DR171" s="351"/>
      <c r="DS171" s="1605"/>
      <c r="DT171" s="1605"/>
      <c r="DU171" s="1594"/>
      <c r="DV171" s="1594"/>
      <c r="DW171" s="1594"/>
      <c r="DX171" s="1594"/>
      <c r="DY171" s="1594"/>
      <c r="DZ171" s="1594"/>
      <c r="EA171" s="1594"/>
      <c r="EB171" s="350"/>
      <c r="EC171" s="538"/>
      <c r="ED171" s="333"/>
      <c r="EE171" s="1605"/>
      <c r="EF171" s="1605"/>
      <c r="EG171" s="1594">
        <f>IF(YEAR('3 pr-2'!BP171)=2017,ED171,0)</f>
        <v>0</v>
      </c>
      <c r="EH171" s="1594">
        <f>IF(YEAR('3 pr-2'!BP171)=2018,ED171,0)</f>
        <v>0</v>
      </c>
      <c r="EI171" s="1594">
        <f>IF(YEAR('3 pr-2'!BP171)=2019,ED171,0)</f>
        <v>0</v>
      </c>
      <c r="EJ171" s="1594">
        <f>IF(YEAR('3 pr-2'!BP171)=2020,ED171,0)</f>
        <v>0</v>
      </c>
      <c r="EK171" s="1594">
        <f>IF(YEAR('3 pr-2'!BP171)=2021,ED171,0)</f>
        <v>0</v>
      </c>
      <c r="EL171" s="1594">
        <f>IF(YEAR('3 pr-2'!BP171)=2022,ED171,0)</f>
        <v>0</v>
      </c>
      <c r="EM171" s="1594">
        <f>IF(YEAR('3 pr-2'!BP171)=2023,ED171,0)</f>
        <v>0</v>
      </c>
    </row>
    <row r="172" spans="1:143" ht="45.75" customHeight="1" thickBot="1" x14ac:dyDescent="0.3">
      <c r="A172" s="914" t="str">
        <f>CONCATENATE('3 pr-2'!A172)</f>
        <v>3.1.2.</v>
      </c>
      <c r="B172" s="1926" t="str">
        <f>CONCATENATE('3 pr-2'!B172)</f>
        <v>Uždavinys:
Kraštovaizdžio apsauga, planavimas ir tvarkymas</v>
      </c>
      <c r="C172" s="1927"/>
      <c r="D172" s="1927"/>
      <c r="E172" s="1927"/>
      <c r="F172" s="1927"/>
      <c r="G172" s="1927"/>
      <c r="H172" s="1927"/>
      <c r="I172" s="1927"/>
      <c r="J172" s="1927"/>
      <c r="K172" s="1928"/>
      <c r="L172" s="890" t="s">
        <v>66</v>
      </c>
      <c r="M172" s="758" t="s">
        <v>66</v>
      </c>
      <c r="N172" s="892"/>
      <c r="O172" s="892"/>
      <c r="P172" s="892"/>
      <c r="Q172" s="892"/>
      <c r="R172" s="892"/>
      <c r="S172" s="892"/>
      <c r="T172" s="892"/>
      <c r="U172" s="907"/>
      <c r="V172" s="890" t="s">
        <v>66</v>
      </c>
      <c r="W172" s="1587"/>
      <c r="X172" s="1587"/>
      <c r="Y172" s="1587" t="s">
        <v>66</v>
      </c>
      <c r="Z172" s="1587" t="s">
        <v>66</v>
      </c>
      <c r="AA172" s="1587" t="s">
        <v>66</v>
      </c>
      <c r="AB172" s="1587" t="s">
        <v>66</v>
      </c>
      <c r="AC172" s="1587" t="s">
        <v>66</v>
      </c>
      <c r="AD172" s="1587" t="s">
        <v>66</v>
      </c>
      <c r="AE172" s="1587" t="s">
        <v>66</v>
      </c>
      <c r="AF172" s="892" t="s">
        <v>66</v>
      </c>
      <c r="AG172" s="758" t="s">
        <v>66</v>
      </c>
      <c r="AH172" s="892"/>
      <c r="AI172" s="892"/>
      <c r="AJ172" s="892"/>
      <c r="AK172" s="892"/>
      <c r="AL172" s="892"/>
      <c r="AM172" s="892"/>
      <c r="AN172" s="892"/>
      <c r="AO172" s="892"/>
      <c r="AP172" s="892" t="s">
        <v>66</v>
      </c>
      <c r="AQ172" s="1587"/>
      <c r="AR172" s="1587"/>
      <c r="AS172" s="1587" t="s">
        <v>66</v>
      </c>
      <c r="AT172" s="1587" t="s">
        <v>66</v>
      </c>
      <c r="AU172" s="1587" t="s">
        <v>66</v>
      </c>
      <c r="AV172" s="1587" t="s">
        <v>66</v>
      </c>
      <c r="AW172" s="1587" t="s">
        <v>66</v>
      </c>
      <c r="AX172" s="1587" t="s">
        <v>66</v>
      </c>
      <c r="AY172" s="1587" t="s">
        <v>66</v>
      </c>
      <c r="AZ172" s="892" t="s">
        <v>66</v>
      </c>
      <c r="BA172" s="758" t="s">
        <v>66</v>
      </c>
      <c r="BB172" s="892"/>
      <c r="BC172" s="892"/>
      <c r="BD172" s="892"/>
      <c r="BE172" s="892"/>
      <c r="BF172" s="892"/>
      <c r="BG172" s="892"/>
      <c r="BH172" s="892"/>
      <c r="BI172" s="892"/>
      <c r="BJ172" s="892" t="s">
        <v>66</v>
      </c>
      <c r="BK172" s="1587"/>
      <c r="BL172" s="1587"/>
      <c r="BM172" s="1587" t="s">
        <v>66</v>
      </c>
      <c r="BN172" s="1587" t="s">
        <v>66</v>
      </c>
      <c r="BO172" s="1587" t="s">
        <v>66</v>
      </c>
      <c r="BP172" s="1587" t="s">
        <v>66</v>
      </c>
      <c r="BQ172" s="1587" t="s">
        <v>66</v>
      </c>
      <c r="BR172" s="1587" t="s">
        <v>66</v>
      </c>
      <c r="BS172" s="1587" t="s">
        <v>66</v>
      </c>
      <c r="BT172" s="892" t="s">
        <v>66</v>
      </c>
      <c r="BU172" s="758" t="s">
        <v>66</v>
      </c>
      <c r="BV172" s="892"/>
      <c r="BW172" s="892"/>
      <c r="BX172" s="892"/>
      <c r="BY172" s="892"/>
      <c r="BZ172" s="892"/>
      <c r="CA172" s="892"/>
      <c r="CB172" s="892"/>
      <c r="CC172" s="892"/>
      <c r="CD172" s="892" t="s">
        <v>66</v>
      </c>
      <c r="CE172" s="1587"/>
      <c r="CF172" s="1587"/>
      <c r="CG172" s="1587" t="s">
        <v>66</v>
      </c>
      <c r="CH172" s="1587" t="s">
        <v>66</v>
      </c>
      <c r="CI172" s="1587" t="s">
        <v>66</v>
      </c>
      <c r="CJ172" s="1587" t="s">
        <v>66</v>
      </c>
      <c r="CK172" s="1587" t="s">
        <v>66</v>
      </c>
      <c r="CL172" s="1587" t="s">
        <v>66</v>
      </c>
      <c r="CM172" s="1587" t="s">
        <v>66</v>
      </c>
      <c r="CN172" s="892" t="s">
        <v>66</v>
      </c>
      <c r="CO172" s="538" t="s">
        <v>66</v>
      </c>
      <c r="CP172" s="892"/>
      <c r="CQ172" s="892"/>
      <c r="CR172" s="892"/>
      <c r="CS172" s="892"/>
      <c r="CT172" s="892"/>
      <c r="CU172" s="892"/>
      <c r="CV172" s="892"/>
      <c r="CW172" s="892"/>
      <c r="CX172" s="892" t="s">
        <v>66</v>
      </c>
      <c r="CY172" s="1591"/>
      <c r="CZ172" s="1591"/>
      <c r="DA172" s="1606"/>
      <c r="DB172" s="1604"/>
      <c r="DC172" s="1604"/>
      <c r="DD172" s="1604"/>
      <c r="DE172" s="1604"/>
      <c r="DF172" s="1604"/>
      <c r="DG172" s="1604"/>
      <c r="DH172" s="892"/>
      <c r="DI172" s="538"/>
      <c r="DJ172" s="892"/>
      <c r="DK172" s="892"/>
      <c r="DL172" s="892"/>
      <c r="DM172" s="892"/>
      <c r="DN172" s="892"/>
      <c r="DO172" s="892"/>
      <c r="DP172" s="892"/>
      <c r="DQ172" s="892"/>
      <c r="DR172" s="892"/>
      <c r="DS172" s="1591"/>
      <c r="DT172" s="1591"/>
      <c r="DU172" s="1606"/>
      <c r="DV172" s="1604"/>
      <c r="DW172" s="1604"/>
      <c r="DX172" s="1604"/>
      <c r="DY172" s="1604"/>
      <c r="DZ172" s="1604"/>
      <c r="EA172" s="1604"/>
      <c r="EB172" s="892"/>
      <c r="EC172" s="538"/>
      <c r="ED172" s="908"/>
      <c r="EE172" s="1591"/>
      <c r="EF172" s="1591"/>
      <c r="EG172" s="1606"/>
      <c r="EH172" s="1604"/>
      <c r="EI172" s="1604"/>
      <c r="EJ172" s="1604"/>
      <c r="EK172" s="1604"/>
      <c r="EL172" s="1604"/>
      <c r="EM172" s="1604"/>
    </row>
    <row r="173" spans="1:143" ht="30.75" customHeight="1" thickBot="1" x14ac:dyDescent="0.3">
      <c r="A173" s="915" t="str">
        <f>CONCATENATE('3 pr-2'!A173)</f>
        <v>3.1.2.1</v>
      </c>
      <c r="B173" s="1926" t="str">
        <f>CONCATENATE('3 pr-2'!B173)</f>
        <v>Priemonė:
Kraštovaizdžio apsauga/plėtra</v>
      </c>
      <c r="C173" s="1927"/>
      <c r="D173" s="1927"/>
      <c r="E173" s="1927"/>
      <c r="F173" s="1927"/>
      <c r="G173" s="1927"/>
      <c r="H173" s="1927"/>
      <c r="I173" s="1927"/>
      <c r="J173" s="1927"/>
      <c r="K173" s="1928"/>
      <c r="L173" s="916"/>
      <c r="M173" s="540"/>
      <c r="N173" s="890">
        <f t="shared" ref="N173:O173" si="723">SUM(N174:N182)</f>
        <v>0</v>
      </c>
      <c r="O173" s="890">
        <f t="shared" si="723"/>
        <v>7.1700000000000008</v>
      </c>
      <c r="P173" s="890">
        <f>SUM(P174:P182)</f>
        <v>0</v>
      </c>
      <c r="Q173" s="890">
        <f t="shared" ref="Q173:T173" si="724">SUM(Q174:Q182)</f>
        <v>0</v>
      </c>
      <c r="R173" s="890">
        <f t="shared" si="724"/>
        <v>0</v>
      </c>
      <c r="S173" s="890">
        <f t="shared" si="724"/>
        <v>0</v>
      </c>
      <c r="T173" s="890">
        <f t="shared" si="724"/>
        <v>0</v>
      </c>
      <c r="U173" s="890">
        <f>SUM(U174:U182)</f>
        <v>7.1700000000000008</v>
      </c>
      <c r="V173" s="890"/>
      <c r="W173" s="1592"/>
      <c r="X173" s="1593"/>
      <c r="Y173" s="1594">
        <f t="shared" ref="Y173:AE173" si="725">SUM(Y174:Y182)</f>
        <v>0</v>
      </c>
      <c r="Z173" s="1594">
        <f t="shared" si="725"/>
        <v>39.1</v>
      </c>
      <c r="AA173" s="1594">
        <f t="shared" si="725"/>
        <v>3.9</v>
      </c>
      <c r="AB173" s="1594">
        <f t="shared" si="725"/>
        <v>0</v>
      </c>
      <c r="AC173" s="1594">
        <f t="shared" si="725"/>
        <v>0</v>
      </c>
      <c r="AD173" s="1594">
        <f t="shared" si="725"/>
        <v>2</v>
      </c>
      <c r="AE173" s="1594">
        <f t="shared" si="725"/>
        <v>0</v>
      </c>
      <c r="AF173" s="917"/>
      <c r="AG173" s="889"/>
      <c r="AH173" s="890">
        <f>SUM(AH174:AH181)</f>
        <v>0</v>
      </c>
      <c r="AI173" s="890">
        <f t="shared" ref="AI173" si="726">SUM(AI174:AI181)</f>
        <v>0</v>
      </c>
      <c r="AJ173" s="890">
        <f t="shared" ref="AJ173" si="727">SUM(AJ174:AJ181)</f>
        <v>0</v>
      </c>
      <c r="AK173" s="890">
        <f t="shared" ref="AK173" si="728">SUM(AK174:AK181)</f>
        <v>0</v>
      </c>
      <c r="AL173" s="890">
        <f t="shared" ref="AL173" si="729">SUM(AL174:AL181)</f>
        <v>0</v>
      </c>
      <c r="AM173" s="890">
        <f t="shared" ref="AM173" si="730">SUM(AM174:AM181)</f>
        <v>0</v>
      </c>
      <c r="AN173" s="890">
        <f t="shared" ref="AN173" si="731">SUM(AN174:AN181)</f>
        <v>0</v>
      </c>
      <c r="AO173" s="867">
        <f t="shared" ref="AO173:AO181" si="732">SUM(AH173:AN173)</f>
        <v>0</v>
      </c>
      <c r="AP173" s="890"/>
      <c r="AQ173" s="1594"/>
      <c r="AR173" s="1594"/>
      <c r="AS173" s="1594">
        <f t="shared" ref="AS173:AY173" si="733">SUM(AS174:AS182)</f>
        <v>0</v>
      </c>
      <c r="AT173" s="1594">
        <f t="shared" si="733"/>
        <v>1</v>
      </c>
      <c r="AU173" s="1594">
        <f t="shared" si="733"/>
        <v>0</v>
      </c>
      <c r="AV173" s="1594">
        <f t="shared" si="733"/>
        <v>0</v>
      </c>
      <c r="AW173" s="1594">
        <f t="shared" si="733"/>
        <v>1</v>
      </c>
      <c r="AX173" s="1594">
        <f t="shared" si="733"/>
        <v>0</v>
      </c>
      <c r="AY173" s="1594">
        <f t="shared" si="733"/>
        <v>0</v>
      </c>
      <c r="AZ173" s="867"/>
      <c r="BA173" s="889"/>
      <c r="BB173" s="890">
        <f t="shared" ref="BB173:BI173" si="734">SUM(BB174:BB182)</f>
        <v>0</v>
      </c>
      <c r="BC173" s="890">
        <f t="shared" si="734"/>
        <v>42</v>
      </c>
      <c r="BD173" s="890">
        <f t="shared" si="734"/>
        <v>0</v>
      </c>
      <c r="BE173" s="890">
        <f t="shared" si="734"/>
        <v>0</v>
      </c>
      <c r="BF173" s="890">
        <f t="shared" si="734"/>
        <v>0</v>
      </c>
      <c r="BG173" s="890">
        <f t="shared" si="734"/>
        <v>0</v>
      </c>
      <c r="BH173" s="890">
        <f t="shared" si="734"/>
        <v>0</v>
      </c>
      <c r="BI173" s="890">
        <f t="shared" si="734"/>
        <v>42</v>
      </c>
      <c r="BJ173" s="890"/>
      <c r="BK173" s="1594"/>
      <c r="BL173" s="1594"/>
      <c r="BM173" s="1594">
        <f t="shared" ref="BM173:BS173" si="735">SUM(BM174:BM182)</f>
        <v>0</v>
      </c>
      <c r="BN173" s="1594">
        <f t="shared" si="735"/>
        <v>49</v>
      </c>
      <c r="BO173" s="1594">
        <f t="shared" si="735"/>
        <v>25</v>
      </c>
      <c r="BP173" s="1594">
        <f t="shared" si="735"/>
        <v>0</v>
      </c>
      <c r="BQ173" s="1594">
        <f t="shared" si="735"/>
        <v>8</v>
      </c>
      <c r="BR173" s="1594">
        <f t="shared" si="735"/>
        <v>30</v>
      </c>
      <c r="BS173" s="1594">
        <f t="shared" si="735"/>
        <v>0</v>
      </c>
      <c r="BT173" s="890"/>
      <c r="BU173" s="538"/>
      <c r="BV173" s="890">
        <f>SUM(BV174:BV181)</f>
        <v>0</v>
      </c>
      <c r="BW173" s="890">
        <f t="shared" ref="BW173" si="736">SUM(BW174:BW181)</f>
        <v>0</v>
      </c>
      <c r="BX173" s="890">
        <f t="shared" ref="BX173" si="737">SUM(BX174:BX181)</f>
        <v>0</v>
      </c>
      <c r="BY173" s="890">
        <f t="shared" ref="BY173" si="738">SUM(BY174:BY181)</f>
        <v>0</v>
      </c>
      <c r="BZ173" s="890">
        <f t="shared" ref="BZ173" si="739">SUM(BZ174:BZ181)</f>
        <v>0</v>
      </c>
      <c r="CA173" s="890">
        <f t="shared" ref="CA173" si="740">SUM(CA174:CA181)</f>
        <v>0</v>
      </c>
      <c r="CB173" s="890">
        <f t="shared" ref="CB173" si="741">SUM(CB174:CB181)</f>
        <v>0</v>
      </c>
      <c r="CC173" s="867">
        <f t="shared" ref="CC173:CC181" si="742">SUM(BV173:CB173)</f>
        <v>0</v>
      </c>
      <c r="CD173" s="890"/>
      <c r="CE173" s="1594"/>
      <c r="CF173" s="1594"/>
      <c r="CG173" s="1594">
        <f t="shared" ref="CG173:CM173" si="743">SUM(CG174:CG182)</f>
        <v>0</v>
      </c>
      <c r="CH173" s="1594">
        <f t="shared" si="743"/>
        <v>3</v>
      </c>
      <c r="CI173" s="1594">
        <f t="shared" si="743"/>
        <v>0</v>
      </c>
      <c r="CJ173" s="1594">
        <f t="shared" si="743"/>
        <v>0</v>
      </c>
      <c r="CK173" s="1594">
        <f t="shared" si="743"/>
        <v>0</v>
      </c>
      <c r="CL173" s="1594">
        <f t="shared" si="743"/>
        <v>0</v>
      </c>
      <c r="CM173" s="1594">
        <f t="shared" si="743"/>
        <v>0</v>
      </c>
      <c r="CN173" s="890"/>
      <c r="CO173" s="538"/>
      <c r="CP173" s="890">
        <f>SUM(CP174:CP181)</f>
        <v>0</v>
      </c>
      <c r="CQ173" s="890">
        <f t="shared" ref="CQ173" si="744">SUM(CQ174:CQ181)</f>
        <v>0</v>
      </c>
      <c r="CR173" s="890">
        <f t="shared" ref="CR173" si="745">SUM(CR174:CR181)</f>
        <v>0</v>
      </c>
      <c r="CS173" s="890">
        <f t="shared" ref="CS173" si="746">SUM(CS174:CS181)</f>
        <v>0</v>
      </c>
      <c r="CT173" s="890">
        <f t="shared" ref="CT173" si="747">SUM(CT174:CT181)</f>
        <v>0</v>
      </c>
      <c r="CU173" s="890">
        <f t="shared" ref="CU173" si="748">SUM(CU174:CU181)</f>
        <v>0</v>
      </c>
      <c r="CV173" s="890">
        <f t="shared" ref="CV173" si="749">SUM(CV174:CV181)</f>
        <v>0</v>
      </c>
      <c r="CW173" s="867">
        <f t="shared" ref="CW173:CW181" si="750">SUM(CP173:CV173)</f>
        <v>0</v>
      </c>
      <c r="CX173" s="890"/>
      <c r="CY173" s="1594"/>
      <c r="CZ173" s="1594"/>
      <c r="DA173" s="1594">
        <f t="shared" ref="DA173:DG173" si="751">SUM(DA174:DA182)</f>
        <v>0</v>
      </c>
      <c r="DB173" s="1594">
        <f t="shared" si="751"/>
        <v>2</v>
      </c>
      <c r="DC173" s="1594">
        <f t="shared" si="751"/>
        <v>0</v>
      </c>
      <c r="DD173" s="1594">
        <f t="shared" si="751"/>
        <v>1</v>
      </c>
      <c r="DE173" s="1594">
        <f t="shared" si="751"/>
        <v>0</v>
      </c>
      <c r="DF173" s="1594">
        <f t="shared" si="751"/>
        <v>1</v>
      </c>
      <c r="DG173" s="1594">
        <f t="shared" si="751"/>
        <v>0</v>
      </c>
      <c r="DH173" s="890"/>
      <c r="DI173" s="538"/>
      <c r="DJ173" s="890"/>
      <c r="DK173" s="890"/>
      <c r="DL173" s="890"/>
      <c r="DM173" s="890"/>
      <c r="DN173" s="890"/>
      <c r="DO173" s="890"/>
      <c r="DP173" s="890"/>
      <c r="DQ173" s="867"/>
      <c r="DR173" s="890"/>
      <c r="DS173" s="1594"/>
      <c r="DT173" s="1594"/>
      <c r="DU173" s="1594"/>
      <c r="DV173" s="1594"/>
      <c r="DW173" s="1594"/>
      <c r="DX173" s="1594"/>
      <c r="DY173" s="1594"/>
      <c r="DZ173" s="1594"/>
      <c r="EA173" s="1594"/>
      <c r="EB173" s="890"/>
      <c r="EC173" s="538"/>
      <c r="ED173" s="890"/>
      <c r="EE173" s="1594"/>
      <c r="EF173" s="1594"/>
      <c r="EG173" s="1594">
        <f t="shared" ref="EG173:EM173" si="752">SUM(EG174:EG182)</f>
        <v>0</v>
      </c>
      <c r="EH173" s="1594">
        <f t="shared" si="752"/>
        <v>0</v>
      </c>
      <c r="EI173" s="1594">
        <f t="shared" si="752"/>
        <v>0</v>
      </c>
      <c r="EJ173" s="1594">
        <f t="shared" si="752"/>
        <v>0</v>
      </c>
      <c r="EK173" s="1594">
        <f t="shared" si="752"/>
        <v>0</v>
      </c>
      <c r="EL173" s="1594">
        <f t="shared" si="752"/>
        <v>0</v>
      </c>
      <c r="EM173" s="1594">
        <f t="shared" si="752"/>
        <v>0</v>
      </c>
    </row>
    <row r="174" spans="1:143" ht="49.5" thickTop="1" thickBot="1" x14ac:dyDescent="0.3">
      <c r="A174" s="345" t="str">
        <f>CONCATENATE('3 pr-2'!A174)</f>
        <v>3.1.2.1.1</v>
      </c>
      <c r="B174" s="345" t="str">
        <f>CONCATENATE('3 pr-2'!B174)</f>
        <v>R01-0019-380000-3211</v>
      </c>
      <c r="C174" s="1321" t="str">
        <f>CONCATENATE('ketv. 2'!B173)</f>
        <v>05.5.1-APVA-R-019-11-0002</v>
      </c>
      <c r="D174" s="312" t="str">
        <f>CONCATENATE('3 pr-2'!D174)</f>
        <v>Kraštovaizdžio formavimas ir tvarkymas Varėnos r. savivaldybėje (I etapas)</v>
      </c>
      <c r="E174" s="312" t="str">
        <f>CONCATENATE('3 pr-2'!E174)</f>
        <v>Varėnos rajono savivaldybės administracija</v>
      </c>
      <c r="F174" s="312" t="str">
        <f>CONCATENATE('3 pr-2'!F174)</f>
        <v>Lietuvos Respublikos aplinkos ministerija</v>
      </c>
      <c r="G174" s="312" t="str">
        <f>CONCATENATE('3 pr-2'!G174)</f>
        <v>Varėnos r. sav.</v>
      </c>
      <c r="H174" s="345" t="str">
        <f>CONCATENATE('3 pr-2'!H174)</f>
        <v>05.5.1-APVA-R-019</v>
      </c>
      <c r="I174" s="345" t="str">
        <f>CONCATENATE('3 pr-2'!I174)</f>
        <v>R</v>
      </c>
      <c r="J174" s="345" t="str">
        <f>CONCATENATE('3 pr-2'!J174)</f>
        <v>-</v>
      </c>
      <c r="K174" s="345" t="str">
        <f>CONCATENATE('3 pr-2'!K174)</f>
        <v>-</v>
      </c>
      <c r="L174" s="345" t="s">
        <v>538</v>
      </c>
      <c r="M174" s="537" t="s">
        <v>539</v>
      </c>
      <c r="N174" s="345"/>
      <c r="O174" s="345">
        <v>2.09</v>
      </c>
      <c r="P174" s="345"/>
      <c r="Q174" s="345"/>
      <c r="R174" s="345"/>
      <c r="S174" s="345"/>
      <c r="T174" s="345"/>
      <c r="U174" s="893">
        <f t="shared" ref="U174:U181" si="753">SUM(N174:T174)</f>
        <v>2.09</v>
      </c>
      <c r="V174" s="345">
        <v>3.43</v>
      </c>
      <c r="W174" s="1578" t="str">
        <f ca="1">IF('ketv. 6 '!L173&gt;0,"3,43",0)</f>
        <v>3,43</v>
      </c>
      <c r="X174" s="1579">
        <f ca="1">SUM(W174-V174)</f>
        <v>0</v>
      </c>
      <c r="Y174" s="1579">
        <f>IF(YEAR('3 pr-2'!$AK174)=2017,$V174,0)</f>
        <v>0</v>
      </c>
      <c r="Z174" s="1579">
        <f>IF(YEAR('3 pr-2'!$AK174)=2018,$V174,0)</f>
        <v>3.43</v>
      </c>
      <c r="AA174" s="1579">
        <f>IF(YEAR('3 pr-2'!$AK174)=2019,$V174,0)</f>
        <v>0</v>
      </c>
      <c r="AB174" s="1579">
        <f>IF(YEAR('3 pr-2'!$AK174)=2020,$V174,0)</f>
        <v>0</v>
      </c>
      <c r="AC174" s="1579">
        <f>IF(YEAR('3 pr-2'!$AK174)=2021,$V174,0)</f>
        <v>0</v>
      </c>
      <c r="AD174" s="1579">
        <f>IF(YEAR('3 pr-2'!$AK174)=2022,$V174,0)</f>
        <v>0</v>
      </c>
      <c r="AE174" s="1579">
        <f>IF(YEAR('3 pr-2'!$AK174)=2023,$V174,0)</f>
        <v>0</v>
      </c>
      <c r="AF174" s="350"/>
      <c r="AG174" s="537"/>
      <c r="AH174" s="345"/>
      <c r="AI174" s="345"/>
      <c r="AJ174" s="345"/>
      <c r="AK174" s="345"/>
      <c r="AL174" s="345"/>
      <c r="AM174" s="345"/>
      <c r="AN174" s="345"/>
      <c r="AO174" s="895">
        <f t="shared" si="732"/>
        <v>0</v>
      </c>
      <c r="AP174" s="345"/>
      <c r="AQ174" s="1597"/>
      <c r="AR174" s="1579"/>
      <c r="AS174" s="1579">
        <f>IF(YEAR('3 pr-2'!$AK174)=2017,$AP174,0)</f>
        <v>0</v>
      </c>
      <c r="AT174" s="1579">
        <f>IF(YEAR('3 pr-2'!$AK174)=2018,$AP174,0)</f>
        <v>0</v>
      </c>
      <c r="AU174" s="1579">
        <f>IF(YEAR('3 pr-2'!$AK174)=2019,$AP174,0)</f>
        <v>0</v>
      </c>
      <c r="AV174" s="1579">
        <f>IF(YEAR('3 pr-2'!$AK174)=2020,$AP174,0)</f>
        <v>0</v>
      </c>
      <c r="AW174" s="1579">
        <f>IF(YEAR('3 pr-2'!$AK174)=2021,$AP174,0)</f>
        <v>0</v>
      </c>
      <c r="AX174" s="1579">
        <f>IF(YEAR('3 pr-2'!$AK174)=2022,$AP174,0)</f>
        <v>0</v>
      </c>
      <c r="AY174" s="1579">
        <f>IF(YEAR('3 pr-2'!$AK174)=2023,$AP174,0)</f>
        <v>0</v>
      </c>
      <c r="AZ174" s="345" t="s">
        <v>540</v>
      </c>
      <c r="BA174" s="536" t="s">
        <v>558</v>
      </c>
      <c r="BB174" s="345"/>
      <c r="BC174" s="345">
        <v>14</v>
      </c>
      <c r="BD174" s="345"/>
      <c r="BE174" s="345"/>
      <c r="BF174" s="345"/>
      <c r="BG174" s="345"/>
      <c r="BH174" s="345"/>
      <c r="BI174" s="895">
        <f t="shared" ref="BI174:BI181" si="754">SUM(BB174:BH174)</f>
        <v>14</v>
      </c>
      <c r="BJ174" s="345">
        <v>14</v>
      </c>
      <c r="BK174" s="1597">
        <v>14</v>
      </c>
      <c r="BL174" s="1579">
        <f>SUM(BK174-BJ174)</f>
        <v>0</v>
      </c>
      <c r="BM174" s="1579">
        <f>IF(YEAR('3 pr-2'!$AK174)=2017,$BJ174,0)</f>
        <v>0</v>
      </c>
      <c r="BN174" s="1579">
        <f>IF(YEAR('3 pr-2'!$AK174)=2018,$BJ174,0)</f>
        <v>14</v>
      </c>
      <c r="BO174" s="1579">
        <f>IF(YEAR('3 pr-2'!$AK174)=2019,$BJ174,0)</f>
        <v>0</v>
      </c>
      <c r="BP174" s="1579">
        <f>IF(YEAR('3 pr-2'!$AK174)=2020,$BJ174,0)</f>
        <v>0</v>
      </c>
      <c r="BQ174" s="1579">
        <f>IF(YEAR('3 pr-2'!$AK174)=2021,$BJ174,0)</f>
        <v>0</v>
      </c>
      <c r="BR174" s="1579">
        <f>IF(YEAR('3 pr-2'!$AK174)=2022,$BJ174,0)</f>
        <v>0</v>
      </c>
      <c r="BS174" s="1579">
        <f>IF(YEAR('3 pr-2'!$AK174)=2023,$BJ174,0)</f>
        <v>0</v>
      </c>
      <c r="BT174" s="350" t="s">
        <v>541</v>
      </c>
      <c r="BU174" s="537" t="s">
        <v>542</v>
      </c>
      <c r="BV174" s="345"/>
      <c r="BW174" s="345"/>
      <c r="BX174" s="345"/>
      <c r="BY174" s="345"/>
      <c r="BZ174" s="345"/>
      <c r="CA174" s="345"/>
      <c r="CB174" s="345"/>
      <c r="CC174" s="895">
        <f t="shared" si="742"/>
        <v>0</v>
      </c>
      <c r="CD174" s="345">
        <v>3</v>
      </c>
      <c r="CE174" s="1579">
        <v>3</v>
      </c>
      <c r="CF174" s="1579">
        <f>SUM(CE174-CD174)</f>
        <v>0</v>
      </c>
      <c r="CG174" s="1579">
        <f>IF(YEAR('3 pr-2'!$AK174)=2017,$CD174,0)</f>
        <v>0</v>
      </c>
      <c r="CH174" s="1579">
        <f>IF(YEAR('3 pr-2'!$AK174)=2018,$CD174,0)</f>
        <v>3</v>
      </c>
      <c r="CI174" s="1579">
        <f>IF(YEAR('3 pr-2'!$AK174)=2019,$CD174,0)</f>
        <v>0</v>
      </c>
      <c r="CJ174" s="1579">
        <f>IF(YEAR('3 pr-2'!$AK174)=2020,$CD174,0)</f>
        <v>0</v>
      </c>
      <c r="CK174" s="1579">
        <f>IF(YEAR('3 pr-2'!$AK174)=2021,$CD174,0)</f>
        <v>0</v>
      </c>
      <c r="CL174" s="1579">
        <f>IF(YEAR('3 pr-2'!$AK174)=2022,$CD174,0)</f>
        <v>0</v>
      </c>
      <c r="CM174" s="1579">
        <f>IF(YEAR('3 pr-2'!$AK174)=2023,$CD174,0)</f>
        <v>0</v>
      </c>
      <c r="CN174" s="350"/>
      <c r="CO174" s="538"/>
      <c r="CP174" s="345"/>
      <c r="CQ174" s="345"/>
      <c r="CR174" s="345"/>
      <c r="CS174" s="345"/>
      <c r="CT174" s="345"/>
      <c r="CU174" s="345"/>
      <c r="CV174" s="345"/>
      <c r="CW174" s="895">
        <f t="shared" si="750"/>
        <v>0</v>
      </c>
      <c r="CX174" s="351"/>
      <c r="CY174" s="1605"/>
      <c r="CZ174" s="1605"/>
      <c r="DA174" s="1594">
        <f>IF(YEAR('3 pr-2'!AK174)=2017,CX174,0)</f>
        <v>0</v>
      </c>
      <c r="DB174" s="1594">
        <f>IF(YEAR('3 pr-2'!AK174)=2018,CX174,0)</f>
        <v>0</v>
      </c>
      <c r="DC174" s="1594">
        <f>IF(YEAR('3 pr-2'!AK174)=2019,CX174,0)</f>
        <v>0</v>
      </c>
      <c r="DD174" s="1594">
        <f>IF(YEAR('3 pr-2'!AK174)=2020,CX174,0)</f>
        <v>0</v>
      </c>
      <c r="DE174" s="1594">
        <f>IF(YEAR('3 pr-2'!AK174)=2021,CX174,0)</f>
        <v>0</v>
      </c>
      <c r="DF174" s="1594">
        <f>IF(YEAR('3 pr-2'!AK174)=2022,CX174,0)</f>
        <v>0</v>
      </c>
      <c r="DG174" s="1594">
        <f>IF(YEAR('3 pr-2'!AK174)=2023,CX174,0)</f>
        <v>0</v>
      </c>
      <c r="DH174" s="350"/>
      <c r="DI174" s="538"/>
      <c r="DJ174" s="345"/>
      <c r="DK174" s="345"/>
      <c r="DL174" s="345"/>
      <c r="DM174" s="345"/>
      <c r="DN174" s="345"/>
      <c r="DO174" s="345"/>
      <c r="DP174" s="345"/>
      <c r="DQ174" s="895"/>
      <c r="DR174" s="351"/>
      <c r="DS174" s="1605"/>
      <c r="DT174" s="1605"/>
      <c r="DU174" s="1594"/>
      <c r="DV174" s="1594"/>
      <c r="DW174" s="1594"/>
      <c r="DX174" s="1594"/>
      <c r="DY174" s="1594"/>
      <c r="DZ174" s="1594"/>
      <c r="EA174" s="1594"/>
      <c r="EB174" s="350"/>
      <c r="EC174" s="538"/>
      <c r="ED174" s="333"/>
      <c r="EE174" s="1605"/>
      <c r="EF174" s="1605"/>
      <c r="EG174" s="1594">
        <f>IF(YEAR('3 pr-2'!BP174)=2017,ED174,0)</f>
        <v>0</v>
      </c>
      <c r="EH174" s="1594">
        <f>IF(YEAR('3 pr-2'!BP174)=2018,ED174,0)</f>
        <v>0</v>
      </c>
      <c r="EI174" s="1594">
        <f>IF(YEAR('3 pr-2'!BP174)=2019,ED174,0)</f>
        <v>0</v>
      </c>
      <c r="EJ174" s="1594">
        <f>IF(YEAR('3 pr-2'!BP174)=2020,ED174,0)</f>
        <v>0</v>
      </c>
      <c r="EK174" s="1594">
        <f>IF(YEAR('3 pr-2'!BP174)=2021,ED174,0)</f>
        <v>0</v>
      </c>
      <c r="EL174" s="1594">
        <f>IF(YEAR('3 pr-2'!BP174)=2022,ED174,0)</f>
        <v>0</v>
      </c>
      <c r="EM174" s="1594">
        <f>IF(YEAR('3 pr-2'!BP174)=2023,ED174,0)</f>
        <v>0</v>
      </c>
    </row>
    <row r="175" spans="1:143" ht="49.5" thickTop="1" thickBot="1" x14ac:dyDescent="0.3">
      <c r="A175" s="345" t="str">
        <f>CONCATENATE('3 pr-2'!A175)</f>
        <v>3.1.2.1.2</v>
      </c>
      <c r="B175" s="345" t="str">
        <f>CONCATENATE('3 pr-2'!B175)</f>
        <v>R01-0019-380000-3212</v>
      </c>
      <c r="C175" s="1321" t="str">
        <f>CONCATENATE('ketv. 2'!B174)</f>
        <v/>
      </c>
      <c r="D175" s="312" t="str">
        <f>CONCATENATE('3 pr-2'!D175)</f>
        <v>Kraštovaizdžio formavimas ir tvarkymas Varėnos r. savivaldybėje (II etapas)</v>
      </c>
      <c r="E175" s="312" t="str">
        <f>CONCATENATE('3 pr-2'!E175)</f>
        <v>Varėnos rajono savivaldybės administracija</v>
      </c>
      <c r="F175" s="312" t="str">
        <f>CONCATENATE('3 pr-2'!F175)</f>
        <v>Lietuvos Respublikos aplinkos ministerija</v>
      </c>
      <c r="G175" s="312" t="str">
        <f>CONCATENATE('3 pr-2'!G175)</f>
        <v>Varėnos r. sav.</v>
      </c>
      <c r="H175" s="345" t="str">
        <f>CONCATENATE('3 pr-2'!H175)</f>
        <v>05.5.1-APVA-R-019</v>
      </c>
      <c r="I175" s="345" t="str">
        <f>CONCATENATE('3 pr-2'!I175)</f>
        <v>R</v>
      </c>
      <c r="J175" s="345" t="str">
        <f>CONCATENATE('3 pr-2'!J175)</f>
        <v>-</v>
      </c>
      <c r="K175" s="345" t="str">
        <f>CONCATENATE('3 pr-2'!K175)</f>
        <v>-</v>
      </c>
      <c r="L175" s="345" t="s">
        <v>538</v>
      </c>
      <c r="M175" s="537" t="s">
        <v>539</v>
      </c>
      <c r="N175" s="345"/>
      <c r="O175" s="345"/>
      <c r="P175" s="345"/>
      <c r="Q175" s="345"/>
      <c r="R175" s="345"/>
      <c r="S175" s="345"/>
      <c r="T175" s="345"/>
      <c r="U175" s="893">
        <f t="shared" si="753"/>
        <v>0</v>
      </c>
      <c r="V175" s="345">
        <v>2</v>
      </c>
      <c r="W175" s="1578">
        <f ca="1">IF('ketv. 6 '!L174&gt;0,"taip",0)</f>
        <v>0</v>
      </c>
      <c r="X175" s="1579"/>
      <c r="Y175" s="1579">
        <f>IF(YEAR('3 pr-2'!$AK175)=2017,$V175,0)</f>
        <v>0</v>
      </c>
      <c r="Z175" s="1579">
        <f>IF(YEAR('3 pr-2'!$AK175)=2018,$V175,0)</f>
        <v>0</v>
      </c>
      <c r="AA175" s="1579">
        <f>IF(YEAR('3 pr-2'!$AK175)=2019,$V175,0)</f>
        <v>0</v>
      </c>
      <c r="AB175" s="1579">
        <f>IF(YEAR('3 pr-2'!$AK175)=2020,$V175,0)</f>
        <v>0</v>
      </c>
      <c r="AC175" s="1579">
        <f>IF(YEAR('3 pr-2'!$AK175)=2021,$V175,0)</f>
        <v>0</v>
      </c>
      <c r="AD175" s="1579">
        <f>IF(YEAR('3 pr-2'!$AK175)=2022,$V175,0)</f>
        <v>2</v>
      </c>
      <c r="AE175" s="1579">
        <f>IF(YEAR('3 pr-2'!$AK175)=2023,$V175,0)</f>
        <v>0</v>
      </c>
      <c r="AF175" s="350"/>
      <c r="AG175" s="537"/>
      <c r="AH175" s="345"/>
      <c r="AI175" s="345"/>
      <c r="AJ175" s="345"/>
      <c r="AK175" s="345"/>
      <c r="AL175" s="345"/>
      <c r="AM175" s="345"/>
      <c r="AN175" s="345"/>
      <c r="AO175" s="895">
        <f t="shared" si="732"/>
        <v>0</v>
      </c>
      <c r="AP175" s="345"/>
      <c r="AQ175" s="1597"/>
      <c r="AR175" s="1579"/>
      <c r="AS175" s="1579">
        <f>IF(YEAR('3 pr-2'!$AK175)=2017,$AP175,0)</f>
        <v>0</v>
      </c>
      <c r="AT175" s="1579">
        <f>IF(YEAR('3 pr-2'!$AK175)=2018,$AP175,0)</f>
        <v>0</v>
      </c>
      <c r="AU175" s="1579">
        <f>IF(YEAR('3 pr-2'!$AK175)=2019,$AP175,0)</f>
        <v>0</v>
      </c>
      <c r="AV175" s="1579">
        <f>IF(YEAR('3 pr-2'!$AK175)=2020,$AP175,0)</f>
        <v>0</v>
      </c>
      <c r="AW175" s="1579">
        <f>IF(YEAR('3 pr-2'!$AK175)=2021,$AP175,0)</f>
        <v>0</v>
      </c>
      <c r="AX175" s="1579">
        <f>IF(YEAR('3 pr-2'!$AK175)=2022,$AP175,0)</f>
        <v>0</v>
      </c>
      <c r="AY175" s="1579">
        <f>IF(YEAR('3 pr-2'!$AK175)=2023,$AP175,0)</f>
        <v>0</v>
      </c>
      <c r="AZ175" s="345" t="s">
        <v>540</v>
      </c>
      <c r="BA175" s="547" t="s">
        <v>558</v>
      </c>
      <c r="BB175" s="345"/>
      <c r="BC175" s="345"/>
      <c r="BD175" s="345"/>
      <c r="BE175" s="345"/>
      <c r="BF175" s="345"/>
      <c r="BG175" s="345"/>
      <c r="BH175" s="345"/>
      <c r="BI175" s="895">
        <f t="shared" ref="BI175" si="755">SUM(BB175:BH175)</f>
        <v>0</v>
      </c>
      <c r="BJ175" s="345">
        <v>30</v>
      </c>
      <c r="BK175" s="1597"/>
      <c r="BL175" s="1579"/>
      <c r="BM175" s="1579">
        <f>IF(YEAR('3 pr-2'!$AK175)=2017,$BJ175,0)</f>
        <v>0</v>
      </c>
      <c r="BN175" s="1579">
        <f>IF(YEAR('3 pr-2'!$AK175)=2018,$BJ175,0)</f>
        <v>0</v>
      </c>
      <c r="BO175" s="1579">
        <f>IF(YEAR('3 pr-2'!$AK175)=2019,$BJ175,0)</f>
        <v>0</v>
      </c>
      <c r="BP175" s="1579">
        <f>IF(YEAR('3 pr-2'!$AK175)=2020,$BJ175,0)</f>
        <v>0</v>
      </c>
      <c r="BQ175" s="1579">
        <f>IF(YEAR('3 pr-2'!$AK175)=2021,$BJ175,0)</f>
        <v>0</v>
      </c>
      <c r="BR175" s="1579">
        <f>IF(YEAR('3 pr-2'!$AK175)=2022,$BJ175,0)</f>
        <v>30</v>
      </c>
      <c r="BS175" s="1579">
        <f>IF(YEAR('3 pr-2'!$AK175)=2023,$BJ175,0)</f>
        <v>0</v>
      </c>
      <c r="BT175" s="350"/>
      <c r="BU175" s="537"/>
      <c r="BV175" s="345"/>
      <c r="BW175" s="345"/>
      <c r="BX175" s="345"/>
      <c r="BY175" s="345"/>
      <c r="BZ175" s="345"/>
      <c r="CA175" s="345"/>
      <c r="CB175" s="345"/>
      <c r="CC175" s="895">
        <f t="shared" si="742"/>
        <v>0</v>
      </c>
      <c r="CD175" s="345"/>
      <c r="CE175" s="1579"/>
      <c r="CF175" s="1579"/>
      <c r="CG175" s="1579">
        <f>IF(YEAR('3 pr-2'!$AK175)=2017,$CD175,0)</f>
        <v>0</v>
      </c>
      <c r="CH175" s="1579">
        <f>IF(YEAR('3 pr-2'!$AK175)=2018,$CD175,0)</f>
        <v>0</v>
      </c>
      <c r="CI175" s="1579">
        <f>IF(YEAR('3 pr-2'!$AK175)=2019,$CD175,0)</f>
        <v>0</v>
      </c>
      <c r="CJ175" s="1579">
        <f>IF(YEAR('3 pr-2'!$AK175)=2020,$CD175,0)</f>
        <v>0</v>
      </c>
      <c r="CK175" s="1579">
        <f>IF(YEAR('3 pr-2'!$AK175)=2021,$CD175,0)</f>
        <v>0</v>
      </c>
      <c r="CL175" s="1579">
        <f>IF(YEAR('3 pr-2'!$AK175)=2022,$CD175,0)</f>
        <v>0</v>
      </c>
      <c r="CM175" s="1579">
        <f>IF(YEAR('3 pr-2'!$AK175)=2023,$CD175,0)</f>
        <v>0</v>
      </c>
      <c r="CN175" s="350" t="s">
        <v>543</v>
      </c>
      <c r="CO175" s="538" t="s">
        <v>544</v>
      </c>
      <c r="CP175" s="345"/>
      <c r="CQ175" s="345"/>
      <c r="CR175" s="345"/>
      <c r="CS175" s="345"/>
      <c r="CT175" s="345"/>
      <c r="CU175" s="345"/>
      <c r="CV175" s="345"/>
      <c r="CW175" s="895">
        <f t="shared" si="750"/>
        <v>0</v>
      </c>
      <c r="CX175" s="351">
        <v>1</v>
      </c>
      <c r="CY175" s="1605"/>
      <c r="CZ175" s="1605"/>
      <c r="DA175" s="1594">
        <f>IF(YEAR('3 pr-2'!AK175)=2017,CX175,0)</f>
        <v>0</v>
      </c>
      <c r="DB175" s="1594">
        <f>IF(YEAR('3 pr-2'!AK175)=2018,CX175,0)</f>
        <v>0</v>
      </c>
      <c r="DC175" s="1594">
        <f>IF(YEAR('3 pr-2'!AK175)=2019,CX175,0)</f>
        <v>0</v>
      </c>
      <c r="DD175" s="1594">
        <f>IF(YEAR('3 pr-2'!AK175)=2020,CX175,0)</f>
        <v>0</v>
      </c>
      <c r="DE175" s="1594">
        <f>IF(YEAR('3 pr-2'!AK175)=2021,CX175,0)</f>
        <v>0</v>
      </c>
      <c r="DF175" s="1594">
        <f>IF(YEAR('3 pr-2'!AK175)=2022,CX175,0)</f>
        <v>1</v>
      </c>
      <c r="DG175" s="1594">
        <f>IF(YEAR('3 pr-2'!AK175)=2023,CX175,0)</f>
        <v>0</v>
      </c>
      <c r="DH175" s="350"/>
      <c r="DI175" s="538"/>
      <c r="DJ175" s="345"/>
      <c r="DK175" s="345"/>
      <c r="DL175" s="345"/>
      <c r="DM175" s="345"/>
      <c r="DN175" s="345"/>
      <c r="DO175" s="345"/>
      <c r="DP175" s="345"/>
      <c r="DQ175" s="895"/>
      <c r="DR175" s="351"/>
      <c r="DS175" s="1605"/>
      <c r="DT175" s="1605"/>
      <c r="DU175" s="1594"/>
      <c r="DV175" s="1594"/>
      <c r="DW175" s="1594"/>
      <c r="DX175" s="1594"/>
      <c r="DY175" s="1594"/>
      <c r="DZ175" s="1594"/>
      <c r="EA175" s="1594"/>
      <c r="EB175" s="350"/>
      <c r="EC175" s="538"/>
      <c r="ED175" s="333"/>
      <c r="EE175" s="1605"/>
      <c r="EF175" s="1605"/>
      <c r="EG175" s="1594">
        <f>IF(YEAR('3 pr-2'!BP175)=2017,ED175,0)</f>
        <v>0</v>
      </c>
      <c r="EH175" s="1594">
        <f>IF(YEAR('3 pr-2'!BP175)=2018,ED175,0)</f>
        <v>0</v>
      </c>
      <c r="EI175" s="1594">
        <f>IF(YEAR('3 pr-2'!BP175)=2019,ED175,0)</f>
        <v>0</v>
      </c>
      <c r="EJ175" s="1594">
        <f>IF(YEAR('3 pr-2'!BP175)=2020,ED175,0)</f>
        <v>0</v>
      </c>
      <c r="EK175" s="1594">
        <f>IF(YEAR('3 pr-2'!BP175)=2021,ED175,0)</f>
        <v>0</v>
      </c>
      <c r="EL175" s="1594">
        <f>IF(YEAR('3 pr-2'!BP175)=2022,ED175,0)</f>
        <v>0</v>
      </c>
      <c r="EM175" s="1594">
        <f>IF(YEAR('3 pr-2'!BP175)=2023,ED175,0)</f>
        <v>0</v>
      </c>
    </row>
    <row r="176" spans="1:143" ht="49.5" thickTop="1" thickBot="1" x14ac:dyDescent="0.3">
      <c r="A176" s="345" t="str">
        <f>CONCATENATE('3 pr-2'!A176)</f>
        <v>3.1.2.1.3</v>
      </c>
      <c r="B176" s="345" t="str">
        <f>CONCATENATE('3 pr-2'!B176)</f>
        <v>R01-0019-380000-3213</v>
      </c>
      <c r="C176" s="1321" t="str">
        <f>CONCATENATE('ketv. 2'!B175)</f>
        <v>05.5.1-APVA-R-019-11-0001</v>
      </c>
      <c r="D176" s="312" t="str">
        <f>CONCATENATE('3 pr-2'!D176)</f>
        <v>Bešeimininkių apleistų pastatų ir įrenginių tvarkymas Alytaus rajono savivaldybėje</v>
      </c>
      <c r="E176" s="312" t="str">
        <f>CONCATENATE('3 pr-2'!E176)</f>
        <v>Alytaus rajono savivaldybės administracija</v>
      </c>
      <c r="F176" s="312" t="str">
        <f>CONCATENATE('3 pr-2'!F176)</f>
        <v>Lietuvos Respublikos aplinkos ministerija</v>
      </c>
      <c r="G176" s="312" t="str">
        <f>CONCATENATE('3 pr-2'!G176)</f>
        <v>Alytaus r. sav.</v>
      </c>
      <c r="H176" s="345" t="str">
        <f>CONCATENATE('3 pr-2'!H176)</f>
        <v>05.5.1-APVA-R-019</v>
      </c>
      <c r="I176" s="345" t="str">
        <f>CONCATENATE('3 pr-2'!I176)</f>
        <v>R</v>
      </c>
      <c r="J176" s="345" t="str">
        <f>CONCATENATE('3 pr-2'!J176)</f>
        <v/>
      </c>
      <c r="K176" s="345" t="str">
        <f>CONCATENATE('3 pr-2'!K176)</f>
        <v/>
      </c>
      <c r="L176" s="345" t="s">
        <v>538</v>
      </c>
      <c r="M176" s="537" t="s">
        <v>539</v>
      </c>
      <c r="N176" s="345"/>
      <c r="O176" s="345">
        <v>2.4</v>
      </c>
      <c r="P176" s="345"/>
      <c r="Q176" s="345"/>
      <c r="R176" s="345"/>
      <c r="S176" s="345"/>
      <c r="T176" s="345"/>
      <c r="U176" s="893">
        <f t="shared" si="753"/>
        <v>2.4</v>
      </c>
      <c r="V176" s="345">
        <v>3.6</v>
      </c>
      <c r="W176" s="1578" t="str">
        <f ca="1">IF('ketv. 6 '!L175&gt;0,"3,6",0)</f>
        <v>3,6</v>
      </c>
      <c r="X176" s="1579">
        <f ca="1">SUM(W176-V176)</f>
        <v>0</v>
      </c>
      <c r="Y176" s="1579">
        <f>IF(YEAR('3 pr-2'!$AK176)=2017,$V176,0)</f>
        <v>0</v>
      </c>
      <c r="Z176" s="1579">
        <f>IF(YEAR('3 pr-2'!$AK176)=2018,$V176,0)</f>
        <v>3.6</v>
      </c>
      <c r="AA176" s="1579">
        <f>IF(YEAR('3 pr-2'!$AK176)=2019,$V176,0)</f>
        <v>0</v>
      </c>
      <c r="AB176" s="1579">
        <f>IF(YEAR('3 pr-2'!$AK176)=2020,$V176,0)</f>
        <v>0</v>
      </c>
      <c r="AC176" s="1579">
        <f>IF(YEAR('3 pr-2'!$AK176)=2021,$V176,0)</f>
        <v>0</v>
      </c>
      <c r="AD176" s="1579">
        <f>IF(YEAR('3 pr-2'!$AK176)=2022,$V176,0)</f>
        <v>0</v>
      </c>
      <c r="AE176" s="1579">
        <f>IF(YEAR('3 pr-2'!$AK176)=2023,$V176,0)</f>
        <v>0</v>
      </c>
      <c r="AF176" s="350"/>
      <c r="AG176" s="537"/>
      <c r="AH176" s="345"/>
      <c r="AI176" s="345"/>
      <c r="AJ176" s="345"/>
      <c r="AK176" s="345"/>
      <c r="AL176" s="345"/>
      <c r="AM176" s="345"/>
      <c r="AN176" s="345"/>
      <c r="AO176" s="895">
        <f t="shared" si="732"/>
        <v>0</v>
      </c>
      <c r="AP176" s="345"/>
      <c r="AQ176" s="1597"/>
      <c r="AR176" s="1579"/>
      <c r="AS176" s="1579">
        <f>IF(YEAR('3 pr-2'!$AK176)=2017,$AP176,0)</f>
        <v>0</v>
      </c>
      <c r="AT176" s="1579">
        <f>IF(YEAR('3 pr-2'!$AK176)=2018,$AP176,0)</f>
        <v>0</v>
      </c>
      <c r="AU176" s="1579">
        <f>IF(YEAR('3 pr-2'!$AK176)=2019,$AP176,0)</f>
        <v>0</v>
      </c>
      <c r="AV176" s="1579">
        <f>IF(YEAR('3 pr-2'!$AK176)=2020,$AP176,0)</f>
        <v>0</v>
      </c>
      <c r="AW176" s="1579">
        <f>IF(YEAR('3 pr-2'!$AK176)=2021,$AP176,0)</f>
        <v>0</v>
      </c>
      <c r="AX176" s="1579">
        <f>IF(YEAR('3 pr-2'!$AK176)=2022,$AP176,0)</f>
        <v>0</v>
      </c>
      <c r="AY176" s="1579">
        <f>IF(YEAR('3 pr-2'!$AK176)=2023,$AP176,0)</f>
        <v>0</v>
      </c>
      <c r="AZ176" s="345" t="s">
        <v>540</v>
      </c>
      <c r="BA176" s="536" t="s">
        <v>558</v>
      </c>
      <c r="BB176" s="345"/>
      <c r="BC176" s="345">
        <v>5</v>
      </c>
      <c r="BD176" s="345"/>
      <c r="BE176" s="345"/>
      <c r="BF176" s="345"/>
      <c r="BG176" s="345"/>
      <c r="BH176" s="345"/>
      <c r="BI176" s="895">
        <f t="shared" si="754"/>
        <v>5</v>
      </c>
      <c r="BJ176" s="345">
        <v>11</v>
      </c>
      <c r="BK176" s="1597">
        <v>11</v>
      </c>
      <c r="BL176" s="1579">
        <f>SUM(BK176-BJ176)</f>
        <v>0</v>
      </c>
      <c r="BM176" s="1579">
        <f>IF(YEAR('3 pr-2'!$AK176)=2017,$BJ176,0)</f>
        <v>0</v>
      </c>
      <c r="BN176" s="1579">
        <f>IF(YEAR('3 pr-2'!$AK176)=2018,$BJ176,0)</f>
        <v>11</v>
      </c>
      <c r="BO176" s="1579">
        <f>IF(YEAR('3 pr-2'!$AK176)=2019,$BJ176,0)</f>
        <v>0</v>
      </c>
      <c r="BP176" s="1579">
        <f>IF(YEAR('3 pr-2'!$AK176)=2020,$BJ176,0)</f>
        <v>0</v>
      </c>
      <c r="BQ176" s="1579">
        <f>IF(YEAR('3 pr-2'!$AK176)=2021,$BJ176,0)</f>
        <v>0</v>
      </c>
      <c r="BR176" s="1579">
        <f>IF(YEAR('3 pr-2'!$AK176)=2022,$BJ176,0)</f>
        <v>0</v>
      </c>
      <c r="BS176" s="1579">
        <f>IF(YEAR('3 pr-2'!$AK176)=2023,$BJ176,0)</f>
        <v>0</v>
      </c>
      <c r="BT176" s="350"/>
      <c r="BU176" s="537"/>
      <c r="BV176" s="345"/>
      <c r="BW176" s="345"/>
      <c r="BX176" s="345"/>
      <c r="BY176" s="345"/>
      <c r="BZ176" s="345"/>
      <c r="CA176" s="345"/>
      <c r="CB176" s="345"/>
      <c r="CC176" s="895">
        <f t="shared" si="742"/>
        <v>0</v>
      </c>
      <c r="CD176" s="345"/>
      <c r="CE176" s="1579"/>
      <c r="CF176" s="1579"/>
      <c r="CG176" s="1579">
        <f>IF(YEAR('3 pr-2'!$AK176)=2017,$CD176,0)</f>
        <v>0</v>
      </c>
      <c r="CH176" s="1579">
        <f>IF(YEAR('3 pr-2'!$AK176)=2018,$CD176,0)</f>
        <v>0</v>
      </c>
      <c r="CI176" s="1579">
        <f>IF(YEAR('3 pr-2'!$AK176)=2019,$CD176,0)</f>
        <v>0</v>
      </c>
      <c r="CJ176" s="1579">
        <f>IF(YEAR('3 pr-2'!$AK176)=2020,$CD176,0)</f>
        <v>0</v>
      </c>
      <c r="CK176" s="1579">
        <f>IF(YEAR('3 pr-2'!$AK176)=2021,$CD176,0)</f>
        <v>0</v>
      </c>
      <c r="CL176" s="1579">
        <f>IF(YEAR('3 pr-2'!$AK176)=2022,$CD176,0)</f>
        <v>0</v>
      </c>
      <c r="CM176" s="1579">
        <f>IF(YEAR('3 pr-2'!$AK176)=2023,$CD176,0)</f>
        <v>0</v>
      </c>
      <c r="CN176" s="350"/>
      <c r="CO176" s="538"/>
      <c r="CP176" s="345"/>
      <c r="CQ176" s="345"/>
      <c r="CR176" s="345"/>
      <c r="CS176" s="345"/>
      <c r="CT176" s="345"/>
      <c r="CU176" s="345"/>
      <c r="CV176" s="345"/>
      <c r="CW176" s="895">
        <f t="shared" si="750"/>
        <v>0</v>
      </c>
      <c r="CX176" s="351"/>
      <c r="CY176" s="1605"/>
      <c r="CZ176" s="1605"/>
      <c r="DA176" s="1594">
        <f>IF(YEAR('3 pr-2'!AK176)=2017,CX176,0)</f>
        <v>0</v>
      </c>
      <c r="DB176" s="1594">
        <f>IF(YEAR('3 pr-2'!AK176)=2018,CX176,0)</f>
        <v>0</v>
      </c>
      <c r="DC176" s="1594">
        <f>IF(YEAR('3 pr-2'!AK176)=2019,CX176,0)</f>
        <v>0</v>
      </c>
      <c r="DD176" s="1594">
        <f>IF(YEAR('3 pr-2'!AK176)=2020,CX176,0)</f>
        <v>0</v>
      </c>
      <c r="DE176" s="1594">
        <f>IF(YEAR('3 pr-2'!AK176)=2021,CX176,0)</f>
        <v>0</v>
      </c>
      <c r="DF176" s="1594">
        <f>IF(YEAR('3 pr-2'!AK176)=2022,CX176,0)</f>
        <v>0</v>
      </c>
      <c r="DG176" s="1594">
        <f>IF(YEAR('3 pr-2'!AK176)=2023,CX176,0)</f>
        <v>0</v>
      </c>
      <c r="DH176" s="350"/>
      <c r="DI176" s="538"/>
      <c r="DJ176" s="345"/>
      <c r="DK176" s="345"/>
      <c r="DL176" s="345"/>
      <c r="DM176" s="345"/>
      <c r="DN176" s="345"/>
      <c r="DO176" s="345"/>
      <c r="DP176" s="345"/>
      <c r="DQ176" s="895"/>
      <c r="DR176" s="351"/>
      <c r="DS176" s="1605"/>
      <c r="DT176" s="1605"/>
      <c r="DU176" s="1594"/>
      <c r="DV176" s="1594"/>
      <c r="DW176" s="1594"/>
      <c r="DX176" s="1594"/>
      <c r="DY176" s="1594"/>
      <c r="DZ176" s="1594"/>
      <c r="EA176" s="1594"/>
      <c r="EB176" s="350"/>
      <c r="EC176" s="538"/>
      <c r="ED176" s="333"/>
      <c r="EE176" s="1605"/>
      <c r="EF176" s="1605"/>
      <c r="EG176" s="1594">
        <f>IF(YEAR('3 pr-2'!BP176)=2017,ED176,0)</f>
        <v>0</v>
      </c>
      <c r="EH176" s="1594">
        <f>IF(YEAR('3 pr-2'!BP176)=2018,ED176,0)</f>
        <v>0</v>
      </c>
      <c r="EI176" s="1594">
        <f>IF(YEAR('3 pr-2'!BP176)=2019,ED176,0)</f>
        <v>0</v>
      </c>
      <c r="EJ176" s="1594">
        <f>IF(YEAR('3 pr-2'!BP176)=2020,ED176,0)</f>
        <v>0</v>
      </c>
      <c r="EK176" s="1594">
        <f>IF(YEAR('3 pr-2'!BP176)=2021,ED176,0)</f>
        <v>0</v>
      </c>
      <c r="EL176" s="1594">
        <f>IF(YEAR('3 pr-2'!BP176)=2022,ED176,0)</f>
        <v>0</v>
      </c>
      <c r="EM176" s="1594">
        <f>IF(YEAR('3 pr-2'!BP176)=2023,ED176,0)</f>
        <v>0</v>
      </c>
    </row>
    <row r="177" spans="1:143" ht="73.5" thickTop="1" thickBot="1" x14ac:dyDescent="0.3">
      <c r="A177" s="345" t="str">
        <f>CONCATENATE('3 pr-2'!A177)</f>
        <v>3.1.2.1.4</v>
      </c>
      <c r="B177" s="345" t="str">
        <f>CONCATENATE('3 pr-2'!B177)</f>
        <v>R01-0019-380000-3214</v>
      </c>
      <c r="C177" s="1321" t="str">
        <f>CONCATENATE('ketv. 2'!B176)</f>
        <v>05.5.1-APVA-R-019-11-0004</v>
      </c>
      <c r="D177" s="312" t="str">
        <f>CONCATENATE('3 pr-2'!D177)</f>
        <v>Alytaus miesto bendrojo plano korektūra zonuojant kraštovaizdžio struktūrą, nustatant reglamentus ir principus</v>
      </c>
      <c r="E177" s="312" t="str">
        <f>CONCATENATE('3 pr-2'!E177)</f>
        <v>Alytaus miesto savivaldybės administracija</v>
      </c>
      <c r="F177" s="312" t="str">
        <f>CONCATENATE('3 pr-2'!F177)</f>
        <v>Lietuvos Respublikos aplinkos ministerija</v>
      </c>
      <c r="G177" s="312" t="str">
        <f>CONCATENATE('3 pr-2'!G177)</f>
        <v>Alytaus m. sav.</v>
      </c>
      <c r="H177" s="345" t="str">
        <f>CONCATENATE('3 pr-2'!H177)</f>
        <v>05.5.1-APVA-R-019</v>
      </c>
      <c r="I177" s="345" t="str">
        <f>CONCATENATE('3 pr-2'!I177)</f>
        <v>R</v>
      </c>
      <c r="J177" s="345" t="str">
        <f>CONCATENATE('3 pr-2'!J177)</f>
        <v/>
      </c>
      <c r="K177" s="345" t="str">
        <f>CONCATENATE('3 pr-2'!K177)</f>
        <v>-</v>
      </c>
      <c r="L177" s="345"/>
      <c r="M177" s="537"/>
      <c r="N177" s="345"/>
      <c r="O177" s="345"/>
      <c r="P177" s="345"/>
      <c r="Q177" s="345"/>
      <c r="R177" s="345"/>
      <c r="S177" s="345"/>
      <c r="T177" s="345"/>
      <c r="U177" s="893">
        <f t="shared" si="753"/>
        <v>0</v>
      </c>
      <c r="V177" s="345"/>
      <c r="W177" s="1578"/>
      <c r="X177" s="1579"/>
      <c r="Y177" s="1579">
        <f>IF(YEAR('3 pr-2'!$AK177)=2017,$V177,0)</f>
        <v>0</v>
      </c>
      <c r="Z177" s="1579">
        <f>IF(YEAR('3 pr-2'!$AK177)=2018,$V177,0)</f>
        <v>0</v>
      </c>
      <c r="AA177" s="1579">
        <f>IF(YEAR('3 pr-2'!$AK177)=2019,$V177,0)</f>
        <v>0</v>
      </c>
      <c r="AB177" s="1579">
        <f>IF(YEAR('3 pr-2'!$AK177)=2020,$V177,0)</f>
        <v>0</v>
      </c>
      <c r="AC177" s="1579">
        <f>IF(YEAR('3 pr-2'!$AK177)=2021,$V177,0)</f>
        <v>0</v>
      </c>
      <c r="AD177" s="1579">
        <f>IF(YEAR('3 pr-2'!$AK177)=2022,$V177,0)</f>
        <v>0</v>
      </c>
      <c r="AE177" s="1579">
        <f>IF(YEAR('3 pr-2'!$AK177)=2023,$V177,0)</f>
        <v>0</v>
      </c>
      <c r="AF177" s="350" t="s">
        <v>545</v>
      </c>
      <c r="AG177" s="537" t="s">
        <v>546</v>
      </c>
      <c r="AH177" s="345"/>
      <c r="AI177" s="345"/>
      <c r="AJ177" s="345"/>
      <c r="AK177" s="345"/>
      <c r="AL177" s="345"/>
      <c r="AM177" s="345"/>
      <c r="AN177" s="345"/>
      <c r="AO177" s="895">
        <f t="shared" si="732"/>
        <v>0</v>
      </c>
      <c r="AP177" s="345">
        <v>1</v>
      </c>
      <c r="AQ177" s="1597">
        <v>1</v>
      </c>
      <c r="AR177" s="1579">
        <f>SUM(AQ177-AP177)</f>
        <v>0</v>
      </c>
      <c r="AS177" s="1579">
        <f>IF(YEAR('3 pr-2'!$AK177)=2017,$AP177,0)</f>
        <v>0</v>
      </c>
      <c r="AT177" s="1579">
        <f>IF(YEAR('3 pr-2'!$AK177)=2018,$AP177,0)</f>
        <v>1</v>
      </c>
      <c r="AU177" s="1579">
        <f>IF(YEAR('3 pr-2'!$AK177)=2019,$AP177,0)</f>
        <v>0</v>
      </c>
      <c r="AV177" s="1579">
        <f>IF(YEAR('3 pr-2'!$AK177)=2020,$AP177,0)</f>
        <v>0</v>
      </c>
      <c r="AW177" s="1579">
        <f>IF(YEAR('3 pr-2'!$AK177)=2021,$AP177,0)</f>
        <v>0</v>
      </c>
      <c r="AX177" s="1579">
        <f>IF(YEAR('3 pr-2'!$AK177)=2022,$AP177,0)</f>
        <v>0</v>
      </c>
      <c r="AY177" s="1579">
        <f>IF(YEAR('3 pr-2'!$AK177)=2023,$AP177,0)</f>
        <v>0</v>
      </c>
      <c r="AZ177" s="345"/>
      <c r="BA177" s="536"/>
      <c r="BB177" s="345"/>
      <c r="BC177" s="345"/>
      <c r="BD177" s="345"/>
      <c r="BE177" s="345"/>
      <c r="BF177" s="345"/>
      <c r="BG177" s="345"/>
      <c r="BH177" s="345"/>
      <c r="BI177" s="895">
        <f t="shared" si="754"/>
        <v>0</v>
      </c>
      <c r="BJ177" s="345"/>
      <c r="BK177" s="1597"/>
      <c r="BL177" s="1579"/>
      <c r="BM177" s="1579">
        <f>IF(YEAR('3 pr-2'!$AK177)=2017,$BJ177,0)</f>
        <v>0</v>
      </c>
      <c r="BN177" s="1579">
        <f>IF(YEAR('3 pr-2'!$AK177)=2018,$BJ177,0)</f>
        <v>0</v>
      </c>
      <c r="BO177" s="1579">
        <f>IF(YEAR('3 pr-2'!$AK177)=2019,$BJ177,0)</f>
        <v>0</v>
      </c>
      <c r="BP177" s="1579">
        <f>IF(YEAR('3 pr-2'!$AK177)=2020,$BJ177,0)</f>
        <v>0</v>
      </c>
      <c r="BQ177" s="1579">
        <f>IF(YEAR('3 pr-2'!$AK177)=2021,$BJ177,0)</f>
        <v>0</v>
      </c>
      <c r="BR177" s="1579">
        <f>IF(YEAR('3 pr-2'!$AK177)=2022,$BJ177,0)</f>
        <v>0</v>
      </c>
      <c r="BS177" s="1579">
        <f>IF(YEAR('3 pr-2'!$AK177)=2023,$BJ177,0)</f>
        <v>0</v>
      </c>
      <c r="BT177" s="350"/>
      <c r="BU177" s="537"/>
      <c r="BV177" s="345"/>
      <c r="BW177" s="345"/>
      <c r="BX177" s="345"/>
      <c r="BY177" s="345"/>
      <c r="BZ177" s="345"/>
      <c r="CA177" s="345"/>
      <c r="CB177" s="345"/>
      <c r="CC177" s="895">
        <f t="shared" si="742"/>
        <v>0</v>
      </c>
      <c r="CD177" s="345"/>
      <c r="CE177" s="1579"/>
      <c r="CF177" s="1579"/>
      <c r="CG177" s="1579">
        <f>IF(YEAR('3 pr-2'!$AK177)=2017,$CD177,0)</f>
        <v>0</v>
      </c>
      <c r="CH177" s="1579">
        <f>IF(YEAR('3 pr-2'!$AK177)=2018,$CD177,0)</f>
        <v>0</v>
      </c>
      <c r="CI177" s="1579">
        <f>IF(YEAR('3 pr-2'!$AK177)=2019,$CD177,0)</f>
        <v>0</v>
      </c>
      <c r="CJ177" s="1579">
        <f>IF(YEAR('3 pr-2'!$AK177)=2020,$CD177,0)</f>
        <v>0</v>
      </c>
      <c r="CK177" s="1579">
        <f>IF(YEAR('3 pr-2'!$AK177)=2021,$CD177,0)</f>
        <v>0</v>
      </c>
      <c r="CL177" s="1579">
        <f>IF(YEAR('3 pr-2'!$AK177)=2022,$CD177,0)</f>
        <v>0</v>
      </c>
      <c r="CM177" s="1579">
        <f>IF(YEAR('3 pr-2'!$AK177)=2023,$CD177,0)</f>
        <v>0</v>
      </c>
      <c r="CN177" s="350"/>
      <c r="CO177" s="538"/>
      <c r="CP177" s="345"/>
      <c r="CQ177" s="345"/>
      <c r="CR177" s="345"/>
      <c r="CS177" s="345"/>
      <c r="CT177" s="345"/>
      <c r="CU177" s="345"/>
      <c r="CV177" s="345"/>
      <c r="CW177" s="895">
        <f t="shared" si="750"/>
        <v>0</v>
      </c>
      <c r="CX177" s="351"/>
      <c r="CY177" s="1605"/>
      <c r="CZ177" s="1605"/>
      <c r="DA177" s="1594">
        <f>IF(YEAR('3 pr-2'!AK177)=2017,CX177,0)</f>
        <v>0</v>
      </c>
      <c r="DB177" s="1594">
        <f>IF(YEAR('3 pr-2'!AK177)=2018,CX177,0)</f>
        <v>0</v>
      </c>
      <c r="DC177" s="1594">
        <f>IF(YEAR('3 pr-2'!AK177)=2019,CX177,0)</f>
        <v>0</v>
      </c>
      <c r="DD177" s="1594">
        <f>IF(YEAR('3 pr-2'!AK177)=2020,CX177,0)</f>
        <v>0</v>
      </c>
      <c r="DE177" s="1594">
        <f>IF(YEAR('3 pr-2'!AK177)=2021,CX177,0)</f>
        <v>0</v>
      </c>
      <c r="DF177" s="1594">
        <f>IF(YEAR('3 pr-2'!AK177)=2022,CX177,0)</f>
        <v>0</v>
      </c>
      <c r="DG177" s="1594">
        <f>IF(YEAR('3 pr-2'!AK177)=2023,CX177,0)</f>
        <v>0</v>
      </c>
      <c r="DH177" s="350"/>
      <c r="DI177" s="538"/>
      <c r="DJ177" s="345"/>
      <c r="DK177" s="345"/>
      <c r="DL177" s="345"/>
      <c r="DM177" s="345"/>
      <c r="DN177" s="345"/>
      <c r="DO177" s="345"/>
      <c r="DP177" s="345"/>
      <c r="DQ177" s="895"/>
      <c r="DR177" s="351"/>
      <c r="DS177" s="1605"/>
      <c r="DT177" s="1605"/>
      <c r="DU177" s="1594"/>
      <c r="DV177" s="1594"/>
      <c r="DW177" s="1594"/>
      <c r="DX177" s="1594"/>
      <c r="DY177" s="1594"/>
      <c r="DZ177" s="1594"/>
      <c r="EA177" s="1594"/>
      <c r="EB177" s="350"/>
      <c r="EC177" s="538"/>
      <c r="ED177" s="333"/>
      <c r="EE177" s="1605"/>
      <c r="EF177" s="1605"/>
      <c r="EG177" s="1594">
        <f>IF(YEAR('3 pr-2'!BP177)=2017,ED177,0)</f>
        <v>0</v>
      </c>
      <c r="EH177" s="1594">
        <f>IF(YEAR('3 pr-2'!BP177)=2018,ED177,0)</f>
        <v>0</v>
      </c>
      <c r="EI177" s="1594">
        <f>IF(YEAR('3 pr-2'!BP177)=2019,ED177,0)</f>
        <v>0</v>
      </c>
      <c r="EJ177" s="1594">
        <f>IF(YEAR('3 pr-2'!BP177)=2020,ED177,0)</f>
        <v>0</v>
      </c>
      <c r="EK177" s="1594">
        <f>IF(YEAR('3 pr-2'!BP177)=2021,ED177,0)</f>
        <v>0</v>
      </c>
      <c r="EL177" s="1594">
        <f>IF(YEAR('3 pr-2'!BP177)=2022,ED177,0)</f>
        <v>0</v>
      </c>
      <c r="EM177" s="1594">
        <f>IF(YEAR('3 pr-2'!BP177)=2023,ED177,0)</f>
        <v>0</v>
      </c>
    </row>
    <row r="178" spans="1:143" ht="49.5" thickTop="1" thickBot="1" x14ac:dyDescent="0.3">
      <c r="A178" s="345" t="str">
        <f>CONCATENATE('3 pr-2'!A178)</f>
        <v>3.1.2.1.5</v>
      </c>
      <c r="B178" s="345" t="str">
        <f>CONCATENATE('3 pr-2'!B178)</f>
        <v>R01-0019-380000-3215</v>
      </c>
      <c r="C178" s="1321" t="str">
        <f>CONCATENATE('ketv. 2'!B177)</f>
        <v>05.5.1-APVA-R-019-11-0005</v>
      </c>
      <c r="D178" s="312" t="str">
        <f>CONCATENATE('3 pr-2'!D178)</f>
        <v>Bešeimininkių apleistų pastatų Druskininkų savivaldybės teritorijoje likvidavimas</v>
      </c>
      <c r="E178" s="312" t="str">
        <f>CONCATENATE('3 pr-2'!E178)</f>
        <v>Druskininkų savivaldybės administracija</v>
      </c>
      <c r="F178" s="312" t="str">
        <f>CONCATENATE('3 pr-2'!F178)</f>
        <v>Lietuvos Respublikos aplinkos ministerija</v>
      </c>
      <c r="G178" s="312" t="str">
        <f>CONCATENATE('3 pr-2'!G178)</f>
        <v>Druskininkų sav.</v>
      </c>
      <c r="H178" s="345" t="str">
        <f>CONCATENATE('3 pr-2'!H178)</f>
        <v>05.5.1-APVA-R-019</v>
      </c>
      <c r="I178" s="345" t="str">
        <f>CONCATENATE('3 pr-2'!I178)</f>
        <v>R</v>
      </c>
      <c r="J178" s="345" t="str">
        <f>CONCATENATE('3 pr-2'!J178)</f>
        <v>-</v>
      </c>
      <c r="K178" s="345" t="str">
        <f>CONCATENATE('3 pr-2'!K178)</f>
        <v>-</v>
      </c>
      <c r="L178" s="345" t="s">
        <v>538</v>
      </c>
      <c r="M178" s="537" t="s">
        <v>539</v>
      </c>
      <c r="N178" s="345"/>
      <c r="O178" s="345">
        <v>0.73</v>
      </c>
      <c r="P178" s="345"/>
      <c r="Q178" s="345"/>
      <c r="R178" s="345"/>
      <c r="S178" s="345"/>
      <c r="T178" s="345"/>
      <c r="U178" s="893">
        <f t="shared" si="753"/>
        <v>0.73</v>
      </c>
      <c r="V178" s="345">
        <v>1.29</v>
      </c>
      <c r="W178" s="1578" t="str">
        <f ca="1">IF('ketv. 6 '!L177&gt;0,"1,29",0)</f>
        <v>1,29</v>
      </c>
      <c r="X178" s="1579">
        <f ca="1">SUM(W178-V178)</f>
        <v>0</v>
      </c>
      <c r="Y178" s="1579">
        <f>IF(YEAR('3 pr-2'!$AK178)=2017,$V178,0)</f>
        <v>0</v>
      </c>
      <c r="Z178" s="1579">
        <f>IF(YEAR('3 pr-2'!$AK178)=2018,$V178,0)</f>
        <v>1.29</v>
      </c>
      <c r="AA178" s="1579">
        <f>IF(YEAR('3 pr-2'!$AK178)=2019,$V178,0)</f>
        <v>0</v>
      </c>
      <c r="AB178" s="1579">
        <f>IF(YEAR('3 pr-2'!$AK178)=2020,$V178,0)</f>
        <v>0</v>
      </c>
      <c r="AC178" s="1579">
        <f>IF(YEAR('3 pr-2'!$AK178)=2021,$V178,0)</f>
        <v>0</v>
      </c>
      <c r="AD178" s="1579">
        <f>IF(YEAR('3 pr-2'!$AK178)=2022,$V178,0)</f>
        <v>0</v>
      </c>
      <c r="AE178" s="1579">
        <f>IF(YEAR('3 pr-2'!$AK178)=2023,$V178,0)</f>
        <v>0</v>
      </c>
      <c r="AF178" s="350"/>
      <c r="AG178" s="537"/>
      <c r="AH178" s="345"/>
      <c r="AI178" s="345"/>
      <c r="AJ178" s="345"/>
      <c r="AK178" s="345"/>
      <c r="AL178" s="345"/>
      <c r="AM178" s="345"/>
      <c r="AN178" s="345"/>
      <c r="AO178" s="895">
        <f t="shared" si="732"/>
        <v>0</v>
      </c>
      <c r="AP178" s="345"/>
      <c r="AQ178" s="1597"/>
      <c r="AR178" s="1579"/>
      <c r="AS178" s="1579">
        <f>IF(YEAR('3 pr-2'!$AK178)=2017,$AP178,0)</f>
        <v>0</v>
      </c>
      <c r="AT178" s="1579">
        <f>IF(YEAR('3 pr-2'!$AK178)=2018,$AP178,0)</f>
        <v>0</v>
      </c>
      <c r="AU178" s="1579">
        <f>IF(YEAR('3 pr-2'!$AK178)=2019,$AP178,0)</f>
        <v>0</v>
      </c>
      <c r="AV178" s="1579">
        <f>IF(YEAR('3 pr-2'!$AK178)=2020,$AP178,0)</f>
        <v>0</v>
      </c>
      <c r="AW178" s="1579">
        <f>IF(YEAR('3 pr-2'!$AK178)=2021,$AP178,0)</f>
        <v>0</v>
      </c>
      <c r="AX178" s="1579">
        <f>IF(YEAR('3 pr-2'!$AK178)=2022,$AP178,0)</f>
        <v>0</v>
      </c>
      <c r="AY178" s="1579">
        <f>IF(YEAR('3 pr-2'!$AK178)=2023,$AP178,0)</f>
        <v>0</v>
      </c>
      <c r="AZ178" s="345" t="s">
        <v>540</v>
      </c>
      <c r="BA178" s="536" t="s">
        <v>558</v>
      </c>
      <c r="BB178" s="345"/>
      <c r="BC178" s="345">
        <v>12</v>
      </c>
      <c r="BD178" s="345"/>
      <c r="BE178" s="345"/>
      <c r="BF178" s="345"/>
      <c r="BG178" s="345"/>
      <c r="BH178" s="345"/>
      <c r="BI178" s="895">
        <f t="shared" si="754"/>
        <v>12</v>
      </c>
      <c r="BJ178" s="345">
        <v>12</v>
      </c>
      <c r="BK178" s="1597">
        <v>12</v>
      </c>
      <c r="BL178" s="1579">
        <f>SUM(BK178-BJ178)</f>
        <v>0</v>
      </c>
      <c r="BM178" s="1579">
        <f>IF(YEAR('3 pr-2'!$AK178)=2017,$BJ178,0)</f>
        <v>0</v>
      </c>
      <c r="BN178" s="1579">
        <f>IF(YEAR('3 pr-2'!$AK178)=2018,$BJ178,0)</f>
        <v>12</v>
      </c>
      <c r="BO178" s="1579">
        <f>IF(YEAR('3 pr-2'!$AK178)=2019,$BJ178,0)</f>
        <v>0</v>
      </c>
      <c r="BP178" s="1579">
        <f>IF(YEAR('3 pr-2'!$AK178)=2020,$BJ178,0)</f>
        <v>0</v>
      </c>
      <c r="BQ178" s="1579">
        <f>IF(YEAR('3 pr-2'!$AK178)=2021,$BJ178,0)</f>
        <v>0</v>
      </c>
      <c r="BR178" s="1579">
        <f>IF(YEAR('3 pr-2'!$AK178)=2022,$BJ178,0)</f>
        <v>0</v>
      </c>
      <c r="BS178" s="1579">
        <f>IF(YEAR('3 pr-2'!$AK178)=2023,$BJ178,0)</f>
        <v>0</v>
      </c>
      <c r="BT178" s="350"/>
      <c r="BU178" s="537"/>
      <c r="BV178" s="345"/>
      <c r="BW178" s="345"/>
      <c r="BX178" s="345"/>
      <c r="BY178" s="345"/>
      <c r="BZ178" s="345"/>
      <c r="CA178" s="345"/>
      <c r="CB178" s="345"/>
      <c r="CC178" s="895">
        <f t="shared" si="742"/>
        <v>0</v>
      </c>
      <c r="CD178" s="345"/>
      <c r="CE178" s="1579"/>
      <c r="CF178" s="1579"/>
      <c r="CG178" s="1579">
        <f>IF(YEAR('3 pr-2'!$AK178)=2017,$CD178,0)</f>
        <v>0</v>
      </c>
      <c r="CH178" s="1579">
        <f>IF(YEAR('3 pr-2'!$AK178)=2018,$CD178,0)</f>
        <v>0</v>
      </c>
      <c r="CI178" s="1579">
        <f>IF(YEAR('3 pr-2'!$AK178)=2019,$CD178,0)</f>
        <v>0</v>
      </c>
      <c r="CJ178" s="1579">
        <f>IF(YEAR('3 pr-2'!$AK178)=2020,$CD178,0)</f>
        <v>0</v>
      </c>
      <c r="CK178" s="1579">
        <f>IF(YEAR('3 pr-2'!$AK178)=2021,$CD178,0)</f>
        <v>0</v>
      </c>
      <c r="CL178" s="1579">
        <f>IF(YEAR('3 pr-2'!$AK178)=2022,$CD178,0)</f>
        <v>0</v>
      </c>
      <c r="CM178" s="1579">
        <f>IF(YEAR('3 pr-2'!$AK178)=2023,$CD178,0)</f>
        <v>0</v>
      </c>
      <c r="CN178" s="350"/>
      <c r="CO178" s="538"/>
      <c r="CP178" s="345"/>
      <c r="CQ178" s="345"/>
      <c r="CR178" s="345"/>
      <c r="CS178" s="345"/>
      <c r="CT178" s="345"/>
      <c r="CU178" s="345"/>
      <c r="CV178" s="345"/>
      <c r="CW178" s="895">
        <f t="shared" si="750"/>
        <v>0</v>
      </c>
      <c r="CX178" s="351"/>
      <c r="CY178" s="1605"/>
      <c r="CZ178" s="1605"/>
      <c r="DA178" s="1594">
        <f>IF(YEAR('3 pr-2'!AK178)=2017,CX178,0)</f>
        <v>0</v>
      </c>
      <c r="DB178" s="1594">
        <f>IF(YEAR('3 pr-2'!AK178)=2018,CX178,0)</f>
        <v>0</v>
      </c>
      <c r="DC178" s="1594">
        <f>IF(YEAR('3 pr-2'!AK178)=2019,CX178,0)</f>
        <v>0</v>
      </c>
      <c r="DD178" s="1594">
        <f>IF(YEAR('3 pr-2'!AK178)=2020,CX178,0)</f>
        <v>0</v>
      </c>
      <c r="DE178" s="1594">
        <f>IF(YEAR('3 pr-2'!AK178)=2021,CX178,0)</f>
        <v>0</v>
      </c>
      <c r="DF178" s="1594">
        <f>IF(YEAR('3 pr-2'!AK178)=2022,CX178,0)</f>
        <v>0</v>
      </c>
      <c r="DG178" s="1594">
        <f>IF(YEAR('3 pr-2'!AK178)=2023,CX178,0)</f>
        <v>0</v>
      </c>
      <c r="DH178" s="350"/>
      <c r="DI178" s="538"/>
      <c r="DJ178" s="345"/>
      <c r="DK178" s="345"/>
      <c r="DL178" s="345"/>
      <c r="DM178" s="345"/>
      <c r="DN178" s="345"/>
      <c r="DO178" s="345"/>
      <c r="DP178" s="345"/>
      <c r="DQ178" s="895"/>
      <c r="DR178" s="351"/>
      <c r="DS178" s="1605"/>
      <c r="DT178" s="1605"/>
      <c r="DU178" s="1594"/>
      <c r="DV178" s="1594"/>
      <c r="DW178" s="1594"/>
      <c r="DX178" s="1594"/>
      <c r="DY178" s="1594"/>
      <c r="DZ178" s="1594"/>
      <c r="EA178" s="1594"/>
      <c r="EB178" s="350"/>
      <c r="EC178" s="538"/>
      <c r="ED178" s="333"/>
      <c r="EE178" s="1605"/>
      <c r="EF178" s="1605"/>
      <c r="EG178" s="1594">
        <f>IF(YEAR('3 pr-2'!BP178)=2017,ED178,0)</f>
        <v>0</v>
      </c>
      <c r="EH178" s="1594">
        <f>IF(YEAR('3 pr-2'!BP178)=2018,ED178,0)</f>
        <v>0</v>
      </c>
      <c r="EI178" s="1594">
        <f>IF(YEAR('3 pr-2'!BP178)=2019,ED178,0)</f>
        <v>0</v>
      </c>
      <c r="EJ178" s="1594">
        <f>IF(YEAR('3 pr-2'!BP178)=2020,ED178,0)</f>
        <v>0</v>
      </c>
      <c r="EK178" s="1594">
        <f>IF(YEAR('3 pr-2'!BP178)=2021,ED178,0)</f>
        <v>0</v>
      </c>
      <c r="EL178" s="1594">
        <f>IF(YEAR('3 pr-2'!BP178)=2022,ED178,0)</f>
        <v>0</v>
      </c>
      <c r="EM178" s="1594">
        <f>IF(YEAR('3 pr-2'!BP178)=2023,ED178,0)</f>
        <v>0</v>
      </c>
    </row>
    <row r="179" spans="1:143" ht="54" thickTop="1" thickBot="1" x14ac:dyDescent="0.3">
      <c r="A179" s="345" t="str">
        <f>CONCATENATE('3 pr-2'!A179)</f>
        <v>3.1.2.1.6</v>
      </c>
      <c r="B179" s="345" t="str">
        <f>CONCATENATE('3 pr-2'!B179)</f>
        <v>R01-0019-380000-3216</v>
      </c>
      <c r="C179" s="1321" t="str">
        <f>CONCATENATE('ketv. 2'!B178)</f>
        <v>05.5.1-APVA-R-019-11-0003</v>
      </c>
      <c r="D179" s="312" t="str">
        <f>CONCATENATE('3 pr-2'!D179)</f>
        <v>Kraštovaizdžio formavimas Lazdijų rajono savivaldybėje</v>
      </c>
      <c r="E179" s="312" t="str">
        <f>CONCATENATE('3 pr-2'!E179)</f>
        <v>Lazdijų rajono savivaldybės administracija</v>
      </c>
      <c r="F179" s="312" t="str">
        <f>CONCATENATE('3 pr-2'!F179)</f>
        <v>Lietuvos Respublikos aplinkos ministerija</v>
      </c>
      <c r="G179" s="312" t="str">
        <f>CONCATENATE('3 pr-2'!G179)</f>
        <v>Lazdijų r. sav.</v>
      </c>
      <c r="H179" s="345" t="str">
        <f>CONCATENATE('3 pr-2'!H179)</f>
        <v>05.5.1-APVA-R-019</v>
      </c>
      <c r="I179" s="345" t="str">
        <f>CONCATENATE('3 pr-2'!I179)</f>
        <v>R</v>
      </c>
      <c r="J179" s="345" t="str">
        <f>CONCATENATE('3 pr-2'!J179)</f>
        <v>-</v>
      </c>
      <c r="K179" s="345" t="str">
        <f>CONCATENATE('3 pr-2'!K179)</f>
        <v>-</v>
      </c>
      <c r="L179" s="345" t="s">
        <v>538</v>
      </c>
      <c r="M179" s="537" t="s">
        <v>547</v>
      </c>
      <c r="N179" s="345"/>
      <c r="O179" s="345">
        <v>1.95</v>
      </c>
      <c r="P179" s="345"/>
      <c r="Q179" s="345"/>
      <c r="R179" s="345"/>
      <c r="S179" s="345"/>
      <c r="T179" s="345"/>
      <c r="U179" s="893">
        <f t="shared" si="753"/>
        <v>1.95</v>
      </c>
      <c r="V179" s="345">
        <v>30.78</v>
      </c>
      <c r="W179" s="1578" t="str">
        <f ca="1">IF('ketv. 6 '!L178&gt;0,"30,78",0)</f>
        <v>30,78</v>
      </c>
      <c r="X179" s="1579">
        <f ca="1">SUM(W179-V179)</f>
        <v>0</v>
      </c>
      <c r="Y179" s="1579">
        <f>IF(YEAR('3 pr-2'!$AK179)=2017,$V179,0)</f>
        <v>0</v>
      </c>
      <c r="Z179" s="1579">
        <f>IF(YEAR('3 pr-2'!$AK179)=2018,$V179,0)</f>
        <v>30.78</v>
      </c>
      <c r="AA179" s="1579">
        <f>IF(YEAR('3 pr-2'!$AK179)=2019,$V179,0)</f>
        <v>0</v>
      </c>
      <c r="AB179" s="1579">
        <f>IF(YEAR('3 pr-2'!$AK179)=2020,$V179,0)</f>
        <v>0</v>
      </c>
      <c r="AC179" s="1579">
        <f>IF(YEAR('3 pr-2'!$AK179)=2021,$V179,0)</f>
        <v>0</v>
      </c>
      <c r="AD179" s="1579">
        <f>IF(YEAR('3 pr-2'!$AK179)=2022,$V179,0)</f>
        <v>0</v>
      </c>
      <c r="AE179" s="1579">
        <f>IF(YEAR('3 pr-2'!$AK179)=2023,$V179,0)</f>
        <v>0</v>
      </c>
      <c r="AF179" s="350"/>
      <c r="AG179" s="537"/>
      <c r="AH179" s="345"/>
      <c r="AI179" s="345"/>
      <c r="AJ179" s="345"/>
      <c r="AK179" s="345"/>
      <c r="AL179" s="345"/>
      <c r="AM179" s="345"/>
      <c r="AN179" s="345"/>
      <c r="AO179" s="895">
        <f t="shared" si="732"/>
        <v>0</v>
      </c>
      <c r="AP179" s="345"/>
      <c r="AQ179" s="1597"/>
      <c r="AR179" s="1579"/>
      <c r="AS179" s="1579">
        <f>IF(YEAR('3 pr-2'!$AK179)=2017,$AP179,0)</f>
        <v>0</v>
      </c>
      <c r="AT179" s="1579">
        <f>IF(YEAR('3 pr-2'!$AK179)=2018,$AP179,0)</f>
        <v>0</v>
      </c>
      <c r="AU179" s="1579">
        <f>IF(YEAR('3 pr-2'!$AK179)=2019,$AP179,0)</f>
        <v>0</v>
      </c>
      <c r="AV179" s="1579">
        <f>IF(YEAR('3 pr-2'!$AK179)=2020,$AP179,0)</f>
        <v>0</v>
      </c>
      <c r="AW179" s="1579">
        <f>IF(YEAR('3 pr-2'!$AK179)=2021,$AP179,0)</f>
        <v>0</v>
      </c>
      <c r="AX179" s="1579">
        <f>IF(YEAR('3 pr-2'!$AK179)=2022,$AP179,0)</f>
        <v>0</v>
      </c>
      <c r="AY179" s="1579">
        <f>IF(YEAR('3 pr-2'!$AK179)=2023,$AP179,0)</f>
        <v>0</v>
      </c>
      <c r="AZ179" s="345" t="s">
        <v>540</v>
      </c>
      <c r="BA179" s="536" t="s">
        <v>558</v>
      </c>
      <c r="BB179" s="345"/>
      <c r="BC179" s="345">
        <v>11</v>
      </c>
      <c r="BD179" s="345"/>
      <c r="BE179" s="345"/>
      <c r="BF179" s="345"/>
      <c r="BG179" s="345"/>
      <c r="BH179" s="345"/>
      <c r="BI179" s="895">
        <f t="shared" si="754"/>
        <v>11</v>
      </c>
      <c r="BJ179" s="345">
        <v>12</v>
      </c>
      <c r="BK179" s="1597">
        <v>12</v>
      </c>
      <c r="BL179" s="1579">
        <f>SUM(BK179-BJ179)</f>
        <v>0</v>
      </c>
      <c r="BM179" s="1579">
        <f>IF(YEAR('3 pr-2'!$AK179)=2017,$BJ179,0)</f>
        <v>0</v>
      </c>
      <c r="BN179" s="1579">
        <f>IF(YEAR('3 pr-2'!$AK179)=2018,$BJ179,0)</f>
        <v>12</v>
      </c>
      <c r="BO179" s="1579">
        <f>IF(YEAR('3 pr-2'!$AK179)=2019,$BJ179,0)</f>
        <v>0</v>
      </c>
      <c r="BP179" s="1579">
        <f>IF(YEAR('3 pr-2'!$AK179)=2020,$BJ179,0)</f>
        <v>0</v>
      </c>
      <c r="BQ179" s="1579">
        <f>IF(YEAR('3 pr-2'!$AK179)=2021,$BJ179,0)</f>
        <v>0</v>
      </c>
      <c r="BR179" s="1579">
        <f>IF(YEAR('3 pr-2'!$AK179)=2022,$BJ179,0)</f>
        <v>0</v>
      </c>
      <c r="BS179" s="1579">
        <f>IF(YEAR('3 pr-2'!$AK179)=2023,$BJ179,0)</f>
        <v>0</v>
      </c>
      <c r="BT179" s="350"/>
      <c r="BU179" s="537"/>
      <c r="BV179" s="345"/>
      <c r="BW179" s="345"/>
      <c r="BX179" s="345"/>
      <c r="BY179" s="345"/>
      <c r="BZ179" s="345"/>
      <c r="CA179" s="345"/>
      <c r="CB179" s="345"/>
      <c r="CC179" s="895">
        <f t="shared" si="742"/>
        <v>0</v>
      </c>
      <c r="CD179" s="345"/>
      <c r="CE179" s="1579"/>
      <c r="CF179" s="1579"/>
      <c r="CG179" s="1579">
        <f>IF(YEAR('3 pr-2'!$AK179)=2017,$CD179,0)</f>
        <v>0</v>
      </c>
      <c r="CH179" s="1579">
        <f>IF(YEAR('3 pr-2'!$AK179)=2018,$CD179,0)</f>
        <v>0</v>
      </c>
      <c r="CI179" s="1579">
        <f>IF(YEAR('3 pr-2'!$AK179)=2019,$CD179,0)</f>
        <v>0</v>
      </c>
      <c r="CJ179" s="1579">
        <f>IF(YEAR('3 pr-2'!$AK179)=2020,$CD179,0)</f>
        <v>0</v>
      </c>
      <c r="CK179" s="1579">
        <f>IF(YEAR('3 pr-2'!$AK179)=2021,$CD179,0)</f>
        <v>0</v>
      </c>
      <c r="CL179" s="1579">
        <f>IF(YEAR('3 pr-2'!$AK179)=2022,$CD179,0)</f>
        <v>0</v>
      </c>
      <c r="CM179" s="1579">
        <f>IF(YEAR('3 pr-2'!$AK179)=2023,$CD179,0)</f>
        <v>0</v>
      </c>
      <c r="CN179" s="350" t="s">
        <v>543</v>
      </c>
      <c r="CO179" s="538" t="s">
        <v>544</v>
      </c>
      <c r="CP179" s="345"/>
      <c r="CQ179" s="345"/>
      <c r="CR179" s="345"/>
      <c r="CS179" s="345"/>
      <c r="CT179" s="345"/>
      <c r="CU179" s="345"/>
      <c r="CV179" s="345"/>
      <c r="CW179" s="895">
        <f t="shared" si="750"/>
        <v>0</v>
      </c>
      <c r="CX179" s="351">
        <v>2</v>
      </c>
      <c r="CY179" s="1605">
        <v>2</v>
      </c>
      <c r="CZ179" s="1605">
        <f>SUM(CY179-CX179)</f>
        <v>0</v>
      </c>
      <c r="DA179" s="1594">
        <f>IF(YEAR('3 pr-2'!AK179)=2017,CX179,0)</f>
        <v>0</v>
      </c>
      <c r="DB179" s="1594">
        <f>IF(YEAR('3 pr-2'!AK179)=2018,CX179,0)</f>
        <v>2</v>
      </c>
      <c r="DC179" s="1594">
        <f>IF(YEAR('3 pr-2'!AK179)=2019,CX179,0)</f>
        <v>0</v>
      </c>
      <c r="DD179" s="1594">
        <f>IF(YEAR('3 pr-2'!AK179)=2020,CX179,0)</f>
        <v>0</v>
      </c>
      <c r="DE179" s="1594">
        <f>IF(YEAR('3 pr-2'!AK179)=2021,CX179,0)</f>
        <v>0</v>
      </c>
      <c r="DF179" s="1594">
        <f>IF(YEAR('3 pr-2'!AK179)=2022,CX179,0)</f>
        <v>0</v>
      </c>
      <c r="DG179" s="1594">
        <f>IF(YEAR('3 pr-2'!AK179)=2023,CX179,0)</f>
        <v>0</v>
      </c>
      <c r="DH179" s="350"/>
      <c r="DI179" s="538"/>
      <c r="DJ179" s="345"/>
      <c r="DK179" s="345"/>
      <c r="DL179" s="345"/>
      <c r="DM179" s="345"/>
      <c r="DN179" s="345"/>
      <c r="DO179" s="345"/>
      <c r="DP179" s="345"/>
      <c r="DQ179" s="895"/>
      <c r="DR179" s="351"/>
      <c r="DS179" s="1605"/>
      <c r="DT179" s="1605"/>
      <c r="DU179" s="1594"/>
      <c r="DV179" s="1594"/>
      <c r="DW179" s="1594"/>
      <c r="DX179" s="1594"/>
      <c r="DY179" s="1594"/>
      <c r="DZ179" s="1594"/>
      <c r="EA179" s="1594"/>
      <c r="EB179" s="350"/>
      <c r="EC179" s="538"/>
      <c r="ED179" s="333"/>
      <c r="EE179" s="1605"/>
      <c r="EF179" s="1605"/>
      <c r="EG179" s="1594">
        <f>IF(YEAR('3 pr-2'!BP179)=2017,ED179,0)</f>
        <v>0</v>
      </c>
      <c r="EH179" s="1594">
        <f>IF(YEAR('3 pr-2'!BP179)=2018,ED179,0)</f>
        <v>0</v>
      </c>
      <c r="EI179" s="1594">
        <f>IF(YEAR('3 pr-2'!BP179)=2019,ED179,0)</f>
        <v>0</v>
      </c>
      <c r="EJ179" s="1594">
        <f>IF(YEAR('3 pr-2'!BP179)=2020,ED179,0)</f>
        <v>0</v>
      </c>
      <c r="EK179" s="1594">
        <f>IF(YEAR('3 pr-2'!BP179)=2021,ED179,0)</f>
        <v>0</v>
      </c>
      <c r="EL179" s="1594">
        <f>IF(YEAR('3 pr-2'!BP179)=2022,ED179,0)</f>
        <v>0</v>
      </c>
      <c r="EM179" s="1594">
        <f>IF(YEAR('3 pr-2'!BP179)=2023,ED179,0)</f>
        <v>0</v>
      </c>
    </row>
    <row r="180" spans="1:143" ht="54" thickTop="1" thickBot="1" x14ac:dyDescent="0.3">
      <c r="A180" s="345" t="str">
        <f>CONCATENATE('3 pr-2'!A180)</f>
        <v>3.1.2.1.7</v>
      </c>
      <c r="B180" s="345" t="str">
        <f>CONCATENATE('3 pr-2'!B180)</f>
        <v>R01-0019-283800-3217</v>
      </c>
      <c r="C180" s="1321" t="str">
        <f>CONCATENATE('ketv. 2'!B179)</f>
        <v/>
      </c>
      <c r="D180" s="312" t="str">
        <f>CONCATENATE('3 pr-2'!D180)</f>
        <v>Kraštovaizdžio formavimas Lazdijų rajono savivaldybėje (II etapas)</v>
      </c>
      <c r="E180" s="312" t="str">
        <f>CONCATENATE('3 pr-2'!E180)</f>
        <v>Lazdijų rajono savivaldybės administracija</v>
      </c>
      <c r="F180" s="312" t="str">
        <f>CONCATENATE('3 pr-2'!F180)</f>
        <v>Lietuvos Respublikos aplinkos ministerija</v>
      </c>
      <c r="G180" s="312" t="str">
        <f>CONCATENATE('3 pr-2'!G180)</f>
        <v>Lazdijų r. sav.</v>
      </c>
      <c r="H180" s="345" t="str">
        <f>CONCATENATE('3 pr-2'!H180)</f>
        <v>05.5.1-APVA-R-019</v>
      </c>
      <c r="I180" s="345" t="str">
        <f>CONCATENATE('3 pr-2'!I180)</f>
        <v>R</v>
      </c>
      <c r="J180" s="345" t="str">
        <f>CONCATENATE('3 pr-2'!J180)</f>
        <v>-</v>
      </c>
      <c r="K180" s="345" t="str">
        <f>CONCATENATE('3 pr-2'!K180)</f>
        <v>-</v>
      </c>
      <c r="L180" s="345"/>
      <c r="M180" s="537"/>
      <c r="N180" s="345"/>
      <c r="O180" s="345"/>
      <c r="P180" s="345"/>
      <c r="Q180" s="345"/>
      <c r="R180" s="345"/>
      <c r="S180" s="345"/>
      <c r="T180" s="345"/>
      <c r="U180" s="893">
        <f t="shared" si="753"/>
        <v>0</v>
      </c>
      <c r="V180" s="345"/>
      <c r="W180" s="1578" t="str">
        <f ca="1">IF('ketv. 6 '!L179&gt;0,"taip","nėra")</f>
        <v>nėra</v>
      </c>
      <c r="X180" s="1579"/>
      <c r="Y180" s="1579">
        <f>IF(YEAR('3 pr-2'!$AK180)=2017,$V180,0)</f>
        <v>0</v>
      </c>
      <c r="Z180" s="1579">
        <f>IF(YEAR('3 pr-2'!$AK180)=2018,$V180,0)</f>
        <v>0</v>
      </c>
      <c r="AA180" s="1579">
        <f>IF(YEAR('3 pr-2'!$AK180)=2019,$V180,0)</f>
        <v>0</v>
      </c>
      <c r="AB180" s="1579">
        <f>IF(YEAR('3 pr-2'!$AK180)=2020,$V180,0)</f>
        <v>0</v>
      </c>
      <c r="AC180" s="1579">
        <f>IF(YEAR('3 pr-2'!$AK180)=2021,$V180,0)</f>
        <v>0</v>
      </c>
      <c r="AD180" s="1579">
        <f>IF(YEAR('3 pr-2'!$AK180)=2022,$V180,0)</f>
        <v>0</v>
      </c>
      <c r="AE180" s="1579">
        <f>IF(YEAR('3 pr-2'!$AK180)=2023,$V180,0)</f>
        <v>0</v>
      </c>
      <c r="AF180" s="350" t="s">
        <v>545</v>
      </c>
      <c r="AG180" s="778" t="s">
        <v>548</v>
      </c>
      <c r="AH180" s="345"/>
      <c r="AI180" s="345"/>
      <c r="AJ180" s="345"/>
      <c r="AK180" s="345"/>
      <c r="AL180" s="345"/>
      <c r="AM180" s="345"/>
      <c r="AN180" s="345"/>
      <c r="AO180" s="895">
        <f t="shared" si="732"/>
        <v>0</v>
      </c>
      <c r="AP180" s="345">
        <v>1</v>
      </c>
      <c r="AQ180" s="1597"/>
      <c r="AR180" s="1579"/>
      <c r="AS180" s="1579">
        <f>IF(YEAR('3 pr-2'!$AK180)=2017,$AP180,0)</f>
        <v>0</v>
      </c>
      <c r="AT180" s="1579">
        <f>IF(YEAR('3 pr-2'!$AK180)=2018,$AP180,0)</f>
        <v>0</v>
      </c>
      <c r="AU180" s="1579">
        <f>IF(YEAR('3 pr-2'!$AK180)=2019,$AP180,0)</f>
        <v>0</v>
      </c>
      <c r="AV180" s="1579">
        <f>IF(YEAR('3 pr-2'!$AK180)=2020,$AP180,0)</f>
        <v>0</v>
      </c>
      <c r="AW180" s="1579">
        <f>IF(YEAR('3 pr-2'!$AK180)=2021,$AP180,0)</f>
        <v>1</v>
      </c>
      <c r="AX180" s="1579">
        <f>IF(YEAR('3 pr-2'!$AK180)=2022,$AP180,0)</f>
        <v>0</v>
      </c>
      <c r="AY180" s="1579">
        <f>IF(YEAR('3 pr-2'!$AK180)=2023,$AP180,0)</f>
        <v>0</v>
      </c>
      <c r="AZ180" s="345" t="s">
        <v>540</v>
      </c>
      <c r="BA180" s="547" t="s">
        <v>558</v>
      </c>
      <c r="BB180" s="345"/>
      <c r="BC180" s="345"/>
      <c r="BD180" s="345"/>
      <c r="BE180" s="345"/>
      <c r="BF180" s="345"/>
      <c r="BG180" s="345"/>
      <c r="BH180" s="345"/>
      <c r="BI180" s="895">
        <f t="shared" ref="BI180" si="756">SUM(BB180:BH180)</f>
        <v>0</v>
      </c>
      <c r="BJ180" s="345">
        <v>8</v>
      </c>
      <c r="BK180" s="1597"/>
      <c r="BL180" s="1579"/>
      <c r="BM180" s="1579">
        <f>IF(YEAR('3 pr-2'!$AK180)=2017,$BJ180,0)</f>
        <v>0</v>
      </c>
      <c r="BN180" s="1579">
        <f>IF(YEAR('3 pr-2'!$AK180)=2018,$BJ180,0)</f>
        <v>0</v>
      </c>
      <c r="BO180" s="1579">
        <f>IF(YEAR('3 pr-2'!$AK180)=2019,$BJ180,0)</f>
        <v>0</v>
      </c>
      <c r="BP180" s="1579">
        <f>IF(YEAR('3 pr-2'!$AK180)=2020,$BJ180,0)</f>
        <v>0</v>
      </c>
      <c r="BQ180" s="1579">
        <f>IF(YEAR('3 pr-2'!$AK180)=2021,$BJ180,0)</f>
        <v>8</v>
      </c>
      <c r="BR180" s="1579">
        <f>IF(YEAR('3 pr-2'!$AK180)=2022,$BJ180,0)</f>
        <v>0</v>
      </c>
      <c r="BS180" s="1579">
        <f>IF(YEAR('3 pr-2'!$AK180)=2023,$BJ180,0)</f>
        <v>0</v>
      </c>
      <c r="BT180" s="350"/>
      <c r="BU180" s="778"/>
      <c r="BV180" s="345"/>
      <c r="BW180" s="345"/>
      <c r="BX180" s="345"/>
      <c r="BY180" s="345"/>
      <c r="BZ180" s="345"/>
      <c r="CA180" s="345"/>
      <c r="CB180" s="345"/>
      <c r="CC180" s="895">
        <f t="shared" si="742"/>
        <v>0</v>
      </c>
      <c r="CD180" s="345"/>
      <c r="CE180" s="1579"/>
      <c r="CF180" s="1579"/>
      <c r="CG180" s="1579">
        <f>IF(YEAR('3 pr-2'!$AK180)=2017,$CD180,0)</f>
        <v>0</v>
      </c>
      <c r="CH180" s="1579">
        <f>IF(YEAR('3 pr-2'!$AK180)=2018,$CD180,0)</f>
        <v>0</v>
      </c>
      <c r="CI180" s="1579">
        <f>IF(YEAR('3 pr-2'!$AK180)=2019,$CD180,0)</f>
        <v>0</v>
      </c>
      <c r="CJ180" s="1579">
        <f>IF(YEAR('3 pr-2'!$AK180)=2020,$CD180,0)</f>
        <v>0</v>
      </c>
      <c r="CK180" s="1579">
        <f>IF(YEAR('3 pr-2'!$AK180)=2021,$CD180,0)</f>
        <v>0</v>
      </c>
      <c r="CL180" s="1579">
        <f>IF(YEAR('3 pr-2'!$AK180)=2022,$CD180,0)</f>
        <v>0</v>
      </c>
      <c r="CM180" s="1579">
        <f>IF(YEAR('3 pr-2'!$AK180)=2023,$CD180,0)</f>
        <v>0</v>
      </c>
      <c r="CN180" s="350"/>
      <c r="CO180" s="991"/>
      <c r="CP180" s="345"/>
      <c r="CQ180" s="345"/>
      <c r="CR180" s="345"/>
      <c r="CS180" s="345"/>
      <c r="CT180" s="345"/>
      <c r="CU180" s="345"/>
      <c r="CV180" s="345"/>
      <c r="CW180" s="895">
        <f t="shared" si="750"/>
        <v>0</v>
      </c>
      <c r="CX180" s="351"/>
      <c r="CY180" s="1605"/>
      <c r="CZ180" s="1605"/>
      <c r="DA180" s="1594">
        <f>IF(YEAR('3 pr-2'!AK180)=2017,CX180,0)</f>
        <v>0</v>
      </c>
      <c r="DB180" s="1594">
        <f>IF(YEAR('3 pr-2'!AK180)=2018,CX180,0)</f>
        <v>0</v>
      </c>
      <c r="DC180" s="1594">
        <f>IF(YEAR('3 pr-2'!AK180)=2019,CX180,0)</f>
        <v>0</v>
      </c>
      <c r="DD180" s="1594">
        <f>IF(YEAR('3 pr-2'!AK180)=2020,CX180,0)</f>
        <v>0</v>
      </c>
      <c r="DE180" s="1594">
        <f>IF(YEAR('3 pr-2'!AK180)=2021,CX180,0)</f>
        <v>0</v>
      </c>
      <c r="DF180" s="1594">
        <f>IF(YEAR('3 pr-2'!AK180)=2022,CX180,0)</f>
        <v>0</v>
      </c>
      <c r="DG180" s="1594">
        <f>IF(YEAR('3 pr-2'!AK180)=2023,CX180,0)</f>
        <v>0</v>
      </c>
      <c r="DH180" s="350"/>
      <c r="DI180" s="991"/>
      <c r="DJ180" s="345"/>
      <c r="DK180" s="345"/>
      <c r="DL180" s="345"/>
      <c r="DM180" s="345"/>
      <c r="DN180" s="345"/>
      <c r="DO180" s="345"/>
      <c r="DP180" s="345"/>
      <c r="DQ180" s="895"/>
      <c r="DR180" s="351"/>
      <c r="DS180" s="1605"/>
      <c r="DT180" s="1605"/>
      <c r="DU180" s="1594"/>
      <c r="DV180" s="1594"/>
      <c r="DW180" s="1594"/>
      <c r="DX180" s="1594"/>
      <c r="DY180" s="1594"/>
      <c r="DZ180" s="1594"/>
      <c r="EA180" s="1594"/>
      <c r="EB180" s="350"/>
      <c r="EC180" s="991"/>
      <c r="ED180" s="333"/>
      <c r="EE180" s="1605"/>
      <c r="EF180" s="1605"/>
      <c r="EG180" s="1594">
        <f>IF(YEAR('3 pr-2'!BP180)=2017,ED180,0)</f>
        <v>0</v>
      </c>
      <c r="EH180" s="1594">
        <f>IF(YEAR('3 pr-2'!BP180)=2018,ED180,0)</f>
        <v>0</v>
      </c>
      <c r="EI180" s="1594">
        <f>IF(YEAR('3 pr-2'!BP180)=2019,ED180,0)</f>
        <v>0</v>
      </c>
      <c r="EJ180" s="1594">
        <f>IF(YEAR('3 pr-2'!BP180)=2020,ED180,0)</f>
        <v>0</v>
      </c>
      <c r="EK180" s="1594">
        <f>IF(YEAR('3 pr-2'!BP180)=2021,ED180,0)</f>
        <v>0</v>
      </c>
      <c r="EL180" s="1594">
        <f>IF(YEAR('3 pr-2'!BP180)=2022,ED180,0)</f>
        <v>0</v>
      </c>
      <c r="EM180" s="1594">
        <f>IF(YEAR('3 pr-2'!BP180)=2023,ED180,0)</f>
        <v>0</v>
      </c>
    </row>
    <row r="181" spans="1:143" ht="61.5" thickTop="1" thickBot="1" x14ac:dyDescent="0.3">
      <c r="A181" s="345" t="str">
        <f>CONCATENATE('3 pr-2'!A181)</f>
        <v>3.1.2.1.8</v>
      </c>
      <c r="B181" s="345" t="str">
        <f>CONCATENATE('3 pr-2'!B181)</f>
        <v>R01-0019-380000-3218</v>
      </c>
      <c r="C181" s="1321" t="str">
        <f>CONCATENATE('ketv. 2'!B180)</f>
        <v>05.5.1-APVA-R-019-11-0006</v>
      </c>
      <c r="D181" s="312" t="str">
        <f>CONCATENATE('3 pr-2'!D181)</f>
        <v>Bešeimininkių apleistų pastatų ir įrenginių tvarkymas Alytaus rajono savivaldybėje (II etapas)</v>
      </c>
      <c r="E181" s="312" t="str">
        <f>CONCATENATE('3 pr-2'!E181)</f>
        <v>Alytaus rajono savivaldybės administracija</v>
      </c>
      <c r="F181" s="312" t="str">
        <f>CONCATENATE('3 pr-2'!F181)</f>
        <v>Lietuvos Respublikos aplinkos ministerija</v>
      </c>
      <c r="G181" s="312" t="str">
        <f>CONCATENATE('3 pr-2'!G181)</f>
        <v>Alytaus r. sav.</v>
      </c>
      <c r="H181" s="345" t="str">
        <f>CONCATENATE('3 pr-2'!H181)</f>
        <v>05.5.1-APVA-R-019</v>
      </c>
      <c r="I181" s="345" t="str">
        <f>CONCATENATE('3 pr-2'!I181)</f>
        <v>R</v>
      </c>
      <c r="J181" s="345" t="str">
        <f>CONCATENATE('3 pr-2'!J181)</f>
        <v>-</v>
      </c>
      <c r="K181" s="345" t="str">
        <f>CONCATENATE('3 pr-2'!K181)</f>
        <v>-</v>
      </c>
      <c r="L181" s="345" t="s">
        <v>538</v>
      </c>
      <c r="M181" s="537" t="s">
        <v>539</v>
      </c>
      <c r="N181" s="345"/>
      <c r="O181" s="345"/>
      <c r="P181" s="345"/>
      <c r="Q181" s="345"/>
      <c r="R181" s="345"/>
      <c r="S181" s="345"/>
      <c r="T181" s="345"/>
      <c r="U181" s="893">
        <f t="shared" si="753"/>
        <v>0</v>
      </c>
      <c r="V181" s="1776">
        <v>3.9</v>
      </c>
      <c r="W181" s="1626">
        <v>3.9</v>
      </c>
      <c r="X181" s="1625">
        <f>SUM(W181-V181)</f>
        <v>0</v>
      </c>
      <c r="Y181" s="1579">
        <f>IF(YEAR('3 pr-2'!$AK181)=2017,$V181,0)</f>
        <v>0</v>
      </c>
      <c r="Z181" s="1579">
        <f>IF(YEAR('3 pr-2'!$AK181)=2018,$V181,0)</f>
        <v>0</v>
      </c>
      <c r="AA181" s="1579">
        <f>IF(YEAR('3 pr-2'!$AK181)=2019,$V181,0)</f>
        <v>3.9</v>
      </c>
      <c r="AB181" s="1579">
        <f>IF(YEAR('3 pr-2'!$AK181)=2020,$V181,0)</f>
        <v>0</v>
      </c>
      <c r="AC181" s="1579">
        <f>IF(YEAR('3 pr-2'!$AK181)=2021,$V181,0)</f>
        <v>0</v>
      </c>
      <c r="AD181" s="1579">
        <f>IF(YEAR('3 pr-2'!$AK181)=2022,$V181,0)</f>
        <v>0</v>
      </c>
      <c r="AE181" s="1579">
        <f>IF(YEAR('3 pr-2'!$AK181)=2023,$V181,0)</f>
        <v>0</v>
      </c>
      <c r="AF181" s="350"/>
      <c r="AG181" s="778"/>
      <c r="AH181" s="345"/>
      <c r="AI181" s="345"/>
      <c r="AJ181" s="345"/>
      <c r="AK181" s="345"/>
      <c r="AL181" s="345"/>
      <c r="AM181" s="345"/>
      <c r="AN181" s="345"/>
      <c r="AO181" s="895">
        <f t="shared" si="732"/>
        <v>0</v>
      </c>
      <c r="AP181" s="345"/>
      <c r="AQ181" s="1597"/>
      <c r="AR181" s="1579"/>
      <c r="AS181" s="1579">
        <f>IF(YEAR('3 pr-2'!$AK181)=2017,$AP181,0)</f>
        <v>0</v>
      </c>
      <c r="AT181" s="1579">
        <f>IF(YEAR('3 pr-2'!$AK181)=2018,$AP181,0)</f>
        <v>0</v>
      </c>
      <c r="AU181" s="1579">
        <f>IF(YEAR('3 pr-2'!$AK181)=2019,$AP181,0)</f>
        <v>0</v>
      </c>
      <c r="AV181" s="1579">
        <f>IF(YEAR('3 pr-2'!$AK181)=2020,$AP181,0)</f>
        <v>0</v>
      </c>
      <c r="AW181" s="1579">
        <f>IF(YEAR('3 pr-2'!$AK181)=2021,$AP181,0)</f>
        <v>0</v>
      </c>
      <c r="AX181" s="1579">
        <f>IF(YEAR('3 pr-2'!$AK181)=2022,$AP181,0)</f>
        <v>0</v>
      </c>
      <c r="AY181" s="1579">
        <f>IF(YEAR('3 pr-2'!$AK181)=2023,$AP181,0)</f>
        <v>0</v>
      </c>
      <c r="AZ181" s="345" t="s">
        <v>540</v>
      </c>
      <c r="BA181" s="547" t="s">
        <v>558</v>
      </c>
      <c r="BB181" s="345"/>
      <c r="BC181" s="345"/>
      <c r="BD181" s="345"/>
      <c r="BE181" s="345"/>
      <c r="BF181" s="345"/>
      <c r="BG181" s="345"/>
      <c r="BH181" s="345"/>
      <c r="BI181" s="895">
        <f t="shared" si="754"/>
        <v>0</v>
      </c>
      <c r="BJ181" s="1776">
        <v>25</v>
      </c>
      <c r="BK181" s="1777">
        <v>25</v>
      </c>
      <c r="BL181" s="1625">
        <f>SUM(BK181-BJ181)</f>
        <v>0</v>
      </c>
      <c r="BM181" s="1579">
        <f>IF(YEAR('3 pr-2'!$AK181)=2017,$BJ181,0)</f>
        <v>0</v>
      </c>
      <c r="BN181" s="1579">
        <f>IF(YEAR('3 pr-2'!$AK181)=2018,$BJ181,0)</f>
        <v>0</v>
      </c>
      <c r="BO181" s="1579">
        <f>IF(YEAR('3 pr-2'!$AK181)=2019,$BJ181,0)</f>
        <v>25</v>
      </c>
      <c r="BP181" s="1579">
        <f>IF(YEAR('3 pr-2'!$AK181)=2020,$BJ181,0)</f>
        <v>0</v>
      </c>
      <c r="BQ181" s="1579">
        <f>IF(YEAR('3 pr-2'!$AK181)=2021,$BJ181,0)</f>
        <v>0</v>
      </c>
      <c r="BR181" s="1579">
        <f>IF(YEAR('3 pr-2'!$AK181)=2022,$BJ181,0)</f>
        <v>0</v>
      </c>
      <c r="BS181" s="1579">
        <f>IF(YEAR('3 pr-2'!$AK181)=2023,$BJ181,0)</f>
        <v>0</v>
      </c>
      <c r="BT181" s="350"/>
      <c r="BU181" s="778"/>
      <c r="BV181" s="345"/>
      <c r="BW181" s="345"/>
      <c r="BX181" s="345"/>
      <c r="BY181" s="345"/>
      <c r="BZ181" s="345"/>
      <c r="CA181" s="345"/>
      <c r="CB181" s="345"/>
      <c r="CC181" s="895">
        <f t="shared" si="742"/>
        <v>0</v>
      </c>
      <c r="CD181" s="345"/>
      <c r="CE181" s="1579"/>
      <c r="CF181" s="1579"/>
      <c r="CG181" s="1579">
        <f>IF(YEAR('3 pr-2'!$AK181)=2017,$CD181,0)</f>
        <v>0</v>
      </c>
      <c r="CH181" s="1579">
        <f>IF(YEAR('3 pr-2'!$AK181)=2018,$CD181,0)</f>
        <v>0</v>
      </c>
      <c r="CI181" s="1579">
        <f>IF(YEAR('3 pr-2'!$AK181)=2019,$CD181,0)</f>
        <v>0</v>
      </c>
      <c r="CJ181" s="1579">
        <f>IF(YEAR('3 pr-2'!$AK181)=2020,$CD181,0)</f>
        <v>0</v>
      </c>
      <c r="CK181" s="1579">
        <f>IF(YEAR('3 pr-2'!$AK181)=2021,$CD181,0)</f>
        <v>0</v>
      </c>
      <c r="CL181" s="1579">
        <f>IF(YEAR('3 pr-2'!$AK181)=2022,$CD181,0)</f>
        <v>0</v>
      </c>
      <c r="CM181" s="1579">
        <f>IF(YEAR('3 pr-2'!$AK181)=2023,$CD181,0)</f>
        <v>0</v>
      </c>
      <c r="CN181" s="350"/>
      <c r="CO181" s="991"/>
      <c r="CP181" s="345"/>
      <c r="CQ181" s="345"/>
      <c r="CR181" s="345"/>
      <c r="CS181" s="345"/>
      <c r="CT181" s="345"/>
      <c r="CU181" s="345"/>
      <c r="CV181" s="345"/>
      <c r="CW181" s="895">
        <f t="shared" si="750"/>
        <v>0</v>
      </c>
      <c r="CX181" s="351"/>
      <c r="CY181" s="1605"/>
      <c r="CZ181" s="1605"/>
      <c r="DA181" s="1594">
        <f>IF(YEAR('3 pr-2'!AK181)=2017,CX181,0)</f>
        <v>0</v>
      </c>
      <c r="DB181" s="1594">
        <f>IF(YEAR('3 pr-2'!AK181)=2018,CX181,0)</f>
        <v>0</v>
      </c>
      <c r="DC181" s="1594">
        <f>IF(YEAR('3 pr-2'!AK181)=2019,CX181,0)</f>
        <v>0</v>
      </c>
      <c r="DD181" s="1594">
        <f>IF(YEAR('3 pr-2'!AK181)=2020,CX181,0)</f>
        <v>0</v>
      </c>
      <c r="DE181" s="1594">
        <f>IF(YEAR('3 pr-2'!AK181)=2021,CX181,0)</f>
        <v>0</v>
      </c>
      <c r="DF181" s="1594">
        <f>IF(YEAR('3 pr-2'!AK181)=2022,CX181,0)</f>
        <v>0</v>
      </c>
      <c r="DG181" s="1594">
        <f>IF(YEAR('3 pr-2'!AK181)=2023,CX181,0)</f>
        <v>0</v>
      </c>
      <c r="DH181" s="350"/>
      <c r="DI181" s="991"/>
      <c r="DJ181" s="345"/>
      <c r="DK181" s="345"/>
      <c r="DL181" s="345"/>
      <c r="DM181" s="345"/>
      <c r="DN181" s="345"/>
      <c r="DO181" s="345"/>
      <c r="DP181" s="345"/>
      <c r="DQ181" s="895"/>
      <c r="DR181" s="351"/>
      <c r="DS181" s="1605"/>
      <c r="DT181" s="1605"/>
      <c r="DU181" s="1594"/>
      <c r="DV181" s="1594"/>
      <c r="DW181" s="1594"/>
      <c r="DX181" s="1594"/>
      <c r="DY181" s="1594"/>
      <c r="DZ181" s="1594"/>
      <c r="EA181" s="1594"/>
      <c r="EB181" s="350"/>
      <c r="EC181" s="991"/>
      <c r="ED181" s="333"/>
      <c r="EE181" s="1605"/>
      <c r="EF181" s="1605"/>
      <c r="EG181" s="1594">
        <f>IF(YEAR('3 pr-2'!BP181)=2017,ED181,0)</f>
        <v>0</v>
      </c>
      <c r="EH181" s="1594">
        <f>IF(YEAR('3 pr-2'!BP181)=2018,ED181,0)</f>
        <v>0</v>
      </c>
      <c r="EI181" s="1594">
        <f>IF(YEAR('3 pr-2'!BP181)=2019,ED181,0)</f>
        <v>0</v>
      </c>
      <c r="EJ181" s="1594">
        <f>IF(YEAR('3 pr-2'!BP181)=2020,ED181,0)</f>
        <v>0</v>
      </c>
      <c r="EK181" s="1594">
        <f>IF(YEAR('3 pr-2'!BP181)=2021,ED181,0)</f>
        <v>0</v>
      </c>
      <c r="EL181" s="1594">
        <f>IF(YEAR('3 pr-2'!BP181)=2022,ED181,0)</f>
        <v>0</v>
      </c>
      <c r="EM181" s="1594">
        <f>IF(YEAR('3 pr-2'!BP181)=2023,ED181,0)</f>
        <v>0</v>
      </c>
    </row>
    <row r="182" spans="1:143" ht="60.75" thickBot="1" x14ac:dyDescent="0.3">
      <c r="A182" s="345" t="str">
        <f>CONCATENATE('3 pr-2'!A182)</f>
        <v>3.1.2.1.9</v>
      </c>
      <c r="B182" s="345" t="str">
        <f>CONCATENATE('3 pr-2'!B182)</f>
        <v>R01-0019-380000-3219</v>
      </c>
      <c r="C182" s="345" t="str">
        <f>CONCATENATE('ketv. 2'!B182)</f>
        <v/>
      </c>
      <c r="D182" s="312" t="str">
        <f>CONCATENATE('3 pr-2'!D182)</f>
        <v>Etaloninio kraštovaizdžio formavimas Druskininkų savivaldybės pasienyje</v>
      </c>
      <c r="E182" s="312" t="str">
        <f>CONCATENATE('3 pr-2'!E182)</f>
        <v>Druskininkų savivaldybės administracija</v>
      </c>
      <c r="F182" s="312" t="str">
        <f>CONCATENATE('3 pr-2'!F182)</f>
        <v>Lietuvos Respublikos aplinkos ministerija</v>
      </c>
      <c r="G182" s="312" t="str">
        <f>CONCATENATE('3 pr-2'!G182)</f>
        <v>Druskininkų sav.</v>
      </c>
      <c r="H182" s="345" t="str">
        <f>CONCATENATE('3 pr-2'!H182)</f>
        <v>05.5.1-APVA-R-019</v>
      </c>
      <c r="I182" s="345" t="str">
        <f>CONCATENATE('3 pr-2'!I182)</f>
        <v>R</v>
      </c>
      <c r="J182" s="345" t="str">
        <f>CONCATENATE('3 pr-2'!J182)</f>
        <v>-</v>
      </c>
      <c r="K182" s="345" t="str">
        <f>CONCATENATE('3 pr-2'!K182)</f>
        <v>-</v>
      </c>
      <c r="L182" s="345"/>
      <c r="M182" s="537"/>
      <c r="N182" s="345"/>
      <c r="O182" s="345"/>
      <c r="P182" s="345"/>
      <c r="Q182" s="345"/>
      <c r="R182" s="345"/>
      <c r="S182" s="345"/>
      <c r="T182" s="345"/>
      <c r="U182" s="893">
        <f t="shared" ref="U182" si="757">SUM(N182:T182)</f>
        <v>0</v>
      </c>
      <c r="V182" s="345"/>
      <c r="W182" s="1578" t="str">
        <f ca="1">IF('ketv. 6 '!L181&gt;0,"taip","nėra")</f>
        <v>nėra</v>
      </c>
      <c r="X182" s="1579"/>
      <c r="Y182" s="1579">
        <f>IF(YEAR('3 pr-2'!$AK182)=2017,$V182,0)</f>
        <v>0</v>
      </c>
      <c r="Z182" s="1579">
        <f>IF(YEAR('3 pr-2'!$AK182)=2018,$V182,0)</f>
        <v>0</v>
      </c>
      <c r="AA182" s="1579">
        <f>IF(YEAR('3 pr-2'!$AK182)=2019,$V182,0)</f>
        <v>0</v>
      </c>
      <c r="AB182" s="1579">
        <f>IF(YEAR('3 pr-2'!$AK182)=2020,$V182,0)</f>
        <v>0</v>
      </c>
      <c r="AC182" s="1579">
        <f>IF(YEAR('3 pr-2'!$AK182)=2021,$V182,0)</f>
        <v>0</v>
      </c>
      <c r="AD182" s="1579">
        <f>IF(YEAR('3 pr-2'!$AK182)=2022,$V182,0)</f>
        <v>0</v>
      </c>
      <c r="AE182" s="1579">
        <f>IF(YEAR('3 pr-2'!$AK182)=2023,$V182,0)</f>
        <v>0</v>
      </c>
      <c r="AF182" s="350"/>
      <c r="AG182" s="778"/>
      <c r="AH182" s="345"/>
      <c r="AI182" s="345"/>
      <c r="AJ182" s="345"/>
      <c r="AK182" s="345"/>
      <c r="AL182" s="345"/>
      <c r="AM182" s="345"/>
      <c r="AN182" s="345"/>
      <c r="AO182" s="895">
        <f t="shared" ref="AO182" si="758">SUM(AH182:AN182)</f>
        <v>0</v>
      </c>
      <c r="AP182" s="345"/>
      <c r="AQ182" s="1597"/>
      <c r="AR182" s="1579"/>
      <c r="AS182" s="1579">
        <f>IF(YEAR('3 pr-2'!$AK182)=2017,$AP182,0)</f>
        <v>0</v>
      </c>
      <c r="AT182" s="1579">
        <f>IF(YEAR('3 pr-2'!$AK182)=2018,$AP182,0)</f>
        <v>0</v>
      </c>
      <c r="AU182" s="1579">
        <f>IF(YEAR('3 pr-2'!$AK182)=2019,$AP182,0)</f>
        <v>0</v>
      </c>
      <c r="AV182" s="1579">
        <f>IF(YEAR('3 pr-2'!$AK182)=2020,$AP182,0)</f>
        <v>0</v>
      </c>
      <c r="AW182" s="1579">
        <f>IF(YEAR('3 pr-2'!$AK182)=2021,$AP182,0)</f>
        <v>0</v>
      </c>
      <c r="AX182" s="1579">
        <f>IF(YEAR('3 pr-2'!$AK182)=2022,$AP182,0)</f>
        <v>0</v>
      </c>
      <c r="AY182" s="1579">
        <f>IF(YEAR('3 pr-2'!$AK182)=2023,$AP182,0)</f>
        <v>0</v>
      </c>
      <c r="AZ182" s="345"/>
      <c r="BA182" s="547"/>
      <c r="BB182" s="345"/>
      <c r="BC182" s="345"/>
      <c r="BD182" s="345"/>
      <c r="BE182" s="345"/>
      <c r="BF182" s="345"/>
      <c r="BG182" s="345"/>
      <c r="BH182" s="345"/>
      <c r="BI182" s="895">
        <f t="shared" ref="BI182" si="759">SUM(BB182:BH182)</f>
        <v>0</v>
      </c>
      <c r="BJ182" s="345"/>
      <c r="BK182" s="1597"/>
      <c r="BL182" s="1579"/>
      <c r="BM182" s="1579">
        <f>IF(YEAR('3 pr-2'!$AK182)=2017,$BJ182,0)</f>
        <v>0</v>
      </c>
      <c r="BN182" s="1579">
        <f>IF(YEAR('3 pr-2'!$AK182)=2018,$BJ182,0)</f>
        <v>0</v>
      </c>
      <c r="BO182" s="1579">
        <f>IF(YEAR('3 pr-2'!$AK182)=2019,$BJ182,0)</f>
        <v>0</v>
      </c>
      <c r="BP182" s="1579">
        <f>IF(YEAR('3 pr-2'!$AK182)=2020,$BJ182,0)</f>
        <v>0</v>
      </c>
      <c r="BQ182" s="1579">
        <f>IF(YEAR('3 pr-2'!$AK182)=2021,$BJ182,0)</f>
        <v>0</v>
      </c>
      <c r="BR182" s="1579">
        <f>IF(YEAR('3 pr-2'!$AK182)=2022,$BJ182,0)</f>
        <v>0</v>
      </c>
      <c r="BS182" s="1579">
        <f>IF(YEAR('3 pr-2'!$AK182)=2023,$BJ182,0)</f>
        <v>0</v>
      </c>
      <c r="BT182" s="350"/>
      <c r="BU182" s="778"/>
      <c r="BV182" s="345"/>
      <c r="BW182" s="345"/>
      <c r="BX182" s="345"/>
      <c r="BY182" s="345"/>
      <c r="BZ182" s="345"/>
      <c r="CA182" s="345"/>
      <c r="CB182" s="345"/>
      <c r="CC182" s="895">
        <f t="shared" ref="CC182" si="760">SUM(BV182:CB182)</f>
        <v>0</v>
      </c>
      <c r="CD182" s="345"/>
      <c r="CE182" s="1579"/>
      <c r="CF182" s="1579"/>
      <c r="CG182" s="1579">
        <f>IF(YEAR('3 pr-2'!$AK182)=2017,$CD182,0)</f>
        <v>0</v>
      </c>
      <c r="CH182" s="1579">
        <f>IF(YEAR('3 pr-2'!$AK182)=2018,$CD182,0)</f>
        <v>0</v>
      </c>
      <c r="CI182" s="1579">
        <f>IF(YEAR('3 pr-2'!$AK182)=2019,$CD182,0)</f>
        <v>0</v>
      </c>
      <c r="CJ182" s="1579">
        <f>IF(YEAR('3 pr-2'!$AK182)=2020,$CD182,0)</f>
        <v>0</v>
      </c>
      <c r="CK182" s="1579">
        <f>IF(YEAR('3 pr-2'!$AK182)=2021,$CD182,0)</f>
        <v>0</v>
      </c>
      <c r="CL182" s="1579">
        <f>IF(YEAR('3 pr-2'!$AK182)=2022,$CD182,0)</f>
        <v>0</v>
      </c>
      <c r="CM182" s="1579">
        <f>IF(YEAR('3 pr-2'!$AK182)=2023,$CD182,0)</f>
        <v>0</v>
      </c>
      <c r="CN182" s="350" t="s">
        <v>543</v>
      </c>
      <c r="CO182" s="991" t="s">
        <v>544</v>
      </c>
      <c r="CP182" s="345"/>
      <c r="CQ182" s="345"/>
      <c r="CR182" s="345"/>
      <c r="CS182" s="345"/>
      <c r="CT182" s="345"/>
      <c r="CU182" s="345"/>
      <c r="CV182" s="345"/>
      <c r="CW182" s="895">
        <f t="shared" ref="CW182" si="761">SUM(CP182:CV182)</f>
        <v>0</v>
      </c>
      <c r="CX182" s="351">
        <v>1</v>
      </c>
      <c r="CY182" s="1605"/>
      <c r="CZ182" s="1605"/>
      <c r="DA182" s="1594">
        <f>IF(YEAR('3 pr-2'!AK182)=2017,CX182,0)</f>
        <v>0</v>
      </c>
      <c r="DB182" s="1594">
        <f>IF(YEAR('3 pr-2'!AK182)=2018,CX182,0)</f>
        <v>0</v>
      </c>
      <c r="DC182" s="1594">
        <f>IF(YEAR('3 pr-2'!AK182)=2019,CX182,0)</f>
        <v>0</v>
      </c>
      <c r="DD182" s="1594">
        <f>IF(YEAR('3 pr-2'!AK182)=2020,CX182,0)</f>
        <v>1</v>
      </c>
      <c r="DE182" s="1594">
        <f>IF(YEAR('3 pr-2'!AK182)=2021,CX182,0)</f>
        <v>0</v>
      </c>
      <c r="DF182" s="1594">
        <f>IF(YEAR('3 pr-2'!AK182)=2022,CX182,0)</f>
        <v>0</v>
      </c>
      <c r="DG182" s="1594">
        <f>IF(YEAR('3 pr-2'!AK182)=2023,CX182,0)</f>
        <v>0</v>
      </c>
      <c r="DH182" s="350"/>
      <c r="DI182" s="991"/>
      <c r="DJ182" s="345"/>
      <c r="DK182" s="345"/>
      <c r="DL182" s="345"/>
      <c r="DM182" s="345"/>
      <c r="DN182" s="345"/>
      <c r="DO182" s="345"/>
      <c r="DP182" s="345"/>
      <c r="DQ182" s="895"/>
      <c r="DR182" s="351"/>
      <c r="DS182" s="1605"/>
      <c r="DT182" s="1605"/>
      <c r="DU182" s="1594"/>
      <c r="DV182" s="1594"/>
      <c r="DW182" s="1594"/>
      <c r="DX182" s="1594"/>
      <c r="DY182" s="1594"/>
      <c r="DZ182" s="1594"/>
      <c r="EA182" s="1594"/>
      <c r="EB182" s="350"/>
      <c r="EC182" s="991"/>
      <c r="ED182" s="333"/>
      <c r="EE182" s="1605"/>
      <c r="EF182" s="1605"/>
      <c r="EG182" s="1594">
        <f>IF(YEAR('3 pr-2'!BP182)=2017,ED182,0)</f>
        <v>0</v>
      </c>
      <c r="EH182" s="1594">
        <f>IF(YEAR('3 pr-2'!BP182)=2018,ED182,0)</f>
        <v>0</v>
      </c>
      <c r="EI182" s="1594">
        <f>IF(YEAR('3 pr-2'!BP182)=2019,ED182,0)</f>
        <v>0</v>
      </c>
      <c r="EJ182" s="1594">
        <f>IF(YEAR('3 pr-2'!BP182)=2020,ED182,0)</f>
        <v>0</v>
      </c>
      <c r="EK182" s="1594">
        <f>IF(YEAR('3 pr-2'!BP182)=2021,ED182,0)</f>
        <v>0</v>
      </c>
      <c r="EL182" s="1594">
        <f>IF(YEAR('3 pr-2'!BP182)=2022,ED182,0)</f>
        <v>0</v>
      </c>
      <c r="EM182" s="1594">
        <f>IF(YEAR('3 pr-2'!BP182)=2023,ED182,0)</f>
        <v>0</v>
      </c>
    </row>
    <row r="183" spans="1:143" x14ac:dyDescent="0.25">
      <c r="V183" s="96"/>
      <c r="W183" s="96"/>
      <c r="X183" s="96"/>
      <c r="Y183" s="96"/>
    </row>
    <row r="184" spans="1:143" x14ac:dyDescent="0.25">
      <c r="L184" s="356"/>
    </row>
    <row r="185" spans="1:143" x14ac:dyDescent="0.25">
      <c r="V185" s="97"/>
      <c r="W185" s="97"/>
      <c r="X185" s="97"/>
      <c r="Y185" s="97"/>
    </row>
  </sheetData>
  <autoFilter ref="A1:DG894"/>
  <mergeCells count="87">
    <mergeCell ref="EB4:EB5"/>
    <mergeCell ref="DU5:EA5"/>
    <mergeCell ref="EG5:EM5"/>
    <mergeCell ref="DH4:DH5"/>
    <mergeCell ref="DJ4:DQ4"/>
    <mergeCell ref="DR4:DR5"/>
    <mergeCell ref="ED4:ED5"/>
    <mergeCell ref="EE4:EE5"/>
    <mergeCell ref="EF4:EF5"/>
    <mergeCell ref="B141:K141"/>
    <mergeCell ref="B147:K147"/>
    <mergeCell ref="B148:K148"/>
    <mergeCell ref="B154:K154"/>
    <mergeCell ref="B160:K160"/>
    <mergeCell ref="B161:K161"/>
    <mergeCell ref="B168:K168"/>
    <mergeCell ref="B169:K169"/>
    <mergeCell ref="B172:K172"/>
    <mergeCell ref="B173:K173"/>
    <mergeCell ref="B170:K170"/>
    <mergeCell ref="A4:A5"/>
    <mergeCell ref="AF4:AF5"/>
    <mergeCell ref="B121:K121"/>
    <mergeCell ref="B114:K114"/>
    <mergeCell ref="B102:K102"/>
    <mergeCell ref="B108:K108"/>
    <mergeCell ref="B120:K120"/>
    <mergeCell ref="B56:K56"/>
    <mergeCell ref="B62:K62"/>
    <mergeCell ref="B58:K58"/>
    <mergeCell ref="B67:K67"/>
    <mergeCell ref="B74:K74"/>
    <mergeCell ref="B73:K73"/>
    <mergeCell ref="B79:K79"/>
    <mergeCell ref="B86:K86"/>
    <mergeCell ref="B92:K92"/>
    <mergeCell ref="B135:K135"/>
    <mergeCell ref="BB4:BI4"/>
    <mergeCell ref="BV4:CC4"/>
    <mergeCell ref="B33:K33"/>
    <mergeCell ref="B39:K39"/>
    <mergeCell ref="B46:K46"/>
    <mergeCell ref="B50:K50"/>
    <mergeCell ref="B4:B5"/>
    <mergeCell ref="B7:K7"/>
    <mergeCell ref="B8:K8"/>
    <mergeCell ref="B9:K9"/>
    <mergeCell ref="E4:E5"/>
    <mergeCell ref="D4:D5"/>
    <mergeCell ref="B100:K100"/>
    <mergeCell ref="B101:K101"/>
    <mergeCell ref="AS5:AY5"/>
    <mergeCell ref="AZ4:AZ5"/>
    <mergeCell ref="BJ4:BJ5"/>
    <mergeCell ref="N4:U4"/>
    <mergeCell ref="AH4:AO4"/>
    <mergeCell ref="L4:L5"/>
    <mergeCell ref="B6:K6"/>
    <mergeCell ref="W4:W5"/>
    <mergeCell ref="X4:X5"/>
    <mergeCell ref="AQ4:AQ5"/>
    <mergeCell ref="AR4:AR5"/>
    <mergeCell ref="F4:F5"/>
    <mergeCell ref="Y5:AE5"/>
    <mergeCell ref="V4:V5"/>
    <mergeCell ref="J4:J5"/>
    <mergeCell ref="I4:I5"/>
    <mergeCell ref="H4:H5"/>
    <mergeCell ref="G4:G5"/>
    <mergeCell ref="K4:K5"/>
    <mergeCell ref="AP4:AP5"/>
    <mergeCell ref="CY4:CY5"/>
    <mergeCell ref="CZ4:CZ5"/>
    <mergeCell ref="DS4:DS5"/>
    <mergeCell ref="DT4:DT5"/>
    <mergeCell ref="BK4:BK5"/>
    <mergeCell ref="BL4:BL5"/>
    <mergeCell ref="CE4:CE5"/>
    <mergeCell ref="CF4:CF5"/>
    <mergeCell ref="DA5:DG5"/>
    <mergeCell ref="CG5:CM5"/>
    <mergeCell ref="BM5:BS5"/>
    <mergeCell ref="BT4:BT5"/>
    <mergeCell ref="CD4:CD5"/>
    <mergeCell ref="CN4:CN5"/>
    <mergeCell ref="CX4:CX5"/>
    <mergeCell ref="CP4:CW4"/>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showGridLines="0" showRuler="0" topLeftCell="A2" zoomScaleNormal="100" workbookViewId="0">
      <pane ySplit="1650" topLeftCell="A33" activePane="bottomLeft"/>
      <selection activeCell="O14" sqref="O14"/>
      <selection pane="bottomLeft" activeCell="A47" sqref="A47"/>
    </sheetView>
  </sheetViews>
  <sheetFormatPr defaultRowHeight="15.75" x14ac:dyDescent="0.25"/>
  <cols>
    <col min="1" max="1" width="9.140625" style="134"/>
    <col min="2" max="2" width="116.140625" style="134" customWidth="1"/>
    <col min="3" max="3" width="23.85546875" style="134" customWidth="1"/>
    <col min="4" max="4" width="10.28515625" style="170" bestFit="1" customWidth="1"/>
    <col min="5" max="6" width="9.140625" style="170"/>
    <col min="7" max="7" width="10.140625" style="170" customWidth="1"/>
    <col min="8" max="16384" width="9.140625" style="170"/>
  </cols>
  <sheetData>
    <row r="1" spans="1:3" ht="16.5" thickBot="1" x14ac:dyDescent="0.3">
      <c r="A1" s="505" t="s">
        <v>1390</v>
      </c>
    </row>
    <row r="2" spans="1:3" ht="51" thickBot="1" x14ac:dyDescent="0.3">
      <c r="A2" s="506" t="s">
        <v>371</v>
      </c>
      <c r="B2" s="135" t="s">
        <v>1396</v>
      </c>
      <c r="C2" s="507" t="s">
        <v>1397</v>
      </c>
    </row>
    <row r="3" spans="1:3" ht="16.5" thickBot="1" x14ac:dyDescent="0.3">
      <c r="A3" s="136" t="s">
        <v>455</v>
      </c>
      <c r="B3" s="137" t="s">
        <v>456</v>
      </c>
      <c r="C3" s="138">
        <f>SUMIF('3 pr-3'!$L$10:$L$182,A3,'3 pr-3'!$V$10:$V$182)+SUMIF('3 pr-3'!$AF$10:$AF$182,A3,'3 pr-3'!$AP$10:$AP$182)+SUMIF('3 pr-3'!$AZ$10:$AZ$182,A3,'3 pr-3'!$BJ$10:$BJ$182)+SUMIF('3 pr-3'!$BT$10:$BT$182,A3,'3 pr-3'!$CD$10:$CD$182)+SUMIF('3 pr-3'!$CN$10:$CN$182,A3,'3 pr-3'!$CX$10:$CX$182)</f>
        <v>36</v>
      </c>
    </row>
    <row r="4" spans="1:3" ht="32.25" thickBot="1" x14ac:dyDescent="0.3">
      <c r="A4" s="136" t="s">
        <v>457</v>
      </c>
      <c r="B4" s="137" t="s">
        <v>458</v>
      </c>
      <c r="C4" s="138">
        <f>SUMIF('3 pr-3'!$L$10:$L$182,A4,'3 pr-3'!$V$10:$V$182)+SUMIF('3 pr-3'!$AF$10:$AF$182,A4,'3 pr-3'!$AP$10:$AP$182)+SUMIF('3 pr-3'!$AZ$10:$AZ$182,A4,'3 pr-3'!$BJ$10:$BJ$182)+SUMIF('3 pr-3'!$BT$10:$BT$182,A4,'3 pr-3'!$CD$10:$CD$182)+SUMIF('3 pr-3'!$CN$10:$CN$182,A4,'3 pr-3'!$CX$10:$CX$182)</f>
        <v>7557</v>
      </c>
    </row>
    <row r="5" spans="1:3" ht="16.5" thickBot="1" x14ac:dyDescent="0.3">
      <c r="A5" s="136" t="s">
        <v>459</v>
      </c>
      <c r="B5" s="137" t="s">
        <v>460</v>
      </c>
      <c r="C5" s="138">
        <f>SUMIF('3 pr-3'!$L$10:$L$182,A5,'3 pr-3'!$V$10:$V$182)+SUMIF('3 pr-3'!$AF$10:$AF$182,A5,'3 pr-3'!$AP$10:$AP$182)+SUMIF('3 pr-3'!$AZ$10:$AZ$182,A5,'3 pr-3'!$BJ$10:$BJ$182)+SUMIF('3 pr-3'!$BT$10:$BT$182,A5,'3 pr-3'!$CD$10:$CD$182)+SUMIF('3 pr-3'!$CN$10:$CN$182,A5,'3 pr-3'!$CX$10:$CX$182)</f>
        <v>23</v>
      </c>
    </row>
    <row r="6" spans="1:3" ht="32.25" thickBot="1" x14ac:dyDescent="0.3">
      <c r="A6" s="779" t="s">
        <v>1402</v>
      </c>
      <c r="B6" s="780" t="s">
        <v>1403</v>
      </c>
      <c r="C6" s="138">
        <f>SUMIF('3 pr-3'!$L$10:$L$182,A6,'3 pr-3'!$V$10:$V$182)+SUMIF('3 pr-3'!$AF$10:$AF$182,A6,'3 pr-3'!$AP$10:$AP$182)+SUMIF('3 pr-3'!$AZ$10:$AZ$182,A6,'3 pr-3'!$BJ$10:$BJ$182)+SUMIF('3 pr-3'!$BT$10:$BT$182,A6,'3 pr-3'!$CD$10:$CD$182)+SUMIF('3 pr-3'!$CN$10:$CN$182,A6,'3 pr-3'!$CX$10:$CX$182)</f>
        <v>9788</v>
      </c>
    </row>
    <row r="7" spans="1:3" ht="17.25" customHeight="1" thickBot="1" x14ac:dyDescent="0.3">
      <c r="A7" s="136" t="s">
        <v>505</v>
      </c>
      <c r="B7" s="137" t="s">
        <v>578</v>
      </c>
      <c r="C7" s="1315">
        <f>SUMIF('3 pr-3'!$L$10:$L$182,A7,'3 pr-3'!$V$10:$V$182)+SUMIF('3 pr-3'!$AF$10:$AF$182,A7,'3 pr-3'!$AP$10:$AP$182)+SUMIF('3 pr-3'!$AZ$10:$AZ$182,A7,'3 pr-3'!$BJ$10:$BJ$182)+SUMIF('3 pr-3'!$BT$10:$BT$182,A7,'3 pr-3'!$CD$10:$CD$182)+SUMIF('3 pr-3'!$CN$10:$CN$182,A7,'3 pr-3'!$CX$10:$CX$182)</f>
        <v>3.37</v>
      </c>
    </row>
    <row r="8" spans="1:3" ht="16.5" thickBot="1" x14ac:dyDescent="0.3">
      <c r="A8" s="136" t="s">
        <v>513</v>
      </c>
      <c r="B8" s="137" t="s">
        <v>514</v>
      </c>
      <c r="C8" s="138">
        <f>SUMIF('3 pr-3'!$L$10:$L$182,A8,'3 pr-3'!$V$10:$V$182)+SUMIF('3 pr-3'!$AF$10:$AF$182,A8,'3 pr-3'!$AP$10:$AP$182)+SUMIF('3 pr-3'!$AZ$10:$AZ$182,A8,'3 pr-3'!$BJ$10:$BJ$182)+SUMIF('3 pr-3'!$BT$10:$BT$182,A8,'3 pr-3'!$CD$10:$CD$182)+SUMIF('3 pr-3'!$CN$10:$CN$182,A8,'3 pr-3'!$CX$10:$CX$182)</f>
        <v>5996</v>
      </c>
    </row>
    <row r="9" spans="1:3" ht="16.5" thickBot="1" x14ac:dyDescent="0.3">
      <c r="A9" s="136" t="s">
        <v>519</v>
      </c>
      <c r="B9" s="137" t="s">
        <v>520</v>
      </c>
      <c r="C9" s="138">
        <f>SUMIF('3 pr-3'!$L$10:$L$182,A9,'3 pr-3'!$V$10:$V$182)+SUMIF('3 pr-3'!$AF$10:$AF$182,A9,'3 pr-3'!$AP$10:$AP$182)+SUMIF('3 pr-3'!$AZ$10:$AZ$182,A9,'3 pr-3'!$BJ$10:$BJ$182)+SUMIF('3 pr-3'!$BT$10:$BT$182,A9,'3 pr-3'!$CD$10:$CD$182)+SUMIF('3 pr-3'!$CN$10:$CN$182,A9,'3 pr-3'!$CX$10:$CX$182)</f>
        <v>50671</v>
      </c>
    </row>
    <row r="10" spans="1:3" ht="16.5" thickBot="1" x14ac:dyDescent="0.3">
      <c r="A10" s="136" t="s">
        <v>466</v>
      </c>
      <c r="B10" s="137" t="s">
        <v>579</v>
      </c>
      <c r="C10" s="138">
        <f>SUMIF('3 pr-3'!$L$10:$L$182,A10,'3 pr-3'!$V$10:$V$182)+SUMIF('3 pr-3'!$AF$10:$AF$182,A10,'3 pr-3'!$AP$10:$AP$182)+SUMIF('3 pr-3'!$AZ$10:$AZ$182,A10,'3 pr-3'!$BJ$10:$BJ$182)+SUMIF('3 pr-3'!$BT$10:$BT$182,A10,'3 pr-3'!$CD$10:$CD$182)+SUMIF('3 pr-3'!$CN$10:$CN$182,A10,'3 pr-3'!$CX$10:$CX$182)</f>
        <v>240364.91</v>
      </c>
    </row>
    <row r="11" spans="1:3" ht="16.5" thickBot="1" x14ac:dyDescent="0.3">
      <c r="A11" s="136" t="s">
        <v>468</v>
      </c>
      <c r="B11" s="137" t="s">
        <v>469</v>
      </c>
      <c r="C11" s="138">
        <f>SUMIF('3 pr-3'!$L$10:$L$182,A11,'3 pr-3'!$V$10:$V$182)+SUMIF('3 pr-3'!$AF$10:$AF$182,A11,'3 pr-3'!$AP$10:$AP$182)+SUMIF('3 pr-3'!$AZ$10:$AZ$182,A11,'3 pr-3'!$BJ$10:$BJ$182)+SUMIF('3 pr-3'!$BT$10:$BT$182,A11,'3 pr-3'!$CD$10:$CD$182)+SUMIF('3 pr-3'!$CN$10:$CN$182,A11,'3 pr-3'!$CX$10:$CX$182)</f>
        <v>725.53</v>
      </c>
    </row>
    <row r="12" spans="1:3" ht="16.5" thickBot="1" x14ac:dyDescent="0.3">
      <c r="A12" s="136" t="s">
        <v>486</v>
      </c>
      <c r="B12" s="137" t="s">
        <v>487</v>
      </c>
      <c r="C12" s="138">
        <f>SUMIF('3 pr-3'!$L$10:$L$182,A12,'3 pr-3'!$V$10:$V$182)+SUMIF('3 pr-3'!$AF$10:$AF$182,A12,'3 pr-3'!$AP$10:$AP$182)+SUMIF('3 pr-3'!$AZ$10:$AZ$182,A12,'3 pr-3'!$BJ$10:$BJ$182)+SUMIF('3 pr-3'!$BT$10:$BT$182,A12,'3 pr-3'!$CD$10:$CD$182)+SUMIF('3 pr-3'!$CN$10:$CN$182,A12,'3 pr-3'!$CX$10:$CX$182)</f>
        <v>26</v>
      </c>
    </row>
    <row r="13" spans="1:3" ht="16.5" thickBot="1" x14ac:dyDescent="0.3">
      <c r="A13" s="136" t="s">
        <v>471</v>
      </c>
      <c r="B13" s="137" t="s">
        <v>580</v>
      </c>
      <c r="C13" s="138">
        <f>SUMIF('3 pr-3'!$L$10:$L$182,A13,'3 pr-3'!$V$10:$V$182)+SUMIF('3 pr-3'!$AF$10:$AF$182,A13,'3 pr-3'!$AP$10:$AP$182)+SUMIF('3 pr-3'!$AZ$10:$AZ$182,A13,'3 pr-3'!$BJ$10:$BJ$182)+SUMIF('3 pr-3'!$BT$10:$BT$182,A13,'3 pr-3'!$CD$10:$CD$182)+SUMIF('3 pr-3'!$CN$10:$CN$182,A13,'3 pr-3'!$CX$10:$CX$182)</f>
        <v>900</v>
      </c>
    </row>
    <row r="14" spans="1:3" ht="32.25" thickBot="1" x14ac:dyDescent="0.3">
      <c r="A14" s="136" t="s">
        <v>479</v>
      </c>
      <c r="B14" s="137" t="s">
        <v>480</v>
      </c>
      <c r="C14" s="138">
        <f>SUMIF('3 pr-3'!$L$10:$L$182,A14,'3 pr-3'!$V$10:$V$182)+SUMIF('3 pr-3'!$AF$10:$AF$182,A14,'3 pr-3'!$AP$10:$AP$182)+SUMIF('3 pr-3'!$AZ$10:$AZ$182,A14,'3 pr-3'!$BJ$10:$BJ$182)+SUMIF('3 pr-3'!$BT$10:$BT$182,A14,'3 pr-3'!$CD$10:$CD$182)+SUMIF('3 pr-3'!$CN$10:$CN$182,A14,'3 pr-3'!$CX$10:$CX$182)</f>
        <v>41337</v>
      </c>
    </row>
    <row r="15" spans="1:3" ht="16.5" thickBot="1" x14ac:dyDescent="0.3">
      <c r="A15" s="136" t="s">
        <v>473</v>
      </c>
      <c r="B15" s="137" t="s">
        <v>581</v>
      </c>
      <c r="C15" s="138">
        <f>SUMIF('3 pr-3'!$L$10:$L$182,A15,'3 pr-3'!$V$10:$V$182)+SUMIF('3 pr-3'!$AF$10:$AF$182,A15,'3 pr-3'!$AP$10:$AP$182)+SUMIF('3 pr-3'!$AZ$10:$AZ$182,A15,'3 pr-3'!$BJ$10:$BJ$182)+SUMIF('3 pr-3'!$BT$10:$BT$182,A15,'3 pr-3'!$CD$10:$CD$182)+SUMIF('3 pr-3'!$CN$10:$CN$182,A15,'3 pr-3'!$CX$10:$CX$182)</f>
        <v>1439</v>
      </c>
    </row>
    <row r="16" spans="1:3" ht="16.5" thickBot="1" x14ac:dyDescent="0.3">
      <c r="A16" s="136" t="s">
        <v>475</v>
      </c>
      <c r="B16" s="137" t="s">
        <v>483</v>
      </c>
      <c r="C16" s="138">
        <f>SUMIF('3 pr-3'!$L$10:$L$182,A16,'3 pr-3'!$V$10:$V$182)+SUMIF('3 pr-3'!$AF$10:$AF$182,A16,'3 pr-3'!$AP$10:$AP$182)+SUMIF('3 pr-3'!$AZ$10:$AZ$182,A16,'3 pr-3'!$BJ$10:$BJ$182)+SUMIF('3 pr-3'!$BT$10:$BT$182,A16,'3 pr-3'!$CD$10:$CD$182)+SUMIF('3 pr-3'!$CN$10:$CN$182,A16,'3 pr-3'!$CX$10:$CX$182)</f>
        <v>1449</v>
      </c>
    </row>
    <row r="17" spans="1:3" ht="16.5" thickBot="1" x14ac:dyDescent="0.3">
      <c r="A17" s="136" t="s">
        <v>545</v>
      </c>
      <c r="B17" s="137" t="s">
        <v>548</v>
      </c>
      <c r="C17" s="138">
        <f>SUMIF('3 pr-3'!$L$10:$L$182,A17,'3 pr-3'!$V$10:$V$182)+SUMIF('3 pr-3'!$AF$10:$AF$182,A17,'3 pr-3'!$AP$10:$AP$182)+SUMIF('3 pr-3'!$AZ$10:$AZ$182,A17,'3 pr-3'!$BJ$10:$BJ$182)+SUMIF('3 pr-3'!$BT$10:$BT$182,A17,'3 pr-3'!$CD$10:$CD$182)+SUMIF('3 pr-3'!$CN$10:$CN$182,A17,'3 pr-3'!$CX$10:$CX$182)</f>
        <v>2</v>
      </c>
    </row>
    <row r="18" spans="1:3" ht="16.5" thickBot="1" x14ac:dyDescent="0.3">
      <c r="A18" s="136" t="s">
        <v>540</v>
      </c>
      <c r="B18" s="137" t="s">
        <v>582</v>
      </c>
      <c r="C18" s="1789">
        <f>SUMIF('3 pr-3'!$L$10:$L$182,A18,'3 pr-3'!$V$10:$V$182)+SUMIF('3 pr-3'!$AF$10:$AF$182,A18,'3 pr-3'!$AP$10:$AP$182)+SUMIF('3 pr-3'!$AZ$10:$AZ$182,A18,'3 pr-3'!$BJ$10:$BJ$182)+SUMIF('3 pr-3'!$BT$10:$BT$182,A18,'3 pr-3'!$CD$10:$CD$182)+SUMIF('3 pr-3'!$CN$10:$CN$182,A18,'3 pr-3'!$CX$10:$CX$182)</f>
        <v>112</v>
      </c>
    </row>
    <row r="19" spans="1:3" ht="16.5" thickBot="1" x14ac:dyDescent="0.3">
      <c r="A19" s="136" t="s">
        <v>541</v>
      </c>
      <c r="B19" s="137" t="s">
        <v>542</v>
      </c>
      <c r="C19" s="138">
        <f>SUMIF('3 pr-3'!$L$10:$L$182,A19,'3 pr-3'!$V$10:$V$182)+SUMIF('3 pr-3'!$AF$10:$AF$182,A19,'3 pr-3'!$AP$10:$AP$182)+SUMIF('3 pr-3'!$AZ$10:$AZ$182,A19,'3 pr-3'!$BJ$10:$BJ$182)+SUMIF('3 pr-3'!$BT$10:$BT$182,A19,'3 pr-3'!$CD$10:$CD$182)+SUMIF('3 pr-3'!$CN$10:$CN$182,A19,'3 pr-3'!$CX$10:$CX$182)</f>
        <v>3</v>
      </c>
    </row>
    <row r="20" spans="1:3" ht="16.5" thickBot="1" x14ac:dyDescent="0.3">
      <c r="A20" s="136" t="s">
        <v>490</v>
      </c>
      <c r="B20" s="137" t="s">
        <v>583</v>
      </c>
      <c r="C20" s="138">
        <f>SUMIF('3 pr-3'!$L$10:$L$182,A20,'3 pr-3'!$V$10:$V$182)+SUMIF('3 pr-3'!$AF$10:$AF$182,A20,'3 pr-3'!$AP$10:$AP$182)+SUMIF('3 pr-3'!$AZ$10:$AZ$182,A20,'3 pr-3'!$BJ$10:$BJ$182)+SUMIF('3 pr-3'!$BT$10:$BT$182,A20,'3 pr-3'!$CD$10:$CD$182)+SUMIF('3 pr-3'!$CN$10:$CN$182,A20,'3 pr-3'!$CX$10:$CX$182)</f>
        <v>5</v>
      </c>
    </row>
    <row r="21" spans="1:3" s="986" customFormat="1" ht="16.5" thickBot="1" x14ac:dyDescent="0.3">
      <c r="A21" s="984" t="s">
        <v>806</v>
      </c>
      <c r="B21" s="985" t="s">
        <v>807</v>
      </c>
      <c r="C21" s="138">
        <f>SUMIF('3 pr-3'!$L$10:$L$182,A21,'3 pr-3'!$V$10:$V$182)+SUMIF('3 pr-3'!$AF$10:$AF$182,A21,'3 pr-3'!$AP$10:$AP$182)+SUMIF('3 pr-3'!$AZ$10:$AZ$182,A21,'3 pr-3'!$BJ$10:$BJ$182)+SUMIF('3 pr-3'!$BT$10:$BT$182,A21,'3 pr-3'!$CD$10:$CD$182)+SUMIF('3 pr-3'!$CN$10:$CN$182,A21,'3 pr-3'!$CX$10:$CX$182)</f>
        <v>2</v>
      </c>
    </row>
    <row r="22" spans="1:3" ht="16.5" thickBot="1" x14ac:dyDescent="0.3">
      <c r="A22" s="136" t="s">
        <v>509</v>
      </c>
      <c r="B22" s="137" t="s">
        <v>510</v>
      </c>
      <c r="C22" s="1315">
        <f>SUMIF('3 pr-3'!$L$10:$L$182,A22,'3 pr-3'!$V$10:$V$182)+SUMIF('3 pr-3'!$AF$10:$AF$182,A22,'3 pr-3'!$AP$10:$AP$182)+SUMIF('3 pr-3'!$AZ$10:$AZ$182,A22,'3 pr-3'!$BJ$10:$BJ$182)+SUMIF('3 pr-3'!$BT$10:$BT$182,A22,'3 pr-3'!$CD$10:$CD$182)+SUMIF('3 pr-3'!$CN$10:$CN$182,A22,'3 pr-3'!$CX$10:$CX$182)</f>
        <v>0.72</v>
      </c>
    </row>
    <row r="23" spans="1:3" ht="32.25" thickBot="1" x14ac:dyDescent="0.3">
      <c r="A23" s="137" t="s">
        <v>1211</v>
      </c>
      <c r="B23" s="137" t="s">
        <v>1212</v>
      </c>
      <c r="C23" s="138">
        <f>SUMIF('3 pr-3'!$L$10:$L$182,A23,'3 pr-3'!$V$10:$V$182)+SUMIF('3 pr-3'!$AF$10:$AF$182,A23,'3 pr-3'!$AP$10:$AP$182)+SUMIF('3 pr-3'!$AZ$10:$AZ$182,A23,'3 pr-3'!$BJ$10:$BJ$182)+SUMIF('3 pr-3'!$BT$10:$BT$182,A23,'3 pr-3'!$CD$10:$CD$182)+SUMIF('3 pr-3'!$CN$10:$CN$182,A23,'3 pr-3'!$CX$10:$CX$182)</f>
        <v>180</v>
      </c>
    </row>
    <row r="24" spans="1:3" ht="16.5" thickBot="1" x14ac:dyDescent="0.3">
      <c r="A24" s="626" t="s">
        <v>1199</v>
      </c>
      <c r="B24" s="626" t="s">
        <v>1200</v>
      </c>
      <c r="C24" s="138">
        <f>SUMIF('3 pr-3'!$L$10:$L$182,A24,'3 pr-3'!$V$10:$V$182)+SUMIF('3 pr-3'!$AF$10:$AF$182,A24,'3 pr-3'!$AP$10:$AP$182)+SUMIF('3 pr-3'!$AZ$10:$AZ$182,A24,'3 pr-3'!$BJ$10:$BJ$182)+SUMIF('3 pr-3'!$BT$10:$BT$182,A24,'3 pr-3'!$CD$10:$CD$182)+SUMIF('3 pr-3'!$CN$10:$CN$182,A24,'3 pr-3'!$CX$10:$CX$182)</f>
        <v>2</v>
      </c>
    </row>
    <row r="25" spans="1:3" ht="16.5" thickBot="1" x14ac:dyDescent="0.3">
      <c r="A25" s="136" t="s">
        <v>517</v>
      </c>
      <c r="B25" s="137" t="s">
        <v>584</v>
      </c>
      <c r="C25" s="138">
        <f>SUMIF('3 pr-3'!$L$10:$L$182,A25,'3 pr-3'!$V$10:$V$182)+SUMIF('3 pr-3'!$AF$10:$AF$182,A25,'3 pr-3'!$AP$10:$AP$182)+SUMIF('3 pr-3'!$AZ$10:$AZ$182,A25,'3 pr-3'!$BJ$10:$BJ$182)+SUMIF('3 pr-3'!$BT$10:$BT$182,A25,'3 pr-3'!$CD$10:$CD$182)+SUMIF('3 pr-3'!$CN$10:$CN$182,A25,'3 pr-3'!$CX$10:$CX$182)</f>
        <v>7</v>
      </c>
    </row>
    <row r="26" spans="1:3" ht="16.5" thickBot="1" x14ac:dyDescent="0.3">
      <c r="A26" s="136" t="s">
        <v>511</v>
      </c>
      <c r="B26" s="137" t="s">
        <v>585</v>
      </c>
      <c r="C26" s="138">
        <f>SUMIF('3 pr-3'!$L$10:$L$182,A26,'3 pr-3'!$V$10:$V$182)+SUMIF('3 pr-3'!$AF$10:$AF$182,A26,'3 pr-3'!$AP$10:$AP$182)+SUMIF('3 pr-3'!$AZ$10:$AZ$182,A26,'3 pr-3'!$BJ$10:$BJ$182)+SUMIF('3 pr-3'!$BT$10:$BT$182,A26,'3 pr-3'!$CD$10:$CD$182)+SUMIF('3 pr-3'!$CN$10:$CN$182,A26,'3 pr-3'!$CX$10:$CX$182)</f>
        <v>8</v>
      </c>
    </row>
    <row r="27" spans="1:3" ht="16.5" thickBot="1" x14ac:dyDescent="0.3">
      <c r="A27" s="140" t="s">
        <v>515</v>
      </c>
      <c r="B27" s="141" t="s">
        <v>586</v>
      </c>
      <c r="C27" s="138">
        <f>SUMIF('3 pr-3'!$L$10:$L$182,A27,'3 pr-3'!$V$10:$V$182)+SUMIF('3 pr-3'!$AF$10:$AF$182,A27,'3 pr-3'!$AP$10:$AP$182)+SUMIF('3 pr-3'!$AZ$10:$AZ$182,A27,'3 pr-3'!$BJ$10:$BJ$182)+SUMIF('3 pr-3'!$BT$10:$BT$182,A27,'3 pr-3'!$CD$10:$CD$182)+SUMIF('3 pr-3'!$CN$10:$CN$182,A27,'3 pr-3'!$CX$10:$CX$182)</f>
        <v>5</v>
      </c>
    </row>
    <row r="28" spans="1:3" ht="16.5" thickBot="1" x14ac:dyDescent="0.3">
      <c r="A28" s="143" t="s">
        <v>598</v>
      </c>
      <c r="B28" s="143" t="s">
        <v>599</v>
      </c>
      <c r="C28" s="138">
        <f>SUMIF('3 pr-3'!$L$10:$L$182,A28,'3 pr-3'!$V$10:$V$182)+SUMIF('3 pr-3'!$AF$10:$AF$182,A28,'3 pr-3'!$AP$10:$AP$182)+SUMIF('3 pr-3'!$AZ$10:$AZ$182,A28,'3 pr-3'!$BJ$10:$BJ$182)+SUMIF('3 pr-3'!$BT$10:$BT$182,A28,'3 pr-3'!$CD$10:$CD$182)+SUMIF('3 pr-3'!$CN$10:$CN$182,A28,'3 pr-3'!$CX$10:$CX$182)</f>
        <v>18</v>
      </c>
    </row>
    <row r="29" spans="1:3" ht="16.5" thickBot="1" x14ac:dyDescent="0.3">
      <c r="A29" s="172" t="s">
        <v>488</v>
      </c>
      <c r="B29" s="142" t="s">
        <v>489</v>
      </c>
      <c r="C29" s="138">
        <f>SUMIF('3 pr-3'!$L$10:$L$182,A29,'3 pr-3'!$V$10:$V$182)+SUMIF('3 pr-3'!$AF$10:$AF$182,A29,'3 pr-3'!$AP$10:$AP$182)+SUMIF('3 pr-3'!$AZ$10:$AZ$182,A29,'3 pr-3'!$BJ$10:$BJ$182)+SUMIF('3 pr-3'!$BT$10:$BT$182,A29,'3 pr-3'!$CD$10:$CD$182)+SUMIF('3 pr-3'!$CN$10:$CN$182,A29,'3 pr-3'!$CX$10:$CX$182)</f>
        <v>633</v>
      </c>
    </row>
    <row r="30" spans="1:3" ht="16.5" thickBot="1" x14ac:dyDescent="0.3">
      <c r="A30" s="136" t="s">
        <v>793</v>
      </c>
      <c r="B30" s="136" t="s">
        <v>534</v>
      </c>
      <c r="C30" s="138">
        <f>SUMIF('3 pr-3'!$L$10:$L$182,A30,'3 pr-3'!$V$10:$V$182)+SUMIF('3 pr-3'!$AF$10:$AF$182,A30,'3 pr-3'!$AP$10:$AP$182)+SUMIF('3 pr-3'!$AZ$10:$AZ$182,A30,'3 pr-3'!$BJ$10:$BJ$182)+SUMIF('3 pr-3'!$BT$10:$BT$182,A30,'3 pr-3'!$CD$10:$CD$182)+SUMIF('3 pr-3'!$CN$10:$CN$182,A30,'3 pr-3'!$CX$10:$CX$182)</f>
        <v>3</v>
      </c>
    </row>
    <row r="31" spans="1:3" ht="16.5" thickBot="1" x14ac:dyDescent="0.3">
      <c r="A31" s="143" t="s">
        <v>500</v>
      </c>
      <c r="B31" s="143" t="s">
        <v>587</v>
      </c>
      <c r="C31" s="1315">
        <f>SUMIF('3 pr-3'!$L$10:$L$182,A31,'3 pr-3'!$V$10:$V$182)+SUMIF('3 pr-3'!$AF$10:$AF$182,A31,'3 pr-3'!$AP$10:$AP$182)+SUMIF('3 pr-3'!$AZ$10:$AZ$182,A31,'3 pr-3'!$BJ$10:$BJ$182)+SUMIF('3 pr-3'!$BT$10:$BT$182,A31,'3 pr-3'!$CD$10:$CD$182)+SUMIF('3 pr-3'!$CN$10:$CN$182,A31,'3 pr-3'!$CX$10:$CX$182)</f>
        <v>3.71</v>
      </c>
    </row>
    <row r="32" spans="1:3" ht="16.5" thickBot="1" x14ac:dyDescent="0.3">
      <c r="A32" s="143" t="s">
        <v>503</v>
      </c>
      <c r="B32" s="143" t="s">
        <v>567</v>
      </c>
      <c r="C32" s="1315">
        <f>SUMIF('3 pr-3'!$L$10:$L$182,A32,'3 pr-3'!$V$10:$V$182)+SUMIF('3 pr-3'!$AF$10:$AF$182,A32,'3 pr-3'!$AP$10:$AP$182)+SUMIF('3 pr-3'!$AZ$10:$AZ$182,A32,'3 pr-3'!$BJ$10:$BJ$182)+SUMIF('3 pr-3'!$BT$10:$BT$182,A32,'3 pr-3'!$CD$10:$CD$182)+SUMIF('3 pr-3'!$CN$10:$CN$182,A32,'3 pr-3'!$CX$10:$CX$182)</f>
        <v>0.69</v>
      </c>
    </row>
    <row r="33" spans="1:7" ht="16.5" thickBot="1" x14ac:dyDescent="0.3">
      <c r="A33" s="143" t="s">
        <v>498</v>
      </c>
      <c r="B33" s="143" t="s">
        <v>588</v>
      </c>
      <c r="C33" s="138">
        <f>SUMIF('3 pr-3'!$L$10:$L$182,A33,'3 pr-3'!$V$10:$V$182)+SUMIF('3 pr-3'!$AF$10:$AF$182,A33,'3 pr-3'!$AP$10:$AP$182)+SUMIF('3 pr-3'!$AZ$10:$AZ$182,A33,'3 pr-3'!$BJ$10:$BJ$182)+SUMIF('3 pr-3'!$BT$10:$BT$182,A33,'3 pr-3'!$CD$10:$CD$182)+SUMIF('3 pr-3'!$CN$10:$CN$182,A33,'3 pr-3'!$CX$10:$CX$182)</f>
        <v>5</v>
      </c>
    </row>
    <row r="34" spans="1:7" ht="16.5" thickBot="1" x14ac:dyDescent="0.3">
      <c r="A34" s="143" t="s">
        <v>1431</v>
      </c>
      <c r="B34" s="143" t="s">
        <v>1432</v>
      </c>
      <c r="C34" s="138">
        <f>SUMIF('3 pr-3'!$L$10:$L$182,A34,'3 pr-3'!$V$10:$V$182)+SUMIF('3 pr-3'!$AF$10:$AF$182,A34,'3 pr-3'!$AP$10:$AP$182)+SUMIF('3 pr-3'!$AZ$10:$AZ$182,A34,'3 pr-3'!$BJ$10:$BJ$182)+SUMIF('3 pr-3'!$BT$10:$BT$182,A34,'3 pr-3'!$CD$10:$CD$182)+SUMIF('3 pr-3'!$CN$10:$CN$182,A34,'3 pr-3'!$CX$10:$CX$182)</f>
        <v>1</v>
      </c>
    </row>
    <row r="35" spans="1:7" ht="16.5" thickBot="1" x14ac:dyDescent="0.3">
      <c r="A35" s="143" t="s">
        <v>495</v>
      </c>
      <c r="B35" s="143" t="s">
        <v>589</v>
      </c>
      <c r="C35" s="138">
        <f>SUMIF('3 pr-3'!$L$10:$L$182,A35,'3 pr-3'!$V$10:$V$182)+SUMIF('3 pr-3'!$AF$10:$AF$182,A35,'3 pr-3'!$AP$10:$AP$182)+SUMIF('3 pr-3'!$AZ$10:$AZ$182,A35,'3 pr-3'!$BJ$10:$BJ$182)+SUMIF('3 pr-3'!$BT$10:$BT$182,A35,'3 pr-3'!$CD$10:$CD$182)+SUMIF('3 pr-3'!$CN$10:$CN$182,A35,'3 pr-3'!$CX$10:$CX$182)</f>
        <v>7</v>
      </c>
    </row>
    <row r="36" spans="1:7" ht="16.5" thickBot="1" x14ac:dyDescent="0.3">
      <c r="A36" s="143" t="s">
        <v>484</v>
      </c>
      <c r="B36" s="143" t="s">
        <v>485</v>
      </c>
      <c r="C36" s="1315">
        <f>SUMIF('3 pr-3'!$L$10:$L$182,A36,'3 pr-3'!$V$10:$V$182)+SUMIF('3 pr-3'!$AF$10:$AF$182,A36,'3 pr-3'!$AP$10:$AP$182)+SUMIF('3 pr-3'!$AZ$10:$AZ$182,A36,'3 pr-3'!$BJ$10:$BJ$182)+SUMIF('3 pr-3'!$BT$10:$BT$182,A36,'3 pr-3'!$CD$10:$CD$182)+SUMIF('3 pr-3'!$CN$10:$CN$182,A36,'3 pr-3'!$CX$10:$CX$182)</f>
        <v>262.58999999999997</v>
      </c>
    </row>
    <row r="37" spans="1:7" ht="16.5" thickBot="1" x14ac:dyDescent="0.3">
      <c r="A37" s="136" t="s">
        <v>536</v>
      </c>
      <c r="B37" s="137" t="s">
        <v>590</v>
      </c>
      <c r="C37" s="138">
        <f>SUMIF('3 pr-3'!$L$10:$L$182,A37,'3 pr-3'!$V$10:$V$182)+SUMIF('3 pr-3'!$AF$10:$AF$182,A37,'3 pr-3'!$AP$10:$AP$182)+SUMIF('3 pr-3'!$AZ$10:$AZ$182,A37,'3 pr-3'!$BJ$10:$BJ$182)+SUMIF('3 pr-3'!$BT$10:$BT$182,A37,'3 pr-3'!$CD$10:$CD$182)+SUMIF('3 pr-3'!$CN$10:$CN$182,A37,'3 pr-3'!$CX$10:$CX$182)</f>
        <v>7187.76</v>
      </c>
    </row>
    <row r="38" spans="1:7" ht="16.5" thickBot="1" x14ac:dyDescent="0.3">
      <c r="A38" s="136" t="s">
        <v>477</v>
      </c>
      <c r="B38" s="137" t="s">
        <v>591</v>
      </c>
      <c r="C38" s="1315">
        <f>SUMIF('3 pr-3'!$L$10:$L$182,A38,'3 pr-3'!$V$10:$V$182)+SUMIF('3 pr-3'!$AF$10:$AF$182,A38,'3 pr-3'!$AP$10:$AP$182)+SUMIF('3 pr-3'!$AZ$10:$AZ$182,A38,'3 pr-3'!$BJ$10:$BJ$182)+SUMIF('3 pr-3'!$BT$10:$BT$182,A38,'3 pr-3'!$CD$10:$CD$182)+SUMIF('3 pr-3'!$CN$10:$CN$182,A38,'3 pr-3'!$CX$10:$CX$182)</f>
        <v>22.52</v>
      </c>
    </row>
    <row r="39" spans="1:7" ht="16.5" thickBot="1" x14ac:dyDescent="0.3">
      <c r="A39" s="136" t="s">
        <v>492</v>
      </c>
      <c r="B39" s="137" t="s">
        <v>493</v>
      </c>
      <c r="C39" s="138">
        <f>SUMIF('3 pr-3'!$L$10:$L$182,A39,'3 pr-3'!$V$10:$V$182)+SUMIF('3 pr-3'!$AF$10:$AF$182,A39,'3 pr-3'!$AP$10:$AP$182)+SUMIF('3 pr-3'!$AZ$10:$AZ$182,A39,'3 pr-3'!$BJ$10:$BJ$182)+SUMIF('3 pr-3'!$BT$10:$BT$182,A39,'3 pr-3'!$CD$10:$CD$182)+SUMIF('3 pr-3'!$CN$10:$CN$182,A39,'3 pr-3'!$CX$10:$CX$182)</f>
        <v>5</v>
      </c>
      <c r="G39" s="918"/>
    </row>
    <row r="40" spans="1:7" ht="16.5" thickBot="1" x14ac:dyDescent="0.3">
      <c r="A40" s="136" t="s">
        <v>543</v>
      </c>
      <c r="B40" s="137" t="s">
        <v>592</v>
      </c>
      <c r="C40" s="138">
        <f>SUMIF('3 pr-3'!$L$10:$L$182,A40,'3 pr-3'!$V$10:$V$182)+SUMIF('3 pr-3'!$AF$10:$AF$182,A40,'3 pr-3'!$AP$10:$AP$182)+SUMIF('3 pr-3'!$AZ$10:$AZ$182,A40,'3 pr-3'!$BJ$10:$BJ$182)+SUMIF('3 pr-3'!$BT$10:$BT$182,A40,'3 pr-3'!$CD$10:$CD$182)+SUMIF('3 pr-3'!$CN$10:$CN$182,A40,'3 pr-3'!$CX$10:$CX$182)</f>
        <v>4</v>
      </c>
    </row>
    <row r="41" spans="1:7" ht="16.5" thickBot="1" x14ac:dyDescent="0.3">
      <c r="A41" s="144" t="s">
        <v>507</v>
      </c>
      <c r="B41" s="145" t="s">
        <v>508</v>
      </c>
      <c r="C41" s="1789">
        <f>SUMIF('3 pr-3'!$L$10:$L$182,A41,'3 pr-3'!$V$10:$V$182)+SUMIF('3 pr-3'!$AF$10:$AF$182,A41,'3 pr-3'!$AP$10:$AP$182)+SUMIF('3 pr-3'!$AZ$10:$AZ$182,A41,'3 pr-3'!$BJ$10:$BJ$182)+SUMIF('3 pr-3'!$BT$10:$BT$182,A41,'3 pr-3'!$CD$10:$CD$182)+SUMIF('3 pr-3'!$CN$10:$CN$182,A41,'3 pr-3'!$CX$10:$CX$182)</f>
        <v>13</v>
      </c>
    </row>
    <row r="42" spans="1:7" ht="16.5" thickBot="1" x14ac:dyDescent="0.3">
      <c r="A42" s="136" t="s">
        <v>524</v>
      </c>
      <c r="B42" s="137" t="s">
        <v>593</v>
      </c>
      <c r="C42" s="138">
        <f>SUMIF('3 pr-3'!$L$10:$L$182,A42,'3 pr-3'!$V$10:$V$182)+SUMIF('3 pr-3'!$AF$10:$AF$182,A42,'3 pr-3'!$AP$10:$AP$182)+SUMIF('3 pr-3'!$AZ$10:$AZ$182,A42,'3 pr-3'!$BJ$10:$BJ$182)+SUMIF('3 pr-3'!$BT$10:$BT$182,A42,'3 pr-3'!$CD$10:$CD$182)+SUMIF('3 pr-3'!$CN$10:$CN$182,A42,'3 pr-3'!$CX$10:$CX$182)</f>
        <v>5</v>
      </c>
    </row>
    <row r="43" spans="1:7" ht="16.5" thickBot="1" x14ac:dyDescent="0.3">
      <c r="A43" s="136" t="s">
        <v>527</v>
      </c>
      <c r="B43" s="137" t="s">
        <v>528</v>
      </c>
      <c r="C43" s="138">
        <f>SUMIF('3 pr-3'!$L$10:$L$182,A43,'3 pr-3'!$V$10:$V$182)+SUMIF('3 pr-3'!$AF$10:$AF$182,A43,'3 pr-3'!$AP$10:$AP$182)+SUMIF('3 pr-3'!$AZ$10:$AZ$182,A43,'3 pr-3'!$BJ$10:$BJ$182)+SUMIF('3 pr-3'!$BT$10:$BT$182,A43,'3 pr-3'!$CD$10:$CD$182)+SUMIF('3 pr-3'!$CN$10:$CN$182,A43,'3 pr-3'!$CX$10:$CX$182)</f>
        <v>106</v>
      </c>
    </row>
    <row r="44" spans="1:7" ht="32.25" thickBot="1" x14ac:dyDescent="0.3">
      <c r="A44" s="136" t="s">
        <v>1458</v>
      </c>
      <c r="B44" s="137" t="s">
        <v>1459</v>
      </c>
      <c r="C44" s="138">
        <f>SUMIF('3 pr-3'!$L$10:$L$182,A44,'3 pr-3'!$V$10:$V$182)+SUMIF('3 pr-3'!$AF$10:$AF$182,A44,'3 pr-3'!$AP$10:$AP$182)+SUMIF('3 pr-3'!$AZ$10:$AZ$182,A44,'3 pr-3'!$BJ$10:$BJ$182)+SUMIF('3 pr-3'!$BT$10:$BT$182,A44,'3 pr-3'!$CD$10:$CD$182)+SUMIF('3 pr-3'!$CN$10:$CN$182,A44,'3 pr-3'!$CX$10:$CX$182)</f>
        <v>17</v>
      </c>
    </row>
    <row r="45" spans="1:7" ht="19.5" thickBot="1" x14ac:dyDescent="0.3">
      <c r="A45" s="136" t="s">
        <v>387</v>
      </c>
      <c r="B45" s="137" t="s">
        <v>601</v>
      </c>
      <c r="C45" s="1790">
        <f>SUMIF('3 pr-3'!$L$10:$L$182,A45,'3 pr-3'!$V$10:$V$182)+SUMIF('3 pr-3'!$AF$10:$AF$182,A45,'3 pr-3'!$AP$10:$AP$182)+SUMIF('3 pr-3'!$AZ$10:$AZ$182,A45,'3 pr-3'!$BJ$10:$BJ$182)+SUMIF('3 pr-3'!$BT$10:$BT$182,A45,'3 pr-3'!$CD$10:$CD$182)+SUMIF('3 pr-3'!$CN$10:$CN$182,A45,'3 pr-3'!$CX$10:$CX$182)</f>
        <v>90624.45</v>
      </c>
    </row>
    <row r="46" spans="1:7" ht="32.25" thickBot="1" x14ac:dyDescent="0.3">
      <c r="A46" s="136" t="s">
        <v>388</v>
      </c>
      <c r="B46" s="137" t="s">
        <v>594</v>
      </c>
      <c r="C46" s="1315">
        <f>SUMIF('3 pr-3'!$L$10:$L$182,A46,'3 pr-3'!$V$10:$V$182)+SUMIF('3 pr-3'!$AF$10:$AF$182,A46,'3 pr-3'!$AP$10:$AP$182)+SUMIF('3 pr-3'!$AZ$10:$AZ$182,A46,'3 pr-3'!$BJ$10:$BJ$182)+SUMIF('3 pr-3'!$BT$10:$BT$182,A46,'3 pr-3'!$CD$10:$CD$182)+SUMIF('3 pr-3'!$CN$10:$CN$182,A46,'3 pr-3'!$CX$10:$CX$182)</f>
        <v>539.76</v>
      </c>
    </row>
    <row r="47" spans="1:7" ht="23.25" customHeight="1" thickBot="1" x14ac:dyDescent="0.3">
      <c r="A47" s="136" t="s">
        <v>1197</v>
      </c>
      <c r="B47" s="136" t="s">
        <v>1198</v>
      </c>
      <c r="C47" s="1789">
        <f>SUMIF('3 pr-3'!$L$10:$L$182,A47,'3 pr-3'!$V$10:$V$182)+SUMIF('3 pr-3'!$AF$10:$AF$182,A47,'3 pr-3'!$AP$10:$AP$182)+SUMIF('3 pr-3'!$AZ$10:$AZ$182,A47,'3 pr-3'!$BJ$10:$BJ$182)+SUMIF('3 pr-3'!$BT$10:$BT$182,A47,'3 pr-3'!$CD$10:$CD$182)+SUMIF('3 pr-3'!$CN$10:$CN$182,A47,'3 pr-3'!$CX$10:$CX$182)</f>
        <v>8941</v>
      </c>
    </row>
    <row r="48" spans="1:7" ht="16.5" thickBot="1" x14ac:dyDescent="0.3">
      <c r="A48" s="136" t="s">
        <v>797</v>
      </c>
      <c r="B48" s="137" t="s">
        <v>798</v>
      </c>
      <c r="C48" s="138">
        <f>SUMIF('3 pr-3'!$L$10:$L$182,A48,'3 pr-3'!$V$10:$V$182)+SUMIF('3 pr-3'!$AF$10:$AF$182,A48,'3 pr-3'!$AP$10:$AP$182)+SUMIF('3 pr-3'!$AZ$10:$AZ$182,A48,'3 pr-3'!$BJ$10:$BJ$182)+SUMIF('3 pr-3'!$BT$10:$BT$182,A48,'3 pr-3'!$CD$10:$CD$182)+SUMIF('3 pr-3'!$CN$10:$CN$182,A48,'3 pr-3'!$CX$10:$CX$182)</f>
        <v>141</v>
      </c>
    </row>
    <row r="49" spans="1:3" ht="32.25" thickBot="1" x14ac:dyDescent="0.3">
      <c r="A49" s="146" t="s">
        <v>529</v>
      </c>
      <c r="B49" s="145" t="s">
        <v>595</v>
      </c>
      <c r="C49" s="138">
        <f>SUMIF('3 pr-3'!$L$10:$L$182,A49,'3 pr-3'!$V$10:$V$182)+SUMIF('3 pr-3'!$AF$10:$AF$182,A49,'3 pr-3'!$AP$10:$AP$182)+SUMIF('3 pr-3'!$AZ$10:$AZ$182,A49,'3 pr-3'!$BJ$10:$BJ$182)+SUMIF('3 pr-3'!$BT$10:$BT$182,A49,'3 pr-3'!$CD$10:$CD$182)+SUMIF('3 pr-3'!$CN$10:$CN$182,A49,'3 pr-3'!$CX$10:$CX$182)</f>
        <v>95</v>
      </c>
    </row>
    <row r="50" spans="1:3" ht="32.25" thickBot="1" x14ac:dyDescent="0.3">
      <c r="A50" s="136" t="s">
        <v>531</v>
      </c>
      <c r="B50" s="137" t="s">
        <v>596</v>
      </c>
      <c r="C50" s="138">
        <f>SUMIF('3 pr-3'!$L$10:$L$182,A50,'3 pr-3'!$V$10:$V$182)+SUMIF('3 pr-3'!$AF$10:$AF$182,A50,'3 pr-3'!$AP$10:$AP$182)+SUMIF('3 pr-3'!$AZ$10:$AZ$182,A50,'3 pr-3'!$BJ$10:$BJ$182)+SUMIF('3 pr-3'!$BT$10:$BT$182,A50,'3 pr-3'!$CD$10:$CD$182)+SUMIF('3 pr-3'!$CN$10:$CN$182,A50,'3 pr-3'!$CX$10:$CX$182)</f>
        <v>425</v>
      </c>
    </row>
    <row r="51" spans="1:3" ht="16.5" thickBot="1" x14ac:dyDescent="0.3">
      <c r="A51" s="136" t="s">
        <v>538</v>
      </c>
      <c r="B51" s="137" t="s">
        <v>577</v>
      </c>
      <c r="C51" s="1788">
        <f>SUMIF('3 pr-3'!$L$10:$L$182,A51,'3 pr-3'!$V$10:$V$182)+SUMIF('3 pr-3'!$AF$10:$AF$182,A51,'3 pr-3'!$AP$10:$AP$182)+SUMIF('3 pr-3'!$AZ$10:$AZ$182,A51,'3 pr-3'!$BJ$10:$BJ$182)+SUMIF('3 pr-3'!$BT$10:$BT$182,A51,'3 pr-3'!$CD$10:$CD$182)+SUMIF('3 pr-3'!$CN$10:$CN$182,A51,'3 pr-3'!$CX$10:$CX$182)</f>
        <v>45</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topLeftCell="A37" zoomScaleNormal="100" workbookViewId="0">
      <selection activeCell="I49" sqref="I49"/>
    </sheetView>
  </sheetViews>
  <sheetFormatPr defaultRowHeight="15" x14ac:dyDescent="0.25"/>
  <cols>
    <col min="1" max="1" width="23.140625" style="170" customWidth="1"/>
    <col min="2" max="2" width="35.5703125" style="935" customWidth="1"/>
    <col min="3" max="3" width="11.42578125" style="170" bestFit="1" customWidth="1"/>
    <col min="4" max="4" width="13.140625" style="170" bestFit="1" customWidth="1"/>
    <col min="5" max="6" width="13.28515625" style="170" bestFit="1" customWidth="1"/>
    <col min="7" max="8" width="13.140625" style="170" bestFit="1" customWidth="1"/>
    <col min="9" max="9" width="14.42578125" style="170" bestFit="1" customWidth="1"/>
    <col min="10" max="10" width="16.85546875" style="170" hidden="1" customWidth="1"/>
    <col min="11" max="11" width="15" style="170" hidden="1" customWidth="1"/>
    <col min="12" max="12" width="17.85546875" style="170" hidden="1" customWidth="1"/>
    <col min="13" max="13" width="10.140625" style="170" bestFit="1" customWidth="1"/>
    <col min="14" max="14" width="9.140625" style="170"/>
    <col min="15" max="15" width="10.140625" style="170" bestFit="1" customWidth="1"/>
    <col min="16" max="16384" width="9.140625" style="170"/>
  </cols>
  <sheetData>
    <row r="1" spans="1:15" ht="35.25" customHeight="1" thickBot="1" x14ac:dyDescent="0.3">
      <c r="A1" s="1937" t="s">
        <v>1391</v>
      </c>
      <c r="B1" s="1938"/>
      <c r="C1" s="1938"/>
      <c r="D1" s="1938"/>
      <c r="E1" s="1938"/>
      <c r="F1" s="1938"/>
      <c r="G1" s="1938"/>
      <c r="H1" s="1938"/>
      <c r="I1" s="1938"/>
    </row>
    <row r="2" spans="1:15" ht="17.25" customHeight="1" thickTop="1" thickBot="1" x14ac:dyDescent="0.35">
      <c r="A2" s="1944" t="s">
        <v>1394</v>
      </c>
      <c r="B2" s="1942" t="s">
        <v>1393</v>
      </c>
      <c r="C2" s="1939" t="s">
        <v>682</v>
      </c>
      <c r="D2" s="1940"/>
      <c r="E2" s="1940"/>
      <c r="F2" s="1940"/>
      <c r="G2" s="1940"/>
      <c r="H2" s="1940"/>
      <c r="I2" s="1941"/>
    </row>
    <row r="3" spans="1:15" ht="108" thickTop="1" thickBot="1" x14ac:dyDescent="0.3">
      <c r="A3" s="1945"/>
      <c r="B3" s="1943"/>
      <c r="C3" s="919">
        <v>2015</v>
      </c>
      <c r="D3" s="919">
        <v>2016</v>
      </c>
      <c r="E3" s="919">
        <v>2017</v>
      </c>
      <c r="F3" s="919">
        <v>2018</v>
      </c>
      <c r="G3" s="919">
        <v>2019</v>
      </c>
      <c r="H3" s="919">
        <v>2020</v>
      </c>
      <c r="I3" s="920" t="s">
        <v>336</v>
      </c>
      <c r="J3" s="920" t="s">
        <v>801</v>
      </c>
      <c r="K3" s="920" t="s">
        <v>805</v>
      </c>
      <c r="L3" s="920" t="s">
        <v>802</v>
      </c>
    </row>
    <row r="4" spans="1:15" ht="48" thickBot="1" x14ac:dyDescent="0.3">
      <c r="A4" s="172" t="s">
        <v>444</v>
      </c>
      <c r="B4" s="172" t="s">
        <v>251</v>
      </c>
      <c r="C4" s="1270">
        <f>SUM('IV-1 su proj'!D31)</f>
        <v>0</v>
      </c>
      <c r="D4" s="1270">
        <f>SUM('3 pr-2'!AL9)</f>
        <v>0</v>
      </c>
      <c r="E4" s="1270">
        <f>SUM('3 pr-2'!AM9)</f>
        <v>0</v>
      </c>
      <c r="F4" s="1270">
        <f>SUM('3 pr-2'!AN9)+'3 pr-2'!AS9</f>
        <v>2773893</v>
      </c>
      <c r="G4" s="1270">
        <f>SUM('3 pr-2'!AO10:AO32)</f>
        <v>0</v>
      </c>
      <c r="H4" s="1270">
        <f>SUM('3 pr-2'!AP10:AP32)</f>
        <v>0</v>
      </c>
      <c r="I4" s="1271">
        <f t="shared" ref="I4" si="0">SUM(C4:H4)</f>
        <v>2773893</v>
      </c>
      <c r="J4" s="1007">
        <v>2773894.25</v>
      </c>
      <c r="K4" s="1009">
        <f t="shared" ref="K4:K9" si="1">SUM(J4-I4)</f>
        <v>1.25</v>
      </c>
      <c r="L4" s="1008">
        <f>SUM(K4+'ketv. 6 '!AH8)</f>
        <v>25624.900000000023</v>
      </c>
      <c r="M4" s="921"/>
      <c r="O4" s="922"/>
    </row>
    <row r="5" spans="1:15" ht="32.25" thickBot="1" x14ac:dyDescent="0.3">
      <c r="A5" s="171" t="s">
        <v>146</v>
      </c>
      <c r="B5" s="171" t="s">
        <v>655</v>
      </c>
      <c r="C5" s="1272">
        <f>SUM('IV-1 su proj'!D32)</f>
        <v>0</v>
      </c>
      <c r="D5" s="1272">
        <f>SUM('3 pr-2'!AL33)</f>
        <v>0</v>
      </c>
      <c r="E5" s="1272">
        <f>SUM('3 pr-2'!AM33)</f>
        <v>0</v>
      </c>
      <c r="F5" s="1309">
        <f>SUM('3 pr-2'!AN33)</f>
        <v>1929504.6400000001</v>
      </c>
      <c r="G5" s="1309">
        <f>SUM('3 pr-2'!AO33)</f>
        <v>886947</v>
      </c>
      <c r="H5" s="1272">
        <f>SUM('3 pr-2'!AP33)</f>
        <v>0</v>
      </c>
      <c r="I5" s="1227">
        <f t="shared" ref="I5:I11" si="2">SUM(C5:H5)</f>
        <v>2816451.64</v>
      </c>
      <c r="J5" s="1010">
        <v>2816452</v>
      </c>
      <c r="K5" s="1009">
        <f t="shared" si="1"/>
        <v>0.35999999986961484</v>
      </c>
      <c r="L5" s="1008">
        <f ca="1">SUM(K5+'ketv. 6 '!AH32)</f>
        <v>0.35999999986961484</v>
      </c>
    </row>
    <row r="6" spans="1:15" ht="30" customHeight="1" thickBot="1" x14ac:dyDescent="0.3">
      <c r="A6" s="171" t="s">
        <v>145</v>
      </c>
      <c r="B6" s="171" t="s">
        <v>656</v>
      </c>
      <c r="C6" s="1272">
        <f>SUM('IV-1 su proj'!D38)</f>
        <v>0</v>
      </c>
      <c r="D6" s="1272">
        <f>SUM('3 pr-2'!AL39)</f>
        <v>1289392.2</v>
      </c>
      <c r="E6" s="1272">
        <f>SUM('3 pr-2'!AM39)</f>
        <v>1489592.69</v>
      </c>
      <c r="F6" s="1272">
        <f>SUM('3 pr-2'!AN39)</f>
        <v>918317</v>
      </c>
      <c r="G6" s="1272">
        <f>SUM('3 pr-2'!AO39)</f>
        <v>0</v>
      </c>
      <c r="H6" s="1272">
        <f>SUM('3 pr-2'!AP39)</f>
        <v>0</v>
      </c>
      <c r="I6" s="1227">
        <f t="shared" si="2"/>
        <v>3697301.8899999997</v>
      </c>
      <c r="J6" s="1010">
        <v>3697302</v>
      </c>
      <c r="K6" s="1009">
        <f t="shared" si="1"/>
        <v>0.11000000033527613</v>
      </c>
      <c r="L6" s="1008">
        <f ca="1">SUM('3 pr-(5-6)'!K6+'ketv. 6 '!AH38)</f>
        <v>130115.46000000031</v>
      </c>
    </row>
    <row r="7" spans="1:15" ht="32.25" thickBot="1" x14ac:dyDescent="0.3">
      <c r="A7" s="171" t="s">
        <v>268</v>
      </c>
      <c r="B7" s="171" t="s">
        <v>657</v>
      </c>
      <c r="C7" s="1272">
        <f>SUM('IV-1 su proj'!D47+'IV-1 su proj'!D48)</f>
        <v>0</v>
      </c>
      <c r="D7" s="1272">
        <f>SUM('3 pr-2'!AL48:AL49)</f>
        <v>575484.89</v>
      </c>
      <c r="E7" s="1272">
        <f>SUM('3 pr-2'!AM48:AM49)</f>
        <v>0</v>
      </c>
      <c r="F7" s="1272">
        <f>SUM('3 pr-2'!AN48:AN49)</f>
        <v>0</v>
      </c>
      <c r="G7" s="1272">
        <f>SUM('3 pr-2'!AO48:AO49)</f>
        <v>0</v>
      </c>
      <c r="H7" s="1272">
        <f>SUM('3 pr-2'!AP48:AP49)</f>
        <v>0</v>
      </c>
      <c r="I7" s="1227">
        <f t="shared" si="2"/>
        <v>575484.89</v>
      </c>
      <c r="J7" s="1010">
        <f>SUM('IV-1 su proj'!AS47+'IV-1 su proj'!AS48)</f>
        <v>575484.89</v>
      </c>
      <c r="K7" s="1009">
        <f t="shared" si="1"/>
        <v>0</v>
      </c>
      <c r="L7" s="1008">
        <f ca="1">SUM(K7+'ketv. 6 '!AH47+'ketv. 6 '!AH48)</f>
        <v>0</v>
      </c>
    </row>
    <row r="8" spans="1:15" ht="32.25" thickBot="1" x14ac:dyDescent="0.3">
      <c r="A8" s="171" t="s">
        <v>178</v>
      </c>
      <c r="B8" s="171" t="s">
        <v>659</v>
      </c>
      <c r="C8" s="1272">
        <f>SUM('IV-1 su proj'!D46)</f>
        <v>0</v>
      </c>
      <c r="D8" s="1272">
        <f>SUM('3 pr-2'!AL47)</f>
        <v>1099672.68</v>
      </c>
      <c r="E8" s="1272">
        <f>SUM('3 pr-2'!AM47)</f>
        <v>0</v>
      </c>
      <c r="F8" s="1272">
        <f>SUM('3 pr-2'!AN47)</f>
        <v>0</v>
      </c>
      <c r="G8" s="1272">
        <f>SUM('3 pr-2'!AO47)</f>
        <v>0</v>
      </c>
      <c r="H8" s="1272">
        <f>SUM('3 pr-2'!AP47)</f>
        <v>0</v>
      </c>
      <c r="I8" s="1227">
        <f t="shared" si="2"/>
        <v>1099672.68</v>
      </c>
      <c r="J8" s="1010">
        <v>1099672.68</v>
      </c>
      <c r="K8" s="1009">
        <f t="shared" si="1"/>
        <v>0</v>
      </c>
      <c r="L8" s="1008">
        <f>SUM(K8+'ketv. 6 '!AH46)</f>
        <v>0</v>
      </c>
    </row>
    <row r="9" spans="1:15" ht="48" thickBot="1" x14ac:dyDescent="0.3">
      <c r="A9" s="171" t="s">
        <v>144</v>
      </c>
      <c r="B9" s="171" t="s">
        <v>660</v>
      </c>
      <c r="C9" s="1272">
        <f>SUM('IV-1 su proj'!D49)</f>
        <v>0</v>
      </c>
      <c r="D9" s="1272">
        <f>SUM('3 pr-2'!AL50)</f>
        <v>0</v>
      </c>
      <c r="E9" s="1272">
        <f>SUM('3 pr-2'!AM50)</f>
        <v>7999917.5700000003</v>
      </c>
      <c r="F9" s="1272">
        <f>SUM('3 pr-2'!AN50)</f>
        <v>920475</v>
      </c>
      <c r="G9" s="1272">
        <f>SUM('3 pr-2'!AO50)</f>
        <v>0</v>
      </c>
      <c r="H9" s="1272">
        <f>SUM('3 pr-2'!AP50)</f>
        <v>0</v>
      </c>
      <c r="I9" s="1227">
        <f t="shared" si="2"/>
        <v>8920392.5700000003</v>
      </c>
      <c r="J9" s="1010">
        <v>8810673.5999999996</v>
      </c>
      <c r="K9" s="1009">
        <f t="shared" si="1"/>
        <v>-109718.97000000067</v>
      </c>
      <c r="L9" s="1008">
        <f ca="1">SUM(K9+'ketv. 6 '!AH49)</f>
        <v>1413499.9999999993</v>
      </c>
    </row>
    <row r="10" spans="1:15" ht="32.25" thickBot="1" x14ac:dyDescent="0.3">
      <c r="A10" s="171" t="s">
        <v>179</v>
      </c>
      <c r="B10" s="171" t="s">
        <v>661</v>
      </c>
      <c r="C10" s="1272">
        <f>SUM('IV-1 su proj'!D55)</f>
        <v>0</v>
      </c>
      <c r="D10" s="1272">
        <f>SUM('3 pr-2'!AL56)</f>
        <v>0</v>
      </c>
      <c r="E10" s="1272">
        <f>SUM('3 pr-2'!AM56)-'3 pr-2'!AN57</f>
        <v>2387993.48</v>
      </c>
      <c r="F10" s="1272">
        <f>SUM('3 pr-2'!AN56)</f>
        <v>1011500</v>
      </c>
      <c r="G10" s="1272">
        <f>SUM('3 pr-2'!AO56)</f>
        <v>0</v>
      </c>
      <c r="H10" s="1272">
        <f>SUM('3 pr-2'!AP56)</f>
        <v>0</v>
      </c>
      <c r="I10" s="1227">
        <f t="shared" si="2"/>
        <v>3399493.48</v>
      </c>
      <c r="J10" s="1010">
        <v>3399493.48</v>
      </c>
      <c r="K10" s="1009">
        <f t="shared" ref="K10:K29" si="3">SUM(J10-I10)</f>
        <v>0</v>
      </c>
      <c r="L10" s="1008">
        <f ca="1">SUM(K10+'ketv. 6 '!AH56)</f>
        <v>1011500</v>
      </c>
    </row>
    <row r="11" spans="1:15" ht="48" thickBot="1" x14ac:dyDescent="0.3">
      <c r="A11" s="171" t="s">
        <v>774</v>
      </c>
      <c r="B11" s="171" t="s">
        <v>662</v>
      </c>
      <c r="C11" s="1272">
        <f>SUM('IV-1 su proj'!D57)</f>
        <v>0</v>
      </c>
      <c r="D11" s="1272">
        <f>SUM('3 pr-2'!AL58)</f>
        <v>0</v>
      </c>
      <c r="E11" s="1272">
        <f>SUM('3 pr-2'!AM58)</f>
        <v>421880.1</v>
      </c>
      <c r="F11" s="1272">
        <f>SUM('3 pr-2'!AN58)</f>
        <v>0</v>
      </c>
      <c r="G11" s="1309">
        <f>SUM('3 pr-2'!AO58)</f>
        <v>189539.9</v>
      </c>
      <c r="H11" s="1272">
        <f>SUM('3 pr-2'!AP58)</f>
        <v>0</v>
      </c>
      <c r="I11" s="1227">
        <f t="shared" si="2"/>
        <v>611420</v>
      </c>
      <c r="J11" s="1010">
        <f>SUM('IV-1 su proj'!AS57)</f>
        <v>611420</v>
      </c>
      <c r="K11" s="1009">
        <f t="shared" si="3"/>
        <v>0</v>
      </c>
      <c r="L11" s="1008">
        <f ca="1">SUM('ketv. 6 '!AH57)</f>
        <v>0</v>
      </c>
    </row>
    <row r="12" spans="1:15" ht="32.25" thickBot="1" x14ac:dyDescent="0.3">
      <c r="A12" s="171" t="s">
        <v>143</v>
      </c>
      <c r="B12" s="171" t="s">
        <v>663</v>
      </c>
      <c r="C12" s="1272">
        <f>SUM('IV-1 su proj'!D61)</f>
        <v>0</v>
      </c>
      <c r="D12" s="1272">
        <f>SUM('3 pr-2'!AL62)</f>
        <v>0</v>
      </c>
      <c r="E12" s="1272">
        <f>SUM('3 pr-2'!AM62)</f>
        <v>898622.7</v>
      </c>
      <c r="F12" s="1272">
        <f>SUM('3 pr-2'!AN62)</f>
        <v>299541</v>
      </c>
      <c r="G12" s="1272">
        <f>SUM('3 pr-2'!AO62)</f>
        <v>0</v>
      </c>
      <c r="H12" s="1272">
        <f>SUM('3 pr-2'!AP62)</f>
        <v>0</v>
      </c>
      <c r="I12" s="1227">
        <f t="shared" ref="I12:I14" si="4">SUM(C12:H12)</f>
        <v>1198163.7</v>
      </c>
      <c r="J12" s="1010">
        <v>1198165.51</v>
      </c>
      <c r="K12" s="1009">
        <f t="shared" si="3"/>
        <v>1.8100000000558794</v>
      </c>
      <c r="L12" s="1008">
        <f ca="1">SUM(K12+'ketv. 6 '!AH61)</f>
        <v>1.8100000000558794</v>
      </c>
    </row>
    <row r="13" spans="1:15" ht="32.25" thickBot="1" x14ac:dyDescent="0.3">
      <c r="A13" s="171" t="s">
        <v>182</v>
      </c>
      <c r="B13" s="171" t="s">
        <v>664</v>
      </c>
      <c r="C13" s="1272">
        <f>SUM('IV-1 su proj'!D66)</f>
        <v>0</v>
      </c>
      <c r="D13" s="1272">
        <f>SUM('3 pr-2'!AL67)</f>
        <v>0</v>
      </c>
      <c r="E13" s="1272">
        <f>SUM('3 pr-2'!AM67)</f>
        <v>0</v>
      </c>
      <c r="F13" s="1272">
        <f>SUM('3 pr-2'!AN67)</f>
        <v>1030280</v>
      </c>
      <c r="G13" s="1272">
        <f>SUM('3 pr-2'!AO67)</f>
        <v>0</v>
      </c>
      <c r="H13" s="1272">
        <f>SUM('3 pr-2'!AP67)</f>
        <v>0</v>
      </c>
      <c r="I13" s="1227">
        <f t="shared" si="4"/>
        <v>1030280</v>
      </c>
      <c r="J13" s="1010">
        <v>1030281.61</v>
      </c>
      <c r="K13" s="1009">
        <f t="shared" si="3"/>
        <v>1.6099999999860302</v>
      </c>
      <c r="L13" s="1008">
        <f ca="1">SUM(K13+'ketv. 6 '!AH66)</f>
        <v>32142.889999999985</v>
      </c>
    </row>
    <row r="14" spans="1:15" ht="48" thickBot="1" x14ac:dyDescent="0.3">
      <c r="A14" s="171" t="s">
        <v>666</v>
      </c>
      <c r="B14" s="171" t="s">
        <v>665</v>
      </c>
      <c r="C14" s="1272">
        <f>SUM('IV-1 su proj'!D73)</f>
        <v>0</v>
      </c>
      <c r="D14" s="1272">
        <f>SUM('3 pr-2'!AL74)</f>
        <v>0</v>
      </c>
      <c r="E14" s="1272">
        <f>SUM('3 pr-2'!AM74)</f>
        <v>0</v>
      </c>
      <c r="F14" s="1272">
        <f>SUM('3 pr-2'!AN74)</f>
        <v>640846</v>
      </c>
      <c r="G14" s="1272">
        <f>SUM('3 pr-2'!AO74)</f>
        <v>622426</v>
      </c>
      <c r="H14" s="1272">
        <f>SUM('3 pr-2'!AP74)</f>
        <v>0</v>
      </c>
      <c r="I14" s="1227">
        <f t="shared" si="4"/>
        <v>1263272</v>
      </c>
      <c r="J14" s="1010">
        <v>1263272</v>
      </c>
      <c r="K14" s="1009">
        <f t="shared" si="3"/>
        <v>0</v>
      </c>
      <c r="L14" s="1008">
        <f ca="1">SUM(K14+'ketv. 6 '!AH73)</f>
        <v>0</v>
      </c>
    </row>
    <row r="15" spans="1:15" ht="33.75" customHeight="1" thickBot="1" x14ac:dyDescent="0.3">
      <c r="A15" s="171" t="s">
        <v>1421</v>
      </c>
      <c r="B15" s="171" t="s">
        <v>667</v>
      </c>
      <c r="C15" s="1272">
        <f>SUM('IV-1 su proj'!D79+'IV-1 su proj'!D81)</f>
        <v>0</v>
      </c>
      <c r="D15" s="1272">
        <f>SUM('3 pr-2'!AL80+'3 pr-2'!AL82)</f>
        <v>0</v>
      </c>
      <c r="E15" s="1272">
        <f>SUM('3 pr-2'!AM80+'3 pr-2'!AM82+'3 pr-2'!AM84+'3 pr-2'!AM85)</f>
        <v>0</v>
      </c>
      <c r="F15" s="1272">
        <f>SUM('3 pr-2'!AN80+'3 pr-2'!AN82+'3 pr-2'!AN84+'3 pr-2'!AN85)</f>
        <v>0</v>
      </c>
      <c r="G15" s="1272">
        <f>SUM('3 pr-2'!AO80+'3 pr-2'!AO82+'3 pr-2'!AO84+'3 pr-2'!AO85)</f>
        <v>1567659.8</v>
      </c>
      <c r="H15" s="1272">
        <f>SUM('3 pr-2'!AP80+'3 pr-2'!AP82+'3 pr-2'!AP84+'3 pr-2'!AP85)</f>
        <v>0</v>
      </c>
      <c r="I15" s="1227">
        <f t="shared" ref="I15:I16" si="5">SUM(C15:H15)</f>
        <v>1567659.8</v>
      </c>
      <c r="J15" s="1010">
        <v>1567660</v>
      </c>
      <c r="K15" s="1009">
        <f t="shared" si="3"/>
        <v>0.19999999995343387</v>
      </c>
      <c r="L15" s="1008">
        <f ca="1">SUM(K15+'ketv. 6 '!AH79+'ketv. 6 '!AH81)</f>
        <v>0.19999999995343387</v>
      </c>
      <c r="M15" s="921"/>
    </row>
    <row r="16" spans="1:15" ht="27" customHeight="1" thickBot="1" x14ac:dyDescent="0.3">
      <c r="A16" s="171" t="s">
        <v>270</v>
      </c>
      <c r="B16" s="171" t="s">
        <v>668</v>
      </c>
      <c r="C16" s="1272">
        <f>SUM('IV-1 su proj'!D80+'IV-1 su proj'!D82)</f>
        <v>0</v>
      </c>
      <c r="D16" s="1272">
        <f>SUM('3 pr-2'!AL81+'3 pr-2'!AL83)</f>
        <v>0</v>
      </c>
      <c r="E16" s="1272">
        <f>SUM('3 pr-2'!AM81+'3 pr-2'!AM83)</f>
        <v>43042.3</v>
      </c>
      <c r="F16" s="1272">
        <f>SUM('3 pr-2'!AN81+'3 pr-2'!AN83)</f>
        <v>0</v>
      </c>
      <c r="G16" s="1272">
        <f>SUM('3 pr-2'!AO81+'3 pr-2'!AO83)</f>
        <v>0</v>
      </c>
      <c r="H16" s="1272">
        <f>SUM('3 pr-2'!AP81+'3 pr-2'!AP83)</f>
        <v>0</v>
      </c>
      <c r="I16" s="1227">
        <f t="shared" si="5"/>
        <v>43042.3</v>
      </c>
      <c r="J16" s="1010">
        <f>SUM('ketv. 6 '!AF80+'ketv. 6 '!AF82)</f>
        <v>43042.3</v>
      </c>
      <c r="K16" s="1009">
        <f t="shared" si="3"/>
        <v>0</v>
      </c>
      <c r="L16" s="1008">
        <f>SUM(K16+'ketv. 6 '!AH80+'ketv. 6 '!AH82)</f>
        <v>0</v>
      </c>
    </row>
    <row r="17" spans="1:12" ht="32.25" thickBot="1" x14ac:dyDescent="0.3">
      <c r="A17" s="171" t="s">
        <v>148</v>
      </c>
      <c r="B17" s="171" t="s">
        <v>669</v>
      </c>
      <c r="C17" s="1272">
        <f>SUM('IV-1 su proj'!D85)</f>
        <v>0</v>
      </c>
      <c r="D17" s="1272">
        <f>SUM('3 pr-2'!AL86)</f>
        <v>0</v>
      </c>
      <c r="E17" s="1272">
        <f>SUM('3 pr-2'!AM86)</f>
        <v>189941</v>
      </c>
      <c r="F17" s="1272">
        <f>SUM('3 pr-2'!AN86)</f>
        <v>166143.13</v>
      </c>
      <c r="G17" s="1272">
        <f>SUM('3 pr-2'!AO86)</f>
        <v>56623</v>
      </c>
      <c r="H17" s="1272">
        <f>SUM('3 pr-2'!AP86)</f>
        <v>0</v>
      </c>
      <c r="I17" s="1227">
        <f t="shared" ref="I17" si="6">SUM(C17:H17)</f>
        <v>412707.13</v>
      </c>
      <c r="J17" s="1010">
        <v>415732</v>
      </c>
      <c r="K17" s="1009">
        <f t="shared" si="3"/>
        <v>3024.8699999999953</v>
      </c>
      <c r="L17" s="1008">
        <f ca="1">SUM(K17+'ketv. 6 '!AH85)</f>
        <v>7071.3099999999977</v>
      </c>
    </row>
    <row r="18" spans="1:12" ht="25.5" customHeight="1" thickBot="1" x14ac:dyDescent="0.3">
      <c r="A18" s="171" t="s">
        <v>670</v>
      </c>
      <c r="B18" s="171" t="s">
        <v>803</v>
      </c>
      <c r="C18" s="1272">
        <f>SUM('IV-1 su proj'!D91)</f>
        <v>0</v>
      </c>
      <c r="D18" s="1272">
        <f>SUM('3 pr-2'!AL92)</f>
        <v>0</v>
      </c>
      <c r="E18" s="1272">
        <f>SUM('3 pr-2'!AM92)</f>
        <v>1458082</v>
      </c>
      <c r="F18" s="1272">
        <f>SUM('3 pr-2'!AN92)</f>
        <v>1481736</v>
      </c>
      <c r="G18" s="1272">
        <f>SUM('3 pr-2'!AO92)</f>
        <v>112989</v>
      </c>
      <c r="H18" s="1272">
        <f>SUM('3 pr-2'!AP92)</f>
        <v>0</v>
      </c>
      <c r="I18" s="1227">
        <f t="shared" ref="I18" si="7">SUM(C18:H18)</f>
        <v>3052807</v>
      </c>
      <c r="J18" s="1010">
        <v>3052809</v>
      </c>
      <c r="K18" s="1009">
        <f t="shared" si="3"/>
        <v>2</v>
      </c>
      <c r="L18" s="1008">
        <f ca="1">SUM(K18+'ketv. 6 '!AH91)</f>
        <v>2</v>
      </c>
    </row>
    <row r="19" spans="1:12" ht="32.25" thickBot="1" x14ac:dyDescent="0.3">
      <c r="A19" s="171" t="s">
        <v>673</v>
      </c>
      <c r="B19" s="171" t="s">
        <v>672</v>
      </c>
      <c r="C19" s="1272">
        <f>SUM('IV-1 su proj'!D101)</f>
        <v>0</v>
      </c>
      <c r="D19" s="1272">
        <f>SUM('3 pr-2'!AL102)</f>
        <v>0</v>
      </c>
      <c r="E19" s="1272">
        <f>SUM('3 pr-2'!AM102)</f>
        <v>139295</v>
      </c>
      <c r="F19" s="1272">
        <f>SUM('3 pr-2'!AN102)</f>
        <v>1003082</v>
      </c>
      <c r="G19" s="1272">
        <f>SUM('3 pr-2'!AO102)</f>
        <v>0</v>
      </c>
      <c r="H19" s="1272">
        <f>SUM('3 pr-2'!AP102)</f>
        <v>0</v>
      </c>
      <c r="I19" s="1227">
        <f t="shared" ref="I19" si="8">SUM(C19:H19)</f>
        <v>1142377</v>
      </c>
      <c r="J19" s="1010">
        <v>1142378</v>
      </c>
      <c r="K19" s="1009">
        <f t="shared" si="3"/>
        <v>1</v>
      </c>
      <c r="L19" s="1008">
        <f ca="1">SUM(K19+'ketv. 6 '!AH101)</f>
        <v>1</v>
      </c>
    </row>
    <row r="20" spans="1:12" ht="32.25" thickBot="1" x14ac:dyDescent="0.3">
      <c r="A20" s="171" t="s">
        <v>139</v>
      </c>
      <c r="B20" s="171" t="s">
        <v>674</v>
      </c>
      <c r="C20" s="1272">
        <f>SUM('IV-1 su proj'!D105)</f>
        <v>0</v>
      </c>
      <c r="D20" s="1272">
        <f>SUM('3 pr-2'!AL108)</f>
        <v>0</v>
      </c>
      <c r="E20" s="1309">
        <f>SUM('3 pr-2'!AM108)</f>
        <v>611625</v>
      </c>
      <c r="F20" s="1272">
        <f>SUM('3 pr-2'!AN108)</f>
        <v>874382</v>
      </c>
      <c r="G20" s="1272">
        <f>SUM('3 pr-2'!AO108)</f>
        <v>0</v>
      </c>
      <c r="H20" s="1272">
        <f>SUM('3 pr-2'!AP108)</f>
        <v>0</v>
      </c>
      <c r="I20" s="1308">
        <f t="shared" ref="I20" si="9">SUM(C20:H20)</f>
        <v>1486007</v>
      </c>
      <c r="J20" s="1010">
        <v>1486009</v>
      </c>
      <c r="K20" s="1009">
        <f t="shared" si="3"/>
        <v>2</v>
      </c>
      <c r="L20" s="1008">
        <f ca="1">SUM(K20+'ketv. 6 '!AH107)</f>
        <v>2</v>
      </c>
    </row>
    <row r="21" spans="1:12" ht="32.25" thickBot="1" x14ac:dyDescent="0.3">
      <c r="A21" s="171" t="s">
        <v>140</v>
      </c>
      <c r="B21" s="171" t="s">
        <v>675</v>
      </c>
      <c r="C21" s="1272">
        <f>SUM('IV-1 su proj'!D111)</f>
        <v>0</v>
      </c>
      <c r="D21" s="1272">
        <f>SUM('3 pr-2'!AL114)</f>
        <v>0</v>
      </c>
      <c r="E21" s="1272">
        <f>SUM('3 pr-2'!AM114)</f>
        <v>0</v>
      </c>
      <c r="F21" s="1272">
        <f>SUM('3 pr-2'!AN114)</f>
        <v>1138588</v>
      </c>
      <c r="G21" s="1272">
        <f>SUM('3 pr-2'!AO114)</f>
        <v>0</v>
      </c>
      <c r="H21" s="1272">
        <f>SUM('3 pr-2'!AP114)</f>
        <v>0</v>
      </c>
      <c r="I21" s="1227">
        <f t="shared" ref="I21" si="10">SUM(C21:H21)</f>
        <v>1138588</v>
      </c>
      <c r="J21" s="1010">
        <v>1138588</v>
      </c>
      <c r="K21" s="1009">
        <f t="shared" si="3"/>
        <v>0</v>
      </c>
      <c r="L21" s="1008">
        <f ca="1">SUM(K21+'ketv. 6 '!AH113)</f>
        <v>0</v>
      </c>
    </row>
    <row r="22" spans="1:12" ht="48" thickBot="1" x14ac:dyDescent="0.3">
      <c r="A22" s="171" t="s">
        <v>153</v>
      </c>
      <c r="B22" s="171" t="s">
        <v>676</v>
      </c>
      <c r="C22" s="1272">
        <v>0</v>
      </c>
      <c r="D22" s="1272">
        <f>SUM('3 pr-2'!AL121)</f>
        <v>0</v>
      </c>
      <c r="E22" s="1272">
        <f>SUM('3 pr-2'!AM121)</f>
        <v>0</v>
      </c>
      <c r="F22" s="1272">
        <f>SUM('3 pr-2'!AN121)</f>
        <v>701375</v>
      </c>
      <c r="G22" s="1272">
        <f>SUM('3 pr-2'!AO121)</f>
        <v>529479</v>
      </c>
      <c r="H22" s="1272">
        <f>SUM('3 pr-2'!AP121)</f>
        <v>0</v>
      </c>
      <c r="I22" s="1227">
        <f t="shared" ref="I22:I23" si="11">SUM(C22:H22)</f>
        <v>1230854</v>
      </c>
      <c r="J22" s="1010">
        <v>1230854</v>
      </c>
      <c r="K22" s="1009">
        <f t="shared" si="3"/>
        <v>0</v>
      </c>
      <c r="L22" s="1008">
        <f ca="1">SUM(K22+'ketv. 6 '!AH120)</f>
        <v>0</v>
      </c>
    </row>
    <row r="23" spans="1:12" ht="63.75" thickBot="1" x14ac:dyDescent="0.3">
      <c r="A23" s="171" t="str">
        <f>CONCATENATE('3 pr-2'!H144)</f>
        <v>08.4.2-ESFA-R-615</v>
      </c>
      <c r="B23" s="171" t="s">
        <v>1225</v>
      </c>
      <c r="C23" s="1272">
        <v>0</v>
      </c>
      <c r="D23" s="1272">
        <f>SUM('3 pr-2'!AL141)</f>
        <v>0</v>
      </c>
      <c r="E23" s="1272">
        <f>SUM('3 pr-2'!AM141)</f>
        <v>0</v>
      </c>
      <c r="F23" s="1309">
        <f>SUM('3 pr-2'!AN141)</f>
        <v>54760.7</v>
      </c>
      <c r="G23" s="1272">
        <f>SUM('3 pr-2'!AO141)</f>
        <v>0</v>
      </c>
      <c r="H23" s="1272">
        <f>SUM('3 pr-2'!AP141)</f>
        <v>0</v>
      </c>
      <c r="I23" s="1308">
        <f t="shared" si="11"/>
        <v>54760.7</v>
      </c>
      <c r="J23" s="1010">
        <v>55431</v>
      </c>
      <c r="K23" s="1009">
        <f t="shared" si="3"/>
        <v>670.30000000000291</v>
      </c>
      <c r="L23" s="1008">
        <f ca="1">SUM(K23+'ketv. 6 '!AH140)</f>
        <v>670.65000000000873</v>
      </c>
    </row>
    <row r="24" spans="1:12" ht="32.25" thickBot="1" x14ac:dyDescent="0.3">
      <c r="A24" s="171" t="str">
        <f>CONCATENATE('3 pr-2'!H136)</f>
        <v>08.4.2-ESFA-R-630</v>
      </c>
      <c r="B24" s="171" t="s">
        <v>1201</v>
      </c>
      <c r="C24" s="1272">
        <v>0</v>
      </c>
      <c r="D24" s="1272">
        <f>SUM('3 pr-2'!AL135)</f>
        <v>0</v>
      </c>
      <c r="E24" s="1272">
        <f>SUM('3 pr-2'!AM135)</f>
        <v>0</v>
      </c>
      <c r="F24" s="1272">
        <f>SUM('3 pr-2'!AN135)</f>
        <v>845736.85</v>
      </c>
      <c r="G24" s="1272">
        <f>SUM('3 pr-2'!AO135)</f>
        <v>0</v>
      </c>
      <c r="H24" s="1272">
        <f>SUM('3 pr-2'!AP135)</f>
        <v>0</v>
      </c>
      <c r="I24" s="1227">
        <f t="shared" ref="I24" si="12">SUM(C24:H24)</f>
        <v>845736.85</v>
      </c>
      <c r="J24" s="1010">
        <v>845738</v>
      </c>
      <c r="K24" s="1009">
        <f t="shared" si="3"/>
        <v>1.1500000000232831</v>
      </c>
      <c r="L24" s="1008">
        <f ca="1">SUM(K24+'ketv. 6 '!AH134)</f>
        <v>1.1500000000232831</v>
      </c>
    </row>
    <row r="25" spans="1:12" ht="32.25" thickBot="1" x14ac:dyDescent="0.3">
      <c r="A25" s="171" t="s">
        <v>677</v>
      </c>
      <c r="B25" s="171" t="s">
        <v>263</v>
      </c>
      <c r="C25" s="1272">
        <f>SUM('IV-1 su proj'!D147)</f>
        <v>0</v>
      </c>
      <c r="D25" s="1272">
        <f>SUM('3 pr-2'!AL148)</f>
        <v>0</v>
      </c>
      <c r="E25" s="1309">
        <f>SUM('3 pr-2'!AM148)</f>
        <v>885761.15</v>
      </c>
      <c r="F25" s="1272">
        <f>SUM('3 pr-2'!AN148)</f>
        <v>0</v>
      </c>
      <c r="G25" s="1272">
        <f>SUM('3 pr-2'!AO148)</f>
        <v>0</v>
      </c>
      <c r="H25" s="1272">
        <f>SUM('3 pr-2'!AP148)</f>
        <v>0</v>
      </c>
      <c r="I25" s="1308">
        <f t="shared" ref="I25" si="13">SUM(C25:H25)</f>
        <v>885761.15</v>
      </c>
      <c r="J25" s="1010">
        <v>885762</v>
      </c>
      <c r="K25" s="1009">
        <f t="shared" si="3"/>
        <v>0.84999999997671694</v>
      </c>
      <c r="L25" s="1008">
        <f ca="1">SUM(K25+'ketv. 6 '!AH147)</f>
        <v>0.84999999997671694</v>
      </c>
    </row>
    <row r="26" spans="1:12" ht="26.25" customHeight="1" thickBot="1" x14ac:dyDescent="0.3">
      <c r="A26" s="171" t="s">
        <v>155</v>
      </c>
      <c r="B26" s="171" t="s">
        <v>678</v>
      </c>
      <c r="C26" s="1272">
        <f>SUM('IV-1 su proj'!D153)</f>
        <v>0</v>
      </c>
      <c r="D26" s="1272">
        <f>SUM('3 pr-2'!AL154)</f>
        <v>2520973.9900000002</v>
      </c>
      <c r="E26" s="1272">
        <f>SUM('3 pr-2'!AM154)</f>
        <v>0</v>
      </c>
      <c r="F26" s="1272">
        <f>SUM('3 pr-2'!AN154)</f>
        <v>0</v>
      </c>
      <c r="G26" s="1272">
        <f>SUM('3 pr-2'!AO154)</f>
        <v>0</v>
      </c>
      <c r="H26" s="1272">
        <f>SUM('3 pr-2'!AP154)</f>
        <v>0</v>
      </c>
      <c r="I26" s="1227">
        <f t="shared" ref="I26" si="14">SUM(C26:H26)</f>
        <v>2520973.9900000002</v>
      </c>
      <c r="J26" s="1010">
        <v>2520974</v>
      </c>
      <c r="K26" s="1009">
        <f t="shared" si="3"/>
        <v>9.9999997764825821E-3</v>
      </c>
      <c r="L26" s="1008">
        <f ca="1">SUM(K26+'ketv. 6 '!AH153)</f>
        <v>0.35999999978230335</v>
      </c>
    </row>
    <row r="27" spans="1:12" ht="48" thickBot="1" x14ac:dyDescent="0.3">
      <c r="A27" s="171" t="s">
        <v>1138</v>
      </c>
      <c r="B27" s="171" t="s">
        <v>679</v>
      </c>
      <c r="C27" s="1272">
        <f>SUM('IV-1 su proj'!D160)</f>
        <v>0</v>
      </c>
      <c r="D27" s="1272">
        <f>SUM('3 pr-2'!AL161)</f>
        <v>0</v>
      </c>
      <c r="E27" s="1272">
        <f>SUM('3 pr-2'!AM162:AM167)</f>
        <v>0</v>
      </c>
      <c r="F27" s="1272">
        <f>SUM('3 pr-2'!AN162:AN167)</f>
        <v>770807.84000000008</v>
      </c>
      <c r="G27" s="1272">
        <f>SUM('3 pr-2'!AO162:AO167)</f>
        <v>170000</v>
      </c>
      <c r="H27" s="1272">
        <f>SUM('3 pr-2'!AP162:AP167)</f>
        <v>0</v>
      </c>
      <c r="I27" s="1227">
        <f t="shared" ref="I27" si="15">SUM(C27:H27)</f>
        <v>940807.84000000008</v>
      </c>
      <c r="J27" s="1010">
        <v>982761</v>
      </c>
      <c r="K27" s="1009">
        <f t="shared" si="3"/>
        <v>41953.159999999916</v>
      </c>
      <c r="L27" s="1008">
        <f ca="1">SUM(K27+'ketv. 6 '!AH160)</f>
        <v>41953.159999999916</v>
      </c>
    </row>
    <row r="28" spans="1:12" ht="32.25" thickBot="1" x14ac:dyDescent="0.3">
      <c r="A28" s="171" t="s">
        <v>191</v>
      </c>
      <c r="B28" s="171" t="s">
        <v>680</v>
      </c>
      <c r="C28" s="1272">
        <f>SUM('IV-1 su proj'!D169)</f>
        <v>0</v>
      </c>
      <c r="D28" s="1272">
        <f>SUM('3 pr-2'!AL170)</f>
        <v>0</v>
      </c>
      <c r="E28" s="1272">
        <f>SUM('3 pr-2'!AM170)</f>
        <v>3352807.77</v>
      </c>
      <c r="F28" s="1272">
        <f>SUM('3 pr-2'!AN170)</f>
        <v>0</v>
      </c>
      <c r="G28" s="1272">
        <f>SUM('3 pr-2'!AO170)</f>
        <v>0</v>
      </c>
      <c r="H28" s="1272">
        <f>SUM('3 pr-2'!AP170)</f>
        <v>0</v>
      </c>
      <c r="I28" s="1227">
        <f t="shared" ref="I28" si="16">SUM(C28:H28)</f>
        <v>3352807.77</v>
      </c>
      <c r="J28" s="1010">
        <v>3352807.77</v>
      </c>
      <c r="K28" s="1009">
        <f t="shared" si="3"/>
        <v>0</v>
      </c>
      <c r="L28" s="1008">
        <f ca="1">SUM(K28+'ketv. 6 '!AH169)</f>
        <v>0</v>
      </c>
    </row>
    <row r="29" spans="1:12" ht="30.75" customHeight="1" thickBot="1" x14ac:dyDescent="0.3">
      <c r="A29" s="171" t="s">
        <v>193</v>
      </c>
      <c r="B29" s="171" t="s">
        <v>681</v>
      </c>
      <c r="C29" s="1272">
        <f>SUM('IV-1 su proj'!D173)</f>
        <v>0</v>
      </c>
      <c r="D29" s="1272">
        <f>SUM('3 pr-2'!AL173)</f>
        <v>0</v>
      </c>
      <c r="E29" s="1272">
        <f>SUM('3 pr-2'!AM173)</f>
        <v>831922.88</v>
      </c>
      <c r="F29" s="1309">
        <f>SUM('3 pr-2'!AN173)</f>
        <v>626057</v>
      </c>
      <c r="G29" s="1309">
        <f>SUM('3 pr-2'!AO173)</f>
        <v>673647.87</v>
      </c>
      <c r="H29" s="1272">
        <f>SUM('3 pr-2'!AP173)</f>
        <v>0</v>
      </c>
      <c r="I29" s="1308">
        <f t="shared" ref="I29" si="17">SUM(C29:H29)</f>
        <v>2131627.75</v>
      </c>
      <c r="J29" s="1010">
        <v>2131629</v>
      </c>
      <c r="K29" s="1009">
        <f t="shared" si="3"/>
        <v>1.25</v>
      </c>
      <c r="L29" s="1008">
        <f ca="1">SUM(K29+'ketv. 6 '!AH172)</f>
        <v>390033.65</v>
      </c>
    </row>
    <row r="30" spans="1:12" ht="20.25" hidden="1" thickTop="1" thickBot="1" x14ac:dyDescent="0.35">
      <c r="A30" s="923"/>
      <c r="B30" s="924"/>
      <c r="C30" s="925" t="s">
        <v>10</v>
      </c>
      <c r="D30" s="925" t="s">
        <v>10</v>
      </c>
      <c r="E30" s="925" t="s">
        <v>10</v>
      </c>
      <c r="F30" s="925" t="s">
        <v>10</v>
      </c>
      <c r="G30" s="925" t="s">
        <v>10</v>
      </c>
      <c r="H30" s="925" t="s">
        <v>10</v>
      </c>
      <c r="I30" s="926" t="s">
        <v>10</v>
      </c>
      <c r="J30" s="926" t="s">
        <v>10</v>
      </c>
      <c r="K30" s="926" t="s">
        <v>10</v>
      </c>
      <c r="L30" s="926" t="s">
        <v>10</v>
      </c>
    </row>
    <row r="31" spans="1:12" ht="19.5" hidden="1" thickBot="1" x14ac:dyDescent="0.35">
      <c r="A31" s="927"/>
      <c r="B31" s="928"/>
      <c r="C31" s="929">
        <f>SUM(C4:C29)</f>
        <v>0</v>
      </c>
      <c r="D31" s="929">
        <f t="shared" ref="D31:H31" si="18">SUM(D4:D29)</f>
        <v>5485523.7599999998</v>
      </c>
      <c r="E31" s="929">
        <f t="shared" si="18"/>
        <v>20710483.640000001</v>
      </c>
      <c r="F31" s="929">
        <f t="shared" si="18"/>
        <v>17187025.16</v>
      </c>
      <c r="G31" s="929">
        <f t="shared" si="18"/>
        <v>4809311.57</v>
      </c>
      <c r="H31" s="929">
        <f t="shared" si="18"/>
        <v>0</v>
      </c>
      <c r="I31" s="930">
        <f>SUM(C31:H31)</f>
        <v>48192344.130000003</v>
      </c>
      <c r="J31" s="931">
        <f>SUM(J4:J30)</f>
        <v>48128287.090000011</v>
      </c>
      <c r="K31" s="931">
        <f>SUM(K4:K30)</f>
        <v>-64057.040000000779</v>
      </c>
      <c r="L31" s="931">
        <f ca="1">SUM(L4:L30)</f>
        <v>3052621.7499999995</v>
      </c>
    </row>
    <row r="32" spans="1:12" ht="18.75" x14ac:dyDescent="0.3">
      <c r="A32" s="932"/>
      <c r="B32" s="933"/>
      <c r="C32" s="934"/>
      <c r="D32" s="934"/>
      <c r="E32" s="934"/>
      <c r="F32" s="934"/>
      <c r="G32" s="934"/>
      <c r="H32" s="934"/>
      <c r="I32" s="775"/>
      <c r="J32" s="775"/>
      <c r="K32" s="775"/>
      <c r="L32" s="775"/>
    </row>
    <row r="34" spans="1:10" ht="33" customHeight="1" thickBot="1" x14ac:dyDescent="0.3">
      <c r="A34" s="1937" t="s">
        <v>1392</v>
      </c>
      <c r="B34" s="1938"/>
      <c r="C34" s="1938"/>
      <c r="D34" s="1938"/>
      <c r="E34" s="1938"/>
      <c r="F34" s="1938"/>
      <c r="G34" s="1938"/>
      <c r="H34" s="1938"/>
      <c r="I34" s="1938"/>
    </row>
    <row r="35" spans="1:10" ht="17.25" thickTop="1" thickBot="1" x14ac:dyDescent="0.35">
      <c r="A35" s="1944" t="s">
        <v>1394</v>
      </c>
      <c r="B35" s="1942" t="s">
        <v>1393</v>
      </c>
      <c r="C35" s="1939" t="s">
        <v>682</v>
      </c>
      <c r="D35" s="1940"/>
      <c r="E35" s="1940"/>
      <c r="F35" s="1940"/>
      <c r="G35" s="1940"/>
      <c r="H35" s="1940"/>
      <c r="I35" s="1941"/>
    </row>
    <row r="36" spans="1:10" ht="62.25" customHeight="1" thickTop="1" thickBot="1" x14ac:dyDescent="0.3">
      <c r="A36" s="1945"/>
      <c r="B36" s="1943"/>
      <c r="C36" s="919">
        <v>2015</v>
      </c>
      <c r="D36" s="919">
        <v>2016</v>
      </c>
      <c r="E36" s="919">
        <v>2017</v>
      </c>
      <c r="F36" s="919">
        <v>2018</v>
      </c>
      <c r="G36" s="919">
        <v>2019</v>
      </c>
      <c r="H36" s="919">
        <v>2020</v>
      </c>
      <c r="I36" s="920" t="s">
        <v>336</v>
      </c>
    </row>
    <row r="37" spans="1:10" ht="48" thickBot="1" x14ac:dyDescent="0.3">
      <c r="A37" s="172" t="s">
        <v>444</v>
      </c>
      <c r="B37" s="172" t="s">
        <v>251</v>
      </c>
      <c r="C37" s="1270">
        <f t="shared" ref="C37:C62" si="19">SUM(C4)</f>
        <v>0</v>
      </c>
      <c r="D37" s="1270">
        <f t="shared" ref="D37:H46" si="20">SUM(C37+D4)</f>
        <v>0</v>
      </c>
      <c r="E37" s="1270">
        <f t="shared" si="20"/>
        <v>0</v>
      </c>
      <c r="F37" s="1270">
        <f t="shared" si="20"/>
        <v>2773893</v>
      </c>
      <c r="G37" s="1270">
        <f t="shared" si="20"/>
        <v>2773893</v>
      </c>
      <c r="H37" s="1270">
        <f t="shared" si="20"/>
        <v>2773893</v>
      </c>
      <c r="I37" s="1271">
        <f t="shared" ref="I37:I62" si="21">SUM(I4)</f>
        <v>2773893</v>
      </c>
    </row>
    <row r="38" spans="1:10" ht="32.25" thickBot="1" x14ac:dyDescent="0.3">
      <c r="A38" s="171" t="s">
        <v>146</v>
      </c>
      <c r="B38" s="171" t="s">
        <v>655</v>
      </c>
      <c r="C38" s="1272">
        <f t="shared" si="19"/>
        <v>0</v>
      </c>
      <c r="D38" s="1272">
        <f t="shared" si="20"/>
        <v>0</v>
      </c>
      <c r="E38" s="1272">
        <f t="shared" si="20"/>
        <v>0</v>
      </c>
      <c r="F38" s="1309">
        <f t="shared" si="20"/>
        <v>1929504.6400000001</v>
      </c>
      <c r="G38" s="1272">
        <f t="shared" si="20"/>
        <v>2816451.64</v>
      </c>
      <c r="H38" s="1272">
        <f t="shared" si="20"/>
        <v>2816451.64</v>
      </c>
      <c r="I38" s="1227">
        <f t="shared" si="21"/>
        <v>2816451.64</v>
      </c>
      <c r="J38" s="921">
        <f>SUM(I38-H38)</f>
        <v>0</v>
      </c>
    </row>
    <row r="39" spans="1:10" ht="26.25" customHeight="1" thickBot="1" x14ac:dyDescent="0.3">
      <c r="A39" s="171" t="s">
        <v>145</v>
      </c>
      <c r="B39" s="171" t="s">
        <v>656</v>
      </c>
      <c r="C39" s="1272">
        <f t="shared" si="19"/>
        <v>0</v>
      </c>
      <c r="D39" s="1272">
        <f t="shared" si="20"/>
        <v>1289392.2</v>
      </c>
      <c r="E39" s="1272">
        <f t="shared" si="20"/>
        <v>2778984.8899999997</v>
      </c>
      <c r="F39" s="1272">
        <f t="shared" si="20"/>
        <v>3697301.8899999997</v>
      </c>
      <c r="G39" s="1272">
        <f t="shared" si="20"/>
        <v>3697301.8899999997</v>
      </c>
      <c r="H39" s="1272">
        <f t="shared" si="20"/>
        <v>3697301.8899999997</v>
      </c>
      <c r="I39" s="1227">
        <f t="shared" si="21"/>
        <v>3697301.8899999997</v>
      </c>
      <c r="J39" s="921">
        <f>SUM(I39-H39)</f>
        <v>0</v>
      </c>
    </row>
    <row r="40" spans="1:10" ht="32.25" thickBot="1" x14ac:dyDescent="0.3">
      <c r="A40" s="171" t="s">
        <v>658</v>
      </c>
      <c r="B40" s="171" t="s">
        <v>657</v>
      </c>
      <c r="C40" s="1272">
        <f t="shared" si="19"/>
        <v>0</v>
      </c>
      <c r="D40" s="1272">
        <f t="shared" si="20"/>
        <v>575484.89</v>
      </c>
      <c r="E40" s="1272">
        <f t="shared" si="20"/>
        <v>575484.89</v>
      </c>
      <c r="F40" s="1272">
        <f t="shared" si="20"/>
        <v>575484.89</v>
      </c>
      <c r="G40" s="1272">
        <f t="shared" si="20"/>
        <v>575484.89</v>
      </c>
      <c r="H40" s="1272">
        <f t="shared" si="20"/>
        <v>575484.89</v>
      </c>
      <c r="I40" s="1227">
        <f t="shared" si="21"/>
        <v>575484.89</v>
      </c>
    </row>
    <row r="41" spans="1:10" ht="32.25" thickBot="1" x14ac:dyDescent="0.3">
      <c r="A41" s="171" t="s">
        <v>178</v>
      </c>
      <c r="B41" s="171" t="s">
        <v>659</v>
      </c>
      <c r="C41" s="1272">
        <f t="shared" si="19"/>
        <v>0</v>
      </c>
      <c r="D41" s="1272">
        <f t="shared" si="20"/>
        <v>1099672.68</v>
      </c>
      <c r="E41" s="1272">
        <f t="shared" si="20"/>
        <v>1099672.68</v>
      </c>
      <c r="F41" s="1272">
        <f t="shared" si="20"/>
        <v>1099672.68</v>
      </c>
      <c r="G41" s="1272">
        <f t="shared" si="20"/>
        <v>1099672.68</v>
      </c>
      <c r="H41" s="1272">
        <f t="shared" si="20"/>
        <v>1099672.68</v>
      </c>
      <c r="I41" s="1227">
        <f t="shared" si="21"/>
        <v>1099672.68</v>
      </c>
    </row>
    <row r="42" spans="1:10" ht="48" thickBot="1" x14ac:dyDescent="0.3">
      <c r="A42" s="171" t="s">
        <v>144</v>
      </c>
      <c r="B42" s="171" t="s">
        <v>660</v>
      </c>
      <c r="C42" s="1272">
        <f t="shared" si="19"/>
        <v>0</v>
      </c>
      <c r="D42" s="1272">
        <f t="shared" si="20"/>
        <v>0</v>
      </c>
      <c r="E42" s="1272">
        <f t="shared" si="20"/>
        <v>7999917.5700000003</v>
      </c>
      <c r="F42" s="1272">
        <f t="shared" si="20"/>
        <v>8920392.5700000003</v>
      </c>
      <c r="G42" s="1272">
        <f t="shared" si="20"/>
        <v>8920392.5700000003</v>
      </c>
      <c r="H42" s="1272">
        <f t="shared" si="20"/>
        <v>8920392.5700000003</v>
      </c>
      <c r="I42" s="1227">
        <f t="shared" si="21"/>
        <v>8920392.5700000003</v>
      </c>
    </row>
    <row r="43" spans="1:10" ht="32.25" thickBot="1" x14ac:dyDescent="0.3">
      <c r="A43" s="171" t="s">
        <v>179</v>
      </c>
      <c r="B43" s="171" t="s">
        <v>661</v>
      </c>
      <c r="C43" s="1272">
        <f t="shared" si="19"/>
        <v>0</v>
      </c>
      <c r="D43" s="1272">
        <f t="shared" si="20"/>
        <v>0</v>
      </c>
      <c r="E43" s="1272">
        <f t="shared" si="20"/>
        <v>2387993.48</v>
      </c>
      <c r="F43" s="1272">
        <f t="shared" si="20"/>
        <v>3399493.48</v>
      </c>
      <c r="G43" s="1272">
        <f t="shared" si="20"/>
        <v>3399493.48</v>
      </c>
      <c r="H43" s="1272">
        <f t="shared" si="20"/>
        <v>3399493.48</v>
      </c>
      <c r="I43" s="1227">
        <f t="shared" si="21"/>
        <v>3399493.48</v>
      </c>
    </row>
    <row r="44" spans="1:10" ht="48" thickBot="1" x14ac:dyDescent="0.3">
      <c r="A44" s="171" t="s">
        <v>774</v>
      </c>
      <c r="B44" s="171" t="s">
        <v>662</v>
      </c>
      <c r="C44" s="1272">
        <f t="shared" si="19"/>
        <v>0</v>
      </c>
      <c r="D44" s="1272">
        <f t="shared" si="20"/>
        <v>0</v>
      </c>
      <c r="E44" s="1272">
        <f t="shared" si="20"/>
        <v>421880.1</v>
      </c>
      <c r="F44" s="1309">
        <f t="shared" si="20"/>
        <v>421880.1</v>
      </c>
      <c r="G44" s="1272">
        <f t="shared" si="20"/>
        <v>611420</v>
      </c>
      <c r="H44" s="1272">
        <f t="shared" si="20"/>
        <v>611420</v>
      </c>
      <c r="I44" s="1227">
        <f t="shared" si="21"/>
        <v>611420</v>
      </c>
    </row>
    <row r="45" spans="1:10" ht="32.25" thickBot="1" x14ac:dyDescent="0.3">
      <c r="A45" s="171" t="s">
        <v>143</v>
      </c>
      <c r="B45" s="171" t="s">
        <v>663</v>
      </c>
      <c r="C45" s="1272">
        <f t="shared" si="19"/>
        <v>0</v>
      </c>
      <c r="D45" s="1272">
        <f t="shared" si="20"/>
        <v>0</v>
      </c>
      <c r="E45" s="1272">
        <f t="shared" si="20"/>
        <v>898622.7</v>
      </c>
      <c r="F45" s="1272">
        <f t="shared" si="20"/>
        <v>1198163.7</v>
      </c>
      <c r="G45" s="1272">
        <f t="shared" si="20"/>
        <v>1198163.7</v>
      </c>
      <c r="H45" s="1272">
        <f t="shared" si="20"/>
        <v>1198163.7</v>
      </c>
      <c r="I45" s="1227">
        <f t="shared" si="21"/>
        <v>1198163.7</v>
      </c>
    </row>
    <row r="46" spans="1:10" ht="32.25" thickBot="1" x14ac:dyDescent="0.3">
      <c r="A46" s="171" t="s">
        <v>182</v>
      </c>
      <c r="B46" s="171" t="s">
        <v>664</v>
      </c>
      <c r="C46" s="1272">
        <f t="shared" si="19"/>
        <v>0</v>
      </c>
      <c r="D46" s="1272">
        <f t="shared" si="20"/>
        <v>0</v>
      </c>
      <c r="E46" s="1272">
        <f t="shared" si="20"/>
        <v>0</v>
      </c>
      <c r="F46" s="1272">
        <f t="shared" si="20"/>
        <v>1030280</v>
      </c>
      <c r="G46" s="1272">
        <f t="shared" si="20"/>
        <v>1030280</v>
      </c>
      <c r="H46" s="1272">
        <f t="shared" si="20"/>
        <v>1030280</v>
      </c>
      <c r="I46" s="1227">
        <f t="shared" si="21"/>
        <v>1030280</v>
      </c>
    </row>
    <row r="47" spans="1:10" ht="48" thickBot="1" x14ac:dyDescent="0.3">
      <c r="A47" s="171" t="s">
        <v>666</v>
      </c>
      <c r="B47" s="171" t="s">
        <v>665</v>
      </c>
      <c r="C47" s="1272">
        <f t="shared" si="19"/>
        <v>0</v>
      </c>
      <c r="D47" s="1272">
        <f t="shared" ref="D47:H56" si="22">SUM(C47+D14)</f>
        <v>0</v>
      </c>
      <c r="E47" s="1272">
        <f t="shared" si="22"/>
        <v>0</v>
      </c>
      <c r="F47" s="1272">
        <f t="shared" si="22"/>
        <v>640846</v>
      </c>
      <c r="G47" s="1272">
        <f t="shared" si="22"/>
        <v>1263272</v>
      </c>
      <c r="H47" s="1272">
        <f t="shared" si="22"/>
        <v>1263272</v>
      </c>
      <c r="I47" s="1227">
        <f t="shared" si="21"/>
        <v>1263272</v>
      </c>
    </row>
    <row r="48" spans="1:10" ht="24" customHeight="1" thickBot="1" x14ac:dyDescent="0.3">
      <c r="A48" s="171" t="s">
        <v>147</v>
      </c>
      <c r="B48" s="171" t="s">
        <v>667</v>
      </c>
      <c r="C48" s="1272">
        <f t="shared" si="19"/>
        <v>0</v>
      </c>
      <c r="D48" s="1272">
        <f t="shared" si="22"/>
        <v>0</v>
      </c>
      <c r="E48" s="1272">
        <f t="shared" si="22"/>
        <v>0</v>
      </c>
      <c r="F48" s="1272">
        <f t="shared" si="22"/>
        <v>0</v>
      </c>
      <c r="G48" s="1272">
        <f t="shared" si="22"/>
        <v>1567659.8</v>
      </c>
      <c r="H48" s="1272">
        <f t="shared" si="22"/>
        <v>1567659.8</v>
      </c>
      <c r="I48" s="1227">
        <f t="shared" si="21"/>
        <v>1567659.8</v>
      </c>
    </row>
    <row r="49" spans="1:13" ht="29.25" customHeight="1" thickBot="1" x14ac:dyDescent="0.3">
      <c r="A49" s="171" t="s">
        <v>270</v>
      </c>
      <c r="B49" s="171" t="s">
        <v>668</v>
      </c>
      <c r="C49" s="1272">
        <f t="shared" si="19"/>
        <v>0</v>
      </c>
      <c r="D49" s="1272">
        <f t="shared" si="22"/>
        <v>0</v>
      </c>
      <c r="E49" s="1272">
        <f t="shared" si="22"/>
        <v>43042.3</v>
      </c>
      <c r="F49" s="1272">
        <f t="shared" si="22"/>
        <v>43042.3</v>
      </c>
      <c r="G49" s="1272">
        <f t="shared" si="22"/>
        <v>43042.3</v>
      </c>
      <c r="H49" s="1272">
        <f t="shared" si="22"/>
        <v>43042.3</v>
      </c>
      <c r="I49" s="1227">
        <f t="shared" si="21"/>
        <v>43042.3</v>
      </c>
    </row>
    <row r="50" spans="1:13" ht="32.25" thickBot="1" x14ac:dyDescent="0.3">
      <c r="A50" s="171" t="s">
        <v>148</v>
      </c>
      <c r="B50" s="171" t="s">
        <v>669</v>
      </c>
      <c r="C50" s="1272">
        <f t="shared" si="19"/>
        <v>0</v>
      </c>
      <c r="D50" s="1272">
        <f t="shared" si="22"/>
        <v>0</v>
      </c>
      <c r="E50" s="1272">
        <f t="shared" si="22"/>
        <v>189941</v>
      </c>
      <c r="F50" s="1272">
        <f t="shared" si="22"/>
        <v>356084.13</v>
      </c>
      <c r="G50" s="1272">
        <f t="shared" si="22"/>
        <v>412707.13</v>
      </c>
      <c r="H50" s="1272">
        <f t="shared" si="22"/>
        <v>412707.13</v>
      </c>
      <c r="I50" s="1227">
        <f t="shared" si="21"/>
        <v>412707.13</v>
      </c>
    </row>
    <row r="51" spans="1:13" ht="48" thickBot="1" x14ac:dyDescent="0.3">
      <c r="A51" s="171" t="s">
        <v>670</v>
      </c>
      <c r="B51" s="171" t="s">
        <v>671</v>
      </c>
      <c r="C51" s="1272">
        <f t="shared" si="19"/>
        <v>0</v>
      </c>
      <c r="D51" s="1272">
        <f t="shared" si="22"/>
        <v>0</v>
      </c>
      <c r="E51" s="1272">
        <f t="shared" si="22"/>
        <v>1458082</v>
      </c>
      <c r="F51" s="1272">
        <f t="shared" si="22"/>
        <v>2939818</v>
      </c>
      <c r="G51" s="1272">
        <f t="shared" si="22"/>
        <v>3052807</v>
      </c>
      <c r="H51" s="1272">
        <f t="shared" si="22"/>
        <v>3052807</v>
      </c>
      <c r="I51" s="1227">
        <f t="shared" si="21"/>
        <v>3052807</v>
      </c>
    </row>
    <row r="52" spans="1:13" ht="32.25" thickBot="1" x14ac:dyDescent="0.3">
      <c r="A52" s="171" t="s">
        <v>673</v>
      </c>
      <c r="B52" s="171" t="s">
        <v>672</v>
      </c>
      <c r="C52" s="1272">
        <f t="shared" si="19"/>
        <v>0</v>
      </c>
      <c r="D52" s="1272">
        <f t="shared" si="22"/>
        <v>0</v>
      </c>
      <c r="E52" s="1272">
        <f t="shared" si="22"/>
        <v>139295</v>
      </c>
      <c r="F52" s="1272">
        <f t="shared" si="22"/>
        <v>1142377</v>
      </c>
      <c r="G52" s="1272">
        <f t="shared" si="22"/>
        <v>1142377</v>
      </c>
      <c r="H52" s="1272">
        <f t="shared" si="22"/>
        <v>1142377</v>
      </c>
      <c r="I52" s="1227">
        <f t="shared" si="21"/>
        <v>1142377</v>
      </c>
    </row>
    <row r="53" spans="1:13" ht="32.25" thickBot="1" x14ac:dyDescent="0.3">
      <c r="A53" s="171" t="s">
        <v>139</v>
      </c>
      <c r="B53" s="171" t="s">
        <v>674</v>
      </c>
      <c r="C53" s="1272">
        <f t="shared" si="19"/>
        <v>0</v>
      </c>
      <c r="D53" s="1272">
        <f t="shared" si="22"/>
        <v>0</v>
      </c>
      <c r="E53" s="1309">
        <f t="shared" si="22"/>
        <v>611625</v>
      </c>
      <c r="F53" s="1309">
        <f t="shared" si="22"/>
        <v>1486007</v>
      </c>
      <c r="G53" s="1309">
        <f t="shared" si="22"/>
        <v>1486007</v>
      </c>
      <c r="H53" s="1309">
        <f t="shared" si="22"/>
        <v>1486007</v>
      </c>
      <c r="I53" s="1308">
        <f t="shared" si="21"/>
        <v>1486007</v>
      </c>
    </row>
    <row r="54" spans="1:13" ht="32.25" thickBot="1" x14ac:dyDescent="0.3">
      <c r="A54" s="171" t="s">
        <v>140</v>
      </c>
      <c r="B54" s="171" t="s">
        <v>675</v>
      </c>
      <c r="C54" s="1272">
        <f t="shared" si="19"/>
        <v>0</v>
      </c>
      <c r="D54" s="1272">
        <f t="shared" si="22"/>
        <v>0</v>
      </c>
      <c r="E54" s="1272">
        <f t="shared" si="22"/>
        <v>0</v>
      </c>
      <c r="F54" s="1272">
        <f t="shared" si="22"/>
        <v>1138588</v>
      </c>
      <c r="G54" s="1272">
        <f t="shared" si="22"/>
        <v>1138588</v>
      </c>
      <c r="H54" s="1272">
        <f t="shared" si="22"/>
        <v>1138588</v>
      </c>
      <c r="I54" s="1227">
        <f t="shared" si="21"/>
        <v>1138588</v>
      </c>
    </row>
    <row r="55" spans="1:13" ht="48" thickBot="1" x14ac:dyDescent="0.3">
      <c r="A55" s="171" t="s">
        <v>153</v>
      </c>
      <c r="B55" s="171" t="s">
        <v>676</v>
      </c>
      <c r="C55" s="1272">
        <f t="shared" si="19"/>
        <v>0</v>
      </c>
      <c r="D55" s="1272">
        <f t="shared" si="22"/>
        <v>0</v>
      </c>
      <c r="E55" s="1272">
        <f t="shared" si="22"/>
        <v>0</v>
      </c>
      <c r="F55" s="1272">
        <f t="shared" si="22"/>
        <v>701375</v>
      </c>
      <c r="G55" s="1272">
        <f t="shared" si="22"/>
        <v>1230854</v>
      </c>
      <c r="H55" s="1272">
        <f t="shared" si="22"/>
        <v>1230854</v>
      </c>
      <c r="I55" s="1227">
        <f t="shared" si="21"/>
        <v>1230854</v>
      </c>
    </row>
    <row r="56" spans="1:13" ht="63.75" thickBot="1" x14ac:dyDescent="0.3">
      <c r="A56" s="171" t="s">
        <v>1208</v>
      </c>
      <c r="B56" s="171" t="s">
        <v>1225</v>
      </c>
      <c r="C56" s="1272">
        <f t="shared" si="19"/>
        <v>0</v>
      </c>
      <c r="D56" s="1272">
        <f t="shared" si="22"/>
        <v>0</v>
      </c>
      <c r="E56" s="1272">
        <f t="shared" si="22"/>
        <v>0</v>
      </c>
      <c r="F56" s="1309">
        <f t="shared" si="22"/>
        <v>54760.7</v>
      </c>
      <c r="G56" s="1309">
        <f t="shared" si="22"/>
        <v>54760.7</v>
      </c>
      <c r="H56" s="1309">
        <f t="shared" si="22"/>
        <v>54760.7</v>
      </c>
      <c r="I56" s="1308">
        <f t="shared" si="21"/>
        <v>54760.7</v>
      </c>
      <c r="M56" s="921"/>
    </row>
    <row r="57" spans="1:13" ht="32.25" thickBot="1" x14ac:dyDescent="0.3">
      <c r="A57" s="171" t="str">
        <f>CONCATENATE(A24)</f>
        <v>08.4.2-ESFA-R-630</v>
      </c>
      <c r="B57" s="171" t="str">
        <f>CONCATENATE(B24)</f>
        <v xml:space="preserve"> "Sveikos gyvensenos skatinimas regioniniu lygiu“</v>
      </c>
      <c r="C57" s="1272">
        <f t="shared" si="19"/>
        <v>0</v>
      </c>
      <c r="D57" s="1272">
        <f t="shared" ref="D57:H57" si="23">SUM(C57+D24)</f>
        <v>0</v>
      </c>
      <c r="E57" s="1272">
        <f t="shared" si="23"/>
        <v>0</v>
      </c>
      <c r="F57" s="1272">
        <f t="shared" si="23"/>
        <v>845736.85</v>
      </c>
      <c r="G57" s="1272">
        <f t="shared" si="23"/>
        <v>845736.85</v>
      </c>
      <c r="H57" s="1272">
        <f t="shared" si="23"/>
        <v>845736.85</v>
      </c>
      <c r="I57" s="1227">
        <f t="shared" si="21"/>
        <v>845736.85</v>
      </c>
    </row>
    <row r="58" spans="1:13" ht="32.25" thickBot="1" x14ac:dyDescent="0.3">
      <c r="A58" s="171" t="s">
        <v>677</v>
      </c>
      <c r="B58" s="171" t="s">
        <v>263</v>
      </c>
      <c r="C58" s="1272">
        <f t="shared" si="19"/>
        <v>0</v>
      </c>
      <c r="D58" s="1272">
        <f t="shared" ref="D58:H62" si="24">SUM(C58+D25)</f>
        <v>0</v>
      </c>
      <c r="E58" s="1309">
        <f t="shared" si="24"/>
        <v>885761.15</v>
      </c>
      <c r="F58" s="1309">
        <f t="shared" si="24"/>
        <v>885761.15</v>
      </c>
      <c r="G58" s="1309">
        <f t="shared" si="24"/>
        <v>885761.15</v>
      </c>
      <c r="H58" s="1309">
        <f t="shared" si="24"/>
        <v>885761.15</v>
      </c>
      <c r="I58" s="1308">
        <f t="shared" si="21"/>
        <v>885761.15</v>
      </c>
    </row>
    <row r="59" spans="1:13" ht="28.5" customHeight="1" thickBot="1" x14ac:dyDescent="0.3">
      <c r="A59" s="171" t="s">
        <v>155</v>
      </c>
      <c r="B59" s="171" t="s">
        <v>678</v>
      </c>
      <c r="C59" s="1272">
        <f t="shared" si="19"/>
        <v>0</v>
      </c>
      <c r="D59" s="1272">
        <f t="shared" si="24"/>
        <v>2520973.9900000002</v>
      </c>
      <c r="E59" s="1272">
        <f t="shared" si="24"/>
        <v>2520973.9900000002</v>
      </c>
      <c r="F59" s="1272">
        <f t="shared" si="24"/>
        <v>2520973.9900000002</v>
      </c>
      <c r="G59" s="1272">
        <f t="shared" si="24"/>
        <v>2520973.9900000002</v>
      </c>
      <c r="H59" s="1272">
        <f t="shared" si="24"/>
        <v>2520973.9900000002</v>
      </c>
      <c r="I59" s="1227">
        <f t="shared" si="21"/>
        <v>2520973.9900000002</v>
      </c>
    </row>
    <row r="60" spans="1:13" ht="48" thickBot="1" x14ac:dyDescent="0.3">
      <c r="A60" s="171" t="s">
        <v>1138</v>
      </c>
      <c r="B60" s="171" t="s">
        <v>679</v>
      </c>
      <c r="C60" s="1272">
        <f t="shared" si="19"/>
        <v>0</v>
      </c>
      <c r="D60" s="1272">
        <f t="shared" si="24"/>
        <v>0</v>
      </c>
      <c r="E60" s="1272">
        <f t="shared" si="24"/>
        <v>0</v>
      </c>
      <c r="F60" s="1272">
        <f t="shared" si="24"/>
        <v>770807.84000000008</v>
      </c>
      <c r="G60" s="1272">
        <f t="shared" si="24"/>
        <v>940807.84000000008</v>
      </c>
      <c r="H60" s="1272">
        <f t="shared" si="24"/>
        <v>940807.84000000008</v>
      </c>
      <c r="I60" s="1227">
        <f t="shared" si="21"/>
        <v>940807.84000000008</v>
      </c>
    </row>
    <row r="61" spans="1:13" ht="32.25" thickBot="1" x14ac:dyDescent="0.3">
      <c r="A61" s="171" t="s">
        <v>191</v>
      </c>
      <c r="B61" s="171" t="s">
        <v>680</v>
      </c>
      <c r="C61" s="1272">
        <f t="shared" si="19"/>
        <v>0</v>
      </c>
      <c r="D61" s="1272">
        <f t="shared" si="24"/>
        <v>0</v>
      </c>
      <c r="E61" s="1272">
        <f t="shared" si="24"/>
        <v>3352807.77</v>
      </c>
      <c r="F61" s="1272">
        <f t="shared" si="24"/>
        <v>3352807.77</v>
      </c>
      <c r="G61" s="1272">
        <f t="shared" si="24"/>
        <v>3352807.77</v>
      </c>
      <c r="H61" s="1272">
        <f t="shared" si="24"/>
        <v>3352807.77</v>
      </c>
      <c r="I61" s="1227">
        <f t="shared" si="21"/>
        <v>3352807.77</v>
      </c>
    </row>
    <row r="62" spans="1:13" ht="30.75" customHeight="1" thickBot="1" x14ac:dyDescent="0.3">
      <c r="A62" s="171" t="s">
        <v>193</v>
      </c>
      <c r="B62" s="171" t="s">
        <v>681</v>
      </c>
      <c r="C62" s="1272">
        <f t="shared" si="19"/>
        <v>0</v>
      </c>
      <c r="D62" s="1272">
        <f t="shared" si="24"/>
        <v>0</v>
      </c>
      <c r="E62" s="1272">
        <f t="shared" si="24"/>
        <v>831922.88</v>
      </c>
      <c r="F62" s="1309">
        <f t="shared" si="24"/>
        <v>1457979.88</v>
      </c>
      <c r="G62" s="1309">
        <f t="shared" si="24"/>
        <v>2131627.75</v>
      </c>
      <c r="H62" s="1309">
        <f t="shared" si="24"/>
        <v>2131627.75</v>
      </c>
      <c r="I62" s="1308">
        <f t="shared" si="21"/>
        <v>2131627.75</v>
      </c>
    </row>
    <row r="63" spans="1:13" ht="19.5" hidden="1" thickBot="1" x14ac:dyDescent="0.35">
      <c r="B63" s="924"/>
      <c r="C63" s="925" t="s">
        <v>10</v>
      </c>
      <c r="D63" s="925" t="s">
        <v>10</v>
      </c>
      <c r="E63" s="925" t="s">
        <v>10</v>
      </c>
      <c r="F63" s="925" t="s">
        <v>10</v>
      </c>
      <c r="G63" s="925" t="s">
        <v>10</v>
      </c>
      <c r="H63" s="925" t="s">
        <v>10</v>
      </c>
      <c r="I63" s="926" t="s">
        <v>10</v>
      </c>
    </row>
    <row r="64" spans="1:13" ht="19.5" hidden="1" thickBot="1" x14ac:dyDescent="0.35">
      <c r="B64" s="928"/>
      <c r="C64" s="929">
        <f t="shared" ref="C64:G64" si="25">SUM(C37:C62)</f>
        <v>0</v>
      </c>
      <c r="D64" s="929">
        <f t="shared" si="25"/>
        <v>5485523.7599999998</v>
      </c>
      <c r="E64" s="929">
        <f t="shared" si="25"/>
        <v>26196007.399999999</v>
      </c>
      <c r="F64" s="929">
        <f t="shared" si="25"/>
        <v>43383032.56000001</v>
      </c>
      <c r="G64" s="929">
        <f t="shared" si="25"/>
        <v>48192344.13000001</v>
      </c>
      <c r="H64" s="929">
        <f>SUM(H37:H62)</f>
        <v>48192344.13000001</v>
      </c>
      <c r="I64" s="930">
        <f>SUM(I37:I62)</f>
        <v>48192344.13000001</v>
      </c>
    </row>
  </sheetData>
  <mergeCells count="8">
    <mergeCell ref="A1:I1"/>
    <mergeCell ref="C2:I2"/>
    <mergeCell ref="B2:B3"/>
    <mergeCell ref="A2:A3"/>
    <mergeCell ref="C35:I35"/>
    <mergeCell ref="B35:B36"/>
    <mergeCell ref="A35:A36"/>
    <mergeCell ref="A34:I34"/>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showRuler="0" topLeftCell="A2" zoomScaleNormal="100" workbookViewId="0">
      <pane ySplit="2220" topLeftCell="A24" activePane="bottomLeft"/>
      <selection activeCell="O14" sqref="O14"/>
      <selection pane="bottomLeft" activeCell="E52" sqref="E52"/>
    </sheetView>
  </sheetViews>
  <sheetFormatPr defaultRowHeight="15" x14ac:dyDescent="0.25"/>
  <cols>
    <col min="1" max="1" width="9.140625" style="126"/>
    <col min="2" max="2" width="82.85546875" style="126" customWidth="1"/>
    <col min="3" max="3" width="20" style="126" customWidth="1"/>
    <col min="4" max="4" width="18.28515625" style="126" customWidth="1"/>
    <col min="5" max="5" width="19.42578125" style="126" customWidth="1"/>
    <col min="6" max="6" width="19.42578125" style="126" hidden="1" customWidth="1"/>
    <col min="7" max="7" width="9.140625" style="126"/>
    <col min="8" max="8" width="18.85546875" style="126" customWidth="1"/>
    <col min="9" max="9" width="12" style="126" bestFit="1" customWidth="1"/>
    <col min="10" max="10" width="10.7109375" style="126" customWidth="1"/>
    <col min="11" max="16384" width="9.140625" style="126"/>
  </cols>
  <sheetData>
    <row r="1" spans="1:6" ht="16.5" thickBot="1" x14ac:dyDescent="0.3">
      <c r="A1" s="792" t="s">
        <v>1395</v>
      </c>
      <c r="B1" s="56"/>
      <c r="C1" s="56"/>
      <c r="D1" s="56"/>
      <c r="E1" s="56"/>
      <c r="F1" s="56"/>
    </row>
    <row r="2" spans="1:6" ht="79.5" thickBot="1" x14ac:dyDescent="0.3">
      <c r="A2" s="936" t="s">
        <v>371</v>
      </c>
      <c r="B2" s="937" t="s">
        <v>372</v>
      </c>
      <c r="C2" s="937" t="s">
        <v>373</v>
      </c>
      <c r="D2" s="937" t="s">
        <v>374</v>
      </c>
      <c r="E2" s="937" t="s">
        <v>683</v>
      </c>
      <c r="F2" s="937" t="s">
        <v>1780</v>
      </c>
    </row>
    <row r="3" spans="1:6" ht="16.5" thickBot="1" x14ac:dyDescent="0.3">
      <c r="A3" s="938">
        <v>2</v>
      </c>
      <c r="B3" s="939" t="s">
        <v>351</v>
      </c>
      <c r="C3" s="314">
        <f>COUNTIF('IV-3'!$K$8:$K$180,A3)+COUNTIF('IV-3'!$M$8:$M$180,A3)+COUNTIF('IV-3'!$O$8:$O$180,A3)</f>
        <v>5</v>
      </c>
      <c r="D3" s="314">
        <f>COUNTIF('IV-3'!$K$8:$K$180,A3)</f>
        <v>0</v>
      </c>
      <c r="E3" s="313">
        <f>SUMIF('IV-3'!$L$8:$L$180,B3,'IV-3'!$V$8:$V$180)</f>
        <v>0</v>
      </c>
      <c r="F3" s="313">
        <f>SUMIF('IV-3'!$L$8:$L$180,B3,'IV-3'!$W$8:$W$180)</f>
        <v>0</v>
      </c>
    </row>
    <row r="4" spans="1:6" ht="16.5" thickBot="1" x14ac:dyDescent="0.3">
      <c r="A4" s="938">
        <v>5</v>
      </c>
      <c r="B4" s="939" t="s">
        <v>369</v>
      </c>
      <c r="C4" s="314">
        <f>COUNTIF('IV-3'!$K$8:$K$180,A4)+COUNTIF('IV-3'!$M$8:$M$180,A4)+COUNTIF('IV-3'!$O$8:$O$180,A4)</f>
        <v>1</v>
      </c>
      <c r="D4" s="314">
        <f>COUNTIF('IV-3'!$K$8:$K$180,A4)</f>
        <v>1</v>
      </c>
      <c r="E4" s="313">
        <f>SUMIF('IV-3'!$L$8:$L$180,B4,'IV-3'!$V$8:$V$180)</f>
        <v>4130687.05</v>
      </c>
      <c r="F4" s="313">
        <f>SUMIF('IV-3'!$L$8:$L$180,B4,'IV-3'!$W$8:$W$180)</f>
        <v>3352807.77</v>
      </c>
    </row>
    <row r="5" spans="1:6" ht="16.5" thickBot="1" x14ac:dyDescent="0.3">
      <c r="A5" s="938">
        <v>6</v>
      </c>
      <c r="B5" s="939" t="s">
        <v>344</v>
      </c>
      <c r="C5" s="314">
        <f>COUNTIF('IV-3'!$K$8:$K$180,A5)+COUNTIF('IV-3'!$M$8:$M$180,A5)+COUNTIF('IV-3'!$O$8:$O$180,A5)</f>
        <v>5</v>
      </c>
      <c r="D5" s="314">
        <f>COUNTIF('IV-3'!$K$8:$K$180,A5)</f>
        <v>4</v>
      </c>
      <c r="E5" s="313">
        <f>SUMIF('IV-3'!$L$8:$L$180,B5,'IV-3'!$V$8:$V$180)</f>
        <v>14941003.23</v>
      </c>
      <c r="F5" s="313">
        <f>SUMIF('IV-3'!$L$8:$L$180,B5,'IV-3'!$W$8:$W$180)</f>
        <v>8124290.5700000003</v>
      </c>
    </row>
    <row r="6" spans="1:6" ht="16.5" thickBot="1" x14ac:dyDescent="0.3">
      <c r="A6" s="938">
        <v>7</v>
      </c>
      <c r="B6" s="939" t="s">
        <v>345</v>
      </c>
      <c r="C6" s="314">
        <f>COUNTIF('IV-3'!$K$8:$K$180,A6)+COUNTIF('IV-3'!$M$8:$M$180,A6)+COUNTIF('IV-3'!$O$8:$O$180,A6)</f>
        <v>5</v>
      </c>
      <c r="D6" s="314">
        <f>COUNTIF('IV-3'!$K$8:$K$180,A6)</f>
        <v>1</v>
      </c>
      <c r="E6" s="313">
        <f>SUMIF('IV-3'!$L$8:$L$180,B6,'IV-3'!$V$8:$V$180)</f>
        <v>1437425.74</v>
      </c>
      <c r="F6" s="313">
        <f>SUMIF('IV-3'!$L$8:$L$180,B6,'IV-3'!$W$8:$W$180)</f>
        <v>796102</v>
      </c>
    </row>
    <row r="7" spans="1:6" ht="16.5" thickBot="1" x14ac:dyDescent="0.3">
      <c r="A7" s="938">
        <v>8</v>
      </c>
      <c r="B7" s="939" t="s">
        <v>346</v>
      </c>
      <c r="C7" s="314">
        <f>COUNTIF('IV-3'!$K$8:$K$180,A7)+COUNTIF('IV-3'!$M$8:$M$180,A7)+COUNTIF('IV-3'!$O$8:$O$180,A7)</f>
        <v>1</v>
      </c>
      <c r="D7" s="314">
        <f>COUNTIF('IV-3'!$K$8:$K$180,A7)</f>
        <v>1</v>
      </c>
      <c r="E7" s="313">
        <f>SUMIF('IV-3'!$L$8:$L$180,B7,'IV-3'!$V$8:$V$180)</f>
        <v>3999404.09</v>
      </c>
      <c r="F7" s="313">
        <f>SUMIF('IV-3'!$L$8:$L$180,B7,'IV-3'!$W$8:$W$180)</f>
        <v>3399493.48</v>
      </c>
    </row>
    <row r="8" spans="1:6" ht="16.5" thickBot="1" x14ac:dyDescent="0.3">
      <c r="A8" s="938">
        <v>9</v>
      </c>
      <c r="B8" s="939" t="s">
        <v>355</v>
      </c>
      <c r="C8" s="314">
        <f>COUNTIF('IV-3'!$K$8:$K$180,A8)+COUNTIF('IV-3'!$M$8:$M$180,A8)+COUNTIF('IV-3'!$O$8:$O$180,A8)</f>
        <v>1</v>
      </c>
      <c r="D8" s="314">
        <f>COUNTIF('IV-3'!$K$8:$K$180,A8)</f>
        <v>0</v>
      </c>
      <c r="E8" s="313">
        <f>SUMIF('IV-3'!$L$8:$L$180,B8,'IV-3'!$V$8:$V$180)</f>
        <v>0</v>
      </c>
      <c r="F8" s="313">
        <f>SUMIF('IV-3'!$L$8:$L$180,B8,'IV-3'!$W$8:$W$180)</f>
        <v>0</v>
      </c>
    </row>
    <row r="9" spans="1:6" ht="16.5" thickBot="1" x14ac:dyDescent="0.3">
      <c r="A9" s="938">
        <v>10</v>
      </c>
      <c r="B9" s="939" t="s">
        <v>353</v>
      </c>
      <c r="C9" s="314">
        <f>COUNTIF('IV-3'!$K$8:$K$180,A9)+COUNTIF('IV-3'!$M$8:$M$180,A9)+COUNTIF('IV-3'!$O$8:$O$180,A9)</f>
        <v>14</v>
      </c>
      <c r="D9" s="314">
        <f>COUNTIF('IV-3'!$K$8:$K$180,A9)</f>
        <v>5</v>
      </c>
      <c r="E9" s="313">
        <f>SUMIF('IV-3'!$L$8:$L$180,B9,'IV-3'!$V$8:$V$180)</f>
        <v>1847499</v>
      </c>
      <c r="F9" s="313">
        <f>SUMIF('IV-3'!$L$8:$L$180,B9,'IV-3'!$W$8:$W$180)</f>
        <v>1273717</v>
      </c>
    </row>
    <row r="10" spans="1:6" ht="16.5" thickBot="1" x14ac:dyDescent="0.3">
      <c r="A10" s="938">
        <v>11</v>
      </c>
      <c r="B10" s="939" t="s">
        <v>358</v>
      </c>
      <c r="C10" s="314">
        <f>COUNTIF('IV-3'!$K$8:$K$180,A10)+COUNTIF('IV-3'!$M$8:$M$180,A10)+COUNTIF('IV-3'!$O$8:$O$180,A10)</f>
        <v>1</v>
      </c>
      <c r="D10" s="314">
        <f>COUNTIF('IV-3'!$K$8:$K$180,A10)</f>
        <v>1</v>
      </c>
      <c r="E10" s="313">
        <f>SUMIF('IV-3'!$L$8:$L$180,B10,'IV-3'!$V$8:$V$180)</f>
        <v>1402213</v>
      </c>
      <c r="F10" s="313">
        <f>SUMIF('IV-3'!$L$8:$L$180,B10,'IV-3'!$W$8:$W$180)</f>
        <v>747938</v>
      </c>
    </row>
    <row r="11" spans="1:6" ht="16.5" thickBot="1" x14ac:dyDescent="0.3">
      <c r="A11" s="938">
        <v>12</v>
      </c>
      <c r="B11" s="939" t="s">
        <v>354</v>
      </c>
      <c r="C11" s="314">
        <f>COUNTIF('IV-3'!$K$8:$K$180,A11)+COUNTIF('IV-3'!$M$8:$M$180,A11)+COUNTIF('IV-3'!$O$8:$O$180,A11)</f>
        <v>20</v>
      </c>
      <c r="D11" s="314">
        <f>COUNTIF('IV-3'!$K$8:$K$180,A11)</f>
        <v>20</v>
      </c>
      <c r="E11" s="313">
        <f>SUMIF('IV-3'!$L$8:$L$180,B11,'IV-3'!$V$8:$V$180)</f>
        <v>5745641.2400000002</v>
      </c>
      <c r="F11" s="313">
        <f>SUMIF('IV-3'!$L$8:$L$180,B11,'IV-3'!$W$8:$W$180)</f>
        <v>3671597</v>
      </c>
    </row>
    <row r="12" spans="1:6" ht="16.5" thickBot="1" x14ac:dyDescent="0.3">
      <c r="A12" s="938">
        <v>18</v>
      </c>
      <c r="B12" s="939" t="s">
        <v>1430</v>
      </c>
      <c r="C12" s="314">
        <f>COUNTIF('IV-3'!$K$8:$K$180,A12)+COUNTIF('IV-3'!$M$8:$M$180,A12)+COUNTIF('IV-3'!$O$8:$O$180,A12)</f>
        <v>1</v>
      </c>
      <c r="D12" s="314">
        <f>COUNTIF('IV-3'!$K$8:$K$180,A12)</f>
        <v>0</v>
      </c>
      <c r="E12" s="313">
        <f>SUMIF('IV-3'!$L$8:$L$180,B12,'IV-3'!$V$8:$V$180)</f>
        <v>0</v>
      </c>
      <c r="F12" s="313">
        <f>SUMIF('IV-3'!$L$8:$L$180,B12,'IV-3'!$W$8:$W$180)</f>
        <v>0</v>
      </c>
    </row>
    <row r="13" spans="1:6" ht="32.25" thickBot="1" x14ac:dyDescent="0.3">
      <c r="A13" s="938">
        <v>19</v>
      </c>
      <c r="B13" s="939" t="str">
        <f>CONCATENATE(Veiklos!C21)</f>
        <v>Darnaus judumo priemonės miestuose (pėsčiųjų ir dviračių takų infrastruktūra, Park and Ride, Bike and Ride aikštelės, elektromobilių įkrovimo stotelių įrengimas ir kita)</v>
      </c>
      <c r="C13" s="314">
        <f>COUNTIF('IV-3'!$K$8:$K$180,A13)+COUNTIF('IV-3'!$M$8:$M$180,A13)+COUNTIF('IV-3'!$O$8:$O$180,A13)</f>
        <v>11</v>
      </c>
      <c r="D13" s="314">
        <f>COUNTIF('IV-3'!$K$8:$K$180,A13)</f>
        <v>11</v>
      </c>
      <c r="E13" s="313">
        <f>SUMIF('IV-3'!$L$8:$L$180,B13,'IV-3'!$V$8:$V$180)</f>
        <v>2385001.8000000003</v>
      </c>
      <c r="F13" s="313">
        <f>SUMIF('IV-3'!$L$8:$L$180,B13,'IV-3'!$W$8:$W$180)</f>
        <v>2023409.23</v>
      </c>
    </row>
    <row r="14" spans="1:6" ht="16.5" thickBot="1" x14ac:dyDescent="0.3">
      <c r="A14" s="938">
        <v>22</v>
      </c>
      <c r="B14" s="939" t="s">
        <v>360</v>
      </c>
      <c r="C14" s="314">
        <f>COUNTIF('IV-3'!$K$8:$K$180,A14)+COUNTIF('IV-3'!$M$8:$M$180,A14)+COUNTIF('IV-3'!$O$8:$O$180,A14)</f>
        <v>5</v>
      </c>
      <c r="D14" s="314">
        <f>COUNTIF('IV-3'!$K$8:$K$180,A14)</f>
        <v>5</v>
      </c>
      <c r="E14" s="313">
        <f>SUMIF('IV-3'!$L$8:$L$180,B14,'IV-3'!$V$8:$V$180)</f>
        <v>1343975.4100000001</v>
      </c>
      <c r="F14" s="313">
        <f>SUMIF('IV-3'!$L$8:$L$180,B14,'IV-3'!$W$8:$W$180)</f>
        <v>1142377</v>
      </c>
    </row>
    <row r="15" spans="1:6" ht="16.5" thickBot="1" x14ac:dyDescent="0.3">
      <c r="A15" s="938">
        <v>23</v>
      </c>
      <c r="B15" s="939" t="s">
        <v>362</v>
      </c>
      <c r="C15" s="314">
        <f>COUNTIF('IV-3'!$K$8:$K$180,A15)+COUNTIF('IV-3'!$M$8:$M$180,A15)+COUNTIF('IV-3'!$O$8:$O$180,A15)</f>
        <v>5</v>
      </c>
      <c r="D15" s="314">
        <f>COUNTIF('IV-3'!$K$8:$K$180,A15)</f>
        <v>5</v>
      </c>
      <c r="E15" s="313">
        <f>SUMIF('IV-3'!$L$8:$L$180,B15,'IV-3'!$V$8:$V$180)</f>
        <v>1459021.7699999998</v>
      </c>
      <c r="F15" s="313">
        <f>SUMIF('IV-3'!$L$8:$L$180,B15,'IV-3'!$W$8:$W$180)</f>
        <v>1138588</v>
      </c>
    </row>
    <row r="16" spans="1:6" ht="16.5" thickBot="1" x14ac:dyDescent="0.3">
      <c r="A16" s="938">
        <v>24</v>
      </c>
      <c r="B16" s="939" t="s">
        <v>361</v>
      </c>
      <c r="C16" s="314">
        <f>COUNTIF('IV-3'!$K$8:$K$180,A16)+COUNTIF('IV-3'!$M$8:$M$180,A16)+COUNTIF('IV-3'!$O$8:$O$180,A16)</f>
        <v>5</v>
      </c>
      <c r="D16" s="314">
        <f>COUNTIF('IV-3'!$K$8:$K$180,A16)</f>
        <v>5</v>
      </c>
      <c r="E16" s="313">
        <f>SUMIF('IV-3'!$L$8:$L$180,B16,'IV-3'!$V$8:$V$180)</f>
        <v>1973870.18</v>
      </c>
      <c r="F16" s="313">
        <f>SUMIF('IV-3'!$L$8:$L$180,B16,'IV-3'!$W$8:$W$180)</f>
        <v>1486007</v>
      </c>
    </row>
    <row r="17" spans="1:10" ht="16.5" thickBot="1" x14ac:dyDescent="0.3">
      <c r="A17" s="938">
        <v>25</v>
      </c>
      <c r="B17" s="939" t="s">
        <v>367</v>
      </c>
      <c r="C17" s="314">
        <f>COUNTIF('IV-3'!$K$8:$K$180,A17)+COUNTIF('IV-3'!$M$8:$M$180,A17)+COUNTIF('IV-3'!$O$8:$O$180,A17)</f>
        <v>2</v>
      </c>
      <c r="D17" s="314">
        <f>COUNTIF('IV-3'!$K$8:$K$180,A17)</f>
        <v>2</v>
      </c>
      <c r="E17" s="313">
        <f>SUMIF('IV-3'!$L$8:$L$180,B17,'IV-3'!$V$8:$V$180)</f>
        <v>610488</v>
      </c>
      <c r="F17" s="313">
        <f>SUMIF('IV-3'!$L$8:$L$180,B17,'IV-3'!$W$8:$W$180)</f>
        <v>518618</v>
      </c>
    </row>
    <row r="18" spans="1:10" ht="16.5" thickBot="1" x14ac:dyDescent="0.3">
      <c r="A18" s="938">
        <v>26</v>
      </c>
      <c r="B18" s="939" t="s">
        <v>366</v>
      </c>
      <c r="C18" s="314">
        <f>COUNTIF('IV-3'!$K$8:$K$180,A18)+COUNTIF('IV-3'!$M$8:$M$180,A18)+COUNTIF('IV-3'!$O$8:$O$180,A18)</f>
        <v>4</v>
      </c>
      <c r="D18" s="314">
        <f>COUNTIF('IV-3'!$K$8:$K$180,A18)</f>
        <v>3</v>
      </c>
      <c r="E18" s="313">
        <f>SUMIF('IV-3'!$L$8:$L$180,B18,'IV-3'!$V$8:$V$180)</f>
        <v>2355713.12</v>
      </c>
      <c r="F18" s="313">
        <f>SUMIF('IV-3'!$L$8:$L$180,B18,'IV-3'!$W$8:$W$180)</f>
        <v>2002355.99</v>
      </c>
    </row>
    <row r="19" spans="1:10" ht="16.5" thickBot="1" x14ac:dyDescent="0.3">
      <c r="A19" s="938">
        <v>27</v>
      </c>
      <c r="B19" s="939" t="s">
        <v>1456</v>
      </c>
      <c r="C19" s="314">
        <f>COUNTIF('IV-3'!$K$8:$K$180,A19)+COUNTIF('IV-3'!$M$8:$M$180,A19)+COUNTIF('IV-3'!$O$8:$O$180,A19)</f>
        <v>15</v>
      </c>
      <c r="D19" s="314">
        <f>COUNTIF('IV-3'!$K$8:$K$180,A19)</f>
        <v>15</v>
      </c>
      <c r="E19" s="313">
        <f>SUMIF('IV-3'!$L$8:$L$180,B19,'IV-3'!$V$8:$V$180)</f>
        <v>2645407.7999999998</v>
      </c>
      <c r="F19" s="313">
        <f>SUMIF('IV-3'!$L$8:$L$180,B19,'IV-3'!$W$8:$W$180)</f>
        <v>2084333.15</v>
      </c>
    </row>
    <row r="20" spans="1:10" ht="32.25" thickBot="1" x14ac:dyDescent="0.3">
      <c r="A20" s="938">
        <v>28</v>
      </c>
      <c r="B20" s="939" t="s">
        <v>341</v>
      </c>
      <c r="C20" s="314">
        <f>COUNTIF('IV-3'!$K$8:$K$180,A20)+COUNTIF('IV-3'!$M$8:$M$180,A20)+COUNTIF('IV-3'!$O$8:$O$180,A20)</f>
        <v>4</v>
      </c>
      <c r="D20" s="314">
        <f>COUNTIF('IV-3'!$K$8:$K$180,A20)</f>
        <v>3</v>
      </c>
      <c r="E20" s="313">
        <f>SUMIF('IV-3'!$L$8:$L$180,B20,'IV-3'!$V$8:$V$180)</f>
        <v>1911039.1199999999</v>
      </c>
      <c r="F20" s="313">
        <f>SUMIF('IV-3'!$L$8:$L$180,B20,'IV-3'!$W$8:$W$180)</f>
        <v>1616916.0799999998</v>
      </c>
    </row>
    <row r="21" spans="1:10" ht="32.25" thickBot="1" x14ac:dyDescent="0.3">
      <c r="A21" s="938">
        <v>29</v>
      </c>
      <c r="B21" s="939" t="s">
        <v>339</v>
      </c>
      <c r="C21" s="314">
        <f>COUNTIF('IV-3'!$K$8:$K$180,A21)+COUNTIF('IV-3'!$M$8:$M$180,A21)+COUNTIF('IV-3'!$O$8:$O$180,A21)</f>
        <v>13</v>
      </c>
      <c r="D21" s="314">
        <f>COUNTIF('IV-3'!$K$8:$K$180,A21)</f>
        <v>10</v>
      </c>
      <c r="E21" s="313">
        <f>SUMIF('IV-3'!$L$8:$L$180,B21,'IV-3'!$V$8:$V$180)</f>
        <v>6982921.8099999996</v>
      </c>
      <c r="F21" s="313">
        <f>SUMIF('IV-3'!$L$8:$L$180,B21,'IV-3'!$W$8:$W$180)</f>
        <v>5472145.7300000004</v>
      </c>
    </row>
    <row r="22" spans="1:10" ht="32.25" hidden="1" thickBot="1" x14ac:dyDescent="0.3">
      <c r="A22" s="938">
        <v>30</v>
      </c>
      <c r="B22" s="939" t="s">
        <v>338</v>
      </c>
      <c r="C22" s="314">
        <v>0</v>
      </c>
      <c r="D22" s="314">
        <v>0</v>
      </c>
      <c r="E22" s="313">
        <v>0</v>
      </c>
      <c r="F22" s="313">
        <f>SUMIF('IV-3'!$L$8:$L$180,B22,'IV-3'!$W$8:$W$180)</f>
        <v>0</v>
      </c>
    </row>
    <row r="23" spans="1:10" ht="32.25" thickBot="1" x14ac:dyDescent="0.3">
      <c r="A23" s="938">
        <v>31</v>
      </c>
      <c r="B23" s="939" t="str">
        <f>CONCATENATE(Veiklos!C33)</f>
        <v>Kitos viešosios infrastruktūros modernizavimas (konversija): pramoninių, buvusių karinių, inžinerinių ir pan. objektų ir teritorijų konversija</v>
      </c>
      <c r="C23" s="314">
        <f>COUNTIF('IV-3'!$K$8:$K$180,A23)+COUNTIF('IV-3'!$M$8:$M$180,A23)+COUNTIF('IV-3'!$O$8:$O$180,A23)</f>
        <v>1</v>
      </c>
      <c r="D23" s="314">
        <f>COUNTIF('IV-3'!$K$8:$K$180,A23)</f>
        <v>1</v>
      </c>
      <c r="E23" s="313">
        <f>SUMIF('IV-3'!$L$8:$L$180,B23,'IV-3'!$V$8:$V$180)</f>
        <v>1293732.5699999998</v>
      </c>
      <c r="F23" s="313">
        <f>SUMIF('IV-3'!$L$8:$L$180,B23,'IV-3'!$W$8:$W$180)</f>
        <v>1099672.68</v>
      </c>
    </row>
    <row r="24" spans="1:10" ht="32.25" thickBot="1" x14ac:dyDescent="0.3">
      <c r="A24" s="938">
        <v>32</v>
      </c>
      <c r="B24" s="939" t="s">
        <v>363</v>
      </c>
      <c r="C24" s="314">
        <f>COUNTIF('IV-3'!$K$8:$K$180,A24)+COUNTIF('IV-3'!$M$8:$M$180,A24)+COUNTIF('IV-3'!$O$8:$O$180,A24)</f>
        <v>6</v>
      </c>
      <c r="D24" s="314">
        <f>COUNTIF('IV-3'!$K$8:$K$180,A24)</f>
        <v>1</v>
      </c>
      <c r="E24" s="313">
        <f>SUMIF('IV-3'!$L$8:$L$180,B24,'IV-3'!$V$8:$V$180)</f>
        <v>125000</v>
      </c>
      <c r="F24" s="313">
        <f>SUMIF('IV-3'!$L$8:$L$180,B24,'IV-3'!$W$8:$W$180)</f>
        <v>85000</v>
      </c>
    </row>
    <row r="25" spans="1:10" ht="16.5" thickBot="1" x14ac:dyDescent="0.3">
      <c r="A25" s="938">
        <v>33</v>
      </c>
      <c r="B25" s="939" t="s">
        <v>349</v>
      </c>
      <c r="C25" s="314">
        <f>COUNTIF('IV-3'!$K$8:$K$180,A25)+COUNTIF('IV-3'!$M$8:$M$180,A25)+COUNTIF('IV-3'!$O$8:$O$180,A25)</f>
        <v>6</v>
      </c>
      <c r="D25" s="314">
        <f>COUNTIF('IV-3'!$K$8:$K$180,A25)</f>
        <v>6</v>
      </c>
      <c r="E25" s="313">
        <f>SUMIF('IV-3'!$L$8:$L$180,B25,'IV-3'!$V$8:$V$180)</f>
        <v>2298835.5100000002</v>
      </c>
      <c r="F25" s="313">
        <f>SUMIF('IV-3'!$L$8:$L$180,B25,'IV-3'!$W$8:$W$180)</f>
        <v>1419843.7</v>
      </c>
    </row>
    <row r="26" spans="1:10" ht="32.25" thickBot="1" x14ac:dyDescent="0.3">
      <c r="A26" s="938">
        <v>34</v>
      </c>
      <c r="B26" s="939" t="s">
        <v>340</v>
      </c>
      <c r="C26" s="314">
        <f>COUNTIF('IV-3'!$K$8:$K$180,A26)+COUNTIF('IV-3'!$M$8:$M$180,A26)+COUNTIF('IV-3'!$O$8:$O$180,A26)</f>
        <v>5</v>
      </c>
      <c r="D26" s="314">
        <f>COUNTIF('IV-3'!$K$8:$K$180,A26)</f>
        <v>4</v>
      </c>
      <c r="E26" s="313">
        <f>SUMIF('IV-3'!$L$8:$L$180,B26,'IV-3'!$V$8:$V$180)</f>
        <v>1000000</v>
      </c>
      <c r="F26" s="313">
        <f>SUMIF('IV-3'!$L$8:$L$180,B26,'IV-3'!$W$8:$W$180)</f>
        <v>680000</v>
      </c>
    </row>
    <row r="27" spans="1:10" ht="16.5" thickBot="1" x14ac:dyDescent="0.3">
      <c r="A27" s="938">
        <v>36</v>
      </c>
      <c r="B27" s="939" t="s">
        <v>342</v>
      </c>
      <c r="C27" s="314">
        <f>COUNTIF('IV-3'!$K$8:$K$180,A27)+COUNTIF('IV-3'!$M$8:$M$180,A27)+COUNTIF('IV-3'!$O$8:$O$180,A27)</f>
        <v>1</v>
      </c>
      <c r="D27" s="314">
        <f>COUNTIF('IV-3'!$K$8:$K$180,A27)</f>
        <v>1</v>
      </c>
      <c r="E27" s="313">
        <f>SUMIF('IV-3'!$L$8:$L$180,B27,'IV-3'!$V$8:$V$180)</f>
        <v>150000</v>
      </c>
      <c r="F27" s="313">
        <f>SUMIF('IV-3'!$L$8:$L$180,B27,'IV-3'!$W$8:$W$180)</f>
        <v>127500</v>
      </c>
    </row>
    <row r="28" spans="1:10" ht="16.5" thickBot="1" x14ac:dyDescent="0.3">
      <c r="A28" s="938">
        <v>38</v>
      </c>
      <c r="B28" s="939" t="s">
        <v>370</v>
      </c>
      <c r="C28" s="314">
        <f>COUNTIF('IV-3'!$K$8:$K$180,A28)+COUNTIF('IV-3'!$M$8:$M$180,A28)+COUNTIF('IV-3'!$O$8:$O$180,A28)</f>
        <v>9</v>
      </c>
      <c r="D28" s="314">
        <f>COUNTIF('IV-3'!$K$8:$K$180,A28)</f>
        <v>8</v>
      </c>
      <c r="E28" s="313">
        <f>SUMIF('IV-3'!$L$8:$L$180,B28,'IV-3'!$V$8:$V$180)</f>
        <v>2358005.5811764705</v>
      </c>
      <c r="F28" s="313">
        <f>SUMIF('IV-3'!$L$8:$L$180,B28,'IV-3'!$W$8:$W$180)</f>
        <v>2004304.36</v>
      </c>
    </row>
    <row r="29" spans="1:10" ht="16.5" thickBot="1" x14ac:dyDescent="0.3">
      <c r="A29" s="938">
        <v>42</v>
      </c>
      <c r="B29" s="939" t="s">
        <v>348</v>
      </c>
      <c r="C29" s="314">
        <f>COUNTIF('IV-3'!$K$8:$K$180,A29)+COUNTIF('IV-3'!$M$8:$M$180,A29)+COUNTIF('IV-3'!$O$8:$O$180,A29)</f>
        <v>3</v>
      </c>
      <c r="D29" s="314">
        <f>COUNTIF('IV-3'!$K$8:$K$180,A29)</f>
        <v>3</v>
      </c>
      <c r="E29" s="313">
        <f>SUMIF('IV-3'!$L$8:$L$180,B29,'IV-3'!$V$8:$V$180)</f>
        <v>719317.64705882361</v>
      </c>
      <c r="F29" s="313">
        <f>SUMIF('IV-3'!$L$8:$L$180,B29,'IV-3'!$W$8:$W$180)</f>
        <v>611420</v>
      </c>
      <c r="J29" s="940"/>
    </row>
    <row r="30" spans="1:10" ht="16.5" thickBot="1" x14ac:dyDescent="0.3">
      <c r="A30" s="938">
        <v>44</v>
      </c>
      <c r="B30" s="939" t="s">
        <v>352</v>
      </c>
      <c r="C30" s="314">
        <f>COUNTIF('IV-3'!$K$8:$K$180,A30)+COUNTIF('IV-3'!$M$8:$M$180,A30)+COUNTIF('IV-3'!$O$8:$O$180,A30)</f>
        <v>5</v>
      </c>
      <c r="D30" s="314">
        <f>COUNTIF('IV-3'!$K$8:$K$180,A30)</f>
        <v>5</v>
      </c>
      <c r="E30" s="313">
        <f>SUMIF('IV-3'!$L$8:$L$180,B30,'IV-3'!$V$8:$V$180)</f>
        <v>1487190.57</v>
      </c>
      <c r="F30" s="313">
        <f>SUMIF('IV-3'!$L$8:$L$180,B30,'IV-3'!$W$8:$W$180)</f>
        <v>1030280</v>
      </c>
    </row>
    <row r="31" spans="1:10" ht="16.5" thickBot="1" x14ac:dyDescent="0.3">
      <c r="A31" s="938">
        <v>47</v>
      </c>
      <c r="B31" s="939" t="s">
        <v>364</v>
      </c>
      <c r="C31" s="314">
        <f>COUNTIF('IV-3'!$K$8:$K$180,A31)+COUNTIF('IV-3'!$M$8:$M$180,A31)+COUNTIF('IV-3'!$O$8:$O$180,A31)</f>
        <v>23</v>
      </c>
      <c r="D31" s="314">
        <f>COUNTIF('IV-3'!$K$8:$K$180,A31)</f>
        <v>12</v>
      </c>
      <c r="E31" s="313">
        <f>SUMIF('IV-3'!$L$8:$L$180,B31,'IV-3'!$V$8:$V$180)</f>
        <v>1085888.7199999997</v>
      </c>
      <c r="F31" s="313">
        <f>SUMIF('IV-3'!$L$8:$L$180,B31,'IV-3'!$W$8:$W$180)</f>
        <v>922334.54999999993</v>
      </c>
    </row>
    <row r="32" spans="1:10" ht="16.5" thickBot="1" x14ac:dyDescent="0.3">
      <c r="A32" s="938">
        <v>48</v>
      </c>
      <c r="B32" s="939" t="str">
        <f>CONCATENATE(Veiklos!C50)</f>
        <v>Socialinių paslaugų plėtra (ne infrastruktūra)</v>
      </c>
      <c r="C32" s="314">
        <f>COUNTIF('IV-3'!$K$8:$K$180,A32)+COUNTIF('IV-3'!$M$8:$M$180,A32)+COUNTIF('IV-3'!$O$8:$O$180,A32)</f>
        <v>1</v>
      </c>
      <c r="D32" s="314">
        <f>COUNTIF('IV-3'!$K$8:$K$180,A32)</f>
        <v>0</v>
      </c>
      <c r="E32" s="313">
        <f>SUMIF('IV-3'!$L$8:$L$180,B32,'IV-3'!$V$8:$V$180)</f>
        <v>0</v>
      </c>
      <c r="F32" s="313">
        <f>SUMIF('IV-3'!$L$8:$L$180,B32,'IV-3'!$W$8:$W$180)</f>
        <v>0</v>
      </c>
    </row>
    <row r="33" spans="1:6" ht="16.5" thickBot="1" x14ac:dyDescent="0.3">
      <c r="A33" s="938">
        <v>49</v>
      </c>
      <c r="B33" s="939" t="s">
        <v>368</v>
      </c>
      <c r="C33" s="314">
        <f>COUNTIF('IV-3'!$K$8:$K$180,A33)+COUNTIF('IV-3'!$M$8:$M$180,A33)+COUNTIF('IV-3'!$O$8:$O$180,A33)</f>
        <v>6</v>
      </c>
      <c r="D33" s="314">
        <f>COUNTIF('IV-3'!$K$8:$K$180,A33)</f>
        <v>6</v>
      </c>
      <c r="E33" s="313">
        <f>SUMIF('IV-3'!$L$8:$L$180,B33,'IV-3'!$V$8:$V$180)</f>
        <v>1106987.73</v>
      </c>
      <c r="F33" s="313">
        <f>SUMIF('IV-3'!$L$8:$L$180,B33,'IV-3'!$W$8:$W$180)</f>
        <v>940807.84000000008</v>
      </c>
    </row>
    <row r="34" spans="1:6" ht="16.5" thickBot="1" x14ac:dyDescent="0.3">
      <c r="A34" s="938">
        <v>50</v>
      </c>
      <c r="B34" s="939" t="str">
        <f>CONCATENATE(Veiklos!C52)</f>
        <v>Kita (nepriskirta kitoms grupėms) viešoji infrastruktūra ar paslaugos</v>
      </c>
      <c r="C34" s="314">
        <f>COUNTIF('IV-3'!$K$8:$K$180,A34)+COUNTIF('IV-3'!$M$8:$M$180,A34)+COUNTIF('IV-3'!$O$8:$O$180,A34)</f>
        <v>7</v>
      </c>
      <c r="D34" s="314">
        <f>COUNTIF('IV-3'!$K$8:$K$180,A34)</f>
        <v>2</v>
      </c>
      <c r="E34" s="313">
        <f>SUMIF('IV-3'!$L$8:$L$180,B34,'IV-3'!$V$8:$V$180)</f>
        <v>590432.57999999996</v>
      </c>
      <c r="F34" s="313">
        <f>SUMIF('IV-3'!$L$8:$L$180,B34,'IV-3'!$W$8:$W$180)</f>
        <v>451143</v>
      </c>
    </row>
    <row r="36" spans="1:6" ht="16.5" hidden="1" thickBot="1" x14ac:dyDescent="0.3">
      <c r="E36" s="941">
        <f>SUM(E3:E35)</f>
        <v>67386703.268235281</v>
      </c>
      <c r="F36" s="941">
        <f>SUM(F3:F35)</f>
        <v>48223002.130000003</v>
      </c>
    </row>
    <row r="37" spans="1:6" x14ac:dyDescent="0.25">
      <c r="E37" s="942"/>
      <c r="F37" s="942"/>
    </row>
    <row r="51" spans="2:2" ht="63" x14ac:dyDescent="0.25">
      <c r="B51" s="1329" t="s">
        <v>3576</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2"/>
  <sheetViews>
    <sheetView workbookViewId="0">
      <pane ySplit="2955" topLeftCell="A58" activePane="bottomLeft"/>
      <selection activeCell="M3" sqref="M3"/>
      <selection pane="bottomLeft" activeCell="N59" sqref="N59"/>
    </sheetView>
  </sheetViews>
  <sheetFormatPr defaultColWidth="9.140625" defaultRowHeight="15" x14ac:dyDescent="0.25"/>
  <cols>
    <col min="1" max="1" width="9.140625" style="52"/>
    <col min="2" max="2" width="13.7109375" style="52" customWidth="1"/>
    <col min="3" max="3" width="13.7109375" style="52" hidden="1" customWidth="1"/>
    <col min="4" max="4" width="27.5703125" style="52" customWidth="1"/>
    <col min="5" max="5" width="14.5703125" style="52" customWidth="1"/>
    <col min="6" max="6" width="14.42578125" style="52" bestFit="1" customWidth="1"/>
    <col min="7" max="7" width="13.85546875" style="52" bestFit="1" customWidth="1"/>
    <col min="8" max="8" width="16.28515625" style="52" customWidth="1"/>
    <col min="9" max="9" width="4.5703125" style="52" bestFit="1" customWidth="1"/>
    <col min="10" max="10" width="5" style="52" bestFit="1" customWidth="1"/>
    <col min="11" max="11" width="6.42578125" style="52" bestFit="1" customWidth="1"/>
    <col min="12" max="12" width="16.42578125" style="52" bestFit="1" customWidth="1"/>
    <col min="13" max="14" width="14.28515625" style="52" bestFit="1" customWidth="1"/>
    <col min="15" max="15" width="12.85546875" style="52" bestFit="1" customWidth="1"/>
    <col min="16" max="16" width="10" style="52" bestFit="1" customWidth="1"/>
    <col min="17" max="17" width="16.42578125" style="52" bestFit="1" customWidth="1"/>
    <col min="18" max="18" width="10.5703125" style="52" customWidth="1"/>
    <col min="19" max="19" width="14.28515625" style="52" hidden="1" customWidth="1"/>
    <col min="20" max="20" width="11.85546875" style="52" customWidth="1"/>
    <col min="21" max="21" width="10.28515625" style="52" customWidth="1"/>
    <col min="22" max="22" width="9.140625" style="52"/>
    <col min="23" max="23" width="10.85546875" style="162" customWidth="1"/>
    <col min="24" max="25" width="18" style="52" hidden="1" customWidth="1"/>
    <col min="26" max="26" width="15" style="52" hidden="1" customWidth="1"/>
    <col min="27" max="16384" width="9.140625" style="52"/>
  </cols>
  <sheetData>
    <row r="1" spans="1:26" ht="15.75" thickBot="1" x14ac:dyDescent="0.3">
      <c r="A1" s="26" t="s">
        <v>73</v>
      </c>
      <c r="B1" s="26"/>
      <c r="C1" s="26"/>
    </row>
    <row r="2" spans="1:26" ht="16.5" thickTop="1" thickBot="1" x14ac:dyDescent="0.3">
      <c r="A2" s="1956" t="s">
        <v>46</v>
      </c>
      <c r="B2" s="1957"/>
      <c r="C2" s="1957"/>
      <c r="D2" s="1957"/>
      <c r="E2" s="1957"/>
      <c r="F2" s="1957"/>
      <c r="G2" s="1957"/>
      <c r="H2" s="1957"/>
      <c r="I2" s="1957"/>
      <c r="J2" s="1957"/>
      <c r="K2" s="1958"/>
      <c r="L2" s="1959" t="s">
        <v>47</v>
      </c>
      <c r="M2" s="1957"/>
      <c r="N2" s="1957"/>
      <c r="O2" s="1957"/>
      <c r="P2" s="1957"/>
      <c r="Q2" s="1958"/>
      <c r="R2" s="1563"/>
      <c r="S2" s="1563"/>
      <c r="T2" s="1959" t="s">
        <v>48</v>
      </c>
      <c r="U2" s="1957"/>
      <c r="V2" s="1957"/>
      <c r="W2" s="1960"/>
      <c r="X2" s="1954" t="s">
        <v>117</v>
      </c>
      <c r="Y2" s="1954" t="s">
        <v>118</v>
      </c>
      <c r="Z2" s="1954" t="s">
        <v>122</v>
      </c>
    </row>
    <row r="3" spans="1:26" ht="84.75" thickBot="1" x14ac:dyDescent="0.3">
      <c r="A3" s="27" t="s">
        <v>7</v>
      </c>
      <c r="B3" s="28"/>
      <c r="C3" s="28"/>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1806</v>
      </c>
      <c r="S3" s="720" t="s">
        <v>1142</v>
      </c>
      <c r="T3" s="28" t="s">
        <v>62</v>
      </c>
      <c r="U3" s="28" t="s">
        <v>63</v>
      </c>
      <c r="V3" s="28" t="s">
        <v>64</v>
      </c>
      <c r="W3" s="163" t="s">
        <v>65</v>
      </c>
      <c r="X3" s="1955"/>
      <c r="Y3" s="1955"/>
      <c r="Z3" s="1955"/>
    </row>
    <row r="4" spans="1:26" ht="15.75" thickBot="1" x14ac:dyDescent="0.3">
      <c r="A4" s="19"/>
      <c r="B4" s="16"/>
      <c r="C4" s="16"/>
      <c r="D4" s="16"/>
      <c r="E4" s="16"/>
      <c r="F4" s="16"/>
      <c r="G4" s="16"/>
      <c r="H4" s="16"/>
      <c r="I4" s="16"/>
      <c r="J4" s="16"/>
      <c r="K4" s="16"/>
      <c r="L4" s="16"/>
      <c r="M4" s="16"/>
      <c r="N4" s="16"/>
      <c r="O4" s="16"/>
      <c r="P4" s="16"/>
      <c r="Q4" s="16"/>
      <c r="R4" s="16"/>
      <c r="S4" s="16"/>
      <c r="T4" s="16"/>
      <c r="U4" s="16"/>
      <c r="V4" s="16"/>
      <c r="W4" s="164"/>
      <c r="X4" s="54"/>
      <c r="Y4" s="54"/>
      <c r="Z4" s="54"/>
    </row>
    <row r="5" spans="1:26" ht="36" customHeight="1" thickBot="1" x14ac:dyDescent="0.3">
      <c r="A5" s="156" t="s">
        <v>11</v>
      </c>
      <c r="B5" s="708"/>
      <c r="C5" s="708"/>
      <c r="D5" s="1905" t="s">
        <v>602</v>
      </c>
      <c r="E5" s="1878"/>
      <c r="F5" s="1878"/>
      <c r="G5" s="1878"/>
      <c r="H5" s="1878"/>
      <c r="I5" s="1878"/>
      <c r="J5" s="1878"/>
      <c r="K5" s="1879"/>
      <c r="L5" s="157">
        <f t="shared" ref="L5:Q5" si="0">SUM(L6+L26)</f>
        <v>15705451.285882354</v>
      </c>
      <c r="M5" s="157">
        <f t="shared" si="0"/>
        <v>1450573.455882353</v>
      </c>
      <c r="N5" s="157">
        <f t="shared" si="0"/>
        <v>97029.94</v>
      </c>
      <c r="O5" s="157">
        <f t="shared" si="0"/>
        <v>3609014.3</v>
      </c>
      <c r="P5" s="157">
        <f t="shared" si="0"/>
        <v>352400.82</v>
      </c>
      <c r="Q5" s="157">
        <f t="shared" si="0"/>
        <v>10196432.77</v>
      </c>
      <c r="R5" s="157"/>
      <c r="S5" s="157"/>
      <c r="T5" s="157" t="s">
        <v>66</v>
      </c>
      <c r="U5" s="157" t="s">
        <v>66</v>
      </c>
      <c r="V5" s="157" t="s">
        <v>66</v>
      </c>
      <c r="W5" s="157"/>
      <c r="X5" s="35">
        <f>SUM(X6+X26)</f>
        <v>9054930.977500001</v>
      </c>
      <c r="Y5" s="35">
        <f>SUM(Y6+Y26)</f>
        <v>10865917.173</v>
      </c>
      <c r="Z5" s="35">
        <f>SUM(Z6+Z26)</f>
        <v>-1112909.4924999999</v>
      </c>
    </row>
    <row r="6" spans="1:26" ht="43.5" customHeight="1" thickBot="1" x14ac:dyDescent="0.3">
      <c r="A6" s="155" t="s">
        <v>12</v>
      </c>
      <c r="B6" s="709"/>
      <c r="C6" s="709"/>
      <c r="D6" s="1902" t="s">
        <v>603</v>
      </c>
      <c r="E6" s="1829"/>
      <c r="F6" s="1829"/>
      <c r="G6" s="1829"/>
      <c r="H6" s="1829"/>
      <c r="I6" s="1829"/>
      <c r="J6" s="1829"/>
      <c r="K6" s="1830"/>
      <c r="L6" s="154">
        <f t="shared" ref="L6:Q6" si="1">SUM(L7+L9+L11+L13+L15+L17+L19+L22+L24)</f>
        <v>12268693.685882354</v>
      </c>
      <c r="M6" s="154">
        <f t="shared" si="1"/>
        <v>473103.15588235296</v>
      </c>
      <c r="N6" s="154">
        <f t="shared" si="1"/>
        <v>97029.94</v>
      </c>
      <c r="O6" s="154">
        <f t="shared" si="1"/>
        <v>3609014.3</v>
      </c>
      <c r="P6" s="154">
        <f t="shared" si="1"/>
        <v>352400.82</v>
      </c>
      <c r="Q6" s="154">
        <f t="shared" si="1"/>
        <v>7737145.4700000007</v>
      </c>
      <c r="R6" s="154"/>
      <c r="S6" s="154"/>
      <c r="T6" s="154" t="s">
        <v>66</v>
      </c>
      <c r="U6" s="154" t="s">
        <v>66</v>
      </c>
      <c r="V6" s="154" t="s">
        <v>66</v>
      </c>
      <c r="W6" s="154"/>
      <c r="X6" s="36">
        <f>SUM(X7+X9+X11+X13+X15+X17+X19+X22+X24)</f>
        <v>6733465.4175000004</v>
      </c>
      <c r="Y6" s="36">
        <f>SUM(Y7+Y9+Y11+Y13+Y15+Y17+Y19+Y22+Y24)</f>
        <v>8080158.5010000002</v>
      </c>
      <c r="Z6" s="36">
        <f>SUM(Z7+Z9+Z11+Z13+Z15+Z17+Z19+Z22+Z24)</f>
        <v>-1003680.0525</v>
      </c>
    </row>
    <row r="7" spans="1:26" ht="32.25" customHeight="1" thickBot="1" x14ac:dyDescent="0.3">
      <c r="A7" s="327" t="s">
        <v>67</v>
      </c>
      <c r="B7" s="710"/>
      <c r="C7" s="710"/>
      <c r="D7" s="1885" t="s">
        <v>604</v>
      </c>
      <c r="E7" s="1894"/>
      <c r="F7" s="1894"/>
      <c r="G7" s="1894"/>
      <c r="H7" s="1894"/>
      <c r="I7" s="1894"/>
      <c r="J7" s="1894"/>
      <c r="K7" s="1895"/>
      <c r="L7" s="329">
        <v>0</v>
      </c>
      <c r="M7" s="329">
        <v>0</v>
      </c>
      <c r="N7" s="329">
        <v>0</v>
      </c>
      <c r="O7" s="329">
        <v>0</v>
      </c>
      <c r="P7" s="329">
        <v>0</v>
      </c>
      <c r="Q7" s="329">
        <v>0</v>
      </c>
      <c r="R7" s="329"/>
      <c r="S7" s="91"/>
      <c r="T7" s="329" t="s">
        <v>66</v>
      </c>
      <c r="U7" s="329"/>
      <c r="V7" s="329"/>
      <c r="W7" s="329"/>
      <c r="X7" s="44">
        <v>0</v>
      </c>
      <c r="Y7" s="44">
        <f>SUM(X7*120/100)</f>
        <v>0</v>
      </c>
      <c r="Z7" s="44">
        <f>SUM(X7-Q7)</f>
        <v>0</v>
      </c>
    </row>
    <row r="8" spans="1:26" ht="15.75" thickBot="1" x14ac:dyDescent="0.3">
      <c r="A8" s="7"/>
      <c r="B8" s="14"/>
      <c r="C8" s="14"/>
      <c r="D8" s="16"/>
      <c r="E8" s="16"/>
      <c r="F8" s="16"/>
      <c r="G8" s="16"/>
      <c r="H8" s="16"/>
      <c r="I8" s="11"/>
      <c r="J8" s="11"/>
      <c r="K8" s="11"/>
      <c r="L8" s="11"/>
      <c r="M8" s="11"/>
      <c r="N8" s="11"/>
      <c r="O8" s="11"/>
      <c r="P8" s="11"/>
      <c r="Q8" s="11"/>
      <c r="R8" s="11"/>
      <c r="S8" s="11"/>
      <c r="T8" s="11"/>
      <c r="U8" s="11"/>
      <c r="V8" s="11"/>
      <c r="W8" s="165"/>
      <c r="X8" s="34"/>
      <c r="Y8" s="34"/>
      <c r="Z8" s="54"/>
    </row>
    <row r="9" spans="1:26" ht="38.25" customHeight="1" thickBot="1" x14ac:dyDescent="0.3">
      <c r="A9" s="327" t="s">
        <v>14</v>
      </c>
      <c r="B9" s="710"/>
      <c r="C9" s="710"/>
      <c r="D9" s="1885" t="s">
        <v>605</v>
      </c>
      <c r="E9" s="1894"/>
      <c r="F9" s="1894"/>
      <c r="G9" s="1894"/>
      <c r="H9" s="1894"/>
      <c r="I9" s="1894"/>
      <c r="J9" s="1894"/>
      <c r="K9" s="1895"/>
      <c r="L9" s="329">
        <v>0</v>
      </c>
      <c r="M9" s="329">
        <v>0</v>
      </c>
      <c r="N9" s="329">
        <v>0</v>
      </c>
      <c r="O9" s="329">
        <v>0</v>
      </c>
      <c r="P9" s="329">
        <v>0</v>
      </c>
      <c r="Q9" s="329">
        <v>0</v>
      </c>
      <c r="R9" s="329"/>
      <c r="S9" s="91"/>
      <c r="T9" s="329"/>
      <c r="U9" s="329"/>
      <c r="V9" s="329"/>
      <c r="W9" s="329"/>
      <c r="X9" s="44">
        <v>0</v>
      </c>
      <c r="Y9" s="44">
        <f>SUM(X9*120/100)</f>
        <v>0</v>
      </c>
      <c r="Z9" s="44">
        <f>SUM(X9-Q9)</f>
        <v>0</v>
      </c>
    </row>
    <row r="10" spans="1:26" ht="15.75" thickBot="1" x14ac:dyDescent="0.3">
      <c r="A10" s="7"/>
      <c r="B10" s="14"/>
      <c r="C10" s="14"/>
      <c r="D10" s="16"/>
      <c r="E10" s="16"/>
      <c r="F10" s="16"/>
      <c r="G10" s="16"/>
      <c r="H10" s="16"/>
      <c r="I10" s="11"/>
      <c r="J10" s="11"/>
      <c r="K10" s="11"/>
      <c r="L10" s="11"/>
      <c r="M10" s="11"/>
      <c r="N10" s="11"/>
      <c r="O10" s="11"/>
      <c r="P10" s="11"/>
      <c r="Q10" s="11"/>
      <c r="R10" s="11"/>
      <c r="S10" s="11"/>
      <c r="T10" s="11"/>
      <c r="U10" s="11"/>
      <c r="V10" s="11"/>
      <c r="W10" s="165"/>
      <c r="X10" s="34"/>
      <c r="Y10" s="34"/>
      <c r="Z10" s="54"/>
    </row>
    <row r="11" spans="1:26" ht="30" customHeight="1" thickBot="1" x14ac:dyDescent="0.3">
      <c r="A11" s="327" t="s">
        <v>70</v>
      </c>
      <c r="B11" s="710"/>
      <c r="C11" s="710"/>
      <c r="D11" s="1885" t="s">
        <v>614</v>
      </c>
      <c r="E11" s="1894"/>
      <c r="F11" s="1894"/>
      <c r="G11" s="1894"/>
      <c r="H11" s="1894"/>
      <c r="I11" s="1894"/>
      <c r="J11" s="1894"/>
      <c r="K11" s="1895"/>
      <c r="L11" s="329">
        <v>0</v>
      </c>
      <c r="M11" s="329">
        <v>0</v>
      </c>
      <c r="N11" s="329">
        <v>0</v>
      </c>
      <c r="O11" s="329">
        <f>SUM(O12:O14)</f>
        <v>0</v>
      </c>
      <c r="P11" s="329">
        <f>SUM(P12:P14)</f>
        <v>0</v>
      </c>
      <c r="Q11" s="329">
        <v>0</v>
      </c>
      <c r="R11" s="329"/>
      <c r="S11" s="91"/>
      <c r="T11" s="329"/>
      <c r="U11" s="329"/>
      <c r="V11" s="329"/>
      <c r="W11" s="329"/>
      <c r="X11" s="44">
        <v>0</v>
      </c>
      <c r="Y11" s="44">
        <f>SUM(X11*120/100)</f>
        <v>0</v>
      </c>
      <c r="Z11" s="44">
        <f>SUM(X11-Q11)</f>
        <v>0</v>
      </c>
    </row>
    <row r="12" spans="1:26" ht="15.75" customHeight="1" thickBot="1" x14ac:dyDescent="0.3">
      <c r="A12" s="7"/>
      <c r="B12" s="14"/>
      <c r="C12" s="14"/>
      <c r="D12" s="16"/>
      <c r="E12" s="16"/>
      <c r="F12" s="16"/>
      <c r="G12" s="16"/>
      <c r="H12" s="16"/>
      <c r="I12" s="11"/>
      <c r="J12" s="11"/>
      <c r="K12" s="11"/>
      <c r="L12" s="11"/>
      <c r="M12" s="11"/>
      <c r="N12" s="11"/>
      <c r="O12" s="11"/>
      <c r="P12" s="11"/>
      <c r="Q12" s="11"/>
      <c r="R12" s="11"/>
      <c r="S12" s="11"/>
      <c r="T12" s="11"/>
      <c r="U12" s="11"/>
      <c r="V12" s="11"/>
      <c r="W12" s="165"/>
      <c r="X12" s="34"/>
      <c r="Y12" s="34"/>
      <c r="Z12" s="54"/>
    </row>
    <row r="13" spans="1:26" ht="34.5" customHeight="1" thickBot="1" x14ac:dyDescent="0.3">
      <c r="A13" s="327" t="s">
        <v>16</v>
      </c>
      <c r="B13" s="710"/>
      <c r="C13" s="710"/>
      <c r="D13" s="1885" t="s">
        <v>615</v>
      </c>
      <c r="E13" s="1894"/>
      <c r="F13" s="1894"/>
      <c r="G13" s="1894"/>
      <c r="H13" s="1894"/>
      <c r="I13" s="1894"/>
      <c r="J13" s="1894"/>
      <c r="K13" s="1895"/>
      <c r="L13" s="1215">
        <f t="shared" ref="L13:Q13" si="2">SUM(L14:L14)</f>
        <v>1293732.5699999998</v>
      </c>
      <c r="M13" s="1215">
        <f t="shared" si="2"/>
        <v>97029.95</v>
      </c>
      <c r="N13" s="1215">
        <f t="shared" si="2"/>
        <v>97029.94</v>
      </c>
      <c r="O13" s="1215">
        <f t="shared" si="2"/>
        <v>0</v>
      </c>
      <c r="P13" s="1215">
        <f t="shared" si="2"/>
        <v>0</v>
      </c>
      <c r="Q13" s="1215">
        <f t="shared" si="2"/>
        <v>1099672.68</v>
      </c>
      <c r="R13" s="1215"/>
      <c r="S13" s="91"/>
      <c r="T13" s="329"/>
      <c r="U13" s="329"/>
      <c r="V13" s="329"/>
      <c r="W13" s="329"/>
      <c r="X13" s="37">
        <v>1158480</v>
      </c>
      <c r="Y13" s="37">
        <f>SUM(X13*120/100)</f>
        <v>1390176</v>
      </c>
      <c r="Z13" s="37">
        <f>SUM(X13-Q13)</f>
        <v>58807.320000000065</v>
      </c>
    </row>
    <row r="14" spans="1:26" ht="48.75" thickBot="1" x14ac:dyDescent="0.3">
      <c r="A14" s="125" t="str">
        <f>CONCATENATE('3 pr-2'!A47)</f>
        <v>1.1.1.4.1</v>
      </c>
      <c r="B14" s="125" t="str">
        <f>CONCATENATE('3 pr-2'!B47)</f>
        <v>R01-9902-310000-1141</v>
      </c>
      <c r="C14" s="738" t="str">
        <f>CONCATENATE('3 pr-2'!C47)</f>
        <v>07.1.1-CPVA-V-902-01-0008</v>
      </c>
      <c r="D14" s="125" t="s">
        <v>318</v>
      </c>
      <c r="E14" s="125" t="s">
        <v>350</v>
      </c>
      <c r="F14" s="125" t="s">
        <v>75</v>
      </c>
      <c r="G14" s="125" t="s">
        <v>1825</v>
      </c>
      <c r="H14" s="125" t="s">
        <v>178</v>
      </c>
      <c r="I14" s="376" t="s">
        <v>162</v>
      </c>
      <c r="J14" s="376" t="s">
        <v>167</v>
      </c>
      <c r="K14" s="376" t="s">
        <v>66</v>
      </c>
      <c r="L14" s="1210">
        <f>SUM(M14:Q14)</f>
        <v>1293732.5699999998</v>
      </c>
      <c r="M14" s="1210">
        <v>97029.95</v>
      </c>
      <c r="N14" s="1210">
        <v>97029.94</v>
      </c>
      <c r="O14" s="1210">
        <v>0</v>
      </c>
      <c r="P14" s="1210">
        <v>0</v>
      </c>
      <c r="Q14" s="1210">
        <v>1099672.68</v>
      </c>
      <c r="R14" s="1210"/>
      <c r="S14" s="719">
        <v>42246</v>
      </c>
      <c r="T14" s="719">
        <v>42338</v>
      </c>
      <c r="U14" s="719">
        <v>42674</v>
      </c>
      <c r="V14" s="719">
        <v>42735</v>
      </c>
      <c r="W14" s="721">
        <v>43281</v>
      </c>
      <c r="X14" s="34"/>
      <c r="Y14" s="34"/>
      <c r="Z14" s="54"/>
    </row>
    <row r="15" spans="1:26" ht="30.75" customHeight="1" thickBot="1" x14ac:dyDescent="0.3">
      <c r="A15" s="327" t="s">
        <v>76</v>
      </c>
      <c r="B15" s="710"/>
      <c r="C15" s="710"/>
      <c r="D15" s="1885" t="s">
        <v>616</v>
      </c>
      <c r="E15" s="1894"/>
      <c r="F15" s="1894"/>
      <c r="G15" s="1894"/>
      <c r="H15" s="1894"/>
      <c r="I15" s="1894"/>
      <c r="J15" s="1894"/>
      <c r="K15" s="1895"/>
      <c r="L15" s="1215">
        <f>SUM(L16)</f>
        <v>5706088</v>
      </c>
      <c r="M15" s="1215">
        <f t="shared" ref="M15:Q15" si="3">SUM(M16)</f>
        <v>0</v>
      </c>
      <c r="N15" s="1215">
        <f t="shared" si="3"/>
        <v>0</v>
      </c>
      <c r="O15" s="1215">
        <f t="shared" si="3"/>
        <v>3009103.69</v>
      </c>
      <c r="P15" s="1215">
        <f t="shared" si="3"/>
        <v>0</v>
      </c>
      <c r="Q15" s="1215">
        <f t="shared" si="3"/>
        <v>2696984.31</v>
      </c>
      <c r="R15" s="1215"/>
      <c r="S15" s="91"/>
      <c r="T15" s="329"/>
      <c r="U15" s="329"/>
      <c r="V15" s="329"/>
      <c r="W15" s="329"/>
      <c r="X15" s="37">
        <v>2645996.25</v>
      </c>
      <c r="Y15" s="37">
        <f>SUM(X15*120/100)</f>
        <v>3175195.5</v>
      </c>
      <c r="Z15" s="38">
        <f>SUM(X15-Q15)</f>
        <v>-50988.060000000056</v>
      </c>
    </row>
    <row r="16" spans="1:26" ht="48.75" thickBot="1" x14ac:dyDescent="0.3">
      <c r="A16" s="125" t="str">
        <f>CONCATENATE('3 pr-2'!A52)</f>
        <v>1.1.1.5.2.</v>
      </c>
      <c r="B16" s="125" t="str">
        <f>CONCATENATE('3 pr-2'!B52)</f>
        <v>R01-0014-060750-1152</v>
      </c>
      <c r="C16" s="738" t="str">
        <f>CONCATENATE('3 pr-2'!C52)</f>
        <v>05.3.2-APVA-R-014-11-0002</v>
      </c>
      <c r="D16" s="125" t="s">
        <v>393</v>
      </c>
      <c r="E16" s="125" t="s">
        <v>297</v>
      </c>
      <c r="F16" s="125" t="s">
        <v>77</v>
      </c>
      <c r="G16" s="125" t="s">
        <v>1825</v>
      </c>
      <c r="H16" s="125" t="s">
        <v>144</v>
      </c>
      <c r="I16" s="376" t="s">
        <v>119</v>
      </c>
      <c r="J16" s="376" t="s">
        <v>167</v>
      </c>
      <c r="K16" s="376" t="s">
        <v>66</v>
      </c>
      <c r="L16" s="1220">
        <f>SUM(M16:Q16)</f>
        <v>5706088</v>
      </c>
      <c r="M16" s="1210">
        <v>0</v>
      </c>
      <c r="N16" s="1210">
        <v>0</v>
      </c>
      <c r="O16" s="1220">
        <v>3009103.69</v>
      </c>
      <c r="P16" s="1210">
        <v>0</v>
      </c>
      <c r="Q16" s="1220">
        <v>2696984.31</v>
      </c>
      <c r="R16" s="1220"/>
      <c r="S16" s="719">
        <v>42451</v>
      </c>
      <c r="T16" s="719">
        <v>42551</v>
      </c>
      <c r="U16" s="719">
        <v>42704</v>
      </c>
      <c r="V16" s="719">
        <v>42736</v>
      </c>
      <c r="W16" s="721">
        <v>44195</v>
      </c>
      <c r="X16" s="34"/>
      <c r="Y16" s="34"/>
      <c r="Z16" s="34"/>
    </row>
    <row r="17" spans="1:28" ht="27" customHeight="1" thickBot="1" x14ac:dyDescent="0.3">
      <c r="A17" s="327" t="s">
        <v>79</v>
      </c>
      <c r="B17" s="710"/>
      <c r="C17" s="710"/>
      <c r="D17" s="1885" t="s">
        <v>617</v>
      </c>
      <c r="E17" s="1894"/>
      <c r="F17" s="1894"/>
      <c r="G17" s="1894"/>
      <c r="H17" s="1894"/>
      <c r="I17" s="1894"/>
      <c r="J17" s="1894"/>
      <c r="K17" s="1895"/>
      <c r="L17" s="1215">
        <f t="shared" ref="L17:Q17" si="4">SUM(L18:L18)</f>
        <v>3999404.09</v>
      </c>
      <c r="M17" s="1215">
        <f t="shared" si="4"/>
        <v>0</v>
      </c>
      <c r="N17" s="1215">
        <f t="shared" si="4"/>
        <v>0</v>
      </c>
      <c r="O17" s="1215">
        <f t="shared" si="4"/>
        <v>599910.61</v>
      </c>
      <c r="P17" s="1215">
        <f t="shared" si="4"/>
        <v>0</v>
      </c>
      <c r="Q17" s="1215">
        <f t="shared" si="4"/>
        <v>3399493.48</v>
      </c>
      <c r="R17" s="1215"/>
      <c r="S17" s="91"/>
      <c r="T17" s="329"/>
      <c r="U17" s="329"/>
      <c r="V17" s="329"/>
      <c r="W17" s="329"/>
      <c r="X17" s="37">
        <v>2387993.48</v>
      </c>
      <c r="Y17" s="37">
        <f>SUM(X17*120/100)</f>
        <v>2865592.1760000004</v>
      </c>
      <c r="Z17" s="38">
        <f>SUM(X17-Q17)</f>
        <v>-1011500</v>
      </c>
    </row>
    <row r="18" spans="1:28" ht="48.75" thickBot="1" x14ac:dyDescent="0.3">
      <c r="A18" s="90" t="str">
        <f>CONCATENATE('3 pr-2'!A57)</f>
        <v>1.1.1.6.1</v>
      </c>
      <c r="B18" s="90" t="str">
        <f>CONCATENATE('3 pr-2'!B57)</f>
        <v>R01-0007-080000-1161</v>
      </c>
      <c r="C18" s="738" t="str">
        <f>CONCATENATE('3 pr-2'!C57)</f>
        <v>05.1.1-APVA-R-007-11-0001</v>
      </c>
      <c r="D18" s="90" t="s">
        <v>307</v>
      </c>
      <c r="E18" s="90" t="s">
        <v>297</v>
      </c>
      <c r="F18" s="90" t="s">
        <v>77</v>
      </c>
      <c r="G18" s="90" t="s">
        <v>1825</v>
      </c>
      <c r="H18" s="90" t="s">
        <v>179</v>
      </c>
      <c r="I18" s="15" t="s">
        <v>119</v>
      </c>
      <c r="J18" s="15" t="s">
        <v>66</v>
      </c>
      <c r="K18" s="15" t="s">
        <v>640</v>
      </c>
      <c r="L18" s="1220">
        <f t="shared" ref="L18" si="5">SUM(M18:Q18)</f>
        <v>3999404.09</v>
      </c>
      <c r="M18" s="1210">
        <v>0</v>
      </c>
      <c r="N18" s="1210">
        <v>0</v>
      </c>
      <c r="O18" s="1220">
        <v>599910.61</v>
      </c>
      <c r="P18" s="1210">
        <v>0</v>
      </c>
      <c r="Q18" s="1220">
        <v>3399493.48</v>
      </c>
      <c r="R18" s="1220"/>
      <c r="S18" s="487">
        <v>42475</v>
      </c>
      <c r="T18" s="719">
        <v>42551</v>
      </c>
      <c r="U18" s="719">
        <v>42726</v>
      </c>
      <c r="V18" s="719">
        <v>42825</v>
      </c>
      <c r="W18" s="719">
        <v>44196</v>
      </c>
      <c r="X18" s="34"/>
      <c r="Y18" s="34"/>
      <c r="Z18" s="54"/>
    </row>
    <row r="19" spans="1:28" ht="28.5" customHeight="1" thickBot="1" x14ac:dyDescent="0.3">
      <c r="A19" s="327" t="s">
        <v>81</v>
      </c>
      <c r="B19" s="710"/>
      <c r="C19" s="710"/>
      <c r="D19" s="1885" t="s">
        <v>618</v>
      </c>
      <c r="E19" s="1894"/>
      <c r="F19" s="1894"/>
      <c r="G19" s="1894"/>
      <c r="H19" s="1894"/>
      <c r="I19" s="1894"/>
      <c r="J19" s="1894"/>
      <c r="K19" s="1895"/>
      <c r="L19" s="1215">
        <f>SUM(L20:L21)</f>
        <v>41644.705882352944</v>
      </c>
      <c r="M19" s="1215">
        <f t="shared" ref="M19:Q19" si="6">SUM(M20:M21)</f>
        <v>6246.7058823529414</v>
      </c>
      <c r="N19" s="1215">
        <f t="shared" si="6"/>
        <v>0</v>
      </c>
      <c r="O19" s="1215">
        <f t="shared" si="6"/>
        <v>0</v>
      </c>
      <c r="P19" s="1215">
        <f t="shared" si="6"/>
        <v>0</v>
      </c>
      <c r="Q19" s="1215">
        <f t="shared" si="6"/>
        <v>35398</v>
      </c>
      <c r="R19" s="1215"/>
      <c r="S19" s="91"/>
      <c r="T19" s="329"/>
      <c r="U19" s="329"/>
      <c r="V19" s="329"/>
      <c r="W19" s="329"/>
      <c r="X19" s="37">
        <v>35398</v>
      </c>
      <c r="Y19" s="37">
        <f>SUM(X19*120/100)</f>
        <v>42477.599999999999</v>
      </c>
      <c r="Z19" s="37">
        <f>SUM(X19-Q19)</f>
        <v>0</v>
      </c>
    </row>
    <row r="20" spans="1:28" ht="36.75" thickBot="1" x14ac:dyDescent="0.3">
      <c r="A20" s="90" t="str">
        <f>CONCATENATE('3 pr-2'!A59)</f>
        <v>1.1.1.7.1</v>
      </c>
      <c r="B20" s="90" t="str">
        <f>CONCATENATE('3 pr-2'!B59)</f>
        <v>R01-8821-420000-1171</v>
      </c>
      <c r="C20" s="738" t="str">
        <f>CONCATENATE('3 pr-2'!C59)</f>
        <v>05.4.1-LVPA-R-821-11-0002</v>
      </c>
      <c r="D20" s="90" t="s">
        <v>272</v>
      </c>
      <c r="E20" s="90" t="s">
        <v>350</v>
      </c>
      <c r="F20" s="90" t="s">
        <v>82</v>
      </c>
      <c r="G20" s="90" t="s">
        <v>1825</v>
      </c>
      <c r="H20" s="248" t="s">
        <v>774</v>
      </c>
      <c r="I20" s="15" t="s">
        <v>119</v>
      </c>
      <c r="J20" s="15" t="s">
        <v>66</v>
      </c>
      <c r="K20" s="17" t="s">
        <v>66</v>
      </c>
      <c r="L20" s="1303">
        <f>SUM(M20:Q20)</f>
        <v>41644.705882352944</v>
      </c>
      <c r="M20" s="1303">
        <v>6246.7058823529414</v>
      </c>
      <c r="N20" s="718">
        <v>0</v>
      </c>
      <c r="O20" s="718">
        <v>0</v>
      </c>
      <c r="P20" s="718">
        <v>0</v>
      </c>
      <c r="Q20" s="1303">
        <v>35398</v>
      </c>
      <c r="R20" s="1303"/>
      <c r="S20" s="487">
        <v>42604</v>
      </c>
      <c r="T20" s="357">
        <v>42635</v>
      </c>
      <c r="U20" s="357">
        <v>42755</v>
      </c>
      <c r="V20" s="357">
        <v>42855</v>
      </c>
      <c r="W20" s="542">
        <v>43465</v>
      </c>
      <c r="X20" s="34"/>
      <c r="Y20" s="34"/>
      <c r="Z20" s="54"/>
    </row>
    <row r="21" spans="1:28" ht="15.75" thickBot="1" x14ac:dyDescent="0.3">
      <c r="A21" s="19"/>
      <c r="B21" s="16"/>
      <c r="C21" s="16"/>
      <c r="D21" s="16"/>
      <c r="E21" s="16"/>
      <c r="F21" s="16"/>
      <c r="G21" s="16"/>
      <c r="H21" s="16"/>
      <c r="I21" s="11"/>
      <c r="J21" s="11"/>
      <c r="K21" s="11"/>
      <c r="L21" s="11"/>
      <c r="M21" s="11"/>
      <c r="N21" s="11"/>
      <c r="O21" s="11"/>
      <c r="P21" s="11"/>
      <c r="Q21" s="11"/>
      <c r="R21" s="11"/>
      <c r="S21" s="11"/>
      <c r="T21" s="11"/>
      <c r="U21" s="11"/>
      <c r="V21" s="11"/>
      <c r="W21" s="165"/>
      <c r="X21" s="34"/>
      <c r="Y21" s="34"/>
      <c r="Z21" s="54"/>
    </row>
    <row r="22" spans="1:28" ht="30" customHeight="1" thickBot="1" x14ac:dyDescent="0.3">
      <c r="A22" s="327" t="s">
        <v>84</v>
      </c>
      <c r="B22" s="710"/>
      <c r="C22" s="710"/>
      <c r="D22" s="1885" t="s">
        <v>619</v>
      </c>
      <c r="E22" s="1894"/>
      <c r="F22" s="1894"/>
      <c r="G22" s="1894"/>
      <c r="H22" s="1894"/>
      <c r="I22" s="1894"/>
      <c r="J22" s="1894"/>
      <c r="K22" s="1895"/>
      <c r="L22" s="1215">
        <f t="shared" ref="L22:Q22" si="7">SUM(L23:L23)</f>
        <v>783264.16</v>
      </c>
      <c r="M22" s="1215">
        <f t="shared" si="7"/>
        <v>131322.34</v>
      </c>
      <c r="N22" s="1215">
        <f t="shared" si="7"/>
        <v>0</v>
      </c>
      <c r="O22" s="1215">
        <f t="shared" si="7"/>
        <v>0</v>
      </c>
      <c r="P22" s="1215">
        <f t="shared" si="7"/>
        <v>352400.82</v>
      </c>
      <c r="Q22" s="1215">
        <f t="shared" si="7"/>
        <v>299541</v>
      </c>
      <c r="R22" s="1215"/>
      <c r="S22" s="91"/>
      <c r="T22" s="329"/>
      <c r="U22" s="329"/>
      <c r="V22" s="329"/>
      <c r="W22" s="329"/>
      <c r="X22" s="37">
        <v>299541.3775</v>
      </c>
      <c r="Y22" s="37">
        <f>SUM(X22*120/100)</f>
        <v>359449.65299999999</v>
      </c>
      <c r="Z22" s="37">
        <f>SUM(X22-Q22)</f>
        <v>0.37750000000232831</v>
      </c>
    </row>
    <row r="23" spans="1:28" ht="48.75" thickBot="1" x14ac:dyDescent="0.3">
      <c r="A23" s="125" t="str">
        <f>CONCATENATE('3 pr-2'!A64)</f>
        <v>1.1.1.8.2</v>
      </c>
      <c r="B23" s="125" t="str">
        <f>CONCATENATE('3 pr-2'!B64)</f>
        <v>R01-3305-330000-1182</v>
      </c>
      <c r="C23" s="738" t="str">
        <f>CONCATENATE('3 pr-2'!C64)</f>
        <v>07.1.1-CPVA-R-305-11-0002</v>
      </c>
      <c r="D23" s="125" t="s">
        <v>319</v>
      </c>
      <c r="E23" s="125" t="s">
        <v>350</v>
      </c>
      <c r="F23" s="125" t="s">
        <v>116</v>
      </c>
      <c r="G23" s="125" t="s">
        <v>1825</v>
      </c>
      <c r="H23" s="352" t="s">
        <v>143</v>
      </c>
      <c r="I23" s="376" t="s">
        <v>119</v>
      </c>
      <c r="J23" s="376" t="s">
        <v>167</v>
      </c>
      <c r="K23" s="306" t="s">
        <v>66</v>
      </c>
      <c r="L23" s="1220">
        <f>SUM(M23:Q23)</f>
        <v>783264.16</v>
      </c>
      <c r="M23" s="1220">
        <v>131322.34</v>
      </c>
      <c r="N23" s="1218">
        <v>0</v>
      </c>
      <c r="O23" s="1210">
        <v>0</v>
      </c>
      <c r="P23" s="1218">
        <v>352400.82</v>
      </c>
      <c r="Q23" s="1220">
        <v>299541</v>
      </c>
      <c r="R23" s="1220"/>
      <c r="S23" s="719">
        <v>42614</v>
      </c>
      <c r="T23" s="719">
        <v>42703</v>
      </c>
      <c r="U23" s="719">
        <v>42762</v>
      </c>
      <c r="V23" s="719">
        <v>42855</v>
      </c>
      <c r="W23" s="719">
        <v>43465</v>
      </c>
      <c r="X23" s="34"/>
      <c r="Y23" s="34"/>
      <c r="Z23" s="54"/>
    </row>
    <row r="24" spans="1:28" ht="33" customHeight="1" thickBot="1" x14ac:dyDescent="0.3">
      <c r="A24" s="327" t="s">
        <v>86</v>
      </c>
      <c r="B24" s="710"/>
      <c r="C24" s="710"/>
      <c r="D24" s="1885" t="s">
        <v>620</v>
      </c>
      <c r="E24" s="1894"/>
      <c r="F24" s="1894"/>
      <c r="G24" s="1894"/>
      <c r="H24" s="1894"/>
      <c r="I24" s="1894"/>
      <c r="J24" s="1894"/>
      <c r="K24" s="1895"/>
      <c r="L24" s="1215">
        <f t="shared" ref="L24:Q24" si="8">SUM(L25:L25)</f>
        <v>444560.16000000003</v>
      </c>
      <c r="M24" s="1215">
        <f t="shared" si="8"/>
        <v>238504.16</v>
      </c>
      <c r="N24" s="1215">
        <f t="shared" si="8"/>
        <v>0</v>
      </c>
      <c r="O24" s="1215">
        <f t="shared" si="8"/>
        <v>0</v>
      </c>
      <c r="P24" s="1215">
        <f t="shared" si="8"/>
        <v>0</v>
      </c>
      <c r="Q24" s="1215">
        <f t="shared" si="8"/>
        <v>206056</v>
      </c>
      <c r="R24" s="1215"/>
      <c r="S24" s="91"/>
      <c r="T24" s="329"/>
      <c r="U24" s="329"/>
      <c r="V24" s="329"/>
      <c r="W24" s="329"/>
      <c r="X24" s="37">
        <v>206056.31</v>
      </c>
      <c r="Y24" s="37">
        <f>SUM(X24*120/100)</f>
        <v>247267.57199999999</v>
      </c>
      <c r="Z24" s="37">
        <f>SUM(X24-Q24)</f>
        <v>0.30999999999767169</v>
      </c>
    </row>
    <row r="25" spans="1:28" ht="36.75" thickBot="1" x14ac:dyDescent="0.3">
      <c r="A25" s="152" t="str">
        <f>CONCATENATE('3 pr-2'!A68)</f>
        <v>1.1.1.9.1</v>
      </c>
      <c r="B25" s="152" t="str">
        <f>CONCATENATE('3 pr-2'!B68)</f>
        <v>R01-3302-440000-1191</v>
      </c>
      <c r="C25" s="739" t="str">
        <f>CONCATENATE('3 pr-2'!C68)</f>
        <v>05.4.1-CPVA-R-302-11-0003</v>
      </c>
      <c r="D25" s="90" t="s">
        <v>641</v>
      </c>
      <c r="E25" s="90" t="s">
        <v>350</v>
      </c>
      <c r="F25" s="90" t="s">
        <v>116</v>
      </c>
      <c r="G25" s="90" t="s">
        <v>1825</v>
      </c>
      <c r="H25" s="248" t="s">
        <v>182</v>
      </c>
      <c r="I25" s="15" t="s">
        <v>119</v>
      </c>
      <c r="J25" s="15" t="s">
        <v>167</v>
      </c>
      <c r="K25" s="17" t="s">
        <v>640</v>
      </c>
      <c r="L25" s="1210">
        <f>SUM(M25:Q25)</f>
        <v>444560.16000000003</v>
      </c>
      <c r="M25" s="1210">
        <v>238504.16</v>
      </c>
      <c r="N25" s="718">
        <v>0</v>
      </c>
      <c r="O25" s="718">
        <v>0</v>
      </c>
      <c r="P25" s="718">
        <v>0</v>
      </c>
      <c r="Q25" s="718">
        <v>206056</v>
      </c>
      <c r="R25" s="718"/>
      <c r="S25" s="487">
        <v>42667</v>
      </c>
      <c r="T25" s="357">
        <v>42794</v>
      </c>
      <c r="U25" s="357">
        <v>43220</v>
      </c>
      <c r="V25" s="357">
        <v>43281</v>
      </c>
      <c r="W25" s="719">
        <v>44196</v>
      </c>
      <c r="X25" s="34"/>
      <c r="Y25" s="34"/>
      <c r="Z25" s="54"/>
    </row>
    <row r="26" spans="1:28" ht="37.5" customHeight="1" thickBot="1" x14ac:dyDescent="0.3">
      <c r="A26" s="151" t="s">
        <v>22</v>
      </c>
      <c r="B26" s="714"/>
      <c r="C26" s="714"/>
      <c r="D26" s="1877" t="s">
        <v>621</v>
      </c>
      <c r="E26" s="1892"/>
      <c r="F26" s="1892"/>
      <c r="G26" s="1892"/>
      <c r="H26" s="1892"/>
      <c r="I26" s="1892"/>
      <c r="J26" s="1892"/>
      <c r="K26" s="1893"/>
      <c r="L26" s="1228">
        <f t="shared" ref="L26:Q26" si="9">SUM(L27+L29+L32+L34)</f>
        <v>3436757.6</v>
      </c>
      <c r="M26" s="1228">
        <f t="shared" si="9"/>
        <v>977470.3</v>
      </c>
      <c r="N26" s="1228">
        <f t="shared" si="9"/>
        <v>0</v>
      </c>
      <c r="O26" s="1228">
        <f t="shared" si="9"/>
        <v>0</v>
      </c>
      <c r="P26" s="1228">
        <f t="shared" si="9"/>
        <v>0</v>
      </c>
      <c r="Q26" s="1228">
        <f t="shared" si="9"/>
        <v>2459287.2999999998</v>
      </c>
      <c r="R26" s="1228"/>
      <c r="S26" s="132"/>
      <c r="T26" s="370"/>
      <c r="U26" s="370"/>
      <c r="V26" s="370"/>
      <c r="W26" s="372"/>
      <c r="X26" s="36">
        <f>SUM(X27+X29+X32+X34)</f>
        <v>2321465.56</v>
      </c>
      <c r="Y26" s="36">
        <f>SUM(Y27+Y29+Y32+Y34)</f>
        <v>2785758.6720000003</v>
      </c>
      <c r="Z26" s="36">
        <f>SUM(Z27+Z29+Z32+Z34)</f>
        <v>-109229.44</v>
      </c>
    </row>
    <row r="27" spans="1:28" ht="31.5" customHeight="1" thickBot="1" x14ac:dyDescent="0.3">
      <c r="A27" s="327" t="s">
        <v>88</v>
      </c>
      <c r="B27" s="710"/>
      <c r="C27" s="710"/>
      <c r="D27" s="1885" t="s">
        <v>622</v>
      </c>
      <c r="E27" s="1894"/>
      <c r="F27" s="1894"/>
      <c r="G27" s="1894"/>
      <c r="H27" s="1894"/>
      <c r="I27" s="1894"/>
      <c r="J27" s="1894"/>
      <c r="K27" s="1895"/>
      <c r="L27" s="1215">
        <f t="shared" ref="L27:Q27" si="10">SUM(L28:L28)</f>
        <v>406091</v>
      </c>
      <c r="M27" s="1215">
        <f t="shared" si="10"/>
        <v>60914</v>
      </c>
      <c r="N27" s="1215">
        <f t="shared" si="10"/>
        <v>0</v>
      </c>
      <c r="O27" s="1215">
        <f t="shared" si="10"/>
        <v>0</v>
      </c>
      <c r="P27" s="1215">
        <f t="shared" si="10"/>
        <v>0</v>
      </c>
      <c r="Q27" s="1215">
        <f t="shared" si="10"/>
        <v>345177</v>
      </c>
      <c r="R27" s="1215"/>
      <c r="S27" s="91"/>
      <c r="T27" s="329"/>
      <c r="U27" s="329"/>
      <c r="V27" s="329"/>
      <c r="W27" s="329"/>
      <c r="X27" s="37">
        <v>345177</v>
      </c>
      <c r="Y27" s="37">
        <f>SUM(X27*120/100)</f>
        <v>414212.4</v>
      </c>
      <c r="Z27" s="37">
        <f>SUM(X27-Q27)</f>
        <v>0</v>
      </c>
    </row>
    <row r="28" spans="1:28" ht="48.75" thickBot="1" x14ac:dyDescent="0.3">
      <c r="A28" s="90" t="str">
        <f>CONCATENATE('3 pr-2'!A75)</f>
        <v>1.1.2.1.1</v>
      </c>
      <c r="B28" s="90" t="str">
        <f>CONCATENATE('3 pr-2'!B75)</f>
        <v>R01-5518-100000-1211</v>
      </c>
      <c r="C28" s="738" t="str">
        <f>CONCATENATE('3 pr-2'!C75)</f>
        <v/>
      </c>
      <c r="D28" s="90" t="s">
        <v>321</v>
      </c>
      <c r="E28" s="90" t="s">
        <v>350</v>
      </c>
      <c r="F28" s="90" t="s">
        <v>115</v>
      </c>
      <c r="G28" s="90" t="s">
        <v>1825</v>
      </c>
      <c r="H28" s="248" t="s">
        <v>135</v>
      </c>
      <c r="I28" s="15" t="s">
        <v>119</v>
      </c>
      <c r="J28" s="15" t="s">
        <v>167</v>
      </c>
      <c r="K28" s="17" t="s">
        <v>66</v>
      </c>
      <c r="L28" s="718">
        <f>SUM(M28:Q28)</f>
        <v>406091</v>
      </c>
      <c r="M28" s="718">
        <v>60914</v>
      </c>
      <c r="N28" s="718" t="s">
        <v>66</v>
      </c>
      <c r="O28" s="718">
        <v>0</v>
      </c>
      <c r="P28" s="718">
        <v>0</v>
      </c>
      <c r="Q28" s="718">
        <v>345177</v>
      </c>
      <c r="R28" s="718"/>
      <c r="S28" s="988">
        <v>42877</v>
      </c>
      <c r="T28" s="173">
        <v>43465</v>
      </c>
      <c r="U28" s="173">
        <v>43646</v>
      </c>
      <c r="V28" s="173">
        <v>43738</v>
      </c>
      <c r="W28" s="173">
        <v>44377</v>
      </c>
      <c r="X28" s="34"/>
      <c r="Y28" s="34"/>
      <c r="Z28" s="54"/>
      <c r="AA28" s="52">
        <f>SUM(365/12)</f>
        <v>30.416666666666668</v>
      </c>
      <c r="AB28" s="52">
        <f>SUM(W28-V28)/AA28</f>
        <v>21.008219178082189</v>
      </c>
    </row>
    <row r="29" spans="1:28" ht="30" customHeight="1" thickBot="1" x14ac:dyDescent="0.3">
      <c r="A29" s="327" t="s">
        <v>90</v>
      </c>
      <c r="B29" s="710"/>
      <c r="C29" s="710"/>
      <c r="D29" s="1885" t="s">
        <v>623</v>
      </c>
      <c r="E29" s="1894"/>
      <c r="F29" s="1894"/>
      <c r="G29" s="1894"/>
      <c r="H29" s="1894"/>
      <c r="I29" s="1894"/>
      <c r="J29" s="1894"/>
      <c r="K29" s="1895"/>
      <c r="L29" s="329">
        <f t="shared" ref="L29:Q29" si="11">SUM(L30:L31)</f>
        <v>1177107</v>
      </c>
      <c r="M29" s="329">
        <f t="shared" si="11"/>
        <v>176565.7</v>
      </c>
      <c r="N29" s="329">
        <f t="shared" si="11"/>
        <v>0</v>
      </c>
      <c r="O29" s="329">
        <f t="shared" si="11"/>
        <v>0</v>
      </c>
      <c r="P29" s="329">
        <f t="shared" si="11"/>
        <v>0</v>
      </c>
      <c r="Q29" s="329">
        <f t="shared" si="11"/>
        <v>1000541.3</v>
      </c>
      <c r="R29" s="329"/>
      <c r="S29" s="91"/>
      <c r="T29" s="329"/>
      <c r="U29" s="329"/>
      <c r="V29" s="329"/>
      <c r="W29" s="329"/>
      <c r="X29" s="37">
        <v>864432</v>
      </c>
      <c r="Y29" s="37">
        <f>SUM(X29*120/100)</f>
        <v>1037318.4</v>
      </c>
      <c r="Z29" s="38">
        <f>SUM(X29-(Q29-Q31))</f>
        <v>-107517</v>
      </c>
    </row>
    <row r="30" spans="1:28" s="56" customFormat="1" ht="48.75" thickBot="1" x14ac:dyDescent="0.3">
      <c r="A30" s="152" t="str">
        <f>CONCATENATE('3 pr-2'!A80)</f>
        <v>1.1.2.2.1</v>
      </c>
      <c r="B30" s="152" t="str">
        <f>CONCATENATE('3 pr-2'!B80)</f>
        <v>R01-5514-190000-1221</v>
      </c>
      <c r="C30" s="739" t="str">
        <f>CONCATENATE('3 pr-2'!C80)</f>
        <v/>
      </c>
      <c r="D30" s="90" t="s">
        <v>392</v>
      </c>
      <c r="E30" s="90" t="s">
        <v>350</v>
      </c>
      <c r="F30" s="90" t="s">
        <v>115</v>
      </c>
      <c r="G30" s="90" t="s">
        <v>1825</v>
      </c>
      <c r="H30" s="248" t="s">
        <v>147</v>
      </c>
      <c r="I30" s="15" t="s">
        <v>119</v>
      </c>
      <c r="J30" s="15" t="s">
        <v>167</v>
      </c>
      <c r="K30" s="15" t="s">
        <v>66</v>
      </c>
      <c r="L30" s="718">
        <f>SUM(M30:Q30)</f>
        <v>1143469</v>
      </c>
      <c r="M30" s="718">
        <v>171520</v>
      </c>
      <c r="N30" s="718">
        <v>0</v>
      </c>
      <c r="O30" s="718">
        <v>0</v>
      </c>
      <c r="P30" s="718">
        <v>0</v>
      </c>
      <c r="Q30" s="718">
        <v>971949</v>
      </c>
      <c r="R30" s="718"/>
      <c r="S30" s="487">
        <v>43130</v>
      </c>
      <c r="T30" s="488">
        <v>43388</v>
      </c>
      <c r="U30" s="488">
        <v>43616</v>
      </c>
      <c r="V30" s="488">
        <v>43738</v>
      </c>
      <c r="W30" s="488">
        <v>44346</v>
      </c>
      <c r="X30" s="55"/>
      <c r="Y30" s="55"/>
      <c r="Z30" s="55"/>
    </row>
    <row r="31" spans="1:28" s="56" customFormat="1" ht="48.75" thickBot="1" x14ac:dyDescent="0.3">
      <c r="A31" s="485" t="str">
        <f>CONCATENATE('3 pr-2'!A81)</f>
        <v>1.1.2.2.2</v>
      </c>
      <c r="B31" s="485" t="str">
        <f>CONCATENATE('3 pr-2'!B81)</f>
        <v>R01-5514-190000-1222</v>
      </c>
      <c r="C31" s="739" t="str">
        <f>CONCATENATE('3 pr-2'!C81)</f>
        <v>04.5.1-TID-V-513-01-0015</v>
      </c>
      <c r="D31" s="125" t="s">
        <v>642</v>
      </c>
      <c r="E31" s="125" t="s">
        <v>350</v>
      </c>
      <c r="F31" s="125" t="s">
        <v>115</v>
      </c>
      <c r="G31" s="125" t="s">
        <v>1825</v>
      </c>
      <c r="H31" s="352" t="s">
        <v>270</v>
      </c>
      <c r="I31" s="376" t="s">
        <v>162</v>
      </c>
      <c r="J31" s="376" t="s">
        <v>167</v>
      </c>
      <c r="K31" s="376" t="s">
        <v>66</v>
      </c>
      <c r="L31" s="1210">
        <f>SUM(M31:Q31)</f>
        <v>33638</v>
      </c>
      <c r="M31" s="1210">
        <v>5045.7</v>
      </c>
      <c r="N31" s="1210">
        <v>0</v>
      </c>
      <c r="O31" s="1210">
        <v>0</v>
      </c>
      <c r="P31" s="1210">
        <v>0</v>
      </c>
      <c r="Q31" s="1210">
        <v>28592.3</v>
      </c>
      <c r="R31" s="1210"/>
      <c r="S31" s="719">
        <v>42643</v>
      </c>
      <c r="T31" s="722">
        <v>42674</v>
      </c>
      <c r="U31" s="722">
        <v>42855</v>
      </c>
      <c r="V31" s="722">
        <v>42947</v>
      </c>
      <c r="W31" s="488">
        <v>43281</v>
      </c>
      <c r="X31" s="486"/>
      <c r="Y31" s="486"/>
      <c r="Z31" s="486"/>
    </row>
    <row r="32" spans="1:28" ht="27.75" customHeight="1" thickBot="1" x14ac:dyDescent="0.3">
      <c r="A32" s="327" t="s">
        <v>92</v>
      </c>
      <c r="B32" s="710"/>
      <c r="C32" s="710"/>
      <c r="D32" s="1885" t="s">
        <v>624</v>
      </c>
      <c r="E32" s="1894"/>
      <c r="F32" s="1894"/>
      <c r="G32" s="1894"/>
      <c r="H32" s="1894"/>
      <c r="I32" s="1894"/>
      <c r="J32" s="1894"/>
      <c r="K32" s="1895"/>
      <c r="L32" s="1215">
        <f>SUM(L33:L33)</f>
        <v>135732</v>
      </c>
      <c r="M32" s="1215">
        <f>SUM(M33)</f>
        <v>20400</v>
      </c>
      <c r="N32" s="1215">
        <f>SUM(N33:N33)</f>
        <v>0</v>
      </c>
      <c r="O32" s="1215">
        <f>SUM(O33:O33)</f>
        <v>0</v>
      </c>
      <c r="P32" s="1215">
        <f>SUM(P33:P33)</f>
        <v>0</v>
      </c>
      <c r="Q32" s="1215">
        <f>SUM(Q33:Q33)</f>
        <v>115332</v>
      </c>
      <c r="R32" s="1215"/>
      <c r="S32" s="91"/>
      <c r="T32" s="329"/>
      <c r="U32" s="329"/>
      <c r="V32" s="329"/>
      <c r="W32" s="329"/>
      <c r="X32" s="37">
        <v>113619.56</v>
      </c>
      <c r="Y32" s="37">
        <f>SUM(X32*120/100)</f>
        <v>136343.47199999998</v>
      </c>
      <c r="Z32" s="37">
        <f>SUM(X32-Q32)</f>
        <v>-1712.4400000000023</v>
      </c>
    </row>
    <row r="33" spans="1:26" s="56" customFormat="1" ht="48.75" thickBot="1" x14ac:dyDescent="0.3">
      <c r="A33" s="125" t="str">
        <f>CONCATENATE('3 pr-2'!A88)</f>
        <v>1.1.2.3.2</v>
      </c>
      <c r="B33" s="125" t="str">
        <f>CONCATENATE('3 pr-2'!B88)</f>
        <v>R01-5516-190000-1232</v>
      </c>
      <c r="C33" s="738" t="str">
        <f>CONCATENATE('3 pr-2'!C88)</f>
        <v>04.5.1-TID-R-516-11-0001</v>
      </c>
      <c r="D33" s="125" t="s">
        <v>643</v>
      </c>
      <c r="E33" s="125" t="s">
        <v>350</v>
      </c>
      <c r="F33" s="125" t="s">
        <v>115</v>
      </c>
      <c r="G33" s="125" t="s">
        <v>1825</v>
      </c>
      <c r="H33" s="352" t="s">
        <v>148</v>
      </c>
      <c r="I33" s="376" t="s">
        <v>119</v>
      </c>
      <c r="J33" s="376" t="s">
        <v>167</v>
      </c>
      <c r="K33" s="306" t="s">
        <v>66</v>
      </c>
      <c r="L33" s="1220">
        <f>SUM(M33:Q33)</f>
        <v>135732</v>
      </c>
      <c r="M33" s="1220">
        <v>20400</v>
      </c>
      <c r="N33" s="1220">
        <v>0</v>
      </c>
      <c r="O33" s="1220">
        <v>0</v>
      </c>
      <c r="P33" s="1220">
        <v>0</v>
      </c>
      <c r="Q33" s="1220">
        <v>115332</v>
      </c>
      <c r="R33" s="1220"/>
      <c r="S33" s="719">
        <v>42660</v>
      </c>
      <c r="T33" s="719">
        <v>42643</v>
      </c>
      <c r="U33" s="719">
        <v>42916</v>
      </c>
      <c r="V33" s="719">
        <v>42978</v>
      </c>
      <c r="W33" s="719">
        <v>43465</v>
      </c>
      <c r="X33" s="55"/>
      <c r="Y33" s="55"/>
      <c r="Z33" s="377"/>
    </row>
    <row r="34" spans="1:26" ht="29.25" customHeight="1" thickBot="1" x14ac:dyDescent="0.3">
      <c r="A34" s="327" t="s">
        <v>94</v>
      </c>
      <c r="B34" s="710"/>
      <c r="C34" s="710"/>
      <c r="D34" s="1885" t="s">
        <v>625</v>
      </c>
      <c r="E34" s="1894"/>
      <c r="F34" s="1894"/>
      <c r="G34" s="1894"/>
      <c r="H34" s="1894"/>
      <c r="I34" s="1894"/>
      <c r="J34" s="1894"/>
      <c r="K34" s="1895"/>
      <c r="L34" s="329">
        <f t="shared" ref="L34:Q34" si="12">SUM(L35:L36)</f>
        <v>1717827.6</v>
      </c>
      <c r="M34" s="329">
        <f t="shared" si="12"/>
        <v>719590.6</v>
      </c>
      <c r="N34" s="329">
        <f t="shared" si="12"/>
        <v>0</v>
      </c>
      <c r="O34" s="329">
        <f t="shared" si="12"/>
        <v>0</v>
      </c>
      <c r="P34" s="329">
        <f t="shared" si="12"/>
        <v>0</v>
      </c>
      <c r="Q34" s="329">
        <f t="shared" si="12"/>
        <v>998237</v>
      </c>
      <c r="R34" s="329"/>
      <c r="S34" s="91"/>
      <c r="T34" s="329"/>
      <c r="U34" s="329"/>
      <c r="V34" s="329"/>
      <c r="W34" s="329"/>
      <c r="X34" s="37">
        <v>998237</v>
      </c>
      <c r="Y34" s="37">
        <f>SUM(X34*120/100)</f>
        <v>1197884.3999999999</v>
      </c>
      <c r="Z34" s="37">
        <f>SUM(X34-Q34)</f>
        <v>0</v>
      </c>
    </row>
    <row r="35" spans="1:26" s="56" customFormat="1" ht="48.75" customHeight="1" thickBot="1" x14ac:dyDescent="0.3">
      <c r="A35" s="125" t="str">
        <f>CONCATENATE('3 pr-2'!A94)</f>
        <v>1.1.2.4.2</v>
      </c>
      <c r="B35" s="125" t="str">
        <f>CONCATENATE('3 pr-2'!B94)</f>
        <v>R01-5511-110000-1242</v>
      </c>
      <c r="C35" s="738" t="str">
        <f>CONCATENATE('3 pr-2'!C94)</f>
        <v>06.2.1-TID-R-511-11-0001</v>
      </c>
      <c r="D35" s="125" t="s">
        <v>2201</v>
      </c>
      <c r="E35" s="125" t="s">
        <v>350</v>
      </c>
      <c r="F35" s="125" t="s">
        <v>115</v>
      </c>
      <c r="G35" s="125" t="s">
        <v>1825</v>
      </c>
      <c r="H35" s="352" t="s">
        <v>141</v>
      </c>
      <c r="I35" s="376" t="s">
        <v>119</v>
      </c>
      <c r="J35" s="376" t="s">
        <v>167</v>
      </c>
      <c r="K35" s="306" t="s">
        <v>66</v>
      </c>
      <c r="L35" s="306">
        <f>SUM(M35:Q35)</f>
        <v>1402213</v>
      </c>
      <c r="M35" s="306">
        <v>654275</v>
      </c>
      <c r="N35" s="306">
        <v>0</v>
      </c>
      <c r="O35" s="306">
        <v>0</v>
      </c>
      <c r="P35" s="306">
        <v>0</v>
      </c>
      <c r="Q35" s="306">
        <v>747938</v>
      </c>
      <c r="R35" s="306"/>
      <c r="S35" s="719">
        <v>42639</v>
      </c>
      <c r="T35" s="719">
        <v>42732</v>
      </c>
      <c r="U35" s="719">
        <v>42855</v>
      </c>
      <c r="V35" s="719">
        <v>42947</v>
      </c>
      <c r="W35" s="719">
        <v>43465</v>
      </c>
      <c r="X35" s="55"/>
      <c r="Y35" s="55"/>
      <c r="Z35" s="377"/>
    </row>
    <row r="36" spans="1:26" ht="48.75" thickBot="1" x14ac:dyDescent="0.3">
      <c r="A36" s="90" t="str">
        <f>CONCATENATE('3 pr-2'!A95)</f>
        <v>1.1.2.4.3.</v>
      </c>
      <c r="B36" s="90" t="str">
        <f>CONCATENATE('3 pr-2'!B95)</f>
        <v>R01-5511-500000-1243</v>
      </c>
      <c r="C36" s="738" t="str">
        <f>CONCATENATE('3 pr-2'!C95)</f>
        <v>06.2.1-TID-R-511-11-0008</v>
      </c>
      <c r="D36" s="90" t="s">
        <v>3515</v>
      </c>
      <c r="E36" s="90" t="s">
        <v>350</v>
      </c>
      <c r="F36" s="90" t="s">
        <v>115</v>
      </c>
      <c r="G36" s="90" t="s">
        <v>1825</v>
      </c>
      <c r="H36" s="248" t="s">
        <v>141</v>
      </c>
      <c r="I36" s="15" t="s">
        <v>119</v>
      </c>
      <c r="J36" s="17" t="s">
        <v>66</v>
      </c>
      <c r="K36" s="17" t="s">
        <v>66</v>
      </c>
      <c r="L36" s="17">
        <f>SUM(M36:Q36)</f>
        <v>315614.59999999998</v>
      </c>
      <c r="M36" s="17">
        <v>65315.6</v>
      </c>
      <c r="N36" s="17">
        <v>0</v>
      </c>
      <c r="O36" s="17">
        <v>0</v>
      </c>
      <c r="P36" s="17">
        <v>0</v>
      </c>
      <c r="Q36" s="17">
        <v>250299</v>
      </c>
      <c r="R36" s="17"/>
      <c r="S36" s="487">
        <v>42639</v>
      </c>
      <c r="T36" s="357">
        <v>42732</v>
      </c>
      <c r="U36" s="357">
        <v>43342</v>
      </c>
      <c r="V36" s="357">
        <v>43434</v>
      </c>
      <c r="W36" s="719">
        <v>43829</v>
      </c>
      <c r="X36" s="34"/>
      <c r="Y36" s="34"/>
      <c r="Z36" s="54"/>
    </row>
    <row r="37" spans="1:26" ht="41.25" customHeight="1" thickBot="1" x14ac:dyDescent="0.3">
      <c r="A37" s="158" t="s">
        <v>27</v>
      </c>
      <c r="B37" s="715"/>
      <c r="C37" s="715"/>
      <c r="D37" s="1897" t="s">
        <v>626</v>
      </c>
      <c r="E37" s="1898"/>
      <c r="F37" s="1898"/>
      <c r="G37" s="1898"/>
      <c r="H37" s="1898"/>
      <c r="I37" s="1898"/>
      <c r="J37" s="1898"/>
      <c r="K37" s="1899"/>
      <c r="L37" s="1237">
        <f t="shared" ref="L37:Q37" si="13">SUM(L38+L45+L60+L65)</f>
        <v>3996687.3200000003</v>
      </c>
      <c r="M37" s="1237">
        <f t="shared" si="13"/>
        <v>627363.75</v>
      </c>
      <c r="N37" s="1237">
        <f t="shared" si="13"/>
        <v>126835.7</v>
      </c>
      <c r="O37" s="1237">
        <f t="shared" si="13"/>
        <v>9566</v>
      </c>
      <c r="P37" s="1237">
        <f t="shared" si="13"/>
        <v>0</v>
      </c>
      <c r="Q37" s="1237">
        <f t="shared" si="13"/>
        <v>3232921.87</v>
      </c>
      <c r="R37" s="1237"/>
      <c r="S37" s="153"/>
      <c r="T37" s="159"/>
      <c r="U37" s="159"/>
      <c r="V37" s="159"/>
      <c r="W37" s="167"/>
      <c r="X37" s="35">
        <f>SUM(X38+X45+X60+X65)</f>
        <v>3269394.4765073806</v>
      </c>
      <c r="Y37" s="35">
        <f>SUM(Y38+Y45+Y60+Y65)</f>
        <v>3923273.3718088567</v>
      </c>
      <c r="Z37" s="35">
        <f>SUM(Z38+Z45+Z60+Z65)</f>
        <v>50957.696507380286</v>
      </c>
    </row>
    <row r="38" spans="1:26" ht="48.75" customHeight="1" thickBot="1" x14ac:dyDescent="0.3">
      <c r="A38" s="151" t="s">
        <v>28</v>
      </c>
      <c r="B38" s="714"/>
      <c r="C38" s="714"/>
      <c r="D38" s="1887" t="s">
        <v>627</v>
      </c>
      <c r="E38" s="1900"/>
      <c r="F38" s="1900"/>
      <c r="G38" s="1900"/>
      <c r="H38" s="1900"/>
      <c r="I38" s="1900"/>
      <c r="J38" s="1900"/>
      <c r="K38" s="1901"/>
      <c r="L38" s="1228">
        <f t="shared" ref="L38:Q38" si="14">SUM(L39+L41+L43)</f>
        <v>1236385</v>
      </c>
      <c r="M38" s="1228">
        <f t="shared" si="14"/>
        <v>122533</v>
      </c>
      <c r="N38" s="1228">
        <f t="shared" si="14"/>
        <v>62926</v>
      </c>
      <c r="O38" s="1228">
        <f t="shared" si="14"/>
        <v>0</v>
      </c>
      <c r="P38" s="1228">
        <f t="shared" si="14"/>
        <v>0</v>
      </c>
      <c r="Q38" s="1228">
        <f t="shared" si="14"/>
        <v>1050926</v>
      </c>
      <c r="R38" s="1228"/>
      <c r="S38" s="132"/>
      <c r="T38" s="133"/>
      <c r="U38" s="133"/>
      <c r="V38" s="133"/>
      <c r="W38" s="168"/>
      <c r="X38" s="36">
        <f>SUM(X39+X41+X43)</f>
        <v>1076765.1324731898</v>
      </c>
      <c r="Y38" s="36">
        <f>SUM(Y39+Y41+Y43)</f>
        <v>1292118.1589678279</v>
      </c>
      <c r="Z38" s="36">
        <f>SUM(Z39+Z41+Z43)</f>
        <v>25839.132473189879</v>
      </c>
    </row>
    <row r="39" spans="1:26" ht="39.75" customHeight="1" thickBot="1" x14ac:dyDescent="0.3">
      <c r="A39" s="327" t="s">
        <v>96</v>
      </c>
      <c r="B39" s="710"/>
      <c r="C39" s="710"/>
      <c r="D39" s="1885" t="s">
        <v>628</v>
      </c>
      <c r="E39" s="1894"/>
      <c r="F39" s="1894"/>
      <c r="G39" s="1894"/>
      <c r="H39" s="1894"/>
      <c r="I39" s="1894"/>
      <c r="J39" s="1894"/>
      <c r="K39" s="1895"/>
      <c r="L39" s="1215">
        <f t="shared" ref="L39:Q39" si="15">SUM(L40:L40)</f>
        <v>657021</v>
      </c>
      <c r="M39" s="1215">
        <f t="shared" si="15"/>
        <v>49277</v>
      </c>
      <c r="N39" s="1215">
        <f t="shared" si="15"/>
        <v>49277</v>
      </c>
      <c r="O39" s="1215">
        <f t="shared" si="15"/>
        <v>0</v>
      </c>
      <c r="P39" s="1215">
        <f t="shared" si="15"/>
        <v>0</v>
      </c>
      <c r="Q39" s="1215">
        <f t="shared" si="15"/>
        <v>558467</v>
      </c>
      <c r="R39" s="1215"/>
      <c r="S39" s="91"/>
      <c r="T39" s="329"/>
      <c r="U39" s="329"/>
      <c r="V39" s="329"/>
      <c r="W39" s="329"/>
      <c r="X39" s="37">
        <v>558467</v>
      </c>
      <c r="Y39" s="37">
        <f>SUM(X39*120/100)</f>
        <v>670160.4</v>
      </c>
      <c r="Z39" s="37">
        <f>SUM(X39-Q39)</f>
        <v>0</v>
      </c>
    </row>
    <row r="40" spans="1:26" ht="48.75" thickBot="1" x14ac:dyDescent="0.3">
      <c r="A40" s="90" t="str">
        <f>CONCATENATE('3 pr-2'!A105)</f>
        <v>2.1.1.1.3</v>
      </c>
      <c r="B40" s="90" t="str">
        <f>CONCATENATE('3 pr-2'!B105)</f>
        <v>R01-7724-220000-2113</v>
      </c>
      <c r="C40" s="738" t="str">
        <f>CONCATENATE('3 pr-2'!C105)</f>
        <v>09.1.3-CPVA-R-724-11-0002</v>
      </c>
      <c r="D40" s="90" t="s">
        <v>644</v>
      </c>
      <c r="E40" s="90" t="s">
        <v>350</v>
      </c>
      <c r="F40" s="90" t="s">
        <v>97</v>
      </c>
      <c r="G40" s="90" t="s">
        <v>1825</v>
      </c>
      <c r="H40" s="248" t="s">
        <v>136</v>
      </c>
      <c r="I40" s="15" t="s">
        <v>119</v>
      </c>
      <c r="J40" s="15" t="s">
        <v>66</v>
      </c>
      <c r="K40" s="17" t="s">
        <v>66</v>
      </c>
      <c r="L40" s="718">
        <f>SUM(M40:Q40)</f>
        <v>657021</v>
      </c>
      <c r="M40" s="718">
        <v>49277</v>
      </c>
      <c r="N40" s="718">
        <v>49277</v>
      </c>
      <c r="O40" s="718">
        <v>0</v>
      </c>
      <c r="P40" s="718">
        <v>0</v>
      </c>
      <c r="Q40" s="718">
        <v>558467</v>
      </c>
      <c r="R40" s="718"/>
      <c r="S40" s="487">
        <v>42877</v>
      </c>
      <c r="T40" s="357">
        <v>42947</v>
      </c>
      <c r="U40" s="357">
        <v>42992</v>
      </c>
      <c r="V40" s="357">
        <v>43139</v>
      </c>
      <c r="W40" s="754">
        <v>43830</v>
      </c>
      <c r="X40" s="34"/>
      <c r="Y40" s="34"/>
      <c r="Z40" s="34"/>
    </row>
    <row r="41" spans="1:26" ht="29.25" customHeight="1" thickBot="1" x14ac:dyDescent="0.3">
      <c r="A41" s="327" t="s">
        <v>99</v>
      </c>
      <c r="B41" s="710"/>
      <c r="C41" s="710"/>
      <c r="D41" s="1885" t="s">
        <v>629</v>
      </c>
      <c r="E41" s="1894"/>
      <c r="F41" s="1894"/>
      <c r="G41" s="1894"/>
      <c r="H41" s="1894"/>
      <c r="I41" s="1894"/>
      <c r="J41" s="1894"/>
      <c r="K41" s="1895"/>
      <c r="L41" s="1215">
        <f t="shared" ref="L41:Q41" si="16">SUM(L42:L42)</f>
        <v>397378</v>
      </c>
      <c r="M41" s="1215">
        <f t="shared" si="16"/>
        <v>59607</v>
      </c>
      <c r="N41" s="1215">
        <f t="shared" si="16"/>
        <v>0</v>
      </c>
      <c r="O41" s="1215">
        <f t="shared" si="16"/>
        <v>0</v>
      </c>
      <c r="P41" s="1215">
        <f t="shared" si="16"/>
        <v>0</v>
      </c>
      <c r="Q41" s="1215">
        <f t="shared" si="16"/>
        <v>337771</v>
      </c>
      <c r="R41" s="1215"/>
      <c r="S41" s="91"/>
      <c r="T41" s="329"/>
      <c r="U41" s="329"/>
      <c r="V41" s="329"/>
      <c r="W41" s="329"/>
      <c r="X41" s="37">
        <v>337771</v>
      </c>
      <c r="Y41" s="37">
        <f>SUM(X41*120/100)</f>
        <v>405325.2</v>
      </c>
      <c r="Z41" s="37">
        <f>SUM(X41-Q41)</f>
        <v>0</v>
      </c>
    </row>
    <row r="42" spans="1:26" ht="48.75" thickBot="1" x14ac:dyDescent="0.3">
      <c r="A42" s="90" t="str">
        <f>CONCATENATE('3 pr-2'!A111)</f>
        <v>2.1.1.2.3</v>
      </c>
      <c r="B42" s="90" t="str">
        <f>CONCATENATE('3 pr-2'!B111)</f>
        <v>R01-7725-240000-2123</v>
      </c>
      <c r="C42" s="738" t="str">
        <f>CONCATENATE('3 pr-2'!C111)</f>
        <v>09.1.3-CPVA-R-725-11-0004</v>
      </c>
      <c r="D42" s="90" t="s">
        <v>216</v>
      </c>
      <c r="E42" s="90" t="s">
        <v>350</v>
      </c>
      <c r="F42" s="90" t="s">
        <v>97</v>
      </c>
      <c r="G42" s="90" t="s">
        <v>1825</v>
      </c>
      <c r="H42" s="248" t="s">
        <v>139</v>
      </c>
      <c r="I42" s="15" t="s">
        <v>119</v>
      </c>
      <c r="J42" s="15" t="s">
        <v>66</v>
      </c>
      <c r="K42" s="17" t="s">
        <v>66</v>
      </c>
      <c r="L42" s="718">
        <f>SUM(M42:Q42)</f>
        <v>397378</v>
      </c>
      <c r="M42" s="718">
        <v>59607</v>
      </c>
      <c r="N42" s="718">
        <v>0</v>
      </c>
      <c r="O42" s="718">
        <v>0</v>
      </c>
      <c r="P42" s="718">
        <v>0</v>
      </c>
      <c r="Q42" s="718">
        <v>337771</v>
      </c>
      <c r="R42" s="718"/>
      <c r="S42" s="487">
        <v>42870</v>
      </c>
      <c r="T42" s="357">
        <v>42916</v>
      </c>
      <c r="U42" s="357">
        <v>43007</v>
      </c>
      <c r="V42" s="357">
        <v>43119</v>
      </c>
      <c r="W42" s="754">
        <v>43830</v>
      </c>
      <c r="X42" s="34"/>
      <c r="Y42" s="34"/>
      <c r="Z42" s="34"/>
    </row>
    <row r="43" spans="1:26" ht="34.5" customHeight="1" thickBot="1" x14ac:dyDescent="0.3">
      <c r="A43" s="327" t="s">
        <v>101</v>
      </c>
      <c r="B43" s="710"/>
      <c r="C43" s="710"/>
      <c r="D43" s="1885" t="s">
        <v>1404</v>
      </c>
      <c r="E43" s="1894"/>
      <c r="F43" s="1894"/>
      <c r="G43" s="1894"/>
      <c r="H43" s="1894"/>
      <c r="I43" s="1894"/>
      <c r="J43" s="1894"/>
      <c r="K43" s="1895"/>
      <c r="L43" s="1215">
        <f t="shared" ref="L43:Q43" si="17">SUM(L44:L44)</f>
        <v>181986</v>
      </c>
      <c r="M43" s="1215">
        <f t="shared" si="17"/>
        <v>13649</v>
      </c>
      <c r="N43" s="1215">
        <f t="shared" si="17"/>
        <v>13649</v>
      </c>
      <c r="O43" s="1215">
        <f t="shared" si="17"/>
        <v>0</v>
      </c>
      <c r="P43" s="1215">
        <f t="shared" si="17"/>
        <v>0</v>
      </c>
      <c r="Q43" s="1215">
        <f t="shared" si="17"/>
        <v>154688</v>
      </c>
      <c r="R43" s="1215"/>
      <c r="S43" s="91"/>
      <c r="T43" s="329"/>
      <c r="U43" s="329"/>
      <c r="V43" s="329"/>
      <c r="W43" s="329"/>
      <c r="X43" s="37">
        <v>180527.13247318988</v>
      </c>
      <c r="Y43" s="37">
        <f>SUM(X43*120/100)</f>
        <v>216632.55896782785</v>
      </c>
      <c r="Z43" s="37">
        <f>SUM(X43-Q43)</f>
        <v>25839.132473189879</v>
      </c>
    </row>
    <row r="44" spans="1:26" ht="48.75" thickBot="1" x14ac:dyDescent="0.3">
      <c r="A44" s="90" t="str">
        <f>CONCATENATE('3 pr-2'!A117)</f>
        <v>2.1.1.3.3</v>
      </c>
      <c r="B44" s="90" t="str">
        <f>CONCATENATE('3 pr-2'!B117)</f>
        <v>R01-7705-230000-2133</v>
      </c>
      <c r="C44" s="738" t="str">
        <f>CONCATENATE('3 pr-2'!C117)</f>
        <v>09.1.3-CPVA-R-705-11-0001</v>
      </c>
      <c r="D44" s="90" t="s">
        <v>776</v>
      </c>
      <c r="E44" s="90" t="s">
        <v>350</v>
      </c>
      <c r="F44" s="90" t="s">
        <v>97</v>
      </c>
      <c r="G44" s="90" t="s">
        <v>1825</v>
      </c>
      <c r="H44" s="248" t="s">
        <v>140</v>
      </c>
      <c r="I44" s="15" t="s">
        <v>119</v>
      </c>
      <c r="J44" s="15" t="s">
        <v>66</v>
      </c>
      <c r="K44" s="17" t="s">
        <v>66</v>
      </c>
      <c r="L44" s="718">
        <f>SUM(M44:Q44)</f>
        <v>181986</v>
      </c>
      <c r="M44" s="718">
        <v>13649</v>
      </c>
      <c r="N44" s="718">
        <v>13649</v>
      </c>
      <c r="O44" s="718">
        <v>0</v>
      </c>
      <c r="P44" s="718">
        <v>0</v>
      </c>
      <c r="Q44" s="718">
        <v>154688</v>
      </c>
      <c r="R44" s="718"/>
      <c r="S44" s="487">
        <v>42966</v>
      </c>
      <c r="T44" s="357">
        <v>43039</v>
      </c>
      <c r="U44" s="357">
        <v>43080</v>
      </c>
      <c r="V44" s="357">
        <v>43164</v>
      </c>
      <c r="W44" s="495">
        <v>43739.5</v>
      </c>
      <c r="X44" s="34"/>
      <c r="Y44" s="34"/>
      <c r="Z44" s="34"/>
    </row>
    <row r="45" spans="1:26" ht="60.75" customHeight="1" thickBot="1" x14ac:dyDescent="0.3">
      <c r="A45" s="151" t="s">
        <v>32</v>
      </c>
      <c r="B45" s="714"/>
      <c r="C45" s="714"/>
      <c r="D45" s="1887" t="s">
        <v>630</v>
      </c>
      <c r="E45" s="1888"/>
      <c r="F45" s="1888"/>
      <c r="G45" s="1888"/>
      <c r="H45" s="1888"/>
      <c r="I45" s="1888"/>
      <c r="J45" s="1888"/>
      <c r="K45" s="1889"/>
      <c r="L45" s="1228">
        <f>SUM(L46+L51+L58)</f>
        <v>852135.18</v>
      </c>
      <c r="M45" s="1228">
        <f t="shared" ref="M45:Q45" si="18">SUM(M46+M51+M58)</f>
        <v>54343.789999999994</v>
      </c>
      <c r="N45" s="1228">
        <f t="shared" si="18"/>
        <v>63909.7</v>
      </c>
      <c r="O45" s="1228">
        <f t="shared" si="18"/>
        <v>9566</v>
      </c>
      <c r="P45" s="1228">
        <f t="shared" si="18"/>
        <v>0</v>
      </c>
      <c r="Q45" s="1228">
        <f t="shared" si="18"/>
        <v>724315.69</v>
      </c>
      <c r="R45" s="1228"/>
      <c r="S45" s="132"/>
      <c r="T45" s="133"/>
      <c r="U45" s="133"/>
      <c r="V45" s="133"/>
      <c r="W45" s="168"/>
      <c r="X45" s="36">
        <f>SUM(X46+X51)</f>
        <v>718684</v>
      </c>
      <c r="Y45" s="36">
        <f>SUM(Y46+Y51)</f>
        <v>862420.8</v>
      </c>
      <c r="Z45" s="36">
        <f>SUM(Z46+Z51)</f>
        <v>8853.3999999999942</v>
      </c>
    </row>
    <row r="46" spans="1:26" ht="28.5" customHeight="1" thickBot="1" x14ac:dyDescent="0.3">
      <c r="A46" s="327" t="s">
        <v>33</v>
      </c>
      <c r="B46" s="710"/>
      <c r="C46" s="710"/>
      <c r="D46" s="1885" t="s">
        <v>631</v>
      </c>
      <c r="E46" s="1894"/>
      <c r="F46" s="1894"/>
      <c r="G46" s="1894"/>
      <c r="H46" s="1894"/>
      <c r="I46" s="1894"/>
      <c r="J46" s="1894"/>
      <c r="K46" s="1895"/>
      <c r="L46" s="1215">
        <f t="shared" ref="L46:P46" si="19">SUM(L47:L50)</f>
        <v>636098</v>
      </c>
      <c r="M46" s="1215">
        <f t="shared" si="19"/>
        <v>38141</v>
      </c>
      <c r="N46" s="1215">
        <f t="shared" si="19"/>
        <v>47707</v>
      </c>
      <c r="O46" s="1215">
        <f t="shared" si="19"/>
        <v>9566</v>
      </c>
      <c r="P46" s="1215">
        <f t="shared" si="19"/>
        <v>0</v>
      </c>
      <c r="Q46" s="1215">
        <f>SUM(Q47:Q50)</f>
        <v>540684</v>
      </c>
      <c r="R46" s="1215"/>
      <c r="S46" s="91"/>
      <c r="T46" s="329"/>
      <c r="U46" s="329"/>
      <c r="V46" s="329"/>
      <c r="W46" s="329"/>
      <c r="X46" s="37">
        <v>540684</v>
      </c>
      <c r="Y46" s="37">
        <f>SUM(X46*120/100)</f>
        <v>648820.80000000005</v>
      </c>
      <c r="Z46" s="37">
        <f>SUM(X46-Q46)</f>
        <v>0</v>
      </c>
    </row>
    <row r="47" spans="1:26" ht="48.75" thickBot="1" x14ac:dyDescent="0.3">
      <c r="A47" s="90" t="str">
        <f>CONCATENATE('3 pr-2'!A122)</f>
        <v>2.1.2.1.1</v>
      </c>
      <c r="B47" s="90" t="str">
        <f>CONCATENATE('3 pr-2'!B122)</f>
        <v>R01-6609-274710-2211</v>
      </c>
      <c r="C47" s="738" t="str">
        <f>CONCATENATE('3 pr-2'!C125)</f>
        <v/>
      </c>
      <c r="D47" s="90" t="s">
        <v>1435</v>
      </c>
      <c r="E47" s="90" t="s">
        <v>1436</v>
      </c>
      <c r="F47" s="90" t="s">
        <v>103</v>
      </c>
      <c r="G47" s="90" t="s">
        <v>1825</v>
      </c>
      <c r="H47" s="248" t="s">
        <v>153</v>
      </c>
      <c r="I47" s="15" t="s">
        <v>119</v>
      </c>
      <c r="J47" s="15" t="s">
        <v>66</v>
      </c>
      <c r="K47" s="17" t="s">
        <v>66</v>
      </c>
      <c r="L47" s="718">
        <f>SUM(M47:Q47)</f>
        <v>458183</v>
      </c>
      <c r="M47" s="718">
        <v>34364</v>
      </c>
      <c r="N47" s="718">
        <v>34363</v>
      </c>
      <c r="O47" s="718">
        <v>0</v>
      </c>
      <c r="P47" s="718">
        <v>0</v>
      </c>
      <c r="Q47" s="718">
        <v>389456</v>
      </c>
      <c r="R47" s="718"/>
      <c r="S47" s="487">
        <v>43250</v>
      </c>
      <c r="T47" s="357">
        <v>43312</v>
      </c>
      <c r="U47" s="357">
        <v>43363</v>
      </c>
      <c r="V47" s="357">
        <v>43464</v>
      </c>
      <c r="W47" s="754">
        <v>44367</v>
      </c>
      <c r="X47" s="34"/>
      <c r="Y47" s="34"/>
      <c r="Z47" s="34"/>
    </row>
    <row r="48" spans="1:26" ht="48.75" thickBot="1" x14ac:dyDescent="0.3">
      <c r="A48" s="90" t="str">
        <f>CONCATENATE('3 pr-2'!A123)</f>
        <v>2.1.2.1.2</v>
      </c>
      <c r="B48" s="90" t="str">
        <f>CONCATENATE('3 pr-2'!B123)</f>
        <v>R01-6609-274710-2212</v>
      </c>
      <c r="C48" s="738" t="str">
        <f>CONCATENATE('3 pr-2'!C126)</f>
        <v/>
      </c>
      <c r="D48" s="90" t="s">
        <v>1437</v>
      </c>
      <c r="E48" s="90" t="s">
        <v>1438</v>
      </c>
      <c r="F48" s="90" t="s">
        <v>103</v>
      </c>
      <c r="G48" s="90" t="s">
        <v>1825</v>
      </c>
      <c r="H48" s="248" t="s">
        <v>153</v>
      </c>
      <c r="I48" s="15" t="s">
        <v>119</v>
      </c>
      <c r="J48" s="15" t="s">
        <v>66</v>
      </c>
      <c r="K48" s="17" t="s">
        <v>66</v>
      </c>
      <c r="L48" s="718">
        <f>SUM(M48:Q48)</f>
        <v>50356</v>
      </c>
      <c r="M48" s="718">
        <v>3777</v>
      </c>
      <c r="N48" s="718">
        <v>3777</v>
      </c>
      <c r="O48" s="718">
        <v>0</v>
      </c>
      <c r="P48" s="718">
        <v>0</v>
      </c>
      <c r="Q48" s="718">
        <v>42802</v>
      </c>
      <c r="R48" s="718"/>
      <c r="S48" s="487">
        <v>43250</v>
      </c>
      <c r="T48" s="357">
        <v>43312</v>
      </c>
      <c r="U48" s="357">
        <v>43373</v>
      </c>
      <c r="V48" s="357">
        <v>43465</v>
      </c>
      <c r="W48" s="754">
        <v>44196</v>
      </c>
      <c r="X48" s="34">
        <f>SUM(Q46+Q51)</f>
        <v>709830.6</v>
      </c>
      <c r="Y48" s="34"/>
      <c r="Z48" s="34"/>
    </row>
    <row r="49" spans="1:26" ht="48.75" thickBot="1" x14ac:dyDescent="0.3">
      <c r="A49" s="90" t="str">
        <f>CONCATENATE('3 pr-2'!A124)</f>
        <v>2.1.2.1.3</v>
      </c>
      <c r="B49" s="90" t="str">
        <f>CONCATENATE('3 pr-2'!B124)</f>
        <v>R01-6609-274700-2213</v>
      </c>
      <c r="C49" s="738" t="str">
        <f>CONCATENATE('3 pr-2'!C127)</f>
        <v/>
      </c>
      <c r="D49" s="90" t="s">
        <v>1439</v>
      </c>
      <c r="E49" s="90" t="s">
        <v>1440</v>
      </c>
      <c r="F49" s="90" t="s">
        <v>103</v>
      </c>
      <c r="G49" s="90" t="s">
        <v>1825</v>
      </c>
      <c r="H49" s="248" t="s">
        <v>153</v>
      </c>
      <c r="I49" s="15" t="s">
        <v>119</v>
      </c>
      <c r="J49" s="15" t="s">
        <v>66</v>
      </c>
      <c r="K49" s="17" t="s">
        <v>66</v>
      </c>
      <c r="L49" s="718">
        <f>SUM(M49:Q49)</f>
        <v>83468</v>
      </c>
      <c r="M49" s="718">
        <v>0</v>
      </c>
      <c r="N49" s="718">
        <v>6260</v>
      </c>
      <c r="O49" s="718">
        <v>6260</v>
      </c>
      <c r="P49" s="718"/>
      <c r="Q49" s="718">
        <v>70948</v>
      </c>
      <c r="R49" s="718"/>
      <c r="S49" s="487">
        <v>43250</v>
      </c>
      <c r="T49" s="357">
        <v>43312</v>
      </c>
      <c r="U49" s="357">
        <v>43373</v>
      </c>
      <c r="V49" s="357">
        <v>43465</v>
      </c>
      <c r="W49" s="754">
        <v>44196</v>
      </c>
      <c r="X49" s="34"/>
      <c r="Y49" s="34"/>
      <c r="Z49" s="34"/>
    </row>
    <row r="50" spans="1:26" ht="48.75" thickBot="1" x14ac:dyDescent="0.3">
      <c r="A50" s="90" t="str">
        <f>CONCATENATE('3 pr-2'!A125)</f>
        <v>2.1.2.1.4</v>
      </c>
      <c r="B50" s="90" t="str">
        <f>CONCATENATE('3 pr-2'!B125)</f>
        <v>R01-6609-274710-2214</v>
      </c>
      <c r="C50" s="738" t="str">
        <f>CONCATENATE('3 pr-2'!C128)</f>
        <v/>
      </c>
      <c r="D50" s="90" t="s">
        <v>1441</v>
      </c>
      <c r="E50" s="90" t="s">
        <v>1442</v>
      </c>
      <c r="F50" s="90" t="s">
        <v>103</v>
      </c>
      <c r="G50" s="90" t="s">
        <v>1825</v>
      </c>
      <c r="H50" s="248" t="s">
        <v>153</v>
      </c>
      <c r="I50" s="15" t="s">
        <v>119</v>
      </c>
      <c r="J50" s="15" t="s">
        <v>66</v>
      </c>
      <c r="K50" s="17" t="s">
        <v>66</v>
      </c>
      <c r="L50" s="718">
        <f>SUM(M50:Q50)</f>
        <v>44091</v>
      </c>
      <c r="M50" s="718">
        <v>0</v>
      </c>
      <c r="N50" s="718">
        <v>3307</v>
      </c>
      <c r="O50" s="718">
        <v>3306</v>
      </c>
      <c r="P50" s="718">
        <v>0</v>
      </c>
      <c r="Q50" s="718">
        <v>37478</v>
      </c>
      <c r="R50" s="718"/>
      <c r="S50" s="487"/>
      <c r="T50" s="357">
        <v>43312</v>
      </c>
      <c r="U50" s="357">
        <v>43373</v>
      </c>
      <c r="V50" s="357">
        <v>43465</v>
      </c>
      <c r="W50" s="754">
        <v>44561</v>
      </c>
      <c r="X50" s="34"/>
      <c r="Y50" s="34"/>
      <c r="Z50" s="34"/>
    </row>
    <row r="51" spans="1:26" ht="32.25" customHeight="1" thickBot="1" x14ac:dyDescent="0.3">
      <c r="A51" s="327" t="s">
        <v>34</v>
      </c>
      <c r="B51" s="710"/>
      <c r="C51" s="710"/>
      <c r="D51" s="1885" t="str">
        <f>CONCATENATE('3 pr-2'!D135)</f>
        <v/>
      </c>
      <c r="E51" s="1946"/>
      <c r="F51" s="1946"/>
      <c r="G51" s="1946"/>
      <c r="H51" s="1946"/>
      <c r="I51" s="1946"/>
      <c r="J51" s="1946"/>
      <c r="K51" s="1947"/>
      <c r="L51" s="1215">
        <f t="shared" ref="L51:Q51" si="20">SUM(L52:L57)</f>
        <v>198996</v>
      </c>
      <c r="M51" s="1215">
        <f t="shared" si="20"/>
        <v>14924.7</v>
      </c>
      <c r="N51" s="1215">
        <f t="shared" si="20"/>
        <v>14924.7</v>
      </c>
      <c r="O51" s="1215">
        <f t="shared" si="20"/>
        <v>0</v>
      </c>
      <c r="P51" s="1215">
        <f t="shared" si="20"/>
        <v>0</v>
      </c>
      <c r="Q51" s="1215">
        <f t="shared" si="20"/>
        <v>169146.6</v>
      </c>
      <c r="R51" s="1215"/>
      <c r="S51" s="91"/>
      <c r="T51" s="329"/>
      <c r="U51" s="329"/>
      <c r="V51" s="329"/>
      <c r="W51" s="329"/>
      <c r="X51" s="37">
        <v>178000</v>
      </c>
      <c r="Y51" s="37">
        <f>SUM(X51*120/100)</f>
        <v>213600</v>
      </c>
      <c r="Z51" s="37">
        <f>SUM(X51-Q51)</f>
        <v>8853.3999999999942</v>
      </c>
    </row>
    <row r="52" spans="1:26" ht="64.5" thickBot="1" x14ac:dyDescent="0.3">
      <c r="A52" s="90" t="str">
        <f>CONCATENATE('3 pr-2'!A137)</f>
        <v>2.1.2.2.2</v>
      </c>
      <c r="B52" s="90" t="str">
        <f>CONCATENATE('3 pr-2'!B137)</f>
        <v>R01-6630-470000-2222</v>
      </c>
      <c r="C52" s="738" t="str">
        <f>CONCATENATE('3 pr-2'!C137)</f>
        <v>08.4.2-ESFA-R-630-11-0001</v>
      </c>
      <c r="D52" s="723" t="s">
        <v>1192</v>
      </c>
      <c r="E52" s="723" t="s">
        <v>350</v>
      </c>
      <c r="F52" s="723" t="s">
        <v>103</v>
      </c>
      <c r="G52" s="723" t="s">
        <v>1825</v>
      </c>
      <c r="H52" s="724" t="s">
        <v>1193</v>
      </c>
      <c r="I52" s="724" t="s">
        <v>119</v>
      </c>
      <c r="J52" s="724" t="s">
        <v>66</v>
      </c>
      <c r="K52" s="724" t="s">
        <v>66</v>
      </c>
      <c r="L52" s="718">
        <f>SUM(M52:Q52)</f>
        <v>198996</v>
      </c>
      <c r="M52" s="718">
        <v>14924.7</v>
      </c>
      <c r="N52" s="718">
        <v>14924.7</v>
      </c>
      <c r="O52" s="718">
        <v>0</v>
      </c>
      <c r="P52" s="718">
        <v>0</v>
      </c>
      <c r="Q52" s="718">
        <v>169146.6</v>
      </c>
      <c r="R52" s="718"/>
      <c r="S52" s="17"/>
      <c r="T52" s="173">
        <v>43189</v>
      </c>
      <c r="U52" s="173">
        <v>43251</v>
      </c>
      <c r="V52" s="173">
        <v>43343</v>
      </c>
      <c r="W52" s="967">
        <v>44380</v>
      </c>
      <c r="X52" s="55"/>
      <c r="Y52" s="55"/>
      <c r="Z52" s="55"/>
    </row>
    <row r="53" spans="1:26" ht="15.75" hidden="1" customHeight="1" thickBot="1" x14ac:dyDescent="0.3">
      <c r="A53" s="90"/>
      <c r="B53" s="90"/>
      <c r="C53" s="90"/>
      <c r="D53" s="90"/>
      <c r="E53" s="90"/>
      <c r="F53" s="90"/>
      <c r="G53" s="90"/>
      <c r="H53" s="248"/>
      <c r="I53" s="15"/>
      <c r="J53" s="15"/>
      <c r="K53" s="17"/>
      <c r="L53" s="17"/>
      <c r="M53" s="17"/>
      <c r="N53" s="17"/>
      <c r="O53" s="17"/>
      <c r="P53" s="17"/>
      <c r="Q53" s="17"/>
      <c r="R53" s="17"/>
      <c r="S53" s="17"/>
      <c r="T53" s="357"/>
      <c r="U53" s="357"/>
      <c r="V53" s="357"/>
      <c r="W53" s="174"/>
      <c r="X53" s="55"/>
      <c r="Y53" s="55"/>
      <c r="Z53" s="55"/>
    </row>
    <row r="54" spans="1:26" ht="15.75" hidden="1" customHeight="1" thickBot="1" x14ac:dyDescent="0.3">
      <c r="A54" s="90"/>
      <c r="B54" s="90"/>
      <c r="C54" s="90"/>
      <c r="D54" s="90"/>
      <c r="E54" s="90"/>
      <c r="F54" s="90"/>
      <c r="G54" s="90"/>
      <c r="H54" s="248"/>
      <c r="I54" s="15"/>
      <c r="J54" s="15"/>
      <c r="K54" s="17"/>
      <c r="L54" s="17"/>
      <c r="M54" s="17"/>
      <c r="N54" s="17"/>
      <c r="O54" s="17"/>
      <c r="P54" s="17"/>
      <c r="Q54" s="17"/>
      <c r="R54" s="17"/>
      <c r="S54" s="17"/>
      <c r="T54" s="357"/>
      <c r="U54" s="357"/>
      <c r="V54" s="357"/>
      <c r="W54" s="174"/>
      <c r="X54" s="55"/>
      <c r="Y54" s="55"/>
      <c r="Z54" s="55"/>
    </row>
    <row r="55" spans="1:26" ht="15.75" hidden="1" customHeight="1" thickBot="1" x14ac:dyDescent="0.3">
      <c r="A55" s="90"/>
      <c r="B55" s="90"/>
      <c r="C55" s="90"/>
      <c r="D55" s="90"/>
      <c r="E55" s="90"/>
      <c r="F55" s="90"/>
      <c r="G55" s="90"/>
      <c r="H55" s="248"/>
      <c r="I55" s="15"/>
      <c r="J55" s="15"/>
      <c r="K55" s="17"/>
      <c r="L55" s="17"/>
      <c r="M55" s="17"/>
      <c r="N55" s="17"/>
      <c r="O55" s="17"/>
      <c r="P55" s="17"/>
      <c r="Q55" s="17"/>
      <c r="R55" s="17"/>
      <c r="S55" s="17"/>
      <c r="T55" s="357"/>
      <c r="U55" s="357"/>
      <c r="V55" s="357"/>
      <c r="W55" s="174"/>
      <c r="X55" s="55"/>
      <c r="Y55" s="55"/>
      <c r="Z55" s="55"/>
    </row>
    <row r="56" spans="1:26" ht="15.75" hidden="1" customHeight="1" thickBot="1" x14ac:dyDescent="0.3">
      <c r="A56" s="90"/>
      <c r="B56" s="90"/>
      <c r="C56" s="90"/>
      <c r="D56" s="90"/>
      <c r="E56" s="90"/>
      <c r="F56" s="90"/>
      <c r="G56" s="90"/>
      <c r="H56" s="248"/>
      <c r="I56" s="15"/>
      <c r="J56" s="15"/>
      <c r="K56" s="17"/>
      <c r="L56" s="17"/>
      <c r="M56" s="17"/>
      <c r="N56" s="17"/>
      <c r="O56" s="17"/>
      <c r="P56" s="17"/>
      <c r="Q56" s="17"/>
      <c r="R56" s="17"/>
      <c r="S56" s="17"/>
      <c r="T56" s="357"/>
      <c r="U56" s="357"/>
      <c r="V56" s="357"/>
      <c r="W56" s="174"/>
      <c r="X56" s="55"/>
      <c r="Y56" s="55"/>
      <c r="Z56" s="55"/>
    </row>
    <row r="57" spans="1:26" ht="15.75" hidden="1" customHeight="1" thickBot="1" x14ac:dyDescent="0.3">
      <c r="A57" s="90"/>
      <c r="B57" s="90"/>
      <c r="C57" s="90"/>
      <c r="D57" s="90"/>
      <c r="E57" s="90"/>
      <c r="F57" s="90"/>
      <c r="G57" s="90"/>
      <c r="H57" s="248"/>
      <c r="I57" s="15"/>
      <c r="J57" s="15"/>
      <c r="K57" s="17"/>
      <c r="L57" s="17"/>
      <c r="M57" s="17"/>
      <c r="N57" s="17"/>
      <c r="O57" s="17"/>
      <c r="P57" s="17"/>
      <c r="Q57" s="17"/>
      <c r="R57" s="17"/>
      <c r="S57" s="17"/>
      <c r="T57" s="357"/>
      <c r="U57" s="357"/>
      <c r="V57" s="357"/>
      <c r="W57" s="174"/>
      <c r="X57" s="55"/>
      <c r="Y57" s="55"/>
      <c r="Z57" s="55"/>
    </row>
    <row r="58" spans="1:26" ht="45" customHeight="1" thickBot="1" x14ac:dyDescent="0.3">
      <c r="A58" s="327" t="s">
        <v>1202</v>
      </c>
      <c r="B58" s="710"/>
      <c r="C58" s="710"/>
      <c r="D58" s="1885" t="str">
        <f>CONCATENATE('3 pr-2'!D141)</f>
        <v/>
      </c>
      <c r="E58" s="1946"/>
      <c r="F58" s="1946"/>
      <c r="G58" s="1946"/>
      <c r="H58" s="1946"/>
      <c r="I58" s="1946"/>
      <c r="J58" s="1946"/>
      <c r="K58" s="1947"/>
      <c r="L58" s="1215">
        <f>SUM(L59)</f>
        <v>17041.18</v>
      </c>
      <c r="M58" s="1215">
        <f t="shared" ref="M58:Q58" si="21">SUM(M59)</f>
        <v>1278.0899999999999</v>
      </c>
      <c r="N58" s="1215">
        <f t="shared" si="21"/>
        <v>1278</v>
      </c>
      <c r="O58" s="1215">
        <f t="shared" si="21"/>
        <v>0</v>
      </c>
      <c r="P58" s="1215">
        <f t="shared" si="21"/>
        <v>0</v>
      </c>
      <c r="Q58" s="1215">
        <f t="shared" si="21"/>
        <v>14485.09</v>
      </c>
      <c r="R58" s="1215"/>
      <c r="S58" s="91"/>
      <c r="T58" s="329"/>
      <c r="U58" s="329"/>
      <c r="V58" s="329"/>
      <c r="W58" s="329"/>
      <c r="X58" s="37">
        <v>178000</v>
      </c>
      <c r="Y58" s="37">
        <f>SUM(X58*120/100)</f>
        <v>213600</v>
      </c>
      <c r="Z58" s="37">
        <f>SUM(X58-Q58)</f>
        <v>163514.91</v>
      </c>
    </row>
    <row r="59" spans="1:26" ht="64.5" thickBot="1" x14ac:dyDescent="0.3">
      <c r="A59" s="90" t="str">
        <f>CONCATENATE('3 pr-2'!A143)</f>
        <v>2.1.2.3.2</v>
      </c>
      <c r="B59" s="90" t="str">
        <f>CONCATENATE('3 pr-2'!B143)</f>
        <v>R01-6615-470000-2232</v>
      </c>
      <c r="C59" s="738" t="str">
        <f>CONCATENATE('3 pr-2'!C143)</f>
        <v>08.4.2-ESFA-R-615-11-0005</v>
      </c>
      <c r="D59" s="723" t="s">
        <v>1207</v>
      </c>
      <c r="E59" s="723" t="s">
        <v>350</v>
      </c>
      <c r="F59" s="723" t="s">
        <v>103</v>
      </c>
      <c r="G59" s="723" t="s">
        <v>1825</v>
      </c>
      <c r="H59" s="724" t="s">
        <v>1208</v>
      </c>
      <c r="I59" s="724" t="s">
        <v>119</v>
      </c>
      <c r="J59" s="724" t="s">
        <v>66</v>
      </c>
      <c r="K59" s="724" t="s">
        <v>66</v>
      </c>
      <c r="L59" s="718">
        <v>17041.18</v>
      </c>
      <c r="M59" s="718">
        <v>1278.0899999999999</v>
      </c>
      <c r="N59" s="1209">
        <v>1278</v>
      </c>
      <c r="O59" s="718">
        <v>0</v>
      </c>
      <c r="P59" s="718">
        <v>0</v>
      </c>
      <c r="Q59" s="1209">
        <v>14485.09</v>
      </c>
      <c r="R59" s="718"/>
      <c r="S59" s="17"/>
      <c r="T59" s="173">
        <v>43189</v>
      </c>
      <c r="U59" s="173">
        <v>43281</v>
      </c>
      <c r="V59" s="173">
        <v>43373</v>
      </c>
      <c r="W59" s="967">
        <v>44449</v>
      </c>
      <c r="X59" s="55"/>
      <c r="Y59" s="55"/>
      <c r="Z59" s="55"/>
    </row>
    <row r="60" spans="1:26" ht="60.75" customHeight="1" thickBot="1" x14ac:dyDescent="0.3">
      <c r="A60" s="151" t="s">
        <v>35</v>
      </c>
      <c r="B60" s="714"/>
      <c r="C60" s="714"/>
      <c r="D60" s="1887" t="s">
        <v>636</v>
      </c>
      <c r="E60" s="1948"/>
      <c r="F60" s="1948"/>
      <c r="G60" s="1948"/>
      <c r="H60" s="1948"/>
      <c r="I60" s="1948"/>
      <c r="J60" s="1948"/>
      <c r="K60" s="1949"/>
      <c r="L60" s="132">
        <f t="shared" ref="L60:Q60" si="22">SUM(L61+L63)</f>
        <v>1492473.98</v>
      </c>
      <c r="M60" s="132">
        <f t="shared" si="22"/>
        <v>388132.98</v>
      </c>
      <c r="N60" s="132">
        <f t="shared" si="22"/>
        <v>0</v>
      </c>
      <c r="O60" s="132">
        <f t="shared" si="22"/>
        <v>0</v>
      </c>
      <c r="P60" s="132">
        <f t="shared" si="22"/>
        <v>0</v>
      </c>
      <c r="Q60" s="132">
        <f t="shared" si="22"/>
        <v>1104341</v>
      </c>
      <c r="R60" s="132"/>
      <c r="S60" s="132"/>
      <c r="T60" s="133"/>
      <c r="U60" s="133"/>
      <c r="V60" s="133"/>
      <c r="W60" s="168"/>
      <c r="X60" s="36">
        <f>SUM(X61+X63)</f>
        <v>1104341.7933271548</v>
      </c>
      <c r="Y60" s="36">
        <f>SUM(Y61+Y63)</f>
        <v>1325210.1519925857</v>
      </c>
      <c r="Z60" s="36">
        <f>SUM(Z61+Z63)</f>
        <v>0.79332715476630256</v>
      </c>
    </row>
    <row r="61" spans="1:26" ht="36.75" customHeight="1" thickBot="1" x14ac:dyDescent="0.3">
      <c r="A61" s="327" t="s">
        <v>36</v>
      </c>
      <c r="B61" s="710"/>
      <c r="C61" s="710"/>
      <c r="D61" s="1885" t="s">
        <v>632</v>
      </c>
      <c r="E61" s="1946"/>
      <c r="F61" s="1946"/>
      <c r="G61" s="1946"/>
      <c r="H61" s="1946"/>
      <c r="I61" s="1946"/>
      <c r="J61" s="1946"/>
      <c r="K61" s="1947"/>
      <c r="L61" s="1215">
        <f t="shared" ref="L61:Q61" si="23">SUM(L62:L62)</f>
        <v>600732.80000000005</v>
      </c>
      <c r="M61" s="1215">
        <f t="shared" si="23"/>
        <v>254371.8</v>
      </c>
      <c r="N61" s="1215">
        <f t="shared" si="23"/>
        <v>0</v>
      </c>
      <c r="O61" s="1215">
        <f t="shared" si="23"/>
        <v>0</v>
      </c>
      <c r="P61" s="1215">
        <f t="shared" si="23"/>
        <v>0</v>
      </c>
      <c r="Q61" s="1215">
        <f t="shared" si="23"/>
        <v>346361</v>
      </c>
      <c r="R61" s="1215"/>
      <c r="S61" s="91"/>
      <c r="T61" s="329"/>
      <c r="U61" s="329"/>
      <c r="V61" s="329"/>
      <c r="W61" s="329"/>
      <c r="X61" s="37">
        <v>346361.79332715477</v>
      </c>
      <c r="Y61" s="37">
        <f>SUM(X61*120/100)</f>
        <v>415634.15199258574</v>
      </c>
      <c r="Z61" s="37">
        <f>SUM(X61-Q61)</f>
        <v>0.79332715476630256</v>
      </c>
    </row>
    <row r="62" spans="1:26" s="56" customFormat="1" ht="48.75" thickBot="1" x14ac:dyDescent="0.3">
      <c r="A62" s="125" t="str">
        <f>CONCATENATE('3 pr-2'!A151)</f>
        <v>2.1.3.1.3</v>
      </c>
      <c r="B62" s="125" t="str">
        <f>CONCATENATE('3 pr-2'!B151)</f>
        <v>R01-4407-270000-2313</v>
      </c>
      <c r="C62" s="738" t="str">
        <f>CONCATENATE('3 pr-2'!C151)</f>
        <v>08.1.1-CPVA-R-407-11-0005</v>
      </c>
      <c r="D62" s="125" t="s">
        <v>218</v>
      </c>
      <c r="E62" s="125" t="s">
        <v>350</v>
      </c>
      <c r="F62" s="125" t="s">
        <v>106</v>
      </c>
      <c r="G62" s="125" t="s">
        <v>1825</v>
      </c>
      <c r="H62" s="352" t="s">
        <v>154</v>
      </c>
      <c r="I62" s="376" t="s">
        <v>119</v>
      </c>
      <c r="J62" s="376" t="s">
        <v>66</v>
      </c>
      <c r="K62" s="306" t="s">
        <v>66</v>
      </c>
      <c r="L62" s="1211">
        <f>SUM(M62:Q62)</f>
        <v>600732.80000000005</v>
      </c>
      <c r="M62" s="1211">
        <v>254371.8</v>
      </c>
      <c r="N62" s="1210">
        <v>0</v>
      </c>
      <c r="O62" s="1210">
        <v>0</v>
      </c>
      <c r="P62" s="1210">
        <v>0</v>
      </c>
      <c r="Q62" s="1210">
        <v>346361</v>
      </c>
      <c r="R62" s="1210"/>
      <c r="S62" s="719">
        <v>42653</v>
      </c>
      <c r="T62" s="719">
        <v>42754</v>
      </c>
      <c r="U62" s="719">
        <v>42766</v>
      </c>
      <c r="V62" s="719">
        <v>42936</v>
      </c>
      <c r="W62" s="721">
        <f>SUM('IV-1 su proj'!CH150)</f>
        <v>43646</v>
      </c>
      <c r="X62" s="55"/>
      <c r="Y62" s="55"/>
      <c r="Z62" s="55"/>
    </row>
    <row r="63" spans="1:26" ht="32.25" customHeight="1" thickBot="1" x14ac:dyDescent="0.3">
      <c r="A63" s="327" t="s">
        <v>37</v>
      </c>
      <c r="B63" s="710"/>
      <c r="C63" s="710"/>
      <c r="D63" s="1885" t="s">
        <v>633</v>
      </c>
      <c r="E63" s="1946"/>
      <c r="F63" s="1946"/>
      <c r="G63" s="1946"/>
      <c r="H63" s="1946"/>
      <c r="I63" s="1946"/>
      <c r="J63" s="1946"/>
      <c r="K63" s="1947"/>
      <c r="L63" s="1215">
        <f t="shared" ref="L63:Q63" si="24">SUM(L64:L64)</f>
        <v>891741.17999999993</v>
      </c>
      <c r="M63" s="1215">
        <f t="shared" si="24"/>
        <v>133761.18</v>
      </c>
      <c r="N63" s="1215">
        <f t="shared" si="24"/>
        <v>0</v>
      </c>
      <c r="O63" s="1215">
        <f t="shared" si="24"/>
        <v>0</v>
      </c>
      <c r="P63" s="1215">
        <f t="shared" si="24"/>
        <v>0</v>
      </c>
      <c r="Q63" s="1215">
        <f t="shared" si="24"/>
        <v>757980</v>
      </c>
      <c r="R63" s="1215"/>
      <c r="S63" s="91"/>
      <c r="T63" s="329"/>
      <c r="U63" s="329"/>
      <c r="V63" s="329"/>
      <c r="W63" s="329"/>
      <c r="X63" s="37">
        <v>757980</v>
      </c>
      <c r="Y63" s="37">
        <f>SUM(X63*120/100)</f>
        <v>909576</v>
      </c>
      <c r="Z63" s="37">
        <f>SUM(X63-Q63)</f>
        <v>0</v>
      </c>
    </row>
    <row r="64" spans="1:26" ht="48.75" thickBot="1" x14ac:dyDescent="0.3">
      <c r="A64" s="90" t="str">
        <f>CONCATENATE('3 pr-2'!A157)</f>
        <v>2.1.3.1.3</v>
      </c>
      <c r="B64" s="90" t="str">
        <f>CONCATENATE('3 pr-2'!B157)</f>
        <v>R01-4408-260000-2323</v>
      </c>
      <c r="C64" s="738" t="str">
        <f>CONCATENATE('3 pr-2'!C157)</f>
        <v>08.1.2-CPVA-R-408-11-0002</v>
      </c>
      <c r="D64" s="90" t="s">
        <v>220</v>
      </c>
      <c r="E64" s="90" t="s">
        <v>350</v>
      </c>
      <c r="F64" s="90" t="s">
        <v>106</v>
      </c>
      <c r="G64" s="90" t="s">
        <v>1825</v>
      </c>
      <c r="H64" s="248" t="s">
        <v>155</v>
      </c>
      <c r="I64" s="15" t="s">
        <v>119</v>
      </c>
      <c r="J64" s="15" t="s">
        <v>66</v>
      </c>
      <c r="K64" s="17" t="s">
        <v>66</v>
      </c>
      <c r="L64" s="718">
        <f>SUM(M64:Q64)</f>
        <v>891741.17999999993</v>
      </c>
      <c r="M64" s="718">
        <v>133761.18</v>
      </c>
      <c r="N64" s="718">
        <v>0</v>
      </c>
      <c r="O64" s="718">
        <v>0</v>
      </c>
      <c r="P64" s="718">
        <v>0</v>
      </c>
      <c r="Q64" s="718">
        <v>757980</v>
      </c>
      <c r="R64" s="718"/>
      <c r="S64" s="487">
        <v>42401</v>
      </c>
      <c r="T64" s="357">
        <v>42464</v>
      </c>
      <c r="U64" s="357">
        <v>42563</v>
      </c>
      <c r="V64" s="357">
        <v>42599</v>
      </c>
      <c r="W64" s="495">
        <v>43707</v>
      </c>
      <c r="X64" s="34"/>
      <c r="Y64" s="34"/>
      <c r="Z64" s="34"/>
    </row>
    <row r="65" spans="1:26" ht="60.75" customHeight="1" thickBot="1" x14ac:dyDescent="0.3">
      <c r="A65" s="151" t="s">
        <v>38</v>
      </c>
      <c r="B65" s="714"/>
      <c r="C65" s="714"/>
      <c r="D65" s="1887" t="s">
        <v>634</v>
      </c>
      <c r="E65" s="1948"/>
      <c r="F65" s="1948"/>
      <c r="G65" s="1948"/>
      <c r="H65" s="1948"/>
      <c r="I65" s="1948"/>
      <c r="J65" s="1948"/>
      <c r="K65" s="1949"/>
      <c r="L65" s="1228">
        <f t="shared" ref="L65:Q65" si="25">SUM(L66)</f>
        <v>415693.16000000003</v>
      </c>
      <c r="M65" s="1228">
        <f t="shared" si="25"/>
        <v>62353.979999999996</v>
      </c>
      <c r="N65" s="1228">
        <f t="shared" si="25"/>
        <v>0</v>
      </c>
      <c r="O65" s="1228">
        <f t="shared" si="25"/>
        <v>0</v>
      </c>
      <c r="P65" s="1228">
        <f t="shared" si="25"/>
        <v>0</v>
      </c>
      <c r="Q65" s="1228">
        <f t="shared" si="25"/>
        <v>353339.18</v>
      </c>
      <c r="R65" s="1228"/>
      <c r="S65" s="132"/>
      <c r="T65" s="133"/>
      <c r="U65" s="133"/>
      <c r="V65" s="133"/>
      <c r="W65" s="168"/>
      <c r="X65" s="36">
        <f>SUM(X66)</f>
        <v>369603.55070703564</v>
      </c>
      <c r="Y65" s="36">
        <f>SUM(Y66)</f>
        <v>443524.26084844279</v>
      </c>
      <c r="Z65" s="36">
        <f>SUM(Z66)</f>
        <v>16264.370707035647</v>
      </c>
    </row>
    <row r="66" spans="1:26" ht="29.25" customHeight="1" thickBot="1" x14ac:dyDescent="0.3">
      <c r="A66" s="327" t="s">
        <v>109</v>
      </c>
      <c r="B66" s="710"/>
      <c r="C66" s="710"/>
      <c r="D66" s="1885" t="s">
        <v>635</v>
      </c>
      <c r="E66" s="1946"/>
      <c r="F66" s="1946"/>
      <c r="G66" s="1946"/>
      <c r="H66" s="1946"/>
      <c r="I66" s="1946"/>
      <c r="J66" s="1946"/>
      <c r="K66" s="1947"/>
      <c r="L66" s="1215">
        <f>SUM(L67:L68)</f>
        <v>415693.16000000003</v>
      </c>
      <c r="M66" s="1215">
        <f t="shared" ref="M66:Q66" si="26">SUM(M67:M68)</f>
        <v>62353.979999999996</v>
      </c>
      <c r="N66" s="1215">
        <f t="shared" si="26"/>
        <v>0</v>
      </c>
      <c r="O66" s="1215">
        <f t="shared" si="26"/>
        <v>0</v>
      </c>
      <c r="P66" s="1215">
        <f t="shared" si="26"/>
        <v>0</v>
      </c>
      <c r="Q66" s="1215">
        <f t="shared" si="26"/>
        <v>353339.18</v>
      </c>
      <c r="R66" s="1215"/>
      <c r="S66" s="91"/>
      <c r="T66" s="329"/>
      <c r="U66" s="329"/>
      <c r="V66" s="329"/>
      <c r="W66" s="329"/>
      <c r="X66" s="37">
        <v>369603.55070703564</v>
      </c>
      <c r="Y66" s="37">
        <f>SUM(X66*120/100)</f>
        <v>443524.26084844279</v>
      </c>
      <c r="Z66" s="37">
        <f>SUM(X66-Q66)</f>
        <v>16264.370707035647</v>
      </c>
    </row>
    <row r="67" spans="1:26" s="56" customFormat="1" ht="60.75" thickBot="1" x14ac:dyDescent="0.3">
      <c r="A67" s="125" t="str">
        <f>CONCATENATE('3 pr-2'!A165)</f>
        <v>2.1.4.1.4</v>
      </c>
      <c r="B67" s="125" t="str">
        <f>CONCATENATE('3 pr-2'!B165)</f>
        <v>R01-9920-490000-2414</v>
      </c>
      <c r="C67" s="738" t="str">
        <f>CONCATENATE('3 pr-2'!C165)</f>
        <v>10.1.3-ESFA-R-920-11-0007</v>
      </c>
      <c r="D67" s="125" t="s">
        <v>1785</v>
      </c>
      <c r="E67" s="125" t="s">
        <v>350</v>
      </c>
      <c r="F67" s="125" t="s">
        <v>75</v>
      </c>
      <c r="G67" s="125" t="s">
        <v>1825</v>
      </c>
      <c r="H67" s="352" t="s">
        <v>1138</v>
      </c>
      <c r="I67" s="376" t="s">
        <v>119</v>
      </c>
      <c r="J67" s="376" t="s">
        <v>66</v>
      </c>
      <c r="K67" s="306" t="s">
        <v>66</v>
      </c>
      <c r="L67" s="1210">
        <f>SUM(M67:Q67)</f>
        <v>215693.16</v>
      </c>
      <c r="M67" s="1210">
        <v>32353.98</v>
      </c>
      <c r="N67" s="1210">
        <v>0</v>
      </c>
      <c r="O67" s="1210">
        <v>0</v>
      </c>
      <c r="P67" s="1210">
        <v>0</v>
      </c>
      <c r="Q67" s="1210">
        <v>183339.18</v>
      </c>
      <c r="R67" s="1210"/>
      <c r="S67" s="719">
        <v>43017</v>
      </c>
      <c r="T67" s="719">
        <v>43100</v>
      </c>
      <c r="U67" s="719">
        <v>43159</v>
      </c>
      <c r="V67" s="719">
        <v>43220</v>
      </c>
      <c r="W67" s="719">
        <v>44152</v>
      </c>
      <c r="X67" s="55"/>
      <c r="Y67" s="55"/>
      <c r="Z67" s="55"/>
    </row>
    <row r="68" spans="1:26" s="56" customFormat="1" ht="70.5" customHeight="1" thickBot="1" x14ac:dyDescent="0.3">
      <c r="A68" s="125" t="str">
        <f>CONCATENATE('3 pr-2'!A167)</f>
        <v>2.1.4.1.6</v>
      </c>
      <c r="B68" s="125" t="str">
        <f>CONCATENATE('3 pr-2'!B167)</f>
        <v>R01-9920-490000-2416</v>
      </c>
      <c r="C68" s="738" t="str">
        <f>CONCATENATE('3 pr-2'!C167)</f>
        <v/>
      </c>
      <c r="D68" s="125" t="s">
        <v>1784</v>
      </c>
      <c r="E68" s="125" t="s">
        <v>350</v>
      </c>
      <c r="F68" s="125" t="s">
        <v>75</v>
      </c>
      <c r="G68" s="125" t="s">
        <v>1825</v>
      </c>
      <c r="H68" s="352" t="s">
        <v>1138</v>
      </c>
      <c r="I68" s="376" t="s">
        <v>119</v>
      </c>
      <c r="J68" s="376" t="s">
        <v>66</v>
      </c>
      <c r="K68" s="306" t="s">
        <v>66</v>
      </c>
      <c r="L68" s="1210">
        <f>SUM(M68:Q68)</f>
        <v>200000</v>
      </c>
      <c r="M68" s="1210">
        <v>30000</v>
      </c>
      <c r="N68" s="1210">
        <v>0</v>
      </c>
      <c r="O68" s="1210">
        <v>0</v>
      </c>
      <c r="P68" s="1210">
        <v>0</v>
      </c>
      <c r="Q68" s="1210">
        <v>170000</v>
      </c>
      <c r="R68" s="1210"/>
      <c r="S68" s="719">
        <v>43434</v>
      </c>
      <c r="T68" s="719">
        <v>43465</v>
      </c>
      <c r="U68" s="719">
        <v>43524</v>
      </c>
      <c r="V68" s="719">
        <v>43616</v>
      </c>
      <c r="W68" s="719">
        <v>44196</v>
      </c>
      <c r="X68" s="55"/>
      <c r="Y68" s="55"/>
      <c r="Z68" s="55"/>
    </row>
    <row r="69" spans="1:26" ht="40.5" customHeight="1" thickBot="1" x14ac:dyDescent="0.3">
      <c r="A69" s="149" t="s">
        <v>40</v>
      </c>
      <c r="B69" s="716"/>
      <c r="C69" s="716"/>
      <c r="D69" s="1886" t="s">
        <v>607</v>
      </c>
      <c r="E69" s="1952"/>
      <c r="F69" s="1952"/>
      <c r="G69" s="1952"/>
      <c r="H69" s="1952"/>
      <c r="I69" s="1952"/>
      <c r="J69" s="1952"/>
      <c r="K69" s="1953"/>
      <c r="L69" s="153">
        <f t="shared" ref="L69:Q69" si="27">SUM(L70+L73)</f>
        <v>1557490.3361502308</v>
      </c>
      <c r="M69" s="153">
        <f t="shared" si="27"/>
        <v>293149.16615023086</v>
      </c>
      <c r="N69" s="153">
        <f t="shared" si="27"/>
        <v>0</v>
      </c>
      <c r="O69" s="153">
        <f t="shared" si="27"/>
        <v>0</v>
      </c>
      <c r="P69" s="153">
        <f t="shared" si="27"/>
        <v>0</v>
      </c>
      <c r="Q69" s="153">
        <f t="shared" si="27"/>
        <v>1264341.1700000002</v>
      </c>
      <c r="R69" s="153"/>
      <c r="S69" s="153"/>
      <c r="T69" s="150"/>
      <c r="U69" s="150"/>
      <c r="V69" s="150"/>
      <c r="W69" s="169"/>
      <c r="X69" s="368">
        <f>SUM(X70+X73)</f>
        <v>1276664.0984113035</v>
      </c>
      <c r="Y69" s="369">
        <f>SUM(Y70+Y73)</f>
        <v>1531996.918093564</v>
      </c>
      <c r="Z69" s="369">
        <f>SUM(Z70+Z73)</f>
        <v>12322.928411303306</v>
      </c>
    </row>
    <row r="70" spans="1:26" ht="60.75" customHeight="1" thickBot="1" x14ac:dyDescent="0.3">
      <c r="A70" s="151" t="s">
        <v>41</v>
      </c>
      <c r="B70" s="714"/>
      <c r="C70" s="714"/>
      <c r="D70" s="1877" t="s">
        <v>608</v>
      </c>
      <c r="E70" s="1950"/>
      <c r="F70" s="1950"/>
      <c r="G70" s="1950"/>
      <c r="H70" s="1950"/>
      <c r="I70" s="1950"/>
      <c r="J70" s="1950"/>
      <c r="K70" s="1951"/>
      <c r="L70" s="132">
        <f>SUM(L71)</f>
        <v>1553497.3361502308</v>
      </c>
      <c r="M70" s="132">
        <f>SUM(M71)</f>
        <v>292550.21615023084</v>
      </c>
      <c r="N70" s="132">
        <f t="shared" ref="N70:Q70" si="28">SUM(N71)</f>
        <v>0</v>
      </c>
      <c r="O70" s="132">
        <f t="shared" si="28"/>
        <v>0</v>
      </c>
      <c r="P70" s="132">
        <f t="shared" si="28"/>
        <v>0</v>
      </c>
      <c r="Q70" s="132">
        <f t="shared" si="28"/>
        <v>1260947.1200000001</v>
      </c>
      <c r="R70" s="132"/>
      <c r="S70" s="132"/>
      <c r="T70" s="133"/>
      <c r="U70" s="133"/>
      <c r="V70" s="133"/>
      <c r="W70" s="168"/>
      <c r="X70" s="36">
        <f>SUM(X71)</f>
        <v>1260947.1200000001</v>
      </c>
      <c r="Y70" s="36">
        <f>SUM(Y71)</f>
        <v>1513136.544</v>
      </c>
      <c r="Z70" s="36">
        <f>SUM(Z71)</f>
        <v>0</v>
      </c>
    </row>
    <row r="71" spans="1:26" ht="33" customHeight="1" thickBot="1" x14ac:dyDescent="0.3">
      <c r="A71" s="327" t="s">
        <v>42</v>
      </c>
      <c r="B71" s="710"/>
      <c r="C71" s="710"/>
      <c r="D71" s="1885" t="s">
        <v>606</v>
      </c>
      <c r="E71" s="1946"/>
      <c r="F71" s="1946"/>
      <c r="G71" s="1946"/>
      <c r="H71" s="1946"/>
      <c r="I71" s="1946"/>
      <c r="J71" s="1946"/>
      <c r="K71" s="1947"/>
      <c r="L71" s="329">
        <f t="shared" ref="L71:Q71" si="29">SUM(L72:L72)</f>
        <v>1553497.3361502308</v>
      </c>
      <c r="M71" s="329">
        <f t="shared" si="29"/>
        <v>292550.21615023084</v>
      </c>
      <c r="N71" s="329">
        <f t="shared" si="29"/>
        <v>0</v>
      </c>
      <c r="O71" s="329">
        <f t="shared" si="29"/>
        <v>0</v>
      </c>
      <c r="P71" s="329">
        <f t="shared" si="29"/>
        <v>0</v>
      </c>
      <c r="Q71" s="329">
        <f t="shared" si="29"/>
        <v>1260947.1200000001</v>
      </c>
      <c r="R71" s="329"/>
      <c r="S71" s="91"/>
      <c r="T71" s="329"/>
      <c r="U71" s="329"/>
      <c r="V71" s="329"/>
      <c r="W71" s="329"/>
      <c r="X71" s="37">
        <v>1260947.1200000001</v>
      </c>
      <c r="Y71" s="37">
        <f>SUM(X71*120/100)</f>
        <v>1513136.544</v>
      </c>
      <c r="Z71" s="37">
        <f>SUM(X71-Q71)</f>
        <v>0</v>
      </c>
    </row>
    <row r="72" spans="1:26" s="56" customFormat="1" ht="48" customHeight="1" thickBot="1" x14ac:dyDescent="0.3">
      <c r="A72" s="125" t="str">
        <f>CONCATENATE('3 pr-2'!A171)</f>
        <v>3.1.1.1.1</v>
      </c>
      <c r="B72" s="125" t="str">
        <f>CONCATENATE('3 pr-2'!B171)</f>
        <v>R01-0008-050000-3111</v>
      </c>
      <c r="C72" s="738" t="str">
        <f>CONCATENATE('3 pr-2'!C171)</f>
        <v>05.2.1-APVA-R-008-11-0001</v>
      </c>
      <c r="D72" s="125" t="s">
        <v>310</v>
      </c>
      <c r="E72" s="125" t="s">
        <v>190</v>
      </c>
      <c r="F72" s="125" t="s">
        <v>77</v>
      </c>
      <c r="G72" s="125" t="s">
        <v>185</v>
      </c>
      <c r="H72" s="352" t="s">
        <v>191</v>
      </c>
      <c r="I72" s="376" t="s">
        <v>119</v>
      </c>
      <c r="J72" s="376" t="s">
        <v>66</v>
      </c>
      <c r="K72" s="306" t="s">
        <v>66</v>
      </c>
      <c r="L72" s="306">
        <f>SUM(M72:Q72)</f>
        <v>1553497.3361502308</v>
      </c>
      <c r="M72" s="306">
        <v>292550.21615023084</v>
      </c>
      <c r="N72" s="306">
        <v>0</v>
      </c>
      <c r="O72" s="306">
        <v>0</v>
      </c>
      <c r="P72" s="306">
        <v>0</v>
      </c>
      <c r="Q72" s="306">
        <v>1260947.1200000001</v>
      </c>
      <c r="R72" s="306"/>
      <c r="S72" s="719">
        <v>42590</v>
      </c>
      <c r="T72" s="719">
        <v>42754</v>
      </c>
      <c r="U72" s="719">
        <v>42916</v>
      </c>
      <c r="V72" s="719">
        <v>43008</v>
      </c>
      <c r="W72" s="719">
        <v>43830</v>
      </c>
      <c r="X72" s="55">
        <v>2019</v>
      </c>
      <c r="Y72" s="55"/>
      <c r="Z72" s="55"/>
    </row>
    <row r="73" spans="1:26" ht="60.75" customHeight="1" thickBot="1" x14ac:dyDescent="0.3">
      <c r="A73" s="151" t="s">
        <v>43</v>
      </c>
      <c r="B73" s="714"/>
      <c r="C73" s="714"/>
      <c r="D73" s="1877" t="s">
        <v>609</v>
      </c>
      <c r="E73" s="1878"/>
      <c r="F73" s="1878"/>
      <c r="G73" s="1878"/>
      <c r="H73" s="1878"/>
      <c r="I73" s="1878"/>
      <c r="J73" s="1878"/>
      <c r="K73" s="1879"/>
      <c r="L73" s="132">
        <f>SUM(L74)</f>
        <v>3993</v>
      </c>
      <c r="M73" s="132">
        <f t="shared" ref="M73:Q73" si="30">SUM(M74)</f>
        <v>598.95000000000005</v>
      </c>
      <c r="N73" s="132">
        <f t="shared" si="30"/>
        <v>0</v>
      </c>
      <c r="O73" s="132">
        <f t="shared" si="30"/>
        <v>0</v>
      </c>
      <c r="P73" s="132">
        <f t="shared" si="30"/>
        <v>0</v>
      </c>
      <c r="Q73" s="132">
        <f t="shared" si="30"/>
        <v>3394.05</v>
      </c>
      <c r="R73" s="132"/>
      <c r="S73" s="132"/>
      <c r="T73" s="133"/>
      <c r="U73" s="133"/>
      <c r="V73" s="133"/>
      <c r="W73" s="168"/>
      <c r="X73" s="36">
        <f>SUM(X74)</f>
        <v>15716.978411303307</v>
      </c>
      <c r="Y73" s="36">
        <f>SUM(Y74)</f>
        <v>18860.374093563969</v>
      </c>
      <c r="Z73" s="36">
        <f>SUM(Z74)</f>
        <v>12322.928411303306</v>
      </c>
    </row>
    <row r="74" spans="1:26" ht="27.75" customHeight="1" thickBot="1" x14ac:dyDescent="0.3">
      <c r="A74" s="327" t="s">
        <v>113</v>
      </c>
      <c r="B74" s="710"/>
      <c r="C74" s="710"/>
      <c r="D74" s="1885" t="s">
        <v>610</v>
      </c>
      <c r="E74" s="1894"/>
      <c r="F74" s="1894"/>
      <c r="G74" s="1894"/>
      <c r="H74" s="1894"/>
      <c r="I74" s="1894"/>
      <c r="J74" s="1894"/>
      <c r="K74" s="1895"/>
      <c r="L74" s="329">
        <f t="shared" ref="L74:Q74" si="31">SUM(L75:L75)</f>
        <v>3993</v>
      </c>
      <c r="M74" s="329">
        <f t="shared" si="31"/>
        <v>598.95000000000005</v>
      </c>
      <c r="N74" s="329">
        <f t="shared" si="31"/>
        <v>0</v>
      </c>
      <c r="O74" s="329">
        <f t="shared" si="31"/>
        <v>0</v>
      </c>
      <c r="P74" s="329">
        <f t="shared" si="31"/>
        <v>0</v>
      </c>
      <c r="Q74" s="329">
        <f t="shared" si="31"/>
        <v>3394.05</v>
      </c>
      <c r="R74" s="329"/>
      <c r="S74" s="91"/>
      <c r="T74" s="329"/>
      <c r="U74" s="329"/>
      <c r="V74" s="329"/>
      <c r="W74" s="329"/>
      <c r="X74" s="37">
        <v>15716.978411303307</v>
      </c>
      <c r="Y74" s="37">
        <f>SUM(X74*120/100)</f>
        <v>18860.374093563969</v>
      </c>
      <c r="Z74" s="37">
        <f>SUM(X74-Q74)</f>
        <v>12322.928411303306</v>
      </c>
    </row>
    <row r="75" spans="1:26" ht="48.75" thickBot="1" x14ac:dyDescent="0.3">
      <c r="A75" s="90" t="str">
        <f>CONCATENATE('3 pr-2'!A177)</f>
        <v>3.1.2.1.4</v>
      </c>
      <c r="B75" s="90" t="str">
        <f>CONCATENATE('3 pr-2'!B177)</f>
        <v>R01-0019-380000-3214</v>
      </c>
      <c r="C75" s="738" t="str">
        <f>CONCATENATE('3 pr-2'!C177)</f>
        <v>05.5.1-APVA-R-019-11-0004</v>
      </c>
      <c r="D75" s="90" t="s">
        <v>394</v>
      </c>
      <c r="E75" s="90" t="s">
        <v>350</v>
      </c>
      <c r="F75" s="90" t="s">
        <v>77</v>
      </c>
      <c r="G75" s="90" t="s">
        <v>1825</v>
      </c>
      <c r="H75" s="248" t="s">
        <v>193</v>
      </c>
      <c r="I75" s="15" t="s">
        <v>119</v>
      </c>
      <c r="J75" s="15"/>
      <c r="K75" s="15" t="s">
        <v>66</v>
      </c>
      <c r="L75" s="718">
        <f>SUM(M75:Q75)</f>
        <v>3993</v>
      </c>
      <c r="M75" s="718">
        <v>598.95000000000005</v>
      </c>
      <c r="N75" s="718">
        <v>0</v>
      </c>
      <c r="O75" s="718">
        <v>0</v>
      </c>
      <c r="P75" s="718">
        <v>0</v>
      </c>
      <c r="Q75" s="718">
        <v>3394.05</v>
      </c>
      <c r="R75" s="718"/>
      <c r="S75" s="487">
        <v>42598</v>
      </c>
      <c r="T75" s="357">
        <v>42632</v>
      </c>
      <c r="U75" s="357">
        <v>42874</v>
      </c>
      <c r="V75" s="357">
        <v>42965</v>
      </c>
      <c r="W75" s="719">
        <v>43465</v>
      </c>
      <c r="X75" s="34"/>
      <c r="Y75" s="34"/>
      <c r="Z75" s="34"/>
    </row>
    <row r="76" spans="1:26" ht="15.75" thickBot="1" x14ac:dyDescent="0.3">
      <c r="A76" s="59"/>
      <c r="B76" s="60"/>
      <c r="C76" s="60"/>
      <c r="D76" s="60"/>
      <c r="E76" s="60"/>
      <c r="F76" s="60"/>
      <c r="G76" s="60"/>
      <c r="H76" s="60"/>
      <c r="I76" s="61"/>
      <c r="J76" s="61"/>
      <c r="K76" s="61"/>
      <c r="L76" s="51">
        <f t="shared" ref="L76:Q76" si="32">SUM(L5+L37+L69)</f>
        <v>21259628.942032583</v>
      </c>
      <c r="M76" s="51">
        <f t="shared" si="32"/>
        <v>2371086.3720325837</v>
      </c>
      <c r="N76" s="51">
        <f t="shared" si="32"/>
        <v>223865.64</v>
      </c>
      <c r="O76" s="51">
        <f t="shared" si="32"/>
        <v>3618580.3</v>
      </c>
      <c r="P76" s="51">
        <f t="shared" si="32"/>
        <v>352400.82</v>
      </c>
      <c r="Q76" s="51">
        <f t="shared" si="32"/>
        <v>14693695.810000001</v>
      </c>
      <c r="R76" s="365"/>
      <c r="S76" s="365"/>
      <c r="T76" s="61"/>
      <c r="U76" s="61"/>
      <c r="V76" s="61"/>
      <c r="W76" s="166"/>
      <c r="X76" s="51">
        <f>SUM(X5+X37+X69)</f>
        <v>13600989.552418685</v>
      </c>
      <c r="Y76" s="64">
        <f>SUM(Y5+Y37+Y69)</f>
        <v>16321187.462902421</v>
      </c>
      <c r="Z76" s="65">
        <f>SUM(Z5+Z37+Z69)</f>
        <v>-1049628.8675813163</v>
      </c>
    </row>
    <row r="77" spans="1:26" ht="15.75" thickTop="1" x14ac:dyDescent="0.25"/>
    <row r="78" spans="1:26" x14ac:dyDescent="0.25">
      <c r="M78" s="63"/>
      <c r="O78" s="63"/>
      <c r="Q78" s="63"/>
      <c r="R78" s="63"/>
      <c r="S78" s="63"/>
    </row>
    <row r="80" spans="1:26" x14ac:dyDescent="0.25">
      <c r="M80" s="69"/>
    </row>
    <row r="82" spans="13:14" x14ac:dyDescent="0.25">
      <c r="M82" s="69"/>
      <c r="N82" s="69"/>
    </row>
  </sheetData>
  <mergeCells count="41">
    <mergeCell ref="Z2:Z3"/>
    <mergeCell ref="A2:K2"/>
    <mergeCell ref="L2:Q2"/>
    <mergeCell ref="T2:W2"/>
    <mergeCell ref="X2:X3"/>
    <mergeCell ref="Y2:Y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1:K51"/>
    <mergeCell ref="D61:K61"/>
    <mergeCell ref="D63:K63"/>
    <mergeCell ref="D58:K58"/>
    <mergeCell ref="D66:K66"/>
    <mergeCell ref="D71:K71"/>
    <mergeCell ref="D74:K74"/>
    <mergeCell ref="D45:K45"/>
    <mergeCell ref="D60:K60"/>
    <mergeCell ref="D70:K70"/>
    <mergeCell ref="D73:K73"/>
    <mergeCell ref="D65:K65"/>
    <mergeCell ref="D69:K69"/>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36</vt:i4>
      </vt:variant>
      <vt:variant>
        <vt:lpstr>Įvardinti diapazonai</vt:lpstr>
      </vt:variant>
      <vt:variant>
        <vt:i4>18</vt:i4>
      </vt:variant>
    </vt:vector>
  </HeadingPairs>
  <TitlesOfParts>
    <vt:vector size="54"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Veiklos</vt:lpstr>
      <vt:lpstr>ketv. 1</vt:lpstr>
      <vt:lpstr>ketv. 2</vt:lpstr>
      <vt:lpstr>PP pateikimas</vt:lpstr>
      <vt:lpstr>ketv. 3</vt:lpstr>
      <vt:lpstr>ketv. 4 </vt:lpstr>
      <vt:lpstr>ketv. 5 </vt:lpstr>
      <vt:lpstr>ketv. 6 </vt:lpstr>
      <vt:lpstr>ketv. 7 </vt:lpstr>
      <vt:lpstr>ketv. 8</vt:lpstr>
      <vt:lpstr>ketv. 9</vt:lpstr>
      <vt:lpstr>ketv. 10 </vt:lpstr>
      <vt:lpstr>ES lėšos</vt:lpstr>
      <vt:lpstr>SFMIS AR 2017</vt:lpstr>
      <vt:lpstr>mokėjimų ataskaita</vt:lpstr>
      <vt:lpstr>sutarčių ataskaita</vt:lpstr>
      <vt:lpstr>Lapas4</vt:lpstr>
      <vt:lpstr>'3 pr-(5-6)'!Print_Titles</vt:lpstr>
      <vt:lpstr>'3 pr-1'!Print_Titles</vt:lpstr>
      <vt:lpstr>'3 pr-2'!Print_Titles</vt:lpstr>
      <vt:lpstr>'3 pr-3'!Print_Titles</vt:lpstr>
      <vt:lpstr>'3 pr-4'!Print_Titles</vt:lpstr>
      <vt:lpstr>'3 pr-7'!Print_Titles</vt:lpstr>
      <vt:lpstr>'4pr-(4-5)'!Print_Titles</vt:lpstr>
      <vt:lpstr>'ketv. 1'!Print_Titles</vt:lpstr>
      <vt:lpstr>'ketv. 10 '!Print_Titles</vt:lpstr>
      <vt:lpstr>'ketv. 2'!Print_Titles</vt:lpstr>
      <vt:lpstr>'ketv. 3'!Print_Titles</vt:lpstr>
      <vt:lpstr>'ketv. 4 '!Print_Titles</vt:lpstr>
      <vt:lpstr>'ketv. 5 '!Print_Titles</vt:lpstr>
      <vt:lpstr>'ketv. 6 '!Print_Titles</vt:lpstr>
      <vt:lpstr>'ketv. 7 '!Print_Titles</vt:lpstr>
      <vt:lpstr>'ketv. 8'!Print_Titles</vt:lpstr>
      <vt:lpstr>'ketv. 9'!Print_Titles</vt:lpstr>
      <vt:lpstr>'SFMIS AR 2017'!Print_Titles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2018-11-21T12:34:27Z</dcterms:modified>
</cp:coreProperties>
</file>